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ustomProperty1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40" tabRatio="796" activeTab="6"/>
  </bookViews>
  <sheets>
    <sheet name="Cover Sheet" sheetId="173" r:id="rId1"/>
    <sheet name="Sheet2" sheetId="155" state="hidden" r:id="rId2"/>
    <sheet name="Sheet1" sheetId="154" state="hidden" r:id="rId3"/>
    <sheet name="Profit and Loss" sheetId="7" r:id="rId4"/>
    <sheet name="Interim" sheetId="106" r:id="rId5"/>
    <sheet name="Worksheet" sheetId="167" state="hidden" r:id="rId6"/>
    <sheet name="Balance Sheet &amp; Cash Flow" sheetId="5" r:id="rId7"/>
    <sheet name="DCF" sheetId="164" state="hidden" r:id="rId8"/>
    <sheet name="Stat Ab" sheetId="165" state="hidden" r:id="rId9"/>
    <sheet name="Macro sensitivity" sheetId="174" state="hidden" r:id="rId10"/>
    <sheet name="LFL GP" sheetId="166" state="hidden" r:id="rId11"/>
    <sheet name="Profit and Loss OLd" sheetId="168" state="hidden" r:id="rId12"/>
    <sheet name="Preview(old)" sheetId="147" state="hidden" r:id="rId13"/>
    <sheet name="Sales &amp; stores" sheetId="96" state="hidden" r:id="rId14"/>
    <sheet name="Cost split" sheetId="119" state="hidden" r:id="rId15"/>
    <sheet name="GSe vs Cons" sheetId="175" state="hidden" r:id="rId16"/>
    <sheet name="_ADSG.DE" sheetId="39" state="hidden" r:id="rId17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</externalReferences>
  <definedNames>
    <definedName name="\0" localSheetId="11">'[1]RANDSTAD (old 4)'!#REF!</definedName>
    <definedName name="\0">'[1]RANDSTAD (old 4)'!#REF!</definedName>
    <definedName name="\a" localSheetId="11">'[1]RANDSTAD (old 4)'!#REF!</definedName>
    <definedName name="\a">'[1]RANDSTAD (old 4)'!#REF!</definedName>
    <definedName name="\b" localSheetId="11">'[2]teo model'!#REF!</definedName>
    <definedName name="\b">'[2]teo model'!#REF!</definedName>
    <definedName name="\BS" localSheetId="7">#REF!</definedName>
    <definedName name="\BS" localSheetId="11">#REF!</definedName>
    <definedName name="\BS">#REF!</definedName>
    <definedName name="\c" localSheetId="11">'[2]teo model'!#REF!</definedName>
    <definedName name="\c">'[2]teo model'!#REF!</definedName>
    <definedName name="\d" localSheetId="7">#REF!</definedName>
    <definedName name="\d" localSheetId="11">#REF!</definedName>
    <definedName name="\d">#REF!</definedName>
    <definedName name="\e" localSheetId="11">[3]Geographic!#REF!</definedName>
    <definedName name="\e">[3]Geographic!#REF!</definedName>
    <definedName name="\EP1" localSheetId="7">#REF!</definedName>
    <definedName name="\EP1" localSheetId="11">#REF!</definedName>
    <definedName name="\EP1">#REF!</definedName>
    <definedName name="\EP2" localSheetId="7">#REF!</definedName>
    <definedName name="\EP2" localSheetId="11">#REF!</definedName>
    <definedName name="\EP2">#REF!</definedName>
    <definedName name="\f" localSheetId="7">#REF!</definedName>
    <definedName name="\f" localSheetId="11">#REF!</definedName>
    <definedName name="\f">#REF!</definedName>
    <definedName name="\g" localSheetId="11">[3]Geographic!#REF!</definedName>
    <definedName name="\g">[3]Geographic!#REF!</definedName>
    <definedName name="\h" localSheetId="11">'[2]teo model'!#REF!</definedName>
    <definedName name="\h">'[2]teo model'!#REF!</definedName>
    <definedName name="\i" localSheetId="11">'[1]RANDSTAD (old 4)'!#REF!</definedName>
    <definedName name="\i">'[1]RANDSTAD (old 4)'!#REF!</definedName>
    <definedName name="\j" localSheetId="7">[3]Geographic!#REF!</definedName>
    <definedName name="\j" localSheetId="11">#REF!</definedName>
    <definedName name="\j">#REF!</definedName>
    <definedName name="\k" localSheetId="11">[4]roysuna!#REF!</definedName>
    <definedName name="\k">[4]roysuna!#REF!</definedName>
    <definedName name="\l" localSheetId="7">'[2]teo model'!#REF!</definedName>
    <definedName name="\l" localSheetId="11">#REF!</definedName>
    <definedName name="\l">#REF!</definedName>
    <definedName name="\m" localSheetId="7">'[2]teo model'!#REF!</definedName>
    <definedName name="\m" localSheetId="11">#REF!</definedName>
    <definedName name="\m">#REF!</definedName>
    <definedName name="\o" localSheetId="7">#REF!</definedName>
    <definedName name="\o" localSheetId="11">#REF!</definedName>
    <definedName name="\o">#REF!</definedName>
    <definedName name="\p" localSheetId="7">#REF!</definedName>
    <definedName name="\P" localSheetId="11">#REF!</definedName>
    <definedName name="\P">#REF!</definedName>
    <definedName name="\PL" localSheetId="7">#REF!</definedName>
    <definedName name="\PL" localSheetId="11">#REF!</definedName>
    <definedName name="\PL">#REF!</definedName>
    <definedName name="\q" localSheetId="11">[5]VABQORF!#REF!</definedName>
    <definedName name="\q">[5]VABQORF!#REF!</definedName>
    <definedName name="\R" localSheetId="7">#REF!</definedName>
    <definedName name="\R" localSheetId="11">#REF!</definedName>
    <definedName name="\R">#REF!</definedName>
    <definedName name="\s" localSheetId="7">#REF!</definedName>
    <definedName name="\s" localSheetId="11">#REF!</definedName>
    <definedName name="\s">#REF!</definedName>
    <definedName name="\SF" localSheetId="7">#REF!</definedName>
    <definedName name="\SF" localSheetId="11">#REF!</definedName>
    <definedName name="\SF">#REF!</definedName>
    <definedName name="\t" localSheetId="7">#REF!</definedName>
    <definedName name="\t" localSheetId="11">#REF!</definedName>
    <definedName name="\t">#REF!</definedName>
    <definedName name="\u" localSheetId="7">'[2]teo model'!#REF!</definedName>
    <definedName name="\u" localSheetId="11">#REF!</definedName>
    <definedName name="\u">#REF!</definedName>
    <definedName name="\v" localSheetId="7">#REF!</definedName>
    <definedName name="\v" localSheetId="11">#REF!</definedName>
    <definedName name="\v">#REF!</definedName>
    <definedName name="\w" localSheetId="7">#REF!</definedName>
    <definedName name="\w" localSheetId="11">#REF!</definedName>
    <definedName name="\w">#REF!</definedName>
    <definedName name="\x" localSheetId="7">#REF!</definedName>
    <definedName name="\x" localSheetId="11">#REF!</definedName>
    <definedName name="\x">#REF!</definedName>
    <definedName name="\z" localSheetId="7">'[2]teo model'!#REF!</definedName>
    <definedName name="\z" localSheetId="11">#REF!</definedName>
    <definedName name="\z">#REF!</definedName>
    <definedName name="_" localSheetId="7">#REF!</definedName>
    <definedName name="_" localSheetId="11">#REF!</definedName>
    <definedName name="_">#REF!</definedName>
    <definedName name="__123Graph_A" localSheetId="11" hidden="1">'[6]NEW FINANCIALS'!#REF!</definedName>
    <definedName name="__123Graph_A" hidden="1">'[6]NEW FINANCIALS'!#REF!</definedName>
    <definedName name="__123Graph_ACANALI" localSheetId="11" hidden="1">[7]Canali!#REF!</definedName>
    <definedName name="__123Graph_ACANALI" hidden="1">[7]Canali!#REF!</definedName>
    <definedName name="__123Graph_ACHART7" localSheetId="11" hidden="1">[8]INTERBREW!#REF!</definedName>
    <definedName name="__123Graph_ACHART7" hidden="1">[8]INTERBREW!#REF!</definedName>
    <definedName name="__123Graph_ACRESC.ALL" localSheetId="11" hidden="1">'[7]Life M.S. 1'!#REF!</definedName>
    <definedName name="__123Graph_ACRESC.ALL" hidden="1">'[7]Life M.S. 1'!#REF!</definedName>
    <definedName name="__123Graph_ACRESCITA" hidden="1">'[9]premi totali'!$C$6:$C$19</definedName>
    <definedName name="__123Graph_ACURRENT" localSheetId="11" hidden="1">[8]INTERBREW!#REF!</definedName>
    <definedName name="__123Graph_ACURRENT" hidden="1">[8]INTERBREW!#REF!</definedName>
    <definedName name="__123Graph_APROFIT" localSheetId="11" hidden="1">'[6]NEW FINANCIALS'!#REF!</definedName>
    <definedName name="__123Graph_APROFIT" hidden="1">'[6]NEW FINANCIALS'!#REF!</definedName>
    <definedName name="__123Graph_ASEGMENTI" localSheetId="11" hidden="1">'[7]Life M.S. 1'!#REF!</definedName>
    <definedName name="__123Graph_ASEGMENTI" hidden="1">'[7]Life M.S. 1'!#REF!</definedName>
    <definedName name="__123Graph_B" localSheetId="7" hidden="1">#REF!</definedName>
    <definedName name="__123Graph_B" localSheetId="11" hidden="1">#REF!</definedName>
    <definedName name="__123Graph_B" hidden="1">#REF!</definedName>
    <definedName name="__123Graph_BPROFIT" localSheetId="7" hidden="1">#REF!</definedName>
    <definedName name="__123Graph_BPROFIT" localSheetId="11" hidden="1">#REF!</definedName>
    <definedName name="__123Graph_BPROFIT" hidden="1">#REF!</definedName>
    <definedName name="__123Graph_BSAIST" localSheetId="11" hidden="1">[10]yy!#REF!</definedName>
    <definedName name="__123Graph_BSAIST" hidden="1">[10]yy!#REF!</definedName>
    <definedName name="__123Graph_BTURNOVER" localSheetId="7" hidden="1">#REF!</definedName>
    <definedName name="__123Graph_BTURNOVER" localSheetId="11" hidden="1">#REF!</definedName>
    <definedName name="__123Graph_BTURNOVER" hidden="1">#REF!</definedName>
    <definedName name="__123Graph_C" localSheetId="7" hidden="1">#REF!</definedName>
    <definedName name="__123Graph_C" localSheetId="11" hidden="1">#REF!</definedName>
    <definedName name="__123Graph_C" hidden="1">#REF!</definedName>
    <definedName name="__123Graph_CPROFIT" localSheetId="7" hidden="1">#REF!</definedName>
    <definedName name="__123Graph_CPROFIT" localSheetId="11" hidden="1">#REF!</definedName>
    <definedName name="__123Graph_CPROFIT" hidden="1">#REF!</definedName>
    <definedName name="__123Graph_CTURNOVER" localSheetId="7" hidden="1">#REF!</definedName>
    <definedName name="__123Graph_CTURNOVER" localSheetId="11" hidden="1">#REF!</definedName>
    <definedName name="__123Graph_CTURNOVER" hidden="1">#REF!</definedName>
    <definedName name="__123Graph_D" localSheetId="7" hidden="1">#REF!</definedName>
    <definedName name="__123Graph_D" localSheetId="11" hidden="1">#REF!</definedName>
    <definedName name="__123Graph_D" hidden="1">#REF!</definedName>
    <definedName name="__123Graph_DPROFIT" localSheetId="7" hidden="1">#REF!</definedName>
    <definedName name="__123Graph_DPROFIT" localSheetId="11" hidden="1">#REF!</definedName>
    <definedName name="__123Graph_DPROFIT" hidden="1">#REF!</definedName>
    <definedName name="__123Graph_DTURNOVER" localSheetId="7" hidden="1">#REF!</definedName>
    <definedName name="__123Graph_DTURNOVER" localSheetId="11" hidden="1">#REF!</definedName>
    <definedName name="__123Graph_DTURNOVER" hidden="1">#REF!</definedName>
    <definedName name="__123Graph_LBL_ASEGMENTI" localSheetId="11" hidden="1">'[7]Life M.S. 1'!#REF!</definedName>
    <definedName name="__123Graph_LBL_ASEGMENTI" hidden="1">'[7]Life M.S. 1'!#REF!</definedName>
    <definedName name="__123Graph_X" hidden="1">'[9]premi totali'!$A$6:$A$19</definedName>
    <definedName name="__123Graph_XCANALI" localSheetId="11" hidden="1">[7]Canali!#REF!</definedName>
    <definedName name="__123Graph_XCANALI" hidden="1">[7]Canali!#REF!</definedName>
    <definedName name="__123Graph_XCRESC.ALL" localSheetId="11" hidden="1">'[7]Life M.S. 1'!#REF!</definedName>
    <definedName name="__123Graph_XCRESC.ALL" hidden="1">'[7]Life M.S. 1'!#REF!</definedName>
    <definedName name="__123Graph_XCRESCITA" hidden="1">'[9]premi totali'!$A$6:$A$19</definedName>
    <definedName name="__123Graph_XSEGMENTI" localSheetId="11" hidden="1">'[7]Life M.S. 1'!#REF!</definedName>
    <definedName name="__123Graph_XSEGMENTI" hidden="1">'[7]Life M.S. 1'!#REF!</definedName>
    <definedName name="_07_02_94" localSheetId="7">#REF!</definedName>
    <definedName name="_07_02_94" localSheetId="11">#REF!</definedName>
    <definedName name="_07_02_94">#REF!</definedName>
    <definedName name="_1_0EBITDA_Sh" localSheetId="11">[11]NOPAT_VDF!#REF!</definedName>
    <definedName name="_1_0EBITDA_Sh">[11]NOPAT_VDF!#REF!</definedName>
    <definedName name="_12_0FAMERangeDJ_BALA" localSheetId="11">[12]eva!#REF!</definedName>
    <definedName name="_12_0FAMERangeDJ_BALA">[12]eva!#REF!</definedName>
    <definedName name="_15_0FAMERangeDJ_BALA" localSheetId="11">[12]eva!#REF!</definedName>
    <definedName name="_15_0FAMERangeDJ_BALA">[12]eva!#REF!</definedName>
    <definedName name="_18_0FAMERangeDJ_BALA" localSheetId="11">[12]eva!#REF!</definedName>
    <definedName name="_18_0FAMERangeDJ_BALA">[12]eva!#REF!</definedName>
    <definedName name="_1997BB" localSheetId="7">#REF!</definedName>
    <definedName name="_1997BB" localSheetId="11">#REF!</definedName>
    <definedName name="_1997BB">#REF!</definedName>
    <definedName name="_1997PL" localSheetId="11">'[13]Qtly PL'!#REF!</definedName>
    <definedName name="_1997PL">'[13]Qtly PL'!#REF!</definedName>
    <definedName name="_1997PLQ" localSheetId="11">'[13]Qtly PL'!#REF!</definedName>
    <definedName name="_1997PLQ">'[13]Qtly PL'!#REF!</definedName>
    <definedName name="_1998BB" localSheetId="7">#REF!</definedName>
    <definedName name="_1998BB" localSheetId="11">#REF!</definedName>
    <definedName name="_1998BB">#REF!</definedName>
    <definedName name="_1998PL" localSheetId="11">'[13]Qtly PL'!#REF!</definedName>
    <definedName name="_1998PL">'[13]Qtly PL'!#REF!</definedName>
    <definedName name="_1998PLQ" localSheetId="11">'[13]Qtly PL'!#REF!</definedName>
    <definedName name="_1998PLQ">'[13]Qtly PL'!#REF!</definedName>
    <definedName name="_1999BB" localSheetId="7">#REF!</definedName>
    <definedName name="_1999BB" localSheetId="11">#REF!</definedName>
    <definedName name="_1999BB">#REF!</definedName>
    <definedName name="_1999PL" localSheetId="11">'[13]Qtly PL'!#REF!</definedName>
    <definedName name="_1999PL">'[13]Qtly PL'!#REF!</definedName>
    <definedName name="_1999PLQ" localSheetId="11">'[13]Qtly PL'!#REF!</definedName>
    <definedName name="_1999PLQ">'[13]Qtly PL'!#REF!</definedName>
    <definedName name="_2_0NOPAT_Sh" localSheetId="11">[11]NOPAT_VDF!#REF!</definedName>
    <definedName name="_2_0NOPAT_Sh">[11]NOPAT_VDF!#REF!</definedName>
    <definedName name="_2000BB" localSheetId="7">#REF!</definedName>
    <definedName name="_2000BB" localSheetId="11">#REF!</definedName>
    <definedName name="_2000BB">#REF!</definedName>
    <definedName name="_2000PL" localSheetId="11">'[13]Qtly PL'!#REF!</definedName>
    <definedName name="_2000PL">'[13]Qtly PL'!#REF!</definedName>
    <definedName name="_2000PLQ" localSheetId="11">'[13]Qtly PL'!#REF!</definedName>
    <definedName name="_2000PLQ">'[13]Qtly PL'!#REF!</definedName>
    <definedName name="_2001BB" localSheetId="7">#REF!</definedName>
    <definedName name="_2001BB" localSheetId="11">#REF!</definedName>
    <definedName name="_2001BB">#REF!</definedName>
    <definedName name="_2002BB" localSheetId="7">#REF!</definedName>
    <definedName name="_2002BB" localSheetId="11">#REF!</definedName>
    <definedName name="_2002BB">#REF!</definedName>
    <definedName name="_2002PL" localSheetId="11">'[13]Qtly PL'!#REF!</definedName>
    <definedName name="_2002PL">'[13]Qtly PL'!#REF!</definedName>
    <definedName name="_2002PLQ" localSheetId="11">'[13]Qtly PL'!#REF!</definedName>
    <definedName name="_2002PLQ">'[13]Qtly PL'!#REF!</definedName>
    <definedName name="_2003BB" localSheetId="7">#REF!</definedName>
    <definedName name="_2003BB" localSheetId="11">#REF!</definedName>
    <definedName name="_2003BB">#REF!</definedName>
    <definedName name="_2003PL" localSheetId="11">'[13]Qtly PL'!#REF!</definedName>
    <definedName name="_2003PL">'[13]Qtly PL'!#REF!</definedName>
    <definedName name="_2003PLQ" localSheetId="11">'[13]Qtly PL'!#REF!</definedName>
    <definedName name="_2003PLQ">'[13]Qtly PL'!#REF!</definedName>
    <definedName name="_2004BB" localSheetId="7">#REF!</definedName>
    <definedName name="_2004BB" localSheetId="11">#REF!</definedName>
    <definedName name="_2004BB">#REF!</definedName>
    <definedName name="_2004PL" localSheetId="11">'[13]Qtly PL'!#REF!</definedName>
    <definedName name="_2004PL">'[13]Qtly PL'!#REF!</definedName>
    <definedName name="_2004PLQ" localSheetId="11">'[13]Qtly PL'!#REF!</definedName>
    <definedName name="_2004PLQ">'[13]Qtly PL'!#REF!</definedName>
    <definedName name="_21_0FAMERangeGCI_BAL" localSheetId="11">[12]eva!#REF!</definedName>
    <definedName name="_21_0FAMERangeGCI_BAL">[12]eva!#REF!</definedName>
    <definedName name="_24_0Revenu" localSheetId="11">'[14]#REF'!#REF!</definedName>
    <definedName name="_24_0Revenu">'[14]#REF'!#REF!</definedName>
    <definedName name="_25_0SP" localSheetId="11">[15]INDEX!#REF!</definedName>
    <definedName name="_25_0SP">[15]INDEX!#REF!</definedName>
    <definedName name="_28_0UniqueRang" localSheetId="11">[12]eva!#REF!</definedName>
    <definedName name="_28_0UniqueRang">[12]eva!#REF!</definedName>
    <definedName name="_3_._0Gross_inc_gro" localSheetId="11">[11]NOPAT_VDF!#REF!</definedName>
    <definedName name="_3_._0Gross_inc_gro">[11]NOPAT_VDF!#REF!</definedName>
    <definedName name="_31_3_0Income_before_ta" localSheetId="11">[11]NOPAT_VDF!#REF!</definedName>
    <definedName name="_31_3_0Income_before_ta">[11]NOPAT_VDF!#REF!</definedName>
    <definedName name="_34_3_0Increase_in_other_liabilit" localSheetId="11">[11]NOPAT_VDF!#REF!</definedName>
    <definedName name="_34_3_0Increase_in_other_liabilit">[11]NOPAT_VDF!#REF!</definedName>
    <definedName name="_37_3_0Other_Segment_Reven" localSheetId="11">[11]NOPAT_VDF!#REF!</definedName>
    <definedName name="_37_3_0Other_Segment_Reven">[11]NOPAT_VDF!#REF!</definedName>
    <definedName name="_38B_0WES" localSheetId="11">[15]INDEX!#REF!</definedName>
    <definedName name="_38B_0WES">[15]INDEX!#REF!</definedName>
    <definedName name="_39q_0PAPE" localSheetId="11">[15]INDEX!#REF!</definedName>
    <definedName name="_39q_0PAPE">[15]INDEX!#REF!</definedName>
    <definedName name="_4_._0Restructuring_char" localSheetId="11">'[11]Invested capital_VDF'!#REF!</definedName>
    <definedName name="_4_._0Restructuring_char">'[11]Invested capital_VDF'!#REF!</definedName>
    <definedName name="_40r_0PAPSP" localSheetId="11">[15]INDEX!#REF!</definedName>
    <definedName name="_40r_0PAPSP">[15]INDEX!#REF!</definedName>
    <definedName name="_5_._0SGA_gro" localSheetId="11">[11]NOPAT_VDF!#REF!</definedName>
    <definedName name="_5_._0SGA_gro">[11]NOPAT_VDF!#REF!</definedName>
    <definedName name="_50__Special_Reserve" localSheetId="7">#REF!</definedName>
    <definedName name="_50__Special_Reserve" localSheetId="11">#REF!</definedName>
    <definedName name="_50__Special_Reserve">#REF!</definedName>
    <definedName name="_6_._0Shares_repurchase_liabil" localSheetId="11">'[11]Invested capital_VDF'!#REF!</definedName>
    <definedName name="_6_._0Shares_repurchase_liabil">'[11]Invested capital_VDF'!#REF!</definedName>
    <definedName name="_7sensitivity_module_.sensitivity" localSheetId="11">'16'!'![sensitivity module].sensitivity'</definedName>
    <definedName name="_7sensitivity_module_.sensitivity">'16'!'![sensitivity module].sensitivity'</definedName>
    <definedName name="_8__123Graph_ACHART_1" localSheetId="7" hidden="1">#REF!</definedName>
    <definedName name="_8__123Graph_ACHART_1" localSheetId="11" hidden="1">#REF!</definedName>
    <definedName name="_8__123Graph_ACHART_1" hidden="1">#REF!</definedName>
    <definedName name="_9__123Graph_XCHART_1" localSheetId="7" hidden="1">#REF!</definedName>
    <definedName name="_9__123Graph_XCHART_1" localSheetId="11" hidden="1">#REF!</definedName>
    <definedName name="_9__123Graph_XCHART_1" hidden="1">#REF!</definedName>
    <definedName name="_95_1" localSheetId="7">#REF!</definedName>
    <definedName name="_95_1" localSheetId="11">#REF!</definedName>
    <definedName name="_95_1">#REF!</definedName>
    <definedName name="_95_10" localSheetId="7">#REF!</definedName>
    <definedName name="_95_10" localSheetId="11">#REF!</definedName>
    <definedName name="_95_10">#REF!</definedName>
    <definedName name="_95_11" localSheetId="7">#REF!</definedName>
    <definedName name="_95_11" localSheetId="11">#REF!</definedName>
    <definedName name="_95_11">#REF!</definedName>
    <definedName name="_95_2" localSheetId="7">#REF!</definedName>
    <definedName name="_95_2" localSheetId="11">#REF!</definedName>
    <definedName name="_95_2">#REF!</definedName>
    <definedName name="_95_3" localSheetId="7">#REF!</definedName>
    <definedName name="_95_3" localSheetId="11">#REF!</definedName>
    <definedName name="_95_3">#REF!</definedName>
    <definedName name="_95_4" localSheetId="7">#REF!</definedName>
    <definedName name="_95_4" localSheetId="11">#REF!</definedName>
    <definedName name="_95_4">#REF!</definedName>
    <definedName name="_95_5" localSheetId="7">#REF!</definedName>
    <definedName name="_95_5" localSheetId="11">#REF!</definedName>
    <definedName name="_95_5">#REF!</definedName>
    <definedName name="_95_6" localSheetId="7">#REF!</definedName>
    <definedName name="_95_6" localSheetId="11">#REF!</definedName>
    <definedName name="_95_6">#REF!</definedName>
    <definedName name="_95_7" localSheetId="7">#REF!</definedName>
    <definedName name="_95_7" localSheetId="11">#REF!</definedName>
    <definedName name="_95_7">#REF!</definedName>
    <definedName name="_95_8" localSheetId="7">#REF!</definedName>
    <definedName name="_95_8" localSheetId="11">#REF!</definedName>
    <definedName name="_95_8">#REF!</definedName>
    <definedName name="_95_9" localSheetId="7">#REF!</definedName>
    <definedName name="_95_9" localSheetId="11">#REF!</definedName>
    <definedName name="_95_9">#REF!</definedName>
    <definedName name="_96_1" localSheetId="7">#REF!</definedName>
    <definedName name="_96_1" localSheetId="11">#REF!</definedName>
    <definedName name="_96_1">#REF!</definedName>
    <definedName name="_96_10" localSheetId="7">#REF!</definedName>
    <definedName name="_96_10" localSheetId="11">#REF!</definedName>
    <definedName name="_96_10">#REF!</definedName>
    <definedName name="_96_2" localSheetId="7">#REF!</definedName>
    <definedName name="_96_2" localSheetId="11">#REF!</definedName>
    <definedName name="_96_2">#REF!</definedName>
    <definedName name="_96_3" localSheetId="7">#REF!</definedName>
    <definedName name="_96_3" localSheetId="11">#REF!</definedName>
    <definedName name="_96_3">#REF!</definedName>
    <definedName name="_96_4" localSheetId="7">#REF!</definedName>
    <definedName name="_96_4" localSheetId="11">#REF!</definedName>
    <definedName name="_96_4">#REF!</definedName>
    <definedName name="_96_5" localSheetId="7">#REF!</definedName>
    <definedName name="_96_5" localSheetId="11">#REF!</definedName>
    <definedName name="_96_5">#REF!</definedName>
    <definedName name="_96_6" localSheetId="7">#REF!</definedName>
    <definedName name="_96_6" localSheetId="11">#REF!</definedName>
    <definedName name="_96_6">#REF!</definedName>
    <definedName name="_96_7" localSheetId="7">#REF!</definedName>
    <definedName name="_96_7" localSheetId="11">#REF!</definedName>
    <definedName name="_96_7">#REF!</definedName>
    <definedName name="_96_8" localSheetId="7">#REF!</definedName>
    <definedName name="_96_8" localSheetId="11">#REF!</definedName>
    <definedName name="_96_8">#REF!</definedName>
    <definedName name="_96_9" localSheetId="7">#REF!</definedName>
    <definedName name="_96_9" localSheetId="11">#REF!</definedName>
    <definedName name="_96_9">#REF!</definedName>
    <definedName name="_97_1" localSheetId="7">#REF!</definedName>
    <definedName name="_97_1" localSheetId="11">#REF!</definedName>
    <definedName name="_97_1">#REF!</definedName>
    <definedName name="_97_10" localSheetId="7">#REF!</definedName>
    <definedName name="_97_10" localSheetId="11">#REF!</definedName>
    <definedName name="_97_10">#REF!</definedName>
    <definedName name="_97_2" localSheetId="7">#REF!</definedName>
    <definedName name="_97_2" localSheetId="11">#REF!</definedName>
    <definedName name="_97_2">#REF!</definedName>
    <definedName name="_97_3" localSheetId="7">#REF!</definedName>
    <definedName name="_97_3" localSheetId="11">#REF!</definedName>
    <definedName name="_97_3">#REF!</definedName>
    <definedName name="_97_4" localSheetId="7">#REF!</definedName>
    <definedName name="_97_4" localSheetId="11">#REF!</definedName>
    <definedName name="_97_4">#REF!</definedName>
    <definedName name="_97_5" localSheetId="7">#REF!</definedName>
    <definedName name="_97_5" localSheetId="11">#REF!</definedName>
    <definedName name="_97_5">#REF!</definedName>
    <definedName name="_97_6" localSheetId="7">#REF!</definedName>
    <definedName name="_97_6" localSheetId="11">#REF!</definedName>
    <definedName name="_97_6">#REF!</definedName>
    <definedName name="_97_7" localSheetId="7">#REF!</definedName>
    <definedName name="_97_7" localSheetId="11">#REF!</definedName>
    <definedName name="_97_7">#REF!</definedName>
    <definedName name="_97_8" localSheetId="7">#REF!</definedName>
    <definedName name="_97_8" localSheetId="11">#REF!</definedName>
    <definedName name="_97_8">#REF!</definedName>
    <definedName name="_97_9" localSheetId="7">#REF!</definedName>
    <definedName name="_97_9" localSheetId="11">#REF!</definedName>
    <definedName name="_97_9">#REF!</definedName>
    <definedName name="_APL1" localSheetId="7">#REF!</definedName>
    <definedName name="_APL1" localSheetId="11">#REF!</definedName>
    <definedName name="_APL1">#REF!</definedName>
    <definedName name="_APL2" localSheetId="7">#REF!</definedName>
    <definedName name="_APL2" localSheetId="11">#REF!</definedName>
    <definedName name="_APL2">#REF!</definedName>
    <definedName name="_BEC202" localSheetId="11">[17]Products!#REF!</definedName>
    <definedName name="_BEC202">[17]Products!#REF!</definedName>
    <definedName name="_BEC203" localSheetId="11">[17]Products!#REF!</definedName>
    <definedName name="_BEC203">[17]Products!#REF!</definedName>
    <definedName name="_BEC204" localSheetId="11">[17]Products!#REF!</definedName>
    <definedName name="_BEC204">[17]Products!#REF!</definedName>
    <definedName name="_BEC205" localSheetId="11">[17]Products!#REF!</definedName>
    <definedName name="_BEC205">[17]Products!#REF!</definedName>
    <definedName name="_bis01" localSheetId="11">'[18]Annual Model'!#REF!</definedName>
    <definedName name="_bis01">'[18]Annual Model'!#REF!</definedName>
    <definedName name="_bis02" localSheetId="11">'[18]Annual Model'!#REF!</definedName>
    <definedName name="_bis02">'[18]Annual Model'!#REF!</definedName>
    <definedName name="_bis100" localSheetId="11">'[18]Annual Model'!#REF!</definedName>
    <definedName name="_bis100">'[18]Annual Model'!#REF!</definedName>
    <definedName name="_bis101" localSheetId="11">'[18]Annual Model'!#REF!</definedName>
    <definedName name="_bis101">'[18]Annual Model'!#REF!</definedName>
    <definedName name="_bis102" localSheetId="11">'[18]Annual Model'!#REF!</definedName>
    <definedName name="_bis102">'[18]Annual Model'!#REF!</definedName>
    <definedName name="_bis192">'[19]Annual Model'!$E$106</definedName>
    <definedName name="_bis193" localSheetId="7">#REF!</definedName>
    <definedName name="_bis193" localSheetId="11">#REF!</definedName>
    <definedName name="_bis193">#REF!</definedName>
    <definedName name="_bis194" localSheetId="7">#REF!</definedName>
    <definedName name="_bis194" localSheetId="11">#REF!</definedName>
    <definedName name="_bis194">#REF!</definedName>
    <definedName name="_bis195" localSheetId="7">#REF!</definedName>
    <definedName name="_bis195" localSheetId="11">#REF!</definedName>
    <definedName name="_bis195">#REF!</definedName>
    <definedName name="_bis196">'[19]Annual Model'!$L$106</definedName>
    <definedName name="_bis197" localSheetId="7">#REF!</definedName>
    <definedName name="_bis197" localSheetId="11">#REF!</definedName>
    <definedName name="_bis197">#REF!</definedName>
    <definedName name="_bis198" localSheetId="11">'[18]Annual Model'!#REF!</definedName>
    <definedName name="_bis198">'[18]Annual Model'!#REF!</definedName>
    <definedName name="_bis199" localSheetId="11">'[18]Annual Model'!#REF!</definedName>
    <definedName name="_bis199">'[18]Annual Model'!#REF!</definedName>
    <definedName name="_bis93" localSheetId="7">#REF!</definedName>
    <definedName name="_bis93" localSheetId="11">#REF!</definedName>
    <definedName name="_bis93">#REF!</definedName>
    <definedName name="_bis94" localSheetId="7">#REF!</definedName>
    <definedName name="_bis94" localSheetId="11">#REF!</definedName>
    <definedName name="_bis94">#REF!</definedName>
    <definedName name="_bis95" localSheetId="7">#REF!</definedName>
    <definedName name="_bis95" localSheetId="11">#REF!</definedName>
    <definedName name="_bis95">#REF!</definedName>
    <definedName name="_bis96">'[19]Annual Model'!$L$107</definedName>
    <definedName name="_bis97" localSheetId="7">#REF!</definedName>
    <definedName name="_bis97" localSheetId="11">#REF!</definedName>
    <definedName name="_bis97">#REF!</definedName>
    <definedName name="_bis98" localSheetId="11">'[18]Annual Model'!#REF!</definedName>
    <definedName name="_bis98">'[18]Annual Model'!#REF!</definedName>
    <definedName name="_bis99" localSheetId="11">'[18]Annual Model'!#REF!</definedName>
    <definedName name="_bis99">'[18]Annual Model'!#REF!</definedName>
    <definedName name="_CAP1">[20]EVA!$B$104</definedName>
    <definedName name="_cap93">'[19]Annual Model'!$F$12</definedName>
    <definedName name="_cap94">'[19]Annual Model'!$G$12</definedName>
    <definedName name="_cap95">'[19]Annual Model'!$I$12</definedName>
    <definedName name="_cap96">'[19]Annual Model'!$L$12</definedName>
    <definedName name="_cap97">'[19]Annual Model'!$N$12</definedName>
    <definedName name="_cap98" localSheetId="11">'[18]Annual Model'!#REF!</definedName>
    <definedName name="_cap98">'[18]Annual Model'!#REF!</definedName>
    <definedName name="_cir01">'[18]Annual Model'!$I$90</definedName>
    <definedName name="_cir02">'[18]Annual Model'!$J$90</definedName>
    <definedName name="_cir92">'[19]Annual Model'!$E$89</definedName>
    <definedName name="_cir93" localSheetId="7">#REF!</definedName>
    <definedName name="_cir93" localSheetId="11">#REF!</definedName>
    <definedName name="_cir93">#REF!</definedName>
    <definedName name="_cir94" localSheetId="7">#REF!</definedName>
    <definedName name="_cir94" localSheetId="11">#REF!</definedName>
    <definedName name="_cir94">#REF!</definedName>
    <definedName name="_cir95" localSheetId="7">#REF!</definedName>
    <definedName name="_cir95" localSheetId="11">#REF!</definedName>
    <definedName name="_cir95">#REF!</definedName>
    <definedName name="_cir96" localSheetId="7">#REF!</definedName>
    <definedName name="_cir96" localSheetId="11">#REF!</definedName>
    <definedName name="_cir96">#REF!</definedName>
    <definedName name="_cir97" localSheetId="7">#REF!</definedName>
    <definedName name="_cir97" localSheetId="11">#REF!</definedName>
    <definedName name="_cir97">#REF!</definedName>
    <definedName name="_cir98">'[18]Annual Model'!$E$90</definedName>
    <definedName name="_cir99">'[18]Annual Model'!$G$90</definedName>
    <definedName name="_com93">'[19]Annual Model'!$F$11</definedName>
    <definedName name="_com94">'[19]Annual Model'!$G$11</definedName>
    <definedName name="_com95">'[19]Annual Model'!$I$11</definedName>
    <definedName name="_com96">'[19]Annual Model'!$L$11</definedName>
    <definedName name="_com97">'[19]Annual Model'!$N$11</definedName>
    <definedName name="_com98" localSheetId="11">'[18]Annual Model'!#REF!</definedName>
    <definedName name="_com98">'[18]Annual Model'!#REF!</definedName>
    <definedName name="_DCF1" localSheetId="7">#REF!</definedName>
    <definedName name="_DCF1" localSheetId="11">#REF!</definedName>
    <definedName name="_DCF1">#REF!</definedName>
    <definedName name="_Div2000" localSheetId="11">'[21]Main model'!#REF!</definedName>
    <definedName name="_Div2000">'[21]Main model'!#REF!</definedName>
    <definedName name="_DIV86" localSheetId="11">[22]independent!#REF!</definedName>
    <definedName name="_DIV86">[22]independent!#REF!</definedName>
    <definedName name="_DIV87" localSheetId="11">[22]independent!#REF!</definedName>
    <definedName name="_DIV87">[22]independent!#REF!</definedName>
    <definedName name="_DIV88" localSheetId="11">[22]independent!#REF!</definedName>
    <definedName name="_DIV88">[22]independent!#REF!</definedName>
    <definedName name="_DIV89" localSheetId="11">[22]independent!#REF!</definedName>
    <definedName name="_DIV89">[22]independent!#REF!</definedName>
    <definedName name="_DIV90" localSheetId="11">[22]independent!#REF!</definedName>
    <definedName name="_DIV90">[22]independent!#REF!</definedName>
    <definedName name="_DIV91" localSheetId="11">[22]independent!#REF!</definedName>
    <definedName name="_DIV91">[22]independent!#REF!</definedName>
    <definedName name="_DIV92" localSheetId="11">[22]independent!#REF!</definedName>
    <definedName name="_DIV92">[22]independent!#REF!</definedName>
    <definedName name="_DIV93" localSheetId="11">[22]independent!#REF!</definedName>
    <definedName name="_DIV93">[22]independent!#REF!</definedName>
    <definedName name="_DIV94" localSheetId="11">[22]independent!#REF!</definedName>
    <definedName name="_DIV94">[22]independent!#REF!</definedName>
    <definedName name="_DIV95" localSheetId="11">[23]unitedx!#REF!</definedName>
    <definedName name="_DIV95">[23]unitedx!#REF!</definedName>
    <definedName name="_Div96" localSheetId="11">'[21]Main model'!#REF!</definedName>
    <definedName name="_Div96">'[21]Main model'!#REF!</definedName>
    <definedName name="_Div97" localSheetId="11">'[21]Main model'!#REF!</definedName>
    <definedName name="_Div97">'[21]Main model'!#REF!</definedName>
    <definedName name="_Div98" localSheetId="11">'[21]Main model'!#REF!</definedName>
    <definedName name="_Div98">'[21]Main model'!#REF!</definedName>
    <definedName name="_Div99" localSheetId="11">'[21]Main model'!#REF!</definedName>
    <definedName name="_Div99">'[21]Main model'!#REF!</definedName>
    <definedName name="_dps01">'[18]Annual Model'!$I$45</definedName>
    <definedName name="_dps02">'[18]Annual Model'!$J$45</definedName>
    <definedName name="_dps92">'[19]Annual Model'!$E$41</definedName>
    <definedName name="_dps93" localSheetId="7">#REF!</definedName>
    <definedName name="_dps93" localSheetId="11">#REF!</definedName>
    <definedName name="_dps93">#REF!</definedName>
    <definedName name="_dps94" localSheetId="7">#REF!</definedName>
    <definedName name="_dps94" localSheetId="11">#REF!</definedName>
    <definedName name="_dps94">#REF!</definedName>
    <definedName name="_dps95" localSheetId="7">#REF!</definedName>
    <definedName name="_dps95" localSheetId="11">#REF!</definedName>
    <definedName name="_dps95">#REF!</definedName>
    <definedName name="_dps96" localSheetId="7">#REF!</definedName>
    <definedName name="_dps96" localSheetId="11">#REF!</definedName>
    <definedName name="_dps96">#REF!</definedName>
    <definedName name="_dps97" localSheetId="7">#REF!</definedName>
    <definedName name="_dps97" localSheetId="11">#REF!</definedName>
    <definedName name="_dps97">#REF!</definedName>
    <definedName name="_dps98">'[18]Annual Model'!$E$51</definedName>
    <definedName name="_dps99">'[18]Annual Model'!$G$45</definedName>
    <definedName name="_end1" localSheetId="11">[16]!_xlbgnm.end1</definedName>
    <definedName name="_end1">[16]!_xlbgnm.end1</definedName>
    <definedName name="_eps01">'[18]Annual Model'!$I$34</definedName>
    <definedName name="_eps02">'[18]Annual Model'!$J$34</definedName>
    <definedName name="_eps03">'[19]Annual Model'!$AH$38</definedName>
    <definedName name="_EPS2000" localSheetId="11">'[21]Main model'!#REF!</definedName>
    <definedName name="_EPS2000">'[21]Main model'!#REF!</definedName>
    <definedName name="_EPS86" localSheetId="11">[22]independent!#REF!</definedName>
    <definedName name="_EPS86">[22]independent!#REF!</definedName>
    <definedName name="_EPS87" localSheetId="11">[22]independent!#REF!</definedName>
    <definedName name="_EPS87">[22]independent!#REF!</definedName>
    <definedName name="_EPS88" localSheetId="11">[22]independent!#REF!</definedName>
    <definedName name="_EPS88">[22]independent!#REF!</definedName>
    <definedName name="_EPS89" localSheetId="11">[22]independent!#REF!</definedName>
    <definedName name="_EPS89">[22]independent!#REF!</definedName>
    <definedName name="_EPS90" localSheetId="11">[22]independent!#REF!</definedName>
    <definedName name="_EPS90">[22]independent!#REF!</definedName>
    <definedName name="_eps91">[24]LOWQORF!$Y$176</definedName>
    <definedName name="_eps92">[24]LOWQORF!$AE$176</definedName>
    <definedName name="_eps93">[24]LOWQORF!$AK$176</definedName>
    <definedName name="_eps94" localSheetId="11">#REF!</definedName>
    <definedName name="_eps94">#REF!</definedName>
    <definedName name="_eps95" localSheetId="11">#REF!</definedName>
    <definedName name="_eps95">#REF!</definedName>
    <definedName name="_EPS96" localSheetId="11">'[21]Main model'!#REF!</definedName>
    <definedName name="_EPS96">'[21]Main model'!#REF!</definedName>
    <definedName name="_EPS97" localSheetId="11">'[21]Main model'!#REF!</definedName>
    <definedName name="_EPS97">'[21]Main model'!#REF!</definedName>
    <definedName name="_EPS98" localSheetId="11">'[21]Main model'!#REF!</definedName>
    <definedName name="_EPS98">'[21]Main model'!#REF!</definedName>
    <definedName name="_EPS99" localSheetId="11">'[21]Main model'!#REF!</definedName>
    <definedName name="_EPS99">'[21]Main model'!#REF!</definedName>
    <definedName name="_eta93">'[19]Annual Model'!$F$108</definedName>
    <definedName name="_eta94">'[19]Annual Model'!$G$108</definedName>
    <definedName name="_eta95">'[19]Annual Model'!$I$108</definedName>
    <definedName name="_eta96">'[19]Annual Model'!$L$108</definedName>
    <definedName name="_eta97">'[19]Annual Model'!$N$108</definedName>
    <definedName name="_eta98">'[19]Annual Model'!$P$108</definedName>
    <definedName name="_exp01">'[18]Annual Model'!$I$20</definedName>
    <definedName name="_exp02">'[18]Annual Model'!$J$20</definedName>
    <definedName name="_exp92">'[19]Annual Model'!$E$16</definedName>
    <definedName name="_exp93">'[19]Annual Model'!$F$16</definedName>
    <definedName name="_exp94">'[19]Annual Model'!$G$16</definedName>
    <definedName name="_exp95">'[19]Annual Model'!$I$16</definedName>
    <definedName name="_exp96" localSheetId="7">#REF!</definedName>
    <definedName name="_exp96" localSheetId="11">#REF!</definedName>
    <definedName name="_exp96">#REF!</definedName>
    <definedName name="_exp97" localSheetId="7">#REF!</definedName>
    <definedName name="_exp97" localSheetId="11">#REF!</definedName>
    <definedName name="_exp97">#REF!</definedName>
    <definedName name="_exp98">'[18]Annual Model'!$E$22</definedName>
    <definedName name="_exp99">'[18]Annual Model'!$G$20</definedName>
    <definedName name="_FCF2000" localSheetId="11">'[21]Main model'!#REF!</definedName>
    <definedName name="_FCF2000">'[21]Main model'!#REF!</definedName>
    <definedName name="_FCF96" localSheetId="11">'[21]Main model'!#REF!</definedName>
    <definedName name="_FCF96">'[21]Main model'!#REF!</definedName>
    <definedName name="_FCF97" localSheetId="11">'[21]Main model'!#REF!</definedName>
    <definedName name="_FCF97">'[21]Main model'!#REF!</definedName>
    <definedName name="_FCF98" localSheetId="11">'[21]Main model'!#REF!</definedName>
    <definedName name="_FCF98">'[21]Main model'!#REF!</definedName>
    <definedName name="_FCF99" localSheetId="11">'[21]Main model'!#REF!</definedName>
    <definedName name="_FCF99">'[21]Main model'!#REF!</definedName>
    <definedName name="_Fill" localSheetId="7" hidden="1">#REF!</definedName>
    <definedName name="_Fill" localSheetId="11" hidden="1">#REF!</definedName>
    <definedName name="_Fill" hidden="1">#REF!</definedName>
    <definedName name="_gen92">'[19]Annual Model'!$E$24</definedName>
    <definedName name="_gen93">'[19]Annual Model'!$F$24</definedName>
    <definedName name="_gen94">'[19]Annual Model'!$G$24</definedName>
    <definedName name="_gen95">'[19]Annual Model'!$I$24</definedName>
    <definedName name="_gop01">'[18]Annual Model'!$I$21</definedName>
    <definedName name="_gop02">'[18]Annual Model'!$J$21</definedName>
    <definedName name="_gop92">'[19]Annual Model'!$E$21</definedName>
    <definedName name="_gop93" localSheetId="7">#REF!</definedName>
    <definedName name="_gop93" localSheetId="11">#REF!</definedName>
    <definedName name="_gop93">#REF!</definedName>
    <definedName name="_gop94" localSheetId="7">#REF!</definedName>
    <definedName name="_gop94" localSheetId="11">#REF!</definedName>
    <definedName name="_gop94">#REF!</definedName>
    <definedName name="_gop95" localSheetId="7">#REF!</definedName>
    <definedName name="_gop95" localSheetId="11">#REF!</definedName>
    <definedName name="_gop95">#REF!</definedName>
    <definedName name="_gop96" localSheetId="7">#REF!</definedName>
    <definedName name="_gop96" localSheetId="11">#REF!</definedName>
    <definedName name="_gop96">#REF!</definedName>
    <definedName name="_gop97" localSheetId="7">#REF!</definedName>
    <definedName name="_gop97" localSheetId="11">#REF!</definedName>
    <definedName name="_gop97">#REF!</definedName>
    <definedName name="_gop98">'[18]Annual Model'!$E$27</definedName>
    <definedName name="_gop99">'[18]Annual Model'!$G$21</definedName>
    <definedName name="_GOTO_EZ1_" localSheetId="11">[3]Geographic!#REF!</definedName>
    <definedName name="_GOTO_EZ1_">[3]Geographic!#REF!</definedName>
    <definedName name="_inc87">[24]LOWQORF!$C$165</definedName>
    <definedName name="_inc88">[24]LOWQORF!$G$165</definedName>
    <definedName name="_inc89">[24]LOWQORF!$M$165</definedName>
    <definedName name="_inc90">[24]LOWQORF!$S$165</definedName>
    <definedName name="_inc91">[24]LOWQORF!$Y$165</definedName>
    <definedName name="_inc92">[24]LOWQORF!$AE$165</definedName>
    <definedName name="_inc93">[24]LOWQORF!$AK$165</definedName>
    <definedName name="_inc94">[24]LOWQORF!$AQ$165</definedName>
    <definedName name="_inc95">[24]LOWQORF!$AW$165</definedName>
    <definedName name="_inc96">[24]LOWQORF!$BC$165</definedName>
    <definedName name="_int96" localSheetId="7">#REF!</definedName>
    <definedName name="_int96" localSheetId="11">#REF!</definedName>
    <definedName name="_int96">#REF!</definedName>
    <definedName name="_Key1" localSheetId="7" hidden="1">#REF!</definedName>
    <definedName name="_Key1" localSheetId="11" hidden="1">#REF!</definedName>
    <definedName name="_Key1" hidden="1">#REF!</definedName>
    <definedName name="_llr01" localSheetId="11">'[18]Annual Model'!#REF!</definedName>
    <definedName name="_llr01">'[18]Annual Model'!#REF!</definedName>
    <definedName name="_llr02" localSheetId="11">'[18]Annual Model'!#REF!</definedName>
    <definedName name="_llr02">'[18]Annual Model'!#REF!</definedName>
    <definedName name="_llr96">'[19]Annual Model'!$L$84</definedName>
    <definedName name="_llr98" localSheetId="11">'[18]Annual Model'!#REF!</definedName>
    <definedName name="_llr98">'[18]Annual Model'!#REF!</definedName>
    <definedName name="_llr99" localSheetId="11">'[18]Annual Model'!#REF!</definedName>
    <definedName name="_llr99">'[18]Annual Model'!#REF!</definedName>
    <definedName name="_ly2" localSheetId="7">#REF!</definedName>
    <definedName name="_ly2" localSheetId="11">#REF!</definedName>
    <definedName name="_ly2">#REF!</definedName>
    <definedName name="_MDX44702" localSheetId="11">[17]Products!#REF!</definedName>
    <definedName name="_MDX44702">[17]Products!#REF!</definedName>
    <definedName name="_MDX44703" localSheetId="11">[17]Products!#REF!</definedName>
    <definedName name="_MDX44703">[17]Products!#REF!</definedName>
    <definedName name="_MDX44704" localSheetId="11">[17]Products!#REF!</definedName>
    <definedName name="_MDX44704">[17]Products!#REF!</definedName>
    <definedName name="_MDX44705" localSheetId="11">[17]Products!#REF!</definedName>
    <definedName name="_MDX44705">[17]Products!#REF!</definedName>
    <definedName name="_mi01">'[18]Annual Model'!$I$30</definedName>
    <definedName name="_mi02">'[18]Annual Model'!$J$30</definedName>
    <definedName name="_mi93">'[19]Annual Model'!$F$35</definedName>
    <definedName name="_mi94">'[19]Annual Model'!$G$35</definedName>
    <definedName name="_mi95">'[19]Annual Model'!$I$35</definedName>
    <definedName name="_mi96">'[19]Annual Model'!$L$35</definedName>
    <definedName name="_mi97">'[19]Annual Model'!$N$35</definedName>
    <definedName name="_mi98">'[18]Annual Model'!$E$37</definedName>
    <definedName name="_mi99">'[18]Annual Model'!$G$30</definedName>
    <definedName name="_nav97" localSheetId="7">#REF!</definedName>
    <definedName name="_nav97" localSheetId="11">#REF!</definedName>
    <definedName name="_nav97">#REF!</definedName>
    <definedName name="_nav98" localSheetId="7">#REF!</definedName>
    <definedName name="_nav98" localSheetId="11">#REF!</definedName>
    <definedName name="_nav98">#REF!</definedName>
    <definedName name="_Net2000" localSheetId="11">'[21]Main model'!#REF!</definedName>
    <definedName name="_Net2000">'[21]Main model'!#REF!</definedName>
    <definedName name="_Net96" localSheetId="11">'[21]Main model'!#REF!</definedName>
    <definedName name="_Net96">'[21]Main model'!#REF!</definedName>
    <definedName name="_Net97" localSheetId="11">'[21]Main model'!#REF!</definedName>
    <definedName name="_Net97">'[21]Main model'!#REF!</definedName>
    <definedName name="_Net98" localSheetId="11">'[21]Main model'!#REF!</definedName>
    <definedName name="_Net98">'[21]Main model'!#REF!</definedName>
    <definedName name="_Net99" localSheetId="11">'[21]Main model'!#REF!</definedName>
    <definedName name="_Net99">'[21]Main model'!#REF!</definedName>
    <definedName name="_new92">'[19]Annual Model'!$E$23</definedName>
    <definedName name="_new93">'[19]Annual Model'!$F$23</definedName>
    <definedName name="_new94">'[19]Annual Model'!$G$23</definedName>
    <definedName name="_new95">'[19]Annual Model'!$I$23</definedName>
    <definedName name="_nim01">'[18]Annual Model'!$I$13</definedName>
    <definedName name="_nim02">'[18]Annual Model'!$J$13</definedName>
    <definedName name="_nim92">'[19]Annual Model'!$E$9</definedName>
    <definedName name="_nim93" localSheetId="7">#REF!</definedName>
    <definedName name="_nim93" localSheetId="11">#REF!</definedName>
    <definedName name="_nim93">#REF!</definedName>
    <definedName name="_nim94" localSheetId="7">#REF!</definedName>
    <definedName name="_nim94" localSheetId="11">#REF!</definedName>
    <definedName name="_nim94">#REF!</definedName>
    <definedName name="_nim95" localSheetId="7">#REF!</definedName>
    <definedName name="_nim95" localSheetId="11">#REF!</definedName>
    <definedName name="_nim95">#REF!</definedName>
    <definedName name="_nim96" localSheetId="7">#REF!</definedName>
    <definedName name="_nim96" localSheetId="11">#REF!</definedName>
    <definedName name="_nim96">#REF!</definedName>
    <definedName name="_nim97" localSheetId="7">#REF!</definedName>
    <definedName name="_nim97" localSheetId="11">#REF!</definedName>
    <definedName name="_nim97">#REF!</definedName>
    <definedName name="_nim98">'[18]Annual Model'!$E$13</definedName>
    <definedName name="_nim99">'[18]Annual Model'!$G$13</definedName>
    <definedName name="_nop01">'[19]Annual Model'!$Z$28</definedName>
    <definedName name="_nop02">'[19]Annual Model'!$AD$28</definedName>
    <definedName name="_nop92">'[19]Annual Model'!$E$28</definedName>
    <definedName name="_nop93">'[19]Annual Model'!$F$28</definedName>
    <definedName name="_nop94">'[19]Annual Model'!$G$28</definedName>
    <definedName name="_nop95">'[19]Annual Model'!$I$28</definedName>
    <definedName name="_nop96">'[19]Annual Model'!$L$28</definedName>
    <definedName name="_nop97">'[19]Annual Model'!$N$28</definedName>
    <definedName name="_nop98">'[19]Annual Model'!$P$28</definedName>
    <definedName name="_nop99">'[19]Annual Model'!$R$28</definedName>
    <definedName name="_NP86" localSheetId="11">[22]independent!#REF!</definedName>
    <definedName name="_NP86">[22]independent!#REF!</definedName>
    <definedName name="_NP87" localSheetId="11">[22]independent!#REF!</definedName>
    <definedName name="_NP87">[22]independent!#REF!</definedName>
    <definedName name="_NP88" localSheetId="11">[22]independent!#REF!</definedName>
    <definedName name="_NP88">[22]independent!#REF!</definedName>
    <definedName name="_NP89" localSheetId="11">[22]independent!#REF!</definedName>
    <definedName name="_NP89">[22]independent!#REF!</definedName>
    <definedName name="_NP90" localSheetId="11">[22]independent!#REF!</definedName>
    <definedName name="_NP90">[22]independent!#REF!</definedName>
    <definedName name="_NP91" localSheetId="11">[22]independent!#REF!</definedName>
    <definedName name="_NP91">[22]independent!#REF!</definedName>
    <definedName name="_NP92" localSheetId="11">[22]independent!#REF!</definedName>
    <definedName name="_NP92">[22]independent!#REF!</definedName>
    <definedName name="_NP93" localSheetId="11">[22]independent!#REF!</definedName>
    <definedName name="_NP93">[22]independent!#REF!</definedName>
    <definedName name="_NP94" localSheetId="11">[22]independent!#REF!</definedName>
    <definedName name="_NP94">[22]independent!#REF!</definedName>
    <definedName name="_NP95" localSheetId="11">[23]unitedx!#REF!</definedName>
    <definedName name="_NP95">[23]unitedx!#REF!</definedName>
    <definedName name="_NP96" localSheetId="11">[23]unitedx!#REF!</definedName>
    <definedName name="_NP96">[23]unitedx!#REF!</definedName>
    <definedName name="_NP97" localSheetId="11">[23]unitedx!#REF!</definedName>
    <definedName name="_NP97">[23]unitedx!#REF!</definedName>
    <definedName name="_NP98" localSheetId="11">[23]unitedx!#REF!</definedName>
    <definedName name="_NP98">[23]unitedx!#REF!</definedName>
    <definedName name="_NP99" localSheetId="11">[23]unitedx!#REF!</definedName>
    <definedName name="_NP99">[23]unitedx!#REF!</definedName>
    <definedName name="_npa93" localSheetId="7">#REF!</definedName>
    <definedName name="_npa93" localSheetId="11">#REF!</definedName>
    <definedName name="_npa93">#REF!</definedName>
    <definedName name="_npa94" localSheetId="7">#REF!</definedName>
    <definedName name="_npa94" localSheetId="11">#REF!</definedName>
    <definedName name="_npa94">#REF!</definedName>
    <definedName name="_npa95" localSheetId="7">#REF!</definedName>
    <definedName name="_npa95" localSheetId="11">#REF!</definedName>
    <definedName name="_npa95">#REF!</definedName>
    <definedName name="_npa96" localSheetId="7">#REF!</definedName>
    <definedName name="_npa96" localSheetId="11">#REF!</definedName>
    <definedName name="_npa96">#REF!</definedName>
    <definedName name="_npa97" localSheetId="7">#REF!</definedName>
    <definedName name="_npa97" localSheetId="11">#REF!</definedName>
    <definedName name="_npa97">#REF!</definedName>
    <definedName name="_npl93" localSheetId="7">#REF!</definedName>
    <definedName name="_npl93" localSheetId="11">#REF!</definedName>
    <definedName name="_npl93">#REF!</definedName>
    <definedName name="_npl94" localSheetId="7">#REF!</definedName>
    <definedName name="_npl94" localSheetId="11">#REF!</definedName>
    <definedName name="_npl94">#REF!</definedName>
    <definedName name="_npl95" localSheetId="7">#REF!</definedName>
    <definedName name="_npl95" localSheetId="11">#REF!</definedName>
    <definedName name="_npl95">#REF!</definedName>
    <definedName name="_npl96" localSheetId="7">#REF!</definedName>
    <definedName name="_npl96" localSheetId="11">#REF!</definedName>
    <definedName name="_npl96">#REF!</definedName>
    <definedName name="_npl97" localSheetId="7">#REF!</definedName>
    <definedName name="_npl97" localSheetId="11">#REF!</definedName>
    <definedName name="_npl97">#REF!</definedName>
    <definedName name="_npl98">'[19]Annual Model'!$P$80</definedName>
    <definedName name="_NS86" localSheetId="11">[22]independent!#REF!</definedName>
    <definedName name="_NS86">[22]independent!#REF!</definedName>
    <definedName name="_NS87" localSheetId="11">[22]independent!#REF!</definedName>
    <definedName name="_NS87">[22]independent!#REF!</definedName>
    <definedName name="_NS88" localSheetId="11">[22]independent!#REF!</definedName>
    <definedName name="_NS88">[22]independent!#REF!</definedName>
    <definedName name="_NS89" localSheetId="11">[22]independent!#REF!</definedName>
    <definedName name="_NS89">[22]independent!#REF!</definedName>
    <definedName name="_NS90" localSheetId="11">[22]independent!#REF!</definedName>
    <definedName name="_NS90">[22]independent!#REF!</definedName>
    <definedName name="_NS91" localSheetId="11">[22]independent!#REF!</definedName>
    <definedName name="_NS91">[22]independent!#REF!</definedName>
    <definedName name="_NS92" localSheetId="11">[22]independent!#REF!</definedName>
    <definedName name="_NS92">[22]independent!#REF!</definedName>
    <definedName name="_NS93" localSheetId="11">[22]independent!#REF!</definedName>
    <definedName name="_NS93">[22]independent!#REF!</definedName>
    <definedName name="_NS94" localSheetId="11">[22]independent!#REF!</definedName>
    <definedName name="_NS94">[22]independent!#REF!</definedName>
    <definedName name="_NS95" localSheetId="11">[23]unitedx!#REF!</definedName>
    <definedName name="_NS95">[23]unitedx!#REF!</definedName>
    <definedName name="_NS96" localSheetId="11">[23]unitedx!#REF!</definedName>
    <definedName name="_NS96">[23]unitedx!#REF!</definedName>
    <definedName name="_NS97" localSheetId="11">[23]unitedx!#REF!</definedName>
    <definedName name="_NS97">[23]unitedx!#REF!</definedName>
    <definedName name="_NS98" localSheetId="11">[23]unitedx!#REF!</definedName>
    <definedName name="_NS98">[23]unitedx!#REF!</definedName>
    <definedName name="_NS99" localSheetId="11">[23]unitedx!#REF!</definedName>
    <definedName name="_NS99">[23]unitedx!#REF!</definedName>
    <definedName name="_Order1" hidden="1">255</definedName>
    <definedName name="_pe95" localSheetId="11">#REF!</definedName>
    <definedName name="_pe95">#REF!</definedName>
    <definedName name="_pe96" localSheetId="7">#REF!</definedName>
    <definedName name="_pe96" localSheetId="11">#REF!</definedName>
    <definedName name="_pe96">#REF!</definedName>
    <definedName name="_pe97" localSheetId="7">#REF!</definedName>
    <definedName name="_pe97" localSheetId="11">#REF!</definedName>
    <definedName name="_pe97">#REF!</definedName>
    <definedName name="_pe98" localSheetId="7">#REF!</definedName>
    <definedName name="_pe98" localSheetId="11">#REF!</definedName>
    <definedName name="_pe98">#REF!</definedName>
    <definedName name="_PL1" localSheetId="7">#REF!</definedName>
    <definedName name="_PL1" localSheetId="11">#REF!</definedName>
    <definedName name="_PL1">#REF!</definedName>
    <definedName name="_PL96" localSheetId="11">[25]MARKET!#REF!</definedName>
    <definedName name="_PL96">[25]MARKET!#REF!</definedName>
    <definedName name="_PL97" localSheetId="11">[25]MARKET!#REF!</definedName>
    <definedName name="_PL97">[25]MARKET!#REF!</definedName>
    <definedName name="_PL98" localSheetId="11">[25]MARKET!#REF!</definedName>
    <definedName name="_PL98">[25]MARKET!#REF!</definedName>
    <definedName name="_PL99" localSheetId="11">[25]MARKET!#REF!</definedName>
    <definedName name="_PL99">[25]MARKET!#REF!</definedName>
    <definedName name="_pri93" localSheetId="7">#REF!</definedName>
    <definedName name="_pri93" localSheetId="11">#REF!</definedName>
    <definedName name="_pri93">#REF!</definedName>
    <definedName name="_pri94" localSheetId="7">#REF!</definedName>
    <definedName name="_pri94" localSheetId="11">#REF!</definedName>
    <definedName name="_pri94">#REF!</definedName>
    <definedName name="_pri95" localSheetId="7">#REF!</definedName>
    <definedName name="_pri95" localSheetId="11">#REF!</definedName>
    <definedName name="_pri95">#REF!</definedName>
    <definedName name="_pri96" localSheetId="7">#REF!</definedName>
    <definedName name="_pri96" localSheetId="11">#REF!</definedName>
    <definedName name="_pri96">#REF!</definedName>
    <definedName name="_pri97" localSheetId="7">#REF!</definedName>
    <definedName name="_pri97" localSheetId="11">#REF!</definedName>
    <definedName name="_pri97">#REF!</definedName>
    <definedName name="_q1" localSheetId="7">#REF!</definedName>
    <definedName name="_q1" localSheetId="11">#REF!</definedName>
    <definedName name="_q1">#REF!</definedName>
    <definedName name="_Regression_Int" hidden="1">1</definedName>
    <definedName name="_Regression_X" hidden="1">[26]VITA!$F$157:$M$167</definedName>
    <definedName name="_Regression_Y" hidden="1">[26]VITA!$R$162:$R$167</definedName>
    <definedName name="_roa01" localSheetId="11">'[18]Annual Model'!#REF!</definedName>
    <definedName name="_roa01">'[18]Annual Model'!#REF!</definedName>
    <definedName name="_roa02" localSheetId="11">'[18]Annual Model'!#REF!</definedName>
    <definedName name="_roa02">'[18]Annual Model'!#REF!</definedName>
    <definedName name="_roa93" localSheetId="7">#REF!</definedName>
    <definedName name="_roa93" localSheetId="11">#REF!</definedName>
    <definedName name="_roa93">#REF!</definedName>
    <definedName name="_roa94" localSheetId="7">#REF!</definedName>
    <definedName name="_roa94" localSheetId="11">#REF!</definedName>
    <definedName name="_roa94">#REF!</definedName>
    <definedName name="_roa95" localSheetId="7">#REF!</definedName>
    <definedName name="_roa95" localSheetId="11">#REF!</definedName>
    <definedName name="_roa95">#REF!</definedName>
    <definedName name="_roa96" localSheetId="7">#REF!</definedName>
    <definedName name="_roa96" localSheetId="11">#REF!</definedName>
    <definedName name="_roa96">#REF!</definedName>
    <definedName name="_roa97" localSheetId="7">#REF!</definedName>
    <definedName name="_roa97" localSheetId="11">#REF!</definedName>
    <definedName name="_roa97">#REF!</definedName>
    <definedName name="_roa98" localSheetId="11">'[18]Annual Model'!#REF!</definedName>
    <definedName name="_roa98">'[18]Annual Model'!#REF!</definedName>
    <definedName name="_roa99" localSheetId="11">'[18]Annual Model'!#REF!</definedName>
    <definedName name="_roa99">'[18]Annual Model'!#REF!</definedName>
    <definedName name="_roe01">'[18]Annual Model'!$I$85</definedName>
    <definedName name="_roe02">'[18]Annual Model'!$J$85</definedName>
    <definedName name="_roe92">'[19]Annual Model'!$E$98</definedName>
    <definedName name="_roe93" localSheetId="7">#REF!</definedName>
    <definedName name="_roe93" localSheetId="11">#REF!</definedName>
    <definedName name="_roe93">#REF!</definedName>
    <definedName name="_roe94" localSheetId="7">#REF!</definedName>
    <definedName name="_roe94" localSheetId="11">#REF!</definedName>
    <definedName name="_roe94">#REF!</definedName>
    <definedName name="_roe95" localSheetId="7">#REF!</definedName>
    <definedName name="_roe95" localSheetId="11">#REF!</definedName>
    <definedName name="_roe95">#REF!</definedName>
    <definedName name="_roe96" localSheetId="7">#REF!</definedName>
    <definedName name="_roe96" localSheetId="11">#REF!</definedName>
    <definedName name="_roe96">#REF!</definedName>
    <definedName name="_roe97" localSheetId="7">#REF!</definedName>
    <definedName name="_roe97" localSheetId="11">#REF!</definedName>
    <definedName name="_roe97">#REF!</definedName>
    <definedName name="_roe98">'[18]Annual Model'!$E$97</definedName>
    <definedName name="_roe99">'[18]Annual Model'!$G$85</definedName>
    <definedName name="_sls90">[24]LOWQORF!$S$13</definedName>
    <definedName name="_sls91">[24]LOWQORF!$Y$13</definedName>
    <definedName name="_sls92">[24]LOWQORF!$AE$13</definedName>
    <definedName name="_sls93">[24]LOWQORF!$AK$13</definedName>
    <definedName name="_sls94">[24]LOWQORF!$AQ$13</definedName>
    <definedName name="_sls95">[24]LOWEXP!$AA$58</definedName>
    <definedName name="_sls96">[24]LOWQORF!$BC$13</definedName>
    <definedName name="_Sort" localSheetId="7" hidden="1">#REF!</definedName>
    <definedName name="_Sort" localSheetId="11" hidden="1">#REF!</definedName>
    <definedName name="_Sort" hidden="1">#REF!</definedName>
    <definedName name="_Table2_Out" localSheetId="7" hidden="1">#REF!</definedName>
    <definedName name="_Table2_Out" localSheetId="11" hidden="1">#REF!</definedName>
    <definedName name="_Table2_Out" hidden="1">#REF!</definedName>
    <definedName name="_tax01">'[18]Annual Model'!$I$29</definedName>
    <definedName name="_tax02">'[18]Annual Model'!$J$29</definedName>
    <definedName name="_tax93" localSheetId="7">#REF!</definedName>
    <definedName name="_tax93" localSheetId="11">#REF!</definedName>
    <definedName name="_tax93">#REF!</definedName>
    <definedName name="_tax94" localSheetId="7">#REF!</definedName>
    <definedName name="_tax94" localSheetId="11">#REF!</definedName>
    <definedName name="_tax94">#REF!</definedName>
    <definedName name="_tax95" localSheetId="7">#REF!</definedName>
    <definedName name="_tax95" localSheetId="11">#REF!</definedName>
    <definedName name="_tax95">#REF!</definedName>
    <definedName name="_tax96" localSheetId="7">#REF!</definedName>
    <definedName name="_tax96" localSheetId="11">#REF!</definedName>
    <definedName name="_tax96">#REF!</definedName>
    <definedName name="_tax97" localSheetId="7">#REF!</definedName>
    <definedName name="_tax97" localSheetId="11">#REF!</definedName>
    <definedName name="_tax97">#REF!</definedName>
    <definedName name="_tax98">'[18]Annual Model'!$E$36</definedName>
    <definedName name="_tax99">'[18]Annual Model'!$G$29</definedName>
    <definedName name="_total" localSheetId="11">'[27]Income Statement Summary'!#REF!</definedName>
    <definedName name="_total">'[27]Income Statement Summary'!#REF!</definedName>
    <definedName name="_tpa01" localSheetId="11">'[18]Annual Model'!#REF!</definedName>
    <definedName name="_tpa01">'[18]Annual Model'!#REF!</definedName>
    <definedName name="_tpa02" localSheetId="11">'[18]Annual Model'!#REF!</definedName>
    <definedName name="_tpa02">'[18]Annual Model'!#REF!</definedName>
    <definedName name="_tpa98" localSheetId="11">'[18]Annual Model'!#REF!</definedName>
    <definedName name="_tpa98">'[18]Annual Model'!#REF!</definedName>
    <definedName name="_tpa99" localSheetId="11">'[18]Annual Model'!#REF!</definedName>
    <definedName name="_tpa99">'[18]Annual Model'!#REF!</definedName>
    <definedName name="_vol93" localSheetId="7">#REF!</definedName>
    <definedName name="_vol93" localSheetId="11">#REF!</definedName>
    <definedName name="_vol93">#REF!</definedName>
    <definedName name="_vol94" localSheetId="7">#REF!</definedName>
    <definedName name="_vol94" localSheetId="11">#REF!</definedName>
    <definedName name="_vol94">#REF!</definedName>
    <definedName name="_vol95" localSheetId="7">#REF!</definedName>
    <definedName name="_vol95" localSheetId="11">#REF!</definedName>
    <definedName name="_vol95">#REF!</definedName>
    <definedName name="_vol96" localSheetId="7">#REF!</definedName>
    <definedName name="_vol96" localSheetId="11">#REF!</definedName>
    <definedName name="_vol96">#REF!</definedName>
    <definedName name="_vol97" localSheetId="7">#REF!</definedName>
    <definedName name="_vol97" localSheetId="11">#REF!</definedName>
    <definedName name="_vol97">#REF!</definedName>
    <definedName name="_WHO2" localSheetId="6" hidden="1">{#N/A,#N/A,FALSE,"SUMMARY";#N/A,#N/A,FALSE,"DETAIL";#N/A,#N/A,FALSE,"VARIANCE"}</definedName>
    <definedName name="_WHO2" localSheetId="7" hidden="1">{#N/A,#N/A,FALSE,"SUMMARY";#N/A,#N/A,FALSE,"DETAIL";#N/A,#N/A,FALSE,"VARIANCE"}</definedName>
    <definedName name="_WHO2" localSheetId="4" hidden="1">{#N/A,#N/A,FALSE,"SUMMARY";#N/A,#N/A,FALSE,"DETAIL";#N/A,#N/A,FALSE,"VARIANCE"}</definedName>
    <definedName name="_WHO2" localSheetId="3" hidden="1">{#N/A,#N/A,FALSE,"SUMMARY";#N/A,#N/A,FALSE,"DETAIL";#N/A,#N/A,FALSE,"VARIANCE"}</definedName>
    <definedName name="_WHO2" localSheetId="11" hidden="1">{#N/A,#N/A,FALSE,"SUMMARY";#N/A,#N/A,FALSE,"DETAIL";#N/A,#N/A,FALSE,"VARIANCE"}</definedName>
    <definedName name="_WHO2" hidden="1">{#N/A,#N/A,FALSE,"SUMMARY";#N/A,#N/A,FALSE,"DETAIL";#N/A,#N/A,FALSE,"VARIANCE"}</definedName>
    <definedName name="a" localSheetId="6" hidden="1">{#N/A,#N/A,FALSE,"Sheet1";#N/A,#N/A,FALSE,"Sheet2";#N/A,#N/A,FALSE,"Sheet3";#N/A,#N/A,FALSE,"Sheet4";#N/A,#N/A,FALSE,"Sheet5";#N/A,#N/A,FALSE,"Sheet6"}</definedName>
    <definedName name="a" localSheetId="7" hidden="1">#REF!</definedName>
    <definedName name="a" localSheetId="4" hidden="1">{#N/A,#N/A,FALSE,"Sheet1";#N/A,#N/A,FALSE,"Sheet2";#N/A,#N/A,FALSE,"Sheet3";#N/A,#N/A,FALSE,"Sheet4";#N/A,#N/A,FALSE,"Sheet5";#N/A,#N/A,FALSE,"Sheet6"}</definedName>
    <definedName name="a" localSheetId="3" hidden="1">{#N/A,#N/A,FALSE,"Sheet1";#N/A,#N/A,FALSE,"Sheet2";#N/A,#N/A,FALSE,"Sheet3";#N/A,#N/A,FALSE,"Sheet4";#N/A,#N/A,FALSE,"Sheet5";#N/A,#N/A,FALSE,"Sheet6"}</definedName>
    <definedName name="a" localSheetId="11" hidden="1">{#N/A,#N/A,FALSE,"Sheet1";#N/A,#N/A,FALSE,"Sheet2";#N/A,#N/A,FALSE,"Sheet3";#N/A,#N/A,FALSE,"Sheet4";#N/A,#N/A,FALSE,"Sheet5";#N/A,#N/A,FALSE,"Sheet6"}</definedName>
    <definedName name="a" hidden="1">{#N/A,#N/A,FALSE,"Sheet1";#N/A,#N/A,FALSE,"Sheet2";#N/A,#N/A,FALSE,"Sheet3";#N/A,#N/A,FALSE,"Sheet4";#N/A,#N/A,FALSE,"Sheet5";#N/A,#N/A,FALSE,"Sheet6"}</definedName>
    <definedName name="A_ALL_ADSGn.DE">#REF!</definedName>
    <definedName name="A_ALL_ADSGn.DE_">#REF!</definedName>
    <definedName name="A_ALL_KEYWORDS_TYPE_ScalarContributed_EQTY_200001863">#REF!,#REF!,#REF!</definedName>
    <definedName name="A_ALL_KEYWORDS_TYPE_ScalarContributed_EQTY_200006738">[28]BRBY.L_Annotation_Sheet!$366:$375,[28]BRBY.L_Annotation_Sheet!$415:$417</definedName>
    <definedName name="A_ALL_KEYWORDS_TYPE_ScalarContributed_ISSR_208000693">#REF!,#REF!</definedName>
    <definedName name="A_ALL_KEYWORDS_TYPE_Vector_EQTY_200001863">#REF!,#REF!,#REF!,#REF!,#REF!</definedName>
    <definedName name="A_ALL_KEYWORDS_TYPE_Vector_EQTY_200006738">[28]BRBY.L_Annotation_Sheet!$390:$405,[28]BRBY.L_Annotation_Sheet!$407:$409,[28]BRBY.L_Annotation_Sheet!$411:$411,[28]BRBY.L_Annotation_Sheet!$413:$413,[28]BRBY.L_Annotation_Sheet!$377:$388</definedName>
    <definedName name="A_ALL_KEYWORDS_TYPE_Vector_ISSR_208000693">#REF!,#REF!,#REF!,#REF!,#REF!,#REF!,#REF!,#REF!,#REF!,#REF!,#REF!,#REF!,#REF!,#REF!,#REF!,#REF!</definedName>
    <definedName name="A_ALL_KEYWORDS_TYPE_Vector_ISSR_208001980">[28]BRBY.L_Annotation_Sheet!$2:$3,[28]BRBY.L_Annotation_Sheet!$11:$29,[28]BRBY.L_Annotation_Sheet!$31:$39,[28]BRBY.L_Annotation_Sheet!$41:$68,[28]BRBY.L_Annotation_Sheet!$70:$82,[28]BRBY.L_Annotation_Sheet!$84:$100,[28]BRBY.L_Annotation_Sheet!$102:$114,[28]BRBY.L_Annotation_Sheet!$116:$116,[28]BRBY.L_Annotation_Sheet!$118:$118,[28]BRBY.L_Annotation_Sheet!$120:$121,[28]BRBY.L_Annotation_Sheet!$123:$127,[28]BRBY.L_Annotation_Sheet!$132:$133,[28]BRBY.L_Annotation_Sheet!$137:$137,[28]BRBY.L_Annotation_Sheet!$160:$163,[28]BRBY.L_Annotation_Sheet!$165:$169,[28]BRBY.L_Annotation_Sheet!$174:$175,[28]BRBY.L_Annotation_Sheet!$179:$179,[28]BRBY.L_Annotation_Sheet!$202:$203,[28]BRBY.L_Annotation_Sheet!$356:$356,[28]BRBY.L_Annotation_Sheet!$145:$156,[28]BRBY.L_Annotation_Sheet!$187:$198,[28]BRBY.L_Annotation_Sheet!$241:$244,[28]BRBY.L_Annotation_Sheet!$263:$266,[28]BRBY.L_Annotation_Sheet!$141:$142,[28]BRBY.L_Annotation_Sheet!$183:$184,[28]BRBY.L_Annotation_Sheet!$341:$354,[28]BRBY.L_Annotation_Sheet!$304:$312,[28]BRBY.L_Annotation_Sheet!$314:$339</definedName>
    <definedName name="A_ALL_SECTION_KEYWORDS_EQTY_200001863_13A">#REF!</definedName>
    <definedName name="A_ALL_SECTION_KEYWORDS_EQTY_200001863_13K">#REF!</definedName>
    <definedName name="A_ALL_SECTION_KEYWORDS_ISSR_208000693_1314">#REF!</definedName>
    <definedName name="A_ALL_SECTION_KEYWORDS_ISSR_208000693_1319">#REF!</definedName>
    <definedName name="A_ALL_SECTION_KEYWORDS_ISSR_208000693_131E">#REF!</definedName>
    <definedName name="A_ALL_SECTION_KEYWORDS_ISSR_208000693_13V">#REF!,#REF!</definedName>
    <definedName name="A_ALL_SECTIONS_EQTY_200006738">[28]BRBY.L_Annotation_Sheet!$358:$358,[28]BRBY.L_Annotation_Sheet!$365:$365,[28]BRBY.L_Annotation_Sheet!$376:$376,[28]BRBY.L_Annotation_Sheet!$389:$389,[28]BRBY.L_Annotation_Sheet!$406:$406,[28]BRBY.L_Annotation_Sheet!$410:$410,[28]BRBY.L_Annotation_Sheet!$412:$412,[28]BRBY.L_Annotation_Sheet!$414:$414</definedName>
    <definedName name="A_EBIT">'[29]EBIT model'!$AI$6</definedName>
    <definedName name="A_Sales">'[29]EBIT model'!$AF$6</definedName>
    <definedName name="aa" localSheetId="7">#REF!</definedName>
    <definedName name="aa" localSheetId="11">#REF!</definedName>
    <definedName name="aa">#REF!</definedName>
    <definedName name="aaa" localSheetId="7" hidden="1">{#N/A,#N/A,FALSE,"Annual Earnings Model";#N/A,#N/A,FALSE,"Quarterly Earnings Model";#N/A,#N/A,FALSE,"Header";#N/A,#N/A,FALSE,"Notes"}</definedName>
    <definedName name="aaa" localSheetId="4" hidden="1">{#N/A,#N/A,FALSE,"Annual Earnings Model";#N/A,#N/A,FALSE,"Quarterly Earnings Model";#N/A,#N/A,FALSE,"Header";#N/A,#N/A,FALSE,"Notes"}</definedName>
    <definedName name="aaa" hidden="1">{#N/A,#N/A,FALSE,"Annual Earnings Model";#N/A,#N/A,FALSE,"Quarterly Earnings Model";#N/A,#N/A,FALSE,"Header";#N/A,#N/A,FALSE,"Notes"}</definedName>
    <definedName name="AAA_DOCTOPS" hidden="1">"AAA_SET"</definedName>
    <definedName name="AAA_duser" hidden="1">"OFF"</definedName>
    <definedName name="aaaa" localSheetId="7" hidden="1">{#N/A,#N/A,FALSE,"Annual Model";#N/A,#N/A,FALSE,"Quarterly Model";#N/A,#N/A,FALSE,"Header";#N/A,#N/A,FALSE,"Notes"}</definedName>
    <definedName name="aaaa" localSheetId="4" hidden="1">{#N/A,#N/A,FALSE,"Annual Model";#N/A,#N/A,FALSE,"Quarterly Model";#N/A,#N/A,FALSE,"Header";#N/A,#N/A,FALSE,"Notes"}</definedName>
    <definedName name="aaaa" hidden="1">{#N/A,#N/A,FALSE,"Annual Model";#N/A,#N/A,FALSE,"Quarterly Model";#N/A,#N/A,FALSE,"Header";#N/A,#N/A,FALSE,"Notes"}</definedName>
    <definedName name="aaaAnnual">'[19]Annual Model'!$A$1:$Z$109</definedName>
    <definedName name="aaaDirectLine" localSheetId="11">'[30]Annual Model'!#REF!</definedName>
    <definedName name="aaaDirectLine">'[30]Annual Model'!#REF!</definedName>
    <definedName name="aaaheader" localSheetId="7">#REF!</definedName>
    <definedName name="aaaheader" localSheetId="11">#REF!</definedName>
    <definedName name="aaaheader">#REF!</definedName>
    <definedName name="aaaInterim9495" localSheetId="7">#REF!</definedName>
    <definedName name="aaaInterim9495" localSheetId="11">#REF!</definedName>
    <definedName name="aaaInterim9495">#REF!</definedName>
    <definedName name="aaaInterim9596" localSheetId="7">#REF!</definedName>
    <definedName name="aaaInterim9596" localSheetId="11">#REF!</definedName>
    <definedName name="aaaInterim9596">#REF!</definedName>
    <definedName name="aaaInterim9697" localSheetId="7">#REF!</definedName>
    <definedName name="aaaInterim9697" localSheetId="11">#REF!</definedName>
    <definedName name="aaaInterim9697">#REF!</definedName>
    <definedName name="aaainterin9497" localSheetId="7">#REF!</definedName>
    <definedName name="aaainterin9497" localSheetId="11">#REF!</definedName>
    <definedName name="aaainterin9497">#REF!</definedName>
    <definedName name="aaamodel" localSheetId="7">#REF!</definedName>
    <definedName name="aaamodel" localSheetId="11">#REF!</definedName>
    <definedName name="aaamodel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7">#REF!</definedName>
    <definedName name="ab" localSheetId="11">#REF!</definedName>
    <definedName name="ab">#REF!</definedName>
    <definedName name="Abbey_deal" localSheetId="7">#REF!</definedName>
    <definedName name="Abbey_deal" localSheetId="11">#REF!</definedName>
    <definedName name="Abbey_deal">#REF!</definedName>
    <definedName name="abc" localSheetId="6" hidden="1">{#N/A,#N/A,FALSE,"Sheet1";#N/A,#N/A,FALSE,"Sheet2";#N/A,#N/A,FALSE,"Sheet3";#N/A,#N/A,FALSE,"Sheet4";#N/A,#N/A,FALSE,"Sheet5";#N/A,#N/A,FALSE,"Sheet6"}</definedName>
    <definedName name="abc" localSheetId="7" hidden="1">#REF!</definedName>
    <definedName name="abc" localSheetId="4" hidden="1">{#N/A,#N/A,FALSE,"Sheet1";#N/A,#N/A,FALSE,"Sheet2";#N/A,#N/A,FALSE,"Sheet3";#N/A,#N/A,FALSE,"Sheet4";#N/A,#N/A,FALSE,"Sheet5";#N/A,#N/A,FALSE,"Sheet6"}</definedName>
    <definedName name="abc" localSheetId="3" hidden="1">{#N/A,#N/A,FALSE,"Sheet1";#N/A,#N/A,FALSE,"Sheet2";#N/A,#N/A,FALSE,"Sheet3";#N/A,#N/A,FALSE,"Sheet4";#N/A,#N/A,FALSE,"Sheet5";#N/A,#N/A,FALSE,"Sheet6"}</definedName>
    <definedName name="abc" localSheetId="11" hidden="1">{#N/A,#N/A,FALSE,"Sheet1";#N/A,#N/A,FALSE,"Sheet2";#N/A,#N/A,FALSE,"Sheet3";#N/A,#N/A,FALSE,"Sheet4";#N/A,#N/A,FALSE,"Sheet5";#N/A,#N/A,FALSE,"Sheet6"}</definedName>
    <definedName name="abc" hidden="1">{#N/A,#N/A,FALSE,"Sheet1";#N/A,#N/A,FALSE,"Sheet2";#N/A,#N/A,FALSE,"Sheet3";#N/A,#N/A,FALSE,"Sheet4";#N/A,#N/A,FALSE,"Sheet5";#N/A,#N/A,FALSE,"Sheet6"}</definedName>
    <definedName name="Acc_payable_growth_fore" localSheetId="7">#REF!</definedName>
    <definedName name="Acc_payable_growth_fore" localSheetId="11">#REF!</definedName>
    <definedName name="Acc_payable_growth_fore">#REF!</definedName>
    <definedName name="Acc_Rec_growth_fore" localSheetId="7">#REF!</definedName>
    <definedName name="Acc_Rec_growth_fore" localSheetId="11">#REF!</definedName>
    <definedName name="Acc_Rec_growth_fore">#REF!</definedName>
    <definedName name="Accounts_payable" localSheetId="7">#REF!</definedName>
    <definedName name="Accounts_payable" localSheetId="11">#REF!</definedName>
    <definedName name="Accounts_payable">#REF!</definedName>
    <definedName name="Accounts_receivable" localSheetId="7">#REF!</definedName>
    <definedName name="Accounts_receivable" localSheetId="11">#REF!</definedName>
    <definedName name="Accounts_receivable">#REF!</definedName>
    <definedName name="Accrued_compensation_growth_fore" localSheetId="7">#REF!</definedName>
    <definedName name="Accrued_compensation_growth_fore" localSheetId="11">#REF!</definedName>
    <definedName name="Accrued_compensation_growth_fore">#REF!</definedName>
    <definedName name="Accrued_Expenditure" localSheetId="7">#REF!</definedName>
    <definedName name="Accrued_Expenditure" localSheetId="11">#REF!</definedName>
    <definedName name="Accrued_Expenditure">#REF!</definedName>
    <definedName name="Accrued_expenses_and_other_current_liabilities" localSheetId="7">#REF!</definedName>
    <definedName name="Accrued_expenses_and_other_current_liabilities" localSheetId="11">#REF!</definedName>
    <definedName name="Accrued_expenses_and_other_current_liabilities">#REF!</definedName>
    <definedName name="Accrued_expenses_growth_fore" localSheetId="7">#REF!</definedName>
    <definedName name="Accrued_expenses_growth_fore" localSheetId="11">#REF!</definedName>
    <definedName name="Accrued_expenses_growth_fore">#REF!</definedName>
    <definedName name="Accum_Cap_Expenses_growth_fore" localSheetId="7">#REF!</definedName>
    <definedName name="Accum_Cap_Expenses_growth_fore" localSheetId="11">#REF!</definedName>
    <definedName name="Accum_Cap_Expenses_growth_fore">#REF!</definedName>
    <definedName name="Accum_Goodwill_Amort_growth_fore" localSheetId="7">#REF!</definedName>
    <definedName name="Accum_Goodwill_Amort_growth_fore" localSheetId="11">#REF!</definedName>
    <definedName name="Accum_Goodwill_Amort_growth_fore">#REF!</definedName>
    <definedName name="AcellularPert.AndOrHIBPaedComboCons00" localSheetId="7">#REF!</definedName>
    <definedName name="AcellularPert.AndOrHIBPaedComboCons00" localSheetId="11">#REF!</definedName>
    <definedName name="AcellularPert.AndOrHIBPaedComboCons00">#REF!</definedName>
    <definedName name="AcellularPert.AndOrHIBPaedComboCons01" localSheetId="7">#REF!</definedName>
    <definedName name="AcellularPert.AndOrHIBPaedComboCons01" localSheetId="11">#REF!</definedName>
    <definedName name="AcellularPert.AndOrHIBPaedComboCons01">#REF!</definedName>
    <definedName name="AcellularPert.AndOrHIBPaedComboCons02" localSheetId="7">#REF!</definedName>
    <definedName name="AcellularPert.AndOrHIBPaedComboCons02" localSheetId="11">#REF!</definedName>
    <definedName name="AcellularPert.AndOrHIBPaedComboCons02">#REF!</definedName>
    <definedName name="AcellularPert.AndOrHIBPaedComboCons03" localSheetId="7">#REF!</definedName>
    <definedName name="AcellularPert.AndOrHIBPaedComboCons03" localSheetId="11">#REF!</definedName>
    <definedName name="AcellularPert.AndOrHIBPaedComboCons03">#REF!</definedName>
    <definedName name="AcellularPert.AndOrHIBPaedComboCons04" localSheetId="7">#REF!</definedName>
    <definedName name="AcellularPert.AndOrHIBPaedComboCons04" localSheetId="11">#REF!</definedName>
    <definedName name="AcellularPert.AndOrHIBPaedComboCons04">#REF!</definedName>
    <definedName name="AcellularPert.AndOrHIBPaedComboCons05" localSheetId="7">#REF!</definedName>
    <definedName name="AcellularPert.AndOrHIBPaedComboCons05" localSheetId="11">#REF!</definedName>
    <definedName name="AcellularPert.AndOrHIBPaedComboCons05">#REF!</definedName>
    <definedName name="AcellularPert.AndOrHIBPaedComboCons97" localSheetId="7">#REF!</definedName>
    <definedName name="AcellularPert.AndOrHIBPaedComboCons97" localSheetId="11">#REF!</definedName>
    <definedName name="AcellularPert.AndOrHIBPaedComboCons97">#REF!</definedName>
    <definedName name="AcellularPert.AndOrHIBPaedComboCons98" localSheetId="7">#REF!</definedName>
    <definedName name="AcellularPert.AndOrHIBPaedComboCons98" localSheetId="11">#REF!</definedName>
    <definedName name="AcellularPert.AndOrHIBPaedComboCons98">#REF!</definedName>
    <definedName name="AcellularPert.AndOrHIBPaedComboCons99" localSheetId="7">#REF!</definedName>
    <definedName name="AcellularPert.AndOrHIBPaedComboCons99" localSheetId="11">#REF!</definedName>
    <definedName name="AcellularPert.AndOrHIBPaedComboCons99">#REF!</definedName>
    <definedName name="AcellularPert.AndOrHIBPaedComboNotCons00" localSheetId="7">#REF!</definedName>
    <definedName name="AcellularPert.AndOrHIBPaedComboNotCons00" localSheetId="11">#REF!</definedName>
    <definedName name="AcellularPert.AndOrHIBPaedComboNotCons00">#REF!</definedName>
    <definedName name="AcellularPert.AndOrHIBPaedComboNotCons01" localSheetId="7">#REF!</definedName>
    <definedName name="AcellularPert.AndOrHIBPaedComboNotCons01" localSheetId="11">#REF!</definedName>
    <definedName name="AcellularPert.AndOrHIBPaedComboNotCons01">#REF!</definedName>
    <definedName name="AcellularPert.AndOrHIBPaedComboNotCons02" localSheetId="7">#REF!</definedName>
    <definedName name="AcellularPert.AndOrHIBPaedComboNotCons02" localSheetId="11">#REF!</definedName>
    <definedName name="AcellularPert.AndOrHIBPaedComboNotCons02">#REF!</definedName>
    <definedName name="AcellularPert.AndOrHIBPaedComboNotCons03" localSheetId="7">#REF!</definedName>
    <definedName name="AcellularPert.AndOrHIBPaedComboNotCons03" localSheetId="11">#REF!</definedName>
    <definedName name="AcellularPert.AndOrHIBPaedComboNotCons03">#REF!</definedName>
    <definedName name="AcellularPert.AndOrHIBPaedComboNotCons04" localSheetId="7">#REF!</definedName>
    <definedName name="AcellularPert.AndOrHIBPaedComboNotCons04" localSheetId="11">#REF!</definedName>
    <definedName name="AcellularPert.AndOrHIBPaedComboNotCons04">#REF!</definedName>
    <definedName name="AcellularPert.AndOrHIBPaedComboNotCons05" localSheetId="7">#REF!</definedName>
    <definedName name="AcellularPert.AndOrHIBPaedComboNotCons05" localSheetId="11">#REF!</definedName>
    <definedName name="AcellularPert.AndOrHIBPaedComboNotCons05">#REF!</definedName>
    <definedName name="AcellularPert.AndOrHIBPaedComboNotCons97" localSheetId="7">#REF!</definedName>
    <definedName name="AcellularPert.AndOrHIBPaedComboNotCons97" localSheetId="11">#REF!</definedName>
    <definedName name="AcellularPert.AndOrHIBPaedComboNotCons97">#REF!</definedName>
    <definedName name="AcellularPert.AndOrHIBPaedComboNotCons98" localSheetId="7">#REF!</definedName>
    <definedName name="AcellularPert.AndOrHIBPaedComboNotCons98" localSheetId="11">#REF!</definedName>
    <definedName name="AcellularPert.AndOrHIBPaedComboNotCons98">#REF!</definedName>
    <definedName name="AcellularPert.AndOrHIBPaedComboNotCons99" localSheetId="7">#REF!</definedName>
    <definedName name="AcellularPert.AndOrHIBPaedComboNotCons99" localSheetId="11">#REF!</definedName>
    <definedName name="AcellularPert.AndOrHIBPaedComboNotCons99">#REF!</definedName>
    <definedName name="AcqAndDispDatabase" localSheetId="11">[31]!AcqAndDispDatabase</definedName>
    <definedName name="AcqAndDispDatabase">[31]!AcqAndDispDatabase</definedName>
    <definedName name="Acquisition_divestments" localSheetId="7">#REF!</definedName>
    <definedName name="Acquisition_divestments" localSheetId="11">#REF!</definedName>
    <definedName name="Acquisition_divestments">#REF!</definedName>
    <definedName name="AcquisitionCashflows" localSheetId="7">#REF!</definedName>
    <definedName name="AcquisitionCashflows" localSheetId="11">#REF!</definedName>
    <definedName name="AcquisitionCashflows">#REF!</definedName>
    <definedName name="Acquisitions" localSheetId="7">#REF!</definedName>
    <definedName name="Acquisitions" localSheetId="11">#REF!</definedName>
    <definedName name="Acquisitions">#REF!</definedName>
    <definedName name="act" localSheetId="7">#REF!</definedName>
    <definedName name="act" localSheetId="11">#REF!</definedName>
    <definedName name="act">#REF!</definedName>
    <definedName name="ActonelOptinate00" localSheetId="7">#REF!</definedName>
    <definedName name="ActonelOptinate00" localSheetId="11">#REF!</definedName>
    <definedName name="ActonelOptinate00">#REF!</definedName>
    <definedName name="ActonelOptinate01" localSheetId="7">#REF!</definedName>
    <definedName name="ActonelOptinate01" localSheetId="11">#REF!</definedName>
    <definedName name="ActonelOptinate01">#REF!</definedName>
    <definedName name="ActonelOptinate02" localSheetId="7">#REF!</definedName>
    <definedName name="ActonelOptinate02" localSheetId="11">#REF!</definedName>
    <definedName name="ActonelOptinate02">#REF!</definedName>
    <definedName name="ActonelOptinate03" localSheetId="7">#REF!</definedName>
    <definedName name="ActonelOptinate03" localSheetId="11">#REF!</definedName>
    <definedName name="ActonelOptinate03">#REF!</definedName>
    <definedName name="ActonelOptinate04" localSheetId="7">#REF!</definedName>
    <definedName name="ActonelOptinate04" localSheetId="11">#REF!</definedName>
    <definedName name="ActonelOptinate04">#REF!</definedName>
    <definedName name="ActonelOptinate05" localSheetId="7">#REF!</definedName>
    <definedName name="ActonelOptinate05" localSheetId="11">#REF!</definedName>
    <definedName name="ActonelOptinate05">#REF!</definedName>
    <definedName name="ActonelOptinate97" localSheetId="7">#REF!</definedName>
    <definedName name="ActonelOptinate97" localSheetId="11">#REF!</definedName>
    <definedName name="ActonelOptinate97">#REF!</definedName>
    <definedName name="ActonelOptinate98" localSheetId="7">#REF!</definedName>
    <definedName name="ActonelOptinate98" localSheetId="11">#REF!</definedName>
    <definedName name="ActonelOptinate98">#REF!</definedName>
    <definedName name="ActonelOptinate99" localSheetId="7">#REF!</definedName>
    <definedName name="ActonelOptinate99" localSheetId="11">#REF!</definedName>
    <definedName name="ActonelOptinate99">#REF!</definedName>
    <definedName name="actvsfcst" localSheetId="7">#REF!</definedName>
    <definedName name="actvsfcst" localSheetId="11">#REF!</definedName>
    <definedName name="actvsfcst">#REF!</definedName>
    <definedName name="ad" localSheetId="6" hidden="1">{#N/A,#N/A,FALSE,"Sheet1";#N/A,#N/A,FALSE,"Sheet2";#N/A,#N/A,FALSE,"Sheet3";#N/A,#N/A,FALSE,"Sheet4";#N/A,#N/A,FALSE,"Sheet5";#N/A,#N/A,FALSE,"Sheet6"}</definedName>
    <definedName name="ad" localSheetId="7" hidden="1">#REF!</definedName>
    <definedName name="ad" localSheetId="4" hidden="1">{#N/A,#N/A,FALSE,"Sheet1";#N/A,#N/A,FALSE,"Sheet2";#N/A,#N/A,FALSE,"Sheet3";#N/A,#N/A,FALSE,"Sheet4";#N/A,#N/A,FALSE,"Sheet5";#N/A,#N/A,FALSE,"Sheet6"}</definedName>
    <definedName name="ad" localSheetId="3" hidden="1">{#N/A,#N/A,FALSE,"Sheet1";#N/A,#N/A,FALSE,"Sheet2";#N/A,#N/A,FALSE,"Sheet3";#N/A,#N/A,FALSE,"Sheet4";#N/A,#N/A,FALSE,"Sheet5";#N/A,#N/A,FALSE,"Sheet6"}</definedName>
    <definedName name="ad" localSheetId="11" hidden="1">{#N/A,#N/A,FALSE,"Sheet1";#N/A,#N/A,FALSE,"Sheet2";#N/A,#N/A,FALSE,"Sheet3";#N/A,#N/A,FALSE,"Sheet4";#N/A,#N/A,FALSE,"Sheet5";#N/A,#N/A,FALSE,"Sheet6"}</definedName>
    <definedName name="ad" hidden="1">{#N/A,#N/A,FALSE,"Sheet1";#N/A,#N/A,FALSE,"Sheet2";#N/A,#N/A,FALSE,"Sheet3";#N/A,#N/A,FALSE,"Sheet4";#N/A,#N/A,FALSE,"Sheet5";#N/A,#N/A,FALSE,"Sheet6"}</definedName>
    <definedName name="Adancor00" localSheetId="11">[17]Products!#REF!</definedName>
    <definedName name="Adancor00">[17]Products!#REF!</definedName>
    <definedName name="Adancor01" localSheetId="11">[17]Products!#REF!</definedName>
    <definedName name="Adancor01">[17]Products!#REF!</definedName>
    <definedName name="Adancor97" localSheetId="11">[17]Products!#REF!</definedName>
    <definedName name="Adancor97">[17]Products!#REF!</definedName>
    <definedName name="Adancor98" localSheetId="11">[17]Products!#REF!</definedName>
    <definedName name="Adancor98">[17]Products!#REF!</definedName>
    <definedName name="Adancor99" localSheetId="11">[17]Products!#REF!</definedName>
    <definedName name="Adancor99">[17]Products!#REF!</definedName>
    <definedName name="adcd" localSheetId="6" hidden="1">{#N/A,#N/A,FALSE,"Sheet8";#N/A,#N/A,FALSE,"Sheet7"}</definedName>
    <definedName name="adcd" localSheetId="7" hidden="1">{#N/A,#N/A,FALSE,"Sheet8";#N/A,#N/A,FALSE,"Sheet7"}</definedName>
    <definedName name="adcd" localSheetId="4" hidden="1">{#N/A,#N/A,FALSE,"Sheet8";#N/A,#N/A,FALSE,"Sheet7"}</definedName>
    <definedName name="adcd" localSheetId="3" hidden="1">{#N/A,#N/A,FALSE,"Sheet8";#N/A,#N/A,FALSE,"Sheet7"}</definedName>
    <definedName name="adcd" localSheetId="11" hidden="1">{#N/A,#N/A,FALSE,"Sheet8";#N/A,#N/A,FALSE,"Sheet7"}</definedName>
    <definedName name="adcd" hidden="1">{#N/A,#N/A,FALSE,"Sheet8";#N/A,#N/A,FALSE,"Sheet7"}</definedName>
    <definedName name="ADDED_VALUE" localSheetId="7">#REF!</definedName>
    <definedName name="ADDED_VALUE" localSheetId="11">#REF!</definedName>
    <definedName name="ADDED_VALUE">#REF!</definedName>
    <definedName name="Additional_paid_in_capital" localSheetId="7">#REF!</definedName>
    <definedName name="Additional_paid_in_capital" localSheetId="11">#REF!</definedName>
    <definedName name="Additional_paid_in_capital">#REF!</definedName>
    <definedName name="adf" localSheetId="7">#REF!</definedName>
    <definedName name="adf" localSheetId="11">#REF!</definedName>
    <definedName name="adf">#REF!</definedName>
    <definedName name="Adj_net_oper_fore" localSheetId="7">#REF!</definedName>
    <definedName name="Adj_net_oper_fore" localSheetId="11">#REF!</definedName>
    <definedName name="Adj_net_oper_fore">#REF!</definedName>
    <definedName name="Adjusted_EPS" localSheetId="11">[32]Figures!#REF!</definedName>
    <definedName name="Adjusted_EPS">[32]Figures!#REF!</definedName>
    <definedName name="Adjusted_EPS_1">'[33]underlying EPS'!$C$31:$U$44</definedName>
    <definedName name="Adjusted_Net_Operating_Profit">[34]NOPAT_VDF!$C$26:$AU$26</definedName>
    <definedName name="admin93" localSheetId="7">#REF!</definedName>
    <definedName name="admin93" localSheetId="11">#REF!</definedName>
    <definedName name="admin93">#REF!</definedName>
    <definedName name="admin94" localSheetId="7">#REF!</definedName>
    <definedName name="admin94" localSheetId="11">#REF!</definedName>
    <definedName name="admin94">#REF!</definedName>
    <definedName name="admin95" localSheetId="7">#REF!</definedName>
    <definedName name="admin95" localSheetId="11">#REF!</definedName>
    <definedName name="admin95">#REF!</definedName>
    <definedName name="admin96" localSheetId="7">#REF!</definedName>
    <definedName name="admin96" localSheetId="11">#REF!</definedName>
    <definedName name="admin96">#REF!</definedName>
    <definedName name="admin97" localSheetId="7">#REF!</definedName>
    <definedName name="admin97" localSheetId="11">#REF!</definedName>
    <definedName name="admin97">#REF!</definedName>
    <definedName name="admin98" localSheetId="11">'[18]Annual Model'!#REF!</definedName>
    <definedName name="admin98">'[18]Annual Model'!#REF!</definedName>
    <definedName name="Akzo_Nobel___Balance_Sheet_Summary_1988___1998E__DFLm">[35]Publish!$A$155:$K$224</definedName>
    <definedName name="Akzo_Nobel___Divisional_Trends_Quarterly_Sales_and_Profit_Trend_1988___1998E__DFLm">[35]Publish!$A$67:$M$102</definedName>
    <definedName name="Akzo_Nobel___Margins_and_Ratios_1988___1998E__DFLm">[35]Publish!$A$232:$K$285</definedName>
    <definedName name="Akzo_Nobel___Profit_and_Loss_Summary_1988___1998E__DFLm">[35]Publish!$A$108:$K$150</definedName>
    <definedName name="Akzo_Nobel___Quarterly_Sales_and_Profit_Trend_1996___1998E__DFLm">[35]Publish!$A$20:$P$61</definedName>
    <definedName name="All">[36]RH_Mis!$B$363:$B$981</definedName>
    <definedName name="All_00_PS">[37]Depreciation!$AJ$227</definedName>
    <definedName name="All_00_Rev">[37]Depreciation!$AG$227</definedName>
    <definedName name="All_97_PS" localSheetId="11">[37]Depreciation!#REF!</definedName>
    <definedName name="All_97_PS">[37]Depreciation!#REF!</definedName>
    <definedName name="All_97_Rev">[37]Depreciation!$AD$227</definedName>
    <definedName name="All_98_PS">[37]Depreciation!$AH$227</definedName>
    <definedName name="All_98_Rev">[37]Depreciation!$AE$227</definedName>
    <definedName name="All_99_PS">[37]Depreciation!$AI$227</definedName>
    <definedName name="All_99_Rev">[37]Depreciation!$AF$227</definedName>
    <definedName name="All_EPS_00">[37]Depreciation!$AC$227</definedName>
    <definedName name="All_EPS_98">[37]Depreciation!$AA$227</definedName>
    <definedName name="All_EPS_99">[37]Depreciation!$AB$227</definedName>
    <definedName name="All_Mkt_Cap">[37]Depreciation!$T$227</definedName>
    <definedName name="All_Off_High">[37]Depreciation!$N$227</definedName>
    <definedName name="All_Stocks">[37]Depreciation!$C$227</definedName>
    <definedName name="Allegra00" localSheetId="7">#REF!</definedName>
    <definedName name="Allegra00" localSheetId="11">#REF!</definedName>
    <definedName name="Allegra00">#REF!</definedName>
    <definedName name="Allegra01" localSheetId="7">#REF!</definedName>
    <definedName name="Allegra01" localSheetId="11">#REF!</definedName>
    <definedName name="Allegra01">#REF!</definedName>
    <definedName name="Allegra02" localSheetId="7">#REF!</definedName>
    <definedName name="Allegra02" localSheetId="11">#REF!</definedName>
    <definedName name="Allegra02">#REF!</definedName>
    <definedName name="Allegra03" localSheetId="7">#REF!</definedName>
    <definedName name="Allegra03" localSheetId="11">#REF!</definedName>
    <definedName name="Allegra03">#REF!</definedName>
    <definedName name="Allegra04" localSheetId="7">#REF!</definedName>
    <definedName name="Allegra04" localSheetId="11">#REF!</definedName>
    <definedName name="Allegra04">#REF!</definedName>
    <definedName name="Allegra05" localSheetId="7">#REF!</definedName>
    <definedName name="Allegra05" localSheetId="11">#REF!</definedName>
    <definedName name="Allegra05">#REF!</definedName>
    <definedName name="Allegra97" localSheetId="7">#REF!</definedName>
    <definedName name="Allegra97" localSheetId="11">#REF!</definedName>
    <definedName name="Allegra97">#REF!</definedName>
    <definedName name="Allegra98" localSheetId="7">#REF!</definedName>
    <definedName name="Allegra98" localSheetId="11">#REF!</definedName>
    <definedName name="Allegra98">#REF!</definedName>
    <definedName name="Allegra99" localSheetId="7">#REF!</definedName>
    <definedName name="Allegra99" localSheetId="11">#REF!</definedName>
    <definedName name="Allegra99">#REF!</definedName>
    <definedName name="allI">[36]RH_Mis!$B$363:$B$595</definedName>
    <definedName name="allII">[36]RH_Mis!$B$596:$B$848</definedName>
    <definedName name="allIII">[36]RH_Mis!$B$849:$B$981</definedName>
    <definedName name="allkf" localSheetId="11">[38]Input!#REF!</definedName>
    <definedName name="allkf">[38]Input!#REF!</definedName>
    <definedName name="Allowances" localSheetId="7">#REF!</definedName>
    <definedName name="Allowances" localSheetId="11">#REF!</definedName>
    <definedName name="Allowances">#REF!</definedName>
    <definedName name="allpbkf" localSheetId="7">#REF!</definedName>
    <definedName name="allpbkf" localSheetId="11">#REF!</definedName>
    <definedName name="allpbkf">#REF!</definedName>
    <definedName name="alpha" localSheetId="7">#REF!</definedName>
    <definedName name="alpha" localSheetId="11">#REF!</definedName>
    <definedName name="alpha">#REF!</definedName>
    <definedName name="Amaryl00" localSheetId="7">#REF!</definedName>
    <definedName name="Amaryl00" localSheetId="11">#REF!</definedName>
    <definedName name="Amaryl00">#REF!</definedName>
    <definedName name="Amaryl01" localSheetId="7">#REF!</definedName>
    <definedName name="Amaryl01" localSheetId="11">#REF!</definedName>
    <definedName name="Amaryl01">#REF!</definedName>
    <definedName name="Amaryl02" localSheetId="7">#REF!</definedName>
    <definedName name="Amaryl02" localSheetId="11">#REF!</definedName>
    <definedName name="Amaryl02">#REF!</definedName>
    <definedName name="Amaryl03" localSheetId="7">#REF!</definedName>
    <definedName name="Amaryl03" localSheetId="11">#REF!</definedName>
    <definedName name="Amaryl03">#REF!</definedName>
    <definedName name="Amaryl04" localSheetId="7">#REF!</definedName>
    <definedName name="Amaryl04" localSheetId="11">#REF!</definedName>
    <definedName name="Amaryl04">#REF!</definedName>
    <definedName name="Amaryl05" localSheetId="7">#REF!</definedName>
    <definedName name="Amaryl05" localSheetId="11">#REF!</definedName>
    <definedName name="Amaryl05">#REF!</definedName>
    <definedName name="Amaryl97" localSheetId="7">#REF!</definedName>
    <definedName name="Amaryl97" localSheetId="11">#REF!</definedName>
    <definedName name="Amaryl97">#REF!</definedName>
    <definedName name="Amaryl98" localSheetId="7">#REF!</definedName>
    <definedName name="Amaryl98" localSheetId="11">#REF!</definedName>
    <definedName name="Amaryl98">#REF!</definedName>
    <definedName name="Amaryl99" localSheetId="7">#REF!</definedName>
    <definedName name="Amaryl99" localSheetId="11">#REF!</definedName>
    <definedName name="Amaryl99">#REF!</definedName>
    <definedName name="Americas" localSheetId="7">#REF!</definedName>
    <definedName name="Americas" localSheetId="11">#REF!</definedName>
    <definedName name="Americas">#REF!</definedName>
    <definedName name="Amortisation" localSheetId="7">#REF!</definedName>
    <definedName name="Amortisation" localSheetId="11">#REF!</definedName>
    <definedName name="Amortisation">#REF!</definedName>
    <definedName name="AMP579.00" localSheetId="7">#REF!</definedName>
    <definedName name="AMP579.00" localSheetId="11">#REF!</definedName>
    <definedName name="AMP579.00">#REF!</definedName>
    <definedName name="AMP579.01" localSheetId="7">#REF!</definedName>
    <definedName name="AMP579.01" localSheetId="11">#REF!</definedName>
    <definedName name="AMP579.01">#REF!</definedName>
    <definedName name="AMP579.02" localSheetId="7">#REF!</definedName>
    <definedName name="AMP579.02" localSheetId="11">#REF!</definedName>
    <definedName name="AMP579.02">#REF!</definedName>
    <definedName name="AMP579.03" localSheetId="7">#REF!</definedName>
    <definedName name="AMP579.03" localSheetId="11">#REF!</definedName>
    <definedName name="AMP579.03">#REF!</definedName>
    <definedName name="AMP579.04" localSheetId="7">#REF!</definedName>
    <definedName name="AMP579.04" localSheetId="11">#REF!</definedName>
    <definedName name="AMP579.04">#REF!</definedName>
    <definedName name="AMP579.05" localSheetId="7">#REF!</definedName>
    <definedName name="AMP579.05" localSheetId="11">#REF!</definedName>
    <definedName name="AMP579.05">#REF!</definedName>
    <definedName name="AMP579.97" localSheetId="7">#REF!</definedName>
    <definedName name="AMP579.97" localSheetId="11">#REF!</definedName>
    <definedName name="AMP579.97">#REF!</definedName>
    <definedName name="AMP579.98" localSheetId="7">#REF!</definedName>
    <definedName name="AMP579.98" localSheetId="11">#REF!</definedName>
    <definedName name="AMP579.98">#REF!</definedName>
    <definedName name="AMP579.99" localSheetId="7">#REF!</definedName>
    <definedName name="AMP579.99" localSheetId="11">#REF!</definedName>
    <definedName name="AMP579.99">#REF!</definedName>
    <definedName name="analysis" localSheetId="7">#REF!</definedName>
    <definedName name="analysis" localSheetId="11">#REF!</definedName>
    <definedName name="analysis">#REF!</definedName>
    <definedName name="Analyst" localSheetId="7">#REF!</definedName>
    <definedName name="Analyst" localSheetId="11">#REF!</definedName>
    <definedName name="Analyst">#REF!</definedName>
    <definedName name="Andancor02" localSheetId="11">[17]Products!#REF!</definedName>
    <definedName name="Andancor02">[17]Products!#REF!</definedName>
    <definedName name="Andancor03" localSheetId="11">[17]Products!#REF!</definedName>
    <definedName name="Andancor03">[17]Products!#REF!</definedName>
    <definedName name="Andancor04" localSheetId="11">[17]Products!#REF!</definedName>
    <definedName name="Andancor04">[17]Products!#REF!</definedName>
    <definedName name="Andancor05" localSheetId="11">[17]Products!#REF!</definedName>
    <definedName name="Andancor05">[17]Products!#REF!</definedName>
    <definedName name="anlkf" localSheetId="11">[38]Input!#REF!</definedName>
    <definedName name="anlkf">[38]Input!#REF!</definedName>
    <definedName name="anlpbkf" localSheetId="7">#REF!</definedName>
    <definedName name="anlpbkf" localSheetId="11">#REF!</definedName>
    <definedName name="anlpbkf">#REF!</definedName>
    <definedName name="annstoreinv" localSheetId="11">'[39]Income Statement Summary'!#REF!</definedName>
    <definedName name="annstoreinv">'[39]Income Statement Summary'!#REF!</definedName>
    <definedName name="annual">[40]Income!$B$2:$U$58</definedName>
    <definedName name="annualstore" localSheetId="11">'[27]Income Statement Summary'!#REF!</definedName>
    <definedName name="annualstore">'[27]Income Statement Summary'!#REF!</definedName>
    <definedName name="anscount" hidden="1">1</definedName>
    <definedName name="Anzemet00" localSheetId="7">#REF!</definedName>
    <definedName name="Anzemet00" localSheetId="11">#REF!</definedName>
    <definedName name="Anzemet00">#REF!</definedName>
    <definedName name="Anzemet01" localSheetId="7">#REF!</definedName>
    <definedName name="Anzemet01" localSheetId="11">#REF!</definedName>
    <definedName name="Anzemet01">#REF!</definedName>
    <definedName name="Anzemet02" localSheetId="7">#REF!</definedName>
    <definedName name="Anzemet02" localSheetId="11">#REF!</definedName>
    <definedName name="Anzemet02">#REF!</definedName>
    <definedName name="Anzemet03" localSheetId="7">#REF!</definedName>
    <definedName name="Anzemet03" localSheetId="11">#REF!</definedName>
    <definedName name="Anzemet03">#REF!</definedName>
    <definedName name="Anzemet04" localSheetId="7">#REF!</definedName>
    <definedName name="Anzemet04" localSheetId="11">#REF!</definedName>
    <definedName name="Anzemet04">#REF!</definedName>
    <definedName name="Anzemet05" localSheetId="7">#REF!</definedName>
    <definedName name="Anzemet05" localSheetId="11">#REF!</definedName>
    <definedName name="Anzemet05">#REF!</definedName>
    <definedName name="Anzemet97" localSheetId="7">#REF!</definedName>
    <definedName name="Anzemet97" localSheetId="11">#REF!</definedName>
    <definedName name="Anzemet97">#REF!</definedName>
    <definedName name="Anzemet98" localSheetId="7">#REF!</definedName>
    <definedName name="Anzemet98" localSheetId="11">#REF!</definedName>
    <definedName name="Anzemet98">#REF!</definedName>
    <definedName name="Anzemet99" localSheetId="7">#REF!</definedName>
    <definedName name="Anzemet99" localSheetId="11">#REF!</definedName>
    <definedName name="Anzemet99">#REF!</definedName>
    <definedName name="Apparel_Division">"title"</definedName>
    <definedName name="Arava.leflunomide00" localSheetId="7">#REF!</definedName>
    <definedName name="Arava.leflunomide00" localSheetId="11">#REF!</definedName>
    <definedName name="Arava.leflunomide00">#REF!</definedName>
    <definedName name="Arava.leflunomide01" localSheetId="7">#REF!</definedName>
    <definedName name="Arava.leflunomide01" localSheetId="11">#REF!</definedName>
    <definedName name="Arava.leflunomide01">#REF!</definedName>
    <definedName name="Arava.leflunomide02" localSheetId="7">#REF!</definedName>
    <definedName name="Arava.leflunomide02" localSheetId="11">#REF!</definedName>
    <definedName name="Arava.leflunomide02">#REF!</definedName>
    <definedName name="Arava.leflunomide03" localSheetId="7">#REF!</definedName>
    <definedName name="Arava.leflunomide03" localSheetId="11">#REF!</definedName>
    <definedName name="Arava.leflunomide03">#REF!</definedName>
    <definedName name="Arava.leflunomide04" localSheetId="7">#REF!</definedName>
    <definedName name="Arava.leflunomide04" localSheetId="11">#REF!</definedName>
    <definedName name="Arava.leflunomide04">#REF!</definedName>
    <definedName name="Arava.leflunomide05" localSheetId="7">#REF!</definedName>
    <definedName name="Arava.leflunomide05" localSheetId="11">#REF!</definedName>
    <definedName name="Arava.leflunomide05">#REF!</definedName>
    <definedName name="Arava.leflunomide97" localSheetId="7">#REF!</definedName>
    <definedName name="Arava.leflunomide97" localSheetId="11">#REF!</definedName>
    <definedName name="Arava.leflunomide97">#REF!</definedName>
    <definedName name="Arava.leflunomide98" localSheetId="7">#REF!</definedName>
    <definedName name="Arava.leflunomide98" localSheetId="11">#REF!</definedName>
    <definedName name="Arava.leflunomide98">#REF!</definedName>
    <definedName name="Arava.leflunomide99" localSheetId="7">#REF!</definedName>
    <definedName name="Arava.leflunomide99" localSheetId="11">#REF!</definedName>
    <definedName name="Arava.leflunomide99">#REF!</definedName>
    <definedName name="area_summary_1" localSheetId="7">#REF!</definedName>
    <definedName name="area_summary_1" localSheetId="11">#REF!</definedName>
    <definedName name="area_summary_1">#REF!</definedName>
    <definedName name="area_summary_2" localSheetId="7">#REF!</definedName>
    <definedName name="area_summary_2" localSheetId="11">#REF!</definedName>
    <definedName name="area_summary_2">#REF!</definedName>
    <definedName name="area_summary_3" localSheetId="7">#REF!</definedName>
    <definedName name="area_summary_3" localSheetId="11">#REF!</definedName>
    <definedName name="area_summary_3">#REF!</definedName>
    <definedName name="area_summary_4" localSheetId="7">#REF!</definedName>
    <definedName name="area_summary_4" localSheetId="11">#REF!</definedName>
    <definedName name="area_summary_4">#REF!</definedName>
    <definedName name="area_summary_5" localSheetId="7">#REF!</definedName>
    <definedName name="area_summary_5" localSheetId="11">#REF!</definedName>
    <definedName name="area_summary_5">#REF!</definedName>
    <definedName name="as" localSheetId="7" hidden="1">{#N/A,#N/A,FALSE,"Annual Earnings Model";#N/A,#N/A,FALSE,"Quarterly Earnings Model";#N/A,#N/A,FALSE,"Header";#N/A,#N/A,FALSE,"Notes"}</definedName>
    <definedName name="as" localSheetId="4" hidden="1">{#N/A,#N/A,FALSE,"Annual Earnings Model";#N/A,#N/A,FALSE,"Quarterly Earnings Model";#N/A,#N/A,FALSE,"Header";#N/A,#N/A,FALSE,"Notes"}</definedName>
    <definedName name="as" hidden="1">{#N/A,#N/A,FALSE,"Annual Earnings Model";#N/A,#N/A,FALSE,"Quarterly Earnings Model";#N/A,#N/A,FALSE,"Header";#N/A,#N/A,FALSE,"Notes"}</definedName>
    <definedName name="asas" localSheetId="7" hidden="1">{#N/A,#N/A,FALSE,"Annual Earnings Model";#N/A,#N/A,FALSE,"Quarterly Earnings Model";#N/A,#N/A,FALSE,"Header";#N/A,#N/A,FALSE,"Notes"}</definedName>
    <definedName name="asas" localSheetId="4" hidden="1">{#N/A,#N/A,FALSE,"Annual Earnings Model";#N/A,#N/A,FALSE,"Quarterly Earnings Model";#N/A,#N/A,FALSE,"Header";#N/A,#N/A,FALSE,"Notes"}</definedName>
    <definedName name="asas" hidden="1">{#N/A,#N/A,FALSE,"Annual Earnings Model";#N/A,#N/A,FALSE,"Quarterly Earnings Model";#N/A,#N/A,FALSE,"Header";#N/A,#N/A,FALSE,"Notes"}</definedName>
    <definedName name="asdf" localSheetId="11">#REF!</definedName>
    <definedName name="asdf">#REF!</definedName>
    <definedName name="asdf2" localSheetId="6" hidden="1">{#N/A,#N/A,FALSE,"Mill 5"}</definedName>
    <definedName name="asdf2" localSheetId="7" hidden="1">{#N/A,#N/A,FALSE,"Mill 5"}</definedName>
    <definedName name="asdf2" localSheetId="4" hidden="1">{#N/A,#N/A,FALSE,"Mill 5"}</definedName>
    <definedName name="asdf2" localSheetId="3" hidden="1">{#N/A,#N/A,FALSE,"Mill 5"}</definedName>
    <definedName name="asdf2" localSheetId="11" hidden="1">{#N/A,#N/A,FALSE,"Mill 5"}</definedName>
    <definedName name="asdf2" hidden="1">{#N/A,#N/A,FALSE,"Mill 5"}</definedName>
    <definedName name="asdf45" localSheetId="6" hidden="1">{#N/A,#N/A,FALSE,"SUMMARY";#N/A,#N/A,FALSE,"DETAIL";#N/A,#N/A,FALSE,"VARIANCE"}</definedName>
    <definedName name="asdf45" localSheetId="7" hidden="1">{#N/A,#N/A,FALSE,"SUMMARY";#N/A,#N/A,FALSE,"DETAIL";#N/A,#N/A,FALSE,"VARIANCE"}</definedName>
    <definedName name="asdf45" localSheetId="4" hidden="1">{#N/A,#N/A,FALSE,"SUMMARY";#N/A,#N/A,FALSE,"DETAIL";#N/A,#N/A,FALSE,"VARIANCE"}</definedName>
    <definedName name="asdf45" localSheetId="3" hidden="1">{#N/A,#N/A,FALSE,"SUMMARY";#N/A,#N/A,FALSE,"DETAIL";#N/A,#N/A,FALSE,"VARIANCE"}</definedName>
    <definedName name="asdf45" localSheetId="11" hidden="1">{#N/A,#N/A,FALSE,"SUMMARY";#N/A,#N/A,FALSE,"DETAIL";#N/A,#N/A,FALSE,"VARIANCE"}</definedName>
    <definedName name="asdf45" hidden="1">{#N/A,#N/A,FALSE,"SUMMARY";#N/A,#N/A,FALSE,"DETAIL";#N/A,#N/A,FALSE,"VARIANCE"}</definedName>
    <definedName name="asdfasdfas" localSheetId="6" hidden="1">{#N/A,#N/A,FALSE,"Sheet1";#N/A,#N/A,FALSE,"Sheet2";#N/A,#N/A,FALSE,"Sheet3";#N/A,#N/A,FALSE,"Sheet4";#N/A,#N/A,FALSE,"Sheet5";#N/A,#N/A,FALSE,"Sheet6"}</definedName>
    <definedName name="asdfasdfas" localSheetId="7" hidden="1">{#N/A,#N/A,FALSE,"Sheet1";#N/A,#N/A,FALSE,"Sheet2";#N/A,#N/A,FALSE,"Sheet3";#N/A,#N/A,FALSE,"Sheet4";#N/A,#N/A,FALSE,"Sheet5";#N/A,#N/A,FALSE,"Sheet6"}</definedName>
    <definedName name="asdfasdfas" localSheetId="4" hidden="1">{#N/A,#N/A,FALSE,"Sheet1";#N/A,#N/A,FALSE,"Sheet2";#N/A,#N/A,FALSE,"Sheet3";#N/A,#N/A,FALSE,"Sheet4";#N/A,#N/A,FALSE,"Sheet5";#N/A,#N/A,FALSE,"Sheet6"}</definedName>
    <definedName name="asdfasdfas" localSheetId="3" hidden="1">{#N/A,#N/A,FALSE,"Sheet1";#N/A,#N/A,FALSE,"Sheet2";#N/A,#N/A,FALSE,"Sheet3";#N/A,#N/A,FALSE,"Sheet4";#N/A,#N/A,FALSE,"Sheet5";#N/A,#N/A,FALSE,"Sheet6"}</definedName>
    <definedName name="asdfasdfas" localSheetId="11" hidden="1">{#N/A,#N/A,FALSE,"Sheet1";#N/A,#N/A,FALSE,"Sheet2";#N/A,#N/A,FALSE,"Sheet3";#N/A,#N/A,FALSE,"Sheet4";#N/A,#N/A,FALSE,"Sheet5";#N/A,#N/A,FALSE,"Sheet6"}</definedName>
    <definedName name="asdfasdfas" hidden="1">{#N/A,#N/A,FALSE,"Sheet1";#N/A,#N/A,FALSE,"Sheet2";#N/A,#N/A,FALSE,"Sheet3";#N/A,#N/A,FALSE,"Sheet4";#N/A,#N/A,FALSE,"Sheet5";#N/A,#N/A,FALSE,"Sheet6"}</definedName>
    <definedName name="Asia" localSheetId="7">[41]Tables!$R$110</definedName>
    <definedName name="Asia" localSheetId="11">#REF!</definedName>
    <definedName name="Asia">#REF!</definedName>
    <definedName name="Asia_w" localSheetId="7">#REF!</definedName>
    <definedName name="Asia_w" localSheetId="11">#REF!</definedName>
    <definedName name="Asia_w">#REF!</definedName>
    <definedName name="AsiaPacific" localSheetId="7">#REF!</definedName>
    <definedName name="AsiaPacific" localSheetId="11">#REF!</definedName>
    <definedName name="AsiaPacific">#REF!</definedName>
    <definedName name="AsiaPacificDistributors" localSheetId="7">#REF!</definedName>
    <definedName name="AsiaPacificDistributors" localSheetId="11">#REF!</definedName>
    <definedName name="AsiaPacificDistributors">#REF!</definedName>
    <definedName name="AsiaPacificDutyFree" localSheetId="7">#REF!</definedName>
    <definedName name="AsiaPacificDutyFree" localSheetId="11">#REF!</definedName>
    <definedName name="AsiaPacificDutyFree">#REF!</definedName>
    <definedName name="Asimadoline00" localSheetId="11">[17]Products!#REF!</definedName>
    <definedName name="Asimadoline00">[17]Products!#REF!</definedName>
    <definedName name="Asimadoline01" localSheetId="11">[17]Products!#REF!</definedName>
    <definedName name="Asimadoline01">[17]Products!#REF!</definedName>
    <definedName name="Asimadoline02" localSheetId="11">[17]Products!#REF!</definedName>
    <definedName name="Asimadoline02">[17]Products!#REF!</definedName>
    <definedName name="Asimadoline03" localSheetId="11">[17]Products!#REF!</definedName>
    <definedName name="Asimadoline03">[17]Products!#REF!</definedName>
    <definedName name="Asimadoline04" localSheetId="11">[17]Products!#REF!</definedName>
    <definedName name="Asimadoline04">[17]Products!#REF!</definedName>
    <definedName name="Asimadoline05" localSheetId="11">[17]Products!#REF!</definedName>
    <definedName name="Asimadoline05">[17]Products!#REF!</definedName>
    <definedName name="Asimadoline97" localSheetId="11">[17]Products!#REF!</definedName>
    <definedName name="Asimadoline97">[17]Products!#REF!</definedName>
    <definedName name="Asimadoline98" localSheetId="11">[17]Products!#REF!</definedName>
    <definedName name="Asimadoline98">[17]Products!#REF!</definedName>
    <definedName name="Asimadoline99" localSheetId="11">[17]Products!#REF!</definedName>
    <definedName name="Asimadoline99">[17]Products!#REF!</definedName>
    <definedName name="ASP" localSheetId="7">#REF!</definedName>
    <definedName name="ASP" localSheetId="11">#REF!</definedName>
    <definedName name="ASP">#REF!</definedName>
    <definedName name="asset_quality">[42]temp!$A$182:$V$205</definedName>
    <definedName name="AssetQuality" localSheetId="7">#REF!</definedName>
    <definedName name="AssetQuality" localSheetId="11">#REF!</definedName>
    <definedName name="AssetQuality">#REF!</definedName>
    <definedName name="assets1q00">'[18]Quarterly Model'!$G$57</definedName>
    <definedName name="assets1q98" localSheetId="7">#REF!</definedName>
    <definedName name="assets1q98" localSheetId="11">#REF!</definedName>
    <definedName name="assets1q98">#REF!</definedName>
    <definedName name="assets1q99" localSheetId="7">#REF!</definedName>
    <definedName name="assets1q99" localSheetId="11">#REF!</definedName>
    <definedName name="assets1q99">#REF!</definedName>
    <definedName name="assets1q99E" localSheetId="7">#REF!</definedName>
    <definedName name="assets1q99E" localSheetId="11">#REF!</definedName>
    <definedName name="assets1q99E">#REF!</definedName>
    <definedName name="assets2q00">'[18]Quarterly Model'!$I$57</definedName>
    <definedName name="assets2q98" localSheetId="7">#REF!</definedName>
    <definedName name="assets2q98" localSheetId="11">#REF!</definedName>
    <definedName name="assets2q98">#REF!</definedName>
    <definedName name="assets2q99" localSheetId="7">#REF!</definedName>
    <definedName name="assets2q99" localSheetId="11">#REF!</definedName>
    <definedName name="assets2q99">#REF!</definedName>
    <definedName name="assets2q99E" localSheetId="7">#REF!</definedName>
    <definedName name="assets2q99E" localSheetId="11">#REF!</definedName>
    <definedName name="assets2q99E">#REF!</definedName>
    <definedName name="assets3q00">'[18]Quarterly Model'!$K$57</definedName>
    <definedName name="assets3q98" localSheetId="7">#REF!</definedName>
    <definedName name="assets3q98" localSheetId="11">#REF!</definedName>
    <definedName name="assets3q98">#REF!</definedName>
    <definedName name="assets3q99" localSheetId="7">#REF!</definedName>
    <definedName name="assets3q99" localSheetId="11">#REF!</definedName>
    <definedName name="assets3q99">#REF!</definedName>
    <definedName name="assets3q99E" localSheetId="7">#REF!</definedName>
    <definedName name="assets3q99E" localSheetId="11">#REF!</definedName>
    <definedName name="assets3q99E">#REF!</definedName>
    <definedName name="assets4q00">'[18]Quarterly Model'!$M$57</definedName>
    <definedName name="assets4q98" localSheetId="7">#REF!</definedName>
    <definedName name="assets4q98" localSheetId="11">#REF!</definedName>
    <definedName name="assets4q98">#REF!</definedName>
    <definedName name="assets4q98E" localSheetId="7">#REF!</definedName>
    <definedName name="assets4q98E" localSheetId="11">#REF!</definedName>
    <definedName name="assets4q98E">#REF!</definedName>
    <definedName name="assets4q99" localSheetId="7">#REF!</definedName>
    <definedName name="assets4q99" localSheetId="11">#REF!</definedName>
    <definedName name="assets4q99">#REF!</definedName>
    <definedName name="Assetsandliab" localSheetId="7">#REF!</definedName>
    <definedName name="Assetsandliab" localSheetId="11">#REF!</definedName>
    <definedName name="Assetsandliab">#REF!</definedName>
    <definedName name="assetsav00" localSheetId="11">'[18]Annual Model'!#REF!</definedName>
    <definedName name="assetsav00">'[18]Annual Model'!#REF!</definedName>
    <definedName name="assetsav01">'[18]Annual Model'!$I$63</definedName>
    <definedName name="assetsav02">'[18]Annual Model'!$J$63</definedName>
    <definedName name="assetsav1q00">'[18]Quarterly Model'!$G$64</definedName>
    <definedName name="assetsav2q00">'[18]Quarterly Model'!$I$64</definedName>
    <definedName name="assetsav2q97" localSheetId="7">#REF!</definedName>
    <definedName name="assetsav2q97" localSheetId="11">#REF!</definedName>
    <definedName name="assetsav2q97">#REF!</definedName>
    <definedName name="assetsav3q00">'[18]Quarterly Model'!$K$64</definedName>
    <definedName name="assetsav4q00">'[18]Quarterly Model'!$M$64</definedName>
    <definedName name="assetsav97" localSheetId="7">#REF!</definedName>
    <definedName name="assetsav97" localSheetId="11">#REF!</definedName>
    <definedName name="assetsav97">#REF!</definedName>
    <definedName name="assetsav98">'[18]Annual Model'!$E$75</definedName>
    <definedName name="assetsav99">'[18]Annual Model'!$G$63</definedName>
    <definedName name="assetsq296" localSheetId="7">#REF!</definedName>
    <definedName name="assetsq296" localSheetId="11">#REF!</definedName>
    <definedName name="assetsq296">#REF!</definedName>
    <definedName name="assetsva00">'[18]Annual Model'!$H$63</definedName>
    <definedName name="assetsye00">'[18]Annual Model'!$H$56</definedName>
    <definedName name="assetsye01">'[18]Annual Model'!$I$56</definedName>
    <definedName name="assetsye02">'[18]Annual Model'!$J$56</definedName>
    <definedName name="assetsye2q97" localSheetId="7">#REF!</definedName>
    <definedName name="assetsye2q97" localSheetId="11">#REF!</definedName>
    <definedName name="assetsye2q97">#REF!</definedName>
    <definedName name="assetsye2q97b" localSheetId="7">#REF!</definedName>
    <definedName name="assetsye2q97b" localSheetId="11">#REF!</definedName>
    <definedName name="assetsye2q97b">#REF!</definedName>
    <definedName name="assetsye97" localSheetId="7">#REF!</definedName>
    <definedName name="assetsye97" localSheetId="11">#REF!</definedName>
    <definedName name="assetsye97">#REF!</definedName>
    <definedName name="assetsye98">'[18]Annual Model'!$E$66</definedName>
    <definedName name="assetsye99">'[18]Annual Model'!$G$56</definedName>
    <definedName name="ASSM" localSheetId="7">#REF!</definedName>
    <definedName name="ASSM" localSheetId="11">#REF!</definedName>
    <definedName name="ASSM">#REF!</definedName>
    <definedName name="ASSOC" localSheetId="7">#REF!</definedName>
    <definedName name="ASSOC" localSheetId="11">#REF!</definedName>
    <definedName name="ASSOC">#REF!</definedName>
    <definedName name="Associated_income" localSheetId="7">#REF!</definedName>
    <definedName name="Associated_income" localSheetId="11">#REF!</definedName>
    <definedName name="Associated_income">#REF!</definedName>
    <definedName name="Associates" localSheetId="7">#REF!</definedName>
    <definedName name="Associates" localSheetId="11">#REF!</definedName>
    <definedName name="Associates">#REF!</definedName>
    <definedName name="Assume1" localSheetId="7">#REF!:#REF!</definedName>
    <definedName name="Assume1" localSheetId="11">#REF!:#REF!</definedName>
    <definedName name="Assume1">#REF!:#REF!</definedName>
    <definedName name="Assume2" localSheetId="7">#REF!</definedName>
    <definedName name="Assume2" localSheetId="11">#REF!</definedName>
    <definedName name="Assume2">#REF!</definedName>
    <definedName name="Assumptions___drivers" localSheetId="7">#REF!</definedName>
    <definedName name="Assumptions___drivers" localSheetId="11">#REF!</definedName>
    <definedName name="Assumptions___drivers">#REF!</definedName>
    <definedName name="aszs" localSheetId="7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aszs" localSheetId="4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aszs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Australia" localSheetId="7">#REF!</definedName>
    <definedName name="Australia" localSheetId="11">#REF!</definedName>
    <definedName name="Australia">#REF!</definedName>
    <definedName name="AutoGoto" localSheetId="11">[31]!AutoGoto</definedName>
    <definedName name="AutoGoto">[31]!AutoGoto</definedName>
    <definedName name="AutoPrint" localSheetId="11">[31]!AutoPrint</definedName>
    <definedName name="AutoPrint">[31]!AutoPrint</definedName>
    <definedName name="Avdyn85" localSheetId="11">'[43]Average Prices'!#REF!</definedName>
    <definedName name="Avdyn85">'[43]Average Prices'!#REF!</definedName>
    <definedName name="Avdyn86" localSheetId="11">'[43]Average Prices'!#REF!</definedName>
    <definedName name="Avdyn86">'[43]Average Prices'!#REF!</definedName>
    <definedName name="Avdyn87" localSheetId="11">'[43]Average Prices'!#REF!</definedName>
    <definedName name="Avdyn87">'[43]Average Prices'!#REF!</definedName>
    <definedName name="Avdyn88" localSheetId="11">'[43]Average Prices'!#REF!</definedName>
    <definedName name="Avdyn88">'[43]Average Prices'!#REF!</definedName>
    <definedName name="Avdyn89" localSheetId="11">'[43]Average Prices'!#REF!</definedName>
    <definedName name="Avdyn89">'[43]Average Prices'!#REF!</definedName>
    <definedName name="Avdyn90" localSheetId="11">'[43]Average Prices'!#REF!</definedName>
    <definedName name="Avdyn90">'[43]Average Prices'!#REF!</definedName>
    <definedName name="Avdyn91" localSheetId="11">'[43]Average Prices'!#REF!</definedName>
    <definedName name="Avdyn91">'[43]Average Prices'!#REF!</definedName>
    <definedName name="Avdyn92" localSheetId="11">'[43]Average Prices'!#REF!</definedName>
    <definedName name="Avdyn92">'[43]Average Prices'!#REF!</definedName>
    <definedName name="Avdyn93" localSheetId="11">'[43]Average Prices'!#REF!</definedName>
    <definedName name="Avdyn93">'[43]Average Prices'!#REF!</definedName>
    <definedName name="Avdyn94" localSheetId="11">'[43]Average Prices'!#REF!</definedName>
    <definedName name="Avdyn94">'[43]Average Prices'!#REF!</definedName>
    <definedName name="Avdyn95" localSheetId="11">'[43]Average Prices'!#REF!</definedName>
    <definedName name="Avdyn95">'[43]Average Prices'!#REF!</definedName>
    <definedName name="Avdyn96" localSheetId="11">'[43]Average Prices'!#REF!</definedName>
    <definedName name="Avdyn96">'[43]Average Prices'!#REF!</definedName>
    <definedName name="Avdyn97" localSheetId="11">'[43]Average Prices'!#REF!</definedName>
    <definedName name="Avdyn97">'[43]Average Prices'!#REF!</definedName>
    <definedName name="avearn01" localSheetId="11">'[18]Annual Model'!#REF!</definedName>
    <definedName name="avearn01">'[18]Annual Model'!#REF!</definedName>
    <definedName name="avearn02" localSheetId="11">'[18]Annual Model'!#REF!</definedName>
    <definedName name="avearn02">'[18]Annual Model'!#REF!</definedName>
    <definedName name="avearn98" localSheetId="11">'[18]Annual Model'!#REF!</definedName>
    <definedName name="avearn98">'[18]Annual Model'!#REF!</definedName>
    <definedName name="avearn99" localSheetId="11">'[18]Annual Model'!#REF!</definedName>
    <definedName name="avearn99">'[18]Annual Model'!#REF!</definedName>
    <definedName name="aveassets3q99e" localSheetId="7">#REF!</definedName>
    <definedName name="aveassets3q99e" localSheetId="11">#REF!</definedName>
    <definedName name="aveassets3q99e">#REF!</definedName>
    <definedName name="aveequity3q99e" localSheetId="7">#REF!</definedName>
    <definedName name="aveequity3q99e" localSheetId="11">#REF!</definedName>
    <definedName name="aveequity3q99e">#REF!</definedName>
    <definedName name="Average_invested_capital">'[34]Invested capital_VDF'!$C$89:$AZ$89</definedName>
    <definedName name="Average_invested_capital_DCF">[34]DCF_VDF!$C$78:$AZ$78</definedName>
    <definedName name="avgearn93" localSheetId="7">#REF!</definedName>
    <definedName name="avgearn93" localSheetId="11">#REF!</definedName>
    <definedName name="avgearn93">#REF!</definedName>
    <definedName name="avgearn94" localSheetId="7">#REF!</definedName>
    <definedName name="avgearn94" localSheetId="11">#REF!</definedName>
    <definedName name="avgearn94">#REF!</definedName>
    <definedName name="avgearn95" localSheetId="7">#REF!</definedName>
    <definedName name="avgearn95" localSheetId="11">#REF!</definedName>
    <definedName name="avgearn95">#REF!</definedName>
    <definedName name="avgearn96" localSheetId="7">#REF!</definedName>
    <definedName name="avgearn96" localSheetId="11">#REF!</definedName>
    <definedName name="avgearn96">#REF!</definedName>
    <definedName name="avgearn97" localSheetId="7">#REF!</definedName>
    <definedName name="avgearn97" localSheetId="11">#REF!</definedName>
    <definedName name="avgearn97">#REF!</definedName>
    <definedName name="avgearn98" localSheetId="7">#REF!</definedName>
    <definedName name="avgearn98" localSheetId="11">#REF!</definedName>
    <definedName name="avgearn98">#REF!</definedName>
    <definedName name="AVGEQ1Q99" localSheetId="7">#REF!</definedName>
    <definedName name="AVGEQ1Q99" localSheetId="11">#REF!</definedName>
    <definedName name="AVGEQ1Q99">#REF!</definedName>
    <definedName name="AVGEQ2Q99" localSheetId="7">#REF!</definedName>
    <definedName name="AVGEQ2Q99" localSheetId="11">#REF!</definedName>
    <definedName name="AVGEQ2Q99">#REF!</definedName>
    <definedName name="avsqft92inc">[24]LOWEXP!$P$101:$P$106</definedName>
    <definedName name="avsqft93inc">[24]LOWEXP!$T$101:$T$106</definedName>
    <definedName name="avsqft94inc">[24]LOWEXP!$X$101:$X$106</definedName>
    <definedName name="avsqft95inc">[24]LOWEXP!$AC$101:$AC$106</definedName>
    <definedName name="avsqft96inc">[24]LOWEXP!$AH$101:$AH$106</definedName>
    <definedName name="Avstat85" localSheetId="11">'[43]Average Prices'!#REF!</definedName>
    <definedName name="Avstat85">'[43]Average Prices'!#REF!</definedName>
    <definedName name="Avstat86" localSheetId="11">'[43]Average Prices'!#REF!</definedName>
    <definedName name="Avstat86">'[43]Average Prices'!#REF!</definedName>
    <definedName name="Avstat87" localSheetId="11">'[43]Average Prices'!#REF!</definedName>
    <definedName name="Avstat87">'[43]Average Prices'!#REF!</definedName>
    <definedName name="Avstat88" localSheetId="11">'[43]Average Prices'!#REF!</definedName>
    <definedName name="Avstat88">'[43]Average Prices'!#REF!</definedName>
    <definedName name="Avstat89" localSheetId="11">'[43]Average Prices'!#REF!</definedName>
    <definedName name="Avstat89">'[43]Average Prices'!#REF!</definedName>
    <definedName name="Avstat90">'[43]Average Prices'!$G$3</definedName>
    <definedName name="Avstat91">'[43]Average Prices'!$F$5</definedName>
    <definedName name="Avstat92">'[43]Average Prices'!$G$5</definedName>
    <definedName name="Avstat93">'[43]Average Prices'!$E$3</definedName>
    <definedName name="Avstat94" localSheetId="11">'[43]Average Prices'!#REF!</definedName>
    <definedName name="Avstat94">'[43]Average Prices'!#REF!</definedName>
    <definedName name="Avstat95" localSheetId="11">'[43]Average Prices'!#REF!</definedName>
    <definedName name="Avstat95">'[43]Average Prices'!#REF!</definedName>
    <definedName name="Avstat96" localSheetId="11">'[43]Average Prices'!#REF!</definedName>
    <definedName name="Avstat96">'[43]Average Prices'!#REF!</definedName>
    <definedName name="Avstat97">'[43]Average Prices'!$I$4</definedName>
    <definedName name="Azmacort00" localSheetId="7">#REF!</definedName>
    <definedName name="Azmacort00" localSheetId="11">#REF!</definedName>
    <definedName name="Azmacort00">#REF!</definedName>
    <definedName name="Azmacort01" localSheetId="7">#REF!</definedName>
    <definedName name="Azmacort01" localSheetId="11">#REF!</definedName>
    <definedName name="Azmacort01">#REF!</definedName>
    <definedName name="Azmacort02" localSheetId="7">#REF!</definedName>
    <definedName name="Azmacort02" localSheetId="11">#REF!</definedName>
    <definedName name="Azmacort02">#REF!</definedName>
    <definedName name="Azmacort03" localSheetId="7">#REF!</definedName>
    <definedName name="Azmacort03" localSheetId="11">#REF!</definedName>
    <definedName name="Azmacort03">#REF!</definedName>
    <definedName name="Azmacort04" localSheetId="7">#REF!</definedName>
    <definedName name="Azmacort04" localSheetId="11">#REF!</definedName>
    <definedName name="Azmacort04">#REF!</definedName>
    <definedName name="Azmacort05" localSheetId="7">#REF!</definedName>
    <definedName name="Azmacort05" localSheetId="11">#REF!</definedName>
    <definedName name="Azmacort05">#REF!</definedName>
    <definedName name="Azmacort97" localSheetId="7">#REF!</definedName>
    <definedName name="Azmacort97" localSheetId="11">#REF!</definedName>
    <definedName name="Azmacort97">#REF!</definedName>
    <definedName name="Azmacort98" localSheetId="7">#REF!</definedName>
    <definedName name="Azmacort98" localSheetId="11">#REF!</definedName>
    <definedName name="Azmacort98">#REF!</definedName>
    <definedName name="Azmacort99" localSheetId="7">#REF!</definedName>
    <definedName name="Azmacort99" localSheetId="11">#REF!</definedName>
    <definedName name="Azmacort99">#REF!</definedName>
    <definedName name="B" localSheetId="6" hidden="1">{#N/A,#N/A,FALSE,"Sheet1";#N/A,#N/A,FALSE,"Sheet2";#N/A,#N/A,FALSE,"Sheet3";#N/A,#N/A,FALSE,"Sheet4";#N/A,#N/A,FALSE,"Sheet5";#N/A,#N/A,FALSE,"Sheet6"}</definedName>
    <definedName name="B" localSheetId="7" hidden="1">{#N/A,#N/A,FALSE,"Sheet1";#N/A,#N/A,FALSE,"Sheet2";#N/A,#N/A,FALSE,"Sheet3";#N/A,#N/A,FALSE,"Sheet4";#N/A,#N/A,FALSE,"Sheet5";#N/A,#N/A,FALSE,"Sheet6"}</definedName>
    <definedName name="B" localSheetId="4" hidden="1">{#N/A,#N/A,FALSE,"Sheet1";#N/A,#N/A,FALSE,"Sheet2";#N/A,#N/A,FALSE,"Sheet3";#N/A,#N/A,FALSE,"Sheet4";#N/A,#N/A,FALSE,"Sheet5";#N/A,#N/A,FALSE,"Sheet6"}</definedName>
    <definedName name="B" localSheetId="3" hidden="1">{#N/A,#N/A,FALSE,"Sheet1";#N/A,#N/A,FALSE,"Sheet2";#N/A,#N/A,FALSE,"Sheet3";#N/A,#N/A,FALSE,"Sheet4";#N/A,#N/A,FALSE,"Sheet5";#N/A,#N/A,FALSE,"Sheet6"}</definedName>
    <definedName name="B" localSheetId="11" hidden="1">{#N/A,#N/A,FALSE,"Sheet1";#N/A,#N/A,FALSE,"Sheet2";#N/A,#N/A,FALSE,"Sheet3";#N/A,#N/A,FALSE,"Sheet4";#N/A,#N/A,FALSE,"Sheet5";#N/A,#N/A,FALSE,"Sheet6"}</definedName>
    <definedName name="B" hidden="1">{#N/A,#N/A,FALSE,"Sheet1";#N/A,#N/A,FALSE,"Sheet2";#N/A,#N/A,FALSE,"Sheet3";#N/A,#N/A,FALSE,"Sheet4";#N/A,#N/A,FALSE,"Sheet5";#N/A,#N/A,FALSE,"Sheet6"}</definedName>
    <definedName name="B_EBIT">'[29]EBIT model'!$AI$8</definedName>
    <definedName name="B_Sales">'[29]EBIT model'!$AF$8</definedName>
    <definedName name="BA2_">#N/A</definedName>
    <definedName name="Back_to_A1" localSheetId="11">[44]Interim!#REF!</definedName>
    <definedName name="Back_to_A1">[44]Interim!#REF!</definedName>
    <definedName name="backto" localSheetId="11">[45]Links!#REF!</definedName>
    <definedName name="backto">[45]Links!#REF!</definedName>
    <definedName name="balance" localSheetId="7">#REF!</definedName>
    <definedName name="balance" localSheetId="11">#REF!</definedName>
    <definedName name="balance">#REF!</definedName>
    <definedName name="Balance_Sheet" localSheetId="7">#REF!</definedName>
    <definedName name="Balance_Sheet" localSheetId="11">#REF!</definedName>
    <definedName name="Balance_Sheet">#REF!</definedName>
    <definedName name="BalanceSheet" localSheetId="7">#REF!</definedName>
    <definedName name="BalanceSheet" localSheetId="11">#REF!</definedName>
    <definedName name="BalanceSheet">#REF!</definedName>
    <definedName name="BALFULL" localSheetId="7">#REF!</definedName>
    <definedName name="BALFULL" localSheetId="11">#REF!</definedName>
    <definedName name="BALFULL">#REF!</definedName>
    <definedName name="banassetsavg96" localSheetId="7">#REF!</definedName>
    <definedName name="banassetsavg96" localSheetId="11">#REF!</definedName>
    <definedName name="banassetsavg96">#REF!</definedName>
    <definedName name="banassetsavg97" localSheetId="7">#REF!</definedName>
    <definedName name="banassetsavg97" localSheetId="11">#REF!</definedName>
    <definedName name="banassetsavg97">#REF!</definedName>
    <definedName name="banassetsavg98" localSheetId="7">#REF!</definedName>
    <definedName name="banassetsavg98" localSheetId="11">#REF!</definedName>
    <definedName name="banassetsavg98">#REF!</definedName>
    <definedName name="banassetsye96" localSheetId="7">#REF!</definedName>
    <definedName name="banassetsye96" localSheetId="11">#REF!</definedName>
    <definedName name="banassetsye96">#REF!</definedName>
    <definedName name="banassetsye97" localSheetId="7">#REF!</definedName>
    <definedName name="banassetsye97" localSheetId="11">#REF!</definedName>
    <definedName name="banassetsye97">#REF!</definedName>
    <definedName name="banassetsye98" localSheetId="7">#REF!</definedName>
    <definedName name="banassetsye98" localSheetId="11">#REF!</definedName>
    <definedName name="banassetsye98">#REF!</definedName>
    <definedName name="banbookval97" localSheetId="7">#REF!</definedName>
    <definedName name="banbookval97" localSheetId="11">#REF!</definedName>
    <definedName name="banbookval97">#REF!</definedName>
    <definedName name="banbookval98" localSheetId="7">#REF!</definedName>
    <definedName name="banbookval98" localSheetId="11">#REF!</definedName>
    <definedName name="banbookval98">#REF!</definedName>
    <definedName name="banbookval99" localSheetId="7">#REF!</definedName>
    <definedName name="banbookval99" localSheetId="11">#REF!</definedName>
    <definedName name="banbookval99">#REF!</definedName>
    <definedName name="banche" localSheetId="7">#REF!</definedName>
    <definedName name="banche" localSheetId="11">#REF!</definedName>
    <definedName name="banche">#REF!</definedName>
    <definedName name="bancomm96" localSheetId="7">#REF!</definedName>
    <definedName name="bancomm96" localSheetId="11">#REF!</definedName>
    <definedName name="bancomm96">#REF!</definedName>
    <definedName name="bancomm97" localSheetId="7">#REF!</definedName>
    <definedName name="bancomm97" localSheetId="11">#REF!</definedName>
    <definedName name="bancomm97">#REF!</definedName>
    <definedName name="bancomm98" localSheetId="7">#REF!</definedName>
    <definedName name="bancomm98" localSheetId="11">#REF!</definedName>
    <definedName name="bancomm98">#REF!</definedName>
    <definedName name="bandepsavg96" localSheetId="7">#REF!</definedName>
    <definedName name="bandepsavg96" localSheetId="11">#REF!</definedName>
    <definedName name="bandepsavg96">#REF!</definedName>
    <definedName name="bandepsavg97" localSheetId="7">#REF!</definedName>
    <definedName name="bandepsavg97" localSheetId="11">#REF!</definedName>
    <definedName name="bandepsavg97">#REF!</definedName>
    <definedName name="bandepsavg98" localSheetId="7">#REF!</definedName>
    <definedName name="bandepsavg98" localSheetId="11">#REF!</definedName>
    <definedName name="bandepsavg98">#REF!</definedName>
    <definedName name="bandepsye96" localSheetId="7">#REF!</definedName>
    <definedName name="bandepsye96" localSheetId="11">#REF!</definedName>
    <definedName name="bandepsye96">#REF!</definedName>
    <definedName name="bandepsye97" localSheetId="7">#REF!</definedName>
    <definedName name="bandepsye97" localSheetId="11">#REF!</definedName>
    <definedName name="bandepsye97">#REF!</definedName>
    <definedName name="bandepsye98" localSheetId="7">#REF!</definedName>
    <definedName name="bandepsye98" localSheetId="11">#REF!</definedName>
    <definedName name="bandepsye98">#REF!</definedName>
    <definedName name="banequityye96" localSheetId="7">#REF!</definedName>
    <definedName name="banequityye96" localSheetId="11">#REF!</definedName>
    <definedName name="banequityye96">#REF!</definedName>
    <definedName name="banequityye97" localSheetId="7">#REF!</definedName>
    <definedName name="banequityye97" localSheetId="11">#REF!</definedName>
    <definedName name="banequityye97">#REF!</definedName>
    <definedName name="banequityye98" localSheetId="7">#REF!</definedName>
    <definedName name="banequityye98" localSheetId="11">#REF!</definedName>
    <definedName name="banequityye98">#REF!</definedName>
    <definedName name="banexceptional96" localSheetId="7">#REF!</definedName>
    <definedName name="banexceptional96" localSheetId="11">#REF!</definedName>
    <definedName name="banexceptional96">#REF!</definedName>
    <definedName name="banexceptional97" localSheetId="7">#REF!</definedName>
    <definedName name="banexceptional97" localSheetId="11">#REF!</definedName>
    <definedName name="banexceptional97">#REF!</definedName>
    <definedName name="banexceptional98" localSheetId="7">#REF!</definedName>
    <definedName name="banexceptional98" localSheetId="11">#REF!</definedName>
    <definedName name="banexceptional98">#REF!</definedName>
    <definedName name="bangop96" localSheetId="7">#REF!</definedName>
    <definedName name="bangop96" localSheetId="11">#REF!</definedName>
    <definedName name="bangop96">#REF!</definedName>
    <definedName name="bangop97" localSheetId="7">#REF!</definedName>
    <definedName name="bangop97" localSheetId="11">#REF!</definedName>
    <definedName name="bangop97">#REF!</definedName>
    <definedName name="bangop98" localSheetId="7">#REF!</definedName>
    <definedName name="bangop98" localSheetId="11">#REF!</definedName>
    <definedName name="bangop98">#REF!</definedName>
    <definedName name="BaniData">[46]Datasheet!$A:$IV</definedName>
    <definedName name="BaniPeriod">[46]Datasheet!$A$6:$IV$6</definedName>
    <definedName name="banllr96" localSheetId="7">#REF!</definedName>
    <definedName name="banllr96" localSheetId="11">#REF!</definedName>
    <definedName name="banllr96">#REF!</definedName>
    <definedName name="banloansavg96" localSheetId="7">#REF!</definedName>
    <definedName name="banloansavg96" localSheetId="11">#REF!</definedName>
    <definedName name="banloansavg96">#REF!</definedName>
    <definedName name="banloansavg97" localSheetId="7">#REF!</definedName>
    <definedName name="banloansavg97" localSheetId="11">#REF!</definedName>
    <definedName name="banloansavg97">#REF!</definedName>
    <definedName name="banloansavg98" localSheetId="7">#REF!</definedName>
    <definedName name="banloansavg98" localSheetId="11">#REF!</definedName>
    <definedName name="banloansavg98">#REF!</definedName>
    <definedName name="banloansye96" localSheetId="7">#REF!</definedName>
    <definedName name="banloansye96" localSheetId="11">#REF!</definedName>
    <definedName name="banloansye96">#REF!</definedName>
    <definedName name="bannetnonintinc96" localSheetId="7">#REF!</definedName>
    <definedName name="bannetnonintinc96" localSheetId="11">#REF!</definedName>
    <definedName name="bannetnonintinc96">#REF!</definedName>
    <definedName name="bannetnonintinc97" localSheetId="7">#REF!</definedName>
    <definedName name="bannetnonintinc97" localSheetId="11">#REF!</definedName>
    <definedName name="bannetnonintinc97">#REF!</definedName>
    <definedName name="bannetnonintinc98" localSheetId="7">#REF!</definedName>
    <definedName name="bannetnonintinc98" localSheetId="11">#REF!</definedName>
    <definedName name="bannetnonintinc98">#REF!</definedName>
    <definedName name="bannii96" localSheetId="7">#REF!</definedName>
    <definedName name="bannii96" localSheetId="11">#REF!</definedName>
    <definedName name="bannii96">#REF!</definedName>
    <definedName name="bannii97" localSheetId="7">#REF!</definedName>
    <definedName name="bannii97" localSheetId="11">#REF!</definedName>
    <definedName name="bannii97">#REF!</definedName>
    <definedName name="bannii98" localSheetId="7">#REF!</definedName>
    <definedName name="bannii98" localSheetId="11">#REF!</definedName>
    <definedName name="bannii98">#REF!</definedName>
    <definedName name="banprov96" localSheetId="7">#REF!</definedName>
    <definedName name="banprov96" localSheetId="11">#REF!</definedName>
    <definedName name="banprov96">#REF!</definedName>
    <definedName name="banprov97" localSheetId="7">#REF!</definedName>
    <definedName name="banprov97" localSheetId="11">#REF!</definedName>
    <definedName name="banprov97">#REF!</definedName>
    <definedName name="banprov98" localSheetId="7">#REF!</definedName>
    <definedName name="banprov98" localSheetId="11">#REF!</definedName>
    <definedName name="banprov98">#REF!</definedName>
    <definedName name="banroa96" localSheetId="7">#REF!</definedName>
    <definedName name="banroa96" localSheetId="11">#REF!</definedName>
    <definedName name="banroa96">#REF!</definedName>
    <definedName name="banroa97" localSheetId="7">#REF!</definedName>
    <definedName name="banroa97" localSheetId="11">#REF!</definedName>
    <definedName name="banroa97">#REF!</definedName>
    <definedName name="banroa98" localSheetId="7">#REF!</definedName>
    <definedName name="banroa98" localSheetId="11">#REF!</definedName>
    <definedName name="banroa98">#REF!</definedName>
    <definedName name="bansharesavg96" localSheetId="7">#REF!</definedName>
    <definedName name="bansharesavg96" localSheetId="11">#REF!</definedName>
    <definedName name="bansharesavg96">#REF!</definedName>
    <definedName name="bansharesavg97" localSheetId="7">#REF!</definedName>
    <definedName name="bansharesavg97" localSheetId="11">#REF!</definedName>
    <definedName name="bansharesavg97">#REF!</definedName>
    <definedName name="bansharesavg98" localSheetId="7">#REF!</definedName>
    <definedName name="bansharesavg98" localSheetId="11">#REF!</definedName>
    <definedName name="bansharesavg98">#REF!</definedName>
    <definedName name="bansharesavgfd96" localSheetId="7">#REF!</definedName>
    <definedName name="bansharesavgfd96" localSheetId="11">#REF!</definedName>
    <definedName name="bansharesavgfd96">#REF!</definedName>
    <definedName name="bansharesavgfd97" localSheetId="7">#REF!</definedName>
    <definedName name="bansharesavgfd97" localSheetId="11">#REF!</definedName>
    <definedName name="bansharesavgfd97">#REF!</definedName>
    <definedName name="bansharesavgfd98" localSheetId="7">#REF!</definedName>
    <definedName name="bansharesavgfd98" localSheetId="11">#REF!</definedName>
    <definedName name="bansharesavgfd98">#REF!</definedName>
    <definedName name="bansharesye97" localSheetId="7">#REF!</definedName>
    <definedName name="bansharesye97" localSheetId="11">#REF!</definedName>
    <definedName name="bansharesye97">#REF!</definedName>
    <definedName name="bansharesye98" localSheetId="7">#REF!</definedName>
    <definedName name="bansharesye98" localSheetId="11">#REF!</definedName>
    <definedName name="bansharesye98">#REF!</definedName>
    <definedName name="bantax96" localSheetId="7">#REF!</definedName>
    <definedName name="bantax96" localSheetId="11">#REF!</definedName>
    <definedName name="bantax96">#REF!</definedName>
    <definedName name="bantax97" localSheetId="7">#REF!</definedName>
    <definedName name="bantax97" localSheetId="11">#REF!</definedName>
    <definedName name="bantax97">#REF!</definedName>
    <definedName name="bantax98" localSheetId="7">#REF!</definedName>
    <definedName name="bantax98" localSheetId="11">#REF!</definedName>
    <definedName name="bantax98">#REF!</definedName>
    <definedName name="bantaxrate96" localSheetId="7">#REF!</definedName>
    <definedName name="bantaxrate96" localSheetId="11">#REF!</definedName>
    <definedName name="bantaxrate96">#REF!</definedName>
    <definedName name="bantaxrate97" localSheetId="7">#REF!</definedName>
    <definedName name="bantaxrate97" localSheetId="11">#REF!</definedName>
    <definedName name="bantaxrate97">#REF!</definedName>
    <definedName name="bantaxrate98" localSheetId="7">#REF!</definedName>
    <definedName name="bantaxrate98" localSheetId="11">#REF!</definedName>
    <definedName name="bantaxrate98">#REF!</definedName>
    <definedName name="bantotriskass96" localSheetId="7">#REF!</definedName>
    <definedName name="bantotriskass96" localSheetId="11">#REF!</definedName>
    <definedName name="bantotriskass96">#REF!</definedName>
    <definedName name="bantrad96" localSheetId="7">#REF!</definedName>
    <definedName name="bantrad96" localSheetId="11">#REF!</definedName>
    <definedName name="bantrad96">#REF!</definedName>
    <definedName name="bantrad97" localSheetId="7">#REF!</definedName>
    <definedName name="bantrad97" localSheetId="11">#REF!</definedName>
    <definedName name="bantrad97">#REF!</definedName>
    <definedName name="bantrad98" localSheetId="7">#REF!</definedName>
    <definedName name="bantrad98" localSheetId="11">#REF!</definedName>
    <definedName name="bantrad98">#REF!</definedName>
    <definedName name="BarcData">[47]Datasheet!$A:$IV</definedName>
    <definedName name="barckf" localSheetId="11">[38]Input!#REF!</definedName>
    <definedName name="barckf">[38]Input!#REF!</definedName>
    <definedName name="barcpbkf" localSheetId="7">#REF!</definedName>
    <definedName name="barcpbkf" localSheetId="11">#REF!</definedName>
    <definedName name="barcpbkf">#REF!</definedName>
    <definedName name="BarcPeriod">[47]Datasheet!$A$6:$IV$6</definedName>
    <definedName name="BaseMonth" localSheetId="11">[48]STM!#REF!</definedName>
    <definedName name="BaseMonth">[48]STM!#REF!</definedName>
    <definedName name="BASF____Balance_Sheet_Summary_1988_1998E__DMm">[49]Publish!$A$125:$N$196</definedName>
    <definedName name="BASF___Margins_and_Ratios_1988_1998E">[49]Publish!$A$201:$N$254</definedName>
    <definedName name="BASF___Profit_and_Loss_Summary_1988_2000E__EURm">[49]Publish!$A$75:$N$123</definedName>
    <definedName name="BASF___Quarterly_Sales_and_Profit_Trend_1998___2000E__EURm">[49]Publish!$A$17:$P$73</definedName>
    <definedName name="Bayer____Balance_Sheet_Summary_1988_1998E__DMm" localSheetId="7">#REF!</definedName>
    <definedName name="Bayer____Balance_Sheet_Summary_1988_1998E__DMm" localSheetId="11">#REF!</definedName>
    <definedName name="Bayer____Balance_Sheet_Summary_1988_1998E__DMm">#REF!</definedName>
    <definedName name="Bayer___Divisional_Trends_1996___1998E__DMm" localSheetId="7">#REF!</definedName>
    <definedName name="Bayer___Divisional_Trends_1996___1998E__DMm" localSheetId="11">#REF!</definedName>
    <definedName name="Bayer___Divisional_Trends_1996___1998E__DMm">#REF!</definedName>
    <definedName name="Bayer___Margins_and_Ratios_1988_1998E" localSheetId="7">#REF!</definedName>
    <definedName name="Bayer___Margins_and_Ratios_1988_1998E" localSheetId="11">#REF!</definedName>
    <definedName name="Bayer___Margins_and_Ratios_1988_1998E">#REF!</definedName>
    <definedName name="Bayer___Profit_and_Loss_Summary_1988_1998E__DMm" localSheetId="7">#REF!</definedName>
    <definedName name="Bayer___Profit_and_Loss_Summary_1988_1998E__DMm" localSheetId="11">#REF!</definedName>
    <definedName name="Bayer___Profit_and_Loss_Summary_1988_1998E__DMm">#REF!</definedName>
    <definedName name="Bayer___Quarterly_Sales_and_Profit_Trend_1996___1998E__DMm" localSheetId="7">#REF!</definedName>
    <definedName name="Bayer___Quarterly_Sales_and_Profit_Trend_1996___1998E__DMm" localSheetId="11">#REF!</definedName>
    <definedName name="Bayer___Quarterly_Sales_and_Profit_Trend_1996___1998E__DMm">#REF!</definedName>
    <definedName name="BBpbkc" localSheetId="7">#REF!</definedName>
    <definedName name="BBpbkc" localSheetId="11">#REF!</definedName>
    <definedName name="BBpbkc">#REF!</definedName>
    <definedName name="BBsusroe" localSheetId="7">#REF!</definedName>
    <definedName name="BBsusroe" localSheetId="11">#REF!</definedName>
    <definedName name="BBsusroe">#REF!</definedName>
    <definedName name="BBVA_LATAM_NII" localSheetId="7">#REF!</definedName>
    <definedName name="BBVA_LATAM_NII" localSheetId="11">#REF!</definedName>
    <definedName name="BBVA_LATAM_NII">#REF!</definedName>
    <definedName name="BCI" localSheetId="7">#REF!</definedName>
    <definedName name="BCI" localSheetId="11">#REF!</definedName>
    <definedName name="BCI">#REF!</definedName>
    <definedName name="BdN" localSheetId="7">#REF!</definedName>
    <definedName name="BdN" localSheetId="11">#REF!</definedName>
    <definedName name="BdN">#REF!</definedName>
    <definedName name="BdR" localSheetId="7">#REF!</definedName>
    <definedName name="BdR" localSheetId="11">#REF!</definedName>
    <definedName name="BdR">#REF!</definedName>
    <definedName name="belnew" localSheetId="6" hidden="1">{"IS",#N/A,FALSE,"IS";"RPTIS",#N/A,FALSE,"RPTIS";"STATS",#N/A,FALSE,"STATS";"CELL",#N/A,FALSE,"CELL";"BS",#N/A,FALSE,"BS"}</definedName>
    <definedName name="belnew" localSheetId="7" hidden="1">{"IS",#N/A,FALSE,"IS";"RPTIS",#N/A,FALSE,"RPTIS";"STATS",#N/A,FALSE,"STATS";"CELL",#N/A,FALSE,"CELL";"BS",#N/A,FALSE,"BS"}</definedName>
    <definedName name="belnew" localSheetId="4" hidden="1">{"IS",#N/A,FALSE,"IS";"RPTIS",#N/A,FALSE,"RPTIS";"STATS",#N/A,FALSE,"STATS";"CELL",#N/A,FALSE,"CELL";"BS",#N/A,FALSE,"BS"}</definedName>
    <definedName name="belnew" localSheetId="3" hidden="1">{"IS",#N/A,FALSE,"IS";"RPTIS",#N/A,FALSE,"RPTIS";"STATS",#N/A,FALSE,"STATS";"CELL",#N/A,FALSE,"CELL";"BS",#N/A,FALSE,"BS"}</definedName>
    <definedName name="belnew" localSheetId="11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nettonpr">[41]Datastream!$B$9</definedName>
    <definedName name="Beraprost00" localSheetId="7">#REF!</definedName>
    <definedName name="Beraprost00" localSheetId="11">#REF!</definedName>
    <definedName name="Beraprost00">#REF!</definedName>
    <definedName name="Beraprost01" localSheetId="7">#REF!</definedName>
    <definedName name="Beraprost01" localSheetId="11">#REF!</definedName>
    <definedName name="Beraprost01">#REF!</definedName>
    <definedName name="Beraprost02" localSheetId="7">#REF!</definedName>
    <definedName name="Beraprost02" localSheetId="11">#REF!</definedName>
    <definedName name="Beraprost02">#REF!</definedName>
    <definedName name="Beraprost03" localSheetId="7">#REF!</definedName>
    <definedName name="Beraprost03" localSheetId="11">#REF!</definedName>
    <definedName name="Beraprost03">#REF!</definedName>
    <definedName name="Beraprost04" localSheetId="7">#REF!</definedName>
    <definedName name="Beraprost04" localSheetId="11">#REF!</definedName>
    <definedName name="Beraprost04">#REF!</definedName>
    <definedName name="Beraprost05" localSheetId="7">#REF!</definedName>
    <definedName name="Beraprost05" localSheetId="11">#REF!</definedName>
    <definedName name="Beraprost05">#REF!</definedName>
    <definedName name="Beraprost97" localSheetId="7">#REF!</definedName>
    <definedName name="Beraprost97" localSheetId="11">#REF!</definedName>
    <definedName name="Beraprost97">#REF!</definedName>
    <definedName name="Beraprost98" localSheetId="7">#REF!</definedName>
    <definedName name="Beraprost98" localSheetId="11">#REF!</definedName>
    <definedName name="Beraprost98">#REF!</definedName>
    <definedName name="Beraprost99" localSheetId="7">#REF!</definedName>
    <definedName name="Beraprost99" localSheetId="11">#REF!</definedName>
    <definedName name="Beraprost99">#REF!</definedName>
    <definedName name="BFlnsh199div" localSheetId="7">#REF!</definedName>
    <definedName name="BFlnsh199div" localSheetId="11">#REF!</definedName>
    <definedName name="BFlnsh199div">#REF!</definedName>
    <definedName name="BHFA">'[50]Asset Risk III'!$E$8</definedName>
    <definedName name="BIGTABLE">'[51]sum of parts'!$M$260:$Q$336</definedName>
    <definedName name="BINDATA" localSheetId="7">#REF!</definedName>
    <definedName name="BINDATA" localSheetId="11">#REF!</definedName>
    <definedName name="BINDATA">#REF!</definedName>
    <definedName name="BINPeriod" localSheetId="7">#REF!</definedName>
    <definedName name="BINPeriod" localSheetId="11">#REF!</definedName>
    <definedName name="BINPeriod">#REF!</definedName>
    <definedName name="bis00" localSheetId="11">'[18]Annual Model'!#REF!</definedName>
    <definedName name="bis00">'[18]Annual Model'!#REF!</definedName>
    <definedName name="bis12q97" localSheetId="7">#REF!</definedName>
    <definedName name="bis12q97" localSheetId="11">#REF!</definedName>
    <definedName name="bis12q97">#REF!</definedName>
    <definedName name="bis1q98" localSheetId="7">#REF!</definedName>
    <definedName name="bis1q98" localSheetId="11">#REF!</definedName>
    <definedName name="bis1q98">#REF!</definedName>
    <definedName name="bis1q99" localSheetId="7">#REF!</definedName>
    <definedName name="bis1q99" localSheetId="11">#REF!</definedName>
    <definedName name="bis1q99">#REF!</definedName>
    <definedName name="bis2q97" localSheetId="7">#REF!</definedName>
    <definedName name="bis2q97" localSheetId="11">#REF!</definedName>
    <definedName name="bis2q97">#REF!</definedName>
    <definedName name="bis2q97b" localSheetId="7">#REF!</definedName>
    <definedName name="bis2q97b" localSheetId="11">#REF!</definedName>
    <definedName name="bis2q97b">#REF!</definedName>
    <definedName name="bis2q98" localSheetId="7">#REF!</definedName>
    <definedName name="bis2q98" localSheetId="11">#REF!</definedName>
    <definedName name="bis2q98">#REF!</definedName>
    <definedName name="bis2q99" localSheetId="7">#REF!</definedName>
    <definedName name="bis2q99" localSheetId="11">#REF!</definedName>
    <definedName name="bis2q99">#REF!</definedName>
    <definedName name="bis3q98" localSheetId="7">#REF!</definedName>
    <definedName name="bis3q98" localSheetId="11">#REF!</definedName>
    <definedName name="bis3q98">#REF!</definedName>
    <definedName name="bis3q99" localSheetId="7">#REF!</definedName>
    <definedName name="bis3q99" localSheetId="11">#REF!</definedName>
    <definedName name="bis3q99">#REF!</definedName>
    <definedName name="bis4q98" localSheetId="7">#REF!</definedName>
    <definedName name="bis4q98" localSheetId="11">#REF!</definedName>
    <definedName name="bis4q98">#REF!</definedName>
    <definedName name="bish197">'[19]Interim Model'!$U$105</definedName>
    <definedName name="bish198">'[19]Interim Model'!$AB$105</definedName>
    <definedName name="bish199">'[19]Interim Model'!$AI$105</definedName>
    <definedName name="bish298">'[19]Interim Model'!$AE$105</definedName>
    <definedName name="bisq296" localSheetId="7">#REF!</definedName>
    <definedName name="bisq296" localSheetId="11">#REF!</definedName>
    <definedName name="bisq296">#REF!</definedName>
    <definedName name="bkval93" localSheetId="7">#REF!</definedName>
    <definedName name="bkval93" localSheetId="11">#REF!</definedName>
    <definedName name="bkval93">#REF!</definedName>
    <definedName name="bkval94" localSheetId="7">#REF!</definedName>
    <definedName name="bkval94" localSheetId="11">#REF!</definedName>
    <definedName name="bkval94">#REF!</definedName>
    <definedName name="bkval95" localSheetId="7">#REF!</definedName>
    <definedName name="bkval95" localSheetId="11">#REF!</definedName>
    <definedName name="bkval95">#REF!</definedName>
    <definedName name="bkval96" localSheetId="7">#REF!</definedName>
    <definedName name="bkval96" localSheetId="11">#REF!</definedName>
    <definedName name="bkval96">#REF!</definedName>
    <definedName name="bkval97" localSheetId="7">#REF!</definedName>
    <definedName name="bkval97" localSheetId="11">#REF!</definedName>
    <definedName name="bkval97">#REF!</definedName>
    <definedName name="bkval98" localSheetId="7">#REF!</definedName>
    <definedName name="bkval98" localSheetId="11">#REF!</definedName>
    <definedName name="bkval98">#REF!</definedName>
    <definedName name="bkval99" localSheetId="7">#REF!</definedName>
    <definedName name="bkval99" localSheetId="11">#REF!</definedName>
    <definedName name="bkval99">#REF!</definedName>
    <definedName name="bkvaladjDL95" localSheetId="11">'[19]Annual Model'!#REF!</definedName>
    <definedName name="bkvaladjDL95">'[19]Annual Model'!#REF!</definedName>
    <definedName name="bkvaladjDL96" localSheetId="11">'[19]Annual Model'!#REF!</definedName>
    <definedName name="bkvaladjDL96">'[19]Annual Model'!#REF!</definedName>
    <definedName name="bkvaladjDL97" localSheetId="11">'[19]Annual Model'!#REF!</definedName>
    <definedName name="bkvaladjDL97">'[19]Annual Model'!#REF!</definedName>
    <definedName name="bkvaladjDL98" localSheetId="11">'[19]Annual Model'!#REF!</definedName>
    <definedName name="bkvaladjDL98">'[19]Annual Model'!#REF!</definedName>
    <definedName name="BLA" localSheetId="7">#REF!</definedName>
    <definedName name="BLA" localSheetId="11">#REF!</definedName>
    <definedName name="BLA">#REF!</definedName>
    <definedName name="BLPH1" localSheetId="7" hidden="1">#REF!</definedName>
    <definedName name="BLPH1" localSheetId="11" hidden="1">#REF!</definedName>
    <definedName name="BLPH1" hidden="1">#REF!</definedName>
    <definedName name="BLPH2" localSheetId="7" hidden="1">#REF!</definedName>
    <definedName name="BLPH2" localSheetId="11" hidden="1">#REF!</definedName>
    <definedName name="BLPH2" hidden="1">#REF!</definedName>
    <definedName name="BLPH3" localSheetId="7" hidden="1">#REF!</definedName>
    <definedName name="BLPH3" localSheetId="11" hidden="1">#REF!</definedName>
    <definedName name="BLPH3" hidden="1">#REF!</definedName>
    <definedName name="BLPH4" localSheetId="7" hidden="1">#REF!</definedName>
    <definedName name="BLPH4" localSheetId="11" hidden="1">#REF!</definedName>
    <definedName name="BLPH4" hidden="1">#REF!</definedName>
    <definedName name="BLPH5" localSheetId="7" hidden="1">#REF!</definedName>
    <definedName name="BLPH5" localSheetId="11" hidden="1">#REF!</definedName>
    <definedName name="BLPH5" hidden="1">#REF!</definedName>
    <definedName name="BLPH6" localSheetId="7" hidden="1">#REF!</definedName>
    <definedName name="BLPH6" localSheetId="11" hidden="1">#REF!</definedName>
    <definedName name="BLPH6" hidden="1">#REF!</definedName>
    <definedName name="BLPH7" localSheetId="7" hidden="1">#REF!</definedName>
    <definedName name="BLPH7" localSheetId="11" hidden="1">#REF!</definedName>
    <definedName name="BLPH7" hidden="1">#REF!</definedName>
    <definedName name="BLQ" localSheetId="7">#REF!</definedName>
    <definedName name="BLQ" localSheetId="11">#REF!</definedName>
    <definedName name="BLQ">#REF!</definedName>
    <definedName name="BLUE" localSheetId="6" hidden="1">{#N/A,#N/A,FALSE,"Barranca"}</definedName>
    <definedName name="BLUE" localSheetId="7" hidden="1">{#N/A,#N/A,FALSE,"Barranca"}</definedName>
    <definedName name="BLUE" localSheetId="4" hidden="1">{#N/A,#N/A,FALSE,"Barranca"}</definedName>
    <definedName name="BLUE" localSheetId="3" hidden="1">{#N/A,#N/A,FALSE,"Barranca"}</definedName>
    <definedName name="BLUE" localSheetId="11" hidden="1">{#N/A,#N/A,FALSE,"Barranca"}</definedName>
    <definedName name="BLUE" hidden="1">{#N/A,#N/A,FALSE,"Barranca"}</definedName>
    <definedName name="BLUE1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NL_ord" localSheetId="7">#REF!</definedName>
    <definedName name="BNL_ord" localSheetId="11">#REF!</definedName>
    <definedName name="BNL_ord">#REF!</definedName>
    <definedName name="BNL_sav" localSheetId="7">#REF!</definedName>
    <definedName name="BNL_sav" localSheetId="11">#REF!</definedName>
    <definedName name="BNL_sav">#REF!</definedName>
    <definedName name="book_value">[52]SOTP!$B$9:$C$27</definedName>
    <definedName name="Book2000" localSheetId="11">'[21]Main model'!#REF!</definedName>
    <definedName name="Book2000">'[21]Main model'!#REF!</definedName>
    <definedName name="Book96" localSheetId="11">'[21]Main model'!#REF!</definedName>
    <definedName name="Book96">'[21]Main model'!#REF!</definedName>
    <definedName name="Book97" localSheetId="11">'[21]Main model'!#REF!</definedName>
    <definedName name="Book97">'[21]Main model'!#REF!</definedName>
    <definedName name="Book98" localSheetId="11">'[21]Main model'!#REF!</definedName>
    <definedName name="Book98">'[21]Main model'!#REF!</definedName>
    <definedName name="Book99" localSheetId="11">'[21]Main model'!#REF!</definedName>
    <definedName name="Book99">'[21]Main model'!#REF!</definedName>
    <definedName name="bookval00">'[18]Annual Model'!$H$47</definedName>
    <definedName name="bookval01">'[18]Annual Model'!$I$47</definedName>
    <definedName name="bookval02">'[18]Annual Model'!$J$47</definedName>
    <definedName name="bookval197" localSheetId="7">#REF!</definedName>
    <definedName name="bookval197" localSheetId="11">#REF!</definedName>
    <definedName name="bookval197">#REF!</definedName>
    <definedName name="bookval198" localSheetId="7">#REF!</definedName>
    <definedName name="bookval198" localSheetId="11">#REF!</definedName>
    <definedName name="bookval198">#REF!</definedName>
    <definedName name="bookval199" localSheetId="7">#REF!</definedName>
    <definedName name="bookval199" localSheetId="11">#REF!</definedName>
    <definedName name="bookval199">#REF!</definedName>
    <definedName name="bookval199e" localSheetId="7">#REF!</definedName>
    <definedName name="bookval199e" localSheetId="11">#REF!</definedName>
    <definedName name="bookval199e">#REF!</definedName>
    <definedName name="bookval1q00">'[18]Quarterly Model'!$G$47</definedName>
    <definedName name="bookval297" localSheetId="7">#REF!</definedName>
    <definedName name="bookval297" localSheetId="11">#REF!</definedName>
    <definedName name="bookval297">#REF!</definedName>
    <definedName name="bookval297b" localSheetId="7">#REF!</definedName>
    <definedName name="bookval297b" localSheetId="11">#REF!</definedName>
    <definedName name="bookval297b">#REF!</definedName>
    <definedName name="bookval298" localSheetId="7">#REF!</definedName>
    <definedName name="bookval298" localSheetId="11">#REF!</definedName>
    <definedName name="bookval298">#REF!</definedName>
    <definedName name="bookval299" localSheetId="7">#REF!</definedName>
    <definedName name="bookval299" localSheetId="11">#REF!</definedName>
    <definedName name="bookval299">#REF!</definedName>
    <definedName name="bookval2q00">'[18]Quarterly Model'!$I$47</definedName>
    <definedName name="bookval2q97" localSheetId="7">#REF!</definedName>
    <definedName name="bookval2q97" localSheetId="11">#REF!</definedName>
    <definedName name="bookval2q97">#REF!</definedName>
    <definedName name="bookval397" localSheetId="7">#REF!</definedName>
    <definedName name="bookval397" localSheetId="11">#REF!</definedName>
    <definedName name="bookval397">#REF!</definedName>
    <definedName name="bookval398" localSheetId="7">#REF!</definedName>
    <definedName name="bookval398" localSheetId="11">#REF!</definedName>
    <definedName name="bookval398">#REF!</definedName>
    <definedName name="bookval398e" localSheetId="7">#REF!</definedName>
    <definedName name="bookval398e" localSheetId="11">#REF!</definedName>
    <definedName name="bookval398e">#REF!</definedName>
    <definedName name="bookval399" localSheetId="7">#REF!</definedName>
    <definedName name="bookval399" localSheetId="11">#REF!</definedName>
    <definedName name="bookval399">#REF!</definedName>
    <definedName name="bookval399e" localSheetId="7">#REF!</definedName>
    <definedName name="bookval399e" localSheetId="11">#REF!</definedName>
    <definedName name="bookval399e">#REF!</definedName>
    <definedName name="bookval3q00">'[18]Quarterly Model'!$K$47</definedName>
    <definedName name="bookval497" localSheetId="7">#REF!</definedName>
    <definedName name="bookval497" localSheetId="11">#REF!</definedName>
    <definedName name="bookval497">#REF!</definedName>
    <definedName name="bookval498" localSheetId="7">#REF!</definedName>
    <definedName name="bookval498" localSheetId="11">#REF!</definedName>
    <definedName name="bookval498">#REF!</definedName>
    <definedName name="bookval499" localSheetId="7">#REF!</definedName>
    <definedName name="bookval499" localSheetId="11">#REF!</definedName>
    <definedName name="bookval499">#REF!</definedName>
    <definedName name="bookval4q00">'[18]Quarterly Model'!$M$47</definedName>
    <definedName name="bookval92">'[19]Annual Model'!$E$42</definedName>
    <definedName name="bookval93">'[19]Annual Model'!$F$42</definedName>
    <definedName name="bookval94">'[19]Annual Model'!$G$42</definedName>
    <definedName name="bookval95">'[19]Annual Model'!$I$42</definedName>
    <definedName name="bookval96">'[19]Annual Model'!$L$42</definedName>
    <definedName name="bookval97" localSheetId="7">#REF!</definedName>
    <definedName name="bookval97" localSheetId="11">#REF!</definedName>
    <definedName name="bookval97">#REF!</definedName>
    <definedName name="bookval98" localSheetId="11">'[18]Annual Model'!#REF!</definedName>
    <definedName name="bookval98">'[18]Annual Model'!#REF!</definedName>
    <definedName name="bookval99">'[18]Annual Model'!$G$47</definedName>
    <definedName name="bookvalq296" localSheetId="7">#REF!</definedName>
    <definedName name="bookvalq296" localSheetId="11">#REF!</definedName>
    <definedName name="bookvalq296">#REF!</definedName>
    <definedName name="bookvalue98">'[18]Annual Model'!$E$53</definedName>
    <definedName name="BP_Date" localSheetId="7">#REF!</definedName>
    <definedName name="BP_Date" localSheetId="11">#REF!</definedName>
    <definedName name="BP_Date">#REF!</definedName>
    <definedName name="BpunData" localSheetId="7">#REF!</definedName>
    <definedName name="BpunData" localSheetId="11">#REF!</definedName>
    <definedName name="BpunData">#REF!</definedName>
    <definedName name="BpunPeriod" localSheetId="7">#REF!</definedName>
    <definedName name="BpunPeriod" localSheetId="11">#REF!</definedName>
    <definedName name="BpunPeriod">#REF!</definedName>
    <definedName name="BpvnData">[53]Datasheet!$A:$IV</definedName>
    <definedName name="BpvnPeriod">[54]Datasheet!$A$6:$IV$6</definedName>
    <definedName name="Brands" localSheetId="7">#REF!</definedName>
    <definedName name="Brands" localSheetId="11">#REF!</definedName>
    <definedName name="Brands">#REF!</definedName>
    <definedName name="bridge" localSheetId="11">'[13]Qtly PL'!#REF!</definedName>
    <definedName name="bridge">'[13]Qtly PL'!#REF!</definedName>
    <definedName name="BRLRATE">[55]Input!$C$5</definedName>
    <definedName name="BROADCASTING" localSheetId="7">#REF!</definedName>
    <definedName name="BROADCASTING" localSheetId="11">#REF!</definedName>
    <definedName name="BROADCASTING">#REF!</definedName>
    <definedName name="BrPt1" localSheetId="7">#REF!</definedName>
    <definedName name="BrPt1" localSheetId="11">#REF!</definedName>
    <definedName name="BrPt1">#REF!</definedName>
    <definedName name="BrPt2" localSheetId="7">#REF!</definedName>
    <definedName name="BrPt2" localSheetId="11">#REF!</definedName>
    <definedName name="BrPt2">#REF!</definedName>
    <definedName name="BrPt3" localSheetId="7">#REF!</definedName>
    <definedName name="BrPt3" localSheetId="11">#REF!</definedName>
    <definedName name="BrPt3">#REF!</definedName>
    <definedName name="BrPt4" localSheetId="7">#REF!</definedName>
    <definedName name="BrPt4" localSheetId="11">#REF!</definedName>
    <definedName name="BrPt4">#REF!</definedName>
    <definedName name="BrPt5" localSheetId="7">#REF!</definedName>
    <definedName name="BrPt5" localSheetId="11">#REF!</definedName>
    <definedName name="BrPt5">#REF!</definedName>
    <definedName name="BS">[52]Published!$BQ$3:$CB$55</definedName>
    <definedName name="bsctkf" localSheetId="11">[38]Input!#REF!</definedName>
    <definedName name="bsctkf">[38]Input!#REF!</definedName>
    <definedName name="bsctpbkf" localSheetId="7">#REF!</definedName>
    <definedName name="bsctpbkf" localSheetId="11">#REF!</definedName>
    <definedName name="bsctpbkf">#REF!</definedName>
    <definedName name="BSMinorities" localSheetId="7">#REF!</definedName>
    <definedName name="BSMinorities" localSheetId="11">#REF!</definedName>
    <definedName name="BSMinorities">#REF!</definedName>
    <definedName name="BSnominal" localSheetId="7">#REF!</definedName>
    <definedName name="BSnominal" localSheetId="11">#REF!</definedName>
    <definedName name="BSnominal">#REF!</definedName>
    <definedName name="BSqoqyoy" localSheetId="7">#REF!</definedName>
    <definedName name="BSqoqyoy" localSheetId="11">#REF!</definedName>
    <definedName name="BSqoqyoy">#REF!</definedName>
    <definedName name="BSR" localSheetId="11">'[2]teo model'!#REF!</definedName>
    <definedName name="BSR">'[2]teo model'!#REF!</definedName>
    <definedName name="BSreal" localSheetId="7">#REF!</definedName>
    <definedName name="BSreal" localSheetId="11">#REF!</definedName>
    <definedName name="BSreal">#REF!</definedName>
    <definedName name="BSUSD" localSheetId="7">#REF!</definedName>
    <definedName name="BSUSD" localSheetId="11">#REF!</definedName>
    <definedName name="BSUSD">#REF!</definedName>
    <definedName name="bt">'[56]EVA1'!$S$11</definedName>
    <definedName name="btoassetsq296" localSheetId="7">#REF!</definedName>
    <definedName name="btoassetsq296" localSheetId="11">#REF!</definedName>
    <definedName name="btoassetsq296">#REF!</definedName>
    <definedName name="btoassetsq396" localSheetId="7">#REF!</definedName>
    <definedName name="btoassetsq396" localSheetId="11">#REF!</definedName>
    <definedName name="btoassetsq396">#REF!</definedName>
    <definedName name="btoassetsye95" localSheetId="7">#REF!</definedName>
    <definedName name="btoassetsye95" localSheetId="11">#REF!</definedName>
    <definedName name="btoassetsye95">#REF!</definedName>
    <definedName name="btobis195" localSheetId="7">#REF!</definedName>
    <definedName name="btobis195" localSheetId="11">#REF!</definedName>
    <definedName name="btobis195">#REF!</definedName>
    <definedName name="btobis196" localSheetId="7">#REF!</definedName>
    <definedName name="btobis196" localSheetId="11">#REF!</definedName>
    <definedName name="btobis196">#REF!</definedName>
    <definedName name="btobis197" localSheetId="7">#REF!</definedName>
    <definedName name="btobis197" localSheetId="11">#REF!</definedName>
    <definedName name="btobis197">#REF!</definedName>
    <definedName name="btobookval95" localSheetId="7">#REF!</definedName>
    <definedName name="btobookval95" localSheetId="11">#REF!</definedName>
    <definedName name="btobookval95">#REF!</definedName>
    <definedName name="btobookval96" localSheetId="7">#REF!</definedName>
    <definedName name="btobookval96" localSheetId="11">#REF!</definedName>
    <definedName name="btobookval96">#REF!</definedName>
    <definedName name="btobookvalq296" localSheetId="7">#REF!</definedName>
    <definedName name="btobookvalq296" localSheetId="11">#REF!</definedName>
    <definedName name="btobookvalq296">#REF!</definedName>
    <definedName name="btobookvalq396" localSheetId="7">#REF!</definedName>
    <definedName name="btobookvalq396" localSheetId="11">#REF!</definedName>
    <definedName name="btobookvalq396">#REF!</definedName>
    <definedName name="btocir95" localSheetId="7">#REF!</definedName>
    <definedName name="btocir95" localSheetId="11">#REF!</definedName>
    <definedName name="btocir95">#REF!</definedName>
    <definedName name="btocir96" localSheetId="7">#REF!</definedName>
    <definedName name="btocir96" localSheetId="11">#REF!</definedName>
    <definedName name="btocir96">#REF!</definedName>
    <definedName name="btocir97" localSheetId="7">#REF!</definedName>
    <definedName name="btocir97" localSheetId="11">#REF!</definedName>
    <definedName name="btocir97">#REF!</definedName>
    <definedName name="btocir98" localSheetId="7">#REF!</definedName>
    <definedName name="btocir98" localSheetId="11">#REF!</definedName>
    <definedName name="btocir98">#REF!</definedName>
    <definedName name="btocirq296" localSheetId="7">#REF!</definedName>
    <definedName name="btocirq296" localSheetId="11">#REF!</definedName>
    <definedName name="btocirq296">#REF!</definedName>
    <definedName name="btocirq396" localSheetId="7">#REF!</definedName>
    <definedName name="btocirq396" localSheetId="11">#REF!</definedName>
    <definedName name="btocirq396">#REF!</definedName>
    <definedName name="btodps94" localSheetId="7">#REF!</definedName>
    <definedName name="btodps94" localSheetId="11">#REF!</definedName>
    <definedName name="btodps94">#REF!</definedName>
    <definedName name="btodps95" localSheetId="7">#REF!</definedName>
    <definedName name="btodps95" localSheetId="11">#REF!</definedName>
    <definedName name="btodps95">#REF!</definedName>
    <definedName name="btodps96" localSheetId="7">#REF!</definedName>
    <definedName name="btodps96" localSheetId="11">#REF!</definedName>
    <definedName name="btodps96">#REF!</definedName>
    <definedName name="btodps97" localSheetId="7">#REF!</definedName>
    <definedName name="btodps97" localSheetId="11">#REF!</definedName>
    <definedName name="btodps97">#REF!</definedName>
    <definedName name="btodps98" localSheetId="7">#REF!</definedName>
    <definedName name="btodps98" localSheetId="11">#REF!</definedName>
    <definedName name="btodps98">#REF!</definedName>
    <definedName name="btoeps94" localSheetId="7">#REF!</definedName>
    <definedName name="btoeps94" localSheetId="11">#REF!</definedName>
    <definedName name="btoeps94">#REF!</definedName>
    <definedName name="btoeps95" localSheetId="7">#REF!</definedName>
    <definedName name="btoeps95" localSheetId="11">#REF!</definedName>
    <definedName name="btoeps95">#REF!</definedName>
    <definedName name="btoeps96" localSheetId="7">#REF!</definedName>
    <definedName name="btoeps96" localSheetId="11">#REF!</definedName>
    <definedName name="btoeps96">#REF!</definedName>
    <definedName name="btoeps97" localSheetId="7">#REF!</definedName>
    <definedName name="btoeps97" localSheetId="11">#REF!</definedName>
    <definedName name="btoeps97">#REF!</definedName>
    <definedName name="btoeps98" localSheetId="7">#REF!</definedName>
    <definedName name="btoeps98" localSheetId="11">#REF!</definedName>
    <definedName name="btoeps98">#REF!</definedName>
    <definedName name="btoeps99" localSheetId="7">#REF!</definedName>
    <definedName name="btoeps99" localSheetId="11">#REF!</definedName>
    <definedName name="btoeps99">#REF!</definedName>
    <definedName name="btoepsfd94" localSheetId="7">#REF!</definedName>
    <definedName name="btoepsfd94" localSheetId="11">#REF!</definedName>
    <definedName name="btoepsfd94">#REF!</definedName>
    <definedName name="btoepsfd95" localSheetId="7">#REF!</definedName>
    <definedName name="btoepsfd95" localSheetId="11">#REF!</definedName>
    <definedName name="btoepsfd95">#REF!</definedName>
    <definedName name="btoepsfd96" localSheetId="7">#REF!</definedName>
    <definedName name="btoepsfd96" localSheetId="11">#REF!</definedName>
    <definedName name="btoepsfd96">#REF!</definedName>
    <definedName name="btoepsfd97" localSheetId="7">#REF!</definedName>
    <definedName name="btoepsfd97" localSheetId="11">#REF!</definedName>
    <definedName name="btoepsfd97">#REF!</definedName>
    <definedName name="btoepsfd98" localSheetId="7">#REF!</definedName>
    <definedName name="btoepsfd98" localSheetId="11">#REF!</definedName>
    <definedName name="btoepsfd98">#REF!</definedName>
    <definedName name="btoepsfd99" localSheetId="7">#REF!</definedName>
    <definedName name="btoepsfd99" localSheetId="11">#REF!</definedName>
    <definedName name="btoepsfd99">#REF!</definedName>
    <definedName name="btoequityav95" localSheetId="7">#REF!</definedName>
    <definedName name="btoequityav95" localSheetId="11">#REF!</definedName>
    <definedName name="btoequityav95">#REF!</definedName>
    <definedName name="btoequityav96" localSheetId="7">#REF!</definedName>
    <definedName name="btoequityav96" localSheetId="11">#REF!</definedName>
    <definedName name="btoequityav96">#REF!</definedName>
    <definedName name="btoequityav97" localSheetId="7">#REF!</definedName>
    <definedName name="btoequityav97" localSheetId="11">#REF!</definedName>
    <definedName name="btoequityav97">#REF!</definedName>
    <definedName name="btoequityav98" localSheetId="7">#REF!</definedName>
    <definedName name="btoequityav98" localSheetId="11">#REF!</definedName>
    <definedName name="btoequityav98">#REF!</definedName>
    <definedName name="btoequityavq296" localSheetId="7">#REF!</definedName>
    <definedName name="btoequityavq296" localSheetId="11">#REF!</definedName>
    <definedName name="btoequityavq296">#REF!</definedName>
    <definedName name="btoequityavq396" localSheetId="7">#REF!</definedName>
    <definedName name="btoequityavq396" localSheetId="11">#REF!</definedName>
    <definedName name="btoequityavq396">#REF!</definedName>
    <definedName name="btoequityq296" localSheetId="7">#REF!</definedName>
    <definedName name="btoequityq296" localSheetId="11">#REF!</definedName>
    <definedName name="btoequityq296">#REF!</definedName>
    <definedName name="btoequityq396" localSheetId="7">#REF!</definedName>
    <definedName name="btoequityq396" localSheetId="11">#REF!</definedName>
    <definedName name="btoequityq396">#REF!</definedName>
    <definedName name="btoequityye95" localSheetId="7">#REF!</definedName>
    <definedName name="btoequityye95" localSheetId="11">#REF!</definedName>
    <definedName name="btoequityye95">#REF!</definedName>
    <definedName name="btoloansav95" localSheetId="7">#REF!</definedName>
    <definedName name="btoloansav95" localSheetId="11">#REF!</definedName>
    <definedName name="btoloansav95">#REF!</definedName>
    <definedName name="btoloansav96" localSheetId="7">#REF!</definedName>
    <definedName name="btoloansav96" localSheetId="11">#REF!</definedName>
    <definedName name="btoloansav96">#REF!</definedName>
    <definedName name="btoloansq296" localSheetId="7">#REF!</definedName>
    <definedName name="btoloansq296" localSheetId="11">#REF!</definedName>
    <definedName name="btoloansq296">#REF!</definedName>
    <definedName name="btoloansq396" localSheetId="7">#REF!</definedName>
    <definedName name="btoloansq396" localSheetId="11">#REF!</definedName>
    <definedName name="btoloansq396">#REF!</definedName>
    <definedName name="btoloansye94" localSheetId="7">#REF!</definedName>
    <definedName name="btoloansye94" localSheetId="11">#REF!</definedName>
    <definedName name="btoloansye94">#REF!</definedName>
    <definedName name="btoloansye95" localSheetId="7">#REF!</definedName>
    <definedName name="btoloansye95" localSheetId="11">#REF!</definedName>
    <definedName name="btoloansye95">#REF!</definedName>
    <definedName name="btomi97" localSheetId="7">#REF!</definedName>
    <definedName name="btomi97" localSheetId="11">#REF!</definedName>
    <definedName name="btomi97">#REF!</definedName>
    <definedName name="btonetinc94" localSheetId="7">#REF!</definedName>
    <definedName name="btonetinc94" localSheetId="11">#REF!</definedName>
    <definedName name="btonetinc94">#REF!</definedName>
    <definedName name="btonetinc95" localSheetId="7">#REF!</definedName>
    <definedName name="btonetinc95" localSheetId="11">#REF!</definedName>
    <definedName name="btonetinc95">#REF!</definedName>
    <definedName name="btonetinc96" localSheetId="7">#REF!</definedName>
    <definedName name="btonetinc96" localSheetId="11">#REF!</definedName>
    <definedName name="btonetinc96">#REF!</definedName>
    <definedName name="btonetinc97" localSheetId="7">#REF!</definedName>
    <definedName name="btonetinc97" localSheetId="11">#REF!</definedName>
    <definedName name="btonetinc97">#REF!</definedName>
    <definedName name="btonetinc98" localSheetId="7">#REF!</definedName>
    <definedName name="btonetinc98" localSheetId="11">#REF!</definedName>
    <definedName name="btonetinc98">#REF!</definedName>
    <definedName name="btonim95" localSheetId="7">#REF!</definedName>
    <definedName name="btonim95" localSheetId="11">#REF!</definedName>
    <definedName name="btonim95">#REF!</definedName>
    <definedName name="btonim96" localSheetId="7">#REF!</definedName>
    <definedName name="btonim96" localSheetId="11">#REF!</definedName>
    <definedName name="btonim96">#REF!</definedName>
    <definedName name="btonim97" localSheetId="7">#REF!</definedName>
    <definedName name="btonim97" localSheetId="11">#REF!</definedName>
    <definedName name="btonim97">#REF!</definedName>
    <definedName name="btonim98" localSheetId="7">#REF!</definedName>
    <definedName name="btonim98" localSheetId="11">#REF!</definedName>
    <definedName name="btonim98">#REF!</definedName>
    <definedName name="btonimq296" localSheetId="7">#REF!</definedName>
    <definedName name="btonimq296" localSheetId="11">#REF!</definedName>
    <definedName name="btonimq296">#REF!</definedName>
    <definedName name="btonimq396" localSheetId="7">#REF!</definedName>
    <definedName name="btonimq396" localSheetId="11">#REF!</definedName>
    <definedName name="btonimq396">#REF!</definedName>
    <definedName name="btonpaln95" localSheetId="7">#REF!</definedName>
    <definedName name="btonpaln95" localSheetId="11">#REF!</definedName>
    <definedName name="btonpaln95">#REF!</definedName>
    <definedName name="btonpaln96" localSheetId="7">#REF!</definedName>
    <definedName name="btonpaln96" localSheetId="11">#REF!</definedName>
    <definedName name="btonpaln96">#REF!</definedName>
    <definedName name="btonpaln97" localSheetId="7">#REF!</definedName>
    <definedName name="btonpaln97" localSheetId="11">#REF!</definedName>
    <definedName name="btonpaln97">#REF!</definedName>
    <definedName name="btonpaln98" localSheetId="7">#REF!</definedName>
    <definedName name="btonpaln98" localSheetId="11">#REF!</definedName>
    <definedName name="btonpaln98">#REF!</definedName>
    <definedName name="btonpalnq296" localSheetId="7">#REF!</definedName>
    <definedName name="btonpalnq296" localSheetId="11">#REF!</definedName>
    <definedName name="btonpalnq296">#REF!</definedName>
    <definedName name="btonpalnq396" localSheetId="7">#REF!</definedName>
    <definedName name="btonpalnq396" localSheetId="11">#REF!</definedName>
    <definedName name="btonpalnq396">#REF!</definedName>
    <definedName name="btope94" localSheetId="7">#REF!</definedName>
    <definedName name="btope94" localSheetId="11">#REF!</definedName>
    <definedName name="btope94">#REF!</definedName>
    <definedName name="btope95" localSheetId="7">#REF!</definedName>
    <definedName name="btope95" localSheetId="11">#REF!</definedName>
    <definedName name="btope95">#REF!</definedName>
    <definedName name="btope96" localSheetId="7">#REF!</definedName>
    <definedName name="btope96" localSheetId="11">#REF!</definedName>
    <definedName name="btope96">#REF!</definedName>
    <definedName name="btope97" localSheetId="7">#REF!</definedName>
    <definedName name="btope97" localSheetId="11">#REF!</definedName>
    <definedName name="btope97">#REF!</definedName>
    <definedName name="btope98" localSheetId="7">#REF!</definedName>
    <definedName name="btope98" localSheetId="11">#REF!</definedName>
    <definedName name="btope98">#REF!</definedName>
    <definedName name="btopr" localSheetId="7">#REF!</definedName>
    <definedName name="btopr" localSheetId="11">#REF!</definedName>
    <definedName name="btopr">#REF!</definedName>
    <definedName name="btopretax94" localSheetId="7">#REF!</definedName>
    <definedName name="btopretax94" localSheetId="11">#REF!</definedName>
    <definedName name="btopretax94">#REF!</definedName>
    <definedName name="btopretax95" localSheetId="7">#REF!</definedName>
    <definedName name="btopretax95" localSheetId="11">#REF!</definedName>
    <definedName name="btopretax95">#REF!</definedName>
    <definedName name="btopretax96" localSheetId="7">#REF!</definedName>
    <definedName name="btopretax96" localSheetId="11">#REF!</definedName>
    <definedName name="btopretax96">#REF!</definedName>
    <definedName name="btopretax97" localSheetId="7">#REF!</definedName>
    <definedName name="btopretax97" localSheetId="11">#REF!</definedName>
    <definedName name="btopretax97">#REF!</definedName>
    <definedName name="btopretax98" localSheetId="7">#REF!</definedName>
    <definedName name="btopretax98" localSheetId="11">#REF!</definedName>
    <definedName name="btopretax98">#REF!</definedName>
    <definedName name="btopretaxq296" localSheetId="7">#REF!</definedName>
    <definedName name="btopretaxq296" localSheetId="11">#REF!</definedName>
    <definedName name="btopretaxq296">#REF!</definedName>
    <definedName name="btopretaxq396" localSheetId="7">#REF!</definedName>
    <definedName name="btopretaxq396" localSheetId="11">#REF!</definedName>
    <definedName name="btopretaxq396">#REF!</definedName>
    <definedName name="btoroe95" localSheetId="7">#REF!</definedName>
    <definedName name="btoroe95" localSheetId="11">#REF!</definedName>
    <definedName name="btoroe95">#REF!</definedName>
    <definedName name="btoroe96" localSheetId="7">#REF!</definedName>
    <definedName name="btoroe96" localSheetId="11">#REF!</definedName>
    <definedName name="btoroe96">#REF!</definedName>
    <definedName name="btoroe97" localSheetId="7">#REF!</definedName>
    <definedName name="btoroe97" localSheetId="11">#REF!</definedName>
    <definedName name="btoroe97">#REF!</definedName>
    <definedName name="btoroe98" localSheetId="7">#REF!</definedName>
    <definedName name="btoroe98" localSheetId="11">#REF!</definedName>
    <definedName name="btoroe98">#REF!</definedName>
    <definedName name="btoroeq296" localSheetId="7">#REF!</definedName>
    <definedName name="btoroeq296" localSheetId="11">#REF!</definedName>
    <definedName name="btoroeq296">#REF!</definedName>
    <definedName name="btoroeq396" localSheetId="7">#REF!</definedName>
    <definedName name="btoroeq396" localSheetId="11">#REF!</definedName>
    <definedName name="btoroeq396">#REF!</definedName>
    <definedName name="btosharesq296" localSheetId="7">#REF!</definedName>
    <definedName name="btosharesq296" localSheetId="11">#REF!</definedName>
    <definedName name="btosharesq296">#REF!</definedName>
    <definedName name="btosharesq396" localSheetId="7">#REF!</definedName>
    <definedName name="btosharesq396" localSheetId="11">#REF!</definedName>
    <definedName name="btosharesq396">#REF!</definedName>
    <definedName name="btosharesye95" localSheetId="7">#REF!</definedName>
    <definedName name="btosharesye95" localSheetId="11">#REF!</definedName>
    <definedName name="btosharesye95">#REF!</definedName>
    <definedName name="btosharesye96" localSheetId="7">#REF!</definedName>
    <definedName name="btosharesye96" localSheetId="11">#REF!</definedName>
    <definedName name="btosharesye96">#REF!</definedName>
    <definedName name="btosharesye97" localSheetId="7">#REF!</definedName>
    <definedName name="btosharesye97" localSheetId="11">#REF!</definedName>
    <definedName name="btosharesye97">#REF!</definedName>
    <definedName name="btosharesye98" localSheetId="7">#REF!</definedName>
    <definedName name="btosharesye98" localSheetId="11">#REF!</definedName>
    <definedName name="btosharesye98">#REF!</definedName>
    <definedName name="Buttonshow" localSheetId="11">[57]!Buttonshow</definedName>
    <definedName name="Buttonshow">[57]!Buttonshow</definedName>
    <definedName name="bv" localSheetId="7">#REF!</definedName>
    <definedName name="bv" localSheetId="11">#REF!</definedName>
    <definedName name="bv">#REF!</definedName>
    <definedName name="BVPS" localSheetId="11">[4]roysuna!#REF!</definedName>
    <definedName name="BVPS">[4]roysuna!#REF!</definedName>
    <definedName name="BVPS02" localSheetId="7">#REF!</definedName>
    <definedName name="BVPS02" localSheetId="11">#REF!</definedName>
    <definedName name="BVPS02">#REF!</definedName>
    <definedName name="BVPS03" localSheetId="7">#REF!</definedName>
    <definedName name="BVPS03" localSheetId="11">#REF!</definedName>
    <definedName name="BVPS03">#REF!</definedName>
    <definedName name="BVPS04" localSheetId="7">#REF!</definedName>
    <definedName name="BVPS04" localSheetId="11">#REF!</definedName>
    <definedName name="BVPS04">#REF!</definedName>
    <definedName name="BVPS05" localSheetId="7">#REF!</definedName>
    <definedName name="BVPS05" localSheetId="11">#REF!</definedName>
    <definedName name="BVPS05">#REF!</definedName>
    <definedName name="BVPSH86" localSheetId="11">[22]independent!#REF!</definedName>
    <definedName name="BVPSH86">[22]independent!#REF!</definedName>
    <definedName name="BVPSH87" localSheetId="11">[22]independent!#REF!</definedName>
    <definedName name="BVPSH87">[22]independent!#REF!</definedName>
    <definedName name="BVPSH88" localSheetId="11">[22]independent!#REF!</definedName>
    <definedName name="BVPSH88">[22]independent!#REF!</definedName>
    <definedName name="BVPSH89" localSheetId="11">[22]independent!#REF!</definedName>
    <definedName name="BVPSH89">[22]independent!#REF!</definedName>
    <definedName name="BVPSH90" localSheetId="11">[22]independent!#REF!</definedName>
    <definedName name="BVPSH90">[22]independent!#REF!</definedName>
    <definedName name="BVPSH91" localSheetId="11">[22]independent!#REF!</definedName>
    <definedName name="BVPSH91">[22]independent!#REF!</definedName>
    <definedName name="BVPSH92" localSheetId="11">[22]independent!#REF!</definedName>
    <definedName name="BVPSH92">[22]independent!#REF!</definedName>
    <definedName name="BVPSH93" localSheetId="11">[22]independent!#REF!</definedName>
    <definedName name="BVPSH93">[22]independent!#REF!</definedName>
    <definedName name="BVPSH94" localSheetId="11">[22]independent!#REF!</definedName>
    <definedName name="BVPSH94">[22]independent!#REF!</definedName>
    <definedName name="BVPSH95" localSheetId="11">[23]unitedx!#REF!</definedName>
    <definedName name="BVPSH95">[23]unitedx!#REF!</definedName>
    <definedName name="BVPSH96" localSheetId="11">[23]unitedx!#REF!</definedName>
    <definedName name="BVPSH96">[23]unitedx!#REF!</definedName>
    <definedName name="BVPSH97" localSheetId="11">[23]unitedx!#REF!</definedName>
    <definedName name="BVPSH97">[23]unitedx!#REF!</definedName>
    <definedName name="BVPSH98" localSheetId="11">[23]unitedx!#REF!</definedName>
    <definedName name="BVPSH98">[23]unitedx!#REF!</definedName>
    <definedName name="BVPSH99" localSheetId="11">[23]unitedx!#REF!</definedName>
    <definedName name="BVPSH99">[23]unitedx!#REF!</definedName>
    <definedName name="C_" localSheetId="11">[58]ANNBIZ!#REF!</definedName>
    <definedName name="C_">[58]ANNBIZ!#REF!</definedName>
    <definedName name="C_1" localSheetId="7">#REF!</definedName>
    <definedName name="C_1" localSheetId="11">#REF!</definedName>
    <definedName name="C_1">#REF!</definedName>
    <definedName name="C_2" localSheetId="7">#REF!</definedName>
    <definedName name="C_2" localSheetId="11">#REF!</definedName>
    <definedName name="C_2">#REF!</definedName>
    <definedName name="C_3" localSheetId="7">#REF!</definedName>
    <definedName name="C_3" localSheetId="11">#REF!</definedName>
    <definedName name="C_3">#REF!</definedName>
    <definedName name="C_EBIT">'[29]EBIT model'!$AI$10</definedName>
    <definedName name="C_I">#N/A</definedName>
    <definedName name="C_Sales">'[29]EBIT model'!$AF$10</definedName>
    <definedName name="CAASH" localSheetId="7">#REF!</definedName>
    <definedName name="CAASH" localSheetId="11">#REF!</definedName>
    <definedName name="CAASH">#REF!</definedName>
    <definedName name="CABLE" localSheetId="7">#REF!</definedName>
    <definedName name="CABLE" localSheetId="11">#REF!</definedName>
    <definedName name="CABLE">#REF!</definedName>
    <definedName name="cagnew" localSheetId="6" hidden="1">{"IS",#N/A,FALSE,"IS";"RPTIS",#N/A,FALSE,"RPTIS";"STATS",#N/A,FALSE,"STATS";"CELL",#N/A,FALSE,"CELL";"BS",#N/A,FALSE,"BS"}</definedName>
    <definedName name="cagnew" localSheetId="7" hidden="1">{"IS",#N/A,FALSE,"IS";"RPTIS",#N/A,FALSE,"RPTIS";"STATS",#N/A,FALSE,"STATS";"CELL",#N/A,FALSE,"CELL";"BS",#N/A,FALSE,"BS"}</definedName>
    <definedName name="cagnew" localSheetId="4" hidden="1">{"IS",#N/A,FALSE,"IS";"RPTIS",#N/A,FALSE,"RPTIS";"STATS",#N/A,FALSE,"STATS";"CELL",#N/A,FALSE,"CELL";"BS",#N/A,FALSE,"BS"}</definedName>
    <definedName name="cagnew" localSheetId="3" hidden="1">{"IS",#N/A,FALSE,"IS";"RPTIS",#N/A,FALSE,"RPTIS";"STATS",#N/A,FALSE,"STATS";"CELL",#N/A,FALSE,"CELL";"BS",#N/A,FALSE,"BS"}</definedName>
    <definedName name="cagnew" localSheetId="11" hidden="1">{"IS",#N/A,FALSE,"IS";"RPTIS",#N/A,FALSE,"RPTIS";"STATS",#N/A,FALSE,"STATS";"CELL",#N/A,FALSE,"CELL";"BS",#N/A,FALSE,"BS"}</definedName>
    <definedName name="cagnew" hidden="1">{"IS",#N/A,FALSE,"IS";"RPTIS",#N/A,FALSE,"RPTIS";"STATS",#N/A,FALSE,"STATS";"CELL",#N/A,FALSE,"CELL";"BS",#N/A,FALSE,"BS"}</definedName>
    <definedName name="calculation" localSheetId="11">[59]!calculation</definedName>
    <definedName name="calculation">[59]!calculation</definedName>
    <definedName name="Campral00" localSheetId="11">[17]Products!#REF!</definedName>
    <definedName name="Campral00">[17]Products!#REF!</definedName>
    <definedName name="Campral01" localSheetId="11">[17]Products!#REF!</definedName>
    <definedName name="Campral01">[17]Products!#REF!</definedName>
    <definedName name="Campral02" localSheetId="11">[17]Products!#REF!</definedName>
    <definedName name="Campral02">[17]Products!#REF!</definedName>
    <definedName name="Campral03" localSheetId="11">[17]Products!#REF!</definedName>
    <definedName name="Campral03">[17]Products!#REF!</definedName>
    <definedName name="Campral04" localSheetId="11">[17]Products!#REF!</definedName>
    <definedName name="Campral04">[17]Products!#REF!</definedName>
    <definedName name="Campral05" localSheetId="11">[17]Products!#REF!</definedName>
    <definedName name="Campral05">[17]Products!#REF!</definedName>
    <definedName name="Campral97" localSheetId="11">[17]Products!#REF!</definedName>
    <definedName name="Campral97">[17]Products!#REF!</definedName>
    <definedName name="Campral98" localSheetId="11">[17]Products!#REF!</definedName>
    <definedName name="Campral98">[17]Products!#REF!</definedName>
    <definedName name="Campral99" localSheetId="11">[17]Products!#REF!</definedName>
    <definedName name="Campral99">[17]Products!#REF!</definedName>
    <definedName name="Campto00" localSheetId="7">#REF!</definedName>
    <definedName name="Campto00" localSheetId="11">#REF!</definedName>
    <definedName name="Campto00">#REF!</definedName>
    <definedName name="Campto01" localSheetId="7">#REF!</definedName>
    <definedName name="Campto01" localSheetId="11">#REF!</definedName>
    <definedName name="Campto01">#REF!</definedName>
    <definedName name="Campto02" localSheetId="7">#REF!</definedName>
    <definedName name="Campto02" localSheetId="11">#REF!</definedName>
    <definedName name="Campto02">#REF!</definedName>
    <definedName name="Campto03" localSheetId="7">#REF!</definedName>
    <definedName name="Campto03" localSheetId="11">#REF!</definedName>
    <definedName name="Campto03">#REF!</definedName>
    <definedName name="Campto04" localSheetId="7">#REF!</definedName>
    <definedName name="Campto04" localSheetId="11">#REF!</definedName>
    <definedName name="Campto04">#REF!</definedName>
    <definedName name="Campto05" localSheetId="7">#REF!</definedName>
    <definedName name="Campto05" localSheetId="11">#REF!</definedName>
    <definedName name="Campto05">#REF!</definedName>
    <definedName name="Campto97" localSheetId="7">#REF!</definedName>
    <definedName name="Campto97" localSheetId="11">#REF!</definedName>
    <definedName name="Campto97">#REF!</definedName>
    <definedName name="Campto98" localSheetId="7">#REF!</definedName>
    <definedName name="Campto98" localSheetId="11">#REF!</definedName>
    <definedName name="Campto98">#REF!</definedName>
    <definedName name="Campto99" localSheetId="7">#REF!</definedName>
    <definedName name="Campto99" localSheetId="11">#REF!</definedName>
    <definedName name="Campto99">#REF!</definedName>
    <definedName name="Canada" localSheetId="7">#REF!</definedName>
    <definedName name="Canada" localSheetId="11">#REF!</definedName>
    <definedName name="Canada">#REF!</definedName>
    <definedName name="CAP" localSheetId="7">#REF!</definedName>
    <definedName name="CAP" localSheetId="11">#REF!</definedName>
    <definedName name="CAP">#REF!</definedName>
    <definedName name="Cap_pos" localSheetId="7">#REF!</definedName>
    <definedName name="Cap_pos" localSheetId="11">#REF!</definedName>
    <definedName name="Cap_pos">#REF!</definedName>
    <definedName name="Cap_redepl" localSheetId="7">#REF!</definedName>
    <definedName name="Cap_redepl" localSheetId="11">#REF!</definedName>
    <definedName name="Cap_redepl">#REF!</definedName>
    <definedName name="CAPEX" localSheetId="7">'[2]teo model'!#REF!</definedName>
    <definedName name="CAPEX" localSheetId="11">#REF!</definedName>
    <definedName name="CAPEX">#REF!</definedName>
    <definedName name="capex.00">'[60]Dial cash  flow'!$G$26</definedName>
    <definedName name="capex.01">'[60]Dial cash  flow'!$H$26</definedName>
    <definedName name="capex.02">'[60]Dial cash  flow'!$I$26</definedName>
    <definedName name="capex.03">'[60]Dial cash  flow'!$J$26</definedName>
    <definedName name="capex.04">'[60]Dial cash  flow'!$K$26</definedName>
    <definedName name="CAPEX__Financial" localSheetId="7">#REF!</definedName>
    <definedName name="CAPEX__Financial" localSheetId="11">#REF!</definedName>
    <definedName name="CAPEX__Financial">#REF!</definedName>
    <definedName name="CAPEX__Intangibles" localSheetId="7">#REF!</definedName>
    <definedName name="CAPEX__Intangibles" localSheetId="11">#REF!</definedName>
    <definedName name="CAPEX__Intangibles">#REF!</definedName>
    <definedName name="Capex96" localSheetId="7">#REF!</definedName>
    <definedName name="Capex96" localSheetId="11">#REF!</definedName>
    <definedName name="Capex96">#REF!</definedName>
    <definedName name="Capex97" localSheetId="7">#REF!</definedName>
    <definedName name="Capex97" localSheetId="11">#REF!</definedName>
    <definedName name="Capex97">#REF!</definedName>
    <definedName name="Capex98" localSheetId="7">#REF!</definedName>
    <definedName name="Capex98" localSheetId="11">#REF!</definedName>
    <definedName name="Capex98">#REF!</definedName>
    <definedName name="Capex99" localSheetId="7">#REF!</definedName>
    <definedName name="Capex99" localSheetId="11">#REF!</definedName>
    <definedName name="Capex99">#REF!</definedName>
    <definedName name="capita" localSheetId="7">#REF!</definedName>
    <definedName name="capita" localSheetId="11">#REF!</definedName>
    <definedName name="capita">#REF!</definedName>
    <definedName name="Capital_gains" localSheetId="7">#REF!</definedName>
    <definedName name="Capital_gains" localSheetId="11">#REF!</definedName>
    <definedName name="Capital_gains">#REF!</definedName>
    <definedName name="Capital_spending" localSheetId="7">#REF!</definedName>
    <definedName name="Capital_spending" localSheetId="11">#REF!</definedName>
    <definedName name="Capital_spending">#REF!</definedName>
    <definedName name="Capitalization" localSheetId="7">#REF!</definedName>
    <definedName name="Capitalization" localSheetId="11">#REF!</definedName>
    <definedName name="Capitalization">#REF!</definedName>
    <definedName name="capm93" localSheetId="7">#REF!</definedName>
    <definedName name="capm93" localSheetId="11">#REF!</definedName>
    <definedName name="capm93">#REF!</definedName>
    <definedName name="capm94" localSheetId="7">#REF!</definedName>
    <definedName name="capm94" localSheetId="11">#REF!</definedName>
    <definedName name="capm94">#REF!</definedName>
    <definedName name="capm95" localSheetId="7">#REF!</definedName>
    <definedName name="capm95" localSheetId="11">#REF!</definedName>
    <definedName name="capm95">#REF!</definedName>
    <definedName name="capm96" localSheetId="7">#REF!</definedName>
    <definedName name="capm96" localSheetId="11">#REF!</definedName>
    <definedName name="capm96">#REF!</definedName>
    <definedName name="capm97" localSheetId="7">#REF!</definedName>
    <definedName name="capm97" localSheetId="11">#REF!</definedName>
    <definedName name="capm97">#REF!</definedName>
    <definedName name="Cardizem00" localSheetId="7">#REF!</definedName>
    <definedName name="Cardizem00" localSheetId="11">#REF!</definedName>
    <definedName name="Cardizem00">#REF!</definedName>
    <definedName name="Cardizem01" localSheetId="7">#REF!</definedName>
    <definedName name="Cardizem01" localSheetId="11">#REF!</definedName>
    <definedName name="Cardizem01">#REF!</definedName>
    <definedName name="Cardizem02" localSheetId="7">#REF!</definedName>
    <definedName name="Cardizem02" localSheetId="11">#REF!</definedName>
    <definedName name="Cardizem02">#REF!</definedName>
    <definedName name="Cardizem03" localSheetId="7">#REF!</definedName>
    <definedName name="Cardizem03" localSheetId="11">#REF!</definedName>
    <definedName name="Cardizem03">#REF!</definedName>
    <definedName name="Cardizem04" localSheetId="7">#REF!</definedName>
    <definedName name="Cardizem04" localSheetId="11">#REF!</definedName>
    <definedName name="Cardizem04">#REF!</definedName>
    <definedName name="Cardizem05" localSheetId="7">#REF!</definedName>
    <definedName name="Cardizem05" localSheetId="11">#REF!</definedName>
    <definedName name="Cardizem05">#REF!</definedName>
    <definedName name="Cardizem97" localSheetId="7">#REF!</definedName>
    <definedName name="Cardizem97" localSheetId="11">#REF!</definedName>
    <definedName name="Cardizem97">#REF!</definedName>
    <definedName name="Cardizem98" localSheetId="7">#REF!</definedName>
    <definedName name="Cardizem98" localSheetId="11">#REF!</definedName>
    <definedName name="Cardizem98">#REF!</definedName>
    <definedName name="Cardizem99" localSheetId="7">#REF!</definedName>
    <definedName name="Cardizem99" localSheetId="11">#REF!</definedName>
    <definedName name="Cardizem99">#REF!</definedName>
    <definedName name="Cariporide00" localSheetId="7">#REF!</definedName>
    <definedName name="Cariporide00" localSheetId="11">#REF!</definedName>
    <definedName name="Cariporide00">#REF!</definedName>
    <definedName name="Cariporide01" localSheetId="7">#REF!</definedName>
    <definedName name="Cariporide01" localSheetId="11">#REF!</definedName>
    <definedName name="Cariporide01">#REF!</definedName>
    <definedName name="Cariporide02" localSheetId="7">#REF!</definedName>
    <definedName name="Cariporide02" localSheetId="11">#REF!</definedName>
    <definedName name="Cariporide02">#REF!</definedName>
    <definedName name="Cariporide03" localSheetId="7">#REF!</definedName>
    <definedName name="Cariporide03" localSheetId="11">#REF!</definedName>
    <definedName name="Cariporide03">#REF!</definedName>
    <definedName name="Cariporide04" localSheetId="7">#REF!</definedName>
    <definedName name="Cariporide04" localSheetId="11">#REF!</definedName>
    <definedName name="Cariporide04">#REF!</definedName>
    <definedName name="Cariporide05" localSheetId="7">#REF!</definedName>
    <definedName name="Cariporide05" localSheetId="11">#REF!</definedName>
    <definedName name="Cariporide05">#REF!</definedName>
    <definedName name="Cariporide97" localSheetId="7">#REF!</definedName>
    <definedName name="Cariporide97" localSheetId="11">#REF!</definedName>
    <definedName name="Cariporide97">#REF!</definedName>
    <definedName name="Cariporide98" localSheetId="7">#REF!</definedName>
    <definedName name="Cariporide98" localSheetId="11">#REF!</definedName>
    <definedName name="Cariporide98">#REF!</definedName>
    <definedName name="Cariporide99" localSheetId="7">#REF!</definedName>
    <definedName name="Cariporide99" localSheetId="11">#REF!</definedName>
    <definedName name="Cariporide99">#REF!</definedName>
    <definedName name="CARTER_S" localSheetId="11">'[13]Qtly PL'!#REF!</definedName>
    <definedName name="CARTER_S">'[13]Qtly PL'!#REF!</definedName>
    <definedName name="cash" localSheetId="7">#REF!</definedName>
    <definedName name="Cash" localSheetId="11">#REF!</definedName>
    <definedName name="Cash">#REF!</definedName>
    <definedName name="Cash___Liquid_assets" localSheetId="7">#REF!</definedName>
    <definedName name="Cash___Liquid_assets" localSheetId="11">#REF!</definedName>
    <definedName name="Cash___Liquid_assets">#REF!</definedName>
    <definedName name="Cash_DCF">[34]DCF_VDF!$C$33:$AZ$33</definedName>
    <definedName name="Cash_Debt" localSheetId="7">#REF!</definedName>
    <definedName name="Cash_Debt" localSheetId="11">#REF!</definedName>
    <definedName name="Cash_Debt">#REF!</definedName>
    <definedName name="Cash_Flow" localSheetId="7">#REF!</definedName>
    <definedName name="Cash_Flow" localSheetId="11">#REF!</definedName>
    <definedName name="Cash_Flow">#REF!</definedName>
    <definedName name="CASH_FLOW_ANALYSIS" localSheetId="7">#REF!</definedName>
    <definedName name="CASH_FLOW_ANALYSIS" localSheetId="11">#REF!</definedName>
    <definedName name="CASH_FLOW_ANALYSIS">#REF!</definedName>
    <definedName name="Cash_fore" localSheetId="7">#REF!</definedName>
    <definedName name="Cash_fore" localSheetId="11">#REF!</definedName>
    <definedName name="Cash_fore">#REF!</definedName>
    <definedName name="Cash_growth_fore" localSheetId="7">#REF!</definedName>
    <definedName name="Cash_growth_fore" localSheetId="11">#REF!</definedName>
    <definedName name="Cash_growth_fore">#REF!</definedName>
    <definedName name="Cash_Operating_Taxes">[34]NOPAT_VDF!$C$39:$AU$39</definedName>
    <definedName name="Cash_operating_taxes_fore" localSheetId="7">#REF!</definedName>
    <definedName name="Cash_operating_taxes_fore" localSheetId="11">#REF!</definedName>
    <definedName name="Cash_operating_taxes_fore">#REF!</definedName>
    <definedName name="cash3q94" localSheetId="7">#REF!</definedName>
    <definedName name="cash3q94" localSheetId="11">#REF!</definedName>
    <definedName name="cash3q94">#REF!</definedName>
    <definedName name="cash4q93" localSheetId="7">#REF!</definedName>
    <definedName name="cash4q93" localSheetId="11">#REF!</definedName>
    <definedName name="cash4q93">#REF!</definedName>
    <definedName name="cash4q94" localSheetId="7">#REF!</definedName>
    <definedName name="cash4q94" localSheetId="11">#REF!</definedName>
    <definedName name="cash4q94">#REF!</definedName>
    <definedName name="Cashflow" localSheetId="7">#REF!</definedName>
    <definedName name="cashflow" localSheetId="11">#REF!</definedName>
    <definedName name="cashflow">#REF!</definedName>
    <definedName name="cashflow93" localSheetId="7">#REF!</definedName>
    <definedName name="cashflow93" localSheetId="11">#REF!</definedName>
    <definedName name="cashflow93">#REF!</definedName>
    <definedName name="cashflow94" localSheetId="7">#REF!</definedName>
    <definedName name="cashflow94" localSheetId="11">#REF!</definedName>
    <definedName name="cashflow94">#REF!</definedName>
    <definedName name="cashflow95" localSheetId="7">#REF!</definedName>
    <definedName name="cashflow95" localSheetId="11">#REF!</definedName>
    <definedName name="cashflow95">#REF!</definedName>
    <definedName name="cashflow96" localSheetId="7">#REF!</definedName>
    <definedName name="cashflow96" localSheetId="11">#REF!</definedName>
    <definedName name="cashflow96">#REF!</definedName>
    <definedName name="CashFlowHY" localSheetId="7">#REF!</definedName>
    <definedName name="CashFlowHY" localSheetId="11">#REF!</definedName>
    <definedName name="CashFlowHY">#REF!</definedName>
    <definedName name="cashflowPPR" localSheetId="7">#REF!</definedName>
    <definedName name="cashflowPPR" localSheetId="11">#REF!</definedName>
    <definedName name="cashflowPPR">#REF!</definedName>
    <definedName name="CashflowStatement" localSheetId="7">#REF!</definedName>
    <definedName name="CashflowStatement" localSheetId="11">#REF!</definedName>
    <definedName name="CashflowStatement">#REF!</definedName>
    <definedName name="CashInterestRate" localSheetId="11">[48]STM!#REF!</definedName>
    <definedName name="CashInterestRate">[48]STM!#REF!</definedName>
    <definedName name="Catalog_Path">'[61]DDETABLE '!$AD$5</definedName>
    <definedName name="ccnetinc00" localSheetId="7">#REF!</definedName>
    <definedName name="ccnetinc00" localSheetId="11">#REF!</definedName>
    <definedName name="ccnetinc00">#REF!</definedName>
    <definedName name="ccnetinc97" localSheetId="7">#REF!</definedName>
    <definedName name="ccnetinc97" localSheetId="11">#REF!</definedName>
    <definedName name="ccnetinc97">#REF!</definedName>
    <definedName name="ccnetinc98" localSheetId="7">#REF!</definedName>
    <definedName name="ccnetinc98" localSheetId="11">#REF!</definedName>
    <definedName name="ccnetinc98">#REF!</definedName>
    <definedName name="ccnetinc99" localSheetId="7">#REF!</definedName>
    <definedName name="ccnetinc99" localSheetId="11">#REF!</definedName>
    <definedName name="ccnetinc99">#REF!</definedName>
    <definedName name="CCOLRATE">[55]Input!$B$5</definedName>
    <definedName name="cdaf" localSheetId="6" hidden="1">{#N/A,#N/A,FALSE,"Sheet1";#N/A,#N/A,FALSE,"Sheet2";#N/A,#N/A,FALSE,"Sheet3";#N/A,#N/A,FALSE,"Sheet4";#N/A,#N/A,FALSE,"Sheet5";#N/A,#N/A,FALSE,"Sheet6"}</definedName>
    <definedName name="cdaf" localSheetId="7" hidden="1">{#N/A,#N/A,FALSE,"Sheet1";#N/A,#N/A,FALSE,"Sheet2";#N/A,#N/A,FALSE,"Sheet3";#N/A,#N/A,FALSE,"Sheet4";#N/A,#N/A,FALSE,"Sheet5";#N/A,#N/A,FALSE,"Sheet6"}</definedName>
    <definedName name="cdaf" localSheetId="4" hidden="1">{#N/A,#N/A,FALSE,"Sheet1";#N/A,#N/A,FALSE,"Sheet2";#N/A,#N/A,FALSE,"Sheet3";#N/A,#N/A,FALSE,"Sheet4";#N/A,#N/A,FALSE,"Sheet5";#N/A,#N/A,FALSE,"Sheet6"}</definedName>
    <definedName name="cdaf" localSheetId="3" hidden="1">{#N/A,#N/A,FALSE,"Sheet1";#N/A,#N/A,FALSE,"Sheet2";#N/A,#N/A,FALSE,"Sheet3";#N/A,#N/A,FALSE,"Sheet4";#N/A,#N/A,FALSE,"Sheet5";#N/A,#N/A,FALSE,"Sheet6"}</definedName>
    <definedName name="cdaf" localSheetId="11" hidden="1">{#N/A,#N/A,FALSE,"Sheet1";#N/A,#N/A,FALSE,"Sheet2";#N/A,#N/A,FALSE,"Sheet3";#N/A,#N/A,FALSE,"Sheet4";#N/A,#N/A,FALSE,"Sheet5";#N/A,#N/A,FALSE,"Sheet6"}</definedName>
    <definedName name="cdaf" hidden="1">{#N/A,#N/A,FALSE,"Sheet1";#N/A,#N/A,FALSE,"Sheet2";#N/A,#N/A,FALSE,"Sheet3";#N/A,#N/A,FALSE,"Sheet4";#N/A,#N/A,FALSE,"Sheet5";#N/A,#N/A,FALSE,"Sheet6"}</definedName>
    <definedName name="CDAvCE91" localSheetId="11">#REF!</definedName>
    <definedName name="CDAvCE91">#REF!</definedName>
    <definedName name="CDAvCE92" localSheetId="7">#REF!</definedName>
    <definedName name="CDAvCE92" localSheetId="11">#REF!</definedName>
    <definedName name="CDAvCE92">#REF!</definedName>
    <definedName name="CDAvCE93" localSheetId="7">#REF!</definedName>
    <definedName name="CDAvCE93" localSheetId="11">#REF!</definedName>
    <definedName name="CDAvCE93">#REF!</definedName>
    <definedName name="CDAvCE94" localSheetId="7">#REF!</definedName>
    <definedName name="CDAvCE94" localSheetId="11">#REF!</definedName>
    <definedName name="CDAvCE94">#REF!</definedName>
    <definedName name="CDAvCE95" localSheetId="7">#REF!</definedName>
    <definedName name="CDAvCE95" localSheetId="11">#REF!</definedName>
    <definedName name="CDAvCE95">#REF!</definedName>
    <definedName name="CDAvCE96" localSheetId="7">#REF!</definedName>
    <definedName name="CDAvCE96" localSheetId="11">#REF!</definedName>
    <definedName name="CDAvCE96">#REF!</definedName>
    <definedName name="CDAvCE97" localSheetId="7">#REF!</definedName>
    <definedName name="CDAvCE97" localSheetId="11">#REF!</definedName>
    <definedName name="CDAvCE97">#REF!</definedName>
    <definedName name="CDAvCE98" localSheetId="7">#REF!</definedName>
    <definedName name="CDAvCE98" localSheetId="11">#REF!</definedName>
    <definedName name="CDAvCE98">#REF!</definedName>
    <definedName name="CDAvCE99" localSheetId="7">#REF!</definedName>
    <definedName name="CDAvCE99" localSheetId="11">#REF!</definedName>
    <definedName name="CDAvCE99">#REF!</definedName>
    <definedName name="CDbegcap" localSheetId="7">#REF!</definedName>
    <definedName name="CDbegcap" localSheetId="11">#REF!</definedName>
    <definedName name="CDbegcap">#REF!</definedName>
    <definedName name="CDdebt95" localSheetId="7">#REF!</definedName>
    <definedName name="CDdebt95" localSheetId="11">#REF!</definedName>
    <definedName name="CDdebt95">#REF!</definedName>
    <definedName name="Cdebt95" localSheetId="7">#REF!</definedName>
    <definedName name="Cdebt95" localSheetId="11">#REF!</definedName>
    <definedName name="Cdebt95">#REF!</definedName>
    <definedName name="CDNOPAT94" localSheetId="7">#REF!</definedName>
    <definedName name="CDNOPAT94" localSheetId="11">#REF!</definedName>
    <definedName name="CDNOPAT94">#REF!</definedName>
    <definedName name="CDNOPAT95" localSheetId="7">#REF!</definedName>
    <definedName name="CDNOPAT95" localSheetId="11">#REF!</definedName>
    <definedName name="CDNOPAT95">#REF!</definedName>
    <definedName name="CDNOPAT96" localSheetId="7">#REF!</definedName>
    <definedName name="CDNOPAT96" localSheetId="11">#REF!</definedName>
    <definedName name="CDNOPAT96">#REF!</definedName>
    <definedName name="CDNOPAT97" localSheetId="7">#REF!</definedName>
    <definedName name="CDNOPAT97" localSheetId="11">#REF!</definedName>
    <definedName name="CDNOPAT97">#REF!</definedName>
    <definedName name="CDNOPAT98" localSheetId="7">#REF!</definedName>
    <definedName name="CDNOPAT98" localSheetId="11">#REF!</definedName>
    <definedName name="CDNOPAT98">#REF!</definedName>
    <definedName name="CDNOPAT99" localSheetId="7">#REF!</definedName>
    <definedName name="CDNOPAT99" localSheetId="11">#REF!</definedName>
    <definedName name="CDNOPAT99">#REF!</definedName>
    <definedName name="CEGwth" localSheetId="7">#REF!</definedName>
    <definedName name="CEGwth" localSheetId="11">#REF!</definedName>
    <definedName name="CEGwth">#REF!</definedName>
    <definedName name="Centeon00" localSheetId="7">#REF!</definedName>
    <definedName name="Centeon00" localSheetId="11">#REF!</definedName>
    <definedName name="Centeon00">#REF!</definedName>
    <definedName name="Centeon01" localSheetId="7">#REF!</definedName>
    <definedName name="Centeon01" localSheetId="11">#REF!</definedName>
    <definedName name="Centeon01">#REF!</definedName>
    <definedName name="Centeon02" localSheetId="7">#REF!</definedName>
    <definedName name="Centeon02" localSheetId="11">#REF!</definedName>
    <definedName name="Centeon02">#REF!</definedName>
    <definedName name="Centeon03" localSheetId="7">#REF!</definedName>
    <definedName name="Centeon03" localSheetId="11">#REF!</definedName>
    <definedName name="Centeon03">#REF!</definedName>
    <definedName name="Centeon04" localSheetId="7">#REF!</definedName>
    <definedName name="Centeon04" localSheetId="11">#REF!</definedName>
    <definedName name="Centeon04">#REF!</definedName>
    <definedName name="Centeon05" localSheetId="7">#REF!</definedName>
    <definedName name="Centeon05" localSheetId="11">#REF!</definedName>
    <definedName name="Centeon05">#REF!</definedName>
    <definedName name="Centeon97" localSheetId="7">#REF!</definedName>
    <definedName name="Centeon97" localSheetId="11">#REF!</definedName>
    <definedName name="Centeon97">#REF!</definedName>
    <definedName name="Centeon98" localSheetId="7">#REF!</definedName>
    <definedName name="Centeon98" localSheetId="11">#REF!</definedName>
    <definedName name="Centeon98">#REF!</definedName>
    <definedName name="Centeon99" localSheetId="7">#REF!</definedName>
    <definedName name="Centeon99" localSheetId="11">#REF!</definedName>
    <definedName name="Centeon99">#REF!</definedName>
    <definedName name="CESP" localSheetId="11">'[62]P&amp;L'!#REF!</definedName>
    <definedName name="CESP">'[62]P&amp;L'!#REF!</definedName>
    <definedName name="CFA" localSheetId="7">#REF!</definedName>
    <definedName name="CFA" localSheetId="11">#REF!</definedName>
    <definedName name="CFA">#REF!</definedName>
    <definedName name="CFLFULL" localSheetId="7">#REF!</definedName>
    <definedName name="CFLFULL" localSheetId="11">#REF!</definedName>
    <definedName name="CFLFULL">#REF!</definedName>
    <definedName name="CFormats">'[61]DDETABLE '!$AO$2:$AO$17</definedName>
    <definedName name="CFPS__DM" localSheetId="7">#REF!</definedName>
    <definedName name="CFPS__DM" localSheetId="11">#REF!</definedName>
    <definedName name="CFPS__DM">#REF!</definedName>
    <definedName name="CFR" localSheetId="11">'[2]teo model'!#REF!</definedName>
    <definedName name="CFR">'[2]teo model'!#REF!</definedName>
    <definedName name="Change_in_NWC" localSheetId="7">#REF!</definedName>
    <definedName name="Change_in_NWC" localSheetId="11">#REF!</definedName>
    <definedName name="Change_in_NWC">#REF!</definedName>
    <definedName name="chargeloans93" localSheetId="7">#REF!</definedName>
    <definedName name="chargeloans93" localSheetId="11">#REF!</definedName>
    <definedName name="chargeloans93">#REF!</definedName>
    <definedName name="chargeloans94" localSheetId="7">#REF!</definedName>
    <definedName name="chargeloans94" localSheetId="11">#REF!</definedName>
    <definedName name="chargeloans94">#REF!</definedName>
    <definedName name="chargeloans95" localSheetId="7">#REF!</definedName>
    <definedName name="chargeloans95" localSheetId="11">#REF!</definedName>
    <definedName name="chargeloans95">#REF!</definedName>
    <definedName name="chargeloans96" localSheetId="7">#REF!</definedName>
    <definedName name="chargeloans96" localSheetId="11">#REF!</definedName>
    <definedName name="chargeloans96">#REF!</definedName>
    <definedName name="chargeloans97" localSheetId="7">#REF!</definedName>
    <definedName name="chargeloans97" localSheetId="11">#REF!</definedName>
    <definedName name="chargeloans97">#REF!</definedName>
    <definedName name="chargeloans98" localSheetId="7">#REF!</definedName>
    <definedName name="chargeloans98" localSheetId="11">#REF!</definedName>
    <definedName name="chargeloans98">#REF!</definedName>
    <definedName name="chargeoffs93" localSheetId="7">#REF!</definedName>
    <definedName name="chargeoffs93" localSheetId="11">#REF!</definedName>
    <definedName name="chargeoffs93">#REF!</definedName>
    <definedName name="chargeoffs94" localSheetId="7">#REF!</definedName>
    <definedName name="chargeoffs94" localSheetId="11">#REF!</definedName>
    <definedName name="chargeoffs94">#REF!</definedName>
    <definedName name="chargeoffs95" localSheetId="7">#REF!</definedName>
    <definedName name="chargeoffs95" localSheetId="11">#REF!</definedName>
    <definedName name="chargeoffs95">#REF!</definedName>
    <definedName name="chargeoffs96" localSheetId="7">#REF!</definedName>
    <definedName name="chargeoffs96" localSheetId="11">#REF!</definedName>
    <definedName name="chargeoffs96">#REF!</definedName>
    <definedName name="chargeoffs97" localSheetId="7">#REF!</definedName>
    <definedName name="chargeoffs97" localSheetId="11">#REF!</definedName>
    <definedName name="chargeoffs97">#REF!</definedName>
    <definedName name="chargeoffs98" localSheetId="7">#REF!</definedName>
    <definedName name="chargeoffs98" localSheetId="11">#REF!</definedName>
    <definedName name="chargeoffs98">#REF!</definedName>
    <definedName name="Charts" localSheetId="7">#REF!</definedName>
    <definedName name="Charts" localSheetId="11">#REF!</definedName>
    <definedName name="Charts">#REF!</definedName>
    <definedName name="chg">[63]GS_DCF!$Y$12:$AH$12</definedName>
    <definedName name="China" localSheetId="7">#REF!</definedName>
    <definedName name="China" localSheetId="11">#REF!</definedName>
    <definedName name="China">#REF!</definedName>
    <definedName name="China_map" localSheetId="7">#REF!</definedName>
    <definedName name="China_map" localSheetId="11">#REF!</definedName>
    <definedName name="China_map">#REF!</definedName>
    <definedName name="Choices" localSheetId="7">#N/A</definedName>
    <definedName name="Choices" localSheetId="4">Interim!Choices</definedName>
    <definedName name="Choices">DCF!Choices</definedName>
    <definedName name="Choices_Wrapper" localSheetId="7">#N/A</definedName>
    <definedName name="Choices_Wrapper" localSheetId="4">Interim!Choices_Wrapper</definedName>
    <definedName name="Choices_Wrapper">DCF!Choices_Wrapper</definedName>
    <definedName name="cir00">'[18]Annual Model'!$H$90</definedName>
    <definedName name="cir1h00">'[19]Interim Model'!$AW$90</definedName>
    <definedName name="cir1q00">'[18]Quarterly Model'!$G$79</definedName>
    <definedName name="cir1q97" localSheetId="7">#REF!</definedName>
    <definedName name="cir1q97" localSheetId="11">#REF!</definedName>
    <definedName name="cir1q97">#REF!</definedName>
    <definedName name="cir1q98" localSheetId="7">#REF!</definedName>
    <definedName name="cir1q98" localSheetId="11">#REF!</definedName>
    <definedName name="cir1q98">#REF!</definedName>
    <definedName name="cir1q99" localSheetId="7">#REF!</definedName>
    <definedName name="cir1q99" localSheetId="11">#REF!</definedName>
    <definedName name="cir1q99">#REF!</definedName>
    <definedName name="cir2q00">'[18]Quarterly Model'!$I$79</definedName>
    <definedName name="cir2q97" localSheetId="7">#REF!</definedName>
    <definedName name="cir2q97" localSheetId="11">#REF!</definedName>
    <definedName name="cir2q97">#REF!</definedName>
    <definedName name="cir2q97b" localSheetId="7">#REF!</definedName>
    <definedName name="cir2q97b" localSheetId="11">#REF!</definedName>
    <definedName name="cir2q97b">#REF!</definedName>
    <definedName name="cir2q98" localSheetId="7">#REF!</definedName>
    <definedName name="cir2q98" localSheetId="11">#REF!</definedName>
    <definedName name="cir2q98">#REF!</definedName>
    <definedName name="cir2q99" localSheetId="7">#REF!</definedName>
    <definedName name="cir2q99" localSheetId="11">#REF!</definedName>
    <definedName name="cir2q99">#REF!</definedName>
    <definedName name="cir3q00">'[18]Quarterly Model'!$K$79</definedName>
    <definedName name="cir3q98" localSheetId="7">#REF!</definedName>
    <definedName name="cir3q98" localSheetId="11">#REF!</definedName>
    <definedName name="cir3q98">#REF!</definedName>
    <definedName name="cir3q99" localSheetId="7">#REF!</definedName>
    <definedName name="cir3q99" localSheetId="11">#REF!</definedName>
    <definedName name="cir3q99">#REF!</definedName>
    <definedName name="CIR3Q99e" localSheetId="7">#REF!</definedName>
    <definedName name="CIR3Q99e" localSheetId="11">#REF!</definedName>
    <definedName name="CIR3Q99e">#REF!</definedName>
    <definedName name="cir4q00">'[18]Quarterly Model'!$M$79</definedName>
    <definedName name="cir4q98" localSheetId="7">#REF!</definedName>
    <definedName name="cir4q98" localSheetId="11">#REF!</definedName>
    <definedName name="cir4q98">#REF!</definedName>
    <definedName name="cirE99">'[64]Annual Model'!$G$91</definedName>
    <definedName name="cirh197">'[19]Interim Model'!$U$90</definedName>
    <definedName name="cirh198">'[19]Interim Model'!$AB$90</definedName>
    <definedName name="cirh199">'[19]Interim Model'!$AI$90</definedName>
    <definedName name="cirq296" localSheetId="7">#REF!</definedName>
    <definedName name="cirq296" localSheetId="11">#REF!</definedName>
    <definedName name="cirq296">#REF!</definedName>
    <definedName name="Citizenpr">[41]Datastream!$B$6</definedName>
    <definedName name="Claforan00" localSheetId="7">#REF!</definedName>
    <definedName name="Claforan00" localSheetId="11">#REF!</definedName>
    <definedName name="Claforan00">#REF!</definedName>
    <definedName name="Claforan01" localSheetId="7">#REF!</definedName>
    <definedName name="Claforan01" localSheetId="11">#REF!</definedName>
    <definedName name="Claforan01">#REF!</definedName>
    <definedName name="Claforan02" localSheetId="7">#REF!</definedName>
    <definedName name="Claforan02" localSheetId="11">#REF!</definedName>
    <definedName name="Claforan02">#REF!</definedName>
    <definedName name="Claforan03" localSheetId="7">#REF!</definedName>
    <definedName name="Claforan03" localSheetId="11">#REF!</definedName>
    <definedName name="Claforan03">#REF!</definedName>
    <definedName name="Claforan04" localSheetId="7">#REF!</definedName>
    <definedName name="Claforan04" localSheetId="11">#REF!</definedName>
    <definedName name="Claforan04">#REF!</definedName>
    <definedName name="Claforan05" localSheetId="7">#REF!</definedName>
    <definedName name="Claforan05" localSheetId="11">#REF!</definedName>
    <definedName name="Claforan05">#REF!</definedName>
    <definedName name="Claforan97" localSheetId="7">#REF!</definedName>
    <definedName name="Claforan97" localSheetId="11">#REF!</definedName>
    <definedName name="Claforan97">#REF!</definedName>
    <definedName name="Claforan98" localSheetId="7">#REF!</definedName>
    <definedName name="Claforan98" localSheetId="11">#REF!</definedName>
    <definedName name="Claforan98">#REF!</definedName>
    <definedName name="Claforan99" localSheetId="7">#REF!</definedName>
    <definedName name="Claforan99" localSheetId="11">#REF!</definedName>
    <definedName name="Claforan99">#REF!</definedName>
    <definedName name="class" localSheetId="7">#REF!</definedName>
    <definedName name="class" localSheetId="11">#REF!</definedName>
    <definedName name="class">#REF!</definedName>
    <definedName name="ClexaneLovenox00" localSheetId="7">#REF!</definedName>
    <definedName name="ClexaneLovenox00" localSheetId="11">#REF!</definedName>
    <definedName name="ClexaneLovenox00">#REF!</definedName>
    <definedName name="ClexaneLovenox01" localSheetId="7">#REF!</definedName>
    <definedName name="ClexaneLovenox01" localSheetId="11">#REF!</definedName>
    <definedName name="ClexaneLovenox01">#REF!</definedName>
    <definedName name="ClexaneLovenox02" localSheetId="7">#REF!</definedName>
    <definedName name="ClexaneLovenox02" localSheetId="11">#REF!</definedName>
    <definedName name="ClexaneLovenox02">#REF!</definedName>
    <definedName name="ClexaneLovenox03" localSheetId="7">#REF!</definedName>
    <definedName name="ClexaneLovenox03" localSheetId="11">#REF!</definedName>
    <definedName name="ClexaneLovenox03">#REF!</definedName>
    <definedName name="ClexaneLovenox04" localSheetId="7">#REF!</definedName>
    <definedName name="ClexaneLovenox04" localSheetId="11">#REF!</definedName>
    <definedName name="ClexaneLovenox04">#REF!</definedName>
    <definedName name="ClexaneLovenox05" localSheetId="7">#REF!</definedName>
    <definedName name="ClexaneLovenox05" localSheetId="11">#REF!</definedName>
    <definedName name="ClexaneLovenox05">#REF!</definedName>
    <definedName name="ClexaneLovenox97" localSheetId="7">#REF!</definedName>
    <definedName name="ClexaneLovenox97" localSheetId="11">#REF!</definedName>
    <definedName name="ClexaneLovenox97">#REF!</definedName>
    <definedName name="ClexaneLovenox98" localSheetId="7">#REF!</definedName>
    <definedName name="ClexaneLovenox98" localSheetId="11">#REF!</definedName>
    <definedName name="ClexaneLovenox98">#REF!</definedName>
    <definedName name="ClexaneLovenox99" localSheetId="7">#REF!</definedName>
    <definedName name="ClexaneLovenox99" localSheetId="11">#REF!</definedName>
    <definedName name="ClexaneLovenox99">#REF!</definedName>
    <definedName name="close">'[65]Data '!$AD$1:$AE$65536</definedName>
    <definedName name="CO">"Avon Products, Inc."</definedName>
    <definedName name="CoCode" localSheetId="11">#REF!</definedName>
    <definedName name="CoCode">#REF!</definedName>
    <definedName name="codeDestination">'[61]DDETABLE '!$K$9</definedName>
    <definedName name="CODELK_Path">'[61]DDETABLE '!$AD$4</definedName>
    <definedName name="cogs.00">'[60]Dial P&amp;L'!$B$20</definedName>
    <definedName name="cogs.01">'[60]Dial P&amp;L'!$C$20</definedName>
    <definedName name="cogs.02">'[60]Dial P&amp;L'!$D$20</definedName>
    <definedName name="cogs.03">'[60]Dial P&amp;L'!$E$20</definedName>
    <definedName name="cogs.04">'[60]Dial P&amp;L'!$F$20</definedName>
    <definedName name="cogs_handsets">[66]Costs!$A$15:$IV$15</definedName>
    <definedName name="cogs_internet">[66]Costs!$A$26:$IV$26</definedName>
    <definedName name="cogs_mobile">[66]Costs!$A$21:$IV$21</definedName>
    <definedName name="cogs_other">[66]Costs!$A$30:$IV$30</definedName>
    <definedName name="column_start" localSheetId="11">[45]Links!#REF!</definedName>
    <definedName name="column_start">[45]Links!#REF!</definedName>
    <definedName name="ColumnHeading" localSheetId="7">#REF!</definedName>
    <definedName name="ColumnHeading" localSheetId="11">#REF!</definedName>
    <definedName name="ColumnHeading">#REF!</definedName>
    <definedName name="columnnumber">'[67]Slide  S&amp;P Medians'!$A$106</definedName>
    <definedName name="CombiPatch00" localSheetId="11">[17]Products!#REF!</definedName>
    <definedName name="CombiPatch00">[17]Products!#REF!</definedName>
    <definedName name="CombiPatch01" localSheetId="11">[17]Products!#REF!</definedName>
    <definedName name="CombiPatch01">[17]Products!#REF!</definedName>
    <definedName name="CombiPatch02" localSheetId="11">[17]Products!#REF!</definedName>
    <definedName name="CombiPatch02">[17]Products!#REF!</definedName>
    <definedName name="CombiPatch03" localSheetId="11">[17]Products!#REF!</definedName>
    <definedName name="CombiPatch03">[17]Products!#REF!</definedName>
    <definedName name="CombiPatch04" localSheetId="11">[17]Products!#REF!</definedName>
    <definedName name="CombiPatch04">[17]Products!#REF!</definedName>
    <definedName name="CombiPatch05" localSheetId="11">[17]Products!#REF!</definedName>
    <definedName name="CombiPatch05">[17]Products!#REF!</definedName>
    <definedName name="comm93" localSheetId="7">#REF!</definedName>
    <definedName name="comm93" localSheetId="11">#REF!</definedName>
    <definedName name="comm93">#REF!</definedName>
    <definedName name="comm94" localSheetId="7">#REF!</definedName>
    <definedName name="comm94" localSheetId="11">#REF!</definedName>
    <definedName name="comm94">#REF!</definedName>
    <definedName name="comm95" localSheetId="7">#REF!</definedName>
    <definedName name="comm95" localSheetId="11">#REF!</definedName>
    <definedName name="comm95">#REF!</definedName>
    <definedName name="comm96" localSheetId="7">#REF!</definedName>
    <definedName name="comm96" localSheetId="11">#REF!</definedName>
    <definedName name="comm96">#REF!</definedName>
    <definedName name="Commercial_Paper" localSheetId="7">#REF!</definedName>
    <definedName name="Commercial_Paper" localSheetId="11">#REF!</definedName>
    <definedName name="Commercial_Paper">#REF!</definedName>
    <definedName name="commerz_margins" localSheetId="7">#REF!</definedName>
    <definedName name="commerz_margins" localSheetId="11">#REF!</definedName>
    <definedName name="commerz_margins">#REF!</definedName>
    <definedName name="commloan93" localSheetId="7">#REF!</definedName>
    <definedName name="commloan93" localSheetId="11">#REF!</definedName>
    <definedName name="commloan93">#REF!</definedName>
    <definedName name="commloan94" localSheetId="7">#REF!</definedName>
    <definedName name="commloan94" localSheetId="11">#REF!</definedName>
    <definedName name="commloan94">#REF!</definedName>
    <definedName name="commloan95" localSheetId="7">#REF!</definedName>
    <definedName name="commloan95" localSheetId="11">#REF!</definedName>
    <definedName name="commloan95">#REF!</definedName>
    <definedName name="commloan96" localSheetId="7">#REF!</definedName>
    <definedName name="commloan96" localSheetId="11">#REF!</definedName>
    <definedName name="commloan96">#REF!</definedName>
    <definedName name="commloan97" localSheetId="7">#REF!</definedName>
    <definedName name="commloan97" localSheetId="11">#REF!</definedName>
    <definedName name="commloan97">#REF!</definedName>
    <definedName name="Common_Stock" localSheetId="7">#REF!</definedName>
    <definedName name="Common_Stock" localSheetId="11">#REF!</definedName>
    <definedName name="Common_Stock">#REF!</definedName>
    <definedName name="COMP" localSheetId="11">'[2]teo model'!#REF!</definedName>
    <definedName name="COMP">'[2]teo model'!#REF!</definedName>
    <definedName name="Company_reported_exceptionals" localSheetId="11">[32]Figures!#REF!</definedName>
    <definedName name="Company_reported_exceptionals">[32]Figures!#REF!</definedName>
    <definedName name="CompanyCode" localSheetId="7">#REF!</definedName>
    <definedName name="CompanyCode" localSheetId="11">#REF!</definedName>
    <definedName name="CompanyCode">#REF!</definedName>
    <definedName name="comparables_1" localSheetId="7">#REF!</definedName>
    <definedName name="comparables_1" localSheetId="11">#REF!</definedName>
    <definedName name="comparables_1">#REF!</definedName>
    <definedName name="comparables_2" localSheetId="7">#REF!</definedName>
    <definedName name="comparables_2" localSheetId="11">#REF!</definedName>
    <definedName name="comparables_2">#REF!</definedName>
    <definedName name="COMPS" localSheetId="11">[58]ANNBIZ!#REF!</definedName>
    <definedName name="COMPS">[58]ANNBIZ!#REF!</definedName>
    <definedName name="CoName" localSheetId="7">#REF!</definedName>
    <definedName name="CoName" localSheetId="11">#REF!</definedName>
    <definedName name="CoName">#REF!</definedName>
    <definedName name="Concor00" localSheetId="11">[17]Products!#REF!</definedName>
    <definedName name="Concor00">[17]Products!#REF!</definedName>
    <definedName name="Concor01" localSheetId="11">[17]Products!#REF!</definedName>
    <definedName name="Concor01">[17]Products!#REF!</definedName>
    <definedName name="Concor02" localSheetId="11">[17]Products!#REF!</definedName>
    <definedName name="Concor02">[17]Products!#REF!</definedName>
    <definedName name="Concor03" localSheetId="11">[17]Products!#REF!</definedName>
    <definedName name="Concor03">[17]Products!#REF!</definedName>
    <definedName name="Concor04" localSheetId="11">[17]Products!#REF!</definedName>
    <definedName name="Concor04">[17]Products!#REF!</definedName>
    <definedName name="Concor05" localSheetId="11">[17]Products!#REF!</definedName>
    <definedName name="Concor05">[17]Products!#REF!</definedName>
    <definedName name="Concor97" localSheetId="11">[17]Products!#REF!</definedName>
    <definedName name="Concor97">[17]Products!#REF!</definedName>
    <definedName name="Concor98" localSheetId="11">[17]Products!#REF!</definedName>
    <definedName name="Concor98">[17]Products!#REF!</definedName>
    <definedName name="Concor99" localSheetId="11">[17]Products!#REF!</definedName>
    <definedName name="Concor99">[17]Products!#REF!</definedName>
    <definedName name="condqtr">'[40]Condensed Qtrly'!$B$2:$AU$58</definedName>
    <definedName name="Cons_period" localSheetId="7">#REF!</definedName>
    <definedName name="Cons_period" localSheetId="11">#REF!</definedName>
    <definedName name="Cons_period">#REF!</definedName>
    <definedName name="Consensus">'[68]Consensus '!$B$2:$U$34</definedName>
    <definedName name="consloan93" localSheetId="7">#REF!</definedName>
    <definedName name="consloan93" localSheetId="11">#REF!</definedName>
    <definedName name="consloan93">#REF!</definedName>
    <definedName name="consloan94" localSheetId="7">#REF!</definedName>
    <definedName name="consloan94" localSheetId="11">#REF!</definedName>
    <definedName name="consloan94">#REF!</definedName>
    <definedName name="consloan95" localSheetId="7">#REF!</definedName>
    <definedName name="consloan95" localSheetId="11">#REF!</definedName>
    <definedName name="consloan95">#REF!</definedName>
    <definedName name="consloan96" localSheetId="7">#REF!</definedName>
    <definedName name="consloan96" localSheetId="11">#REF!</definedName>
    <definedName name="consloan96">#REF!</definedName>
    <definedName name="consloan97" localSheetId="7">#REF!</definedName>
    <definedName name="consloan97" localSheetId="11">#REF!</definedName>
    <definedName name="consloan97">#REF!</definedName>
    <definedName name="Consolidated" localSheetId="7">{#N/A,#N/A,FALSE,"Annual Model";#N/A,#N/A,FALSE,"Quarterly Model";#N/A,#N/A,FALSE,"Header";#N/A,#N/A,FALSE,"Notes"}</definedName>
    <definedName name="Consolidated" localSheetId="4">{#N/A,#N/A,FALSE,"Annual Model";#N/A,#N/A,FALSE,"Quarterly Model";#N/A,#N/A,FALSE,"Header";#N/A,#N/A,FALSE,"Notes"}</definedName>
    <definedName name="Consolidated">{#N/A,#N/A,FALSE,"Annual Model";#N/A,#N/A,FALSE,"Quarterly Model";#N/A,#N/A,FALSE,"Header";#N/A,#N/A,FALSE,"Notes"}</definedName>
    <definedName name="CONSOLIDATED_BALANCE_SHEET" localSheetId="7">#REF!</definedName>
    <definedName name="CONSOLIDATED_BALANCE_SHEET" localSheetId="11">#REF!</definedName>
    <definedName name="CONSOLIDATED_BALANCE_SHEET">#REF!</definedName>
    <definedName name="consolidated_bs">[33]Layout!$B$93:$S$119</definedName>
    <definedName name="consolidated_layout">[33]Layout!$B$2:$S$119</definedName>
    <definedName name="consolidated_pl_layout">[33]Layout!$B$1:$S$84</definedName>
    <definedName name="Convertibles_options" localSheetId="7">#REF!</definedName>
    <definedName name="Convertibles_options" localSheetId="11">#REF!</definedName>
    <definedName name="Convertibles_options">#REF!</definedName>
    <definedName name="Copaxone00" localSheetId="7">#REF!</definedName>
    <definedName name="Copaxone00" localSheetId="11">#REF!</definedName>
    <definedName name="Copaxone00">#REF!</definedName>
    <definedName name="Copaxone01" localSheetId="7">#REF!</definedName>
    <definedName name="Copaxone01" localSheetId="11">#REF!</definedName>
    <definedName name="Copaxone01">#REF!</definedName>
    <definedName name="Copaxone02" localSheetId="7">#REF!</definedName>
    <definedName name="Copaxone02" localSheetId="11">#REF!</definedName>
    <definedName name="Copaxone02">#REF!</definedName>
    <definedName name="Copaxone03" localSheetId="7">#REF!</definedName>
    <definedName name="Copaxone03" localSheetId="11">#REF!</definedName>
    <definedName name="Copaxone03">#REF!</definedName>
    <definedName name="Copaxone04" localSheetId="7">#REF!</definedName>
    <definedName name="Copaxone04" localSheetId="11">#REF!</definedName>
    <definedName name="Copaxone04">#REF!</definedName>
    <definedName name="Copaxone05" localSheetId="7">#REF!</definedName>
    <definedName name="Copaxone05" localSheetId="11">#REF!</definedName>
    <definedName name="Copaxone05">#REF!</definedName>
    <definedName name="Copaxone97" localSheetId="7">#REF!</definedName>
    <definedName name="Copaxone97" localSheetId="11">#REF!</definedName>
    <definedName name="Copaxone97">#REF!</definedName>
    <definedName name="Copaxone98" localSheetId="7">#REF!</definedName>
    <definedName name="Copaxone98" localSheetId="11">#REF!</definedName>
    <definedName name="Copaxone98">#REF!</definedName>
    <definedName name="Copaxone99" localSheetId="7">#REF!</definedName>
    <definedName name="Copaxone99" localSheetId="11">#REF!</definedName>
    <definedName name="Copaxone99">#REF!</definedName>
    <definedName name="corpnetinc00" localSheetId="7">#REF!</definedName>
    <definedName name="corpnetinc00" localSheetId="11">#REF!</definedName>
    <definedName name="corpnetinc00">#REF!</definedName>
    <definedName name="corpnetinc97" localSheetId="7">#REF!</definedName>
    <definedName name="corpnetinc97" localSheetId="11">#REF!</definedName>
    <definedName name="corpnetinc97">#REF!</definedName>
    <definedName name="corpnetinc98" localSheetId="7">#REF!</definedName>
    <definedName name="corpnetinc98" localSheetId="11">#REF!</definedName>
    <definedName name="corpnetinc98">#REF!</definedName>
    <definedName name="corpnetinc99" localSheetId="7">#REF!</definedName>
    <definedName name="corpnetinc99" localSheetId="11">#REF!</definedName>
    <definedName name="corpnetinc99">#REF!</definedName>
    <definedName name="Corticoid00" localSheetId="11">[17]Products!#REF!</definedName>
    <definedName name="Corticoid00">[17]Products!#REF!</definedName>
    <definedName name="Corticoid01" localSheetId="11">[17]Products!#REF!</definedName>
    <definedName name="Corticoid01">[17]Products!#REF!</definedName>
    <definedName name="Corticoid02" localSheetId="11">[17]Products!#REF!</definedName>
    <definedName name="Corticoid02">[17]Products!#REF!</definedName>
    <definedName name="Corticoid03" localSheetId="11">[17]Products!#REF!</definedName>
    <definedName name="Corticoid03">[17]Products!#REF!</definedName>
    <definedName name="Corticoid04" localSheetId="11">[17]Products!#REF!</definedName>
    <definedName name="Corticoid04">[17]Products!#REF!</definedName>
    <definedName name="Corticoid05" localSheetId="11">[17]Products!#REF!</definedName>
    <definedName name="Corticoid05">[17]Products!#REF!</definedName>
    <definedName name="Corticoid97" localSheetId="11">[17]Products!#REF!</definedName>
    <definedName name="Corticoid97">[17]Products!#REF!</definedName>
    <definedName name="Corticoid98" localSheetId="11">[17]Products!#REF!</definedName>
    <definedName name="Corticoid98">[17]Products!#REF!</definedName>
    <definedName name="Corticoid99" localSheetId="11">[17]Products!#REF!</definedName>
    <definedName name="Corticoid99">[17]Products!#REF!</definedName>
    <definedName name="Corvaton00" localSheetId="7">#REF!</definedName>
    <definedName name="Corvaton00" localSheetId="11">#REF!</definedName>
    <definedName name="Corvaton00">#REF!</definedName>
    <definedName name="Corvaton01" localSheetId="7">#REF!</definedName>
    <definedName name="Corvaton01" localSheetId="11">#REF!</definedName>
    <definedName name="Corvaton01">#REF!</definedName>
    <definedName name="Corvaton02" localSheetId="7">#REF!</definedName>
    <definedName name="Corvaton02" localSheetId="11">#REF!</definedName>
    <definedName name="Corvaton02">#REF!</definedName>
    <definedName name="Corvaton03" localSheetId="7">#REF!</definedName>
    <definedName name="Corvaton03" localSheetId="11">#REF!</definedName>
    <definedName name="Corvaton03">#REF!</definedName>
    <definedName name="Corvaton04" localSheetId="7">#REF!</definedName>
    <definedName name="Corvaton04" localSheetId="11">#REF!</definedName>
    <definedName name="Corvaton04">#REF!</definedName>
    <definedName name="Corvaton05" localSheetId="7">#REF!</definedName>
    <definedName name="Corvaton05" localSheetId="11">#REF!</definedName>
    <definedName name="Corvaton05">#REF!</definedName>
    <definedName name="Corvaton97" localSheetId="7">#REF!</definedName>
    <definedName name="Corvaton97" localSheetId="11">#REF!</definedName>
    <definedName name="Corvaton97">#REF!</definedName>
    <definedName name="Corvaton98" localSheetId="7">#REF!</definedName>
    <definedName name="Corvaton98" localSheetId="11">#REF!</definedName>
    <definedName name="Corvaton98">#REF!</definedName>
    <definedName name="Corvaton99" localSheetId="7">#REF!</definedName>
    <definedName name="Corvaton99" localSheetId="11">#REF!</definedName>
    <definedName name="Corvaton99">#REF!</definedName>
    <definedName name="Cosm" localSheetId="7">#REF!</definedName>
    <definedName name="Cosm" localSheetId="11">#REF!</definedName>
    <definedName name="Cosm">#REF!</definedName>
    <definedName name="Cost_in_excess_of_net_assets_of_acquired_business" localSheetId="7">#REF!</definedName>
    <definedName name="Cost_in_excess_of_net_assets_of_acquired_business" localSheetId="11">#REF!</definedName>
    <definedName name="Cost_in_excess_of_net_assets_of_acquired_business">#REF!</definedName>
    <definedName name="Cost_of_goods_sold" localSheetId="7">#REF!</definedName>
    <definedName name="Cost_of_goods_sold" localSheetId="11">#REF!</definedName>
    <definedName name="Cost_of_goods_sold">#REF!</definedName>
    <definedName name="Cost_of_Sales" localSheetId="7">#REF!</definedName>
    <definedName name="Cost_of_Sales" localSheetId="11">#REF!</definedName>
    <definedName name="Cost_of_Sales">#REF!</definedName>
    <definedName name="Cost_syn">[69]Synergies!$M$4:$Q$17</definedName>
    <definedName name="COUNT" localSheetId="11">[4]roysuna!#REF!</definedName>
    <definedName name="COUNT">[4]roysuna!#REF!</definedName>
    <definedName name="Cov_00_PS">[37]Depreciation!$AJ$231</definedName>
    <definedName name="Cov_00_Rev">[37]Depreciation!$AG$228</definedName>
    <definedName name="Cov_97_PS" localSheetId="11">[37]Depreciation!#REF!</definedName>
    <definedName name="Cov_97_PS">[37]Depreciation!#REF!</definedName>
    <definedName name="Cov_97_Rev">[37]Depreciation!$AD$228</definedName>
    <definedName name="Cov_98_PS">[37]Depreciation!$AH$231</definedName>
    <definedName name="Cov_98_Rev">[37]Depreciation!$AE$228</definedName>
    <definedName name="Cov_99_PS">[37]Depreciation!$AI$231</definedName>
    <definedName name="Cov_99_Rev">[37]Depreciation!$AF$228</definedName>
    <definedName name="Cov_EPS_00">[37]Depreciation!$AC$231</definedName>
    <definedName name="Cov_EPS_98">[37]Depreciation!$AA$231</definedName>
    <definedName name="Cov_EPS_99">[37]Depreciation!$AB$231</definedName>
    <definedName name="Cov_Mkt_Cap">[37]Depreciation!$T$228</definedName>
    <definedName name="Cov_Off_High">[37]Depreciation!$N$227</definedName>
    <definedName name="Cov_Perf_97">[37]Depreciation!$O$231</definedName>
    <definedName name="Cov_Perf_98">[37]Depreciation!$P$231</definedName>
    <definedName name="Cov_Perf_99">[37]Depreciation!$Q$231</definedName>
    <definedName name="cov_perf_99b">'[70]#REF'!$Q$162</definedName>
    <definedName name="Cov_Univ_Avg">[37]Depreciation!$C$231</definedName>
    <definedName name="Cov_Univ_Total">[37]Depreciation!$C$228</definedName>
    <definedName name="CPTA">'[71]Asset quality'!$B$2:$K$70</definedName>
    <definedName name="CptaData">[52]Datasheet!$A:$IV</definedName>
    <definedName name="CptaPeriod">[52]Datasheet!$A$6:$IV$6</definedName>
    <definedName name="CrdiData">[46]Datasheet!$A:$IV</definedName>
    <definedName name="CrdiPeriod">[46]Datasheet!$A$6:$IV$6</definedName>
    <definedName name="Credit" localSheetId="7">#REF!</definedName>
    <definedName name="Credit" localSheetId="11">#REF!</definedName>
    <definedName name="Credit">#REF!</definedName>
    <definedName name="crit" localSheetId="7">#REF!</definedName>
    <definedName name="crit" localSheetId="11">#REF!</definedName>
    <definedName name="crit">#REF!</definedName>
    <definedName name="_xlnm.Criteria" localSheetId="6">#REF!</definedName>
    <definedName name="_xlnm.Criteria" localSheetId="7">#REF!</definedName>
    <definedName name="_xlnm.Criteria" localSheetId="11">#REF!</definedName>
    <definedName name="_xlnm.Criteria">#REF!</definedName>
    <definedName name="CSAvCE87" localSheetId="7">#REF!</definedName>
    <definedName name="CSAvCE87" localSheetId="11">#REF!</definedName>
    <definedName name="CSAvCE87">#REF!</definedName>
    <definedName name="CSAvCE88" localSheetId="7">#REF!</definedName>
    <definedName name="CSAvCE88" localSheetId="11">#REF!</definedName>
    <definedName name="CSAvCE88">#REF!</definedName>
    <definedName name="CSAvCE89" localSheetId="7">#REF!</definedName>
    <definedName name="CSAvCE89" localSheetId="11">#REF!</definedName>
    <definedName name="CSAvCE89">#REF!</definedName>
    <definedName name="CSAvCE90" localSheetId="7">#REF!</definedName>
    <definedName name="CSAvCE90" localSheetId="11">#REF!</definedName>
    <definedName name="CSAvCE90">#REF!</definedName>
    <definedName name="CSAvCE91" localSheetId="7">#REF!</definedName>
    <definedName name="CSAvCE91" localSheetId="11">#REF!</definedName>
    <definedName name="CSAvCE91">#REF!</definedName>
    <definedName name="CSAvCE92" localSheetId="7">#REF!</definedName>
    <definedName name="CSAvCE92" localSheetId="11">#REF!</definedName>
    <definedName name="CSAvCE92">#REF!</definedName>
    <definedName name="CSAvCE93" localSheetId="7">#REF!</definedName>
    <definedName name="CSAvCE93" localSheetId="11">#REF!</definedName>
    <definedName name="CSAvCE93">#REF!</definedName>
    <definedName name="CSAvCE94" localSheetId="7">#REF!</definedName>
    <definedName name="CSAvCE94" localSheetId="11">#REF!</definedName>
    <definedName name="CSAvCE94">#REF!</definedName>
    <definedName name="CSAvCE95" localSheetId="7">#REF!</definedName>
    <definedName name="CSAvCE95" localSheetId="11">#REF!</definedName>
    <definedName name="CSAvCE95">#REF!</definedName>
    <definedName name="CSAvCE96" localSheetId="7">#REF!</definedName>
    <definedName name="CSAvCE96" localSheetId="11">#REF!</definedName>
    <definedName name="CSAvCE96">#REF!</definedName>
    <definedName name="CSAvCE97" localSheetId="7">#REF!</definedName>
    <definedName name="CSAvCE97" localSheetId="11">#REF!</definedName>
    <definedName name="CSAvCE97">#REF!</definedName>
    <definedName name="CSAvCE98" localSheetId="7">#REF!</definedName>
    <definedName name="CSAvCE98" localSheetId="11">#REF!</definedName>
    <definedName name="CSAvCE98">#REF!</definedName>
    <definedName name="CSAvCE99" localSheetId="7">#REF!</definedName>
    <definedName name="CSAvCE99" localSheetId="11">#REF!</definedName>
    <definedName name="CSAvCE99">#REF!</definedName>
    <definedName name="CSbegcap" localSheetId="7">#REF!</definedName>
    <definedName name="CSbegcap" localSheetId="11">#REF!</definedName>
    <definedName name="CSbegcap">#REF!</definedName>
    <definedName name="CSData">[72]Datasheet!$A:$IV</definedName>
    <definedName name="CSNOPAT86" localSheetId="7">#REF!</definedName>
    <definedName name="CSNOPAT86" localSheetId="11">#REF!</definedName>
    <definedName name="CSNOPAT86">#REF!</definedName>
    <definedName name="CSNOPAT87" localSheetId="7">#REF!</definedName>
    <definedName name="CSNOPAT87" localSheetId="11">#REF!</definedName>
    <definedName name="CSNOPAT87">#REF!</definedName>
    <definedName name="CSNOPAT88" localSheetId="7">#REF!</definedName>
    <definedName name="CSNOPAT88" localSheetId="11">#REF!</definedName>
    <definedName name="CSNOPAT88">#REF!</definedName>
    <definedName name="CSNOPAT89" localSheetId="7">#REF!</definedName>
    <definedName name="CSNOPAT89" localSheetId="11">#REF!</definedName>
    <definedName name="CSNOPAT89">#REF!</definedName>
    <definedName name="CSNOPAT90" localSheetId="7">#REF!</definedName>
    <definedName name="CSNOPAT90" localSheetId="11">#REF!</definedName>
    <definedName name="CSNOPAT90">#REF!</definedName>
    <definedName name="CSNOPAT91" localSheetId="7">#REF!</definedName>
    <definedName name="CSNOPAT91" localSheetId="11">#REF!</definedName>
    <definedName name="CSNOPAT91">#REF!</definedName>
    <definedName name="CSNOPAT92" localSheetId="7">#REF!</definedName>
    <definedName name="CSNOPAT92" localSheetId="11">#REF!</definedName>
    <definedName name="CSNOPAT92">#REF!</definedName>
    <definedName name="CSNOPAT93" localSheetId="7">#REF!</definedName>
    <definedName name="CSNOPAT93" localSheetId="11">#REF!</definedName>
    <definedName name="CSNOPAT93">#REF!</definedName>
    <definedName name="CSNOPAT94" localSheetId="7">#REF!</definedName>
    <definedName name="CSNOPAT94" localSheetId="11">#REF!</definedName>
    <definedName name="CSNOPAT94">#REF!</definedName>
    <definedName name="CSNOPAT95" localSheetId="7">#REF!</definedName>
    <definedName name="CSNOPAT95" localSheetId="11">#REF!</definedName>
    <definedName name="CSNOPAT95">#REF!</definedName>
    <definedName name="CSNOPAT96" localSheetId="7">#REF!</definedName>
    <definedName name="CSNOPAT96" localSheetId="11">#REF!</definedName>
    <definedName name="CSNOPAT96">#REF!</definedName>
    <definedName name="CSNOPAT97" localSheetId="7">#REF!</definedName>
    <definedName name="CSNOPAT97" localSheetId="11">#REF!</definedName>
    <definedName name="CSNOPAT97">#REF!</definedName>
    <definedName name="CSNOPAT98" localSheetId="7">#REF!</definedName>
    <definedName name="CSNOPAT98" localSheetId="11">#REF!</definedName>
    <definedName name="CSNOPAT98">#REF!</definedName>
    <definedName name="CSNOPAT99" localSheetId="7">#REF!</definedName>
    <definedName name="CSNOPAT99" localSheetId="11">#REF!</definedName>
    <definedName name="CSNOPAT99">#REF!</definedName>
    <definedName name="CSPeriod">[72]Datasheet!$A$6:$IV$6</definedName>
    <definedName name="CSTotCE" localSheetId="7">#REF!</definedName>
    <definedName name="CSTotCE" localSheetId="11">#REF!</definedName>
    <definedName name="CSTotCE">#REF!</definedName>
    <definedName name="CTopics">'[61]DDETABLE '!$AM$2:$AM$4</definedName>
    <definedName name="Cumulative_translation_adjustment" localSheetId="7">#REF!</definedName>
    <definedName name="Cumulative_translation_adjustment" localSheetId="11">#REF!</definedName>
    <definedName name="Cumulative_translation_adjustment">#REF!</definedName>
    <definedName name="currency" localSheetId="11">'[73]Merck KGaA'!#REF!</definedName>
    <definedName name="currency">'[73]Merck KGaA'!#REF!</definedName>
    <definedName name="CURRENT" localSheetId="11">'[62]P&amp;L'!#REF!</definedName>
    <definedName name="CURRENT">'[62]P&amp;L'!#REF!</definedName>
    <definedName name="Current_cost_adjusted_net_income" localSheetId="11">[32]Figures!#REF!</definedName>
    <definedName name="Current_cost_adjusted_net_income">[32]Figures!#REF!</definedName>
    <definedName name="Current_Liabilities" localSheetId="7">#REF!</definedName>
    <definedName name="Current_Liabilities" localSheetId="11">#REF!</definedName>
    <definedName name="Current_Liabilities">#REF!</definedName>
    <definedName name="Current_portion" localSheetId="7">#REF!</definedName>
    <definedName name="Current_portion" localSheetId="11">#REF!</definedName>
    <definedName name="Current_portion">#REF!</definedName>
    <definedName name="Current_portion_of_long_term_trade" localSheetId="7">#REF!</definedName>
    <definedName name="Current_portion_of_long_term_trade" localSheetId="11">#REF!</definedName>
    <definedName name="Current_portion_of_long_term_trade">#REF!</definedName>
    <definedName name="Customer_advances" localSheetId="7">#REF!</definedName>
    <definedName name="Customer_advances" localSheetId="11">#REF!</definedName>
    <definedName name="Customer_advances">#REF!</definedName>
    <definedName name="Customer_deposits_growth_fore" localSheetId="7">#REF!</definedName>
    <definedName name="Customer_deposits_growth_fore" localSheetId="11">#REF!</definedName>
    <definedName name="Customer_deposits_growth_fore">#REF!</definedName>
    <definedName name="CWAvCE87" localSheetId="7">#REF!</definedName>
    <definedName name="CWAvCE87" localSheetId="11">#REF!</definedName>
    <definedName name="CWAvCE87">#REF!</definedName>
    <definedName name="CWAvCE88" localSheetId="7">#REF!</definedName>
    <definedName name="CWAvCE88" localSheetId="11">#REF!</definedName>
    <definedName name="CWAvCE88">#REF!</definedName>
    <definedName name="CWAvCE89" localSheetId="7">#REF!</definedName>
    <definedName name="CWAvCE89" localSheetId="11">#REF!</definedName>
    <definedName name="CWAvCE89">#REF!</definedName>
    <definedName name="CWAvCE90" localSheetId="7">#REF!</definedName>
    <definedName name="CWAvCE90" localSheetId="11">#REF!</definedName>
    <definedName name="CWAvCE90">#REF!</definedName>
    <definedName name="CWAvCE91" localSheetId="7">#REF!</definedName>
    <definedName name="CWAvCE91" localSheetId="11">#REF!</definedName>
    <definedName name="CWAvCE91">#REF!</definedName>
    <definedName name="CWAvCE92" localSheetId="7">#REF!</definedName>
    <definedName name="CWAvCE92" localSheetId="11">#REF!</definedName>
    <definedName name="CWAvCE92">#REF!</definedName>
    <definedName name="CWAvCE93" localSheetId="7">#REF!</definedName>
    <definedName name="CWAvCE93" localSheetId="11">#REF!</definedName>
    <definedName name="CWAvCE93">#REF!</definedName>
    <definedName name="CWAvCE94" localSheetId="7">#REF!</definedName>
    <definedName name="CWAvCE94" localSheetId="11">#REF!</definedName>
    <definedName name="CWAvCE94">#REF!</definedName>
    <definedName name="CWAvCE95" localSheetId="7">#REF!</definedName>
    <definedName name="CWAvCE95" localSheetId="11">#REF!</definedName>
    <definedName name="CWAvCE95">#REF!</definedName>
    <definedName name="CWAvCE96" localSheetId="7">#REF!</definedName>
    <definedName name="CWAvCE96" localSheetId="11">#REF!</definedName>
    <definedName name="CWAvCE96">#REF!</definedName>
    <definedName name="CWAvCE97" localSheetId="7">#REF!</definedName>
    <definedName name="CWAvCE97" localSheetId="11">#REF!</definedName>
    <definedName name="CWAvCE97">#REF!</definedName>
    <definedName name="CWAvCE98" localSheetId="7">#REF!</definedName>
    <definedName name="CWAvCE98" localSheetId="11">#REF!</definedName>
    <definedName name="CWAvCE98">#REF!</definedName>
    <definedName name="CWAvCE99" localSheetId="7">#REF!</definedName>
    <definedName name="CWAvCE99" localSheetId="11">#REF!</definedName>
    <definedName name="CWAvCE99">#REF!</definedName>
    <definedName name="CWbegcap" localSheetId="7">#REF!</definedName>
    <definedName name="CWbegcap" localSheetId="11">#REF!</definedName>
    <definedName name="CWbegcap">#REF!</definedName>
    <definedName name="CWNOPAT86" localSheetId="7">#REF!</definedName>
    <definedName name="CWNOPAT86" localSheetId="11">#REF!</definedName>
    <definedName name="CWNOPAT86">#REF!</definedName>
    <definedName name="CWNOPAT87" localSheetId="7">#REF!</definedName>
    <definedName name="CWNOPAT87" localSheetId="11">#REF!</definedName>
    <definedName name="CWNOPAT87">#REF!</definedName>
    <definedName name="CWNOPAT88" localSheetId="7">#REF!</definedName>
    <definedName name="CWNOPAT88" localSheetId="11">#REF!</definedName>
    <definedName name="CWNOPAT88">#REF!</definedName>
    <definedName name="CWNOPAT89" localSheetId="7">#REF!</definedName>
    <definedName name="CWNOPAT89" localSheetId="11">#REF!</definedName>
    <definedName name="CWNOPAT89">#REF!</definedName>
    <definedName name="CWNOPAT90" localSheetId="7">#REF!</definedName>
    <definedName name="CWNOPAT90" localSheetId="11">#REF!</definedName>
    <definedName name="CWNOPAT90">#REF!</definedName>
    <definedName name="CWNOPAT91" localSheetId="7">#REF!</definedName>
    <definedName name="CWNOPAT91" localSheetId="11">#REF!</definedName>
    <definedName name="CWNOPAT91">#REF!</definedName>
    <definedName name="CWNOPAT92" localSheetId="7">#REF!</definedName>
    <definedName name="CWNOPAT92" localSheetId="11">#REF!</definedName>
    <definedName name="CWNOPAT92">#REF!</definedName>
    <definedName name="CWNOPAT93" localSheetId="7">#REF!</definedName>
    <definedName name="CWNOPAT93" localSheetId="11">#REF!</definedName>
    <definedName name="CWNOPAT93">#REF!</definedName>
    <definedName name="CWNOPAT94" localSheetId="7">#REF!</definedName>
    <definedName name="CWNOPAT94" localSheetId="11">#REF!</definedName>
    <definedName name="CWNOPAT94">#REF!</definedName>
    <definedName name="CWNOPAT95" localSheetId="7">#REF!</definedName>
    <definedName name="CWNOPAT95" localSheetId="11">#REF!</definedName>
    <definedName name="CWNOPAT95">#REF!</definedName>
    <definedName name="CWNOPAT96" localSheetId="7">#REF!</definedName>
    <definedName name="CWNOPAT96" localSheetId="11">#REF!</definedName>
    <definedName name="CWNOPAT96">#REF!</definedName>
    <definedName name="CWNOPAT97" localSheetId="7">#REF!</definedName>
    <definedName name="CWNOPAT97" localSheetId="11">#REF!</definedName>
    <definedName name="CWNOPAT97">#REF!</definedName>
    <definedName name="CWNOPAT98" localSheetId="7">#REF!</definedName>
    <definedName name="CWNOPAT98" localSheetId="11">#REF!</definedName>
    <definedName name="CWNOPAT98">#REF!</definedName>
    <definedName name="CWNOPAT99" localSheetId="7">#REF!</definedName>
    <definedName name="CWNOPAT99" localSheetId="11">#REF!</definedName>
    <definedName name="CWNOPAT99">#REF!</definedName>
    <definedName name="CWTotCE" localSheetId="7">#REF!</definedName>
    <definedName name="CWTotCE" localSheetId="11">#REF!</definedName>
    <definedName name="CWTotCE">#REF!</definedName>
    <definedName name="CYR">"JANUARY 1, 2000"</definedName>
    <definedName name="D" localSheetId="11">#REF!</definedName>
    <definedName name="D">#REF!</definedName>
    <definedName name="da.00">'[60]Dial cash  flow'!$G$13</definedName>
    <definedName name="da.01">'[60]Dial cash  flow'!$H$13</definedName>
    <definedName name="da.02">'[60]Dial cash  flow'!$I$13</definedName>
    <definedName name="da.03">'[60]Dial cash  flow'!$J$13</definedName>
    <definedName name="da.04">'[60]Dial cash  flow'!$K$13</definedName>
    <definedName name="Daonil00" localSheetId="7">#REF!</definedName>
    <definedName name="Daonil00" localSheetId="11">#REF!</definedName>
    <definedName name="Daonil00">#REF!</definedName>
    <definedName name="Daonil01" localSheetId="7">#REF!</definedName>
    <definedName name="Daonil01" localSheetId="11">#REF!</definedName>
    <definedName name="Daonil01">#REF!</definedName>
    <definedName name="Daonil02" localSheetId="7">#REF!</definedName>
    <definedName name="Daonil02" localSheetId="11">#REF!</definedName>
    <definedName name="Daonil02">#REF!</definedName>
    <definedName name="Daonil03" localSheetId="7">#REF!</definedName>
    <definedName name="Daonil03" localSheetId="11">#REF!</definedName>
    <definedName name="Daonil03">#REF!</definedName>
    <definedName name="Daonil04" localSheetId="7">#REF!</definedName>
    <definedName name="Daonil04" localSheetId="11">#REF!</definedName>
    <definedName name="Daonil04">#REF!</definedName>
    <definedName name="Daonil05" localSheetId="7">#REF!</definedName>
    <definedName name="Daonil05" localSheetId="11">#REF!</definedName>
    <definedName name="Daonil05">#REF!</definedName>
    <definedName name="Daonil97" localSheetId="7">#REF!</definedName>
    <definedName name="Daonil97" localSheetId="11">#REF!</definedName>
    <definedName name="Daonil97">#REF!</definedName>
    <definedName name="Daonil98" localSheetId="7">#REF!</definedName>
    <definedName name="Daonil98" localSheetId="11">#REF!</definedName>
    <definedName name="Daonil98">#REF!</definedName>
    <definedName name="Daonil99" localSheetId="7">#REF!</definedName>
    <definedName name="Daonil99" localSheetId="11">#REF!</definedName>
    <definedName name="Daonil99">#REF!</definedName>
    <definedName name="DarkBlue" localSheetId="7">#REF!,#REF!,#REF!,#REF!</definedName>
    <definedName name="DarkBlue" localSheetId="11">#REF!,#REF!,#REF!,#REF!</definedName>
    <definedName name="DarkBlue">#REF!,#REF!,#REF!,#REF!</definedName>
    <definedName name="data" localSheetId="11">#REF!</definedName>
    <definedName name="data">#REF!</definedName>
    <definedName name="Database" localSheetId="7">#REF!</definedName>
    <definedName name="Database" localSheetId="11">#REF!</definedName>
    <definedName name="Database">#REF!</definedName>
    <definedName name="Datastream" localSheetId="7">#REF!</definedName>
    <definedName name="Datastream" localSheetId="11">#REF!</definedName>
    <definedName name="Datastream">#REF!</definedName>
    <definedName name="DATE" localSheetId="7">#REF!</definedName>
    <definedName name="DATE" localSheetId="11">#REF!</definedName>
    <definedName name="DATE">#REF!</definedName>
    <definedName name="DAX">'[50]Asset Risk III'!$E$12</definedName>
    <definedName name="DB">"WIREUK"</definedName>
    <definedName name="DBConsol" localSheetId="11">#REF!</definedName>
    <definedName name="DBConsol">#REF!</definedName>
    <definedName name="DBConsolmtch" localSheetId="7">#REF!</definedName>
    <definedName name="DBConsolmtch" localSheetId="11">#REF!</definedName>
    <definedName name="DBConsolmtch">#REF!</definedName>
    <definedName name="DBData">[74]Datasheet!$A:$IV</definedName>
    <definedName name="DBPeriod">[74]Datasheet!$A$6:$IV$6</definedName>
    <definedName name="DCF" localSheetId="7">#REF!</definedName>
    <definedName name="DCF" localSheetId="11">#REF!</definedName>
    <definedName name="DCF">#REF!</definedName>
    <definedName name="dcf.g" localSheetId="7">#REF!</definedName>
    <definedName name="dcf.g" localSheetId="11">#REF!</definedName>
    <definedName name="dcf.g">#REF!</definedName>
    <definedName name="DCF_EY1">[34]DCF_VDF!$D$1:$D$65536</definedName>
    <definedName name="DCF_EY10">[34]DCF_VDF!$M$1:$M$65536</definedName>
    <definedName name="DCF_EY14">[34]DCF_VDF!$Q$1:$Q$65536</definedName>
    <definedName name="DCF_EY15">[34]DCF_VDF!$R$1:$R$65536</definedName>
    <definedName name="DCF_EY2">[34]DCF_VDF!$E$1:$E$65536</definedName>
    <definedName name="DCF_EY24">[34]DCF_VDF!$AA$1:$AA$65536</definedName>
    <definedName name="DCF_EY25">[34]DCF_VDF!$AB$1:$AB$65536</definedName>
    <definedName name="DCF_EY3">[34]DCF_VDF!$F$1:$F$65536</definedName>
    <definedName name="DCF_EY4">[34]DCF_VDF!$G$1:$G$65536</definedName>
    <definedName name="DCF_EY5">[34]DCF_VDF!$H$1:$H$65536</definedName>
    <definedName name="DCF_EY9">[34]DCF_VDF!$L$1:$L$65536</definedName>
    <definedName name="DCF_P">[34]DCF_VDF!$C$1:$C$65536</definedName>
    <definedName name="ddd" localSheetId="6" hidden="1">{#N/A,#N/A,FALSE,"FAB VENDORS";"BUD SUM",#N/A,FALSE,"BUD SUM WO TEX"}</definedName>
    <definedName name="ddd" localSheetId="7" hidden="1">{#N/A,#N/A,FALSE,"FAB VENDORS";"BUD SUM",#N/A,FALSE,"BUD SUM WO TEX"}</definedName>
    <definedName name="ddd" localSheetId="4" hidden="1">{#N/A,#N/A,FALSE,"FAB VENDORS";"BUD SUM",#N/A,FALSE,"BUD SUM WO TEX"}</definedName>
    <definedName name="ddd" localSheetId="3" hidden="1">{#N/A,#N/A,FALSE,"FAB VENDORS";"BUD SUM",#N/A,FALSE,"BUD SUM WO TEX"}</definedName>
    <definedName name="ddd" localSheetId="11" hidden="1">{#N/A,#N/A,FALSE,"FAB VENDORS";"BUD SUM",#N/A,FALSE,"BUD SUM WO TEX"}</definedName>
    <definedName name="ddd" hidden="1">{#N/A,#N/A,FALSE,"FAB VENDORS";"BUD SUM",#N/A,FALSE,"BUD SUM WO TEX"}</definedName>
    <definedName name="DEBT" localSheetId="7">#REF!</definedName>
    <definedName name="DEBT" localSheetId="11">#REF!</definedName>
    <definedName name="DEBT">#REF!</definedName>
    <definedName name="Debt_growth">[34]NOPAT_VDF!$M$153:$Q$153</definedName>
    <definedName name="Debt2000" localSheetId="11">'[21]Main model'!#REF!</definedName>
    <definedName name="Debt2000">'[21]Main model'!#REF!</definedName>
    <definedName name="Debt96" localSheetId="11">'[21]Main model'!#REF!</definedName>
    <definedName name="Debt96">'[21]Main model'!#REF!</definedName>
    <definedName name="Debt97" localSheetId="11">'[21]Main model'!#REF!</definedName>
    <definedName name="Debt97">'[21]Main model'!#REF!</definedName>
    <definedName name="Debt98" localSheetId="11">'[21]Main model'!#REF!</definedName>
    <definedName name="Debt98">'[21]Main model'!#REF!</definedName>
    <definedName name="Debt99" localSheetId="11">'[21]Main model'!#REF!</definedName>
    <definedName name="Debt99">'[21]Main model'!#REF!</definedName>
    <definedName name="debtev" localSheetId="7">#REF!</definedName>
    <definedName name="debtev" localSheetId="11">#REF!</definedName>
    <definedName name="debtev">#REF!</definedName>
    <definedName name="Deferred_Charges" localSheetId="7">#REF!</definedName>
    <definedName name="Deferred_Charges" localSheetId="11">#REF!</definedName>
    <definedName name="Deferred_Charges">#REF!</definedName>
    <definedName name="Deferred_income_taxes" localSheetId="7">#REF!</definedName>
    <definedName name="Deferred_income_taxes" localSheetId="11">#REF!</definedName>
    <definedName name="Deferred_income_taxes">#REF!</definedName>
    <definedName name="Deferred_tax_asset_growth_fore" localSheetId="7">#REF!</definedName>
    <definedName name="Deferred_tax_asset_growth_fore" localSheetId="11">#REF!</definedName>
    <definedName name="Deferred_tax_asset_growth_fore">#REF!</definedName>
    <definedName name="Deferred_tax_liability_growth_fore" localSheetId="7">#REF!</definedName>
    <definedName name="Deferred_tax_liability_growth_fore" localSheetId="11">#REF!</definedName>
    <definedName name="Deferred_tax_liability_growth_fore">#REF!</definedName>
    <definedName name="Delix00" localSheetId="7">#REF!</definedName>
    <definedName name="Delix00" localSheetId="11">#REF!</definedName>
    <definedName name="Delix00">#REF!</definedName>
    <definedName name="Delix01" localSheetId="7">#REF!</definedName>
    <definedName name="Delix01" localSheetId="11">#REF!</definedName>
    <definedName name="Delix01">#REF!</definedName>
    <definedName name="Delix02" localSheetId="7">#REF!</definedName>
    <definedName name="Delix02" localSheetId="11">#REF!</definedName>
    <definedName name="Delix02">#REF!</definedName>
    <definedName name="Delix03" localSheetId="7">#REF!</definedName>
    <definedName name="Delix03" localSheetId="11">#REF!</definedName>
    <definedName name="Delix03">#REF!</definedName>
    <definedName name="Delix04" localSheetId="7">#REF!</definedName>
    <definedName name="Delix04" localSheetId="11">#REF!</definedName>
    <definedName name="Delix04">#REF!</definedName>
    <definedName name="Delix05" localSheetId="7">#REF!</definedName>
    <definedName name="Delix05" localSheetId="11">#REF!</definedName>
    <definedName name="Delix05">#REF!</definedName>
    <definedName name="Delix97" localSheetId="7">#REF!</definedName>
    <definedName name="Delix97" localSheetId="11">#REF!</definedName>
    <definedName name="Delix97">#REF!</definedName>
    <definedName name="Delix98" localSheetId="7">#REF!</definedName>
    <definedName name="Delix98" localSheetId="11">#REF!</definedName>
    <definedName name="Delix98">#REF!</definedName>
    <definedName name="Delix99" localSheetId="7">#REF!</definedName>
    <definedName name="Delix99" localSheetId="11">#REF!</definedName>
    <definedName name="Delix99">#REF!</definedName>
    <definedName name="dep">[63]GS_DCF!$Y$8:$AH$8</definedName>
    <definedName name="Dep_and_Amort">[34]NOPAT_VDF!$C$100:$AU$100</definedName>
    <definedName name="Dep_margin_fore" localSheetId="7">#REF!</definedName>
    <definedName name="Dep_margin_fore" localSheetId="11">#REF!</definedName>
    <definedName name="Dep_margin_fore">#REF!</definedName>
    <definedName name="depn93" localSheetId="7">#REF!</definedName>
    <definedName name="depn93" localSheetId="11">#REF!</definedName>
    <definedName name="depn93">#REF!</definedName>
    <definedName name="depn94" localSheetId="7">#REF!</definedName>
    <definedName name="depn94" localSheetId="11">#REF!</definedName>
    <definedName name="depn94">#REF!</definedName>
    <definedName name="depn95" localSheetId="7">#REF!</definedName>
    <definedName name="depn95" localSheetId="11">#REF!</definedName>
    <definedName name="depn95">#REF!</definedName>
    <definedName name="depn96" localSheetId="7">#REF!</definedName>
    <definedName name="depn96" localSheetId="11">#REF!</definedName>
    <definedName name="depn96">#REF!</definedName>
    <definedName name="depn97" localSheetId="7">#REF!</definedName>
    <definedName name="depn97" localSheetId="11">#REF!</definedName>
    <definedName name="depn97">#REF!</definedName>
    <definedName name="depn98" localSheetId="11">'[18]Annual Model'!#REF!</definedName>
    <definedName name="depn98">'[18]Annual Model'!#REF!</definedName>
    <definedName name="depo" localSheetId="7">#REF!</definedName>
    <definedName name="depo" localSheetId="11">#REF!</definedName>
    <definedName name="depo">#REF!</definedName>
    <definedName name="DepositGrowth" localSheetId="7">#REF!</definedName>
    <definedName name="DepositGrowth" localSheetId="11">#REF!</definedName>
    <definedName name="DepositGrowth">#REF!</definedName>
    <definedName name="deposits93" localSheetId="7">#REF!</definedName>
    <definedName name="deposits93" localSheetId="11">#REF!</definedName>
    <definedName name="deposits93">#REF!</definedName>
    <definedName name="deposits94" localSheetId="7">#REF!</definedName>
    <definedName name="deposits94" localSheetId="11">#REF!</definedName>
    <definedName name="deposits94">#REF!</definedName>
    <definedName name="deposits95" localSheetId="7">#REF!</definedName>
    <definedName name="deposits95" localSheetId="11">#REF!</definedName>
    <definedName name="deposits95">#REF!</definedName>
    <definedName name="deposits96" localSheetId="7">#REF!</definedName>
    <definedName name="deposits96" localSheetId="11">#REF!</definedName>
    <definedName name="deposits96">#REF!</definedName>
    <definedName name="deposits97" localSheetId="7">#REF!</definedName>
    <definedName name="deposits97" localSheetId="11">#REF!</definedName>
    <definedName name="deposits97">#REF!</definedName>
    <definedName name="deposits98" localSheetId="7">#REF!</definedName>
    <definedName name="deposits98" localSheetId="11">#REF!</definedName>
    <definedName name="deposits98">#REF!</definedName>
    <definedName name="depositsavg93" localSheetId="7">#REF!</definedName>
    <definedName name="depositsavg93" localSheetId="11">#REF!</definedName>
    <definedName name="depositsavg93">#REF!</definedName>
    <definedName name="depositsavg94" localSheetId="7">#REF!</definedName>
    <definedName name="depositsavg94" localSheetId="11">#REF!</definedName>
    <definedName name="depositsavg94">#REF!</definedName>
    <definedName name="depositsavg95" localSheetId="7">#REF!</definedName>
    <definedName name="depositsavg95" localSheetId="11">#REF!</definedName>
    <definedName name="depositsavg95">#REF!</definedName>
    <definedName name="depositsavg96" localSheetId="7">#REF!</definedName>
    <definedName name="depositsavg96" localSheetId="11">#REF!</definedName>
    <definedName name="depositsavg96">#REF!</definedName>
    <definedName name="depositsavg97" localSheetId="7">#REF!</definedName>
    <definedName name="depositsavg97" localSheetId="11">#REF!</definedName>
    <definedName name="depositsavg97">#REF!</definedName>
    <definedName name="depositsavg98" localSheetId="7">#REF!</definedName>
    <definedName name="depositsavg98" localSheetId="11">#REF!</definedName>
    <definedName name="depositsavg98">#REF!</definedName>
    <definedName name="depr" localSheetId="7">#REF!</definedName>
    <definedName name="depr" localSheetId="11">#REF!</definedName>
    <definedName name="depr">#REF!</definedName>
    <definedName name="depr96" localSheetId="7">#REF!</definedName>
    <definedName name="depr96" localSheetId="11">#REF!</definedName>
    <definedName name="depr96">#REF!</definedName>
    <definedName name="depr97" localSheetId="7">#REF!</definedName>
    <definedName name="depr97" localSheetId="11">#REF!</definedName>
    <definedName name="depr97">#REF!</definedName>
    <definedName name="depr98" localSheetId="7">#REF!</definedName>
    <definedName name="depr98" localSheetId="11">#REF!</definedName>
    <definedName name="depr98">#REF!</definedName>
    <definedName name="depr99" localSheetId="7">#REF!</definedName>
    <definedName name="depr99" localSheetId="11">#REF!</definedName>
    <definedName name="depr99">#REF!</definedName>
    <definedName name="Depreciation" localSheetId="7">[66]Depreciation!$A$7:$IV$7</definedName>
    <definedName name="Depreciation" localSheetId="11">#REF!</definedName>
    <definedName name="Depreciation">#REF!</definedName>
    <definedName name="Depreciation_fore" localSheetId="7">#REF!</definedName>
    <definedName name="Depreciation_fore" localSheetId="11">#REF!</definedName>
    <definedName name="Depreciation_fore">#REF!</definedName>
    <definedName name="Depreciations" localSheetId="7">#REF!</definedName>
    <definedName name="Depreciations" localSheetId="11">#REF!</definedName>
    <definedName name="Depreciations">#REF!</definedName>
    <definedName name="deps00">'[18]Annual Model'!$H$54</definedName>
    <definedName name="deps01">'[18]Annual Model'!$I$54</definedName>
    <definedName name="deps02">'[18]Annual Model'!$J$54</definedName>
    <definedName name="deps1q00">'[18]Quarterly Model'!$G$55</definedName>
    <definedName name="deps2q00">'[18]Quarterly Model'!$I$55</definedName>
    <definedName name="deps3q00">'[18]Quarterly Model'!$K$55</definedName>
    <definedName name="deps4q00">'[18]Quarterly Model'!$M$55</definedName>
    <definedName name="deps98">'[18]Annual Model'!$E$62</definedName>
    <definedName name="deps99">'[18]Annual Model'!$G$54</definedName>
    <definedName name="depsav00">'[18]Annual Model'!$H$61</definedName>
    <definedName name="depsav01">'[18]Annual Model'!$I$61</definedName>
    <definedName name="depsav02">'[18]Annual Model'!$J$61</definedName>
    <definedName name="depsav1q00">'[18]Quarterly Model'!$G$62</definedName>
    <definedName name="depsav2q00">'[18]Quarterly Model'!$I$62</definedName>
    <definedName name="depsav3q00">'[18]Quarterly Model'!$K$62</definedName>
    <definedName name="depsav93">'[19]Annual Model'!$F$73</definedName>
    <definedName name="depsav94">'[19]Annual Model'!$G$73</definedName>
    <definedName name="depsav95">'[19]Annual Model'!$I$73</definedName>
    <definedName name="depsav96">'[19]Annual Model'!$L$73</definedName>
    <definedName name="depsav97" localSheetId="7">#REF!</definedName>
    <definedName name="depsav97" localSheetId="11">#REF!</definedName>
    <definedName name="depsav97">#REF!</definedName>
    <definedName name="depsav98">'[18]Annual Model'!$E$73</definedName>
    <definedName name="depsav99">'[18]Annual Model'!$G$61</definedName>
    <definedName name="depsva4q00">'[18]Quarterly Model'!$M$62</definedName>
    <definedName name="depsye00" localSheetId="11">'[18]Annual Model'!#REF!</definedName>
    <definedName name="depsye00">'[18]Annual Model'!#REF!</definedName>
    <definedName name="depsye01" localSheetId="11">'[18]Annual Model'!#REF!</definedName>
    <definedName name="depsye01">'[18]Annual Model'!#REF!</definedName>
    <definedName name="depsye02" localSheetId="11">'[18]Annual Model'!#REF!</definedName>
    <definedName name="depsye02">'[18]Annual Model'!#REF!</definedName>
    <definedName name="depsye92">'[19]Annual Model'!$E$58</definedName>
    <definedName name="depsye93">'[19]Annual Model'!$F$58</definedName>
    <definedName name="depsye94">'[19]Annual Model'!$G$58</definedName>
    <definedName name="depsye95">'[19]Annual Model'!$I$58</definedName>
    <definedName name="depsye96">'[19]Annual Model'!$L$58</definedName>
    <definedName name="depsye97" localSheetId="7">#REF!</definedName>
    <definedName name="depsye97" localSheetId="11">#REF!</definedName>
    <definedName name="depsye97">#REF!</definedName>
    <definedName name="depsye98" localSheetId="11">'[18]Annual Model'!#REF!</definedName>
    <definedName name="depsye98">'[18]Annual Model'!#REF!</definedName>
    <definedName name="depsye99" localSheetId="11">'[18]Annual Model'!#REF!</definedName>
    <definedName name="depsye99">'[18]Annual Model'!#REF!</definedName>
    <definedName name="DESCRIPTION_OF_THE_ASSETS">[71]Trevi!$A$14:$I$31</definedName>
    <definedName name="DetailColumns" localSheetId="7">#REF!</definedName>
    <definedName name="DetailColumns" localSheetId="11">#REF!</definedName>
    <definedName name="DetailColumns">#REF!</definedName>
    <definedName name="DetailedPL" localSheetId="7">#REF!</definedName>
    <definedName name="DetailedPL" localSheetId="11">#REF!</definedName>
    <definedName name="DetailedPL">#REF!</definedName>
    <definedName name="DETAILS">[59]Sheldon:IPOMISC!$A$1:$V$154</definedName>
    <definedName name="Di.antalvic00" localSheetId="7">#REF!</definedName>
    <definedName name="Di.antalvic00" localSheetId="11">#REF!</definedName>
    <definedName name="Di.antalvic00">#REF!</definedName>
    <definedName name="Di.antalvic01" localSheetId="7">#REF!</definedName>
    <definedName name="Di.antalvic01" localSheetId="11">#REF!</definedName>
    <definedName name="Di.antalvic01">#REF!</definedName>
    <definedName name="Di.antalvic02" localSheetId="7">#REF!</definedName>
    <definedName name="Di.antalvic02" localSheetId="11">#REF!</definedName>
    <definedName name="Di.antalvic02">#REF!</definedName>
    <definedName name="Di.antalvic03" localSheetId="7">#REF!</definedName>
    <definedName name="Di.antalvic03" localSheetId="11">#REF!</definedName>
    <definedName name="Di.antalvic03">#REF!</definedName>
    <definedName name="Di.antalvic04" localSheetId="7">#REF!</definedName>
    <definedName name="Di.antalvic04" localSheetId="11">#REF!</definedName>
    <definedName name="Di.antalvic04">#REF!</definedName>
    <definedName name="Di.antalvic05" localSheetId="7">#REF!</definedName>
    <definedName name="Di.antalvic05" localSheetId="11">#REF!</definedName>
    <definedName name="Di.antalvic05">#REF!</definedName>
    <definedName name="Di.antalvic97" localSheetId="7">#REF!</definedName>
    <definedName name="Di.antalvic97" localSheetId="11">#REF!</definedName>
    <definedName name="Di.antalvic97">#REF!</definedName>
    <definedName name="Di.antalvic98" localSheetId="7">#REF!</definedName>
    <definedName name="Di.antalvic98" localSheetId="11">#REF!</definedName>
    <definedName name="Di.antalvic98">#REF!</definedName>
    <definedName name="Di.antalvic99" localSheetId="7">#REF!</definedName>
    <definedName name="Di.antalvic99" localSheetId="11">#REF!</definedName>
    <definedName name="Di.antalvic99">#REF!</definedName>
    <definedName name="DIA" localSheetId="7">#REF!</definedName>
    <definedName name="DIA" localSheetId="11">#REF!</definedName>
    <definedName name="DIA">#REF!</definedName>
    <definedName name="dialog" localSheetId="11">[59]!dialog</definedName>
    <definedName name="dialog">[59]!dialog</definedName>
    <definedName name="Discount_factor">[75]DCF!$A$21:$IV$21</definedName>
    <definedName name="DiscStoreCount_2004">[76]DHEXPTARDIS!$BF$20</definedName>
    <definedName name="DiscStoreCount_2005">[76]DHEXPTARDIS!$BJ$20</definedName>
    <definedName name="DiscStoreCount_2006">[76]DHEXPTARDIS!$BN$20</definedName>
    <definedName name="Disposals" localSheetId="7">#REF!</definedName>
    <definedName name="Disposals" localSheetId="11">#REF!</definedName>
    <definedName name="Disposals">#REF!</definedName>
    <definedName name="DIV_BancaIMI">[42]Divisional!$A$204:$Q$240</definedName>
    <definedName name="DIV_BancoNapoli">[42]Divisional!$A$327:$Q$365</definedName>
    <definedName name="DIV_Cardine">[42]Divisional!$A$47:$Q$88</definedName>
    <definedName name="DIV_Fideuram">[42]Divisional!$A$123:$Q$168</definedName>
    <definedName name="Div_Finemiro">[42]Finemiro!$C$4:$AD$52</definedName>
    <definedName name="DIV_Insurance">[42]Divisional!$A$369:$Q$413</definedName>
    <definedName name="DIV_OPI">[42]Divisional!$A$90:$Q$118</definedName>
    <definedName name="DIV_SanPaolo">[42]Divisional!$A$6:$Q$44</definedName>
    <definedName name="DIV_WealthManagement">[42]Divisional!$A$172:$Q$202</definedName>
    <definedName name="DIVFULL" localSheetId="7">#REF!</definedName>
    <definedName name="DIVFULL" localSheetId="11">#REF!</definedName>
    <definedName name="DIVFULL">#REF!</definedName>
    <definedName name="Dividend_paid" localSheetId="7">#REF!</definedName>
    <definedName name="Dividend_paid" localSheetId="11">#REF!</definedName>
    <definedName name="Dividend_paid">#REF!</definedName>
    <definedName name="Dividends" localSheetId="7">#REF!</definedName>
    <definedName name="Dividends" localSheetId="11">#REF!</definedName>
    <definedName name="Dividends">#REF!</definedName>
    <definedName name="Divisional" localSheetId="7">#REF!</definedName>
    <definedName name="Divisional" localSheetId="11">#REF!</definedName>
    <definedName name="Divisional">#REF!</definedName>
    <definedName name="DivisionSales" localSheetId="11">[44]ROCHE!#REF!</definedName>
    <definedName name="DivisionSales">[44]ROCHE!#REF!</definedName>
    <definedName name="DIVP86" localSheetId="11">[22]independent!#REF!</definedName>
    <definedName name="DIVP86">[22]independent!#REF!</definedName>
    <definedName name="DIVP87" localSheetId="11">[22]independent!#REF!</definedName>
    <definedName name="DIVP87">[22]independent!#REF!</definedName>
    <definedName name="DIVP88" localSheetId="11">[22]independent!#REF!</definedName>
    <definedName name="DIVP88">[22]independent!#REF!</definedName>
    <definedName name="DIVP89" localSheetId="11">[22]independent!#REF!</definedName>
    <definedName name="DIVP89">[22]independent!#REF!</definedName>
    <definedName name="DIVP90" localSheetId="11">[22]independent!#REF!</definedName>
    <definedName name="DIVP90">[22]independent!#REF!</definedName>
    <definedName name="DIVP91" localSheetId="11">[22]independent!#REF!</definedName>
    <definedName name="DIVP91">[22]independent!#REF!</definedName>
    <definedName name="DIVP92" localSheetId="11">[22]independent!#REF!</definedName>
    <definedName name="DIVP92">[22]independent!#REF!</definedName>
    <definedName name="DIVP93" localSheetId="11">[22]independent!#REF!</definedName>
    <definedName name="DIVP93">[22]independent!#REF!</definedName>
    <definedName name="DIVP94" localSheetId="11">[22]independent!#REF!</definedName>
    <definedName name="DIVP94">[22]independent!#REF!</definedName>
    <definedName name="DIVP95" localSheetId="11">[23]unitedx!#REF!</definedName>
    <definedName name="DIVP95">[23]unitedx!#REF!</definedName>
    <definedName name="DIVP96" localSheetId="11">[23]unitedx!#REF!</definedName>
    <definedName name="DIVP96">[23]unitedx!#REF!</definedName>
    <definedName name="DIVP97" localSheetId="11">[23]unitedx!#REF!</definedName>
    <definedName name="DIVP97">[23]unitedx!#REF!</definedName>
    <definedName name="DIVP98" localSheetId="11">[23]unitedx!#REF!</definedName>
    <definedName name="DIVP98">[23]unitedx!#REF!</definedName>
    <definedName name="DIVP99" localSheetId="11">[23]unitedx!#REF!</definedName>
    <definedName name="DIVP99">[23]unitedx!#REF!</definedName>
    <definedName name="DIVQA" localSheetId="7">#REF!</definedName>
    <definedName name="DIVQA" localSheetId="11">#REF!</definedName>
    <definedName name="DIVQA">#REF!</definedName>
    <definedName name="DIVQB" localSheetId="7">#REF!</definedName>
    <definedName name="DIVQB" localSheetId="11">#REF!</definedName>
    <definedName name="DIVQB">#REF!</definedName>
    <definedName name="DIVS01" localSheetId="11">'[77]Statutory Model'!#REF!</definedName>
    <definedName name="DIVS01">'[77]Statutory Model'!#REF!</definedName>
    <definedName name="DIVS86" localSheetId="11">[22]independent!#REF!</definedName>
    <definedName name="DIVS86">[22]independent!#REF!</definedName>
    <definedName name="DIVS87" localSheetId="11">[22]independent!#REF!</definedName>
    <definedName name="DIVS87">[22]independent!#REF!</definedName>
    <definedName name="DIVS88" localSheetId="11">[22]independent!#REF!</definedName>
    <definedName name="DIVS88">[22]independent!#REF!</definedName>
    <definedName name="DIVS89" localSheetId="11">[22]independent!#REF!</definedName>
    <definedName name="DIVS89">[22]independent!#REF!</definedName>
    <definedName name="DIVS90" localSheetId="11">[22]independent!#REF!</definedName>
    <definedName name="DIVS90">[22]independent!#REF!</definedName>
    <definedName name="DIVS91" localSheetId="11">[22]independent!#REF!</definedName>
    <definedName name="DIVS91">[22]independent!#REF!</definedName>
    <definedName name="DIVS92" localSheetId="11">[22]independent!#REF!</definedName>
    <definedName name="DIVS92">[22]independent!#REF!</definedName>
    <definedName name="DIVS93" localSheetId="11">[22]independent!#REF!</definedName>
    <definedName name="DIVS93">[22]independent!#REF!</definedName>
    <definedName name="DIVS94" localSheetId="11">[22]independent!#REF!</definedName>
    <definedName name="DIVS94">[22]independent!#REF!</definedName>
    <definedName name="DIVS95" localSheetId="11">[23]unitedx!#REF!</definedName>
    <definedName name="DIVS95">[23]unitedx!#REF!</definedName>
    <definedName name="DIVS96" localSheetId="11">[23]unitedx!#REF!</definedName>
    <definedName name="DIVS96">[23]unitedx!#REF!</definedName>
    <definedName name="DIVS97" localSheetId="11">[23]unitedx!#REF!</definedName>
    <definedName name="DIVS97">[23]unitedx!#REF!</definedName>
    <definedName name="DIVS98" localSheetId="11">[23]unitedx!#REF!</definedName>
    <definedName name="DIVS98">[23]unitedx!#REF!</definedName>
    <definedName name="DIVS99" localSheetId="11">[23]unitedx!#REF!</definedName>
    <definedName name="DIVS99">[23]unitedx!#REF!</definedName>
    <definedName name="divsum1" localSheetId="7">#REF!</definedName>
    <definedName name="divsum1" localSheetId="11">#REF!</definedName>
    <definedName name="divsum1">#REF!</definedName>
    <definedName name="divsum2" localSheetId="7">#REF!</definedName>
    <definedName name="divsum2" localSheetId="11">#REF!</definedName>
    <definedName name="divsum2">#REF!</definedName>
    <definedName name="divyield95" localSheetId="7">#REF!</definedName>
    <definedName name="divyield95" localSheetId="11">#REF!</definedName>
    <definedName name="divyield95">#REF!</definedName>
    <definedName name="divyield96" localSheetId="7">#REF!</definedName>
    <definedName name="divyield96" localSheetId="11">#REF!</definedName>
    <definedName name="divyield96">#REF!</definedName>
    <definedName name="divyield97" localSheetId="7">#REF!</definedName>
    <definedName name="divyield97" localSheetId="11">#REF!</definedName>
    <definedName name="divyield97">#REF!</definedName>
    <definedName name="divyieldrel95" localSheetId="7">#REF!</definedName>
    <definedName name="divyieldrel95" localSheetId="11">#REF!</definedName>
    <definedName name="divyieldrel95">#REF!</definedName>
    <definedName name="divyieldrel96" localSheetId="7">#REF!</definedName>
    <definedName name="divyieldrel96" localSheetId="11">#REF!</definedName>
    <definedName name="divyieldrel96">#REF!</definedName>
    <definedName name="divyieldrel97" localSheetId="7">#REF!</definedName>
    <definedName name="divyieldrel97" localSheetId="11">#REF!</definedName>
    <definedName name="divyieldrel97">#REF!</definedName>
    <definedName name="DJB">'[50]Asset Risk III'!$E$6</definedName>
    <definedName name="DJIA">'[50]Asset Risk III'!$E$11</definedName>
    <definedName name="DLD" localSheetId="11">'[2]teo model'!#REF!</definedName>
    <definedName name="DLD">'[2]teo model'!#REF!</definedName>
    <definedName name="DLpretax95" localSheetId="11">'[19]Annual Model'!#REF!</definedName>
    <definedName name="DLpretax95">'[19]Annual Model'!#REF!</definedName>
    <definedName name="DLpretax96" localSheetId="11">'[19]Annual Model'!#REF!</definedName>
    <definedName name="DLpretax96">'[19]Annual Model'!#REF!</definedName>
    <definedName name="DLpretax97" localSheetId="11">'[19]Annual Model'!#REF!</definedName>
    <definedName name="DLpretax97">'[19]Annual Model'!#REF!</definedName>
    <definedName name="DLpretax98" localSheetId="11">'[19]Annual Model'!#REF!</definedName>
    <definedName name="DLpretax98">'[19]Annual Model'!#REF!</definedName>
    <definedName name="DLvalue" localSheetId="11">'[19]Annual Model'!#REF!</definedName>
    <definedName name="DLvalue">'[19]Annual Model'!#REF!</definedName>
    <definedName name="DLValue98" localSheetId="11">'[19]Annual Model'!#REF!</definedName>
    <definedName name="DLValue98">'[19]Annual Model'!#REF!</definedName>
    <definedName name="dmeuro">'[78]LHA data'!$F$2</definedName>
    <definedName name="DnA_fore" localSheetId="7">#REF!</definedName>
    <definedName name="DnA_fore" localSheetId="11">#REF!</definedName>
    <definedName name="DnA_fore">#REF!</definedName>
    <definedName name="DnA_growth_fore" localSheetId="7">#REF!</definedName>
    <definedName name="DnA_growth_fore" localSheetId="11">#REF!</definedName>
    <definedName name="DnA_growth_fore">#REF!</definedName>
    <definedName name="Dnwb" localSheetId="11">[38]Input!#REF!</definedName>
    <definedName name="Dnwb">[38]Input!#REF!</definedName>
    <definedName name="Domestic_network">[42]Divisional!$A$5:$AY$118</definedName>
    <definedName name="DOMLD" localSheetId="7">#REF!</definedName>
    <definedName name="DOMLD" localSheetId="11">#REF!</definedName>
    <definedName name="DOMLD">#REF!</definedName>
    <definedName name="DPOSTData">[33]Datasheet!$A:$IV</definedName>
    <definedName name="DPOSTPeriod">[33]Datasheet!$A$6:$IV$6</definedName>
    <definedName name="DPS__DM__Ord" localSheetId="7">#REF!</definedName>
    <definedName name="DPS__DM__Ord" localSheetId="11">#REF!</definedName>
    <definedName name="DPS__DM__Ord">#REF!</definedName>
    <definedName name="DPS__DM__Pref" localSheetId="7">#REF!</definedName>
    <definedName name="DPS__DM__Pref" localSheetId="11">#REF!</definedName>
    <definedName name="DPS__DM__Pref">#REF!</definedName>
    <definedName name="DPS_past" localSheetId="7">#REF!</definedName>
    <definedName name="DPS_past" localSheetId="11">#REF!</definedName>
    <definedName name="DPS_past">#REF!</definedName>
    <definedName name="dps00">'[18]Annual Model'!$H$45</definedName>
    <definedName name="dps2q97" localSheetId="7">#REF!</definedName>
    <definedName name="dps2q97" localSheetId="11">#REF!</definedName>
    <definedName name="dps2q97">#REF!</definedName>
    <definedName name="dps99AR">'[19]Annual Model'!$T$41</definedName>
    <definedName name="dps99bch" localSheetId="7">#REF!</definedName>
    <definedName name="dps99bch" localSheetId="11">#REF!</definedName>
    <definedName name="dps99bch">#REF!</definedName>
    <definedName name="dpsh194">'[19]Interim Model'!$E$46</definedName>
    <definedName name="dpsh195">'[19]Interim Model'!$F$46</definedName>
    <definedName name="dpsh196">'[19]Interim Model'!$T$46</definedName>
    <definedName name="dpsh197">'[19]Interim Model'!$U$46</definedName>
    <definedName name="dpsh198">'[19]Interim Model'!$AB$46</definedName>
    <definedName name="dpsh294">'[19]Interim Model'!$H$46</definedName>
    <definedName name="dpsh295">'[19]Interim Model'!$I$46</definedName>
    <definedName name="dpsh296">'[19]Interim Model'!$W$46</definedName>
    <definedName name="dpsh297">'[19]Interim Model'!$X$46</definedName>
    <definedName name="dpsh298">'[19]Interim Model'!$AE$46</definedName>
    <definedName name="dpsq296" localSheetId="7">#REF!</definedName>
    <definedName name="dpsq296" localSheetId="11">#REF!</definedName>
    <definedName name="dpsq296">#REF!</definedName>
    <definedName name="DRLRATE">[55]Input!$D$5</definedName>
    <definedName name="DSDDE_Path">'[61]DDETABLE '!$AD$3</definedName>
    <definedName name="DutyFree" localSheetId="7">#REF!</definedName>
    <definedName name="DutyFree" localSheetId="11">#REF!</definedName>
    <definedName name="DutyFree">#REF!</definedName>
    <definedName name="DVFA___SG_EPS__DM" localSheetId="7">#REF!</definedName>
    <definedName name="DVFA___SG_EPS__DM" localSheetId="11">#REF!</definedName>
    <definedName name="DVFA___SG_EPS__DM">#REF!</definedName>
    <definedName name="DVFA___SG_Net_Profit" localSheetId="7">#REF!</definedName>
    <definedName name="DVFA___SG_Net_Profit" localSheetId="11">#REF!</definedName>
    <definedName name="DVFA___SG_Net_Profit">#REF!</definedName>
    <definedName name="DY" localSheetId="7">#REF!</definedName>
    <definedName name="DY" localSheetId="11">#REF!</definedName>
    <definedName name="DY">#REF!</definedName>
    <definedName name="DYNEPO.GAEPO.00" localSheetId="7">#REF!</definedName>
    <definedName name="DYNEPO.GAEPO.00" localSheetId="11">#REF!</definedName>
    <definedName name="DYNEPO.GAEPO.00">#REF!</definedName>
    <definedName name="DYNEPO.GAEPO.01" localSheetId="7">#REF!</definedName>
    <definedName name="DYNEPO.GAEPO.01" localSheetId="11">#REF!</definedName>
    <definedName name="DYNEPO.GAEPO.01">#REF!</definedName>
    <definedName name="DYNEPO.GAEPO.02" localSheetId="7">#REF!</definedName>
    <definedName name="DYNEPO.GAEPO.02" localSheetId="11">#REF!</definedName>
    <definedName name="DYNEPO.GAEPO.02">#REF!</definedName>
    <definedName name="DYNEPO.GAEPO.03" localSheetId="7">#REF!</definedName>
    <definedName name="DYNEPO.GAEPO.03" localSheetId="11">#REF!</definedName>
    <definedName name="DYNEPO.GAEPO.03">#REF!</definedName>
    <definedName name="DYNEPO.GAEPO.04" localSheetId="7">#REF!</definedName>
    <definedName name="DYNEPO.GAEPO.04" localSheetId="11">#REF!</definedName>
    <definedName name="DYNEPO.GAEPO.04">#REF!</definedName>
    <definedName name="DYNEPO.GAEPO.05" localSheetId="7">#REF!</definedName>
    <definedName name="DYNEPO.GAEPO.05" localSheetId="11">#REF!</definedName>
    <definedName name="DYNEPO.GAEPO.05">#REF!</definedName>
    <definedName name="DYNEPO.GAEPO.97" localSheetId="7">#REF!</definedName>
    <definedName name="DYNEPO.GAEPO.97" localSheetId="11">#REF!</definedName>
    <definedName name="DYNEPO.GAEPO.97">#REF!</definedName>
    <definedName name="DYNEPO.GAEPO.98" localSheetId="7">#REF!</definedName>
    <definedName name="DYNEPO.GAEPO.98" localSheetId="11">#REF!</definedName>
    <definedName name="DYNEPO.GAEPO.98">#REF!</definedName>
    <definedName name="DYNEPO.GAEPO.99" localSheetId="7">#REF!</definedName>
    <definedName name="DYNEPO.GAEPO.99" localSheetId="11">#REF!</definedName>
    <definedName name="DYNEPO.GAEPO.99">#REF!</definedName>
    <definedName name="E" localSheetId="7">#REF!</definedName>
    <definedName name="E" localSheetId="11">#REF!</definedName>
    <definedName name="E">#REF!</definedName>
    <definedName name="E_ALL_ADSGn.DE">#REF!</definedName>
    <definedName name="E_ALL_BRBY.L">[28]BRBY.L_Exchange_Sheet!$A$1:$AZ$417</definedName>
    <definedName name="E_ALL_KEYWORDS_TYPE_ScalarContributed_EQTY_200001863">#REF!,#REF!,#REF!</definedName>
    <definedName name="E_ALL_KEYWORDS_TYPE_ScalarContributed_EQTY_200006738">[28]BRBY.L_Exchange_Sheet!$366:$375,[28]BRBY.L_Exchange_Sheet!$415:$417</definedName>
    <definedName name="E_ALL_KEYWORDS_TYPE_ScalarContributed_ISSR_208000693">#REF!,#REF!</definedName>
    <definedName name="E_ALL_KEYWORDS_TYPE_Vector_EQTY_200001863">#REF!,#REF!,#REF!,#REF!,#REF!</definedName>
    <definedName name="E_ALL_KEYWORDS_TYPE_Vector_EQTY_200006738">[28]BRBY.L_Exchange_Sheet!$390:$405,[28]BRBY.L_Exchange_Sheet!$407:$409,[28]BRBY.L_Exchange_Sheet!$411:$411,[28]BRBY.L_Exchange_Sheet!$413:$413,[28]BRBY.L_Exchange_Sheet!$377:$388</definedName>
    <definedName name="E_ALL_KEYWORDS_TYPE_Vector_ISSR_208000693">#REF!,#REF!,#REF!,#REF!,#REF!,#REF!,#REF!,#REF!,#REF!,#REF!,#REF!,#REF!,#REF!,#REF!,#REF!,#REF!</definedName>
    <definedName name="E_ALL_KEYWORDS_TYPE_Vector_ISSR_208001980">[28]BRBY.L_Exchange_Sheet!$2:$3,[28]BRBY.L_Exchange_Sheet!$11:$29,[28]BRBY.L_Exchange_Sheet!$31:$39,[28]BRBY.L_Exchange_Sheet!$41:$68,[28]BRBY.L_Exchange_Sheet!$70:$82,[28]BRBY.L_Exchange_Sheet!$84:$100,[28]BRBY.L_Exchange_Sheet!$102:$114,[28]BRBY.L_Exchange_Sheet!$116:$116,[28]BRBY.L_Exchange_Sheet!$118:$118,[28]BRBY.L_Exchange_Sheet!$120:$121,[28]BRBY.L_Exchange_Sheet!$123:$127,[28]BRBY.L_Exchange_Sheet!$132:$133,[28]BRBY.L_Exchange_Sheet!$137:$137,[28]BRBY.L_Exchange_Sheet!$160:$163,[28]BRBY.L_Exchange_Sheet!$165:$169,[28]BRBY.L_Exchange_Sheet!$174:$175,[28]BRBY.L_Exchange_Sheet!$179:$179,[28]BRBY.L_Exchange_Sheet!$202:$203,[28]BRBY.L_Exchange_Sheet!$356:$356,[28]BRBY.L_Exchange_Sheet!$145:$156,[28]BRBY.L_Exchange_Sheet!$187:$198,[28]BRBY.L_Exchange_Sheet!$241:$244,[28]BRBY.L_Exchange_Sheet!$263:$266,[28]BRBY.L_Exchange_Sheet!$141:$142,[28]BRBY.L_Exchange_Sheet!$183:$184,[28]BRBY.L_Exchange_Sheet!$341:$354,[28]BRBY.L_Exchange_Sheet!$304:$312,[28]BRBY.L_Exchange_Sheet!$314:$339</definedName>
    <definedName name="E_ALL_SECTION_KEYWORDS_EQTY_200001863_13A">#REF!</definedName>
    <definedName name="E_ALL_SECTION_KEYWORDS_EQTY_200001863_13K">#REF!</definedName>
    <definedName name="E_ALL_SECTION_KEYWORDS_ISSR_208000693_1314">#REF!</definedName>
    <definedName name="E_ALL_SECTION_KEYWORDS_ISSR_208000693_1319">#REF!</definedName>
    <definedName name="E_ALL_SECTION_KEYWORDS_ISSR_208000693_131E">#REF!</definedName>
    <definedName name="E_ALL_SECTION_KEYWORDS_ISSR_208000693_13V">#REF!,#REF!</definedName>
    <definedName name="E_ALL_SECTIONS_EQTY_200006738">[28]BRBY.L_Exchange_Sheet!$358:$358,[28]BRBY.L_Exchange_Sheet!$365:$365,[28]BRBY.L_Exchange_Sheet!$376:$376,[28]BRBY.L_Exchange_Sheet!$389:$389,[28]BRBY.L_Exchange_Sheet!$406:$406,[28]BRBY.L_Exchange_Sheet!$410:$410,[28]BRBY.L_Exchange_Sheet!$412:$412,[28]BRBY.L_Exchange_Sheet!$414:$414</definedName>
    <definedName name="E_CURRENCY_EQTY_200006738_PRI">[28]BRBY.L_Exchange_Sheet!$E$363</definedName>
    <definedName name="E_CURRENCY_EQTY_200006738_PUB">[28]BRBY.L_Exchange_Sheet!$E$362</definedName>
    <definedName name="E_CURRENCY_EQTY_200006738_REP">[28]BRBY.L_Exchange_Sheet!$E$364</definedName>
    <definedName name="E_CURRENCY_ISSR_208001980_REP">[28]BRBY.L_Exchange_Sheet!$E$7</definedName>
    <definedName name="e4r5" localSheetId="6" hidden="1">{#N/A,#N/A,FALSE,"Barranca"}</definedName>
    <definedName name="e4r5" localSheetId="7" hidden="1">{#N/A,#N/A,FALSE,"Barranca"}</definedName>
    <definedName name="e4r5" localSheetId="4" hidden="1">{#N/A,#N/A,FALSE,"Barranca"}</definedName>
    <definedName name="e4r5" localSheetId="3" hidden="1">{#N/A,#N/A,FALSE,"Barranca"}</definedName>
    <definedName name="e4r5" localSheetId="11" hidden="1">{#N/A,#N/A,FALSE,"Barranca"}</definedName>
    <definedName name="e4r5" hidden="1">{#N/A,#N/A,FALSE,"Barranca"}</definedName>
    <definedName name="e4rtg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BDIT" localSheetId="7">#REF!</definedName>
    <definedName name="EBDIT" localSheetId="11">#REF!</definedName>
    <definedName name="EBDIT">#REF!</definedName>
    <definedName name="ebit" localSheetId="7">[63]GS_DCF!$Y$7:$AH$7</definedName>
    <definedName name="ebit" localSheetId="11">#REF!</definedName>
    <definedName name="ebit">#REF!</definedName>
    <definedName name="EBIT_fore" localSheetId="7">#REF!</definedName>
    <definedName name="EBIT_fore" localSheetId="11">#REF!</definedName>
    <definedName name="EBIT_fore">#REF!</definedName>
    <definedName name="EBIT_margin">[34]NOPAT_VDF!$C$111:$AU$111</definedName>
    <definedName name="EBIT_margin_fore" localSheetId="7">#REF!</definedName>
    <definedName name="EBIT_margin_fore" localSheetId="11">#REF!</definedName>
    <definedName name="EBIT_margin_fore">#REF!</definedName>
    <definedName name="EBIT2000" localSheetId="11">'[21]Main model'!#REF!</definedName>
    <definedName name="EBIT2000">'[21]Main model'!#REF!</definedName>
    <definedName name="EBIT96" localSheetId="11">'[21]Main model'!#REF!</definedName>
    <definedName name="EBIT96">'[21]Main model'!#REF!</definedName>
    <definedName name="EBIT97" localSheetId="11">'[21]Main model'!#REF!</definedName>
    <definedName name="EBIT97">'[21]Main model'!#REF!</definedName>
    <definedName name="EBIT98" localSheetId="11">'[21]Main model'!#REF!</definedName>
    <definedName name="EBIT98">'[21]Main model'!#REF!</definedName>
    <definedName name="ebit98b" localSheetId="7">#REF!</definedName>
    <definedName name="ebit98b" localSheetId="11">#REF!</definedName>
    <definedName name="ebit98b">#REF!</definedName>
    <definedName name="EBIT99" localSheetId="11">'[21]Main model'!#REF!</definedName>
    <definedName name="EBIT99">'[21]Main model'!#REF!</definedName>
    <definedName name="ebit99b" localSheetId="7">#REF!</definedName>
    <definedName name="ebit99b" localSheetId="11">#REF!</definedName>
    <definedName name="ebit99b">#REF!</definedName>
    <definedName name="EBITA" localSheetId="7">[34]NOPAT_VDF!$C$101:$AZ$101</definedName>
    <definedName name="ebita" localSheetId="11">#REF!</definedName>
    <definedName name="ebita">#REF!</definedName>
    <definedName name="EBITA_fore" localSheetId="7">#REF!</definedName>
    <definedName name="EBITA_fore" localSheetId="11">#REF!</definedName>
    <definedName name="EBITA_fore">#REF!</definedName>
    <definedName name="EBITBus_Lei" localSheetId="7">#REF!</definedName>
    <definedName name="EBITBus_Lei" localSheetId="11">#REF!</definedName>
    <definedName name="EBITBus_Lei">#REF!</definedName>
    <definedName name="EBITDA">[34]NOPAT_VDF!$C$102:$AE$102</definedName>
    <definedName name="ebitda.00">'[60]Dial P&amp;L'!$B$89</definedName>
    <definedName name="ebitda.01">'[60]Dial P&amp;L'!$C$89</definedName>
    <definedName name="ebitda.02">'[60]Dial P&amp;L'!$D$89</definedName>
    <definedName name="ebitda.03">'[60]Dial P&amp;L'!$E$89</definedName>
    <definedName name="ebitda.04">'[60]Dial P&amp;L'!$F$89</definedName>
    <definedName name="ebitda.99" localSheetId="11">'[60]Dial P&amp;L'!#REF!</definedName>
    <definedName name="ebitda.99">'[60]Dial P&amp;L'!#REF!</definedName>
    <definedName name="EBITDA_DCF">[34]DCF_VDF!$C$15:$AZ$15</definedName>
    <definedName name="EBITDA_fore" localSheetId="7">#REF!</definedName>
    <definedName name="EBITDA_fore" localSheetId="11">#REF!</definedName>
    <definedName name="EBITDA_fore">#REF!</definedName>
    <definedName name="EBITDA_growth_avg" localSheetId="11">[34]NOPAT_VDF!#REF!</definedName>
    <definedName name="EBITDA_growth_avg">[34]NOPAT_VDF!#REF!</definedName>
    <definedName name="EBITDA_margin">[34]NOPAT_VDF!$C$109:$AZ$109</definedName>
    <definedName name="EBITDA_margin_fore" localSheetId="7">#REF!</definedName>
    <definedName name="EBITDA_margin_fore" localSheetId="11">#REF!</definedName>
    <definedName name="EBITDA_margin_fore">#REF!</definedName>
    <definedName name="EBITDA_Share" localSheetId="11">[34]NOPAT_VDF!#REF!</definedName>
    <definedName name="EBITDA_Share">[34]NOPAT_VDF!#REF!</definedName>
    <definedName name="EBITDA2000" localSheetId="11">'[21]Main model'!#REF!</definedName>
    <definedName name="EBITDA2000">'[21]Main model'!#REF!</definedName>
    <definedName name="EBITDA96" localSheetId="11">'[21]Main model'!#REF!</definedName>
    <definedName name="EBITDA96">'[21]Main model'!#REF!</definedName>
    <definedName name="EBITDA97" localSheetId="11">'[21]Main model'!#REF!</definedName>
    <definedName name="EBITDA97">'[21]Main model'!#REF!</definedName>
    <definedName name="EBITDA98" localSheetId="11">'[21]Main model'!#REF!</definedName>
    <definedName name="EBITDA98">'[21]Main model'!#REF!</definedName>
    <definedName name="EBITDA99" localSheetId="11">'[21]Main model'!#REF!</definedName>
    <definedName name="EBITDA99">'[21]Main model'!#REF!</definedName>
    <definedName name="EBITEc_Bud" localSheetId="7">#REF!</definedName>
    <definedName name="EBITEc_Bud" localSheetId="11">#REF!</definedName>
    <definedName name="EBITEc_Bud">#REF!</definedName>
    <definedName name="EBITEurope" localSheetId="11">#REF!</definedName>
    <definedName name="EBITEurope">#REF!</definedName>
    <definedName name="EBITGwth">'[21]Main model'!$K$139</definedName>
    <definedName name="EBITUS" localSheetId="11">#REF!</definedName>
    <definedName name="EBITUS">#REF!</definedName>
    <definedName name="EBITYen" localSheetId="11">#REF!</definedName>
    <definedName name="EBITYen">#REF!</definedName>
    <definedName name="Ebookval00">'[64]Annual Model'!$I$51</definedName>
    <definedName name="Ebookval99">'[64]Annual Model'!$G$51</definedName>
    <definedName name="Ecasheps00">'[64]Annual Model'!$I$49</definedName>
    <definedName name="Ecasheps99">'[64]Annual Model'!$G$49</definedName>
    <definedName name="ecom_costs">[79]PROFSVC!$A$20:$Q$20</definedName>
    <definedName name="ecom_gm">[79]PROFSVC!$A$23:$Q$23</definedName>
    <definedName name="ecom_gp">[79]PROFSVC!$A$22:$Q$22</definedName>
    <definedName name="ecom_revs">[79]PROFSVC!$A$18:$Q$18</definedName>
    <definedName name="ed" localSheetId="6" hidden="1">{#N/A,#N/A,FALSE,"FAB VENDORS";"BUD SUM",#N/A,FALSE,"BUD SUM WO TEX"}</definedName>
    <definedName name="ed" localSheetId="7" hidden="1">{#N/A,#N/A,FALSE,"FAB VENDORS";"BUD SUM",#N/A,FALSE,"BUD SUM WO TEX"}</definedName>
    <definedName name="ed" localSheetId="4" hidden="1">{#N/A,#N/A,FALSE,"FAB VENDORS";"BUD SUM",#N/A,FALSE,"BUD SUM WO TEX"}</definedName>
    <definedName name="ed" localSheetId="3" hidden="1">{#N/A,#N/A,FALSE,"FAB VENDORS";"BUD SUM",#N/A,FALSE,"BUD SUM WO TEX"}</definedName>
    <definedName name="ed" localSheetId="11" hidden="1">{#N/A,#N/A,FALSE,"FAB VENDORS";"BUD SUM",#N/A,FALSE,"BUD SUM WO TEX"}</definedName>
    <definedName name="ed" hidden="1">{#N/A,#N/A,FALSE,"FAB VENDORS";"BUD SUM",#N/A,FALSE,"BUD SUM WO TEX"}</definedName>
    <definedName name="Eeps00">'[64]Annual Model'!$I$46</definedName>
    <definedName name="eeps01">'[64]Annual Model'!$K$46</definedName>
    <definedName name="Eeps99">'[64]Annual Model'!$G$46</definedName>
    <definedName name="EG_DPS" localSheetId="11">[32]projections!#REF!</definedName>
    <definedName name="EG_DPS">[32]projections!#REF!</definedName>
    <definedName name="EG_Net_Profit" localSheetId="11">[32]projections!#REF!</definedName>
    <definedName name="EG_Net_Profit">[32]projections!#REF!</definedName>
    <definedName name="Eganapr">[41]Datastream!$B$10</definedName>
    <definedName name="Egop00">'[64]Annual Model'!$I$29</definedName>
    <definedName name="Egop01">'[64]Annual Model'!$K$29</definedName>
    <definedName name="Egop99">'[64]Annual Model'!$G$29</definedName>
    <definedName name="EmbiData" localSheetId="7">#REF!</definedName>
    <definedName name="EmbiData" localSheetId="11">#REF!</definedName>
    <definedName name="EmbiData">#REF!</definedName>
    <definedName name="EmbiPeriod" localSheetId="7">#REF!</definedName>
    <definedName name="EmbiPeriod" localSheetId="11">#REF!</definedName>
    <definedName name="EmbiPeriod">#REF!</definedName>
    <definedName name="EMD24959002" localSheetId="11">[17]Products!#REF!</definedName>
    <definedName name="EMD24959002">[17]Products!#REF!</definedName>
    <definedName name="EMD24959003" localSheetId="11">[17]Products!#REF!</definedName>
    <definedName name="EMD24959003">[17]Products!#REF!</definedName>
    <definedName name="EMD24959004" localSheetId="11">[17]Products!#REF!</definedName>
    <definedName name="EMD24959004">[17]Products!#REF!</definedName>
    <definedName name="EMD24959005" localSheetId="11">[17]Products!#REF!</definedName>
    <definedName name="EMD24959005">[17]Products!#REF!</definedName>
    <definedName name="EMD7200004" localSheetId="11">[17]Products!#REF!</definedName>
    <definedName name="EMD7200004">[17]Products!#REF!</definedName>
    <definedName name="EMD7200005" localSheetId="11">[17]Products!#REF!</definedName>
    <definedName name="EMD7200005">[17]Products!#REF!</definedName>
    <definedName name="Enetin00">'[64]Annual Model'!$I$44</definedName>
    <definedName name="enetinc01">'[64]Annual Model'!$K$44</definedName>
    <definedName name="Enetinc99">'[64]Annual Model'!$G$44</definedName>
    <definedName name="enterprise_value" localSheetId="7">[45]Links!#REF!</definedName>
    <definedName name="ENTERPRISE_VALUE" localSheetId="11">#REF!</definedName>
    <definedName name="ENTERPRISE_VALUE">#REF!</definedName>
    <definedName name="EOHUnits">#N/A</definedName>
    <definedName name="EOHUnits2">#N/A</definedName>
    <definedName name="Epretax00">'[64]Annual Model'!$I$39</definedName>
    <definedName name="epretax01">'[64]Annual Model'!$K$39</definedName>
    <definedName name="epretax98">'[80]Annual Model'!$M$34</definedName>
    <definedName name="Epretax99">'[64]Annual Model'!$G$39</definedName>
    <definedName name="EPS" localSheetId="11">[32]Figures!#REF!</definedName>
    <definedName name="EPS">[32]Figures!#REF!</definedName>
    <definedName name="EPS_2003">[81]SQORFA!$DP$214</definedName>
    <definedName name="EPS_DPS" localSheetId="7">#REF!</definedName>
    <definedName name="EPS_DPS" localSheetId="11">#REF!</definedName>
    <definedName name="EPS_DPS">#REF!</definedName>
    <definedName name="EPS_growth_avg" localSheetId="11">[34]NOPAT_VDF!#REF!</definedName>
    <definedName name="EPS_growth_avg">[34]NOPAT_VDF!#REF!</definedName>
    <definedName name="EPS_past" localSheetId="7">#REF!</definedName>
    <definedName name="EPS_past" localSheetId="11">#REF!</definedName>
    <definedName name="EPS_past">#REF!</definedName>
    <definedName name="eps00">'[18]Annual Model'!$H$34</definedName>
    <definedName name="eps2q97" localSheetId="7">#REF!</definedName>
    <definedName name="eps2q97" localSheetId="11">#REF!</definedName>
    <definedName name="eps2q97">#REF!</definedName>
    <definedName name="eps98e">[82]Annual!$G$40</definedName>
    <definedName name="eps99ar">'[19]Annual Model'!$T$38</definedName>
    <definedName name="epsadjDL95" localSheetId="11">'[19]Annual Model'!#REF!</definedName>
    <definedName name="epsadjDL95">'[19]Annual Model'!#REF!</definedName>
    <definedName name="epsadjDL96" localSheetId="11">'[19]Annual Model'!#REF!</definedName>
    <definedName name="epsadjDL96">'[19]Annual Model'!#REF!</definedName>
    <definedName name="epsadjDL97" localSheetId="11">'[19]Annual Model'!#REF!</definedName>
    <definedName name="epsadjDL97">'[19]Annual Model'!#REF!</definedName>
    <definedName name="epsadjdl98" localSheetId="11">'[19]Annual Model'!#REF!</definedName>
    <definedName name="epsadjdl98">'[19]Annual Model'!#REF!</definedName>
    <definedName name="epscash00">'[19]Annual Model'!$V$40</definedName>
    <definedName name="epscash99">'[19]Annual Model'!$T$40</definedName>
    <definedName name="epsfd00" localSheetId="11">'[18]Annual Model'!#REF!</definedName>
    <definedName name="epsfd00">'[18]Annual Model'!#REF!</definedName>
    <definedName name="epsfd01" localSheetId="11">'[18]Annual Model'!#REF!</definedName>
    <definedName name="epsfd01">'[18]Annual Model'!#REF!</definedName>
    <definedName name="epsfd02" localSheetId="11">'[18]Annual Model'!#REF!</definedName>
    <definedName name="epsfd02">'[18]Annual Model'!#REF!</definedName>
    <definedName name="epsfd2q97" localSheetId="7">#REF!</definedName>
    <definedName name="epsfd2q97" localSheetId="11">#REF!</definedName>
    <definedName name="epsfd2q97">#REF!</definedName>
    <definedName name="epsfd93">'[19]Annual Model'!$F$39</definedName>
    <definedName name="epsfd94">'[19]Annual Model'!$G$39</definedName>
    <definedName name="epsfd95">'[19]Annual Model'!$I$39</definedName>
    <definedName name="epsfd96">'[19]Annual Model'!$L$39</definedName>
    <definedName name="epsfd97">'[19]Annual Model'!$N$39</definedName>
    <definedName name="epsfd98" localSheetId="11">'[18]Annual Model'!#REF!</definedName>
    <definedName name="epsfd98">'[18]Annual Model'!#REF!</definedName>
    <definedName name="epsfd98e">'[80]Annual Model'!$M$48</definedName>
    <definedName name="epsfd99" localSheetId="11">'[18]Annual Model'!#REF!</definedName>
    <definedName name="epsfd99">'[18]Annual Model'!#REF!</definedName>
    <definedName name="epsfdh194">'[19]Interim Model'!$E$44</definedName>
    <definedName name="epsfdh195">'[19]Interim Model'!$F$44</definedName>
    <definedName name="epsfdh196">'[19]Interim Model'!$T$44</definedName>
    <definedName name="epsfdh197">'[19]Interim Model'!$U$44</definedName>
    <definedName name="epsfdh294">'[19]Interim Model'!$H$44</definedName>
    <definedName name="epsfdh295">'[19]Interim Model'!$I$44</definedName>
    <definedName name="epsfdh296">'[19]Interim Model'!$W$44</definedName>
    <definedName name="epsfdh297">'[19]Interim Model'!$X$44</definedName>
    <definedName name="epsh194">'[19]Interim Model'!$E$37</definedName>
    <definedName name="epsh195">'[19]Interim Model'!$F$37</definedName>
    <definedName name="epsh196">'[19]Interim Model'!$T$37</definedName>
    <definedName name="epsh197">'[19]Interim Model'!$U$37</definedName>
    <definedName name="epsh198">'[19]Interim Model'!$AB$37</definedName>
    <definedName name="epsh294">'[19]Interim Model'!$H$37</definedName>
    <definedName name="epsh295">'[19]Interim Model'!$I$37</definedName>
    <definedName name="epsh296">'[19]Interim Model'!$W$37</definedName>
    <definedName name="epsh297">'[19]Interim Model'!$X$37</definedName>
    <definedName name="epsh298">'[19]Interim Model'!$AE$37</definedName>
    <definedName name="epsinfl94" localSheetId="7">#REF!</definedName>
    <definedName name="epsinfl94" localSheetId="11">#REF!</definedName>
    <definedName name="epsinfl94">#REF!</definedName>
    <definedName name="epsinfl95" localSheetId="7">#REF!</definedName>
    <definedName name="epsinfl95" localSheetId="11">#REF!</definedName>
    <definedName name="epsinfl95">#REF!</definedName>
    <definedName name="epsinfl96" localSheetId="7">#REF!</definedName>
    <definedName name="epsinfl96" localSheetId="11">#REF!</definedName>
    <definedName name="epsinfl96">#REF!</definedName>
    <definedName name="epsinfl97" localSheetId="7">#REF!</definedName>
    <definedName name="epsinfl97" localSheetId="11">#REF!</definedName>
    <definedName name="epsinfl97">#REF!</definedName>
    <definedName name="epsinfl98" localSheetId="7">#REF!</definedName>
    <definedName name="epsinfl98" localSheetId="11">#REF!</definedName>
    <definedName name="epsinfl98">#REF!</definedName>
    <definedName name="epsinfl99" localSheetId="7">#REF!</definedName>
    <definedName name="epsinfl99" localSheetId="11">#REF!</definedName>
    <definedName name="epsinfl99">#REF!</definedName>
    <definedName name="epspf00">'[19]Annual Model'!$V$39</definedName>
    <definedName name="epspf01">'[19]Annual Model'!$Z$39</definedName>
    <definedName name="epspf02">'[19]Annual Model'!$AD$39</definedName>
    <definedName name="epspf03">'[19]Annual Model'!$AH$39</definedName>
    <definedName name="epspf99">'[19]Annual Model'!$T$39</definedName>
    <definedName name="Eqrsk92">'[19]Annual Model'!$E$105</definedName>
    <definedName name="Eqrsk93">'[19]Annual Model'!$F$105</definedName>
    <definedName name="Eqrsk94">'[19]Annual Model'!$G$105</definedName>
    <definedName name="Eqrsk95">'[19]Annual Model'!$I$105</definedName>
    <definedName name="Eqrsk96">'[19]Annual Model'!$L$105</definedName>
    <definedName name="equ_assts1q98" localSheetId="7">#REF!</definedName>
    <definedName name="equ_assts1q98" localSheetId="11">#REF!</definedName>
    <definedName name="equ_assts1q98">#REF!</definedName>
    <definedName name="Equity_increase" localSheetId="7">#REF!</definedName>
    <definedName name="Equity_increase" localSheetId="11">#REF!</definedName>
    <definedName name="Equity_increase">#REF!</definedName>
    <definedName name="equity1q00">'[18]Quarterly Model'!$G$58</definedName>
    <definedName name="equity1q98" localSheetId="7">#REF!</definedName>
    <definedName name="equity1q98" localSheetId="11">#REF!</definedName>
    <definedName name="equity1q98">#REF!</definedName>
    <definedName name="equity1q99" localSheetId="7">#REF!</definedName>
    <definedName name="equity1q99" localSheetId="11">#REF!</definedName>
    <definedName name="equity1q99">#REF!</definedName>
    <definedName name="equity1q99E" localSheetId="7">#REF!</definedName>
    <definedName name="equity1q99E" localSheetId="11">#REF!</definedName>
    <definedName name="equity1q99E">#REF!</definedName>
    <definedName name="equity2q00">'[18]Quarterly Model'!$I$58</definedName>
    <definedName name="equity2q98" localSheetId="7">#REF!</definedName>
    <definedName name="equity2q98" localSheetId="11">#REF!</definedName>
    <definedName name="equity2q98">#REF!</definedName>
    <definedName name="equity2q99" localSheetId="7">#REF!</definedName>
    <definedName name="equity2q99" localSheetId="11">#REF!</definedName>
    <definedName name="equity2q99">#REF!</definedName>
    <definedName name="equity2q99E" localSheetId="7">#REF!</definedName>
    <definedName name="equity2q99E" localSheetId="11">#REF!</definedName>
    <definedName name="equity2q99E">#REF!</definedName>
    <definedName name="equity3q00">'[18]Quarterly Model'!$K$58</definedName>
    <definedName name="equity3q98" localSheetId="7">#REF!</definedName>
    <definedName name="equity3q98" localSheetId="11">#REF!</definedName>
    <definedName name="equity3q98">#REF!</definedName>
    <definedName name="equity3q99" localSheetId="7">#REF!</definedName>
    <definedName name="equity3q99" localSheetId="11">#REF!</definedName>
    <definedName name="equity3q99">#REF!</definedName>
    <definedName name="equity3q99E" localSheetId="7">#REF!</definedName>
    <definedName name="equity3q99E" localSheetId="11">#REF!</definedName>
    <definedName name="equity3q99E">#REF!</definedName>
    <definedName name="equity4q00">'[18]Quarterly Model'!$M$58</definedName>
    <definedName name="equity4q98" localSheetId="7">#REF!</definedName>
    <definedName name="equity4q98" localSheetId="11">#REF!</definedName>
    <definedName name="equity4q98">#REF!</definedName>
    <definedName name="equity4q98E" localSheetId="7">#REF!</definedName>
    <definedName name="equity4q98E" localSheetId="11">#REF!</definedName>
    <definedName name="equity4q98E">#REF!</definedName>
    <definedName name="equity4q99" localSheetId="7">#REF!</definedName>
    <definedName name="equity4q99" localSheetId="11">#REF!</definedName>
    <definedName name="equity4q99">#REF!</definedName>
    <definedName name="equity93" localSheetId="7">#REF!</definedName>
    <definedName name="equity93" localSheetId="11">#REF!</definedName>
    <definedName name="equity93">#REF!</definedName>
    <definedName name="equity94" localSheetId="7">#REF!</definedName>
    <definedName name="equity94" localSheetId="11">#REF!</definedName>
    <definedName name="equity94">#REF!</definedName>
    <definedName name="equity95" localSheetId="7">#REF!</definedName>
    <definedName name="equity95" localSheetId="11">#REF!</definedName>
    <definedName name="equity95">#REF!</definedName>
    <definedName name="equity96" localSheetId="7">#REF!</definedName>
    <definedName name="equity96" localSheetId="11">#REF!</definedName>
    <definedName name="equity96">#REF!</definedName>
    <definedName name="equity97" localSheetId="7">#REF!</definedName>
    <definedName name="equity97" localSheetId="11">#REF!</definedName>
    <definedName name="equity97">#REF!</definedName>
    <definedName name="equity98" localSheetId="7">#REF!</definedName>
    <definedName name="equity98" localSheetId="11">#REF!</definedName>
    <definedName name="equity98">#REF!</definedName>
    <definedName name="equityassets93" localSheetId="7">#REF!</definedName>
    <definedName name="equityassets93" localSheetId="11">#REF!</definedName>
    <definedName name="equityassets93">#REF!</definedName>
    <definedName name="equityassets94" localSheetId="7">#REF!</definedName>
    <definedName name="equityassets94" localSheetId="11">#REF!</definedName>
    <definedName name="equityassets94">#REF!</definedName>
    <definedName name="equityassets95" localSheetId="7">#REF!</definedName>
    <definedName name="equityassets95" localSheetId="11">#REF!</definedName>
    <definedName name="equityassets95">#REF!</definedName>
    <definedName name="equityassets96" localSheetId="7">#REF!</definedName>
    <definedName name="equityassets96" localSheetId="11">#REF!</definedName>
    <definedName name="equityassets96">#REF!</definedName>
    <definedName name="equityassets97" localSheetId="7">#REF!</definedName>
    <definedName name="equityassets97" localSheetId="11">#REF!</definedName>
    <definedName name="equityassets97">#REF!</definedName>
    <definedName name="equityassets98" localSheetId="7">#REF!</definedName>
    <definedName name="equityassets98" localSheetId="11">#REF!</definedName>
    <definedName name="equityassets98">#REF!</definedName>
    <definedName name="equityav00">'[18]Annual Model'!$H$65</definedName>
    <definedName name="equityav01">'[18]Annual Model'!$I$65</definedName>
    <definedName name="equityav02">'[18]Annual Model'!$J$65</definedName>
    <definedName name="equityav1q00">'[18]Quarterly Model'!$G$66</definedName>
    <definedName name="equityav2q00">'[18]Quarterly Model'!$I$66</definedName>
    <definedName name="equityav2q97" localSheetId="7">#REF!</definedName>
    <definedName name="equityav2q97" localSheetId="11">#REF!</definedName>
    <definedName name="equityav2q97">#REF!</definedName>
    <definedName name="equityav2q97b" localSheetId="7">#REF!</definedName>
    <definedName name="equityav2q97b" localSheetId="11">#REF!</definedName>
    <definedName name="equityav2q97b">#REF!</definedName>
    <definedName name="equityav3q00">'[18]Quarterly Model'!$K$66</definedName>
    <definedName name="equityav4q00">'[18]Quarterly Model'!$M$66</definedName>
    <definedName name="equityav93">'[19]Annual Model'!$F$75</definedName>
    <definedName name="equityav94">'[19]Annual Model'!$G$75</definedName>
    <definedName name="equityav95">'[19]Annual Model'!$I$75</definedName>
    <definedName name="equityav96">'[19]Annual Model'!$L$75</definedName>
    <definedName name="equityav97" localSheetId="7">#REF!</definedName>
    <definedName name="equityav97" localSheetId="11">#REF!</definedName>
    <definedName name="equityav97">#REF!</definedName>
    <definedName name="equityav98">'[18]Annual Model'!$E$77</definedName>
    <definedName name="equityav99">'[18]Annual Model'!$G$65</definedName>
    <definedName name="equityavg1q98" localSheetId="7">#REF!</definedName>
    <definedName name="equityavg1q98" localSheetId="11">#REF!</definedName>
    <definedName name="equityavg1q98">#REF!</definedName>
    <definedName name="equityavg1q99" localSheetId="7">#REF!</definedName>
    <definedName name="equityavg1q99" localSheetId="11">#REF!</definedName>
    <definedName name="equityavg1q99">#REF!</definedName>
    <definedName name="equityavg2q98" localSheetId="7">#REF!</definedName>
    <definedName name="equityavg2q98" localSheetId="11">#REF!</definedName>
    <definedName name="equityavg2q98">#REF!</definedName>
    <definedName name="equityavg2q99" localSheetId="7">#REF!</definedName>
    <definedName name="equityavg2q99" localSheetId="11">#REF!</definedName>
    <definedName name="equityavg2q99">#REF!</definedName>
    <definedName name="equityavg3q98" localSheetId="7">#REF!</definedName>
    <definedName name="equityavg3q98" localSheetId="11">#REF!</definedName>
    <definedName name="equityavg3q98">#REF!</definedName>
    <definedName name="equityavg3q99" localSheetId="7">#REF!</definedName>
    <definedName name="equityavg3q99" localSheetId="11">#REF!</definedName>
    <definedName name="equityavg3q99">#REF!</definedName>
    <definedName name="equityavg4q98" localSheetId="7">#REF!</definedName>
    <definedName name="equityavg4q98" localSheetId="11">#REF!</definedName>
    <definedName name="equityavg4q98">#REF!</definedName>
    <definedName name="equityavg4q99" localSheetId="7">#REF!</definedName>
    <definedName name="equityavg4q99" localSheetId="11">#REF!</definedName>
    <definedName name="equityavg4q99">#REF!</definedName>
    <definedName name="equityavg93" localSheetId="7">#REF!</definedName>
    <definedName name="equityavg93" localSheetId="11">#REF!</definedName>
    <definedName name="equityavg93">#REF!</definedName>
    <definedName name="equityavg94" localSheetId="7">#REF!</definedName>
    <definedName name="equityavg94" localSheetId="11">#REF!</definedName>
    <definedName name="equityavg94">#REF!</definedName>
    <definedName name="equityavg95" localSheetId="7">#REF!</definedName>
    <definedName name="equityavg95" localSheetId="11">#REF!</definedName>
    <definedName name="equityavg95">#REF!</definedName>
    <definedName name="equityavg96" localSheetId="7">#REF!</definedName>
    <definedName name="equityavg96" localSheetId="11">#REF!</definedName>
    <definedName name="equityavg96">#REF!</definedName>
    <definedName name="equityavg97" localSheetId="7">#REF!</definedName>
    <definedName name="equityavg97" localSheetId="11">#REF!</definedName>
    <definedName name="equityavg97">#REF!</definedName>
    <definedName name="equityavg98" localSheetId="7">#REF!</definedName>
    <definedName name="equityavg98" localSheetId="11">#REF!</definedName>
    <definedName name="equityavg98">#REF!</definedName>
    <definedName name="equityavh197">'[19]Interim Model'!$U$76</definedName>
    <definedName name="equityavh198">'[19]Interim Model'!$AB$76</definedName>
    <definedName name="equityavh199">'[19]Interim Model'!$AI$76</definedName>
    <definedName name="equityavh298">'[19]Interim Model'!$AE$76</definedName>
    <definedName name="equityavq296" localSheetId="7">#REF!</definedName>
    <definedName name="equityavq296" localSheetId="11">#REF!</definedName>
    <definedName name="equityavq296">#REF!</definedName>
    <definedName name="equityq296" localSheetId="7">#REF!</definedName>
    <definedName name="equityq296" localSheetId="11">#REF!</definedName>
    <definedName name="equityq296">#REF!</definedName>
    <definedName name="equityye00">'[18]Annual Model'!$H$57</definedName>
    <definedName name="equityye01">'[18]Annual Model'!$I$57</definedName>
    <definedName name="equityye02">'[18]Annual Model'!$J$57</definedName>
    <definedName name="equityye2q97" localSheetId="7">#REF!</definedName>
    <definedName name="equityye2q97" localSheetId="11">#REF!</definedName>
    <definedName name="equityye2q97">#REF!</definedName>
    <definedName name="equityye2q97b" localSheetId="7">#REF!</definedName>
    <definedName name="equityye2q97b" localSheetId="11">#REF!</definedName>
    <definedName name="equityye2q97b">#REF!</definedName>
    <definedName name="equityye92">'[19]Annual Model'!$E$64</definedName>
    <definedName name="equityye93">'[19]Annual Model'!$F$64</definedName>
    <definedName name="equityye94">'[19]Annual Model'!$G$64</definedName>
    <definedName name="equityye95">'[19]Annual Model'!$I$64</definedName>
    <definedName name="equityye96">'[19]Annual Model'!$L$64</definedName>
    <definedName name="equityye97" localSheetId="7">#REF!</definedName>
    <definedName name="equityye97" localSheetId="11">#REF!</definedName>
    <definedName name="equityye97">#REF!</definedName>
    <definedName name="equityye98">'[18]Annual Model'!$E$67</definedName>
    <definedName name="equityye99">'[18]Annual Model'!$G$57</definedName>
    <definedName name="equityyeh197">'[19]Interim Model'!$U$63</definedName>
    <definedName name="ER" localSheetId="11">#REF!</definedName>
    <definedName name="ER">#REF!</definedName>
    <definedName name="erosion1" localSheetId="11">'[83]Implied EV'!#REF!</definedName>
    <definedName name="erosion1">'[83]Implied EV'!#REF!</definedName>
    <definedName name="erosion2" localSheetId="11">'[83]Implied EV'!#REF!</definedName>
    <definedName name="erosion2">'[83]Implied EV'!#REF!</definedName>
    <definedName name="erosion3" localSheetId="11">'[83]Implied EV'!#REF!</definedName>
    <definedName name="erosion3">'[83]Implied EV'!#REF!</definedName>
    <definedName name="Erste___BCR" localSheetId="7">#REF!</definedName>
    <definedName name="Erste___BCR" localSheetId="11">#REF!</definedName>
    <definedName name="Erste___BCR">#REF!</definedName>
    <definedName name="Erste___CEC" localSheetId="7">#REF!</definedName>
    <definedName name="Erste___CEC" localSheetId="11">#REF!</definedName>
    <definedName name="Erste___CEC">#REF!</definedName>
    <definedName name="Erste___Splitska" localSheetId="7">#REF!</definedName>
    <definedName name="Erste___Splitska" localSheetId="11">#REF!</definedName>
    <definedName name="Erste___Splitska">#REF!</definedName>
    <definedName name="esindex" localSheetId="11">'[18]Annual Model'!#REF!</definedName>
    <definedName name="esindex">'[18]Annual Model'!#REF!</definedName>
    <definedName name="esnrc100c1_values" localSheetId="7" hidden="1">{"FTSE100","COMPANIES",TRUE}</definedName>
    <definedName name="esnrc100c1_values" localSheetId="4" hidden="1">{"FTSE100","COMPANIES",TRUE}</definedName>
    <definedName name="esnrc100c1_values" hidden="1">{"FTSE100","COMPANIES",TRUE}</definedName>
    <definedName name="esnrc33c1_values" localSheetId="7" hidden="1">{"EUMOT","COMPANIES",TRUE}</definedName>
    <definedName name="esnrc33c1_values" localSheetId="4" hidden="1">{"EUMOT","COMPANIES",TRUE}</definedName>
    <definedName name="esnrc33c1_values" hidden="1">{"EUMOT","COMPANIES",TRUE}</definedName>
    <definedName name="esnrc56c1_values" localSheetId="7" hidden="1">{"ASCONGRP","COMPANIES",TRUE}</definedName>
    <definedName name="esnrc56c1_values" localSheetId="4" hidden="1">{"ASCONGRP","COMPANIES",TRUE}</definedName>
    <definedName name="esnrc56c1_values" hidden="1">{"ASCONGRP","COMPANIES",TRUE}</definedName>
    <definedName name="esnrc63c1_values" localSheetId="7" hidden="1">{"EUUTIGRP","COMPANIES",TRUE}</definedName>
    <definedName name="esnrc63c1_values" localSheetId="4" hidden="1">{"EUUTIGRP","COMPANIES",TRUE}</definedName>
    <definedName name="esnrc63c1_values" hidden="1">{"EUUTIGRP","COMPANIES",TRUE}</definedName>
    <definedName name="esnrc91c1_values" localSheetId="7" hidden="1">{"EUUTI","COMPANIES",TRUE}</definedName>
    <definedName name="esnrc91c1_values" localSheetId="4" hidden="1">{"EUUTI","COMPANIES",TRUE}</definedName>
    <definedName name="esnrc91c1_values" hidden="1">{"EUUTI","COMPANIES",TRUE}</definedName>
    <definedName name="esnrc91c2_values" localSheetId="7" hidden="1">{"EUUTI","COMPANIES",TRUE}</definedName>
    <definedName name="esnrc91c2_values" hidden="1">{"EUUTI","COMPANIES",TRUE}</definedName>
    <definedName name="etc" localSheetId="7">#REF!</definedName>
    <definedName name="etc" localSheetId="11">#REF!</definedName>
    <definedName name="etc">#REF!</definedName>
    <definedName name="EURData">[84]Datasheet!$A:$IV</definedName>
    <definedName name="EURm">[85]Quarterly!$J$1</definedName>
    <definedName name="euro" localSheetId="11">#REF!</definedName>
    <definedName name="euro">#REF!</definedName>
    <definedName name="euro1">'[78]KLM data'!$F$2</definedName>
    <definedName name="Europe" localSheetId="7">#REF!</definedName>
    <definedName name="Europe" localSheetId="11">#REF!</definedName>
    <definedName name="Europe">#REF!</definedName>
    <definedName name="Europe_excl._Sweden" localSheetId="7">#REF!</definedName>
    <definedName name="Europe_excl._Sweden" localSheetId="11">#REF!</definedName>
    <definedName name="Europe_excl._Sweden">#REF!</definedName>
    <definedName name="Europe_excl._Sweden_w" localSheetId="7">#REF!</definedName>
    <definedName name="Europe_excl._Sweden_w" localSheetId="11">#REF!</definedName>
    <definedName name="Europe_excl._Sweden_w">#REF!</definedName>
    <definedName name="EuropeDutyFree" localSheetId="7">#REF!</definedName>
    <definedName name="EuropeDutyFree" localSheetId="11">#REF!</definedName>
    <definedName name="EuropeDutyFree">#REF!</definedName>
    <definedName name="EURPeriod">[84]Datasheet!$A$6:$IV$6</definedName>
    <definedName name="Euthyrox00" localSheetId="11">[17]Products!#REF!</definedName>
    <definedName name="Euthyrox00">[17]Products!#REF!</definedName>
    <definedName name="Euthyrox01" localSheetId="11">[17]Products!#REF!</definedName>
    <definedName name="Euthyrox01">[17]Products!#REF!</definedName>
    <definedName name="Euthyrox02" localSheetId="11">[17]Products!#REF!</definedName>
    <definedName name="Euthyrox02">[17]Products!#REF!</definedName>
    <definedName name="Euthyrox03" localSheetId="11">[17]Products!#REF!</definedName>
    <definedName name="Euthyrox03">[17]Products!#REF!</definedName>
    <definedName name="Euthyrox04" localSheetId="11">[17]Products!#REF!</definedName>
    <definedName name="Euthyrox04">[17]Products!#REF!</definedName>
    <definedName name="Euthyrox05" localSheetId="11">[17]Products!#REF!</definedName>
    <definedName name="Euthyrox05">[17]Products!#REF!</definedName>
    <definedName name="Euthyrox97" localSheetId="11">[17]Products!#REF!</definedName>
    <definedName name="Euthyrox97">[17]Products!#REF!</definedName>
    <definedName name="Euthyrox98" localSheetId="11">[17]Products!#REF!</definedName>
    <definedName name="Euthyrox98">[17]Products!#REF!</definedName>
    <definedName name="Euthyrox99" localSheetId="11">[17]Products!#REF!</definedName>
    <definedName name="Euthyrox99">[17]Products!#REF!</definedName>
    <definedName name="EV" localSheetId="7">#REF!</definedName>
    <definedName name="EV" localSheetId="11">#REF!</definedName>
    <definedName name="EV">#REF!</definedName>
    <definedName name="EV_EBIT_NAME">[86]Main!$DR$1:$DR$65536</definedName>
    <definedName name="EV_EBITDA_2001">[86]Main!$EF$1:$EF$65536</definedName>
    <definedName name="EV_EBITDA_VALUE">[86]Main!$EF$1:$EF$65536</definedName>
    <definedName name="eva" localSheetId="7">#REF!</definedName>
    <definedName name="eva" localSheetId="11">#REF!</definedName>
    <definedName name="eva">#REF!</definedName>
    <definedName name="evo" localSheetId="7">#REF!</definedName>
    <definedName name="evo" localSheetId="11">#REF!</definedName>
    <definedName name="evo">#REF!</definedName>
    <definedName name="Excel_Version">'[61]DDETABLE '!$AD$8</definedName>
    <definedName name="excep00">'[18]Annual Model'!$H$23</definedName>
    <definedName name="excep01">'[18]Annual Model'!$I$23</definedName>
    <definedName name="excep02">'[18]Annual Model'!$J$23</definedName>
    <definedName name="excep2q00">'[18]Quarterly Model'!$I$23</definedName>
    <definedName name="excep3q00">'[18]Quarterly Model'!$K$23</definedName>
    <definedName name="excep4q00">'[18]Quarterly Model'!$M$23</definedName>
    <definedName name="excep93">'[19]Annual Model'!$F$29</definedName>
    <definedName name="excep94">'[19]Annual Model'!$G$29</definedName>
    <definedName name="excep95">'[19]Annual Model'!$I$29</definedName>
    <definedName name="excep96">'[19]Annual Model'!$L$29</definedName>
    <definedName name="excep97">'[19]Annual Model'!$N$29</definedName>
    <definedName name="excep98">'[18]Annual Model'!$E$29</definedName>
    <definedName name="excep99">'[18]Annual Model'!$G$23</definedName>
    <definedName name="exceptional98" localSheetId="7">#REF!</definedName>
    <definedName name="exceptional98" localSheetId="11">#REF!</definedName>
    <definedName name="exceptional98">#REF!</definedName>
    <definedName name="Exceptionals" localSheetId="11">[32]Figures!#REF!</definedName>
    <definedName name="Exceptionals">[32]Figures!#REF!</definedName>
    <definedName name="exceptionals93" localSheetId="7">#REF!</definedName>
    <definedName name="exceptionals93" localSheetId="11">#REF!</definedName>
    <definedName name="exceptionals93">#REF!</definedName>
    <definedName name="exceptionals94" localSheetId="7">#REF!</definedName>
    <definedName name="exceptionals94" localSheetId="11">#REF!</definedName>
    <definedName name="exceptionals94">#REF!</definedName>
    <definedName name="exceptionals95" localSheetId="7">#REF!</definedName>
    <definedName name="exceptionals95" localSheetId="11">#REF!</definedName>
    <definedName name="exceptionals95">#REF!</definedName>
    <definedName name="exceptionals96" localSheetId="7">#REF!</definedName>
    <definedName name="exceptionals96" localSheetId="11">#REF!</definedName>
    <definedName name="exceptionals96">#REF!</definedName>
    <definedName name="exceptionals97" localSheetId="7">#REF!</definedName>
    <definedName name="exceptionals97" localSheetId="11">#REF!</definedName>
    <definedName name="exceptionals97">#REF!</definedName>
    <definedName name="Excess_cash">'[34]Invested capital_VDF'!$C$5:$AE$5</definedName>
    <definedName name="ExcessCashUseToggle" localSheetId="11">[48]STM!#REF!</definedName>
    <definedName name="ExcessCashUseToggle">[48]STM!#REF!</definedName>
    <definedName name="EXCESSCF" localSheetId="7">#REF!</definedName>
    <definedName name="EXCESSCF" localSheetId="11">#REF!</definedName>
    <definedName name="EXCESSCF">#REF!</definedName>
    <definedName name="excessK1h00">'[19]Interim Model'!$AW$141</definedName>
    <definedName name="excessK1h00a">'[19]Interim Model'!$AW$142</definedName>
    <definedName name="excessK1h99">'[19]Interim Model'!$AI$141</definedName>
    <definedName name="excessK1h99a">'[19]Interim Model'!$AI$142</definedName>
    <definedName name="excessK2h00">'[19]Interim Model'!$AZ$141</definedName>
    <definedName name="excessK2h00a">'[19]Interim Model'!$AZ$142</definedName>
    <definedName name="excessK2h99">'[19]Interim Model'!$AL$141</definedName>
    <definedName name="excessK2h99a">'[19]Interim Model'!$AL$142</definedName>
    <definedName name="Exchange" localSheetId="7">#REF!</definedName>
    <definedName name="Exchange" localSheetId="11">#REF!</definedName>
    <definedName name="Exchange">#REF!</definedName>
    <definedName name="exchange_rate" localSheetId="11">[87]Interim!#REF!</definedName>
    <definedName name="exchange_rate">[87]Interim!#REF!</definedName>
    <definedName name="Exchrate">[88]Data!$A$2</definedName>
    <definedName name="excp1q00">'[18]Quarterly Model'!$G$23</definedName>
    <definedName name="exh_PL">[33]Layout!$B$2:$AH$119</definedName>
    <definedName name="EXIT" localSheetId="7">#REF!</definedName>
    <definedName name="EXIT" localSheetId="11">#REF!</definedName>
    <definedName name="EXIT">#REF!</definedName>
    <definedName name="exp00">'[18]Annual Model'!$H$20</definedName>
    <definedName name="exp1q00">'[18]Quarterly Model'!$G$20</definedName>
    <definedName name="exp2q00">'[18]Quarterly Model'!$I$20</definedName>
    <definedName name="exp3q00">'[18]Quarterly Model'!$K$20</definedName>
    <definedName name="exp4q00">'[18]Quarterly Model'!$M$20</definedName>
    <definedName name="Expl_forecast_1st_yr" localSheetId="7">#REF!</definedName>
    <definedName name="Expl_forecast_1st_yr" localSheetId="11">#REF!</definedName>
    <definedName name="Expl_forecast_1st_yr">#REF!</definedName>
    <definedName name="Expl_forecast_2nd_yr" localSheetId="7">#REF!</definedName>
    <definedName name="Expl_forecast_2nd_yr" localSheetId="11">#REF!</definedName>
    <definedName name="Expl_forecast_2nd_yr">#REF!</definedName>
    <definedName name="Expl_forecast_3rd_yr" localSheetId="7">#REF!</definedName>
    <definedName name="Expl_forecast_3rd_yr" localSheetId="11">#REF!</definedName>
    <definedName name="Expl_forecast_3rd_yr">#REF!</definedName>
    <definedName name="ExtFiles">'[61]DDETABLE '!$AG$2:$AG$10</definedName>
    <definedName name="Extraordinary_Expenses" localSheetId="7">#REF!</definedName>
    <definedName name="Extraordinary_Expenses" localSheetId="11">#REF!</definedName>
    <definedName name="Extraordinary_Expenses">#REF!</definedName>
    <definedName name="Extraordinary_Income" localSheetId="7">#REF!</definedName>
    <definedName name="Extraordinary_Income" localSheetId="11">#REF!</definedName>
    <definedName name="Extraordinary_Income">#REF!</definedName>
    <definedName name="f.1999.12" localSheetId="7">#REF!</definedName>
    <definedName name="f.1999.12" localSheetId="11">#REF!</definedName>
    <definedName name="f.1999.12">#REF!</definedName>
    <definedName name="F_AFLCFM1" localSheetId="7">#REF!</definedName>
    <definedName name="F_AFLCFM1" localSheetId="11">#REF!</definedName>
    <definedName name="F_AFLCFM1">#REF!</definedName>
    <definedName name="F_AFLCFM2" localSheetId="7">#REF!</definedName>
    <definedName name="F_AFLCFM2" localSheetId="11">#REF!</definedName>
    <definedName name="F_AFLCFM2">#REF!</definedName>
    <definedName name="F_AFLPEM3" localSheetId="7">#REF!</definedName>
    <definedName name="F_AFLPEM3" localSheetId="11">#REF!</definedName>
    <definedName name="F_AFLPEM3">#REF!</definedName>
    <definedName name="F_AFLPEM4" localSheetId="7">#REF!</definedName>
    <definedName name="F_AFLPEM4" localSheetId="11">#REF!</definedName>
    <definedName name="F_AFLPEM4">#REF!</definedName>
    <definedName name="F_AFLPEMb" localSheetId="7">#REF!</definedName>
    <definedName name="F_AFLPEMb" localSheetId="11">#REF!</definedName>
    <definedName name="F_AFLPEMb">#REF!</definedName>
    <definedName name="F_AFLSD1" localSheetId="7">#REF!</definedName>
    <definedName name="F_AFLSD1" localSheetId="11">#REF!</definedName>
    <definedName name="F_AFLSD1">#REF!</definedName>
    <definedName name="F_AFLSD2" localSheetId="7">#REF!</definedName>
    <definedName name="F_AFLSD2" localSheetId="11">#REF!</definedName>
    <definedName name="F_AFLSD2">#REF!</definedName>
    <definedName name="F_Book_value_per_share" localSheetId="11">'[89]Calculation (2)'!#REF!</definedName>
    <definedName name="F_Book_value_per_share">'[89]Calculation (2)'!#REF!</definedName>
    <definedName name="FAMERangeCNSB29" localSheetId="7">#REF!</definedName>
    <definedName name="FAMERangeCNSB29" localSheetId="11">#REF!</definedName>
    <definedName name="FAMERangeCNSB29">#REF!</definedName>
    <definedName name="FAMERangeCNSB30" localSheetId="7">#REF!</definedName>
    <definedName name="FAMERangeCNSB30" localSheetId="11">#REF!</definedName>
    <definedName name="FAMERangeCNSB30">#REF!</definedName>
    <definedName name="FAMERangeCNSB37" localSheetId="7">#REF!</definedName>
    <definedName name="FAMERangeCNSB37" localSheetId="11">#REF!</definedName>
    <definedName name="FAMERangeCNSB37">#REF!</definedName>
    <definedName name="FAMERangeCNSC33" localSheetId="7">#REF!</definedName>
    <definedName name="FAMERangeCNSC33" localSheetId="11">#REF!</definedName>
    <definedName name="FAMERangeCNSC33">#REF!</definedName>
    <definedName name="FAMERangedateB10">[90]date!$B$11:$C$11</definedName>
    <definedName name="FAMERangedateB11">[90]date!$B$12:$C$12</definedName>
    <definedName name="FAMERangedateB12">[90]date!$B$13:$C$13</definedName>
    <definedName name="FAMERangedateB13">[90]date!$B$14:$C$14</definedName>
    <definedName name="FAMERangedateB14">[90]date!$B$15:$C$15</definedName>
    <definedName name="FAMERangedateB15">[90]date!$B$16:$C$16</definedName>
    <definedName name="FAMERangedateB16">[90]date!$B$17:$C$17</definedName>
    <definedName name="FAMERangedateB17">[90]date!$B$18:$C$18</definedName>
    <definedName name="FAMERangedateB18">[90]date!$B$19:$C$19</definedName>
    <definedName name="FAMERangedateB19">[90]date!$B$20:$C$20</definedName>
    <definedName name="FAMERangedateB20">[90]date!$B$21:$C$21</definedName>
    <definedName name="FAMERangedateB21">[90]date!$B$22:$C$22</definedName>
    <definedName name="FAMERangedateB22">[90]date!$B$23:$C$23</definedName>
    <definedName name="FAMERangedateB3">[90]date!$B$3:$C$3</definedName>
    <definedName name="FAMERangedateB4">[90]date!$B$5:$C$5</definedName>
    <definedName name="FAMERangedateB5">[90]date!$B$6:$C$6</definedName>
    <definedName name="FAMERangedateB6">[90]date!$B$7:$C$7</definedName>
    <definedName name="FAMERangedateB7">[90]date!$B$8:$C$8</definedName>
    <definedName name="FAMERangedateB8">[90]date!$B$9:$C$9</definedName>
    <definedName name="FAMERangedateB9">[90]date!$B$10:$C$10</definedName>
    <definedName name="FAMERangeDJ_BALAL28" localSheetId="11">'[56]EVA1'!#REF!</definedName>
    <definedName name="FAMERangeDJ_BALAL28">'[56]EVA1'!#REF!</definedName>
    <definedName name="FAMERangeDJ_BALAM28" localSheetId="11">'[56]EVA1'!#REF!</definedName>
    <definedName name="FAMERangeDJ_BALAM28">'[56]EVA1'!#REF!</definedName>
    <definedName name="FAMERangeDJ_BALAN28" localSheetId="11">'[56]EVA1'!#REF!</definedName>
    <definedName name="FAMERangeDJ_BALAN28">'[56]EVA1'!#REF!</definedName>
    <definedName name="FAMERangeGCI_BALD62" localSheetId="11">'[56]EVA1'!#REF!</definedName>
    <definedName name="FAMERangeGCI_BALD62">'[56]EVA1'!#REF!</definedName>
    <definedName name="FAMERangeGCI_BALD63" localSheetId="11">'[56]EVA1'!#REF!</definedName>
    <definedName name="FAMERangeGCI_BALD63">'[56]EVA1'!#REF!</definedName>
    <definedName name="FAMERangeGCI_ISD88" localSheetId="7">#REF!</definedName>
    <definedName name="FAMERangeGCI_ISD88" localSheetId="11">#REF!</definedName>
    <definedName name="FAMERangeGCI_ISD88">#REF!</definedName>
    <definedName name="FAMERangeglobalA38" localSheetId="7">#REF!</definedName>
    <definedName name="FAMERangeglobalA38" localSheetId="11">#REF!</definedName>
    <definedName name="FAMERangeglobalA38">#REF!</definedName>
    <definedName name="FAMERangeglobalB30" localSheetId="7">#REF!</definedName>
    <definedName name="FAMERangeglobalB30" localSheetId="11">#REF!</definedName>
    <definedName name="FAMERangeglobalB30">#REF!</definedName>
    <definedName name="FAMERangeglobalB31" localSheetId="7">#REF!</definedName>
    <definedName name="FAMERangeglobalB31" localSheetId="11">#REF!</definedName>
    <definedName name="FAMERangeglobalB31">#REF!</definedName>
    <definedName name="FAMERangeglobalB33" localSheetId="7">#REF!</definedName>
    <definedName name="FAMERangeglobalB33" localSheetId="11">#REF!</definedName>
    <definedName name="FAMERangeglobalB33">#REF!</definedName>
    <definedName name="FAMERangeglobalB38" localSheetId="7">#REF!</definedName>
    <definedName name="FAMERangeglobalB38" localSheetId="11">#REF!</definedName>
    <definedName name="FAMERangeglobalB38">#REF!</definedName>
    <definedName name="FAMERangeglobalC38" localSheetId="7">#REF!</definedName>
    <definedName name="FAMERangeglobalC38" localSheetId="11">#REF!</definedName>
    <definedName name="FAMERangeglobalC38">#REF!</definedName>
    <definedName name="FAMERangeglobalE31" localSheetId="7">#REF!</definedName>
    <definedName name="FAMERangeglobalE31" localSheetId="11">#REF!</definedName>
    <definedName name="FAMERangeglobalE31">#REF!</definedName>
    <definedName name="FAMERangeHEIDTS57" localSheetId="7">#REF!</definedName>
    <definedName name="FAMERangeHEIDTS57" localSheetId="11">#REF!</definedName>
    <definedName name="FAMERangeHEIDTS57">#REF!</definedName>
    <definedName name="FAMERangeKRI_BALAL99">'[56]EVA1'!$T$93:$T$93</definedName>
    <definedName name="FAMERangeKRI_BALAM99">'[56]EVA1'!$U$93:$U$93</definedName>
    <definedName name="FAMERangeKRI_BALAN99">'[56]EVA1'!$V$93:$V$93</definedName>
    <definedName name="FAMERangelatestB18" localSheetId="11">[91]FAME!#REF!</definedName>
    <definedName name="FAMERangelatestB18">[91]FAME!#REF!</definedName>
    <definedName name="FAMERangelatestB20" localSheetId="11">[91]FAME!#REF!</definedName>
    <definedName name="FAMERangelatestB20">[91]FAME!#REF!</definedName>
    <definedName name="FAMERangelatestB22" localSheetId="11">[91]FAME!#REF!</definedName>
    <definedName name="FAMERangelatestB22">[91]FAME!#REF!</definedName>
    <definedName name="FAMERangelatestB25" localSheetId="11">[91]FAME!#REF!</definedName>
    <definedName name="FAMERangelatestB25">[91]FAME!#REF!</definedName>
    <definedName name="FAMERangelatestB26" localSheetId="11">[91]FAME!#REF!</definedName>
    <definedName name="FAMERangelatestB26">[91]FAME!#REF!</definedName>
    <definedName name="FAMERangelatestB27" localSheetId="11">[91]FAME!#REF!</definedName>
    <definedName name="FAMERangelatestB27">[91]FAME!#REF!</definedName>
    <definedName name="FAMERangelatestB28" localSheetId="11">[91]FAME!#REF!</definedName>
    <definedName name="FAMERangelatestB28">[91]FAME!#REF!</definedName>
    <definedName name="FAMERangelatestB29" localSheetId="11">[91]FAME!#REF!</definedName>
    <definedName name="FAMERangelatestB29">[91]FAME!#REF!</definedName>
    <definedName name="FAMERangelatestB30" localSheetId="11">[91]FAME!#REF!</definedName>
    <definedName name="FAMERangelatestB30">[91]FAME!#REF!</definedName>
    <definedName name="FAMERangelatestB31" localSheetId="11">[91]FAME!#REF!</definedName>
    <definedName name="FAMERangelatestB31">[91]FAME!#REF!</definedName>
    <definedName name="FAMERangelatestB32" localSheetId="11">[91]FAME!#REF!</definedName>
    <definedName name="FAMERangelatestB32">[91]FAME!#REF!</definedName>
    <definedName name="FAMERangelatestB33" localSheetId="11">[91]FAME!#REF!</definedName>
    <definedName name="FAMERangelatestB33">[91]FAME!#REF!</definedName>
    <definedName name="FAMERangelatestB34" localSheetId="11">[91]FAME!#REF!</definedName>
    <definedName name="FAMERangelatestB34">[91]FAME!#REF!</definedName>
    <definedName name="FAMERangelatestB35" localSheetId="11">[91]FAME!#REF!</definedName>
    <definedName name="FAMERangelatestB35">[91]FAME!#REF!</definedName>
    <definedName name="FAMERangelatestB36" localSheetId="11">[91]FAME!#REF!</definedName>
    <definedName name="FAMERangelatestB36">[91]FAME!#REF!</definedName>
    <definedName name="FAMERangelatestB8" localSheetId="11">[91]FAME!#REF!</definedName>
    <definedName name="FAMERangelatestB8">[91]FAME!#REF!</definedName>
    <definedName name="FAMERangelatestD18" localSheetId="11">[91]FAME!#REF!</definedName>
    <definedName name="FAMERangelatestD18">[91]FAME!#REF!</definedName>
    <definedName name="FAMERangelatestD20" localSheetId="11">[91]FAME!#REF!</definedName>
    <definedName name="FAMERangelatestD20">[91]FAME!#REF!</definedName>
    <definedName name="FAMERangelatestD22" localSheetId="11">[91]FAME!#REF!</definedName>
    <definedName name="FAMERangelatestD22">[91]FAME!#REF!</definedName>
    <definedName name="FAMERangelatestD25" localSheetId="11">[91]FAME!#REF!</definedName>
    <definedName name="FAMERangelatestD25">[91]FAME!#REF!</definedName>
    <definedName name="FAMERangelatestD26" localSheetId="11">[91]FAME!#REF!</definedName>
    <definedName name="FAMERangelatestD26">[91]FAME!#REF!</definedName>
    <definedName name="FAMERangelatestD27" localSheetId="11">[91]FAME!#REF!</definedName>
    <definedName name="FAMERangelatestD27">[91]FAME!#REF!</definedName>
    <definedName name="FAMERangelatestD28" localSheetId="11">[91]FAME!#REF!</definedName>
    <definedName name="FAMERangelatestD28">[91]FAME!#REF!</definedName>
    <definedName name="FAMERangelatestD29" localSheetId="11">[91]FAME!#REF!</definedName>
    <definedName name="FAMERangelatestD29">[91]FAME!#REF!</definedName>
    <definedName name="FAMERangelatestD33" localSheetId="11">[91]FAME!#REF!</definedName>
    <definedName name="FAMERangelatestD33">[91]FAME!#REF!</definedName>
    <definedName name="FAMERangelatestD34" localSheetId="11">[91]FAME!#REF!</definedName>
    <definedName name="FAMERangelatestD34">[91]FAME!#REF!</definedName>
    <definedName name="FAMERangelatestD35" localSheetId="11">[91]FAME!#REF!</definedName>
    <definedName name="FAMERangelatestD35">[91]FAME!#REF!</definedName>
    <definedName name="FAMERangelatestD36" localSheetId="11">[91]FAME!#REF!</definedName>
    <definedName name="FAMERangelatestD36">[91]FAME!#REF!</definedName>
    <definedName name="FAMERangelatestD8" localSheetId="11">[91]FAME!#REF!</definedName>
    <definedName name="FAMERangelatestD8">[91]FAME!#REF!</definedName>
    <definedName name="FAMERangelatestF6" localSheetId="11">[91]FAME!#REF!</definedName>
    <definedName name="FAMERangelatestF6">[91]FAME!#REF!</definedName>
    <definedName name="FAMERangeMktCapA20">[92]MktCap!$A$18:$A$370</definedName>
    <definedName name="FAMERangeMktCapA388">[92]MktCap!$A$417:$A$777</definedName>
    <definedName name="FAMERangeMktCapA739">[92]MktCap!$A$776:$A$1133</definedName>
    <definedName name="FAMERangePRICEA10" localSheetId="7">#REF!</definedName>
    <definedName name="FAMERangePRICEA10" localSheetId="11">#REF!</definedName>
    <definedName name="FAMERangePRICEA10">#REF!</definedName>
    <definedName name="FAMERangePRICEA2" localSheetId="7">#REF!</definedName>
    <definedName name="FAMERangePRICEA2" localSheetId="11">#REF!</definedName>
    <definedName name="FAMERangePRICEA2">#REF!</definedName>
    <definedName name="FAMERangePRICEA4" localSheetId="7">#REF!</definedName>
    <definedName name="FAMERangePRICEA4" localSheetId="11">#REF!</definedName>
    <definedName name="FAMERangePRICEA4">#REF!</definedName>
    <definedName name="FAMERangePRICEA6" localSheetId="7">#REF!</definedName>
    <definedName name="FAMERangePRICEA6" localSheetId="11">#REF!</definedName>
    <definedName name="FAMERangePRICEA6">#REF!</definedName>
    <definedName name="FAMERangePRICEC10" localSheetId="7">#REF!</definedName>
    <definedName name="FAMERangePRICEC10" localSheetId="11">#REF!</definedName>
    <definedName name="FAMERangePRICEC10">#REF!</definedName>
    <definedName name="FAMERangePRICEC2" localSheetId="7">#REF!</definedName>
    <definedName name="FAMERangePRICEC2" localSheetId="11">#REF!</definedName>
    <definedName name="FAMERangePRICEC2">#REF!</definedName>
    <definedName name="FAMERangePRICEC4" localSheetId="7">#REF!</definedName>
    <definedName name="FAMERangePRICEC4" localSheetId="11">#REF!</definedName>
    <definedName name="FAMERangePRICEC4">#REF!</definedName>
    <definedName name="FAMERangePRICEC6" localSheetId="7">#REF!</definedName>
    <definedName name="FAMERangePRICEC6" localSheetId="11">#REF!</definedName>
    <definedName name="FAMERangePRICEC6">#REF!</definedName>
    <definedName name="FAMERangeqepsA5" localSheetId="6">#REF!</definedName>
    <definedName name="FAMERangeqepsA5" localSheetId="7">#REF!</definedName>
    <definedName name="FAMERangeqepsA5" localSheetId="11">#REF!</definedName>
    <definedName name="FAMERangeqepsA5">#REF!</definedName>
    <definedName name="FAMERangeqepsA6" localSheetId="6">#REF!</definedName>
    <definedName name="FAMERangeqepsA6" localSheetId="7">#REF!</definedName>
    <definedName name="FAMERangeqepsA6" localSheetId="11">#REF!</definedName>
    <definedName name="FAMERangeqepsA6">#REF!</definedName>
    <definedName name="FAMERangeqepsA7" localSheetId="6">#REF!</definedName>
    <definedName name="FAMERangeqepsA7" localSheetId="7">#REF!</definedName>
    <definedName name="FAMERangeqepsA7" localSheetId="11">#REF!</definedName>
    <definedName name="FAMERangeqepsA7">#REF!</definedName>
    <definedName name="FAMERangeqepsAA7" localSheetId="6">#REF!</definedName>
    <definedName name="FAMERangeqepsAA7" localSheetId="7">#REF!</definedName>
    <definedName name="FAMERangeqepsAA7" localSheetId="11">#REF!</definedName>
    <definedName name="FAMERangeqepsAA7">#REF!</definedName>
    <definedName name="FAMERangeqepsAB7" localSheetId="6">#REF!</definedName>
    <definedName name="FAMERangeqepsAB7" localSheetId="7">#REF!</definedName>
    <definedName name="FAMERangeqepsAB7" localSheetId="11">#REF!</definedName>
    <definedName name="FAMERangeqepsAB7">#REF!</definedName>
    <definedName name="FAMERangeqepsAC7" localSheetId="6">#REF!</definedName>
    <definedName name="FAMERangeqepsAC7" localSheetId="7">#REF!</definedName>
    <definedName name="FAMERangeqepsAC7" localSheetId="11">#REF!</definedName>
    <definedName name="FAMERangeqepsAC7">#REF!</definedName>
    <definedName name="FAMERangeqepsAD7" localSheetId="6">#REF!</definedName>
    <definedName name="FAMERangeqepsAD7" localSheetId="7">#REF!</definedName>
    <definedName name="FAMERangeqepsAD7" localSheetId="11">#REF!</definedName>
    <definedName name="FAMERangeqepsAD7">#REF!</definedName>
    <definedName name="FAMERangeqepsAE7" localSheetId="6">#REF!</definedName>
    <definedName name="FAMERangeqepsAE7" localSheetId="7">#REF!</definedName>
    <definedName name="FAMERangeqepsAE7" localSheetId="11">#REF!</definedName>
    <definedName name="FAMERangeqepsAE7">#REF!</definedName>
    <definedName name="FAMERangeqepsAF7" localSheetId="6">#REF!</definedName>
    <definedName name="FAMERangeqepsAF7" localSheetId="7">#REF!</definedName>
    <definedName name="FAMERangeqepsAF7" localSheetId="11">#REF!</definedName>
    <definedName name="FAMERangeqepsAF7">#REF!</definedName>
    <definedName name="FAMERangeqepsAG7" localSheetId="6">#REF!</definedName>
    <definedName name="FAMERangeqepsAG7" localSheetId="7">#REF!</definedName>
    <definedName name="FAMERangeqepsAG7" localSheetId="11">#REF!</definedName>
    <definedName name="FAMERangeqepsAG7">#REF!</definedName>
    <definedName name="FAMERangeqepsAH7" localSheetId="6">#REF!</definedName>
    <definedName name="FAMERangeqepsAH7" localSheetId="7">#REF!</definedName>
    <definedName name="FAMERangeqepsAH7" localSheetId="11">#REF!</definedName>
    <definedName name="FAMERangeqepsAH7">#REF!</definedName>
    <definedName name="FAMERangeqepsAI7" localSheetId="6">#REF!</definedName>
    <definedName name="FAMERangeqepsAI7" localSheetId="7">#REF!</definedName>
    <definedName name="FAMERangeqepsAI7" localSheetId="11">#REF!</definedName>
    <definedName name="FAMERangeqepsAI7">#REF!</definedName>
    <definedName name="FAMERangeqepsAJ7" localSheetId="6">#REF!</definedName>
    <definedName name="FAMERangeqepsAJ7" localSheetId="7">#REF!</definedName>
    <definedName name="FAMERangeqepsAJ7" localSheetId="11">#REF!</definedName>
    <definedName name="FAMERangeqepsAJ7">#REF!</definedName>
    <definedName name="FAMERangeqepsAK7" localSheetId="6">#REF!</definedName>
    <definedName name="FAMERangeqepsAK7" localSheetId="7">#REF!</definedName>
    <definedName name="FAMERangeqepsAK7" localSheetId="11">#REF!</definedName>
    <definedName name="FAMERangeqepsAK7">#REF!</definedName>
    <definedName name="FAMERangeqepsAL7" localSheetId="6">#REF!</definedName>
    <definedName name="FAMERangeqepsAL7" localSheetId="7">#REF!</definedName>
    <definedName name="FAMERangeqepsAL7" localSheetId="11">#REF!</definedName>
    <definedName name="FAMERangeqepsAL7">#REF!</definedName>
    <definedName name="FAMERangeqepsAM7" localSheetId="6">#REF!</definedName>
    <definedName name="FAMERangeqepsAM7" localSheetId="7">#REF!</definedName>
    <definedName name="FAMERangeqepsAM7" localSheetId="11">#REF!</definedName>
    <definedName name="FAMERangeqepsAM7">#REF!</definedName>
    <definedName name="FAMERangeqepsAN7" localSheetId="6">#REF!</definedName>
    <definedName name="FAMERangeqepsAN7" localSheetId="7">#REF!</definedName>
    <definedName name="FAMERangeqepsAN7" localSheetId="11">#REF!</definedName>
    <definedName name="FAMERangeqepsAN7">#REF!</definedName>
    <definedName name="FAMERangeqepsAO7" localSheetId="6">#REF!</definedName>
    <definedName name="FAMERangeqepsAO7" localSheetId="7">#REF!</definedName>
    <definedName name="FAMERangeqepsAO7" localSheetId="11">#REF!</definedName>
    <definedName name="FAMERangeqepsAO7">#REF!</definedName>
    <definedName name="FAMERangeqepsAP7" localSheetId="6">#REF!</definedName>
    <definedName name="FAMERangeqepsAP7" localSheetId="7">#REF!</definedName>
    <definedName name="FAMERangeqepsAP7" localSheetId="11">#REF!</definedName>
    <definedName name="FAMERangeqepsAP7">#REF!</definedName>
    <definedName name="FAMERangeqepsAQ7" localSheetId="6">#REF!</definedName>
    <definedName name="FAMERangeqepsAQ7" localSheetId="7">#REF!</definedName>
    <definedName name="FAMERangeqepsAQ7" localSheetId="11">#REF!</definedName>
    <definedName name="FAMERangeqepsAQ7">#REF!</definedName>
    <definedName name="FAMERangeqepsAR7" localSheetId="6">#REF!</definedName>
    <definedName name="FAMERangeqepsAR7" localSheetId="7">#REF!</definedName>
    <definedName name="FAMERangeqepsAR7" localSheetId="11">#REF!</definedName>
    <definedName name="FAMERangeqepsAR7">#REF!</definedName>
    <definedName name="FAMERangeqepsAS7" localSheetId="6">#REF!</definedName>
    <definedName name="FAMERangeqepsAS7" localSheetId="7">#REF!</definedName>
    <definedName name="FAMERangeqepsAS7" localSheetId="11">#REF!</definedName>
    <definedName name="FAMERangeqepsAS7">#REF!</definedName>
    <definedName name="FAMERangeqepsAT7" localSheetId="6">#REF!</definedName>
    <definedName name="FAMERangeqepsAT7" localSheetId="7">#REF!</definedName>
    <definedName name="FAMERangeqepsAT7" localSheetId="11">#REF!</definedName>
    <definedName name="FAMERangeqepsAT7">#REF!</definedName>
    <definedName name="FAMERangeqepsC7" localSheetId="6">#REF!</definedName>
    <definedName name="FAMERangeqepsC7" localSheetId="7">#REF!</definedName>
    <definedName name="FAMERangeqepsC7" localSheetId="11">#REF!</definedName>
    <definedName name="FAMERangeqepsC7">#REF!</definedName>
    <definedName name="FAMERangeqepsD7" localSheetId="6">#REF!</definedName>
    <definedName name="FAMERangeqepsD7" localSheetId="7">#REF!</definedName>
    <definedName name="FAMERangeqepsD7" localSheetId="11">#REF!</definedName>
    <definedName name="FAMERangeqepsD7">#REF!</definedName>
    <definedName name="FAMERangeqepsE7" localSheetId="6">#REF!</definedName>
    <definedName name="FAMERangeqepsE7" localSheetId="7">#REF!</definedName>
    <definedName name="FAMERangeqepsE7" localSheetId="11">#REF!</definedName>
    <definedName name="FAMERangeqepsE7">#REF!</definedName>
    <definedName name="FAMERangeqepsF7" localSheetId="6">#REF!</definedName>
    <definedName name="FAMERangeqepsF7" localSheetId="7">#REF!</definedName>
    <definedName name="FAMERangeqepsF7" localSheetId="11">#REF!</definedName>
    <definedName name="FAMERangeqepsF7">#REF!</definedName>
    <definedName name="FAMERangeqepsG7" localSheetId="6">#REF!</definedName>
    <definedName name="FAMERangeqepsG7" localSheetId="7">#REF!</definedName>
    <definedName name="FAMERangeqepsG7" localSheetId="11">#REF!</definedName>
    <definedName name="FAMERangeqepsG7">#REF!</definedName>
    <definedName name="FAMERangeqepsH7" localSheetId="6">#REF!</definedName>
    <definedName name="FAMERangeqepsH7" localSheetId="7">#REF!</definedName>
    <definedName name="FAMERangeqepsH7" localSheetId="11">#REF!</definedName>
    <definedName name="FAMERangeqepsH7">#REF!</definedName>
    <definedName name="FAMERangeqepsI7" localSheetId="6">#REF!</definedName>
    <definedName name="FAMERangeqepsI7" localSheetId="7">#REF!</definedName>
    <definedName name="FAMERangeqepsI7" localSheetId="11">#REF!</definedName>
    <definedName name="FAMERangeqepsI7">#REF!</definedName>
    <definedName name="FAMERangeqepsJ7" localSheetId="6">#REF!</definedName>
    <definedName name="FAMERangeqepsJ7" localSheetId="7">#REF!</definedName>
    <definedName name="FAMERangeqepsJ7" localSheetId="11">#REF!</definedName>
    <definedName name="FAMERangeqepsJ7">#REF!</definedName>
    <definedName name="FAMERangeqepsK7" localSheetId="6">#REF!</definedName>
    <definedName name="FAMERangeqepsK7" localSheetId="7">#REF!</definedName>
    <definedName name="FAMERangeqepsK7" localSheetId="11">#REF!</definedName>
    <definedName name="FAMERangeqepsK7">#REF!</definedName>
    <definedName name="FAMERangeqepsL7" localSheetId="6">#REF!</definedName>
    <definedName name="FAMERangeqepsL7" localSheetId="7">#REF!</definedName>
    <definedName name="FAMERangeqepsL7" localSheetId="11">#REF!</definedName>
    <definedName name="FAMERangeqepsL7">#REF!</definedName>
    <definedName name="FAMERangeqepsM7" localSheetId="6">#REF!</definedName>
    <definedName name="FAMERangeqepsM7" localSheetId="7">#REF!</definedName>
    <definedName name="FAMERangeqepsM7" localSheetId="11">#REF!</definedName>
    <definedName name="FAMERangeqepsM7">#REF!</definedName>
    <definedName name="FAMERangeqepsN7" localSheetId="6">#REF!</definedName>
    <definedName name="FAMERangeqepsN7" localSheetId="7">#REF!</definedName>
    <definedName name="FAMERangeqepsN7" localSheetId="11">#REF!</definedName>
    <definedName name="FAMERangeqepsN7">#REF!</definedName>
    <definedName name="FAMERangeqepsO7" localSheetId="6">#REF!</definedName>
    <definedName name="FAMERangeqepsO7" localSheetId="7">#REF!</definedName>
    <definedName name="FAMERangeqepsO7" localSheetId="11">#REF!</definedName>
    <definedName name="FAMERangeqepsO7">#REF!</definedName>
    <definedName name="FAMERangeqepsP7" localSheetId="6">#REF!</definedName>
    <definedName name="FAMERangeqepsP7" localSheetId="7">#REF!</definedName>
    <definedName name="FAMERangeqepsP7" localSheetId="11">#REF!</definedName>
    <definedName name="FAMERangeqepsP7">#REF!</definedName>
    <definedName name="FAMERangeqepsQ7" localSheetId="6">#REF!</definedName>
    <definedName name="FAMERangeqepsQ7" localSheetId="7">#REF!</definedName>
    <definedName name="FAMERangeqepsQ7" localSheetId="11">#REF!</definedName>
    <definedName name="FAMERangeqepsQ7">#REF!</definedName>
    <definedName name="FAMERangeqepsR7" localSheetId="6">#REF!</definedName>
    <definedName name="FAMERangeqepsR7" localSheetId="7">#REF!</definedName>
    <definedName name="FAMERangeqepsR7" localSheetId="11">#REF!</definedName>
    <definedName name="FAMERangeqepsR7">#REF!</definedName>
    <definedName name="FAMERangeqepsS7" localSheetId="6">#REF!</definedName>
    <definedName name="FAMERangeqepsS7" localSheetId="7">#REF!</definedName>
    <definedName name="FAMERangeqepsS7" localSheetId="11">#REF!</definedName>
    <definedName name="FAMERangeqepsS7">#REF!</definedName>
    <definedName name="FAMERangeqepsT7" localSheetId="6">#REF!</definedName>
    <definedName name="FAMERangeqepsT7" localSheetId="7">#REF!</definedName>
    <definedName name="FAMERangeqepsT7" localSheetId="11">#REF!</definedName>
    <definedName name="FAMERangeqepsT7">#REF!</definedName>
    <definedName name="FAMERangeqepsU7" localSheetId="6">#REF!</definedName>
    <definedName name="FAMERangeqepsU7" localSheetId="7">#REF!</definedName>
    <definedName name="FAMERangeqepsU7" localSheetId="11">#REF!</definedName>
    <definedName name="FAMERangeqepsU7">#REF!</definedName>
    <definedName name="FAMERangeqepsV7" localSheetId="6">#REF!</definedName>
    <definedName name="FAMERangeqepsV7" localSheetId="7">#REF!</definedName>
    <definedName name="FAMERangeqepsV7" localSheetId="11">#REF!</definedName>
    <definedName name="FAMERangeqepsV7">#REF!</definedName>
    <definedName name="FAMERangeqepsW7" localSheetId="6">#REF!</definedName>
    <definedName name="FAMERangeqepsW7" localSheetId="7">#REF!</definedName>
    <definedName name="FAMERangeqepsW7" localSheetId="11">#REF!</definedName>
    <definedName name="FAMERangeqepsW7">#REF!</definedName>
    <definedName name="FAMERangeqepsX7" localSheetId="6">#REF!</definedName>
    <definedName name="FAMERangeqepsX7" localSheetId="7">#REF!</definedName>
    <definedName name="FAMERangeqepsX7" localSheetId="11">#REF!</definedName>
    <definedName name="FAMERangeqepsX7">#REF!</definedName>
    <definedName name="FAMERangeqepsY7" localSheetId="6">#REF!</definedName>
    <definedName name="FAMERangeqepsY7" localSheetId="7">#REF!</definedName>
    <definedName name="FAMERangeqepsY7" localSheetId="11">#REF!</definedName>
    <definedName name="FAMERangeqepsY7">#REF!</definedName>
    <definedName name="FAMERangeqepsZ7" localSheetId="6">#REF!</definedName>
    <definedName name="FAMERangeqepsZ7" localSheetId="7">#REF!</definedName>
    <definedName name="FAMERangeqepsZ7" localSheetId="11">#REF!</definedName>
    <definedName name="FAMERangeqepsZ7">#REF!</definedName>
    <definedName name="FAMERangerangeA3">[90]range!$A$3:$A$190</definedName>
    <definedName name="FAMERangerangeB3">[90]range!$B$3:$B$190</definedName>
    <definedName name="FAMERangerangeC3">[90]range!$C$3:$C$190</definedName>
    <definedName name="FAMERangerangeD3">[90]range!$D$3:$D$190</definedName>
    <definedName name="FAMERangeSheet1B1" localSheetId="7">#REF!</definedName>
    <definedName name="FAMERangeSheet1B1" localSheetId="11">#REF!</definedName>
    <definedName name="FAMERangeSheet1B1">#REF!</definedName>
    <definedName name="FAMERangeSheet1D2" localSheetId="7">#REF!</definedName>
    <definedName name="FAMERangeSheet1D2" localSheetId="11">#REF!</definedName>
    <definedName name="FAMERangeSheet1D2">#REF!</definedName>
    <definedName name="FAMERangeSheet1F1" localSheetId="7">#REF!</definedName>
    <definedName name="FAMERangeSheet1F1" localSheetId="11">#REF!</definedName>
    <definedName name="FAMERangeSheet1F1">#REF!</definedName>
    <definedName name="FAMERangeSheet1G1" localSheetId="7">#REF!</definedName>
    <definedName name="FAMERangeSheet1G1" localSheetId="11">#REF!</definedName>
    <definedName name="FAMERangeSheet1G1">#REF!</definedName>
    <definedName name="FAMERangeSheet1J1" localSheetId="7">#REF!</definedName>
    <definedName name="FAMERangeSheet1J1" localSheetId="11">#REF!</definedName>
    <definedName name="FAMERangeSheet1J1">#REF!</definedName>
    <definedName name="FAMERangeSheet1K2" localSheetId="7">#REF!</definedName>
    <definedName name="FAMERangeSheet1K2" localSheetId="11">#REF!</definedName>
    <definedName name="FAMERangeSheet1K2">#REF!</definedName>
    <definedName name="FAMERangeSheet3B2" localSheetId="6">#REF!</definedName>
    <definedName name="FAMERangeSheet3B2" localSheetId="7">#REF!</definedName>
    <definedName name="FAMERangeSheet3B2" localSheetId="11">#REF!</definedName>
    <definedName name="FAMERangeSheet3B2">#REF!</definedName>
    <definedName name="FAMERangeSheet3B3" localSheetId="6">#REF!</definedName>
    <definedName name="FAMERangeSheet3B3" localSheetId="7">#REF!</definedName>
    <definedName name="FAMERangeSheet3B3" localSheetId="11">#REF!</definedName>
    <definedName name="FAMERangeSheet3B3">#REF!</definedName>
    <definedName name="FAMERangeSheet3C2" localSheetId="6">#REF!</definedName>
    <definedName name="FAMERangeSheet3C2" localSheetId="7">#REF!</definedName>
    <definedName name="FAMERangeSheet3C2" localSheetId="11">#REF!</definedName>
    <definedName name="FAMERangeSheet3C2">#REF!</definedName>
    <definedName name="FAMERangeVolumeB6" localSheetId="6">#REF!</definedName>
    <definedName name="FAMERangeVolumeB6" localSheetId="7">#REF!</definedName>
    <definedName name="FAMERangeVolumeB6" localSheetId="11">#REF!</definedName>
    <definedName name="FAMERangeVolumeB6">#REF!</definedName>
    <definedName name="fcf" localSheetId="7">#REF!</definedName>
    <definedName name="fcf" localSheetId="11">#REF!</definedName>
    <definedName name="fcf">#REF!</definedName>
    <definedName name="fcf.00">'[60]Dial cash  flow'!$G$58</definedName>
    <definedName name="fcf.96">'[60]Dial cash  flow'!$C$58</definedName>
    <definedName name="fcf.97">'[60]Dial cash  flow'!$D$58</definedName>
    <definedName name="fcf.98">'[60]Dial cash  flow'!$E$58</definedName>
    <definedName name="fcf.99">'[60]Dial cash  flow'!$F$58</definedName>
    <definedName name="FCF_VALUATION" localSheetId="7">#REF!</definedName>
    <definedName name="FCF_VALUATION" localSheetId="11">#REF!</definedName>
    <definedName name="FCF_VALUATION">#REF!</definedName>
    <definedName name="fdas" localSheetId="6" hidden="1">{"IS",#N/A,FALSE,"IS";"RPTIS",#N/A,FALSE,"RPTIS";"STATS",#N/A,FALSE,"STATS";"CELL",#N/A,FALSE,"CELL";"BS",#N/A,FALSE,"BS"}</definedName>
    <definedName name="fdas" localSheetId="7" hidden="1">{"IS",#N/A,FALSE,"IS";"RPTIS",#N/A,FALSE,"RPTIS";"STATS",#N/A,FALSE,"STATS";"CELL",#N/A,FALSE,"CELL";"BS",#N/A,FALSE,"BS"}</definedName>
    <definedName name="fdas" localSheetId="4" hidden="1">{"IS",#N/A,FALSE,"IS";"RPTIS",#N/A,FALSE,"RPTIS";"STATS",#N/A,FALSE,"STATS";"CELL",#N/A,FALSE,"CELL";"BS",#N/A,FALSE,"BS"}</definedName>
    <definedName name="fdas" localSheetId="3" hidden="1">{"IS",#N/A,FALSE,"IS";"RPTIS",#N/A,FALSE,"RPTIS";"STATS",#N/A,FALSE,"STATS";"CELL",#N/A,FALSE,"CELL";"BS",#N/A,FALSE,"BS"}</definedName>
    <definedName name="fdas" localSheetId="11" hidden="1">{"IS",#N/A,FALSE,"IS";"RPTIS",#N/A,FALSE,"RPTIS";"STATS",#N/A,FALSE,"STATS";"CELL",#N/A,FALSE,"CELL";"BS",#N/A,FALSE,"BS"}</definedName>
    <definedName name="fdas" hidden="1">{"IS",#N/A,FALSE,"IS";"RPTIS",#N/A,FALSE,"RPTIS";"STATS",#N/A,FALSE,"STATS";"CELL",#N/A,FALSE,"CELL";"BS",#N/A,FALSE,"BS"}</definedName>
    <definedName name="fdeps94" localSheetId="11">#REF!</definedName>
    <definedName name="fdeps94">#REF!</definedName>
    <definedName name="fdeps95" localSheetId="7">#REF!</definedName>
    <definedName name="fdeps95" localSheetId="11">#REF!</definedName>
    <definedName name="fdeps95">#REF!</definedName>
    <definedName name="fdeps96" localSheetId="7">#REF!</definedName>
    <definedName name="fdeps96" localSheetId="11">#REF!</definedName>
    <definedName name="fdeps96">#REF!</definedName>
    <definedName name="fdeps97" localSheetId="7">#REF!</definedName>
    <definedName name="fdeps97" localSheetId="11">#REF!</definedName>
    <definedName name="fdeps97">#REF!</definedName>
    <definedName name="fdesp93" localSheetId="7">#REF!</definedName>
    <definedName name="fdesp93" localSheetId="11">#REF!</definedName>
    <definedName name="fdesp93">#REF!</definedName>
    <definedName name="feb" localSheetId="6" hidden="1">{#N/A,#N/A,FALSE,"FAB VENDORS";"BUD SUM",#N/A,FALSE,"BUD SUM WO TEX"}</definedName>
    <definedName name="feb" localSheetId="7" hidden="1">{#N/A,#N/A,FALSE,"FAB VENDORS";"BUD SUM",#N/A,FALSE,"BUD SUM WO TEX"}</definedName>
    <definedName name="feb" localSheetId="4" hidden="1">{#N/A,#N/A,FALSE,"FAB VENDORS";"BUD SUM",#N/A,FALSE,"BUD SUM WO TEX"}</definedName>
    <definedName name="feb" localSheetId="3" hidden="1">{#N/A,#N/A,FALSE,"FAB VENDORS";"BUD SUM",#N/A,FALSE,"BUD SUM WO TEX"}</definedName>
    <definedName name="feb" localSheetId="11" hidden="1">{#N/A,#N/A,FALSE,"FAB VENDORS";"BUD SUM",#N/A,FALSE,"BUD SUM WO TEX"}</definedName>
    <definedName name="feb" hidden="1">{#N/A,#N/A,FALSE,"FAB VENDORS";"BUD SUM",#N/A,FALSE,"BUD SUM WO TEX"}</definedName>
    <definedName name="fede">'[93]Annual Model'!$U$7</definedName>
    <definedName name="feeincome" localSheetId="7">#REF!</definedName>
    <definedName name="feeincome" localSheetId="11">#REF!</definedName>
    <definedName name="feeincome">#REF!</definedName>
    <definedName name="ff" localSheetId="7">#REF!</definedName>
    <definedName name="ff" localSheetId="11">#REF!</definedName>
    <definedName name="ff">#REF!</definedName>
    <definedName name="ffpersecin" localSheetId="7">#REF!</definedName>
    <definedName name="ffpersecin" localSheetId="11">#REF!</definedName>
    <definedName name="ffpersecin">#REF!</definedName>
    <definedName name="FFrUS">[41]Datastream!$B$18</definedName>
    <definedName name="fgmixp1" localSheetId="7">#REF!</definedName>
    <definedName name="fgmixp1" localSheetId="11">#REF!</definedName>
    <definedName name="fgmixp1">#REF!</definedName>
    <definedName name="fgmixp2" localSheetId="7">#REF!</definedName>
    <definedName name="fgmixp2" localSheetId="11">#REF!</definedName>
    <definedName name="fgmixp2">#REF!</definedName>
    <definedName name="fgmixp3" localSheetId="7">#REF!</definedName>
    <definedName name="fgmixp3" localSheetId="11">#REF!</definedName>
    <definedName name="fgmixp3">#REF!</definedName>
    <definedName name="Fideuram_valuat">[42]SOTP!$DP$70:$DX$78</definedName>
    <definedName name="fifo1q88">[24]LOWQORF!$G$19</definedName>
    <definedName name="fifo1q89">[24]LOWQORF!$M$19</definedName>
    <definedName name="fifo1q90">[24]LOWQORF!$S$19</definedName>
    <definedName name="fifo1q91">[24]LOWQORF!$Y$19</definedName>
    <definedName name="fifo1q92">[24]LOWQORF!$AE$19</definedName>
    <definedName name="fifo2q88">[24]LOWQORF!$G$20</definedName>
    <definedName name="fifo2q89">[24]LOWQORF!$M$20</definedName>
    <definedName name="fifo2q90">[24]LOWQORF!$S$20</definedName>
    <definedName name="fifo2q91">[24]LOWQORF!$Y$20</definedName>
    <definedName name="fifo3q88">[24]LOWQORF!$G$21</definedName>
    <definedName name="fifo3q89">[24]LOWQORF!$M$21</definedName>
    <definedName name="fifo3q90">[24]LOWQORF!$S$21</definedName>
    <definedName name="fifo3q91">[24]LOWQORF!$Y$21</definedName>
    <definedName name="fifo4q88">[24]LOWQORF!$G$22</definedName>
    <definedName name="fifo4q89">[24]LOWQORF!$M$22</definedName>
    <definedName name="fifo4q90">[24]LOWQORF!$S$22</definedName>
    <definedName name="fifocogs2q92">[24]LOWQORF!$AE$20</definedName>
    <definedName name="fifocogs3q92">[24]LOWQORF!$AE$21</definedName>
    <definedName name="Filapr">[41]Datastream!$B$11</definedName>
    <definedName name="FILL" localSheetId="11">[4]roysuna!#REF!</definedName>
    <definedName name="FILL">[4]roysuna!#REF!</definedName>
    <definedName name="Fin_analysis_and_valuation_model" localSheetId="7">#REF!</definedName>
    <definedName name="Fin_analysis_and_valuation_model" localSheetId="11">#REF!</definedName>
    <definedName name="Fin_analysis_and_valuation_model">#REF!</definedName>
    <definedName name="FIN_BS">[71]Fineco!$A$43:$AD$63</definedName>
    <definedName name="FIN_PL">[71]Fineco!$A$2:$AD$39</definedName>
    <definedName name="FINCopyDirection">1</definedName>
    <definedName name="FINCriteriaRange" localSheetId="7">#REF!</definedName>
    <definedName name="FINCriteriaRange" localSheetId="11">#REF!</definedName>
    <definedName name="FINCriteriaRange">#REF!</definedName>
    <definedName name="FINCriteriaType">1</definedName>
    <definedName name="FINExtractRange" localSheetId="7">#REF!</definedName>
    <definedName name="FINExtractRange" localSheetId="11">#REF!</definedName>
    <definedName name="FINExtractRange">#REF!</definedName>
    <definedName name="FinHlns98" localSheetId="7">#REF!</definedName>
    <definedName name="FinHlns98" localSheetId="11">#REF!</definedName>
    <definedName name="FinHlns98">#REF!</definedName>
    <definedName name="FinHlns99" localSheetId="7">#REF!</definedName>
    <definedName name="FinHlns99" localSheetId="11">#REF!</definedName>
    <definedName name="FinHlns99">#REF!</definedName>
    <definedName name="FinHlnsh198" localSheetId="7">#REF!</definedName>
    <definedName name="FinHlnsh198" localSheetId="11">#REF!</definedName>
    <definedName name="FinHlnsh198">#REF!</definedName>
    <definedName name="FinHlnsh199" localSheetId="7">#REF!</definedName>
    <definedName name="FinHlnsh199" localSheetId="11">#REF!</definedName>
    <definedName name="FinHlnsh199">#REF!</definedName>
    <definedName name="FINOptions" localSheetId="7">"0,0,1,1,1,0,0,-1,0,0,2,0,"</definedName>
    <definedName name="FINOptions">"0,0,1,1,1,0,1,-1,0,0,2,0,"</definedName>
    <definedName name="FINReplicationRange" localSheetId="7">#REF!</definedName>
    <definedName name="FINReplicationRange" localSheetId="11">#REF!</definedName>
    <definedName name="FINReplicationRange">#REF!</definedName>
    <definedName name="first">[94]NKEBS!$W$4:$AO$57</definedName>
    <definedName name="Fixed_asset_turns">'[34]Invested capital_VDF'!$C$99:$AU$99</definedName>
    <definedName name="Fixed_asset_turns_fore" localSheetId="7">#REF!</definedName>
    <definedName name="Fixed_asset_turns_fore" localSheetId="11">#REF!</definedName>
    <definedName name="Fixed_asset_turns_fore">#REF!</definedName>
    <definedName name="Fixed_line" localSheetId="7">#REF!</definedName>
    <definedName name="Fixed_line" localSheetId="11">#REF!</definedName>
    <definedName name="Fixed_line">#REF!</definedName>
    <definedName name="Flavopiridol00" localSheetId="7">#REF!</definedName>
    <definedName name="Flavopiridol00" localSheetId="11">#REF!</definedName>
    <definedName name="Flavopiridol00">#REF!</definedName>
    <definedName name="Flavopiridol01" localSheetId="7">#REF!</definedName>
    <definedName name="Flavopiridol01" localSheetId="11">#REF!</definedName>
    <definedName name="Flavopiridol01">#REF!</definedName>
    <definedName name="Flavopiridol02" localSheetId="7">#REF!</definedName>
    <definedName name="Flavopiridol02" localSheetId="11">#REF!</definedName>
    <definedName name="Flavopiridol02">#REF!</definedName>
    <definedName name="Flavopiridol03" localSheetId="7">#REF!</definedName>
    <definedName name="Flavopiridol03" localSheetId="11">#REF!</definedName>
    <definedName name="Flavopiridol03">#REF!</definedName>
    <definedName name="Flavopiridol04" localSheetId="7">#REF!</definedName>
    <definedName name="Flavopiridol04" localSheetId="11">#REF!</definedName>
    <definedName name="Flavopiridol04">#REF!</definedName>
    <definedName name="Flavopiridol05" localSheetId="7">#REF!</definedName>
    <definedName name="Flavopiridol05" localSheetId="11">#REF!</definedName>
    <definedName name="Flavopiridol05">#REF!</definedName>
    <definedName name="Flavopiridol97" localSheetId="7">#REF!</definedName>
    <definedName name="Flavopiridol97" localSheetId="11">#REF!</definedName>
    <definedName name="Flavopiridol97">#REF!</definedName>
    <definedName name="Flavopiridol98" localSheetId="7">#REF!</definedName>
    <definedName name="Flavopiridol98" localSheetId="11">#REF!</definedName>
    <definedName name="Flavopiridol98">#REF!</definedName>
    <definedName name="Flavopiridol99" localSheetId="7">#REF!</definedName>
    <definedName name="Flavopiridol99" localSheetId="11">#REF!</definedName>
    <definedName name="Flavopiridol99">#REF!</definedName>
    <definedName name="FluVaccineCons00" localSheetId="7">#REF!</definedName>
    <definedName name="FluVaccineCons00" localSheetId="11">#REF!</definedName>
    <definedName name="FluVaccineCons00">#REF!</definedName>
    <definedName name="FluVaccineCons01" localSheetId="7">#REF!</definedName>
    <definedName name="FluVaccineCons01" localSheetId="11">#REF!</definedName>
    <definedName name="FluVaccineCons01">#REF!</definedName>
    <definedName name="FluVaccineCons02" localSheetId="7">#REF!</definedName>
    <definedName name="FluVaccineCons02" localSheetId="11">#REF!</definedName>
    <definedName name="FluVaccineCons02">#REF!</definedName>
    <definedName name="FluVaccineCons03" localSheetId="7">#REF!</definedName>
    <definedName name="FluVaccineCons03" localSheetId="11">#REF!</definedName>
    <definedName name="FluVaccineCons03">#REF!</definedName>
    <definedName name="FluVaccineCons04" localSheetId="7">#REF!</definedName>
    <definedName name="FluVaccineCons04" localSheetId="11">#REF!</definedName>
    <definedName name="FluVaccineCons04">#REF!</definedName>
    <definedName name="FluVaccineCons05" localSheetId="7">#REF!</definedName>
    <definedName name="FluVaccineCons05" localSheetId="11">#REF!</definedName>
    <definedName name="FluVaccineCons05">#REF!</definedName>
    <definedName name="FluVaccineCons97" localSheetId="7">#REF!</definedName>
    <definedName name="FluVaccineCons97" localSheetId="11">#REF!</definedName>
    <definedName name="FluVaccineCons97">#REF!</definedName>
    <definedName name="FluVaccineCons98" localSheetId="7">#REF!</definedName>
    <definedName name="FluVaccineCons98" localSheetId="11">#REF!</definedName>
    <definedName name="FluVaccineCons98">#REF!</definedName>
    <definedName name="FluVaccineCons99" localSheetId="7">#REF!</definedName>
    <definedName name="FluVaccineCons99" localSheetId="11">#REF!</definedName>
    <definedName name="FluVaccineCons99">#REF!</definedName>
    <definedName name="FluVaccineNotCons00" localSheetId="7">#REF!</definedName>
    <definedName name="FluVaccineNotCons00" localSheetId="11">#REF!</definedName>
    <definedName name="FluVaccineNotCons00">#REF!</definedName>
    <definedName name="FluVaccineNotCons01" localSheetId="7">#REF!</definedName>
    <definedName name="FluVaccineNotCons01" localSheetId="11">#REF!</definedName>
    <definedName name="FluVaccineNotCons01">#REF!</definedName>
    <definedName name="FluVaccineNotCons02" localSheetId="7">#REF!</definedName>
    <definedName name="FluVaccineNotCons02" localSheetId="11">#REF!</definedName>
    <definedName name="FluVaccineNotCons02">#REF!</definedName>
    <definedName name="FluVaccineNotCons03" localSheetId="7">#REF!</definedName>
    <definedName name="FluVaccineNotCons03" localSheetId="11">#REF!</definedName>
    <definedName name="FluVaccineNotCons03">#REF!</definedName>
    <definedName name="FluVaccineNotCons04" localSheetId="7">#REF!</definedName>
    <definedName name="FluVaccineNotCons04" localSheetId="11">#REF!</definedName>
    <definedName name="FluVaccineNotCons04">#REF!</definedName>
    <definedName name="FluVaccineNotCons05" localSheetId="7">#REF!</definedName>
    <definedName name="FluVaccineNotCons05" localSheetId="11">#REF!</definedName>
    <definedName name="FluVaccineNotCons05">#REF!</definedName>
    <definedName name="FluVaccineNotCons97" localSheetId="7">#REF!</definedName>
    <definedName name="FluVaccineNotCons97" localSheetId="11">#REF!</definedName>
    <definedName name="FluVaccineNotCons97">#REF!</definedName>
    <definedName name="FluVaccineNotCons98" localSheetId="7">#REF!</definedName>
    <definedName name="FluVaccineNotCons98" localSheetId="11">#REF!</definedName>
    <definedName name="FluVaccineNotCons98">#REF!</definedName>
    <definedName name="FluVaccineNotCons99" localSheetId="7">#REF!</definedName>
    <definedName name="FluVaccineNotCons99" localSheetId="11">#REF!</definedName>
    <definedName name="FluVaccineNotCons99">#REF!</definedName>
    <definedName name="Forex_differences" localSheetId="7">#REF!</definedName>
    <definedName name="Forex_differences" localSheetId="11">#REF!</definedName>
    <definedName name="Forex_differences">#REF!</definedName>
    <definedName name="Formats">'[61]DDETABLE '!$AN$2:$AN$11</definedName>
    <definedName name="Fosinopril00" localSheetId="11">[17]Products!#REF!</definedName>
    <definedName name="Fosinopril00">[17]Products!#REF!</definedName>
    <definedName name="Fosinopril01" localSheetId="11">[17]Products!#REF!</definedName>
    <definedName name="Fosinopril01">[17]Products!#REF!</definedName>
    <definedName name="Fosinopril02" localSheetId="11">[17]Products!#REF!</definedName>
    <definedName name="Fosinopril02">[17]Products!#REF!</definedName>
    <definedName name="Fosinopril03" localSheetId="11">[17]Products!#REF!</definedName>
    <definedName name="Fosinopril03">[17]Products!#REF!</definedName>
    <definedName name="Fosinopril04" localSheetId="11">[17]Products!#REF!</definedName>
    <definedName name="Fosinopril04">[17]Products!#REF!</definedName>
    <definedName name="Fosinopril05" localSheetId="11">[17]Products!#REF!</definedName>
    <definedName name="Fosinopril05">[17]Products!#REF!</definedName>
    <definedName name="Fosinopril97" localSheetId="11">[17]Products!#REF!</definedName>
    <definedName name="Fosinopril97">[17]Products!#REF!</definedName>
    <definedName name="Fosinopril98" localSheetId="11">[17]Products!#REF!</definedName>
    <definedName name="Fosinopril98">[17]Products!#REF!</definedName>
    <definedName name="Fosinopril99" localSheetId="11">[17]Products!#REF!</definedName>
    <definedName name="Fosinopril99">[17]Products!#REF!</definedName>
    <definedName name="Fossilpr">[41]Datastream!$B$7</definedName>
    <definedName name="fr">[50]SysCAR!$F$7:$F$29</definedName>
    <definedName name="FRA" localSheetId="7" hidden="1">{#N/A,#N/A,FALSE,"Annual Model";#N/A,#N/A,FALSE,"Quarterly Model";#N/A,#N/A,FALSE,"Header";#N/A,#N/A,FALSE,"Notes"}</definedName>
    <definedName name="FRA" localSheetId="4" hidden="1">{#N/A,#N/A,FALSE,"Annual Model";#N/A,#N/A,FALSE,"Quarterly Model";#N/A,#N/A,FALSE,"Header";#N/A,#N/A,FALSE,"Notes"}</definedName>
    <definedName name="FRA" hidden="1">{#N/A,#N/A,FALSE,"Annual Model";#N/A,#N/A,FALSE,"Quarterly Model";#N/A,#N/A,FALSE,"Header";#N/A,#N/A,FALSE,"Notes"}</definedName>
    <definedName name="FRA_1" localSheetId="7" hidden="1">{#N/A,#N/A,FALSE,"Annual Model";#N/A,#N/A,FALSE,"Quarterly Model";#N/A,#N/A,FALSE,"Header";#N/A,#N/A,FALSE,"Notes"}</definedName>
    <definedName name="FRA_1" localSheetId="4" hidden="1">{#N/A,#N/A,FALSE,"Annual Model";#N/A,#N/A,FALSE,"Quarterly Model";#N/A,#N/A,FALSE,"Header";#N/A,#N/A,FALSE,"Notes"}</definedName>
    <definedName name="FRA_1" hidden="1">{#N/A,#N/A,FALSE,"Annual Model";#N/A,#N/A,FALSE,"Quarterly Model";#N/A,#N/A,FALSE,"Header";#N/A,#N/A,FALSE,"Notes"}</definedName>
    <definedName name="France" localSheetId="7">#REF!</definedName>
    <definedName name="France" localSheetId="11">#REF!</definedName>
    <definedName name="France">#REF!</definedName>
    <definedName name="France_w" localSheetId="7">#REF!</definedName>
    <definedName name="France_w" localSheetId="11">#REF!</definedName>
    <definedName name="France_w">#REF!</definedName>
    <definedName name="free">[63]GS_DCF!$Y$11:$AH$11</definedName>
    <definedName name="FREQS">'[61]DDETABLE '!$AP$2:$AP$6</definedName>
    <definedName name="FRMpf">[95]merge!$C$48:$Q$84</definedName>
    <definedName name="fsgd" localSheetId="7">#REF!</definedName>
    <definedName name="fsgd" localSheetId="11">#REF!</definedName>
    <definedName name="fsgd">#REF!</definedName>
    <definedName name="fteps93" localSheetId="7">#REF!</definedName>
    <definedName name="fteps93" localSheetId="11">#REF!</definedName>
    <definedName name="fteps93">#REF!</definedName>
    <definedName name="fteps94" localSheetId="7">#REF!</definedName>
    <definedName name="fteps94" localSheetId="11">#REF!</definedName>
    <definedName name="fteps94">#REF!</definedName>
    <definedName name="fteps95" localSheetId="7">#REF!</definedName>
    <definedName name="fteps95" localSheetId="11">#REF!</definedName>
    <definedName name="fteps95">#REF!</definedName>
    <definedName name="fteps96" localSheetId="7">#REF!</definedName>
    <definedName name="fteps96" localSheetId="11">#REF!</definedName>
    <definedName name="fteps96">#REF!</definedName>
    <definedName name="fteps97" localSheetId="7">#REF!</definedName>
    <definedName name="fteps97" localSheetId="11">#REF!</definedName>
    <definedName name="fteps97">#REF!</definedName>
    <definedName name="FTFF">'[50]Asset Risk III'!$E$7</definedName>
    <definedName name="ftoeps00" localSheetId="11">'[18]Annual Model'!#REF!</definedName>
    <definedName name="ftoeps00">'[18]Annual Model'!#REF!</definedName>
    <definedName name="ftoeps01" localSheetId="11">'[18]Annual Model'!#REF!</definedName>
    <definedName name="ftoeps01">'[18]Annual Model'!#REF!</definedName>
    <definedName name="ftoeps02" localSheetId="11">'[18]Annual Model'!#REF!</definedName>
    <definedName name="ftoeps02">'[18]Annual Model'!#REF!</definedName>
    <definedName name="ftoeps98" localSheetId="11">'[18]Annual Model'!#REF!</definedName>
    <definedName name="ftoeps98">'[18]Annual Model'!#REF!</definedName>
    <definedName name="ftoeps99" localSheetId="11">'[18]Annual Model'!#REF!</definedName>
    <definedName name="ftoeps99">'[18]Annual Model'!#REF!</definedName>
    <definedName name="ftopeps00" localSheetId="11">'[18]Annual Model'!#REF!</definedName>
    <definedName name="ftopeps00">'[18]Annual Model'!#REF!</definedName>
    <definedName name="ftopeps01" localSheetId="11">'[18]Annual Model'!#REF!</definedName>
    <definedName name="ftopeps01">'[18]Annual Model'!#REF!</definedName>
    <definedName name="ftopeps02" localSheetId="11">'[18]Annual Model'!#REF!</definedName>
    <definedName name="ftopeps02">'[18]Annual Model'!#REF!</definedName>
    <definedName name="ftopeps98" localSheetId="11">'[18]Annual Model'!#REF!</definedName>
    <definedName name="ftopeps98">'[18]Annual Model'!#REF!</definedName>
    <definedName name="ftopeps99" localSheetId="11">'[18]Annual Model'!#REF!</definedName>
    <definedName name="ftopeps99">'[18]Annual Model'!#REF!</definedName>
    <definedName name="ftoproe00" localSheetId="11">'[18]Annual Model'!#REF!</definedName>
    <definedName name="ftoproe00">'[18]Annual Model'!#REF!</definedName>
    <definedName name="ftoproe98" localSheetId="11">'[18]Annual Model'!#REF!</definedName>
    <definedName name="ftoproe98">'[18]Annual Model'!#REF!</definedName>
    <definedName name="ftoproe99" localSheetId="11">'[18]Annual Model'!#REF!</definedName>
    <definedName name="ftoproe99">'[18]Annual Model'!#REF!</definedName>
    <definedName name="FTSE">'[50]Asset Risk III'!$E$13</definedName>
    <definedName name="FUNDS_FLOW_ANALYSIS" localSheetId="11">[96]Reported_Historicals!#REF!</definedName>
    <definedName name="FUNDS_FLOW_ANALYSIS">[96]Reported_Historicals!#REF!</definedName>
    <definedName name="Funny_Latam" localSheetId="7">#REF!</definedName>
    <definedName name="Funny_Latam" localSheetId="11">#REF!</definedName>
    <definedName name="Funny_Latam">#REF!</definedName>
    <definedName name="FX_rate" localSheetId="11">[87]Interim!#REF!</definedName>
    <definedName name="FX_rate">[87]Interim!#REF!</definedName>
    <definedName name="FXJap">'[41]FX as of 30 April 98'!$Q$47</definedName>
    <definedName name="FXNProfit">'[41]FX as of 30 April 98'!$R$85</definedName>
    <definedName name="FXOpProfit" localSheetId="11">#REF!</definedName>
    <definedName name="FXOpProfit">#REF!</definedName>
    <definedName name="FXOProfit">'[41]FX as of 30 April 98'!$R$83</definedName>
    <definedName name="FxPerSh" localSheetId="7">#REF!</definedName>
    <definedName name="FxPerSh" localSheetId="11">#REF!</definedName>
    <definedName name="FxPerSh">#REF!</definedName>
    <definedName name="FxRateAvg" localSheetId="7">#REF!</definedName>
    <definedName name="FxRateAvg" localSheetId="11">#REF!</definedName>
    <definedName name="FxRateAvg">#REF!</definedName>
    <definedName name="FxRateSpot" localSheetId="7">#REF!</definedName>
    <definedName name="FxRateSpot" localSheetId="11">#REF!</definedName>
    <definedName name="FxRateSpot">#REF!</definedName>
    <definedName name="FXSales" localSheetId="11">#REF!</definedName>
    <definedName name="FXSales">#REF!</definedName>
    <definedName name="FXUS">'[41]FX as of 30 April 98'!$Q$36</definedName>
    <definedName name="fy...01">[97]EuroAirlines!$O$1:$O$65536</definedName>
    <definedName name="fy..01">[97]Exchange!$F$1:$F$65536</definedName>
    <definedName name="fy..02">[97]Airlines!$H$1:$H$65536</definedName>
    <definedName name="fy.01">[97]Airlines!$K$1:$K$65536</definedName>
    <definedName name="fy.2002">[97]Airlines!$H$1</definedName>
    <definedName name="fy.98">[97]Airlines!$H$1:$H$65536</definedName>
    <definedName name="FYend" localSheetId="11">[48]STM!#REF!</definedName>
    <definedName name="FYend">[48]STM!#REF!</definedName>
    <definedName name="g" localSheetId="7">#REF!</definedName>
    <definedName name="g" localSheetId="11">#REF!</definedName>
    <definedName name="g">#REF!</definedName>
    <definedName name="g\wr" localSheetId="7" hidden="1">{#N/A,#N/A,FALSE,"Annual Model";#N/A,#N/A,FALSE,"Quarterly Model";#N/A,#N/A,FALSE,"Header";#N/A,#N/A,FALSE,"Notes"}</definedName>
    <definedName name="g\wr" localSheetId="4" hidden="1">{#N/A,#N/A,FALSE,"Annual Model";#N/A,#N/A,FALSE,"Quarterly Model";#N/A,#N/A,FALSE,"Header";#N/A,#N/A,FALSE,"Notes"}</definedName>
    <definedName name="g\wr" hidden="1">{#N/A,#N/A,FALSE,"Annual Model";#N/A,#N/A,FALSE,"Quarterly Model";#N/A,#N/A,FALSE,"Header";#N/A,#N/A,FALSE,"Notes"}</definedName>
    <definedName name="g\wr_1" localSheetId="7" hidden="1">{#N/A,#N/A,FALSE,"Annual Model";#N/A,#N/A,FALSE,"Quarterly Model";#N/A,#N/A,FALSE,"Header";#N/A,#N/A,FALSE,"Notes"}</definedName>
    <definedName name="g\wr_1" localSheetId="4" hidden="1">{#N/A,#N/A,FALSE,"Annual Model";#N/A,#N/A,FALSE,"Quarterly Model";#N/A,#N/A,FALSE,"Header";#N/A,#N/A,FALSE,"Notes"}</definedName>
    <definedName name="g\wr_1" hidden="1">{#N/A,#N/A,FALSE,"Annual Model";#N/A,#N/A,FALSE,"Quarterly Model";#N/A,#N/A,FALSE,"Header";#N/A,#N/A,FALSE,"Notes"}</definedName>
    <definedName name="G_COE">'[98]NEW SUMMARY SHEET'!$C$236</definedName>
    <definedName name="gcf.00">'[60]Dial cash  flow'!$G$57</definedName>
    <definedName name="gcf.96">'[60]Dial cash  flow'!$C$57</definedName>
    <definedName name="gcf.97">'[60]Dial cash  flow'!$D$57</definedName>
    <definedName name="gcf.98">'[60]Dial cash  flow'!$E$57</definedName>
    <definedName name="gcf.99">'[60]Dial cash  flow'!$F$57</definedName>
    <definedName name="Gen">[36]RH_Mis!$C$363:$C$981</definedName>
    <definedName name="GenentechFrom1996" localSheetId="11">[44]ROCHE!#REF!</definedName>
    <definedName name="GenentechFrom1996">[44]ROCHE!#REF!</definedName>
    <definedName name="GenentechTo1995" localSheetId="11">[44]ROCHE!#REF!</definedName>
    <definedName name="GenentechTo1995">[44]ROCHE!#REF!</definedName>
    <definedName name="genI">[36]RH_Mis!$C$363:$C$595</definedName>
    <definedName name="genII">[36]RH_Mis!$C$596:$C$848</definedName>
    <definedName name="genIII">[36]RH_Mis!$C$849:$C$981</definedName>
    <definedName name="GEOG" localSheetId="11">'[2]teo model'!#REF!</definedName>
    <definedName name="GEOG">'[2]teo model'!#REF!</definedName>
    <definedName name="Geographic" localSheetId="11">[44]ROCHE!#REF!</definedName>
    <definedName name="Geographic">[44]ROCHE!#REF!</definedName>
    <definedName name="ger">[50]SysCAR!$C$7:$C$29</definedName>
    <definedName name="Germany" localSheetId="7">#REF!</definedName>
    <definedName name="Germany" localSheetId="11">#REF!</definedName>
    <definedName name="Germany">#REF!</definedName>
    <definedName name="Germany_Sales" localSheetId="7">#REF!</definedName>
    <definedName name="Germany_Sales" localSheetId="11">#REF!</definedName>
    <definedName name="Germany_Sales">#REF!</definedName>
    <definedName name="Germany_w" localSheetId="7">#REF!</definedName>
    <definedName name="Germany_w" localSheetId="11">#REF!</definedName>
    <definedName name="Germany_w">#REF!</definedName>
    <definedName name="GGenProv98">'[19]Annual Model'!$P$24</definedName>
    <definedName name="GGenProv99">'[19]Annual Model'!$R$24</definedName>
    <definedName name="Glucophage00" localSheetId="11">[17]Products!#REF!</definedName>
    <definedName name="Glucophage00">[17]Products!#REF!</definedName>
    <definedName name="Glucophage01" localSheetId="11">[17]Products!#REF!</definedName>
    <definedName name="Glucophage01">[17]Products!#REF!</definedName>
    <definedName name="Glucophage02" localSheetId="11">[17]Products!#REF!</definedName>
    <definedName name="Glucophage02">[17]Products!#REF!</definedName>
    <definedName name="Glucophage03" localSheetId="11">[17]Products!#REF!</definedName>
    <definedName name="Glucophage03">[17]Products!#REF!</definedName>
    <definedName name="Glucophage04" localSheetId="11">[17]Products!#REF!</definedName>
    <definedName name="Glucophage04">[17]Products!#REF!</definedName>
    <definedName name="Glucophage05" localSheetId="11">[17]Products!#REF!</definedName>
    <definedName name="Glucophage05">[17]Products!#REF!</definedName>
    <definedName name="Glucophage97" localSheetId="11">[17]Products!#REF!</definedName>
    <definedName name="Glucophage97">[17]Products!#REF!</definedName>
    <definedName name="Glucophage98" localSheetId="11">[17]Products!#REF!</definedName>
    <definedName name="Glucophage98">[17]Products!#REF!</definedName>
    <definedName name="Glucophage99" localSheetId="11">[17]Products!#REF!</definedName>
    <definedName name="Glucophage99">[17]Products!#REF!</definedName>
    <definedName name="Goodwill" localSheetId="7">#REF!</definedName>
    <definedName name="Goodwill" localSheetId="11">#REF!</definedName>
    <definedName name="Goodwill">#REF!</definedName>
    <definedName name="Goodwill_growth_fore" localSheetId="7">#REF!</definedName>
    <definedName name="Goodwill_growth_fore" localSheetId="11">#REF!</definedName>
    <definedName name="Goodwill_growth_fore">#REF!</definedName>
    <definedName name="goodwill93" localSheetId="7">#REF!</definedName>
    <definedName name="goodwill93" localSheetId="11">#REF!</definedName>
    <definedName name="goodwill93">#REF!</definedName>
    <definedName name="goodwill94" localSheetId="7">#REF!</definedName>
    <definedName name="goodwill94" localSheetId="11">#REF!</definedName>
    <definedName name="goodwill94">#REF!</definedName>
    <definedName name="goodwill95" localSheetId="7">#REF!</definedName>
    <definedName name="goodwill95" localSheetId="11">#REF!</definedName>
    <definedName name="goodwill95">#REF!</definedName>
    <definedName name="goodwill96" localSheetId="7">#REF!</definedName>
    <definedName name="goodwill96" localSheetId="11">#REF!</definedName>
    <definedName name="goodwill96">#REF!</definedName>
    <definedName name="goodwill97" localSheetId="7">#REF!</definedName>
    <definedName name="goodwill97" localSheetId="11">#REF!</definedName>
    <definedName name="goodwill97">#REF!</definedName>
    <definedName name="goodwill98" localSheetId="11">'[18]Annual Model'!#REF!</definedName>
    <definedName name="goodwill98">'[18]Annual Model'!#REF!</definedName>
    <definedName name="gop00">'[18]Annual Model'!$H$21</definedName>
    <definedName name="gop1h00">'[99]Interim Model'!$AT$21</definedName>
    <definedName name="gop1q00">'[18]Quarterly Model'!$G$21</definedName>
    <definedName name="gop2q00">'[18]Quarterly Model'!$I$21</definedName>
    <definedName name="gop3q00">'[18]Quarterly Model'!$K$21</definedName>
    <definedName name="gop4q00">'[18]Quarterly Model'!$M$21</definedName>
    <definedName name="goph194">'[99]Interim Model'!$E$21</definedName>
    <definedName name="goph195">'[19]Interim Model'!$F$20</definedName>
    <definedName name="goph196">'[19]Interim Model'!$M$20</definedName>
    <definedName name="goph294">'[19]Interim Model'!$H$20</definedName>
    <definedName name="goph295">'[19]Interim Model'!$I$20</definedName>
    <definedName name="goph296">'[19]Interim Model'!$Q$20</definedName>
    <definedName name="Granocyte00" localSheetId="7">#REF!</definedName>
    <definedName name="Granocyte00" localSheetId="11">#REF!</definedName>
    <definedName name="Granocyte00">#REF!</definedName>
    <definedName name="Granocyte01" localSheetId="7">#REF!</definedName>
    <definedName name="Granocyte01" localSheetId="11">#REF!</definedName>
    <definedName name="Granocyte01">#REF!</definedName>
    <definedName name="Granocyte02" localSheetId="7">#REF!</definedName>
    <definedName name="Granocyte02" localSheetId="11">#REF!</definedName>
    <definedName name="Granocyte02">#REF!</definedName>
    <definedName name="Granocyte03" localSheetId="7">#REF!</definedName>
    <definedName name="Granocyte03" localSheetId="11">#REF!</definedName>
    <definedName name="Granocyte03">#REF!</definedName>
    <definedName name="Granocyte04" localSheetId="7">#REF!</definedName>
    <definedName name="Granocyte04" localSheetId="11">#REF!</definedName>
    <definedName name="Granocyte04">#REF!</definedName>
    <definedName name="Granocyte05" localSheetId="7">#REF!</definedName>
    <definedName name="Granocyte05" localSheetId="11">#REF!</definedName>
    <definedName name="Granocyte05">#REF!</definedName>
    <definedName name="Granocyte97" localSheetId="7">#REF!</definedName>
    <definedName name="Granocyte97" localSheetId="11">#REF!</definedName>
    <definedName name="Granocyte97">#REF!</definedName>
    <definedName name="Granocyte98" localSheetId="7">#REF!</definedName>
    <definedName name="Granocyte98" localSheetId="11">#REF!</definedName>
    <definedName name="Granocyte98">#REF!</definedName>
    <definedName name="Granocyte99" localSheetId="7">#REF!</definedName>
    <definedName name="Granocyte99" localSheetId="11">#REF!</definedName>
    <definedName name="Granocyte99">#REF!</definedName>
    <definedName name="gross.00">'[60]Dial P&amp;L'!$B$22</definedName>
    <definedName name="gross.01">'[60]Dial P&amp;L'!$C$22</definedName>
    <definedName name="gross.02">'[60]Dial P&amp;L'!$D$22</definedName>
    <definedName name="gross.03">'[60]Dial P&amp;L'!$E$22</definedName>
    <definedName name="gross.04">'[60]Dial P&amp;L'!$F$22</definedName>
    <definedName name="Gross_inc_growth" localSheetId="11">[34]NOPAT_VDF!#REF!</definedName>
    <definedName name="Gross_inc_growth">[34]NOPAT_VDF!#REF!</definedName>
    <definedName name="Gross_income">[34]NOPAT_VDF!$C$10:$AE$10</definedName>
    <definedName name="Gross_income_fore" localSheetId="7">#REF!</definedName>
    <definedName name="Gross_income_fore" localSheetId="11">#REF!</definedName>
    <definedName name="Gross_income_fore">#REF!</definedName>
    <definedName name="Gross_income_growth_avg" localSheetId="7">#REF!</definedName>
    <definedName name="Gross_income_growth_avg" localSheetId="11">#REF!</definedName>
    <definedName name="Gross_income_growth_avg">#REF!</definedName>
    <definedName name="Gross_margin_fore" localSheetId="7">#REF!</definedName>
    <definedName name="Gross_margin_fore" localSheetId="11">#REF!</definedName>
    <definedName name="Gross_margin_fore">#REF!</definedName>
    <definedName name="Gross_Premium__Non_Life" localSheetId="11">[22]independent!#REF!</definedName>
    <definedName name="Gross_Premium__Non_Life">[22]independent!#REF!</definedName>
    <definedName name="grossprov93" localSheetId="7">#REF!</definedName>
    <definedName name="grossprov93" localSheetId="11">#REF!</definedName>
    <definedName name="grossprov93">#REF!</definedName>
    <definedName name="grossprov94" localSheetId="7">#REF!</definedName>
    <definedName name="grossprov94" localSheetId="11">#REF!</definedName>
    <definedName name="grossprov94">#REF!</definedName>
    <definedName name="grossprov95" localSheetId="7">#REF!</definedName>
    <definedName name="grossprov95" localSheetId="11">#REF!</definedName>
    <definedName name="grossprov95">#REF!</definedName>
    <definedName name="grossprov96" localSheetId="7">#REF!</definedName>
    <definedName name="grossprov96" localSheetId="11">#REF!</definedName>
    <definedName name="grossprov96">#REF!</definedName>
    <definedName name="grossprov97" localSheetId="7">#REF!</definedName>
    <definedName name="grossprov97" localSheetId="11">#REF!</definedName>
    <definedName name="grossprov97">#REF!</definedName>
    <definedName name="grossprov98" localSheetId="7">#REF!</definedName>
    <definedName name="grossprov98" localSheetId="11">#REF!</definedName>
    <definedName name="grossprov98">#REF!</definedName>
    <definedName name="Group_BS_AUM" localSheetId="11">[100]Consolidated!#REF!</definedName>
    <definedName name="Group_BS_AUM">[100]Consolidated!#REF!</definedName>
    <definedName name="GroupIS" localSheetId="7">#REF!</definedName>
    <definedName name="GroupIS" localSheetId="11">#REF!</definedName>
    <definedName name="GroupIS">#REF!</definedName>
    <definedName name="Growth" localSheetId="7">#REF!</definedName>
    <definedName name="Growth" localSheetId="11">#REF!</definedName>
    <definedName name="Growth">#REF!</definedName>
    <definedName name="Growth_97">[37]Depreciation!$AD$229</definedName>
    <definedName name="Growth_98">[37]Depreciation!$AE$229</definedName>
    <definedName name="Growth_99">[37]Depreciation!$AF$229</definedName>
    <definedName name="GS_ass">[69]Div_assump!$C$9:$M$50</definedName>
    <definedName name="GS_ass2">[69]Div_assump!$C$9:$M$60</definedName>
    <definedName name="gsdgs" localSheetId="7">#REF!</definedName>
    <definedName name="gsdgs" localSheetId="11">#REF!</definedName>
    <definedName name="gsdgs">#REF!</definedName>
    <definedName name="GSpecProv98">'[19]Annual Model'!$P$23</definedName>
    <definedName name="h" localSheetId="6" hidden="1">{#N/A,#N/A,FALSE,"Sheet1";#N/A,#N/A,FALSE,"Sheet2";#N/A,#N/A,FALSE,"Sheet3";#N/A,#N/A,FALSE,"Sheet4";#N/A,#N/A,FALSE,"Sheet5";#N/A,#N/A,FALSE,"Sheet6"}</definedName>
    <definedName name="h" localSheetId="7" hidden="1">{#N/A,#N/A,FALSE,"Sheet1";#N/A,#N/A,FALSE,"Sheet2";#N/A,#N/A,FALSE,"Sheet3";#N/A,#N/A,FALSE,"Sheet4";#N/A,#N/A,FALSE,"Sheet5";#N/A,#N/A,FALSE,"Sheet6"}</definedName>
    <definedName name="h" localSheetId="4" hidden="1">{#N/A,#N/A,FALSE,"Sheet1";#N/A,#N/A,FALSE,"Sheet2";#N/A,#N/A,FALSE,"Sheet3";#N/A,#N/A,FALSE,"Sheet4";#N/A,#N/A,FALSE,"Sheet5";#N/A,#N/A,FALSE,"Sheet6"}</definedName>
    <definedName name="h" localSheetId="3" hidden="1">{#N/A,#N/A,FALSE,"Sheet1";#N/A,#N/A,FALSE,"Sheet2";#N/A,#N/A,FALSE,"Sheet3";#N/A,#N/A,FALSE,"Sheet4";#N/A,#N/A,FALSE,"Sheet5";#N/A,#N/A,FALSE,"Sheet6"}</definedName>
    <definedName name="h" localSheetId="11" hidden="1">{#N/A,#N/A,FALSE,"Sheet1";#N/A,#N/A,FALSE,"Sheet2";#N/A,#N/A,FALSE,"Sheet3";#N/A,#N/A,FALSE,"Sheet4";#N/A,#N/A,FALSE,"Sheet5";#N/A,#N/A,FALSE,"Sheet6"}</definedName>
    <definedName name="h" hidden="1">{#N/A,#N/A,FALSE,"Sheet1";#N/A,#N/A,FALSE,"Sheet2";#N/A,#N/A,FALSE,"Sheet3";#N/A,#N/A,FALSE,"Sheet4";#N/A,#N/A,FALSE,"Sheet5";#N/A,#N/A,FALSE,"Sheet6"}</definedName>
    <definedName name="HALF_YEAR_PROFIT___LOSS" localSheetId="7">#REF!</definedName>
    <definedName name="HALF_YEAR_PROFIT___LOSS" localSheetId="11">#REF!</definedName>
    <definedName name="HALF_YEAR_PROFIT___LOSS">#REF!</definedName>
    <definedName name="Handset_revs">[66]Revenues!$A$63:$IV$63</definedName>
    <definedName name="HCy" localSheetId="7">#REF!</definedName>
    <definedName name="HCy" localSheetId="11">#REF!</definedName>
    <definedName name="HCy">#REF!</definedName>
    <definedName name="HEAD" localSheetId="7">#REF!</definedName>
    <definedName name="HEAD" localSheetId="11">#REF!</definedName>
    <definedName name="HEAD">#REF!</definedName>
    <definedName name="head1" localSheetId="7">#REF!</definedName>
    <definedName name="head1" localSheetId="11">#REF!</definedName>
    <definedName name="head1">#REF!</definedName>
    <definedName name="header" localSheetId="7">#REF!</definedName>
    <definedName name="HEADER" localSheetId="11">#REF!</definedName>
    <definedName name="HEADER">#REF!</definedName>
    <definedName name="Help" localSheetId="6" hidden="1">{#N/A,#N/A,FALSE,"Barranca"}</definedName>
    <definedName name="Help" localSheetId="7" hidden="1">{#N/A,#N/A,FALSE,"Barranca"}</definedName>
    <definedName name="Help" localSheetId="4" hidden="1">{#N/A,#N/A,FALSE,"Barranca"}</definedName>
    <definedName name="Help" localSheetId="3" hidden="1">{#N/A,#N/A,FALSE,"Barranca"}</definedName>
    <definedName name="Help" localSheetId="11" hidden="1">{#N/A,#N/A,FALSE,"Barranca"}</definedName>
    <definedName name="Help" hidden="1">{#N/A,#N/A,FALSE,"Barranca"}</definedName>
    <definedName name="help1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patitisBCons00" localSheetId="7">#REF!</definedName>
    <definedName name="HepatitisBCons00" localSheetId="11">#REF!</definedName>
    <definedName name="HepatitisBCons00">#REF!</definedName>
    <definedName name="HepatitisBCons01" localSheetId="7">#REF!</definedName>
    <definedName name="HepatitisBCons01" localSheetId="11">#REF!</definedName>
    <definedName name="HepatitisBCons01">#REF!</definedName>
    <definedName name="HepatitisBCons02" localSheetId="7">#REF!</definedName>
    <definedName name="HepatitisBCons02" localSheetId="11">#REF!</definedName>
    <definedName name="HepatitisBCons02">#REF!</definedName>
    <definedName name="HepatitisBCons03" localSheetId="7">#REF!</definedName>
    <definedName name="HepatitisBCons03" localSheetId="11">#REF!</definedName>
    <definedName name="HepatitisBCons03">#REF!</definedName>
    <definedName name="HepatitisBCons04" localSheetId="7">#REF!</definedName>
    <definedName name="HepatitisBCons04" localSheetId="11">#REF!</definedName>
    <definedName name="HepatitisBCons04">#REF!</definedName>
    <definedName name="HepatitisBCons05" localSheetId="7">#REF!</definedName>
    <definedName name="HepatitisBCons05" localSheetId="11">#REF!</definedName>
    <definedName name="HepatitisBCons05">#REF!</definedName>
    <definedName name="HepatitisBCons97" localSheetId="7">#REF!</definedName>
    <definedName name="HepatitisBCons97" localSheetId="11">#REF!</definedName>
    <definedName name="HepatitisBCons97">#REF!</definedName>
    <definedName name="HepatitisBCons98" localSheetId="7">#REF!</definedName>
    <definedName name="HepatitisBCons98" localSheetId="11">#REF!</definedName>
    <definedName name="HepatitisBCons98">#REF!</definedName>
    <definedName name="HepatitisBCons99" localSheetId="7">#REF!</definedName>
    <definedName name="HepatitisBCons99" localSheetId="11">#REF!</definedName>
    <definedName name="HepatitisBCons99">#REF!</definedName>
    <definedName name="HepatitisBNonCons00" localSheetId="7">#REF!</definedName>
    <definedName name="HepatitisBNonCons00" localSheetId="11">#REF!</definedName>
    <definedName name="HepatitisBNonCons00">#REF!</definedName>
    <definedName name="HepatitisBNonCons01" localSheetId="7">#REF!</definedName>
    <definedName name="HepatitisBNonCons01" localSheetId="11">#REF!</definedName>
    <definedName name="HepatitisBNonCons01">#REF!</definedName>
    <definedName name="HepatitisBNonCons02" localSheetId="7">#REF!</definedName>
    <definedName name="HepatitisBNonCons02" localSheetId="11">#REF!</definedName>
    <definedName name="HepatitisBNonCons02">#REF!</definedName>
    <definedName name="HepatitisBNonCons03" localSheetId="7">#REF!</definedName>
    <definedName name="HepatitisBNonCons03" localSheetId="11">#REF!</definedName>
    <definedName name="HepatitisBNonCons03">#REF!</definedName>
    <definedName name="HepatitisBNonCons04" localSheetId="7">#REF!</definedName>
    <definedName name="HepatitisBNonCons04" localSheetId="11">#REF!</definedName>
    <definedName name="HepatitisBNonCons04">#REF!</definedName>
    <definedName name="HepatitisBNonCons05" localSheetId="7">#REF!</definedName>
    <definedName name="HepatitisBNonCons05" localSheetId="11">#REF!</definedName>
    <definedName name="HepatitisBNonCons05">#REF!</definedName>
    <definedName name="HepatitisBNonCons97" localSheetId="7">#REF!</definedName>
    <definedName name="HepatitisBNonCons97" localSheetId="11">#REF!</definedName>
    <definedName name="HepatitisBNonCons97">#REF!</definedName>
    <definedName name="HepatitisBNonCons98" localSheetId="7">#REF!</definedName>
    <definedName name="HepatitisBNonCons98" localSheetId="11">#REF!</definedName>
    <definedName name="HepatitisBNonCons98">#REF!</definedName>
    <definedName name="HepatitisBNonCons99" localSheetId="7">#REF!</definedName>
    <definedName name="HepatitisBNonCons99" localSheetId="11">#REF!</definedName>
    <definedName name="HepatitisBNonCons99">#REF!</definedName>
    <definedName name="Hextol00" localSheetId="7">#REF!</definedName>
    <definedName name="Hextol00" localSheetId="11">#REF!</definedName>
    <definedName name="Hextol00">#REF!</definedName>
    <definedName name="Hextol01" localSheetId="7">#REF!</definedName>
    <definedName name="Hextol01" localSheetId="11">#REF!</definedName>
    <definedName name="Hextol01">#REF!</definedName>
    <definedName name="Hextol02" localSheetId="7">#REF!</definedName>
    <definedName name="Hextol02" localSheetId="11">#REF!</definedName>
    <definedName name="Hextol02">#REF!</definedName>
    <definedName name="Hextol03" localSheetId="7">#REF!</definedName>
    <definedName name="Hextol03" localSheetId="11">#REF!</definedName>
    <definedName name="Hextol03">#REF!</definedName>
    <definedName name="Hextol04" localSheetId="7">#REF!</definedName>
    <definedName name="Hextol04" localSheetId="11">#REF!</definedName>
    <definedName name="Hextol04">#REF!</definedName>
    <definedName name="Hextol05" localSheetId="7">#REF!</definedName>
    <definedName name="Hextol05" localSheetId="11">#REF!</definedName>
    <definedName name="Hextol05">#REF!</definedName>
    <definedName name="Hextol97" localSheetId="7">#REF!</definedName>
    <definedName name="Hextol97" localSheetId="11">#REF!</definedName>
    <definedName name="Hextol97">#REF!</definedName>
    <definedName name="Hextol98" localSheetId="7">#REF!</definedName>
    <definedName name="Hextol98" localSheetId="11">#REF!</definedName>
    <definedName name="Hextol98">#REF!</definedName>
    <definedName name="Hextol99" localSheetId="7">#REF!</definedName>
    <definedName name="Hextol99" localSheetId="11">#REF!</definedName>
    <definedName name="Hextol99">#REF!</definedName>
    <definedName name="hfxkf" localSheetId="11">[38]Input!#REF!</definedName>
    <definedName name="hfxkf">[38]Input!#REF!</definedName>
    <definedName name="hfxpbkf" localSheetId="7">#REF!</definedName>
    <definedName name="hfxpbkf" localSheetId="11">#REF!</definedName>
    <definedName name="hfxpbkf">#REF!</definedName>
    <definedName name="HGrowth" localSheetId="7">#REF!</definedName>
    <definedName name="HGrowth" localSheetId="11">#REF!</definedName>
    <definedName name="HGrowth">#REF!</definedName>
    <definedName name="Historical">'[67]Slide  S&amp;P Medians'!$C$46:$E$47,'[67]Slide  S&amp;P Medians'!$C$31:$E$38,'[67]Slide  S&amp;P Medians'!$C$25:$E$29,'[67]Slide  S&amp;P Medians'!$C$18:$E$20,'[67]Slide  S&amp;P Medians'!$C$16:$E$16,'[67]Slide  S&amp;P Medians'!$C$4:$E$6,'[67]Slide  S&amp;P Medians'!$C$8:$E$9,'[67]Slide  S&amp;P Medians'!$C$11:$E$12</definedName>
    <definedName name="HKUS">[41]Datastream!$B$17</definedName>
    <definedName name="HMR1098.00" localSheetId="7">#REF!</definedName>
    <definedName name="HMR1098.00" localSheetId="11">#REF!</definedName>
    <definedName name="HMR1098.00">#REF!</definedName>
    <definedName name="HMR1098.01" localSheetId="7">#REF!</definedName>
    <definedName name="HMR1098.01" localSheetId="11">#REF!</definedName>
    <definedName name="HMR1098.01">#REF!</definedName>
    <definedName name="HMR1098.02" localSheetId="7">#REF!</definedName>
    <definedName name="HMR1098.02" localSheetId="11">#REF!</definedName>
    <definedName name="HMR1098.02">#REF!</definedName>
    <definedName name="HMR1098.03" localSheetId="7">#REF!</definedName>
    <definedName name="HMR1098.03" localSheetId="11">#REF!</definedName>
    <definedName name="HMR1098.03">#REF!</definedName>
    <definedName name="HMR1098.04" localSheetId="7">#REF!</definedName>
    <definedName name="HMR1098.04" localSheetId="11">#REF!</definedName>
    <definedName name="HMR1098.04">#REF!</definedName>
    <definedName name="HMR1098.05" localSheetId="7">#REF!</definedName>
    <definedName name="HMR1098.05" localSheetId="11">#REF!</definedName>
    <definedName name="HMR1098.05">#REF!</definedName>
    <definedName name="HMR1098.97" localSheetId="7">#REF!</definedName>
    <definedName name="HMR1098.97" localSheetId="11">#REF!</definedName>
    <definedName name="HMR1098.97">#REF!</definedName>
    <definedName name="HMR1098.98" localSheetId="7">#REF!</definedName>
    <definedName name="HMR1098.98" localSheetId="11">#REF!</definedName>
    <definedName name="HMR1098.98">#REF!</definedName>
    <definedName name="HMR1098.99" localSheetId="7">#REF!</definedName>
    <definedName name="HMR1098.99" localSheetId="11">#REF!</definedName>
    <definedName name="HMR1098.99">#REF!</definedName>
    <definedName name="HMR4005.00" localSheetId="7">#REF!</definedName>
    <definedName name="HMR4005.00" localSheetId="11">#REF!</definedName>
    <definedName name="HMR4005.00">#REF!</definedName>
    <definedName name="HMR4005.01" localSheetId="7">#REF!</definedName>
    <definedName name="HMR4005.01" localSheetId="11">#REF!</definedName>
    <definedName name="HMR4005.01">#REF!</definedName>
    <definedName name="HMR4005.02" localSheetId="7">#REF!</definedName>
    <definedName name="HMR4005.02" localSheetId="11">#REF!</definedName>
    <definedName name="HMR4005.02">#REF!</definedName>
    <definedName name="HMR4005.03" localSheetId="7">#REF!</definedName>
    <definedName name="HMR4005.03" localSheetId="11">#REF!</definedName>
    <definedName name="HMR4005.03">#REF!</definedName>
    <definedName name="HMR4005.04" localSheetId="7">#REF!</definedName>
    <definedName name="HMR4005.04" localSheetId="11">#REF!</definedName>
    <definedName name="HMR4005.04">#REF!</definedName>
    <definedName name="HMR4005.05" localSheetId="7">#REF!</definedName>
    <definedName name="HMR4005.05" localSheetId="11">#REF!</definedName>
    <definedName name="HMR4005.05">#REF!</definedName>
    <definedName name="HMR4005.97" localSheetId="7">#REF!</definedName>
    <definedName name="HMR4005.97" localSheetId="11">#REF!</definedName>
    <definedName name="HMR4005.97">#REF!</definedName>
    <definedName name="HMR4005.98" localSheetId="7">#REF!</definedName>
    <definedName name="HMR4005.98" localSheetId="11">#REF!</definedName>
    <definedName name="HMR4005.98">#REF!</definedName>
    <definedName name="HMR4005.99" localSheetId="7">#REF!</definedName>
    <definedName name="HMR4005.99" localSheetId="11">#REF!</definedName>
    <definedName name="HMR4005.99">#REF!</definedName>
    <definedName name="HMRBulkProducts00" localSheetId="7">#REF!</definedName>
    <definedName name="HMRBulkProducts00" localSheetId="11">#REF!</definedName>
    <definedName name="HMRBulkProducts00">#REF!</definedName>
    <definedName name="HMRBulkProducts01" localSheetId="7">#REF!</definedName>
    <definedName name="HMRBulkProducts01" localSheetId="11">#REF!</definedName>
    <definedName name="HMRBulkProducts01">#REF!</definedName>
    <definedName name="HMRBulkProducts02" localSheetId="7">#REF!</definedName>
    <definedName name="HMRBulkProducts02" localSheetId="11">#REF!</definedName>
    <definedName name="HMRBulkProducts02">#REF!</definedName>
    <definedName name="HMRBulkProducts03" localSheetId="7">#REF!</definedName>
    <definedName name="HMRBulkProducts03" localSheetId="11">#REF!</definedName>
    <definedName name="HMRBulkProducts03">#REF!</definedName>
    <definedName name="HMRBulkProducts04" localSheetId="7">#REF!</definedName>
    <definedName name="HMRBulkProducts04" localSheetId="11">#REF!</definedName>
    <definedName name="HMRBulkProducts04">#REF!</definedName>
    <definedName name="HMRBulkProducts05" localSheetId="7">#REF!</definedName>
    <definedName name="HMRBulkProducts05" localSheetId="11">#REF!</definedName>
    <definedName name="HMRBulkProducts05">#REF!</definedName>
    <definedName name="HMRBulkProducts97" localSheetId="7">#REF!</definedName>
    <definedName name="HMRBulkProducts97" localSheetId="11">#REF!</definedName>
    <definedName name="HMRBulkProducts97">#REF!</definedName>
    <definedName name="HMRBulkProducts98" localSheetId="7">#REF!</definedName>
    <definedName name="HMRBulkProducts98" localSheetId="11">#REF!</definedName>
    <definedName name="HMRBulkProducts98">#REF!</definedName>
    <definedName name="HMRBulkProducts99" localSheetId="7">#REF!</definedName>
    <definedName name="HMRBulkProducts99" localSheetId="11">#REF!</definedName>
    <definedName name="HMRBulkProducts99">#REF!</definedName>
    <definedName name="HMRNonProductSales00" localSheetId="7">#REF!</definedName>
    <definedName name="HMRNonProductSales00" localSheetId="11">#REF!</definedName>
    <definedName name="HMRNonProductSales00">#REF!</definedName>
    <definedName name="HMRNonProductSales01" localSheetId="7">#REF!</definedName>
    <definedName name="HMRNonProductSales01" localSheetId="11">#REF!</definedName>
    <definedName name="HMRNonProductSales01">#REF!</definedName>
    <definedName name="HMRNonProductSales02" localSheetId="7">#REF!</definedName>
    <definedName name="HMRNonProductSales02" localSheetId="11">#REF!</definedName>
    <definedName name="HMRNonProductSales02">#REF!</definedName>
    <definedName name="HMRNonProductSales03" localSheetId="7">#REF!</definedName>
    <definedName name="HMRNonProductSales03" localSheetId="11">#REF!</definedName>
    <definedName name="HMRNonProductSales03">#REF!</definedName>
    <definedName name="HMRNonProductSales04" localSheetId="7">#REF!</definedName>
    <definedName name="HMRNonProductSales04" localSheetId="11">#REF!</definedName>
    <definedName name="HMRNonProductSales04">#REF!</definedName>
    <definedName name="HMRNonProductSales05" localSheetId="7">#REF!</definedName>
    <definedName name="HMRNonProductSales05" localSheetId="11">#REF!</definedName>
    <definedName name="HMRNonProductSales05">#REF!</definedName>
    <definedName name="HMRNonProductSales97" localSheetId="7">#REF!</definedName>
    <definedName name="HMRNonProductSales97" localSheetId="11">#REF!</definedName>
    <definedName name="HMRNonProductSales97">#REF!</definedName>
    <definedName name="HMRNonProductSales98" localSheetId="7">#REF!</definedName>
    <definedName name="HMRNonProductSales98" localSheetId="11">#REF!</definedName>
    <definedName name="HMRNonProductSales98">#REF!</definedName>
    <definedName name="HMRNonProductSales99" localSheetId="7">#REF!</definedName>
    <definedName name="HMRNonProductSales99" localSheetId="11">#REF!</definedName>
    <definedName name="HMRNonProductSales99">#REF!</definedName>
    <definedName name="HMROtherProducts00" localSheetId="7">#REF!</definedName>
    <definedName name="HMROtherProducts00" localSheetId="11">#REF!</definedName>
    <definedName name="HMROtherProducts00">#REF!</definedName>
    <definedName name="HMROtherProducts01" localSheetId="7">#REF!</definedName>
    <definedName name="HMROtherProducts01" localSheetId="11">#REF!</definedName>
    <definedName name="HMROtherProducts01">#REF!</definedName>
    <definedName name="HMROtherProducts02" localSheetId="7">#REF!</definedName>
    <definedName name="HMROtherProducts02" localSheetId="11">#REF!</definedName>
    <definedName name="HMROtherProducts02">#REF!</definedName>
    <definedName name="HMROtherProducts03" localSheetId="7">#REF!</definedName>
    <definedName name="HMROtherProducts03" localSheetId="11">#REF!</definedName>
    <definedName name="HMROtherProducts03">#REF!</definedName>
    <definedName name="HMROtherProducts04" localSheetId="7">#REF!</definedName>
    <definedName name="HMROtherProducts04" localSheetId="11">#REF!</definedName>
    <definedName name="HMROtherProducts04">#REF!</definedName>
    <definedName name="HMROtherProducts05" localSheetId="7">#REF!</definedName>
    <definedName name="HMROtherProducts05" localSheetId="11">#REF!</definedName>
    <definedName name="HMROtherProducts05">#REF!</definedName>
    <definedName name="HMROtherProducts97" localSheetId="7">#REF!</definedName>
    <definedName name="HMROtherProducts97" localSheetId="11">#REF!</definedName>
    <definedName name="HMROtherProducts97">#REF!</definedName>
    <definedName name="HMROtherProducts98" localSheetId="7">#REF!</definedName>
    <definedName name="HMROtherProducts98" localSheetId="11">#REF!</definedName>
    <definedName name="HMROtherProducts98">#REF!</definedName>
    <definedName name="HMROtherProducts99" localSheetId="7">#REF!</definedName>
    <definedName name="HMROtherProducts99" localSheetId="11">#REF!</definedName>
    <definedName name="HMROtherProducts99">#REF!</definedName>
    <definedName name="Hold" localSheetId="7">#REF!</definedName>
    <definedName name="Hold" localSheetId="11">#REF!</definedName>
    <definedName name="Hold">#REF!</definedName>
    <definedName name="HoldGrowth" localSheetId="7">#REF!</definedName>
    <definedName name="HoldGrowth" localSheetId="11">#REF!</definedName>
    <definedName name="HoldGrowth">#REF!</definedName>
    <definedName name="HongKong" localSheetId="7">#REF!</definedName>
    <definedName name="HongKong" localSheetId="11">#REF!</definedName>
    <definedName name="HongKong">#REF!</definedName>
    <definedName name="Hormone00" localSheetId="11">[17]Products!#REF!</definedName>
    <definedName name="Hormone00">[17]Products!#REF!</definedName>
    <definedName name="Hormone01" localSheetId="11">[17]Products!#REF!</definedName>
    <definedName name="Hormone01">[17]Products!#REF!</definedName>
    <definedName name="Hormone02" localSheetId="11">[17]Products!#REF!</definedName>
    <definedName name="Hormone02">[17]Products!#REF!</definedName>
    <definedName name="Hormone03" localSheetId="11">[17]Products!#REF!</definedName>
    <definedName name="Hormone03">[17]Products!#REF!</definedName>
    <definedName name="Hormone04" localSheetId="11">[17]Products!#REF!</definedName>
    <definedName name="Hormone04">[17]Products!#REF!</definedName>
    <definedName name="Hormone05" localSheetId="11">[17]Products!#REF!</definedName>
    <definedName name="Hormone05">[17]Products!#REF!</definedName>
    <definedName name="Hormone97" localSheetId="11">[17]Products!#REF!</definedName>
    <definedName name="Hormone97">[17]Products!#REF!</definedName>
    <definedName name="Hormone98" localSheetId="11">[17]Products!#REF!</definedName>
    <definedName name="Hormone98">[17]Products!#REF!</definedName>
    <definedName name="Hormone99" localSheetId="11">[17]Products!#REF!</definedName>
    <definedName name="Hormone99">[17]Products!#REF!</definedName>
    <definedName name="hsbckf" localSheetId="11">[38]Input!#REF!</definedName>
    <definedName name="hsbckf">[38]Input!#REF!</definedName>
    <definedName name="hsbcpbkf" localSheetId="7">#REF!</definedName>
    <definedName name="hsbcpbkf" localSheetId="11">#REF!</definedName>
    <definedName name="hsbcpbkf">#REF!</definedName>
    <definedName name="HSBCptargetb" localSheetId="11">[38]Input!#REF!</definedName>
    <definedName name="HSBCptargetb">[38]Input!#REF!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BES" localSheetId="7">#REF!</definedName>
    <definedName name="IBES" localSheetId="11">#REF!</definedName>
    <definedName name="IBES">#REF!</definedName>
    <definedName name="IC_1">'[34]Invested capital_VDF'!$P$1:$P$65536</definedName>
    <definedName name="IC_2">'[34]Invested capital_VDF'!$O$1:$O$65536</definedName>
    <definedName name="IC_P">'[34]Invested capital_VDF'!$Q$1:$Q$65536</definedName>
    <definedName name="IC_P1">'[34]Invested capital_VDF'!$R$1:$R$65536</definedName>
    <definedName name="IC_P2">'[34]Invested capital_VDF'!$S$1:$S$65536</definedName>
    <definedName name="IC_P3">'[34]Invested capital_VDF'!$T$1:$T$65536</definedName>
    <definedName name="Img_ML_1k4g9u7k" hidden="1">"IMG_18"</definedName>
    <definedName name="Img_ML_1y7a6c1t" hidden="1">"IMG_11"</definedName>
    <definedName name="Img_ML_2b2b8h8h" hidden="1">"IMG_12"</definedName>
    <definedName name="Img_ML_2b5e9i4d" hidden="1">"IMG_4"</definedName>
    <definedName name="Img_ML_2e1r5p2m" hidden="1">"IMG_18"</definedName>
    <definedName name="Img_ML_2i4d6c2r" hidden="1">"IMG_11"</definedName>
    <definedName name="Img_ML_2j4h5d5y" hidden="1">"IMG_11"</definedName>
    <definedName name="Img_ML_2j6i5k6b" hidden="1">"IMG_18"</definedName>
    <definedName name="Img_ML_2m9t4m5q" hidden="1">"IMG_10"</definedName>
    <definedName name="Img_ML_3b3j3x9k" hidden="1">"IMG_11"</definedName>
    <definedName name="Img_ML_3b5m6a3d" hidden="1">"IMG_18"</definedName>
    <definedName name="Img_ML_3c6e9c4g" hidden="1">"IMG_18"</definedName>
    <definedName name="Img_ML_3c7g1a7g" hidden="1">"IMG_12"</definedName>
    <definedName name="Img_ML_3e2q4k7i" hidden="1">"IMG_11"</definedName>
    <definedName name="Img_ML_3h2n3p4v" hidden="1">"IMG_10"</definedName>
    <definedName name="Img_ML_3p5d9q5j" hidden="1">"IMG_11"</definedName>
    <definedName name="Img_ML_3y1j4m2m" hidden="1">"IMG_18"</definedName>
    <definedName name="Img_ML_4d2b6f6f" hidden="1">"IMG_12"</definedName>
    <definedName name="Img_ML_4k8k7q4x" hidden="1">"IMG_6"</definedName>
    <definedName name="Img_ML_4m3p5r8j" hidden="1">"IMG_18"</definedName>
    <definedName name="Img_ML_4s4r5e3c" hidden="1">"IMG_18"</definedName>
    <definedName name="Img_ML_5d3i8b5s" hidden="1">"IMG_18"</definedName>
    <definedName name="Img_ML_5e6f9i8h" hidden="1">"IMG_4"</definedName>
    <definedName name="Img_ML_5e7g5e5e" hidden="1">"IMG_12"</definedName>
    <definedName name="Img_ML_5e7s6t2u" hidden="1">"IMG_6"</definedName>
    <definedName name="Img_ML_5e9m1k3s" hidden="1">"IMG_11"</definedName>
    <definedName name="Img_ML_5f9d1i5x" hidden="1">"IMG_18"</definedName>
    <definedName name="Img_ML_5f9x9u4u" hidden="1">"IMG_6"</definedName>
    <definedName name="Img_ML_5k1g6v5e" hidden="1">"IMG_11"</definedName>
    <definedName name="Img_ML_5k7e4n8n" hidden="1">"IMG_18"</definedName>
    <definedName name="Img_ML_5k8u7s9i" hidden="1">"IMG_18"</definedName>
    <definedName name="Img_ML_6a6y1x1h" hidden="1">"IMG_18"</definedName>
    <definedName name="Img_ML_6f2p1m9g" hidden="1">"IMG_11"</definedName>
    <definedName name="Img_ML_6p2b6u6k" hidden="1">"IMG_18"</definedName>
    <definedName name="Img_ML_6r9u1n9k" hidden="1">"IMG_18"</definedName>
    <definedName name="Img_ML_7g5e5e2b" hidden="1">"IMG_12"</definedName>
    <definedName name="Img_ML_7m5m4k3b" hidden="1">"IMG_18"</definedName>
    <definedName name="Img_ML_7n6h3t1t" hidden="1">"IMG_18"</definedName>
    <definedName name="Img_ML_7s4w7c6r" hidden="1">"IMG_18"</definedName>
    <definedName name="Img_ML_8b9j5t1p" hidden="1">"IMG_11"</definedName>
    <definedName name="Img_ML_8c2q5i2r" hidden="1">"IMG_18"</definedName>
    <definedName name="Img_ML_8g3e4a7v" hidden="1">"IMG_11"</definedName>
    <definedName name="Img_ML_8h3m3i1m" hidden="1">"IMG_18"</definedName>
    <definedName name="Img_ML_8h5e9i3c" hidden="1">"IMG_12"</definedName>
    <definedName name="Img_ML_8h7g3c9i" hidden="1">"IMG_12"</definedName>
    <definedName name="Img_ML_8h7g4d4d" hidden="1">"IMG_12"</definedName>
    <definedName name="Img_ML_8i9u7w8k" hidden="1">"IMG_18"</definedName>
    <definedName name="Img_ML_8j3w6p4c" hidden="1">"IMG_18"</definedName>
    <definedName name="Img_ML_8r1k8t4y" hidden="1">"IMG_18"</definedName>
    <definedName name="Img_ML_8r9f4n4f" hidden="1">"IMG_18"</definedName>
    <definedName name="Img_ML_8s3q3c1i" hidden="1">"IMG_6"</definedName>
    <definedName name="Img_ML_8t3m5u6f" hidden="1">"IMG_18"</definedName>
    <definedName name="Img_ML_9h6h8h8e" hidden="1">"IMG_18"</definedName>
    <definedName name="Img_ML_9j3t2m3v" hidden="1">"IMG_11"</definedName>
    <definedName name="Img_ML_9n1s4m5f" hidden="1">"IMG_18"</definedName>
    <definedName name="Img_ML_9u2c1d4e" hidden="1">"IMG_11"</definedName>
    <definedName name="Img_ML_9v6s2g1u" hidden="1">"IMG_11"</definedName>
    <definedName name="IMI" localSheetId="7">#REF!</definedName>
    <definedName name="IMI" localSheetId="11">#REF!</definedName>
    <definedName name="IMI">#REF!</definedName>
    <definedName name="Imovane00" localSheetId="7">#REF!</definedName>
    <definedName name="Imovane00" localSheetId="11">#REF!</definedName>
    <definedName name="Imovane00">#REF!</definedName>
    <definedName name="Imovane01" localSheetId="7">#REF!</definedName>
    <definedName name="Imovane01" localSheetId="11">#REF!</definedName>
    <definedName name="Imovane01">#REF!</definedName>
    <definedName name="Imovane02" localSheetId="7">#REF!</definedName>
    <definedName name="Imovane02" localSheetId="11">#REF!</definedName>
    <definedName name="Imovane02">#REF!</definedName>
    <definedName name="Imovane03" localSheetId="7">#REF!</definedName>
    <definedName name="Imovane03" localSheetId="11">#REF!</definedName>
    <definedName name="Imovane03">#REF!</definedName>
    <definedName name="Imovane04" localSheetId="7">#REF!</definedName>
    <definedName name="Imovane04" localSheetId="11">#REF!</definedName>
    <definedName name="Imovane04">#REF!</definedName>
    <definedName name="Imovane05" localSheetId="7">#REF!</definedName>
    <definedName name="Imovane05" localSheetId="11">#REF!</definedName>
    <definedName name="Imovane05">#REF!</definedName>
    <definedName name="Imovane97" localSheetId="7">#REF!</definedName>
    <definedName name="Imovane97" localSheetId="11">#REF!</definedName>
    <definedName name="Imovane97">#REF!</definedName>
    <definedName name="Imovane98" localSheetId="7">#REF!</definedName>
    <definedName name="Imovane98" localSheetId="11">#REF!</definedName>
    <definedName name="Imovane98">#REF!</definedName>
    <definedName name="Imovane99" localSheetId="7">#REF!</definedName>
    <definedName name="Imovane99" localSheetId="11">#REF!</definedName>
    <definedName name="Imovane99">#REF!</definedName>
    <definedName name="Inc_cap_RnD_fore" localSheetId="7">#REF!</definedName>
    <definedName name="Inc_cap_RnD_fore" localSheetId="11">#REF!</definedName>
    <definedName name="Inc_cap_RnD_fore">#REF!</definedName>
    <definedName name="inc_tax" localSheetId="7">#REF!</definedName>
    <definedName name="inc_tax" localSheetId="11">#REF!</definedName>
    <definedName name="inc_tax">#REF!</definedName>
    <definedName name="Income_before_taxes" localSheetId="11">[34]NOPAT_VDF!#REF!</definedName>
    <definedName name="Income_before_taxes">[34]NOPAT_VDF!#REF!</definedName>
    <definedName name="Income_equivalents">[34]NOPAT_VDF!$C$30:$AZ$30</definedName>
    <definedName name="Income_equivalents_fore" localSheetId="7">#REF!</definedName>
    <definedName name="Income_equivalents_fore" localSheetId="11">#REF!</definedName>
    <definedName name="Income_equivalents_fore">#REF!</definedName>
    <definedName name="Income_form_uncons_subs_fore" localSheetId="7">#REF!</definedName>
    <definedName name="Income_form_uncons_subs_fore" localSheetId="11">#REF!</definedName>
    <definedName name="Income_form_uncons_subs_fore">#REF!</definedName>
    <definedName name="Income_from_Unconsolidated_Subs">[34]NOPAT_VDF!$C$48:$AZ$48</definedName>
    <definedName name="Income_tax" localSheetId="7">[34]NOPAT_VDF!$C$34:$AE$34</definedName>
    <definedName name="Income_tax" localSheetId="11">#REF!</definedName>
    <definedName name="Income_tax">#REF!</definedName>
    <definedName name="Income_tax_fore" localSheetId="7">#REF!</definedName>
    <definedName name="Income_tax_fore" localSheetId="11">#REF!</definedName>
    <definedName name="Income_tax_fore">#REF!</definedName>
    <definedName name="Income_tax_growth_fore" localSheetId="7">#REF!</definedName>
    <definedName name="Income_tax_growth_fore" localSheetId="11">#REF!</definedName>
    <definedName name="Income_tax_growth_fore">#REF!</definedName>
    <definedName name="Income_taxes" localSheetId="7">#REF!</definedName>
    <definedName name="Income_taxes" localSheetId="11">#REF!</definedName>
    <definedName name="Income_taxes">#REF!</definedName>
    <definedName name="Income_taxes_payable_growth_fore" localSheetId="7">#REF!</definedName>
    <definedName name="Income_taxes_payable_growth_fore" localSheetId="11">#REF!</definedName>
    <definedName name="Income_taxes_payable_growth_fore">#REF!</definedName>
    <definedName name="Incr_customer_advance" localSheetId="7">#REF!</definedName>
    <definedName name="Incr_customer_advance" localSheetId="11">#REF!</definedName>
    <definedName name="Incr_customer_advance">#REF!</definedName>
    <definedName name="Incr_inventories" localSheetId="7">#REF!</definedName>
    <definedName name="Incr_inventories" localSheetId="11">#REF!</definedName>
    <definedName name="Incr_inventories">#REF!</definedName>
    <definedName name="Incr_payables_creditors" localSheetId="7">#REF!</definedName>
    <definedName name="Incr_payables_creditors" localSheetId="11">#REF!</definedName>
    <definedName name="Incr_payables_creditors">#REF!</definedName>
    <definedName name="Incr_receivables_debtors" localSheetId="7">#REF!</definedName>
    <definedName name="Incr_receivables_debtors" localSheetId="11">#REF!</definedName>
    <definedName name="Incr_receivables_debtors">#REF!</definedName>
    <definedName name="Increase_cap_RnD_fore" localSheetId="7">#REF!</definedName>
    <definedName name="Increase_cap_RnD_fore" localSheetId="11">#REF!</definedName>
    <definedName name="Increase_cap_RnD_fore">#REF!</definedName>
    <definedName name="Increase_Capitalized_R_D_net">[34]NOPAT_VDF!$C$22:$AZ$22</definedName>
    <definedName name="Increase_in_other_liabilities" localSheetId="11">[34]NOPAT_VDF!#REF!</definedName>
    <definedName name="Increase_in_other_liabilities">[34]NOPAT_VDF!#REF!</definedName>
    <definedName name="Increase_net_other_assets" localSheetId="7">#REF!</definedName>
    <definedName name="Increase_net_other_assets" localSheetId="11">#REF!</definedName>
    <definedName name="Increase_net_other_assets">#REF!</definedName>
    <definedName name="index">[101]Sheet1!$A$1:$B$15</definedName>
    <definedName name="indexI">[36]RH_Mis!$D$363:$D$595</definedName>
    <definedName name="indexII">[36]RH_Mis!$D$596:$D$848</definedName>
    <definedName name="indexIII">[36]RH_Mis!$D$849:$D$981</definedName>
    <definedName name="INDICI">[26]VITA!$B$8155:$W$8161</definedName>
    <definedName name="InhaledInsulin00" localSheetId="7">#REF!</definedName>
    <definedName name="InhaledInsulin00" localSheetId="11">#REF!</definedName>
    <definedName name="InhaledInsulin00">#REF!</definedName>
    <definedName name="InhaledInsulin01" localSheetId="7">#REF!</definedName>
    <definedName name="InhaledInsulin01" localSheetId="11">#REF!</definedName>
    <definedName name="InhaledInsulin01">#REF!</definedName>
    <definedName name="InhaledInsulin02" localSheetId="7">#REF!</definedName>
    <definedName name="InhaledInsulin02" localSheetId="11">#REF!</definedName>
    <definedName name="InhaledInsulin02">#REF!</definedName>
    <definedName name="InhaledInsulin03" localSheetId="7">#REF!</definedName>
    <definedName name="InhaledInsulin03" localSheetId="11">#REF!</definedName>
    <definedName name="InhaledInsulin03">#REF!</definedName>
    <definedName name="InhaledInsulin04" localSheetId="7">#REF!</definedName>
    <definedName name="InhaledInsulin04" localSheetId="11">#REF!</definedName>
    <definedName name="InhaledInsulin04">#REF!</definedName>
    <definedName name="InhaledInsulin05" localSheetId="7">#REF!</definedName>
    <definedName name="InhaledInsulin05" localSheetId="11">#REF!</definedName>
    <definedName name="InhaledInsulin05">#REF!</definedName>
    <definedName name="InhaledInsulin97" localSheetId="7">#REF!</definedName>
    <definedName name="InhaledInsulin97" localSheetId="11">#REF!</definedName>
    <definedName name="InhaledInsulin97">#REF!</definedName>
    <definedName name="InhaledInsulin98" localSheetId="7">#REF!</definedName>
    <definedName name="InhaledInsulin98" localSheetId="11">#REF!</definedName>
    <definedName name="InhaledInsulin98">#REF!</definedName>
    <definedName name="InhaledInsulin99" localSheetId="7">#REF!</definedName>
    <definedName name="InhaledInsulin99" localSheetId="11">#REF!</definedName>
    <definedName name="InhaledInsulin99">#REF!</definedName>
    <definedName name="INJPolioVaccineIPOLCons00" localSheetId="7">#REF!</definedName>
    <definedName name="INJPolioVaccineIPOLCons00" localSheetId="11">#REF!</definedName>
    <definedName name="INJPolioVaccineIPOLCons00">#REF!</definedName>
    <definedName name="INJPolioVaccineIPOLCons01" localSheetId="7">#REF!</definedName>
    <definedName name="INJPolioVaccineIPOLCons01" localSheetId="11">#REF!</definedName>
    <definedName name="INJPolioVaccineIPOLCons01">#REF!</definedName>
    <definedName name="INJPolioVaccineIPOLCons02" localSheetId="7">#REF!</definedName>
    <definedName name="INJPolioVaccineIPOLCons02" localSheetId="11">#REF!</definedName>
    <definedName name="INJPolioVaccineIPOLCons02">#REF!</definedName>
    <definedName name="INJPolioVaccineIPOLCons03" localSheetId="7">#REF!</definedName>
    <definedName name="INJPolioVaccineIPOLCons03" localSheetId="11">#REF!</definedName>
    <definedName name="INJPolioVaccineIPOLCons03">#REF!</definedName>
    <definedName name="INJPolioVaccineIPOLCons04" localSheetId="7">#REF!</definedName>
    <definedName name="INJPolioVaccineIPOLCons04" localSheetId="11">#REF!</definedName>
    <definedName name="INJPolioVaccineIPOLCons04">#REF!</definedName>
    <definedName name="INJPolioVaccineIPOLCons05" localSheetId="7">#REF!</definedName>
    <definedName name="INJPolioVaccineIPOLCons05" localSheetId="11">#REF!</definedName>
    <definedName name="INJPolioVaccineIPOLCons05">#REF!</definedName>
    <definedName name="INJPolioVaccineIPOLCons97" localSheetId="7">#REF!</definedName>
    <definedName name="INJPolioVaccineIPOLCons97" localSheetId="11">#REF!</definedName>
    <definedName name="INJPolioVaccineIPOLCons97">#REF!</definedName>
    <definedName name="INJPolioVaccineIPOLCons98" localSheetId="7">#REF!</definedName>
    <definedName name="INJPolioVaccineIPOLCons98" localSheetId="11">#REF!</definedName>
    <definedName name="INJPolioVaccineIPOLCons98">#REF!</definedName>
    <definedName name="INJPolioVaccineIPOLCons99" localSheetId="7">#REF!</definedName>
    <definedName name="INJPolioVaccineIPOLCons99" localSheetId="11">#REF!</definedName>
    <definedName name="INJPolioVaccineIPOLCons99">#REF!</definedName>
    <definedName name="INJPolioVaccineIPOLNotCons00" localSheetId="7">#REF!</definedName>
    <definedName name="INJPolioVaccineIPOLNotCons00" localSheetId="11">#REF!</definedName>
    <definedName name="INJPolioVaccineIPOLNotCons00">#REF!</definedName>
    <definedName name="INJPolioVaccineIPOLNotCons01" localSheetId="7">#REF!</definedName>
    <definedName name="INJPolioVaccineIPOLNotCons01" localSheetId="11">#REF!</definedName>
    <definedName name="INJPolioVaccineIPOLNotCons01">#REF!</definedName>
    <definedName name="INJPolioVaccineIPOLNotCons02" localSheetId="7">#REF!</definedName>
    <definedName name="INJPolioVaccineIPOLNotCons02" localSheetId="11">#REF!</definedName>
    <definedName name="INJPolioVaccineIPOLNotCons02">#REF!</definedName>
    <definedName name="INJPolioVaccineIPOLNotCons03" localSheetId="7">#REF!</definedName>
    <definedName name="INJPolioVaccineIPOLNotCons03" localSheetId="11">#REF!</definedName>
    <definedName name="INJPolioVaccineIPOLNotCons03">#REF!</definedName>
    <definedName name="INJPolioVaccineIPOLNotCons04" localSheetId="7">#REF!</definedName>
    <definedName name="INJPolioVaccineIPOLNotCons04" localSheetId="11">#REF!</definedName>
    <definedName name="INJPolioVaccineIPOLNotCons04">#REF!</definedName>
    <definedName name="INJPolioVaccineIPOLNotCons05" localSheetId="7">#REF!</definedName>
    <definedName name="INJPolioVaccineIPOLNotCons05" localSheetId="11">#REF!</definedName>
    <definedName name="INJPolioVaccineIPOLNotCons05">#REF!</definedName>
    <definedName name="INJPolioVaccineIPOLNotCons97" localSheetId="7">#REF!</definedName>
    <definedName name="INJPolioVaccineIPOLNotCons97" localSheetId="11">#REF!</definedName>
    <definedName name="INJPolioVaccineIPOLNotCons97">#REF!</definedName>
    <definedName name="INJPolioVaccineIPOLNotCons98" localSheetId="7">#REF!</definedName>
    <definedName name="INJPolioVaccineIPOLNotCons98" localSheetId="11">#REF!</definedName>
    <definedName name="INJPolioVaccineIPOLNotCons98">#REF!</definedName>
    <definedName name="INJPolioVaccineIPOLNotCons99" localSheetId="7">#REF!</definedName>
    <definedName name="INJPolioVaccineIPOLNotCons99" localSheetId="11">#REF!</definedName>
    <definedName name="INJPolioVaccineIPOLNotCons99">#REF!</definedName>
    <definedName name="INPUT" localSheetId="7">#REF!</definedName>
    <definedName name="INPUT" localSheetId="11">#REF!</definedName>
    <definedName name="INPUT">#REF!</definedName>
    <definedName name="input_method" localSheetId="11">[59]!input_method</definedName>
    <definedName name="input_method">[59]!input_method</definedName>
    <definedName name="INSTAL" localSheetId="7">#REF!</definedName>
    <definedName name="INSTAL" localSheetId="11">#REF!</definedName>
    <definedName name="INSTAL">#REF!</definedName>
    <definedName name="Insulin.recombinant.Insuman00" localSheetId="7">#REF!</definedName>
    <definedName name="Insulin.recombinant.Insuman00" localSheetId="11">#REF!</definedName>
    <definedName name="Insulin.recombinant.Insuman00">#REF!</definedName>
    <definedName name="Insulin.recombinant.Insuman01" localSheetId="7">#REF!</definedName>
    <definedName name="Insulin.recombinant.Insuman01" localSheetId="11">#REF!</definedName>
    <definedName name="Insulin.recombinant.Insuman01">#REF!</definedName>
    <definedName name="Insulin.recombinant.Insuman02" localSheetId="7">#REF!</definedName>
    <definedName name="Insulin.recombinant.Insuman02" localSheetId="11">#REF!</definedName>
    <definedName name="Insulin.recombinant.Insuman02">#REF!</definedName>
    <definedName name="Insulin.recombinant.Insuman03" localSheetId="7">#REF!</definedName>
    <definedName name="Insulin.recombinant.Insuman03" localSheetId="11">#REF!</definedName>
    <definedName name="Insulin.recombinant.Insuman03">#REF!</definedName>
    <definedName name="Insulin.recombinant.Insuman04" localSheetId="7">#REF!</definedName>
    <definedName name="Insulin.recombinant.Insuman04" localSheetId="11">#REF!</definedName>
    <definedName name="Insulin.recombinant.Insuman04">#REF!</definedName>
    <definedName name="Insulin.recombinant.Insuman05" localSheetId="7">#REF!</definedName>
    <definedName name="Insulin.recombinant.Insuman05" localSheetId="11">#REF!</definedName>
    <definedName name="Insulin.recombinant.Insuman05">#REF!</definedName>
    <definedName name="Insulin.recombinant.Insuman97" localSheetId="7">#REF!</definedName>
    <definedName name="Insulin.recombinant.Insuman97" localSheetId="11">#REF!</definedName>
    <definedName name="Insulin.recombinant.Insuman97">#REF!</definedName>
    <definedName name="Insulin.recombinant.Insuman98" localSheetId="7">#REF!</definedName>
    <definedName name="Insulin.recombinant.Insuman98" localSheetId="11">#REF!</definedName>
    <definedName name="Insulin.recombinant.Insuman98">#REF!</definedName>
    <definedName name="Insulin.recombinant.Insuman99" localSheetId="7">#REF!</definedName>
    <definedName name="Insulin.recombinant.Insuman99" localSheetId="11">#REF!</definedName>
    <definedName name="Insulin.recombinant.Insuman99">#REF!</definedName>
    <definedName name="InsulinSemiSynthetic00" localSheetId="7">#REF!</definedName>
    <definedName name="InsulinSemiSynthetic00" localSheetId="11">#REF!</definedName>
    <definedName name="InsulinSemiSynthetic00">#REF!</definedName>
    <definedName name="InsulinSemiSynthetic01" localSheetId="7">#REF!</definedName>
    <definedName name="InsulinSemiSynthetic01" localSheetId="11">#REF!</definedName>
    <definedName name="InsulinSemiSynthetic01">#REF!</definedName>
    <definedName name="InsulinSemiSynthetic02" localSheetId="7">#REF!</definedName>
    <definedName name="InsulinSemiSynthetic02" localSheetId="11">#REF!</definedName>
    <definedName name="InsulinSemiSynthetic02">#REF!</definedName>
    <definedName name="InsulinSemiSynthetic03" localSheetId="7">#REF!</definedName>
    <definedName name="InsulinSemiSynthetic03" localSheetId="11">#REF!</definedName>
    <definedName name="InsulinSemiSynthetic03">#REF!</definedName>
    <definedName name="InsulinSemiSynthetic04" localSheetId="7">#REF!</definedName>
    <definedName name="InsulinSemiSynthetic04" localSheetId="11">#REF!</definedName>
    <definedName name="InsulinSemiSynthetic04">#REF!</definedName>
    <definedName name="InsulinSemiSynthetic05" localSheetId="7">#REF!</definedName>
    <definedName name="InsulinSemiSynthetic05" localSheetId="11">#REF!</definedName>
    <definedName name="InsulinSemiSynthetic05">#REF!</definedName>
    <definedName name="InsulinSemiSynthetic97" localSheetId="7">#REF!</definedName>
    <definedName name="InsulinSemiSynthetic97" localSheetId="11">#REF!</definedName>
    <definedName name="InsulinSemiSynthetic97">#REF!</definedName>
    <definedName name="InsulinSemiSynthetic98" localSheetId="7">#REF!</definedName>
    <definedName name="InsulinSemiSynthetic98" localSheetId="11">#REF!</definedName>
    <definedName name="InsulinSemiSynthetic98">#REF!</definedName>
    <definedName name="InsulinSemiSynthetic99" localSheetId="7">#REF!</definedName>
    <definedName name="InsulinSemiSynthetic99" localSheetId="11">#REF!</definedName>
    <definedName name="InsulinSemiSynthetic99">#REF!</definedName>
    <definedName name="INT" localSheetId="7">'[2]teo model'!#REF!</definedName>
    <definedName name="INT" localSheetId="11">#REF!</definedName>
    <definedName name="INT">#REF!</definedName>
    <definedName name="Int_FinSum" localSheetId="7">#REF!</definedName>
    <definedName name="Int_FinSum" localSheetId="11">#REF!</definedName>
    <definedName name="Int_FinSum">#REF!</definedName>
    <definedName name="Intal.Aarane00" localSheetId="7">#REF!</definedName>
    <definedName name="Intal.Aarane00" localSheetId="11">#REF!</definedName>
    <definedName name="Intal.Aarane00">#REF!</definedName>
    <definedName name="Intal.Aarane01" localSheetId="7">#REF!</definedName>
    <definedName name="Intal.Aarane01" localSheetId="11">#REF!</definedName>
    <definedName name="Intal.Aarane01">#REF!</definedName>
    <definedName name="Intal.Aarane02" localSheetId="7">#REF!</definedName>
    <definedName name="Intal.Aarane02" localSheetId="11">#REF!</definedName>
    <definedName name="Intal.Aarane02">#REF!</definedName>
    <definedName name="Intal.Aarane03" localSheetId="7">#REF!</definedName>
    <definedName name="Intal.Aarane03" localSheetId="11">#REF!</definedName>
    <definedName name="Intal.Aarane03">#REF!</definedName>
    <definedName name="Intal.Aarane04" localSheetId="7">#REF!</definedName>
    <definedName name="Intal.Aarane04" localSheetId="11">#REF!</definedName>
    <definedName name="Intal.Aarane04">#REF!</definedName>
    <definedName name="Intal.Aarane05" localSheetId="7">#REF!</definedName>
    <definedName name="Intal.Aarane05" localSheetId="11">#REF!</definedName>
    <definedName name="Intal.Aarane05">#REF!</definedName>
    <definedName name="Intal.Aarane97" localSheetId="7">#REF!</definedName>
    <definedName name="Intal.Aarane97" localSheetId="11">#REF!</definedName>
    <definedName name="Intal.Aarane97">#REF!</definedName>
    <definedName name="Intal.Aarane98" localSheetId="7">#REF!</definedName>
    <definedName name="Intal.Aarane98" localSheetId="11">#REF!</definedName>
    <definedName name="Intal.Aarane98">#REF!</definedName>
    <definedName name="Intal.Aarane99" localSheetId="7">#REF!</definedName>
    <definedName name="Intal.Aarane99" localSheetId="11">#REF!</definedName>
    <definedName name="Intal.Aarane99">#REF!</definedName>
    <definedName name="Intangible_Assets" localSheetId="7">#REF!</definedName>
    <definedName name="Intangible_Assets" localSheetId="11">#REF!</definedName>
    <definedName name="Intangible_Assets">#REF!</definedName>
    <definedName name="interco" localSheetId="11">[79]Q_MODEL!#REF!</definedName>
    <definedName name="interco">[79]Q_MODEL!#REF!</definedName>
    <definedName name="Interest" localSheetId="7">#REF!</definedName>
    <definedName name="Interest" localSheetId="11">#REF!</definedName>
    <definedName name="Interest">#REF!</definedName>
    <definedName name="Interest_exp_growth_fore" localSheetId="7">#REF!</definedName>
    <definedName name="Interest_exp_growth_fore" localSheetId="11">#REF!</definedName>
    <definedName name="Interest_exp_growth_fore">#REF!</definedName>
    <definedName name="Interest_exp_inc_fore" localSheetId="7">#REF!</definedName>
    <definedName name="Interest_exp_inc_fore" localSheetId="11">#REF!</definedName>
    <definedName name="Interest_exp_inc_fore">#REF!</definedName>
    <definedName name="interest_expense" localSheetId="7">[66]PNL!$A$35:$IV$35</definedName>
    <definedName name="Interest_expense" localSheetId="11">#REF!</definedName>
    <definedName name="Interest_expense">#REF!</definedName>
    <definedName name="Interest_expense_income">[34]NOPAT_VDF!$C$63:$AE$63</definedName>
    <definedName name="interest_income" localSheetId="7">[66]PNL!$A$34:$IV$34</definedName>
    <definedName name="Interest_income" localSheetId="11">#REF!</definedName>
    <definedName name="Interest_income">#REF!</definedName>
    <definedName name="Interest_on_convertibles___options" localSheetId="7">#REF!</definedName>
    <definedName name="Interest_on_convertibles___options" localSheetId="11">#REF!</definedName>
    <definedName name="Interest_on_convertibles___options">#REF!</definedName>
    <definedName name="Interest96" localSheetId="7">#REF!</definedName>
    <definedName name="Interest96" localSheetId="11">#REF!</definedName>
    <definedName name="Interest96">#REF!</definedName>
    <definedName name="interest97" localSheetId="7">#REF!</definedName>
    <definedName name="interest97" localSheetId="11">#REF!</definedName>
    <definedName name="interest97">#REF!</definedName>
    <definedName name="interest98" localSheetId="7">#REF!</definedName>
    <definedName name="interest98" localSheetId="11">#REF!</definedName>
    <definedName name="interest98">#REF!</definedName>
    <definedName name="interest99" localSheetId="7">#REF!</definedName>
    <definedName name="interest99" localSheetId="11">#REF!</definedName>
    <definedName name="interest99">#REF!</definedName>
    <definedName name="Interims" localSheetId="7">#REF!</definedName>
    <definedName name="Interims" localSheetId="11">#REF!</definedName>
    <definedName name="Interims">#REF!</definedName>
    <definedName name="Internat_divis">[42]Divisional!$A$243:$AY$283</definedName>
    <definedName name="Intesa" localSheetId="7">#REF!</definedName>
    <definedName name="Intesa" localSheetId="11">#REF!</definedName>
    <definedName name="Intesa">#REF!</definedName>
    <definedName name="INTLD" localSheetId="7">#REF!</definedName>
    <definedName name="INTLD" localSheetId="11">#REF!</definedName>
    <definedName name="INTLD">#REF!</definedName>
    <definedName name="inv" localSheetId="7">#REF!</definedName>
    <definedName name="inv" localSheetId="11">#REF!</definedName>
    <definedName name="inv">#REF!</definedName>
    <definedName name="Inventories" localSheetId="7">#REF!</definedName>
    <definedName name="Inventories" localSheetId="11">#REF!</definedName>
    <definedName name="Inventories">#REF!</definedName>
    <definedName name="Inventory_growth_fore" localSheetId="7">#REF!</definedName>
    <definedName name="Inventory_growth_fore" localSheetId="11">#REF!</definedName>
    <definedName name="Inventory_growth_fore">#REF!</definedName>
    <definedName name="Inventory95" localSheetId="7">#REF!</definedName>
    <definedName name="Inventory95" localSheetId="11">#REF!</definedName>
    <definedName name="Inventory95">#REF!</definedName>
    <definedName name="Inventory96" localSheetId="7">#REF!</definedName>
    <definedName name="Inventory96" localSheetId="11">#REF!</definedName>
    <definedName name="Inventory96">#REF!</definedName>
    <definedName name="Inventory97" localSheetId="7">#REF!</definedName>
    <definedName name="Inventory97" localSheetId="11">#REF!</definedName>
    <definedName name="Inventory97">#REF!</definedName>
    <definedName name="Inventory98" localSheetId="7">#REF!</definedName>
    <definedName name="Inventory98" localSheetId="11">#REF!</definedName>
    <definedName name="Inventory98">#REF!</definedName>
    <definedName name="Inventory99" localSheetId="7">#REF!</definedName>
    <definedName name="Inventory99" localSheetId="11">#REF!</definedName>
    <definedName name="Inventory99">#REF!</definedName>
    <definedName name="INVEST" localSheetId="7">#REF!</definedName>
    <definedName name="INVEST" localSheetId="11">#REF!</definedName>
    <definedName name="INVEST">#REF!</definedName>
    <definedName name="Invested_capital">'[34]Invested capital_VDF'!$C$87:$AE$87</definedName>
    <definedName name="Invested_capital_DCF">[34]DCF_VDF!$C$77:$AZ$77</definedName>
    <definedName name="Invested_capital_growth_fore" localSheetId="7">#REF!</definedName>
    <definedName name="Invested_capital_growth_fore" localSheetId="11">#REF!</definedName>
    <definedName name="Invested_capital_growth_fore">#REF!</definedName>
    <definedName name="Invested_capital_turns">'[34]Invested capital_VDF'!$C$102:$AU$102</definedName>
    <definedName name="Invested_capital_turns_DCF">[34]DCF_VDF!$C$83:$AZ$83</definedName>
    <definedName name="Invested_capital_turns_fore" localSheetId="7">#REF!</definedName>
    <definedName name="Invested_capital_turns_fore" localSheetId="11">#REF!</definedName>
    <definedName name="Invested_capital_turns_fore">#REF!</definedName>
    <definedName name="Investment_in_fixed_assets" localSheetId="7">#REF!</definedName>
    <definedName name="Investment_in_fixed_assets" localSheetId="11">#REF!</definedName>
    <definedName name="Investment_in_fixed_assets">#REF!</definedName>
    <definedName name="investments" localSheetId="7">#REF!</definedName>
    <definedName name="investments" localSheetId="11">#REF!</definedName>
    <definedName name="investments">#REF!</definedName>
    <definedName name="Investments_and_other_assets" localSheetId="7">#REF!</definedName>
    <definedName name="Investments_and_other_assets" localSheetId="11">#REF!</definedName>
    <definedName name="Investments_and_other_assets">#REF!</definedName>
    <definedName name="Investments_in_companies" localSheetId="7">#REF!</definedName>
    <definedName name="Investments_in_companies" localSheetId="11">#REF!</definedName>
    <definedName name="Investments_in_companies">#REF!</definedName>
    <definedName name="Investments_in_equity_accounted_for_companies" localSheetId="7">#REF!</definedName>
    <definedName name="Investments_in_equity_accounted_for_companies" localSheetId="11">#REF!</definedName>
    <definedName name="Investments_in_equity_accounted_for_companies">#REF!</definedName>
    <definedName name="invnetinc00" localSheetId="7">#REF!</definedName>
    <definedName name="invnetinc00" localSheetId="11">#REF!</definedName>
    <definedName name="invnetinc00">#REF!</definedName>
    <definedName name="invnetinc97" localSheetId="7">#REF!</definedName>
    <definedName name="invnetinc97" localSheetId="11">#REF!</definedName>
    <definedName name="invnetinc97">#REF!</definedName>
    <definedName name="invnetinc98" localSheetId="7">#REF!</definedName>
    <definedName name="invnetinc98" localSheetId="11">#REF!</definedName>
    <definedName name="invnetinc98">#REF!</definedName>
    <definedName name="invnetinc99" localSheetId="7">#REF!</definedName>
    <definedName name="invnetinc99" localSheetId="11">#REF!</definedName>
    <definedName name="invnetinc99">#REF!</definedName>
    <definedName name="io" localSheetId="6" hidden="1">{#N/A,#N/A,FALSE,"FAB VENDORS";"BUD SUM",#N/A,FALSE,"BUD SUM WO TEX"}</definedName>
    <definedName name="io" localSheetId="7" hidden="1">{#N/A,#N/A,FALSE,"FAB VENDORS";"BUD SUM",#N/A,FALSE,"BUD SUM WO TEX"}</definedName>
    <definedName name="io" localSheetId="4" hidden="1">{#N/A,#N/A,FALSE,"FAB VENDORS";"BUD SUM",#N/A,FALSE,"BUD SUM WO TEX"}</definedName>
    <definedName name="io" localSheetId="3" hidden="1">{#N/A,#N/A,FALSE,"FAB VENDORS";"BUD SUM",#N/A,FALSE,"BUD SUM WO TEX"}</definedName>
    <definedName name="io" localSheetId="11" hidden="1">{#N/A,#N/A,FALSE,"FAB VENDORS";"BUD SUM",#N/A,FALSE,"BUD SUM WO TEX"}</definedName>
    <definedName name="io" hidden="1">{#N/A,#N/A,FALSE,"FAB VENDORS";"BUD SUM",#N/A,FALSE,"BUD SUM WO TEX"}</definedName>
    <definedName name="iQShowHideColumns" hidden="1">"iQShowAnnual"</definedName>
    <definedName name="iss" localSheetId="7">#REF!</definedName>
    <definedName name="iss" localSheetId="11">#REF!</definedName>
    <definedName name="iss">#REF!</definedName>
    <definedName name="Italy" localSheetId="7">#REF!</definedName>
    <definedName name="Italy" localSheetId="11">#REF!</definedName>
    <definedName name="Italy">#REF!</definedName>
    <definedName name="Italy_w" localSheetId="7">#REF!</definedName>
    <definedName name="Italy_w" localSheetId="11">#REF!</definedName>
    <definedName name="Italy_w">#REF!</definedName>
    <definedName name="Item_name">'[46]Report P&amp;L'!$X$5:$AQ$36</definedName>
    <definedName name="ItFX" localSheetId="11">#REF!</definedName>
    <definedName name="ItFX">#REF!</definedName>
    <definedName name="iunv" localSheetId="7">#REF!</definedName>
    <definedName name="iunv" localSheetId="11">#REF!</definedName>
    <definedName name="iunv">#REF!</definedName>
    <definedName name="Japan" localSheetId="7">#REF!</definedName>
    <definedName name="Japan" localSheetId="11">#REF!</definedName>
    <definedName name="Japan">#REF!</definedName>
    <definedName name="JapFX" localSheetId="11">#REF!</definedName>
    <definedName name="JapFX">#REF!</definedName>
    <definedName name="JS">"Jack Salzman - Tel: (212) 902-6751"</definedName>
    <definedName name="k" localSheetId="7">#REF!</definedName>
    <definedName name="k" localSheetId="11">#REF!</definedName>
    <definedName name="k">#REF!</definedName>
    <definedName name="Ka" localSheetId="7">#REF!</definedName>
    <definedName name="Ka" localSheetId="11">#REF!</definedName>
    <definedName name="Ka">#REF!</definedName>
    <definedName name="Kd" localSheetId="11">[34]WACC_VDF!#REF!</definedName>
    <definedName name="Kd">[34]WACC_VDF!#REF!</definedName>
    <definedName name="Ke">[34]WACC_VDF!$D$11</definedName>
    <definedName name="Kestine00" localSheetId="7">#REF!</definedName>
    <definedName name="Kestine00" localSheetId="11">#REF!</definedName>
    <definedName name="Kestine00">#REF!</definedName>
    <definedName name="Kestine01" localSheetId="7">#REF!</definedName>
    <definedName name="Kestine01" localSheetId="11">#REF!</definedName>
    <definedName name="Kestine01">#REF!</definedName>
    <definedName name="Kestine02" localSheetId="7">#REF!</definedName>
    <definedName name="Kestine02" localSheetId="11">#REF!</definedName>
    <definedName name="Kestine02">#REF!</definedName>
    <definedName name="Kestine03" localSheetId="7">#REF!</definedName>
    <definedName name="Kestine03" localSheetId="11">#REF!</definedName>
    <definedName name="Kestine03">#REF!</definedName>
    <definedName name="Kestine04" localSheetId="7">#REF!</definedName>
    <definedName name="Kestine04" localSheetId="11">#REF!</definedName>
    <definedName name="Kestine04">#REF!</definedName>
    <definedName name="Kestine05" localSheetId="7">#REF!</definedName>
    <definedName name="Kestine05" localSheetId="11">#REF!</definedName>
    <definedName name="Kestine05">#REF!</definedName>
    <definedName name="Kestine97" localSheetId="7">#REF!</definedName>
    <definedName name="Kestine97" localSheetId="11">#REF!</definedName>
    <definedName name="Kestine97">#REF!</definedName>
    <definedName name="Kestine98" localSheetId="7">#REF!</definedName>
    <definedName name="Kestine98" localSheetId="11">#REF!</definedName>
    <definedName name="Kestine98">#REF!</definedName>
    <definedName name="Kestine99" localSheetId="7">#REF!</definedName>
    <definedName name="Kestine99" localSheetId="11">#REF!</definedName>
    <definedName name="Kestine99">#REF!</definedName>
    <definedName name="Ketek.ketolide00" localSheetId="7">#REF!</definedName>
    <definedName name="Ketek.ketolide00" localSheetId="11">#REF!</definedName>
    <definedName name="Ketek.ketolide00">#REF!</definedName>
    <definedName name="Ketek.ketolide01" localSheetId="7">#REF!</definedName>
    <definedName name="Ketek.ketolide01" localSheetId="11">#REF!</definedName>
    <definedName name="Ketek.ketolide01">#REF!</definedName>
    <definedName name="Ketek.ketolide02" localSheetId="7">#REF!</definedName>
    <definedName name="Ketek.ketolide02" localSheetId="11">#REF!</definedName>
    <definedName name="Ketek.ketolide02">#REF!</definedName>
    <definedName name="Ketek.ketolide03" localSheetId="7">#REF!</definedName>
    <definedName name="Ketek.ketolide03" localSheetId="11">#REF!</definedName>
    <definedName name="Ketek.ketolide03">#REF!</definedName>
    <definedName name="Ketek.ketolide04" localSheetId="7">#REF!</definedName>
    <definedName name="Ketek.ketolide04" localSheetId="11">#REF!</definedName>
    <definedName name="Ketek.ketolide04">#REF!</definedName>
    <definedName name="Ketek.ketolide05" localSheetId="7">#REF!</definedName>
    <definedName name="Ketek.ketolide05" localSheetId="11">#REF!</definedName>
    <definedName name="Ketek.ketolide05">#REF!</definedName>
    <definedName name="Ketek.ketolide97" localSheetId="7">#REF!</definedName>
    <definedName name="Ketek.ketolide97" localSheetId="11">#REF!</definedName>
    <definedName name="Ketek.ketolide97">#REF!</definedName>
    <definedName name="Ketek.ketolide98" localSheetId="7">#REF!</definedName>
    <definedName name="Ketek.ketolide98" localSheetId="11">#REF!</definedName>
    <definedName name="Ketek.ketolide98">#REF!</definedName>
    <definedName name="Ketek.ketolide99" localSheetId="7">#REF!</definedName>
    <definedName name="Ketek.ketolide99" localSheetId="11">#REF!</definedName>
    <definedName name="Ketek.ketolide99">#REF!</definedName>
    <definedName name="kl" localSheetId="7" hidden="1">{#N/A,#N/A,FALSE,"Annual Model";#N/A,#N/A,FALSE,"Quarterly Model";#N/A,#N/A,FALSE,"Header";#N/A,#N/A,FALSE,"Notes"}</definedName>
    <definedName name="kl" localSheetId="4" hidden="1">{#N/A,#N/A,FALSE,"Annual Model";#N/A,#N/A,FALSE,"Quarterly Model";#N/A,#N/A,FALSE,"Header";#N/A,#N/A,FALSE,"Notes"}</definedName>
    <definedName name="kl" hidden="1">{#N/A,#N/A,FALSE,"Annual Model";#N/A,#N/A,FALSE,"Quarterly Model";#N/A,#N/A,FALSE,"Header";#N/A,#N/A,FALSE,"Notes"}</definedName>
    <definedName name="kl_1" localSheetId="7" hidden="1">{#N/A,#N/A,FALSE,"Annual Model";#N/A,#N/A,FALSE,"Quarterly Model";#N/A,#N/A,FALSE,"Header";#N/A,#N/A,FALSE,"Notes"}</definedName>
    <definedName name="kl_1" localSheetId="4" hidden="1">{#N/A,#N/A,FALSE,"Annual Model";#N/A,#N/A,FALSE,"Quarterly Model";#N/A,#N/A,FALSE,"Header";#N/A,#N/A,FALSE,"Notes"}</definedName>
    <definedName name="kl_1" hidden="1">{#N/A,#N/A,FALSE,"Annual Model";#N/A,#N/A,FALSE,"Quarterly Model";#N/A,#N/A,FALSE,"Header";#N/A,#N/A,FALSE,"Notes"}</definedName>
    <definedName name="L_ALL_ADSGn.DE">#REF!</definedName>
    <definedName name="L_ALL_ADSGn.DE_">#REF!</definedName>
    <definedName name="L_ALL_BRBY.L">[28]BRBY.L_Live_Sheet!$A$1:$AZ$417</definedName>
    <definedName name="L_ALL_KEYWORDS_TYPE_ScalarContributed_EQTY_200001863">#REF!,#REF!,#REF!</definedName>
    <definedName name="L_ALL_KEYWORDS_TYPE_ScalarContributed_EQTY_200006738">[28]BRBY.L_Live_Sheet!$366:$375,[28]BRBY.L_Live_Sheet!$415:$417</definedName>
    <definedName name="L_ALL_KEYWORDS_TYPE_ScalarContributed_ISSR_208000693">#REF!,#REF!</definedName>
    <definedName name="L_ALL_KEYWORDS_TYPE_Vector_EQTY_200001863">#REF!,#REF!,#REF!,#REF!,#REF!</definedName>
    <definedName name="L_ALL_KEYWORDS_TYPE_Vector_EQTY_200006738">[28]BRBY.L_Live_Sheet!$390:$405,[28]BRBY.L_Live_Sheet!$407:$409,[28]BRBY.L_Live_Sheet!$411:$411,[28]BRBY.L_Live_Sheet!$413:$413,[28]BRBY.L_Live_Sheet!$377:$388</definedName>
    <definedName name="L_ALL_KEYWORDS_TYPE_Vector_ISSR_208000693">#REF!,#REF!,#REF!,#REF!,#REF!,#REF!,#REF!,#REF!,#REF!,#REF!,#REF!,#REF!,#REF!,#REF!,#REF!,#REF!</definedName>
    <definedName name="L_ALL_KEYWORDS_TYPE_Vector_ISSR_208001980">[28]BRBY.L_Live_Sheet!$2:$3,[28]BRBY.L_Live_Sheet!$11:$29,[28]BRBY.L_Live_Sheet!$31:$39,[28]BRBY.L_Live_Sheet!$41:$68,[28]BRBY.L_Live_Sheet!$70:$82,[28]BRBY.L_Live_Sheet!$84:$100,[28]BRBY.L_Live_Sheet!$102:$114,[28]BRBY.L_Live_Sheet!$116:$116,[28]BRBY.L_Live_Sheet!$118:$118,[28]BRBY.L_Live_Sheet!$120:$121,[28]BRBY.L_Live_Sheet!$123:$127,[28]BRBY.L_Live_Sheet!$132:$133,[28]BRBY.L_Live_Sheet!$137:$137,[28]BRBY.L_Live_Sheet!$160:$163,[28]BRBY.L_Live_Sheet!$165:$169,[28]BRBY.L_Live_Sheet!$174:$175,[28]BRBY.L_Live_Sheet!$179:$179,[28]BRBY.L_Live_Sheet!$202:$203,[28]BRBY.L_Live_Sheet!$356:$356,[28]BRBY.L_Live_Sheet!$145:$156,[28]BRBY.L_Live_Sheet!$187:$198,[28]BRBY.L_Live_Sheet!$241:$244,[28]BRBY.L_Live_Sheet!$263:$266,[28]BRBY.L_Live_Sheet!$141:$142,[28]BRBY.L_Live_Sheet!$183:$184,[28]BRBY.L_Live_Sheet!$341:$354,[28]BRBY.L_Live_Sheet!$304:$312,[28]BRBY.L_Live_Sheet!$314:$339</definedName>
    <definedName name="L_ALL_SECTION_KEYWORDS_EQTY_200001863_13A">#REF!</definedName>
    <definedName name="L_ALL_SECTION_KEYWORDS_EQTY_200001863_13K">#REF!</definedName>
    <definedName name="L_ALL_SECTION_KEYWORDS_ISSR_208000693_1314">#REF!</definedName>
    <definedName name="L_ALL_SECTION_KEYWORDS_ISSR_208000693_1319">#REF!</definedName>
    <definedName name="L_ALL_SECTION_KEYWORDS_ISSR_208000693_131E">#REF!</definedName>
    <definedName name="L_ALL_SECTION_KEYWORDS_ISSR_208000693_13V">#REF!,#REF!</definedName>
    <definedName name="L_ALL_SECTIONS_EQTY_200006738">[28]BRBY.L_Live_Sheet!$358:$358,[28]BRBY.L_Live_Sheet!$365:$365,[28]BRBY.L_Live_Sheet!$376:$376,[28]BRBY.L_Live_Sheet!$389:$389,[28]BRBY.L_Live_Sheet!$406:$406,[28]BRBY.L_Live_Sheet!$410:$410,[28]BRBY.L_Live_Sheet!$412:$412,[28]BRBY.L_Live_Sheet!$414:$414</definedName>
    <definedName name="L_CURRENCY_EQTY_200006738_PRI">[28]BRBY.L_Live_Sheet!$E$363</definedName>
    <definedName name="L_CURRENCY_EQTY_200006738_PUB">[28]BRBY.L_Live_Sheet!$E$362</definedName>
    <definedName name="L_CURRENCY_EQTY_200006738_REP">[28]BRBY.L_Live_Sheet!$E$364</definedName>
    <definedName name="L_CURRENCY_ISSR_208001980_REP">[28]BRBY.L_Live_Sheet!$E$7</definedName>
    <definedName name="LABEL" localSheetId="11">'[102]COST Work'!#REF!</definedName>
    <definedName name="LABEL">'[102]COST Work'!#REF!</definedName>
    <definedName name="LantusGlargine00" localSheetId="7">#REF!</definedName>
    <definedName name="LantusGlargine00" localSheetId="11">#REF!</definedName>
    <definedName name="LantusGlargine00">#REF!</definedName>
    <definedName name="LantusGlargine01" localSheetId="7">#REF!</definedName>
    <definedName name="LantusGlargine01" localSheetId="11">#REF!</definedName>
    <definedName name="LantusGlargine01">#REF!</definedName>
    <definedName name="LantusGlargine02" localSheetId="7">#REF!</definedName>
    <definedName name="LantusGlargine02" localSheetId="11">#REF!</definedName>
    <definedName name="LantusGlargine02">#REF!</definedName>
    <definedName name="LantusGlargine03" localSheetId="7">#REF!</definedName>
    <definedName name="LantusGlargine03" localSheetId="11">#REF!</definedName>
    <definedName name="LantusGlargine03">#REF!</definedName>
    <definedName name="LantusGlargine04" localSheetId="7">#REF!</definedName>
    <definedName name="LantusGlargine04" localSheetId="11">#REF!</definedName>
    <definedName name="LantusGlargine04">#REF!</definedName>
    <definedName name="LantusGlargine05" localSheetId="7">#REF!</definedName>
    <definedName name="LantusGlargine05" localSheetId="11">#REF!</definedName>
    <definedName name="LantusGlargine05">#REF!</definedName>
    <definedName name="LantusGlargine97" localSheetId="7">#REF!</definedName>
    <definedName name="LantusGlargine97" localSheetId="11">#REF!</definedName>
    <definedName name="LantusGlargine97">#REF!</definedName>
    <definedName name="LantusGlargine98" localSheetId="7">#REF!</definedName>
    <definedName name="LantusGlargine98" localSheetId="11">#REF!</definedName>
    <definedName name="LantusGlargine98">#REF!</definedName>
    <definedName name="LantusGlargine99" localSheetId="7">#REF!</definedName>
    <definedName name="LantusGlargine99" localSheetId="11">#REF!</definedName>
    <definedName name="LantusGlargine99">#REF!</definedName>
    <definedName name="Lanzor00" localSheetId="7">#REF!</definedName>
    <definedName name="Lanzor00" localSheetId="11">#REF!</definedName>
    <definedName name="Lanzor00">#REF!</definedName>
    <definedName name="Lanzor01" localSheetId="7">#REF!</definedName>
    <definedName name="Lanzor01" localSheetId="11">#REF!</definedName>
    <definedName name="Lanzor01">#REF!</definedName>
    <definedName name="Lanzor02" localSheetId="7">#REF!</definedName>
    <definedName name="Lanzor02" localSheetId="11">#REF!</definedName>
    <definedName name="Lanzor02">#REF!</definedName>
    <definedName name="Lanzor03" localSheetId="7">#REF!</definedName>
    <definedName name="Lanzor03" localSheetId="11">#REF!</definedName>
    <definedName name="Lanzor03">#REF!</definedName>
    <definedName name="Lanzor04" localSheetId="7">#REF!</definedName>
    <definedName name="Lanzor04" localSheetId="11">#REF!</definedName>
    <definedName name="Lanzor04">#REF!</definedName>
    <definedName name="Lanzor05" localSheetId="7">#REF!</definedName>
    <definedName name="Lanzor05" localSheetId="11">#REF!</definedName>
    <definedName name="Lanzor05">#REF!</definedName>
    <definedName name="Lanzor97" localSheetId="7">#REF!</definedName>
    <definedName name="Lanzor97" localSheetId="11">#REF!</definedName>
    <definedName name="Lanzor97">#REF!</definedName>
    <definedName name="Lanzor98" localSheetId="7">#REF!</definedName>
    <definedName name="Lanzor98" localSheetId="11">#REF!</definedName>
    <definedName name="Lanzor98">#REF!</definedName>
    <definedName name="Lanzor99" localSheetId="7">#REF!</definedName>
    <definedName name="Lanzor99" localSheetId="11">#REF!</definedName>
    <definedName name="Lanzor99">#REF!</definedName>
    <definedName name="Lasix00" localSheetId="7">#REF!</definedName>
    <definedName name="Lasix00" localSheetId="11">#REF!</definedName>
    <definedName name="Lasix00">#REF!</definedName>
    <definedName name="Lasix01" localSheetId="7">#REF!</definedName>
    <definedName name="Lasix01" localSheetId="11">#REF!</definedName>
    <definedName name="Lasix01">#REF!</definedName>
    <definedName name="Lasix02" localSheetId="7">#REF!</definedName>
    <definedName name="Lasix02" localSheetId="11">#REF!</definedName>
    <definedName name="Lasix02">#REF!</definedName>
    <definedName name="Lasix03" localSheetId="7">#REF!</definedName>
    <definedName name="Lasix03" localSheetId="11">#REF!</definedName>
    <definedName name="Lasix03">#REF!</definedName>
    <definedName name="Lasix04" localSheetId="7">#REF!</definedName>
    <definedName name="Lasix04" localSheetId="11">#REF!</definedName>
    <definedName name="Lasix04">#REF!</definedName>
    <definedName name="Lasix05" localSheetId="7">#REF!</definedName>
    <definedName name="Lasix05" localSheetId="11">#REF!</definedName>
    <definedName name="Lasix05">#REF!</definedName>
    <definedName name="Lasix97" localSheetId="7">#REF!</definedName>
    <definedName name="Lasix97" localSheetId="11">#REF!</definedName>
    <definedName name="Lasix97">#REF!</definedName>
    <definedName name="Lasix98" localSheetId="7">#REF!</definedName>
    <definedName name="Lasix98" localSheetId="11">#REF!</definedName>
    <definedName name="Lasix98">#REF!</definedName>
    <definedName name="Lasix99" localSheetId="7">#REF!</definedName>
    <definedName name="Lasix99" localSheetId="11">#REF!</definedName>
    <definedName name="Lasix99">#REF!</definedName>
    <definedName name="Last_Update">'[61]DDETABLE '!$E$9</definedName>
    <definedName name="LastRefreshed" localSheetId="7">#REF!</definedName>
    <definedName name="LastRefreshed" localSheetId="11">#REF!</definedName>
    <definedName name="LastRefreshed">#REF!</definedName>
    <definedName name="Latin_Amercia" localSheetId="7">#REF!</definedName>
    <definedName name="Latin_Amercia" localSheetId="11">#REF!</definedName>
    <definedName name="Latin_Amercia">#REF!</definedName>
    <definedName name="LGrowth" localSheetId="7">#REF!</definedName>
    <definedName name="LGrowth" localSheetId="11">#REF!</definedName>
    <definedName name="LGrowth">#REF!</definedName>
    <definedName name="Liabilities_and_Stockholders__equity" localSheetId="7">#REF!</definedName>
    <definedName name="Liabilities_and_Stockholders__equity" localSheetId="11">#REF!</definedName>
    <definedName name="Liabilities_and_Stockholders__equity">#REF!</definedName>
    <definedName name="Liberalization" localSheetId="7">#REF!</definedName>
    <definedName name="Liberalization" localSheetId="11">#REF!</definedName>
    <definedName name="Liberalization">#REF!</definedName>
    <definedName name="Lifeh199" localSheetId="7">#REF!</definedName>
    <definedName name="Lifeh199" localSheetId="11">#REF!</definedName>
    <definedName name="Lifeh199">#REF!</definedName>
    <definedName name="LightBlue" localSheetId="7">#REF!,#REF!,#REF!,#REF!,#REF!,#REF!,#REF!,#REF!,#REF!,#REF!,#REF!,#REF!,#REF!,#REF!,#REF!,#REF!,#REF!,#REF!</definedName>
    <definedName name="LightBlue" localSheetId="11">#REF!,#REF!,#REF!,#REF!,#REF!,#REF!,#REF!,#REF!,#REF!,#REF!,#REF!,#REF!,#REF!,#REF!,#REF!,#REF!,#REF!,#REF!</definedName>
    <definedName name="LightBlue">#REF!,#REF!,#REF!,#REF!,#REF!,#REF!,#REF!,#REF!,#REF!,#REF!,#REF!,#REF!,#REF!,#REF!,#REF!,#REF!,#REF!,#REF!</definedName>
    <definedName name="LightBlue1">[103]Model!$A$28:$IV$29,[103]Model!$A$50:$IV$50,[103]Model!$A$59:$IV$59,[103]Model!$A$72:$IV$72,[103]Model!$A$87:$IV$88,[103]Model!$A$97:$IV$97,[103]Model!$A$107:$IV$107,[103]Model!$A$121:$IV$121,[103]Model!$A$128:$IV$128,[103]Model!$A$134:$IV$134,[103]Model!$A$138:$IV$138,[103]Model!$A$143:$IV$143,[103]Model!$A$147:$IV$147</definedName>
    <definedName name="LightBlue2">[103]Model!$A$186:$IV$186,[103]Model!$A$195:$IV$195,[103]Model!$A$200:$IV$200,[103]Model!$A$208:$IV$208,[103]Model!$A$242:$IV$242,[103]Model!$A$257:$IV$257,[103]Model!$A$266:$IV$266,[103]Model!$A$277:$IV$277,[103]Model!$A$283:$IV$283,[103]Model!$A$286:$IV$286,[103]Model!$A$292:$IV$292,[103]Model!$A$308:$IV$308,[103]Model!$A$319:$IV$319,[103]Model!$A$323:$IV$323,[103]Model!$A$349:$IV$349,[103]Model!$A$366:$IV$366,[103]Model!$A$370:$IV$370,[103]Model!$A$383:$IV$383,[103]Model!$A$390:$IV$390,[103]Model!$A$392:$IV$392</definedName>
    <definedName name="LineEot" localSheetId="7">#REF!</definedName>
    <definedName name="LineEot" localSheetId="11">#REF!</definedName>
    <definedName name="LineEot">#REF!</definedName>
    <definedName name="Links">'[61]DDETABLE '!$AH$2</definedName>
    <definedName name="LireUS">[41]Datastream!$B$19</definedName>
    <definedName name="ListOffset" hidden="1">1</definedName>
    <definedName name="LiveReqs">'[61]DDETABLE '!$H$6</definedName>
    <definedName name="ll9y" localSheetId="6" hidden="1">{#N/A,#N/A,FALSE,"FAB VENDORS";"BUD SUM",#N/A,FALSE,"BUD SUM WO TEX"}</definedName>
    <definedName name="ll9y" localSheetId="7" hidden="1">{#N/A,#N/A,FALSE,"FAB VENDORS";"BUD SUM",#N/A,FALSE,"BUD SUM WO TEX"}</definedName>
    <definedName name="ll9y" localSheetId="4" hidden="1">{#N/A,#N/A,FALSE,"FAB VENDORS";"BUD SUM",#N/A,FALSE,"BUD SUM WO TEX"}</definedName>
    <definedName name="ll9y" localSheetId="3" hidden="1">{#N/A,#N/A,FALSE,"FAB VENDORS";"BUD SUM",#N/A,FALSE,"BUD SUM WO TEX"}</definedName>
    <definedName name="ll9y" localSheetId="11" hidden="1">{#N/A,#N/A,FALSE,"FAB VENDORS";"BUD SUM",#N/A,FALSE,"BUD SUM WO TEX"}</definedName>
    <definedName name="ll9y" hidden="1">{#N/A,#N/A,FALSE,"FAB VENDORS";"BUD SUM",#N/A,FALSE,"BUD SUM WO TEX"}</definedName>
    <definedName name="lloykf" localSheetId="11">[38]Input!#REF!</definedName>
    <definedName name="lloykf">[38]Input!#REF!</definedName>
    <definedName name="lloypbkf" localSheetId="7">#REF!</definedName>
    <definedName name="lloypbkf" localSheetId="11">#REF!</definedName>
    <definedName name="lloypbkf">#REF!</definedName>
    <definedName name="llr00" localSheetId="11">'[18]Annual Model'!#REF!</definedName>
    <definedName name="llr00">'[18]Annual Model'!#REF!</definedName>
    <definedName name="llres92">'[19]Annual Model'!$E$84</definedName>
    <definedName name="llres93">'[19]Annual Model'!$F$84</definedName>
    <definedName name="llres94">'[19]Annual Model'!$G$84</definedName>
    <definedName name="llres95">'[19]Annual Model'!$I$84</definedName>
    <definedName name="lnstoiea92">'[19]Annual Model'!$E$92</definedName>
    <definedName name="lnstoiea93">'[19]Annual Model'!$F$92</definedName>
    <definedName name="lnstoiea94">'[19]Annual Model'!$G$92</definedName>
    <definedName name="lnstoiea95">'[19]Annual Model'!$I$92</definedName>
    <definedName name="lnstoiea96">'[19]Annual Model'!$L$92</definedName>
    <definedName name="lnstoiea97">'[19]Annual Model'!$N$92</definedName>
    <definedName name="lnstoiea98">'[19]Annual Model'!$P$92</definedName>
    <definedName name="lo_corp" localSheetId="7">#REF!</definedName>
    <definedName name="lo_corp" localSheetId="11">#REF!</definedName>
    <definedName name="lo_corp">#REF!</definedName>
    <definedName name="lo_fm">[33]FM!$B$2:$S$29</definedName>
    <definedName name="lo_other" localSheetId="7">#REF!</definedName>
    <definedName name="lo_other" localSheetId="11">#REF!</definedName>
    <definedName name="lo_other">#REF!</definedName>
    <definedName name="lo_retail">'[33]R'!$B$2:$S$29</definedName>
    <definedName name="lo_tb">[33]TB!$B$2:$S$29</definedName>
    <definedName name="Loan_Loss_Provision_fore" localSheetId="7">#REF!</definedName>
    <definedName name="Loan_Loss_Provision_fore" localSheetId="11">#REF!</definedName>
    <definedName name="Loan_Loss_Provision_fore">#REF!</definedName>
    <definedName name="LoanGrowth" localSheetId="7">#REF!</definedName>
    <definedName name="LoanGrowth" localSheetId="11">#REF!</definedName>
    <definedName name="LoanGrowth">#REF!</definedName>
    <definedName name="loanlossres93" localSheetId="7">#REF!</definedName>
    <definedName name="loanlossres93" localSheetId="11">#REF!</definedName>
    <definedName name="loanlossres93">#REF!</definedName>
    <definedName name="loanlossres94" localSheetId="7">#REF!</definedName>
    <definedName name="loanlossres94" localSheetId="11">#REF!</definedName>
    <definedName name="loanlossres94">#REF!</definedName>
    <definedName name="loanlossres95" localSheetId="7">#REF!</definedName>
    <definedName name="loanlossres95" localSheetId="11">#REF!</definedName>
    <definedName name="loanlossres95">#REF!</definedName>
    <definedName name="loanlossres96" localSheetId="7">#REF!</definedName>
    <definedName name="loanlossres96" localSheetId="11">#REF!</definedName>
    <definedName name="loanlossres96">#REF!</definedName>
    <definedName name="loanlossres97" localSheetId="7">#REF!</definedName>
    <definedName name="loanlossres97" localSheetId="11">#REF!</definedName>
    <definedName name="loanlossres97">#REF!</definedName>
    <definedName name="loanlossres98" localSheetId="7">#REF!</definedName>
    <definedName name="loanlossres98" localSheetId="11">#REF!</definedName>
    <definedName name="loanlossres98">#REF!</definedName>
    <definedName name="loanlossrestoloans98" localSheetId="7">#REF!</definedName>
    <definedName name="loanlossrestoloans98" localSheetId="11">#REF!</definedName>
    <definedName name="loanlossrestoloans98">#REF!</definedName>
    <definedName name="loans1h00">'[99]Interim Model'!$AT$55</definedName>
    <definedName name="loans1q00">'[18]Quarterly Model'!$G$53</definedName>
    <definedName name="loans2q00">'[18]Quarterly Model'!$I$53</definedName>
    <definedName name="loans3q00">'[18]Quarterly Model'!$K$53</definedName>
    <definedName name="loans4q00">'[18]Quarterly Model'!$M$53</definedName>
    <definedName name="loansassets93" localSheetId="7">#REF!</definedName>
    <definedName name="loansassets93" localSheetId="11">#REF!</definedName>
    <definedName name="loansassets93">#REF!</definedName>
    <definedName name="loansassets94" localSheetId="7">#REF!</definedName>
    <definedName name="loansassets94" localSheetId="11">#REF!</definedName>
    <definedName name="loansassets94">#REF!</definedName>
    <definedName name="loansassets95" localSheetId="7">#REF!</definedName>
    <definedName name="loansassets95" localSheetId="11">#REF!</definedName>
    <definedName name="loansassets95">#REF!</definedName>
    <definedName name="loansassets96" localSheetId="7">#REF!</definedName>
    <definedName name="loansassets96" localSheetId="11">#REF!</definedName>
    <definedName name="loansassets96">#REF!</definedName>
    <definedName name="loansassets97" localSheetId="7">#REF!</definedName>
    <definedName name="loansassets97" localSheetId="11">#REF!</definedName>
    <definedName name="loansassets97">#REF!</definedName>
    <definedName name="loansassets98" localSheetId="7">#REF!</definedName>
    <definedName name="loansassets98" localSheetId="11">#REF!</definedName>
    <definedName name="loansassets98">#REF!</definedName>
    <definedName name="loansav00">'[18]Annual Model'!$H$59</definedName>
    <definedName name="loansav01">'[18]Annual Model'!$I$59</definedName>
    <definedName name="loansav02">'[18]Annual Model'!$J$59</definedName>
    <definedName name="loansav1q00">'[18]Quarterly Model'!$G$60</definedName>
    <definedName name="loansav2q00">'[18]Quarterly Model'!$I$60</definedName>
    <definedName name="loansav3q00">'[18]Quarterly Model'!$K$60</definedName>
    <definedName name="loansav4q00">'[18]Quarterly Model'!$M$60</definedName>
    <definedName name="loansav93">'[19]Annual Model'!$F$72</definedName>
    <definedName name="loansav94">'[19]Annual Model'!$G$72</definedName>
    <definedName name="loansav95">'[19]Annual Model'!$I$72</definedName>
    <definedName name="loansav96">'[19]Annual Model'!$L$72</definedName>
    <definedName name="loansav97" localSheetId="7">#REF!</definedName>
    <definedName name="loansav97" localSheetId="11">#REF!</definedName>
    <definedName name="loansav97">#REF!</definedName>
    <definedName name="loansav98">'[18]Annual Model'!$E$71</definedName>
    <definedName name="loansav99">'[18]Annual Model'!$G$59</definedName>
    <definedName name="loansavg93" localSheetId="7">#REF!</definedName>
    <definedName name="loansavg93" localSheetId="11">#REF!</definedName>
    <definedName name="loansavg93">#REF!</definedName>
    <definedName name="loansavg94" localSheetId="7">#REF!</definedName>
    <definedName name="loansavg94" localSheetId="11">#REF!</definedName>
    <definedName name="loansavg94">#REF!</definedName>
    <definedName name="loansavg95" localSheetId="7">#REF!</definedName>
    <definedName name="loansavg95" localSheetId="11">#REF!</definedName>
    <definedName name="loansavg95">#REF!</definedName>
    <definedName name="loansavg96" localSheetId="7">#REF!</definedName>
    <definedName name="loansavg96" localSheetId="11">#REF!</definedName>
    <definedName name="loansavg96">#REF!</definedName>
    <definedName name="loansavg97" localSheetId="7">#REF!</definedName>
    <definedName name="loansavg97" localSheetId="11">#REF!</definedName>
    <definedName name="loansavg97">#REF!</definedName>
    <definedName name="loansavg98" localSheetId="7">#REF!</definedName>
    <definedName name="loansavg98" localSheetId="11">#REF!</definedName>
    <definedName name="loansavg98">#REF!</definedName>
    <definedName name="loansdep93" localSheetId="7">#REF!</definedName>
    <definedName name="loansdep93" localSheetId="11">#REF!</definedName>
    <definedName name="loansdep93">#REF!</definedName>
    <definedName name="loansdep94" localSheetId="7">#REF!</definedName>
    <definedName name="loansdep94" localSheetId="11">#REF!</definedName>
    <definedName name="loansdep94">#REF!</definedName>
    <definedName name="loansdep95" localSheetId="7">#REF!</definedName>
    <definedName name="loansdep95" localSheetId="11">#REF!</definedName>
    <definedName name="loansdep95">#REF!</definedName>
    <definedName name="loansdep96" localSheetId="7">#REF!</definedName>
    <definedName name="loansdep96" localSheetId="11">#REF!</definedName>
    <definedName name="loansdep96">#REF!</definedName>
    <definedName name="loansdep97" localSheetId="7">#REF!</definedName>
    <definedName name="loansdep97" localSheetId="11">#REF!</definedName>
    <definedName name="loansdep97">#REF!</definedName>
    <definedName name="loansdep98" localSheetId="7">#REF!</definedName>
    <definedName name="loansdep98" localSheetId="11">#REF!</definedName>
    <definedName name="loansdep98">#REF!</definedName>
    <definedName name="loansh199">'[99]Interim Model'!$AM$55</definedName>
    <definedName name="loansh200">'[99]Interim Model'!$AW$55</definedName>
    <definedName name="loansh299">'[99]Interim Model'!$AP$55</definedName>
    <definedName name="loanslossres93" localSheetId="7">#REF!</definedName>
    <definedName name="loanslossres93" localSheetId="11">#REF!</definedName>
    <definedName name="loanslossres93">#REF!</definedName>
    <definedName name="loanslossres94" localSheetId="7">#REF!</definedName>
    <definedName name="loanslossres94" localSheetId="11">#REF!</definedName>
    <definedName name="loanslossres94">#REF!</definedName>
    <definedName name="loanslossres95" localSheetId="7">#REF!</definedName>
    <definedName name="loanslossres95" localSheetId="11">#REF!</definedName>
    <definedName name="loanslossres95">#REF!</definedName>
    <definedName name="loanslossres96" localSheetId="7">#REF!</definedName>
    <definedName name="loanslossres96" localSheetId="11">#REF!</definedName>
    <definedName name="loanslossres96">#REF!</definedName>
    <definedName name="loanslossres97" localSheetId="7">#REF!</definedName>
    <definedName name="loanslossres97" localSheetId="11">#REF!</definedName>
    <definedName name="loanslossres97">#REF!</definedName>
    <definedName name="loansq296" localSheetId="7">#REF!</definedName>
    <definedName name="loansq296" localSheetId="11">#REF!</definedName>
    <definedName name="loansq296">#REF!</definedName>
    <definedName name="loansye00">'[18]Annual Model'!$H$52</definedName>
    <definedName name="loansye01">'[18]Annual Model'!$I$52</definedName>
    <definedName name="loansye02">'[18]Annual Model'!$J$52</definedName>
    <definedName name="loansye92">'[19]Annual Model'!$E$54</definedName>
    <definedName name="loansye93" localSheetId="7">#REF!</definedName>
    <definedName name="loansye93" localSheetId="11">#REF!</definedName>
    <definedName name="loansye93">#REF!</definedName>
    <definedName name="loansye94" localSheetId="7">#REF!</definedName>
    <definedName name="loansye94" localSheetId="11">#REF!</definedName>
    <definedName name="loansye94">#REF!</definedName>
    <definedName name="loansye95" localSheetId="7">#REF!</definedName>
    <definedName name="loansye95" localSheetId="11">#REF!</definedName>
    <definedName name="loansye95">#REF!</definedName>
    <definedName name="loansye96" localSheetId="7">#REF!</definedName>
    <definedName name="loansye96" localSheetId="11">#REF!</definedName>
    <definedName name="loansye96">#REF!</definedName>
    <definedName name="loansye97" localSheetId="7">#REF!</definedName>
    <definedName name="loansye97" localSheetId="11">#REF!</definedName>
    <definedName name="loansye97">#REF!</definedName>
    <definedName name="loansye98">'[18]Annual Model'!$E$58</definedName>
    <definedName name="loansye99">'[18]Annual Model'!$G$52</definedName>
    <definedName name="LOCAL" localSheetId="7">#REF!</definedName>
    <definedName name="LOCAL" localSheetId="11">#REF!</definedName>
    <definedName name="LOCAL">#REF!</definedName>
    <definedName name="local_costs">[79]PROFSVC!$A$24:$Q$24</definedName>
    <definedName name="local_gm">[79]PROFSVC!$A$27:$Q$27</definedName>
    <definedName name="local_gp">[79]PROFSVC!$A$26:$Q$26</definedName>
    <definedName name="local_revs">[79]PROFSVC!$A$16:$Q$16</definedName>
    <definedName name="LoCode" localSheetId="7">#REF!</definedName>
    <definedName name="LoCode" localSheetId="11">#REF!</definedName>
    <definedName name="LoCode">#REF!</definedName>
    <definedName name="Long_term_debt" localSheetId="7">#REF!</definedName>
    <definedName name="Long_term_debt" localSheetId="11">#REF!</definedName>
    <definedName name="Long_term_debt">#REF!</definedName>
    <definedName name="LongTermRec" localSheetId="7">#REF!</definedName>
    <definedName name="LongTermRec" localSheetId="11">#REF!</definedName>
    <definedName name="LongTermRec">#REF!</definedName>
    <definedName name="LT_debt_growth_fore" localSheetId="7">#REF!</definedName>
    <definedName name="LT_debt_growth_fore" localSheetId="11">#REF!</definedName>
    <definedName name="LT_debt_growth_fore">#REF!</definedName>
    <definedName name="LT_int_bearing_assets" localSheetId="7">#REF!</definedName>
    <definedName name="LT_int_bearing_assets" localSheetId="11">#REF!</definedName>
    <definedName name="LT_int_bearing_assets">#REF!</definedName>
    <definedName name="LT_Rec" localSheetId="7">#REF!</definedName>
    <definedName name="LT_Rec" localSheetId="11">#REF!</definedName>
    <definedName name="LT_Rec">#REF!</definedName>
    <definedName name="Ltdcomp.xls" localSheetId="7">#REF!</definedName>
    <definedName name="Ltdcomp.xls" localSheetId="11">#REF!</definedName>
    <definedName name="Ltdcomp.xls">#REF!</definedName>
    <definedName name="ltdebt2q94" localSheetId="7">#REF!</definedName>
    <definedName name="ltdebt2q94" localSheetId="11">#REF!</definedName>
    <definedName name="ltdebt2q94">#REF!</definedName>
    <definedName name="ltdebt3q94" localSheetId="7">#REF!</definedName>
    <definedName name="ltdebt3q94" localSheetId="11">#REF!</definedName>
    <definedName name="ltdebt3q94">#REF!</definedName>
    <definedName name="ltdebt4q93" localSheetId="7">#REF!</definedName>
    <definedName name="ltdebt4q93" localSheetId="11">#REF!</definedName>
    <definedName name="ltdebt4q93">#REF!</definedName>
    <definedName name="ltdebt4q94" localSheetId="7">#REF!</definedName>
    <definedName name="ltdebt4q94" localSheetId="11">#REF!</definedName>
    <definedName name="ltdebt4q94">#REF!</definedName>
    <definedName name="LTG">[104]EVA!$I$33</definedName>
    <definedName name="ltrec" localSheetId="7">#REF!</definedName>
    <definedName name="ltrec" localSheetId="11">#REF!</definedName>
    <definedName name="ltrec">#REF!</definedName>
    <definedName name="LUGAvCE87" localSheetId="7">#REF!</definedName>
    <definedName name="LUGAvCE87" localSheetId="11">#REF!</definedName>
    <definedName name="LUGAvCE87">#REF!</definedName>
    <definedName name="LUGAvCE88" localSheetId="7">#REF!</definedName>
    <definedName name="LUGAvCE88" localSheetId="11">#REF!</definedName>
    <definedName name="LUGAvCE88">#REF!</definedName>
    <definedName name="LUGAvCE89" localSheetId="7">#REF!</definedName>
    <definedName name="LUGAvCE89" localSheetId="11">#REF!</definedName>
    <definedName name="LUGAvCE89">#REF!</definedName>
    <definedName name="LUGAvCE90" localSheetId="7">#REF!</definedName>
    <definedName name="LUGAvCE90" localSheetId="11">#REF!</definedName>
    <definedName name="LUGAvCE90">#REF!</definedName>
    <definedName name="LUGAvCE91" localSheetId="7">#REF!</definedName>
    <definedName name="LUGAvCE91" localSheetId="11">#REF!</definedName>
    <definedName name="LUGAvCE91">#REF!</definedName>
    <definedName name="LUGAvCE92" localSheetId="7">#REF!</definedName>
    <definedName name="LUGAvCE92" localSheetId="11">#REF!</definedName>
    <definedName name="LUGAvCE92">#REF!</definedName>
    <definedName name="LUGAvCE93" localSheetId="7">#REF!</definedName>
    <definedName name="LUGAvCE93" localSheetId="11">#REF!</definedName>
    <definedName name="LUGAvCE93">#REF!</definedName>
    <definedName name="LUGAvCE94" localSheetId="7">#REF!</definedName>
    <definedName name="LUGAvCE94" localSheetId="11">#REF!</definedName>
    <definedName name="LUGAvCE94">#REF!</definedName>
    <definedName name="LUGAvCE95" localSheetId="7">#REF!</definedName>
    <definedName name="LUGAvCE95" localSheetId="11">#REF!</definedName>
    <definedName name="LUGAvCE95">#REF!</definedName>
    <definedName name="LUGAvCE96" localSheetId="7">#REF!</definedName>
    <definedName name="LUGAvCE96" localSheetId="11">#REF!</definedName>
    <definedName name="LUGAvCE96">#REF!</definedName>
    <definedName name="LUGAvCE97" localSheetId="7">#REF!</definedName>
    <definedName name="LUGAvCE97" localSheetId="11">#REF!</definedName>
    <definedName name="LUGAvCE97">#REF!</definedName>
    <definedName name="LUGAvCE98" localSheetId="7">#REF!</definedName>
    <definedName name="LUGAvCE98" localSheetId="11">#REF!</definedName>
    <definedName name="LUGAvCE98">#REF!</definedName>
    <definedName name="LUGAvCE99" localSheetId="7">#REF!</definedName>
    <definedName name="LUGAvCE99" localSheetId="11">#REF!</definedName>
    <definedName name="LUGAvCE99">#REF!</definedName>
    <definedName name="LUGbegcap" localSheetId="7">#REF!</definedName>
    <definedName name="LUGbegcap" localSheetId="11">#REF!</definedName>
    <definedName name="LUGbegcap">#REF!</definedName>
    <definedName name="LUGdebt95" localSheetId="7">#REF!</definedName>
    <definedName name="LUGdebt95" localSheetId="11">#REF!</definedName>
    <definedName name="LUGdebt95">#REF!</definedName>
    <definedName name="LUGNOPAT86" localSheetId="7">#REF!</definedName>
    <definedName name="LUGNOPAT86" localSheetId="11">#REF!</definedName>
    <definedName name="LUGNOPAT86">#REF!</definedName>
    <definedName name="LUGNOPAT87" localSheetId="7">#REF!</definedName>
    <definedName name="LUGNOPAT87" localSheetId="11">#REF!</definedName>
    <definedName name="LUGNOPAT87">#REF!</definedName>
    <definedName name="LUGNOPAT88" localSheetId="7">#REF!</definedName>
    <definedName name="LUGNOPAT88" localSheetId="11">#REF!</definedName>
    <definedName name="LUGNOPAT88">#REF!</definedName>
    <definedName name="LUGNOPAT89" localSheetId="7">#REF!</definedName>
    <definedName name="LUGNOPAT89" localSheetId="11">#REF!</definedName>
    <definedName name="LUGNOPAT89">#REF!</definedName>
    <definedName name="LUGNOPAT90" localSheetId="7">#REF!</definedName>
    <definedName name="LUGNOPAT90" localSheetId="11">#REF!</definedName>
    <definedName name="LUGNOPAT90">#REF!</definedName>
    <definedName name="LUGNOPAT91" localSheetId="7">#REF!</definedName>
    <definedName name="LUGNOPAT91" localSheetId="11">#REF!</definedName>
    <definedName name="LUGNOPAT91">#REF!</definedName>
    <definedName name="LUGNOPAT92" localSheetId="7">#REF!</definedName>
    <definedName name="LUGNOPAT92" localSheetId="11">#REF!</definedName>
    <definedName name="LUGNOPAT92">#REF!</definedName>
    <definedName name="LUGNOPAT93" localSheetId="7">#REF!</definedName>
    <definedName name="LUGNOPAT93" localSheetId="11">#REF!</definedName>
    <definedName name="LUGNOPAT93">#REF!</definedName>
    <definedName name="LUGNOPAT94" localSheetId="7">#REF!</definedName>
    <definedName name="LUGNOPAT94" localSheetId="11">#REF!</definedName>
    <definedName name="LUGNOPAT94">#REF!</definedName>
    <definedName name="LUGNOPAT95" localSheetId="7">#REF!</definedName>
    <definedName name="LUGNOPAT95" localSheetId="11">#REF!</definedName>
    <definedName name="LUGNOPAT95">#REF!</definedName>
    <definedName name="LUGNOPAT96" localSheetId="7">#REF!</definedName>
    <definedName name="LUGNOPAT96" localSheetId="11">#REF!</definedName>
    <definedName name="LUGNOPAT96">#REF!</definedName>
    <definedName name="LUGNOPAT97" localSheetId="7">#REF!</definedName>
    <definedName name="LUGNOPAT97" localSheetId="11">#REF!</definedName>
    <definedName name="LUGNOPAT97">#REF!</definedName>
    <definedName name="LUGNOPAT98" localSheetId="7">#REF!</definedName>
    <definedName name="LUGNOPAT98" localSheetId="11">#REF!</definedName>
    <definedName name="LUGNOPAT98">#REF!</definedName>
    <definedName name="LUGNOPAT99" localSheetId="7">#REF!</definedName>
    <definedName name="LUGNOPAT99" localSheetId="11">#REF!</definedName>
    <definedName name="LUGNOPAT99">#REF!</definedName>
    <definedName name="LUGTotCE" localSheetId="7">#REF!</definedName>
    <definedName name="LUGTotCE" localSheetId="11">#REF!</definedName>
    <definedName name="LUGTotCE">#REF!</definedName>
    <definedName name="LUXOTTICA" localSheetId="7">#REF!</definedName>
    <definedName name="LUXOTTICA" localSheetId="11">#REF!</definedName>
    <definedName name="LUXOTTICA">#REF!</definedName>
    <definedName name="Luxury">'[29]EBIT model'!$X$6</definedName>
    <definedName name="ly" localSheetId="7">#REF!</definedName>
    <definedName name="ly" localSheetId="11">#REF!</definedName>
    <definedName name="ly">#REF!</definedName>
    <definedName name="M" localSheetId="7">#REF!</definedName>
    <definedName name="M" localSheetId="11">#REF!</definedName>
    <definedName name="M">#REF!</definedName>
    <definedName name="M_PlaceofPath" hidden="1">"\\SNYCEQT0100\HOME\LZURLO\DATA\TELMEX\Models\tmx_vdf.xls"</definedName>
    <definedName name="Macau_costs">[66]Macau!$A$33:$IV$33</definedName>
    <definedName name="Macau_revenues">[66]Macau!$A$31:$IV$31</definedName>
    <definedName name="macro" localSheetId="7">#REF!</definedName>
    <definedName name="macro" localSheetId="11">#REF!</definedName>
    <definedName name="macro">#REF!</definedName>
    <definedName name="Macro1">'[56]#REF'!$A$1</definedName>
    <definedName name="Macro4" localSheetId="11">#REF!</definedName>
    <definedName name="Macro4">#REF!</definedName>
    <definedName name="MACROS" localSheetId="11">'[2]teo model'!#REF!</definedName>
    <definedName name="MACROS">'[2]teo model'!#REF!</definedName>
    <definedName name="madridi" localSheetId="7">#REF!</definedName>
    <definedName name="madridi" localSheetId="11">#REF!</definedName>
    <definedName name="madridi">#REF!</definedName>
    <definedName name="Market" localSheetId="7">#REF!</definedName>
    <definedName name="Market" localSheetId="11">#REF!</definedName>
    <definedName name="Market">#REF!</definedName>
    <definedName name="Market_capitalization" localSheetId="11">'[34]Summary Page_VDF'!#REF!</definedName>
    <definedName name="Market_capitalization">'[34]Summary Page_VDF'!#REF!</definedName>
    <definedName name="Marketing___Admin._costs" localSheetId="7">#REF!</definedName>
    <definedName name="Marketing___Admin._costs" localSheetId="11">#REF!</definedName>
    <definedName name="Marketing___Admin._costs">#REF!</definedName>
    <definedName name="marketval" localSheetId="7">#REF!</definedName>
    <definedName name="marketval" localSheetId="11">#REF!</definedName>
    <definedName name="marketval">#REF!</definedName>
    <definedName name="marketvalus" localSheetId="7">#REF!</definedName>
    <definedName name="marketvalus" localSheetId="11">#REF!</definedName>
    <definedName name="marketvalus">#REF!</definedName>
    <definedName name="Masthmaproducts00" localSheetId="7">#REF!</definedName>
    <definedName name="Masthmaproducts00" localSheetId="11">#REF!</definedName>
    <definedName name="Masthmaproducts00">#REF!</definedName>
    <definedName name="Masthmaproducts01" localSheetId="7">#REF!</definedName>
    <definedName name="Masthmaproducts01" localSheetId="11">#REF!</definedName>
    <definedName name="Masthmaproducts01">#REF!</definedName>
    <definedName name="Masthmaproducts02" localSheetId="7">#REF!</definedName>
    <definedName name="Masthmaproducts02" localSheetId="11">#REF!</definedName>
    <definedName name="Masthmaproducts02">#REF!</definedName>
    <definedName name="Masthmaproducts03" localSheetId="7">#REF!</definedName>
    <definedName name="Masthmaproducts03" localSheetId="11">#REF!</definedName>
    <definedName name="Masthmaproducts03">#REF!</definedName>
    <definedName name="Masthmaproducts04" localSheetId="7">#REF!</definedName>
    <definedName name="Masthmaproducts04" localSheetId="11">#REF!</definedName>
    <definedName name="Masthmaproducts04">#REF!</definedName>
    <definedName name="Masthmaproducts05" localSheetId="7">#REF!</definedName>
    <definedName name="Masthmaproducts05" localSheetId="11">#REF!</definedName>
    <definedName name="Masthmaproducts05">#REF!</definedName>
    <definedName name="Masthmaproducts97" localSheetId="7">#REF!</definedName>
    <definedName name="Masthmaproducts97" localSheetId="11">#REF!</definedName>
    <definedName name="Masthmaproducts97">#REF!</definedName>
    <definedName name="Masthmaproducts98" localSheetId="7">#REF!</definedName>
    <definedName name="Masthmaproducts98" localSheetId="11">#REF!</definedName>
    <definedName name="Masthmaproducts98">#REF!</definedName>
    <definedName name="Masthmaproducts99" localSheetId="7">#REF!</definedName>
    <definedName name="Masthmaproducts99" localSheetId="11">#REF!</definedName>
    <definedName name="Masthmaproducts99">#REF!</definedName>
    <definedName name="MCap" localSheetId="7">#REF!</definedName>
    <definedName name="MCap" localSheetId="11">#REF!</definedName>
    <definedName name="MCap">#REF!</definedName>
    <definedName name="MCC_BS">[71]MCC!$A$43:$W$56</definedName>
    <definedName name="MCC_PL">[71]MCC!$A$2:$AD$39</definedName>
    <definedName name="MCC_SPA">[71]MCC!$A$2:$AD$39</definedName>
    <definedName name="MDL.100907.00" localSheetId="7">#REF!</definedName>
    <definedName name="MDL.100907.00" localSheetId="11">#REF!</definedName>
    <definedName name="MDL.100907.00">#REF!</definedName>
    <definedName name="MDL.100907.01" localSheetId="7">#REF!</definedName>
    <definedName name="MDL.100907.01" localSheetId="11">#REF!</definedName>
    <definedName name="MDL.100907.01">#REF!</definedName>
    <definedName name="MDL.100907.02" localSheetId="7">#REF!</definedName>
    <definedName name="MDL.100907.02" localSheetId="11">#REF!</definedName>
    <definedName name="MDL.100907.02">#REF!</definedName>
    <definedName name="MDL.100907.03" localSheetId="7">#REF!</definedName>
    <definedName name="MDL.100907.03" localSheetId="11">#REF!</definedName>
    <definedName name="MDL.100907.03">#REF!</definedName>
    <definedName name="MDL.100907.04" localSheetId="7">#REF!</definedName>
    <definedName name="MDL.100907.04" localSheetId="11">#REF!</definedName>
    <definedName name="MDL.100907.04">#REF!</definedName>
    <definedName name="MDL.100907.05" localSheetId="7">#REF!</definedName>
    <definedName name="MDL.100907.05" localSheetId="11">#REF!</definedName>
    <definedName name="MDL.100907.05">#REF!</definedName>
    <definedName name="MDL.100907.97" localSheetId="7">#REF!</definedName>
    <definedName name="MDL.100907.97" localSheetId="11">#REF!</definedName>
    <definedName name="MDL.100907.97">#REF!</definedName>
    <definedName name="MDL.100907.98" localSheetId="7">#REF!</definedName>
    <definedName name="MDL.100907.98" localSheetId="11">#REF!</definedName>
    <definedName name="MDL.100907.98">#REF!</definedName>
    <definedName name="MDL.100907.99" localSheetId="7">#REF!</definedName>
    <definedName name="MDL.100907.99" localSheetId="11">#REF!</definedName>
    <definedName name="MDL.100907.99">#REF!</definedName>
    <definedName name="MemFree">'[61]DDETABLE '!$AD$11</definedName>
    <definedName name="MemTotal">'[61]DDETABLE '!$AD$10</definedName>
    <definedName name="Mepral00" localSheetId="11">[17]Products!#REF!</definedName>
    <definedName name="Mepral00">[17]Products!#REF!</definedName>
    <definedName name="Mepral01" localSheetId="11">[17]Products!#REF!</definedName>
    <definedName name="Mepral01">[17]Products!#REF!</definedName>
    <definedName name="Mepral02" localSheetId="11">[17]Products!#REF!</definedName>
    <definedName name="Mepral02">[17]Products!#REF!</definedName>
    <definedName name="Mepral03" localSheetId="11">[17]Products!#REF!</definedName>
    <definedName name="Mepral03">[17]Products!#REF!</definedName>
    <definedName name="Mepral04" localSheetId="11">[17]Products!#REF!</definedName>
    <definedName name="Mepral04">[17]Products!#REF!</definedName>
    <definedName name="Mepral05" localSheetId="11">[17]Products!#REF!</definedName>
    <definedName name="Mepral05">[17]Products!#REF!</definedName>
    <definedName name="Mepral97" localSheetId="11">[17]Products!#REF!</definedName>
    <definedName name="Mepral97">[17]Products!#REF!</definedName>
    <definedName name="Mepral98" localSheetId="11">[17]Products!#REF!</definedName>
    <definedName name="Mepral98">[17]Products!#REF!</definedName>
    <definedName name="Mepral99" localSheetId="11">[17]Products!#REF!</definedName>
    <definedName name="Mepral99">[17]Products!#REF!</definedName>
    <definedName name="Mexico" localSheetId="7">#REF!</definedName>
    <definedName name="Mexico" localSheetId="11">#REF!</definedName>
    <definedName name="Mexico">#REF!</definedName>
    <definedName name="MFlnsh199div" localSheetId="7">#REF!</definedName>
    <definedName name="MFlnsh199div" localSheetId="11">#REF!</definedName>
    <definedName name="MFlnsh199div">#REF!</definedName>
    <definedName name="mi00">'[18]Annual Model'!$H$30</definedName>
    <definedName name="mi1h01">'[19]Interim Model'!$BD$34</definedName>
    <definedName name="mi1h02">'[19]Interim Model'!$BK$34</definedName>
    <definedName name="mi1q00">'[18]Quarterly Model'!$G$30</definedName>
    <definedName name="mi1q98" localSheetId="7">#REF!</definedName>
    <definedName name="mi1q98" localSheetId="11">#REF!</definedName>
    <definedName name="mi1q98">#REF!</definedName>
    <definedName name="MI1Q99" localSheetId="7">#REF!</definedName>
    <definedName name="MI1Q99" localSheetId="11">#REF!</definedName>
    <definedName name="MI1Q99">#REF!</definedName>
    <definedName name="mi2h00">'[19]Interim Model'!$AZ$34</definedName>
    <definedName name="mi2h01">'[19]Interim Model'!$BG$34</definedName>
    <definedName name="mi2h02">'[19]Interim Model'!$BN$34</definedName>
    <definedName name="mi2q00">'[18]Quarterly Model'!$I$30</definedName>
    <definedName name="mi2q98" localSheetId="7">#REF!</definedName>
    <definedName name="mi2q98" localSheetId="11">#REF!</definedName>
    <definedName name="mi2q98">#REF!</definedName>
    <definedName name="MI2Q99" localSheetId="7">#REF!</definedName>
    <definedName name="MI2Q99" localSheetId="11">#REF!</definedName>
    <definedName name="MI2Q99">#REF!</definedName>
    <definedName name="mi3q00">'[18]Quarterly Model'!$K$30</definedName>
    <definedName name="mi3q98" localSheetId="7">#REF!</definedName>
    <definedName name="mi3q98" localSheetId="11">#REF!</definedName>
    <definedName name="mi3q98">#REF!</definedName>
    <definedName name="mi3q99">'[105]Quarterly Model'!$AU$36</definedName>
    <definedName name="MI3Q99e" localSheetId="7">#REF!</definedName>
    <definedName name="MI3Q99e" localSheetId="11">#REF!</definedName>
    <definedName name="MI3Q99e">#REF!</definedName>
    <definedName name="mi4q00">'[18]Quarterly Model'!$M$30</definedName>
    <definedName name="mi4q98" localSheetId="7">#REF!</definedName>
    <definedName name="mi4q98" localSheetId="11">#REF!</definedName>
    <definedName name="mi4q98">#REF!</definedName>
    <definedName name="mi4q98E" localSheetId="7">#REF!</definedName>
    <definedName name="mi4q98E" localSheetId="11">#REF!</definedName>
    <definedName name="mi4q98E">#REF!</definedName>
    <definedName name="Min" localSheetId="7">#REF!</definedName>
    <definedName name="Min" localSheetId="11">#REF!</definedName>
    <definedName name="Min">#REF!</definedName>
    <definedName name="min1q97" localSheetId="7">#REF!</definedName>
    <definedName name="min1q97" localSheetId="11">#REF!</definedName>
    <definedName name="min1q97">#REF!</definedName>
    <definedName name="min1q97b" localSheetId="7">#REF!</definedName>
    <definedName name="min1q97b" localSheetId="11">#REF!</definedName>
    <definedName name="min1q97b">#REF!</definedName>
    <definedName name="min2q97" localSheetId="7">#REF!</definedName>
    <definedName name="min2q97" localSheetId="11">#REF!</definedName>
    <definedName name="min2q97">#REF!</definedName>
    <definedName name="min2q97b" localSheetId="7">#REF!</definedName>
    <definedName name="min2q97b" localSheetId="11">#REF!</definedName>
    <definedName name="min2q97b">#REF!</definedName>
    <definedName name="minh197">'[19]Interim Model'!$U$34</definedName>
    <definedName name="minorities" localSheetId="7">[66]PNL!$A$39:$IV$39</definedName>
    <definedName name="Minorities" localSheetId="11">#REF!</definedName>
    <definedName name="Minorities">#REF!</definedName>
    <definedName name="minority" localSheetId="7">#REF!</definedName>
    <definedName name="Minority" localSheetId="11">#REF!</definedName>
    <definedName name="Minority">#REF!</definedName>
    <definedName name="Minority_Dividends" localSheetId="7">#REF!</definedName>
    <definedName name="Minority_Dividends" localSheetId="11">#REF!</definedName>
    <definedName name="Minority_Dividends">#REF!</definedName>
    <definedName name="Minority_interests" localSheetId="7">#REF!</definedName>
    <definedName name="Minority_interests" localSheetId="11">#REF!</definedName>
    <definedName name="Minority_interests">#REF!</definedName>
    <definedName name="mipref93" localSheetId="7">#REF!</definedName>
    <definedName name="mipref93" localSheetId="11">#REF!</definedName>
    <definedName name="mipref93">#REF!</definedName>
    <definedName name="mipref94" localSheetId="7">#REF!</definedName>
    <definedName name="mipref94" localSheetId="11">#REF!</definedName>
    <definedName name="mipref94">#REF!</definedName>
    <definedName name="mipref95" localSheetId="7">#REF!</definedName>
    <definedName name="mipref95" localSheetId="11">#REF!</definedName>
    <definedName name="mipref95">#REF!</definedName>
    <definedName name="mipref96" localSheetId="7">#REF!</definedName>
    <definedName name="mipref96" localSheetId="11">#REF!</definedName>
    <definedName name="mipref96">#REF!</definedName>
    <definedName name="mipref97" localSheetId="7">#REF!</definedName>
    <definedName name="mipref97" localSheetId="11">#REF!</definedName>
    <definedName name="mipref97">#REF!</definedName>
    <definedName name="MISSpf">[95]merge!$C$1:$Q$47</definedName>
    <definedName name="MKT_CAP">[86]Main!$H$1:$H$65536</definedName>
    <definedName name="mktval" localSheetId="7">#REF!</definedName>
    <definedName name="mktval" localSheetId="11">#REF!</definedName>
    <definedName name="mktval">#REF!</definedName>
    <definedName name="mktvalus" localSheetId="7">#REF!</definedName>
    <definedName name="mktvalus" localSheetId="11">#REF!</definedName>
    <definedName name="mktvalus">#REF!</definedName>
    <definedName name="model_5yr" localSheetId="11">[59]!model_5yr</definedName>
    <definedName name="model_5yr">[59]!model_5yr</definedName>
    <definedName name="model_type" localSheetId="11">[59]!model_type</definedName>
    <definedName name="model_type">[59]!model_type</definedName>
    <definedName name="month" localSheetId="7">#REF!</definedName>
    <definedName name="month" localSheetId="11">#REF!</definedName>
    <definedName name="month">#REF!</definedName>
    <definedName name="morgages94" localSheetId="7">#REF!</definedName>
    <definedName name="morgages94" localSheetId="11">#REF!</definedName>
    <definedName name="morgages94">#REF!</definedName>
    <definedName name="mortgages93" localSheetId="7">#REF!</definedName>
    <definedName name="mortgages93" localSheetId="11">#REF!</definedName>
    <definedName name="mortgages93">#REF!</definedName>
    <definedName name="mortgages95" localSheetId="7">#REF!</definedName>
    <definedName name="mortgages95" localSheetId="11">#REF!</definedName>
    <definedName name="mortgages95">#REF!</definedName>
    <definedName name="mortgages96" localSheetId="7">#REF!</definedName>
    <definedName name="mortgages96" localSheetId="11">#REF!</definedName>
    <definedName name="mortgages96">#REF!</definedName>
    <definedName name="mortgages97" localSheetId="7">#REF!</definedName>
    <definedName name="mortgages97" localSheetId="11">#REF!</definedName>
    <definedName name="mortgages97">#REF!</definedName>
    <definedName name="mortye97">'[19]Interim Model'!$X$54</definedName>
    <definedName name="MV" localSheetId="7">#REF!</definedName>
    <definedName name="MV" localSheetId="11">#REF!</definedName>
    <definedName name="MV">#REF!</definedName>
    <definedName name="myDialog">"dial"</definedName>
    <definedName name="n" localSheetId="7" hidden="1">{#N/A,#N/A,FALSE,"Annual Earnings Model";#N/A,#N/A,FALSE,"Quarterly Earnings Model";#N/A,#N/A,FALSE,"Header";#N/A,#N/A,FALSE,"Notes"}</definedName>
    <definedName name="n" localSheetId="4" hidden="1">{#N/A,#N/A,FALSE,"Annual Earnings Model";#N/A,#N/A,FALSE,"Quarterly Earnings Model";#N/A,#N/A,FALSE,"Header";#N/A,#N/A,FALSE,"Notes"}</definedName>
    <definedName name="n" hidden="1">{#N/A,#N/A,FALSE,"Annual Earnings Model";#N/A,#N/A,FALSE,"Quarterly Earnings Model";#N/A,#N/A,FALSE,"Header";#N/A,#N/A,FALSE,"Notes"}</definedName>
    <definedName name="n_1" localSheetId="7" hidden="1">{#N/A,#N/A,FALSE,"Annual Earnings Model";#N/A,#N/A,FALSE,"Quarterly Earnings Model";#N/A,#N/A,FALSE,"Header";#N/A,#N/A,FALSE,"Notes"}</definedName>
    <definedName name="n_1" localSheetId="4" hidden="1">{#N/A,#N/A,FALSE,"Annual Earnings Model";#N/A,#N/A,FALSE,"Quarterly Earnings Model";#N/A,#N/A,FALSE,"Header";#N/A,#N/A,FALSE,"Notes"}</definedName>
    <definedName name="n_1" hidden="1">{#N/A,#N/A,FALSE,"Annual Earnings Model";#N/A,#N/A,FALSE,"Quarterly Earnings Model";#N/A,#N/A,FALSE,"Header";#N/A,#N/A,FALSE,"Notes"}</definedName>
    <definedName name="Name">[86]Main!$A$1:$A$65536</definedName>
    <definedName name="Nasacort00" localSheetId="7">#REF!</definedName>
    <definedName name="Nasacort00" localSheetId="11">#REF!</definedName>
    <definedName name="Nasacort00">#REF!</definedName>
    <definedName name="Nasacort01" localSheetId="7">#REF!</definedName>
    <definedName name="Nasacort01" localSheetId="11">#REF!</definedName>
    <definedName name="Nasacort01">#REF!</definedName>
    <definedName name="Nasacort02" localSheetId="7">#REF!</definedName>
    <definedName name="Nasacort02" localSheetId="11">#REF!</definedName>
    <definedName name="Nasacort02">#REF!</definedName>
    <definedName name="Nasacort03" localSheetId="7">#REF!</definedName>
    <definedName name="Nasacort03" localSheetId="11">#REF!</definedName>
    <definedName name="Nasacort03">#REF!</definedName>
    <definedName name="Nasacort04" localSheetId="7">#REF!</definedName>
    <definedName name="Nasacort04" localSheetId="11">#REF!</definedName>
    <definedName name="Nasacort04">#REF!</definedName>
    <definedName name="Nasacort05" localSheetId="7">#REF!</definedName>
    <definedName name="Nasacort05" localSheetId="11">#REF!</definedName>
    <definedName name="Nasacort05">#REF!</definedName>
    <definedName name="Nasacort97" localSheetId="7">#REF!</definedName>
    <definedName name="Nasacort97" localSheetId="11">#REF!</definedName>
    <definedName name="Nasacort97">#REF!</definedName>
    <definedName name="Nasacort98" localSheetId="7">#REF!</definedName>
    <definedName name="Nasacort98" localSheetId="11">#REF!</definedName>
    <definedName name="Nasacort98">#REF!</definedName>
    <definedName name="Nasacort99" localSheetId="7">#REF!</definedName>
    <definedName name="Nasacort99" localSheetId="11">#REF!</definedName>
    <definedName name="Nasacort99">#REF!</definedName>
    <definedName name="NAV">#N/A</definedName>
    <definedName name="NBMULT" localSheetId="7">#REF!</definedName>
    <definedName name="NBMULT" localSheetId="11">#REF!</definedName>
    <definedName name="NBMULT">#REF!</definedName>
    <definedName name="Nbr_of_employees__avg" localSheetId="7">#REF!</definedName>
    <definedName name="Nbr_of_employees__avg" localSheetId="11">#REF!</definedName>
    <definedName name="Nbr_of_employees__avg">#REF!</definedName>
    <definedName name="Nbr_of_employees__Y_E" localSheetId="7">#REF!</definedName>
    <definedName name="Nbr_of_employees__Y_E" localSheetId="11">#REF!</definedName>
    <definedName name="Nbr_of_employees__Y_E">#REF!</definedName>
    <definedName name="Nbr_of_employees_comp_units_Y_E" localSheetId="7">#REF!</definedName>
    <definedName name="Nbr_of_employees_comp_units_Y_E" localSheetId="11">#REF!</definedName>
    <definedName name="Nbr_of_employees_comp_units_Y_E">#REF!</definedName>
    <definedName name="Nefazodone00" localSheetId="11">[17]Products!#REF!</definedName>
    <definedName name="Nefazodone00">[17]Products!#REF!</definedName>
    <definedName name="Nefazodone01" localSheetId="11">[17]Products!#REF!</definedName>
    <definedName name="Nefazodone01">[17]Products!#REF!</definedName>
    <definedName name="Nefazodone02" localSheetId="11">[17]Products!#REF!</definedName>
    <definedName name="Nefazodone02">[17]Products!#REF!</definedName>
    <definedName name="Nefazodone03" localSheetId="11">[17]Products!#REF!</definedName>
    <definedName name="Nefazodone03">[17]Products!#REF!</definedName>
    <definedName name="Nefazodone04" localSheetId="11">[17]Products!#REF!</definedName>
    <definedName name="Nefazodone04">[17]Products!#REF!</definedName>
    <definedName name="Nefazodone05" localSheetId="11">[17]Products!#REF!</definedName>
    <definedName name="Nefazodone05">[17]Products!#REF!</definedName>
    <definedName name="Nefazodone97" localSheetId="11">[17]Products!#REF!</definedName>
    <definedName name="Nefazodone97">[17]Products!#REF!</definedName>
    <definedName name="Nefazodone98" localSheetId="11">[17]Products!#REF!</definedName>
    <definedName name="Nefazodone98">[17]Products!#REF!</definedName>
    <definedName name="Nefazodone99" localSheetId="11">[17]Products!#REF!</definedName>
    <definedName name="Nefazodone99">[17]Products!#REF!</definedName>
    <definedName name="net" localSheetId="7">#REF!</definedName>
    <definedName name="net" localSheetId="11">#REF!</definedName>
    <definedName name="net">#REF!</definedName>
    <definedName name="Net_adj_for_capitalized_expenses" localSheetId="7">#REF!</definedName>
    <definedName name="Net_adj_for_capitalized_expenses" localSheetId="11">#REF!</definedName>
    <definedName name="Net_adj_for_capitalized_expenses">#REF!</definedName>
    <definedName name="Net_debt" localSheetId="7">#REF!</definedName>
    <definedName name="Net_debt" localSheetId="11">#REF!</definedName>
    <definedName name="Net_debt">#REF!</definedName>
    <definedName name="Net_Income">[34]NOPAT_VDF!$C$94:$AZ$94</definedName>
    <definedName name="Net_income_fore" localSheetId="7">#REF!</definedName>
    <definedName name="Net_income_fore" localSheetId="11">#REF!</definedName>
    <definedName name="Net_income_fore">#REF!</definedName>
    <definedName name="Net_income_growth_avg" localSheetId="11">[34]NOPAT_VDF!#REF!</definedName>
    <definedName name="Net_income_growth_avg">[34]NOPAT_VDF!#REF!</definedName>
    <definedName name="Net_Interest" localSheetId="7">#REF!</definedName>
    <definedName name="Net_Interest" localSheetId="11">#REF!</definedName>
    <definedName name="Net_Interest">#REF!</definedName>
    <definedName name="Net_margin">[34]NOPAT_VDF!$C$113:$AU$113</definedName>
    <definedName name="Net_margin_fore" localSheetId="7">#REF!</definedName>
    <definedName name="Net_margin_fore" localSheetId="11">#REF!</definedName>
    <definedName name="Net_margin_fore">#REF!</definedName>
    <definedName name="Net_non_recurring_items" localSheetId="7">#REF!</definedName>
    <definedName name="Net_non_recurring_items" localSheetId="11">#REF!</definedName>
    <definedName name="Net_non_recurring_items">#REF!</definedName>
    <definedName name="Net_PPE_growth_fore" localSheetId="7">#REF!</definedName>
    <definedName name="Net_PPE_growth_fore" localSheetId="11">#REF!</definedName>
    <definedName name="Net_PPE_growth_fore">#REF!</definedName>
    <definedName name="Net_profit" localSheetId="7">#REF!</definedName>
    <definedName name="Net_profit" localSheetId="11">#REF!</definedName>
    <definedName name="Net_profit">#REF!</definedName>
    <definedName name="Net_Profit_after_Minorities" localSheetId="7">#REF!</definedName>
    <definedName name="Net_Profit_after_Minorities" localSheetId="11">#REF!</definedName>
    <definedName name="Net_Profit_after_Minorities">#REF!</definedName>
    <definedName name="Net_sales">[34]NOPAT_VDF!$C$8:$AE$8</definedName>
    <definedName name="Net_sales_DCF">[34]DCF_VDF!$C$9:$AZ$9</definedName>
    <definedName name="Net_sales_fore" localSheetId="7">#REF!</definedName>
    <definedName name="Net_sales_fore" localSheetId="11">#REF!</definedName>
    <definedName name="Net_sales_fore">#REF!</definedName>
    <definedName name="Net_sales_growth_fore" localSheetId="7">#REF!</definedName>
    <definedName name="Net_sales_growth_fore" localSheetId="11">#REF!</definedName>
    <definedName name="Net_sales_growth_fore">#REF!</definedName>
    <definedName name="Net_Working_Capital" localSheetId="7">#REF!</definedName>
    <definedName name="Net_Working_Capital" localSheetId="11">#REF!</definedName>
    <definedName name="Net_Working_Capital">#REF!</definedName>
    <definedName name="Net_working_capital_turns">'[34]Invested capital_VDF'!$C$97:$AU$97</definedName>
    <definedName name="Net_Worth_Share__DM" localSheetId="7">#REF!</definedName>
    <definedName name="Net_Worth_Share__DM" localSheetId="11">#REF!</definedName>
    <definedName name="Net_Worth_Share__DM">#REF!</definedName>
    <definedName name="netdebt" localSheetId="7">#REF!</definedName>
    <definedName name="netdebt" localSheetId="11">#REF!</definedName>
    <definedName name="netdebt">#REF!</definedName>
    <definedName name="NetDebtPerShare" localSheetId="11">[32]projections!#REF!</definedName>
    <definedName name="NetDebtPerShare">[32]projections!#REF!</definedName>
    <definedName name="netinc00">'[18]Annual Model'!$H$31</definedName>
    <definedName name="netinc01">'[18]Annual Model'!$I$31</definedName>
    <definedName name="netinc02">'[18]Annual Model'!$J$31</definedName>
    <definedName name="netinc03">'[19]Annual Model'!$AH$36</definedName>
    <definedName name="netinc1q00">'[18]Quarterly Model'!$G$31</definedName>
    <definedName name="netinc2q00">'[18]Quarterly Model'!$I$31</definedName>
    <definedName name="netinc3q00">'[18]Quarterly Model'!$K$31</definedName>
    <definedName name="netinc4q00">'[18]Quarterly Model'!$M$31</definedName>
    <definedName name="netinc92">'[19]Annual Model'!$E$36</definedName>
    <definedName name="netinc93" localSheetId="7">#REF!</definedName>
    <definedName name="netinc93" localSheetId="11">#REF!</definedName>
    <definedName name="netinc93">#REF!</definedName>
    <definedName name="netinc94" localSheetId="7">#REF!</definedName>
    <definedName name="netinc94" localSheetId="11">#REF!</definedName>
    <definedName name="netinc94">#REF!</definedName>
    <definedName name="netinc95" localSheetId="7">#REF!</definedName>
    <definedName name="netinc95" localSheetId="11">#REF!</definedName>
    <definedName name="netinc95">#REF!</definedName>
    <definedName name="netinc96" localSheetId="7">#REF!</definedName>
    <definedName name="netinc96" localSheetId="11">#REF!</definedName>
    <definedName name="netinc96">#REF!</definedName>
    <definedName name="netinc97" localSheetId="7">#REF!</definedName>
    <definedName name="netinc97" localSheetId="11">#REF!</definedName>
    <definedName name="netinc97">#REF!</definedName>
    <definedName name="netinc98">'[18]Annual Model'!$E$38</definedName>
    <definedName name="netinc99">'[18]Annual Model'!$G$31</definedName>
    <definedName name="netincq197" localSheetId="7">#REF!</definedName>
    <definedName name="netincq197" localSheetId="11">#REF!</definedName>
    <definedName name="netincq197">#REF!</definedName>
    <definedName name="netincq296" localSheetId="7">#REF!</definedName>
    <definedName name="netincq296" localSheetId="11">#REF!</definedName>
    <definedName name="netincq296">#REF!</definedName>
    <definedName name="netincq297" localSheetId="7">#REF!</definedName>
    <definedName name="netincq297" localSheetId="11">#REF!</definedName>
    <definedName name="netincq297">#REF!</definedName>
    <definedName name="NetInterestIncome" localSheetId="7">#REF!</definedName>
    <definedName name="NetInterestIncome" localSheetId="11">#REF!</definedName>
    <definedName name="NetInterestIncome">#REF!</definedName>
    <definedName name="netintinc00">'[18]Annual Model'!$H$10</definedName>
    <definedName name="netintinc01">'[18]Annual Model'!$I$10</definedName>
    <definedName name="netintinc02">'[18]Annual Model'!$J$10</definedName>
    <definedName name="netintinc1q00">'[18]Quarterly Model'!$G$10</definedName>
    <definedName name="netintinc2q00">'[18]Quarterly Model'!$I$10</definedName>
    <definedName name="netintinc3q00">'[18]Quarterly Model'!$K$10</definedName>
    <definedName name="netintinc4q00">'[18]Quarterly Model'!$M$10</definedName>
    <definedName name="netintinc92">'[19]Annual Model'!$E$7</definedName>
    <definedName name="netintinc93" localSheetId="7">#REF!</definedName>
    <definedName name="netintinc93" localSheetId="11">#REF!</definedName>
    <definedName name="netintinc93">#REF!</definedName>
    <definedName name="netintinc94" localSheetId="7">#REF!</definedName>
    <definedName name="netintinc94" localSheetId="11">#REF!</definedName>
    <definedName name="netintinc94">#REF!</definedName>
    <definedName name="netintinc95" localSheetId="7">#REF!</definedName>
    <definedName name="netintinc95" localSheetId="11">#REF!</definedName>
    <definedName name="netintinc95">#REF!</definedName>
    <definedName name="netintinc96" localSheetId="7">#REF!</definedName>
    <definedName name="netintinc96" localSheetId="11">#REF!</definedName>
    <definedName name="netintinc96">#REF!</definedName>
    <definedName name="netintinc97" localSheetId="7">#REF!</definedName>
    <definedName name="netintinc97" localSheetId="11">#REF!</definedName>
    <definedName name="netintinc97">#REF!</definedName>
    <definedName name="netintinc98">'[18]Annual Model'!$E$10</definedName>
    <definedName name="netintinc99">'[18]Annual Model'!$G$10</definedName>
    <definedName name="netintincAR">'[19]Annual Model'!$T$7</definedName>
    <definedName name="netnonintinc93" localSheetId="7">#REF!</definedName>
    <definedName name="netnonintinc93" localSheetId="11">#REF!</definedName>
    <definedName name="netnonintinc93">#REF!</definedName>
    <definedName name="netnonintinc94" localSheetId="7">#REF!</definedName>
    <definedName name="netnonintinc94" localSheetId="11">#REF!</definedName>
    <definedName name="netnonintinc94">#REF!</definedName>
    <definedName name="netnonintinc95" localSheetId="7">#REF!</definedName>
    <definedName name="netnonintinc95" localSheetId="11">#REF!</definedName>
    <definedName name="netnonintinc95">#REF!</definedName>
    <definedName name="netnonintinc96" localSheetId="7">#REF!</definedName>
    <definedName name="netnonintinc96" localSheetId="11">#REF!</definedName>
    <definedName name="netnonintinc96">#REF!</definedName>
    <definedName name="netnonintinc97" localSheetId="7">#REF!</definedName>
    <definedName name="netnonintinc97" localSheetId="11">#REF!</definedName>
    <definedName name="netnonintinc97">#REF!</definedName>
    <definedName name="netnonintinc98" localSheetId="7">#REF!</definedName>
    <definedName name="netnonintinc98" localSheetId="11">#REF!</definedName>
    <definedName name="netnonintinc98">#REF!</definedName>
    <definedName name="netprov93" localSheetId="7">#REF!</definedName>
    <definedName name="netprov93" localSheetId="11">#REF!</definedName>
    <definedName name="netprov93">#REF!</definedName>
    <definedName name="netprov94" localSheetId="7">#REF!</definedName>
    <definedName name="netprov94" localSheetId="11">#REF!</definedName>
    <definedName name="netprov94">#REF!</definedName>
    <definedName name="netprov95" localSheetId="7">#REF!</definedName>
    <definedName name="netprov95" localSheetId="11">#REF!</definedName>
    <definedName name="netprov95">#REF!</definedName>
    <definedName name="netprov96" localSheetId="7">#REF!</definedName>
    <definedName name="netprov96" localSheetId="11">#REF!</definedName>
    <definedName name="netprov96">#REF!</definedName>
    <definedName name="netprov97" localSheetId="7">#REF!</definedName>
    <definedName name="netprov97" localSheetId="11">#REF!</definedName>
    <definedName name="netprov97">#REF!</definedName>
    <definedName name="nettorev93" localSheetId="7">#REF!</definedName>
    <definedName name="nettorev93" localSheetId="11">#REF!</definedName>
    <definedName name="nettorev93">#REF!</definedName>
    <definedName name="nettorev94" localSheetId="7">#REF!</definedName>
    <definedName name="nettorev94" localSheetId="11">#REF!</definedName>
    <definedName name="nettorev94">#REF!</definedName>
    <definedName name="nettorev95" localSheetId="7">#REF!</definedName>
    <definedName name="nettorev95" localSheetId="11">#REF!</definedName>
    <definedName name="nettorev95">#REF!</definedName>
    <definedName name="nettorev96" localSheetId="7">#REF!</definedName>
    <definedName name="nettorev96" localSheetId="11">#REF!</definedName>
    <definedName name="nettorev96">#REF!</definedName>
    <definedName name="nettorev97" localSheetId="7">#REF!</definedName>
    <definedName name="nettorev97" localSheetId="11">#REF!</definedName>
    <definedName name="nettorev97">#REF!</definedName>
    <definedName name="NetWC_turns_fore" localSheetId="7">#REF!</definedName>
    <definedName name="NetWC_turns_fore" localSheetId="11">#REF!</definedName>
    <definedName name="NetWC_turns_fore">#REF!</definedName>
    <definedName name="new_sotp">[52]SOTP!$H$107:$Q$127</definedName>
    <definedName name="newbel" localSheetId="6" hidden="1">{"IS",#N/A,FALSE,"IS";"RPTIS",#N/A,FALSE,"RPTIS";"STATS",#N/A,FALSE,"STATS";"CELL",#N/A,FALSE,"CELL";"BS",#N/A,FALSE,"BS"}</definedName>
    <definedName name="newbel" localSheetId="7" hidden="1">{"IS",#N/A,FALSE,"IS";"RPTIS",#N/A,FALSE,"RPTIS";"STATS",#N/A,FALSE,"STATS";"CELL",#N/A,FALSE,"CELL";"BS",#N/A,FALSE,"BS"}</definedName>
    <definedName name="newbel" localSheetId="4" hidden="1">{"IS",#N/A,FALSE,"IS";"RPTIS",#N/A,FALSE,"RPTIS";"STATS",#N/A,FALSE,"STATS";"CELL",#N/A,FALSE,"CELL";"BS",#N/A,FALSE,"BS"}</definedName>
    <definedName name="newbel" localSheetId="3" hidden="1">{"IS",#N/A,FALSE,"IS";"RPTIS",#N/A,FALSE,"RPTIS";"STATS",#N/A,FALSE,"STATS";"CELL",#N/A,FALSE,"CELL";"BS",#N/A,FALSE,"BS"}</definedName>
    <definedName name="newbel" localSheetId="11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DEBT" localSheetId="7">#REF!</definedName>
    <definedName name="NEWDEBT" localSheetId="11">#REF!</definedName>
    <definedName name="NEWDEBT">#REF!</definedName>
    <definedName name="newprint" localSheetId="11">[59]!newprint</definedName>
    <definedName name="newprint">[59]!newprint</definedName>
    <definedName name="NEWSPAPERS" localSheetId="7">#REF!</definedName>
    <definedName name="NEWSPAPERS" localSheetId="11">#REF!</definedName>
    <definedName name="NEWSPAPERS">#REF!</definedName>
    <definedName name="NHEInhibitor00" localSheetId="11">[17]Products!#REF!</definedName>
    <definedName name="NHEInhibitor00">[17]Products!#REF!</definedName>
    <definedName name="NHEInhibitor01" localSheetId="11">[17]Products!#REF!</definedName>
    <definedName name="NHEInhibitor01">[17]Products!#REF!</definedName>
    <definedName name="NHEInhibitor02" localSheetId="11">[17]Products!#REF!</definedName>
    <definedName name="NHEInhibitor02">[17]Products!#REF!</definedName>
    <definedName name="NHEInhibitor03" localSheetId="11">[17]Products!#REF!</definedName>
    <definedName name="NHEInhibitor03">[17]Products!#REF!</definedName>
    <definedName name="NHEInhibitor04" localSheetId="11">[17]Products!#REF!</definedName>
    <definedName name="NHEInhibitor04">[17]Products!#REF!</definedName>
    <definedName name="NHEInhibitor05" localSheetId="11">[17]Products!#REF!</definedName>
    <definedName name="NHEInhibitor05">[17]Products!#REF!</definedName>
    <definedName name="NHEInhibitor97" localSheetId="11">[17]Products!#REF!</definedName>
    <definedName name="NHEInhibitor97">[17]Products!#REF!</definedName>
    <definedName name="NHEInhibitor98" localSheetId="11">[17]Products!#REF!</definedName>
    <definedName name="NHEInhibitor98">[17]Products!#REF!</definedName>
    <definedName name="NHEInhibitor99" localSheetId="11">[17]Products!#REF!</definedName>
    <definedName name="NHEInhibitor99">[17]Products!#REF!</definedName>
    <definedName name="ni.00">'[60]Dial P&amp;L'!$B$39</definedName>
    <definedName name="ni.01">'[60]Dial P&amp;L'!$C$39</definedName>
    <definedName name="ni1q97" localSheetId="7">#REF!</definedName>
    <definedName name="ni1q97" localSheetId="11">#REF!</definedName>
    <definedName name="ni1q97">#REF!</definedName>
    <definedName name="ni1q97b" localSheetId="7">#REF!</definedName>
    <definedName name="ni1q97b" localSheetId="11">#REF!</definedName>
    <definedName name="ni1q97b">#REF!</definedName>
    <definedName name="ni1q98" localSheetId="7">#REF!</definedName>
    <definedName name="ni1q98" localSheetId="11">#REF!</definedName>
    <definedName name="ni1q98">#REF!</definedName>
    <definedName name="ni2q97" localSheetId="7">#REF!</definedName>
    <definedName name="ni2q97" localSheetId="11">#REF!</definedName>
    <definedName name="ni2q97">#REF!</definedName>
    <definedName name="ni2q97b" localSheetId="7">#REF!</definedName>
    <definedName name="ni2q97b" localSheetId="11">#REF!</definedName>
    <definedName name="ni2q97b">#REF!</definedName>
    <definedName name="ni2q98" localSheetId="7">#REF!</definedName>
    <definedName name="ni2q98" localSheetId="11">#REF!</definedName>
    <definedName name="ni2q98">#REF!</definedName>
    <definedName name="ni2q99" localSheetId="7">#REF!</definedName>
    <definedName name="ni2q99" localSheetId="11">#REF!</definedName>
    <definedName name="ni2q99">#REF!</definedName>
    <definedName name="ni3q98" localSheetId="7">#REF!</definedName>
    <definedName name="ni3q98" localSheetId="11">#REF!</definedName>
    <definedName name="ni3q98">#REF!</definedName>
    <definedName name="ni3q99" localSheetId="7">#REF!</definedName>
    <definedName name="ni3q99" localSheetId="11">#REF!</definedName>
    <definedName name="ni3q99">#REF!</definedName>
    <definedName name="ni4q98" localSheetId="7">#REF!</definedName>
    <definedName name="ni4q98" localSheetId="11">#REF!</definedName>
    <definedName name="ni4q98">#REF!</definedName>
    <definedName name="NICHOLE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landron00" localSheetId="7">#REF!</definedName>
    <definedName name="Nilandron00" localSheetId="11">#REF!</definedName>
    <definedName name="Nilandron00">#REF!</definedName>
    <definedName name="Nilandron01" localSheetId="7">#REF!</definedName>
    <definedName name="Nilandron01" localSheetId="11">#REF!</definedName>
    <definedName name="Nilandron01">#REF!</definedName>
    <definedName name="Nilandron02" localSheetId="7">#REF!</definedName>
    <definedName name="Nilandron02" localSheetId="11">#REF!</definedName>
    <definedName name="Nilandron02">#REF!</definedName>
    <definedName name="Nilandron03" localSheetId="7">#REF!</definedName>
    <definedName name="Nilandron03" localSheetId="11">#REF!</definedName>
    <definedName name="Nilandron03">#REF!</definedName>
    <definedName name="Nilandron04" localSheetId="7">#REF!</definedName>
    <definedName name="Nilandron04" localSheetId="11">#REF!</definedName>
    <definedName name="Nilandron04">#REF!</definedName>
    <definedName name="Nilandron05" localSheetId="7">#REF!</definedName>
    <definedName name="Nilandron05" localSheetId="11">#REF!</definedName>
    <definedName name="Nilandron05">#REF!</definedName>
    <definedName name="Nilandron97" localSheetId="7">#REF!</definedName>
    <definedName name="Nilandron97" localSheetId="11">#REF!</definedName>
    <definedName name="Nilandron97">#REF!</definedName>
    <definedName name="Nilandron98" localSheetId="7">#REF!</definedName>
    <definedName name="Nilandron98" localSheetId="11">#REF!</definedName>
    <definedName name="Nilandron98">#REF!</definedName>
    <definedName name="Nilandron99" localSheetId="7">#REF!</definedName>
    <definedName name="Nilandron99" localSheetId="11">#REF!</definedName>
    <definedName name="Nilandron99">#REF!</definedName>
    <definedName name="nim00">'[18]Annual Model'!$H$13</definedName>
    <definedName name="nim1q00">'[18]Quarterly Model'!$G$13</definedName>
    <definedName name="nim2q00">'[18]Quarterly Model'!$I$13</definedName>
    <definedName name="nim2q97" localSheetId="7">#REF!</definedName>
    <definedName name="nim2q97" localSheetId="11">#REF!</definedName>
    <definedName name="nim2q97">#REF!</definedName>
    <definedName name="nim2q97b" localSheetId="7">#REF!</definedName>
    <definedName name="nim2q97b" localSheetId="11">#REF!</definedName>
    <definedName name="nim2q97b">#REF!</definedName>
    <definedName name="nim3q00">'[18]Quarterly Model'!$K$13</definedName>
    <definedName name="nim4q00">'[18]Quarterly Model'!$M$13</definedName>
    <definedName name="nimh197">'[19]Interim Model'!$U$8</definedName>
    <definedName name="nimh198">'[19]Interim Model'!$AB$8</definedName>
    <definedName name="nimq296" localSheetId="7">#REF!</definedName>
    <definedName name="nimq296" localSheetId="11">#REF!</definedName>
    <definedName name="nimq296">#REF!</definedName>
    <definedName name="NINT" localSheetId="7">#REF!</definedName>
    <definedName name="NINT" localSheetId="11">#REF!</definedName>
    <definedName name="NINT">#REF!</definedName>
    <definedName name="nn" localSheetId="6" hidden="1">{#N/A,#N/A,FALSE,"Sheet1";#N/A,#N/A,FALSE,"Sheet2";#N/A,#N/A,FALSE,"Sheet3";#N/A,#N/A,FALSE,"Sheet4";#N/A,#N/A,FALSE,"Sheet5";#N/A,#N/A,FALSE,"Sheet6"}</definedName>
    <definedName name="nn" localSheetId="7" hidden="1">{#N/A,#N/A,FALSE,"Sheet1";#N/A,#N/A,FALSE,"Sheet2";#N/A,#N/A,FALSE,"Sheet3";#N/A,#N/A,FALSE,"Sheet4";#N/A,#N/A,FALSE,"Sheet5";#N/A,#N/A,FALSE,"Sheet6"}</definedName>
    <definedName name="nn" localSheetId="4" hidden="1">{#N/A,#N/A,FALSE,"Sheet1";#N/A,#N/A,FALSE,"Sheet2";#N/A,#N/A,FALSE,"Sheet3";#N/A,#N/A,FALSE,"Sheet4";#N/A,#N/A,FALSE,"Sheet5";#N/A,#N/A,FALSE,"Sheet6"}</definedName>
    <definedName name="nn" localSheetId="3" hidden="1">{#N/A,#N/A,FALSE,"Sheet1";#N/A,#N/A,FALSE,"Sheet2";#N/A,#N/A,FALSE,"Sheet3";#N/A,#N/A,FALSE,"Sheet4";#N/A,#N/A,FALSE,"Sheet5";#N/A,#N/A,FALSE,"Sheet6"}</definedName>
    <definedName name="nn" localSheetId="11" hidden="1">{#N/A,#N/A,FALSE,"Sheet1";#N/A,#N/A,FALSE,"Sheet2";#N/A,#N/A,FALSE,"Sheet3";#N/A,#N/A,FALSE,"Sheet4";#N/A,#N/A,FALSE,"Sheet5";#N/A,#N/A,FALSE,"Sheet6"}</definedName>
    <definedName name="nn" hidden="1">{#N/A,#N/A,FALSE,"Sheet1";#N/A,#N/A,FALSE,"Sheet2";#N/A,#N/A,FALSE,"Sheet3";#N/A,#N/A,FALSE,"Sheet4";#N/A,#N/A,FALSE,"Sheet5";#N/A,#N/A,FALSE,"Sheet6"}</definedName>
    <definedName name="NO_SHARES" localSheetId="7">#REF!</definedName>
    <definedName name="NO_SHARES" localSheetId="11">#REF!</definedName>
    <definedName name="NO_SHARES">#REF!</definedName>
    <definedName name="Non_recurring_costs" localSheetId="7">#REF!</definedName>
    <definedName name="Non_recurring_costs" localSheetId="11">#REF!</definedName>
    <definedName name="Non_recurring_costs">#REF!</definedName>
    <definedName name="Non_recurring_income" localSheetId="7">#REF!</definedName>
    <definedName name="Non_recurring_income" localSheetId="11">#REF!</definedName>
    <definedName name="Non_recurring_income">#REF!</definedName>
    <definedName name="Non_usage" localSheetId="7">#REF!</definedName>
    <definedName name="Non_usage" localSheetId="11">#REF!</definedName>
    <definedName name="Non_usage">#REF!</definedName>
    <definedName name="nonintic01">'[93]Annual Model'!$AA$10</definedName>
    <definedName name="nonintinc00">'[18]Annual Model'!$H$14</definedName>
    <definedName name="nonintinc01">'[18]Annual Model'!$I$14</definedName>
    <definedName name="nonintinc02">'[18]Annual Model'!$J$14</definedName>
    <definedName name="nonintinc1q00">'[18]Quarterly Model'!$G$14</definedName>
    <definedName name="nonintinc2q00">'[18]Quarterly Model'!$I$14</definedName>
    <definedName name="nonintinc3q00">'[18]Quarterly Model'!$K$14</definedName>
    <definedName name="nonintinc4q00">'[18]Quarterly Model'!$M$14</definedName>
    <definedName name="nonintinc93">'[19]Annual Model'!$F$10</definedName>
    <definedName name="nonintinc94">'[19]Annual Model'!$G$10</definedName>
    <definedName name="nonintinc95">'[19]Annual Model'!$I$10</definedName>
    <definedName name="nonintinc96">'[19]Annual Model'!$L$10</definedName>
    <definedName name="nonintinc97">'[19]Annual Model'!$N$10</definedName>
    <definedName name="nonintinc98">'[18]Annual Model'!$E$14</definedName>
    <definedName name="nonintinc99">'[18]Annual Model'!$G$14</definedName>
    <definedName name="NONREG" localSheetId="7">#REF!</definedName>
    <definedName name="NONREG" localSheetId="11">#REF!</definedName>
    <definedName name="NONREG">#REF!</definedName>
    <definedName name="nop00">'[19]Annual Model'!$V$28</definedName>
    <definedName name="NOPAT" localSheetId="7">[34]NOPAT_VDF!$C$41:$AU$41</definedName>
    <definedName name="NOPAT" localSheetId="11">#REF!</definedName>
    <definedName name="NOPAT">#REF!</definedName>
    <definedName name="NOPAT_DCF">[34]DCF_VDF!$C$12:$AZ$12</definedName>
    <definedName name="NOPAT_fore" localSheetId="7">#REF!</definedName>
    <definedName name="NOPAT_fore" localSheetId="11">#REF!</definedName>
    <definedName name="NOPAT_fore">#REF!</definedName>
    <definedName name="NOPAT_growth_avg" localSheetId="11">[34]NOPAT_VDF!#REF!</definedName>
    <definedName name="NOPAT_growth_avg">[34]NOPAT_VDF!#REF!</definedName>
    <definedName name="NOPAT_margin">[34]NOPAT_VDF!$C$112:$AU$112</definedName>
    <definedName name="NOPAT_margin_fore" localSheetId="7">#REF!</definedName>
    <definedName name="NOPAT_margin_fore" localSheetId="11">#REF!</definedName>
    <definedName name="NOPAT_margin_fore">#REF!</definedName>
    <definedName name="NOPAT_Share" localSheetId="11">[34]NOPAT_VDF!#REF!</definedName>
    <definedName name="NOPAT_Share">[34]NOPAT_VDF!#REF!</definedName>
    <definedName name="NOPBT">[34]NOPAT_VDF!$C$32:$AU$32</definedName>
    <definedName name="NOPBT_fore" localSheetId="7">#REF!</definedName>
    <definedName name="NOPBT_fore" localSheetId="11">#REF!</definedName>
    <definedName name="NOPBT_fore">#REF!</definedName>
    <definedName name="noph194">'[19]Interim Model'!$E$27</definedName>
    <definedName name="noph195">'[19]Interim Model'!$L$27</definedName>
    <definedName name="noph196">'[19]Interim Model'!$M$27</definedName>
    <definedName name="noph294">'[19]Interim Model'!$H$27</definedName>
    <definedName name="Norm_forecast_11_15" localSheetId="7">#REF!</definedName>
    <definedName name="Norm_forecast_11_15" localSheetId="11">#REF!</definedName>
    <definedName name="Norm_forecast_11_15">#REF!</definedName>
    <definedName name="Norm_forecast_16_25" localSheetId="7">#REF!</definedName>
    <definedName name="Norm_forecast_16_25" localSheetId="11">#REF!</definedName>
    <definedName name="Norm_forecast_16_25">#REF!</definedName>
    <definedName name="Norm_forecast_4_5" localSheetId="7">#REF!</definedName>
    <definedName name="Norm_forecast_4_5" localSheetId="11">#REF!</definedName>
    <definedName name="Norm_forecast_4_5">#REF!</definedName>
    <definedName name="Norm_forecast_6_10" localSheetId="7">#REF!</definedName>
    <definedName name="Norm_forecast_6_10" localSheetId="11">#REF!</definedName>
    <definedName name="Norm_forecast_6_10">#REF!</definedName>
    <definedName name="normal">[94]qorfa!$A$1:$Z$161</definedName>
    <definedName name="Normalized_Target_Multiples" localSheetId="7">#REF!</definedName>
    <definedName name="Normalized_Target_Multiples" localSheetId="11">#REF!</definedName>
    <definedName name="Normalized_Target_Multiples">#REF!</definedName>
    <definedName name="North_America" localSheetId="7">#REF!</definedName>
    <definedName name="North_America" localSheetId="11">#REF!</definedName>
    <definedName name="North_America">#REF!</definedName>
    <definedName name="North_America_w" localSheetId="7">#REF!</definedName>
    <definedName name="North_America_w" localSheetId="11">#REF!</definedName>
    <definedName name="North_America_w">#REF!</definedName>
    <definedName name="Novalgin00" localSheetId="7">#REF!</definedName>
    <definedName name="Novalgin00" localSheetId="11">#REF!</definedName>
    <definedName name="Novalgin00">#REF!</definedName>
    <definedName name="Novalgin01" localSheetId="7">#REF!</definedName>
    <definedName name="Novalgin01" localSheetId="11">#REF!</definedName>
    <definedName name="Novalgin01">#REF!</definedName>
    <definedName name="Novalgin02" localSheetId="7">#REF!</definedName>
    <definedName name="Novalgin02" localSheetId="11">#REF!</definedName>
    <definedName name="Novalgin02">#REF!</definedName>
    <definedName name="Novalgin03" localSheetId="7">#REF!</definedName>
    <definedName name="Novalgin03" localSheetId="11">#REF!</definedName>
    <definedName name="Novalgin03">#REF!</definedName>
    <definedName name="Novalgin04" localSheetId="7">#REF!</definedName>
    <definedName name="Novalgin04" localSheetId="11">#REF!</definedName>
    <definedName name="Novalgin04">#REF!</definedName>
    <definedName name="Novalgin05" localSheetId="7">#REF!</definedName>
    <definedName name="Novalgin05" localSheetId="11">#REF!</definedName>
    <definedName name="Novalgin05">#REF!</definedName>
    <definedName name="Novalgin97" localSheetId="7">#REF!</definedName>
    <definedName name="Novalgin97" localSheetId="11">#REF!</definedName>
    <definedName name="Novalgin97">#REF!</definedName>
    <definedName name="Novalgin98" localSheetId="7">#REF!</definedName>
    <definedName name="Novalgin98" localSheetId="11">#REF!</definedName>
    <definedName name="Novalgin98">#REF!</definedName>
    <definedName name="Novalgin99" localSheetId="7">#REF!</definedName>
    <definedName name="Novalgin99" localSheetId="11">#REF!</definedName>
    <definedName name="Novalgin99">#REF!</definedName>
    <definedName name="npaln00" localSheetId="11">'[18]Annual Model'!#REF!</definedName>
    <definedName name="npaln00">'[18]Annual Model'!#REF!</definedName>
    <definedName name="npaln01" localSheetId="11">'[18]Annual Model'!#REF!</definedName>
    <definedName name="npaln01">'[18]Annual Model'!#REF!</definedName>
    <definedName name="npaln02" localSheetId="11">'[18]Annual Model'!#REF!</definedName>
    <definedName name="npaln02">'[18]Annual Model'!#REF!</definedName>
    <definedName name="npaln1q00">'[18]Quarterly Model'!$G$93</definedName>
    <definedName name="npaln2q00">'[18]Quarterly Model'!$I$93</definedName>
    <definedName name="npaln2q97" localSheetId="7">#REF!</definedName>
    <definedName name="npaln2q97" localSheetId="11">#REF!</definedName>
    <definedName name="npaln2q97">#REF!</definedName>
    <definedName name="npaln2q97b" localSheetId="7">#REF!</definedName>
    <definedName name="npaln2q97b" localSheetId="11">#REF!</definedName>
    <definedName name="npaln2q97b">#REF!</definedName>
    <definedName name="npaln3q00">'[18]Quarterly Model'!$K$93</definedName>
    <definedName name="npaln4q00">'[18]Quarterly Model'!$M$93</definedName>
    <definedName name="npaln95">'[19]Annual Model'!$I$104</definedName>
    <definedName name="npaln98" localSheetId="11">'[18]Annual Model'!#REF!</definedName>
    <definedName name="npaln98">'[18]Annual Model'!#REF!</definedName>
    <definedName name="npaln99" localSheetId="11">'[18]Annual Model'!#REF!</definedName>
    <definedName name="npaln99">'[18]Annual Model'!#REF!</definedName>
    <definedName name="npalnh197">'[19]Interim Model'!$U$103</definedName>
    <definedName name="npalnh198">'[19]Interim Model'!$AB$103</definedName>
    <definedName name="npalnq296" localSheetId="7">#REF!</definedName>
    <definedName name="npalnq296" localSheetId="11">#REF!</definedName>
    <definedName name="npalnq296">#REF!</definedName>
    <definedName name="npalns1q98" localSheetId="7">#REF!</definedName>
    <definedName name="npalns1q98" localSheetId="11">#REF!</definedName>
    <definedName name="npalns1q98">#REF!</definedName>
    <definedName name="npalns1q99" localSheetId="7">#REF!</definedName>
    <definedName name="npalns1q99" localSheetId="11">#REF!</definedName>
    <definedName name="npalns1q99">#REF!</definedName>
    <definedName name="npalns2q98" localSheetId="7">#REF!</definedName>
    <definedName name="npalns2q98" localSheetId="11">#REF!</definedName>
    <definedName name="npalns2q98">#REF!</definedName>
    <definedName name="npalns2q99" localSheetId="7">#REF!</definedName>
    <definedName name="npalns2q99" localSheetId="11">#REF!</definedName>
    <definedName name="npalns2q99">#REF!</definedName>
    <definedName name="npalns3q98" localSheetId="7">#REF!</definedName>
    <definedName name="npalns3q98" localSheetId="11">#REF!</definedName>
    <definedName name="npalns3q98">#REF!</definedName>
    <definedName name="npalns3q99" localSheetId="7">#REF!</definedName>
    <definedName name="npalns3q99" localSheetId="11">#REF!</definedName>
    <definedName name="npalns3q99">#REF!</definedName>
    <definedName name="npalns3q99e" localSheetId="7">#REF!</definedName>
    <definedName name="npalns3q99e" localSheetId="11">#REF!</definedName>
    <definedName name="npalns3q99e">#REF!</definedName>
    <definedName name="npalns4q98" localSheetId="7">#REF!</definedName>
    <definedName name="npalns4q98" localSheetId="11">#REF!</definedName>
    <definedName name="npalns4q98">#REF!</definedName>
    <definedName name="npaloans93" localSheetId="7">#REF!</definedName>
    <definedName name="npaloans93" localSheetId="11">#REF!</definedName>
    <definedName name="npaloans93">#REF!</definedName>
    <definedName name="npaloans94" localSheetId="7">#REF!</definedName>
    <definedName name="npaloans94" localSheetId="11">#REF!</definedName>
    <definedName name="npaloans94">#REF!</definedName>
    <definedName name="npaloans95" localSheetId="7">#REF!</definedName>
    <definedName name="npaloans95" localSheetId="11">#REF!</definedName>
    <definedName name="npaloans95">#REF!</definedName>
    <definedName name="npaloans96" localSheetId="7">#REF!</definedName>
    <definedName name="npaloans96" localSheetId="11">#REF!</definedName>
    <definedName name="npaloans96">#REF!</definedName>
    <definedName name="npaloans97" localSheetId="7">#REF!</definedName>
    <definedName name="npaloans97" localSheetId="11">#REF!</definedName>
    <definedName name="npaloans97">#REF!</definedName>
    <definedName name="npaloans98" localSheetId="7">#REF!</definedName>
    <definedName name="npaloans98" localSheetId="11">#REF!</definedName>
    <definedName name="npaloans98">#REF!</definedName>
    <definedName name="NPAs93">'[19]Annual Model'!$F$78</definedName>
    <definedName name="NPAs94">'[19]Annual Model'!$G$78</definedName>
    <definedName name="NPAs95">'[19]Annual Model'!$I$78</definedName>
    <definedName name="NPAstolns92">'[19]Annual Model'!$E$104</definedName>
    <definedName name="NPAstolns93">'[19]Annual Model'!$F$104</definedName>
    <definedName name="NPAstolns94">'[19]Annual Model'!$G$104</definedName>
    <definedName name="NPAstolns95">'[19]Annual Model'!$I$104</definedName>
    <definedName name="npastolns96">'[19]Annual Model'!$L$104</definedName>
    <definedName name="NPL_LOANS" localSheetId="7">#REF!</definedName>
    <definedName name="NPL_LOANS" localSheetId="11">#REF!</definedName>
    <definedName name="NPL_LOANS">#REF!</definedName>
    <definedName name="npl98H1">'[19]Interim Model'!$AB$81</definedName>
    <definedName name="npl98H2">'[19]Interim Model'!$AE$81</definedName>
    <definedName name="NPT_1">[34]NOPAT_VDF!$P$1:$P$65536</definedName>
    <definedName name="NPT_2">[34]NOPAT_VDF!$O$1:$O$65536</definedName>
    <definedName name="NPT_P">[34]NOPAT_VDF!$Q$1:$Q$65536</definedName>
    <definedName name="nrkkf" localSheetId="11">[38]Input!#REF!</definedName>
    <definedName name="nrkkf">[38]Input!#REF!</definedName>
    <definedName name="nrkpbkf" localSheetId="7">#REF!</definedName>
    <definedName name="nrkpbkf" localSheetId="11">#REF!</definedName>
    <definedName name="nrkpbkf">#REF!</definedName>
    <definedName name="NTV">'[106]Asset quality'!$B$2:$K$70</definedName>
    <definedName name="Number_ordinary_shares">'[66]Capital Structure'!$A$24:$IV$24</definedName>
    <definedName name="nwbbkval00" localSheetId="11">[38]Input!#REF!</definedName>
    <definedName name="nwbbkval00">[38]Input!#REF!</definedName>
    <definedName name="nwbkc" localSheetId="11">[38]Input!#REF!</definedName>
    <definedName name="nwbkc">[38]Input!#REF!</definedName>
    <definedName name="nwbkf" localSheetId="11">[38]Input!#REF!</definedName>
    <definedName name="nwbkf">[38]Input!#REF!</definedName>
    <definedName name="nwbpbkf" localSheetId="7">#REF!</definedName>
    <definedName name="nwbpbkf" localSheetId="11">#REF!</definedName>
    <definedName name="nwbpbkf">#REF!</definedName>
    <definedName name="NWBpTarget" localSheetId="11">[38]Input!#REF!</definedName>
    <definedName name="NWBpTarget">[38]Input!#REF!</definedName>
    <definedName name="Odrik00" localSheetId="7">#REF!</definedName>
    <definedName name="Odrik00" localSheetId="11">#REF!</definedName>
    <definedName name="Odrik00">#REF!</definedName>
    <definedName name="Odrik01" localSheetId="7">#REF!</definedName>
    <definedName name="Odrik01" localSheetId="11">#REF!</definedName>
    <definedName name="Odrik01">#REF!</definedName>
    <definedName name="Odrik02" localSheetId="7">#REF!</definedName>
    <definedName name="Odrik02" localSheetId="11">#REF!</definedName>
    <definedName name="Odrik02">#REF!</definedName>
    <definedName name="Odrik03" localSheetId="7">#REF!</definedName>
    <definedName name="Odrik03" localSheetId="11">#REF!</definedName>
    <definedName name="Odrik03">#REF!</definedName>
    <definedName name="Odrik04" localSheetId="7">#REF!</definedName>
    <definedName name="Odrik04" localSheetId="11">#REF!</definedName>
    <definedName name="Odrik04">#REF!</definedName>
    <definedName name="Odrik05" localSheetId="7">#REF!</definedName>
    <definedName name="Odrik05" localSheetId="11">#REF!</definedName>
    <definedName name="Odrik05">#REF!</definedName>
    <definedName name="Odrik97" localSheetId="7">#REF!</definedName>
    <definedName name="Odrik97" localSheetId="11">#REF!</definedName>
    <definedName name="Odrik97">#REF!</definedName>
    <definedName name="Odrik98" localSheetId="7">#REF!</definedName>
    <definedName name="Odrik98" localSheetId="11">#REF!</definedName>
    <definedName name="Odrik98">#REF!</definedName>
    <definedName name="Odrik99" localSheetId="7">#REF!</definedName>
    <definedName name="Odrik99" localSheetId="11">#REF!</definedName>
    <definedName name="Odrik99">#REF!</definedName>
    <definedName name="Off_B_S_Income">[34]NOPAT_VDF!$C$7:$AZ$7</definedName>
    <definedName name="Off_B_S_Income_DCF">[34]DCF_VDF!$C$8:$BZ$8</definedName>
    <definedName name="Off_B_S_Income_fore" localSheetId="7">#REF!</definedName>
    <definedName name="Off_B_S_Income_fore" localSheetId="11">#REF!</definedName>
    <definedName name="Off_B_S_Income_fore">#REF!</definedName>
    <definedName name="Off_B_S_Income_growth_fore" localSheetId="7">#REF!</definedName>
    <definedName name="Off_B_S_Income_growth_fore" localSheetId="11">#REF!</definedName>
    <definedName name="Off_B_S_Income_growth_fore">#REF!</definedName>
    <definedName name="Off_High_Cov">[37]Depreciation!$N$231</definedName>
    <definedName name="official_ARPU">[66]Revenues!$A$84:$IV$84</definedName>
    <definedName name="Offset" localSheetId="11">[48]STM!#REF!</definedName>
    <definedName name="Offset">[48]STM!#REF!</definedName>
    <definedName name="ok" localSheetId="7" hidden="1">{#N/A,#N/A,FALSE,"Annual Model";#N/A,#N/A,FALSE,"Quarterly Model";#N/A,#N/A,FALSE,"Header";#N/A,#N/A,FALSE,"Notes"}</definedName>
    <definedName name="ok" localSheetId="4" hidden="1">{#N/A,#N/A,FALSE,"Annual Model";#N/A,#N/A,FALSE,"Quarterly Model";#N/A,#N/A,FALSE,"Header";#N/A,#N/A,FALSE,"Notes"}</definedName>
    <definedName name="ok" hidden="1">{#N/A,#N/A,FALSE,"Annual Model";#N/A,#N/A,FALSE,"Quarterly Model";#N/A,#N/A,FALSE,"Header";#N/A,#N/A,FALSE,"Notes"}</definedName>
    <definedName name="ok_1" localSheetId="7" hidden="1">{#N/A,#N/A,FALSE,"Annual Model";#N/A,#N/A,FALSE,"Quarterly Model";#N/A,#N/A,FALSE,"Header";#N/A,#N/A,FALSE,"Notes"}</definedName>
    <definedName name="ok_1" localSheetId="4" hidden="1">{#N/A,#N/A,FALSE,"Annual Model";#N/A,#N/A,FALSE,"Quarterly Model";#N/A,#N/A,FALSE,"Header";#N/A,#N/A,FALSE,"Notes"}</definedName>
    <definedName name="ok_1" hidden="1">{#N/A,#N/A,FALSE,"Annual Model";#N/A,#N/A,FALSE,"Quarterly Model";#N/A,#N/A,FALSE,"Header";#N/A,#N/A,FALSE,"Notes"}</definedName>
    <definedName name="OL_1">'[34]PV of Op Leases_VDF'!$AD$1:$AD$65536</definedName>
    <definedName name="OL_P">'[34]PV of Op Leases_VDF'!$AF$1:$AF$65536</definedName>
    <definedName name="old" localSheetId="11">[97]Airlines!#REF!</definedName>
    <definedName name="old">[97]Airlines!#REF!</definedName>
    <definedName name="OldBrPt" localSheetId="7">#REF!</definedName>
    <definedName name="OldBrPt" localSheetId="11">#REF!</definedName>
    <definedName name="OldBrPt">#REF!</definedName>
    <definedName name="OldBrPt1" localSheetId="7">#REF!</definedName>
    <definedName name="OldBrPt1" localSheetId="11">#REF!</definedName>
    <definedName name="OldBrPt1">#REF!</definedName>
    <definedName name="OldBrPt2" localSheetId="7">#REF!</definedName>
    <definedName name="OldBrPt2" localSheetId="11">#REF!</definedName>
    <definedName name="OldBrPt2">#REF!</definedName>
    <definedName name="OldBrPt3" localSheetId="7">#REF!</definedName>
    <definedName name="OldBrPt3" localSheetId="11">#REF!</definedName>
    <definedName name="OldBrPt3">#REF!</definedName>
    <definedName name="OldBrPt4" localSheetId="7">#REF!</definedName>
    <definedName name="OldBrPt4" localSheetId="11">#REF!</definedName>
    <definedName name="OldBrPt4">#REF!</definedName>
    <definedName name="OldBrPt5" localSheetId="7">#REF!</definedName>
    <definedName name="OldBrPt5" localSheetId="11">#REF!</definedName>
    <definedName name="OldBrPt5">#REF!</definedName>
    <definedName name="Operating_income_fore" localSheetId="7">#REF!</definedName>
    <definedName name="Operating_income_fore" localSheetId="11">#REF!</definedName>
    <definedName name="Operating_income_fore">#REF!</definedName>
    <definedName name="Operating_Lease_Expense">[34]NOPAT_VDF!$C$23:$AZ$23</definedName>
    <definedName name="Operating_Lease_Expense_fore" localSheetId="7">#REF!</definedName>
    <definedName name="Operating_Lease_Expense_fore" localSheetId="11">#REF!</definedName>
    <definedName name="Operating_Lease_Expense_fore">#REF!</definedName>
    <definedName name="Operating_profit" localSheetId="7">#REF!</definedName>
    <definedName name="Operating_profit" localSheetId="11">#REF!</definedName>
    <definedName name="Operating_profit">#REF!</definedName>
    <definedName name="Operating_Sys">'[61]DDETABLE '!$AD$9</definedName>
    <definedName name="Operations" localSheetId="7">#REF!</definedName>
    <definedName name="Operations" localSheetId="11">#REF!</definedName>
    <definedName name="Operations">#REF!</definedName>
    <definedName name="opex_customer_retention">[66]Costs!$A$62:$IV$62</definedName>
    <definedName name="opex_network">[66]Costs!$A$39:$IV$39</definedName>
    <definedName name="opex_other">[66]Costs!$A$66:$IV$66</definedName>
    <definedName name="opex_rental">[66]Costs!$A$43:$IV$43</definedName>
    <definedName name="opex_salaries">[66]Costs!$A$50:$IV$50</definedName>
    <definedName name="opex_sales_marketing">[66]Costs!$A$56:$IV$56</definedName>
    <definedName name="opexp93" localSheetId="7">#REF!</definedName>
    <definedName name="opexp93" localSheetId="11">#REF!</definedName>
    <definedName name="opexp93">#REF!</definedName>
    <definedName name="opexp94" localSheetId="7">#REF!</definedName>
    <definedName name="opexp94" localSheetId="11">#REF!</definedName>
    <definedName name="opexp94">#REF!</definedName>
    <definedName name="opexp95" localSheetId="7">#REF!</definedName>
    <definedName name="opexp95" localSheetId="11">#REF!</definedName>
    <definedName name="opexp95">#REF!</definedName>
    <definedName name="opexp96" localSheetId="7">#REF!</definedName>
    <definedName name="opexp96" localSheetId="11">#REF!</definedName>
    <definedName name="opexp96">#REF!</definedName>
    <definedName name="opexp97" localSheetId="7">#REF!</definedName>
    <definedName name="opexp97" localSheetId="11">#REF!</definedName>
    <definedName name="opexp97">#REF!</definedName>
    <definedName name="opexp98" localSheetId="7">#REF!</definedName>
    <definedName name="opexp98" localSheetId="11">#REF!</definedName>
    <definedName name="opexp98">#REF!</definedName>
    <definedName name="OpGrowth" localSheetId="7">#REF!</definedName>
    <definedName name="OpGrowth" localSheetId="11">#REF!</definedName>
    <definedName name="OpGrowth">#REF!</definedName>
    <definedName name="OpIncome_2000">[76]DHQORFA!$AQ$140</definedName>
    <definedName name="OpIncome_2001">[76]DHQORFA!$AU$140</definedName>
    <definedName name="OpIncome_2002">[76]DHQORFA!$AY$140</definedName>
    <definedName name="OpIncome_2003">[76]DHQORFA!$BC$140</definedName>
    <definedName name="opmargin">[97]Airlines!$A$17:$IV$17</definedName>
    <definedName name="OralTaxoid00" localSheetId="7">#REF!</definedName>
    <definedName name="OralTaxoid00" localSheetId="11">#REF!</definedName>
    <definedName name="OralTaxoid00">#REF!</definedName>
    <definedName name="OralTaxoid01" localSheetId="7">#REF!</definedName>
    <definedName name="OralTaxoid01" localSheetId="11">#REF!</definedName>
    <definedName name="OralTaxoid01">#REF!</definedName>
    <definedName name="OralTaxoid02" localSheetId="7">#REF!</definedName>
    <definedName name="OralTaxoid02" localSheetId="11">#REF!</definedName>
    <definedName name="OralTaxoid02">#REF!</definedName>
    <definedName name="OralTaxoid03" localSheetId="7">#REF!</definedName>
    <definedName name="OralTaxoid03" localSheetId="11">#REF!</definedName>
    <definedName name="OralTaxoid03">#REF!</definedName>
    <definedName name="OralTaxoid04" localSheetId="7">#REF!</definedName>
    <definedName name="OralTaxoid04" localSheetId="11">#REF!</definedName>
    <definedName name="OralTaxoid04">#REF!</definedName>
    <definedName name="OralTaxoid05" localSheetId="7">#REF!</definedName>
    <definedName name="OralTaxoid05" localSheetId="11">#REF!</definedName>
    <definedName name="OralTaxoid05">#REF!</definedName>
    <definedName name="OralTaxoid97" localSheetId="7">#REF!</definedName>
    <definedName name="OralTaxoid97" localSheetId="11">#REF!</definedName>
    <definedName name="OralTaxoid97">#REF!</definedName>
    <definedName name="OralTaxoid98" localSheetId="7">#REF!</definedName>
    <definedName name="OralTaxoid98" localSheetId="11">#REF!</definedName>
    <definedName name="OralTaxoid98">#REF!</definedName>
    <definedName name="OralTaxoid99" localSheetId="7">#REF!</definedName>
    <definedName name="OralTaxoid99" localSheetId="11">#REF!</definedName>
    <definedName name="OralTaxoid99">#REF!</definedName>
    <definedName name="Order_backlog" localSheetId="7">#REF!</definedName>
    <definedName name="Order_backlog" localSheetId="11">#REF!</definedName>
    <definedName name="Order_backlog">#REF!</definedName>
    <definedName name="Order_intake" localSheetId="7">#REF!</definedName>
    <definedName name="Order_intake" localSheetId="11">#REF!</definedName>
    <definedName name="Order_intake">#REF!</definedName>
    <definedName name="Orelox00" localSheetId="7">#REF!</definedName>
    <definedName name="Orelox00" localSheetId="11">#REF!</definedName>
    <definedName name="Orelox00">#REF!</definedName>
    <definedName name="Orelox01" localSheetId="7">#REF!</definedName>
    <definedName name="Orelox01" localSheetId="11">#REF!</definedName>
    <definedName name="Orelox01">#REF!</definedName>
    <definedName name="Orelox02" localSheetId="7">#REF!</definedName>
    <definedName name="Orelox02" localSheetId="11">#REF!</definedName>
    <definedName name="Orelox02">#REF!</definedName>
    <definedName name="Orelox03" localSheetId="7">#REF!</definedName>
    <definedName name="Orelox03" localSheetId="11">#REF!</definedName>
    <definedName name="Orelox03">#REF!</definedName>
    <definedName name="Orelox04" localSheetId="7">#REF!</definedName>
    <definedName name="Orelox04" localSheetId="11">#REF!</definedName>
    <definedName name="Orelox04">#REF!</definedName>
    <definedName name="Orelox05" localSheetId="7">#REF!</definedName>
    <definedName name="Orelox05" localSheetId="11">#REF!</definedName>
    <definedName name="Orelox05">#REF!</definedName>
    <definedName name="Orelox97" localSheetId="7">#REF!</definedName>
    <definedName name="Orelox97" localSheetId="11">#REF!</definedName>
    <definedName name="Orelox97">#REF!</definedName>
    <definedName name="Orelox98" localSheetId="7">#REF!</definedName>
    <definedName name="Orelox98" localSheetId="11">#REF!</definedName>
    <definedName name="Orelox98">#REF!</definedName>
    <definedName name="Orelox99" localSheetId="7">#REF!</definedName>
    <definedName name="Orelox99" localSheetId="11">#REF!</definedName>
    <definedName name="Orelox99">#REF!</definedName>
    <definedName name="OTHAvCE87" localSheetId="7">#REF!</definedName>
    <definedName name="OTHAvCE87" localSheetId="11">#REF!</definedName>
    <definedName name="OTHAvCE87">#REF!</definedName>
    <definedName name="OTHAvCE88" localSheetId="7">#REF!</definedName>
    <definedName name="OTHAvCE88" localSheetId="11">#REF!</definedName>
    <definedName name="OTHAvCE88">#REF!</definedName>
    <definedName name="OTHAvCE89" localSheetId="7">#REF!</definedName>
    <definedName name="OTHAvCE89" localSheetId="11">#REF!</definedName>
    <definedName name="OTHAvCE89">#REF!</definedName>
    <definedName name="OTHAvCE90" localSheetId="7">#REF!</definedName>
    <definedName name="OTHAvCE90" localSheetId="11">#REF!</definedName>
    <definedName name="OTHAvCE90">#REF!</definedName>
    <definedName name="OTHAvCE91" localSheetId="7">#REF!</definedName>
    <definedName name="OTHAvCE91" localSheetId="11">#REF!</definedName>
    <definedName name="OTHAvCE91">#REF!</definedName>
    <definedName name="OTHAvCE92" localSheetId="7">#REF!</definedName>
    <definedName name="OTHAvCE92" localSheetId="11">#REF!</definedName>
    <definedName name="OTHAvCE92">#REF!</definedName>
    <definedName name="OTHAvCE93" localSheetId="7">#REF!</definedName>
    <definedName name="OTHAvCE93" localSheetId="11">#REF!</definedName>
    <definedName name="OTHAvCE93">#REF!</definedName>
    <definedName name="OTHAvCE94" localSheetId="7">#REF!</definedName>
    <definedName name="OTHAvCE94" localSheetId="11">#REF!</definedName>
    <definedName name="OTHAvCE94">#REF!</definedName>
    <definedName name="OTHAvCE95" localSheetId="7">#REF!</definedName>
    <definedName name="OTHAvCE95" localSheetId="11">#REF!</definedName>
    <definedName name="OTHAvCE95">#REF!</definedName>
    <definedName name="OTHAvCE96" localSheetId="7">#REF!</definedName>
    <definedName name="OTHAvCE96" localSheetId="11">#REF!</definedName>
    <definedName name="OTHAvCE96">#REF!</definedName>
    <definedName name="OTHAvCE97" localSheetId="7">#REF!</definedName>
    <definedName name="OTHAvCE97" localSheetId="11">#REF!</definedName>
    <definedName name="OTHAvCE97">#REF!</definedName>
    <definedName name="OTHAvCE98" localSheetId="7">#REF!</definedName>
    <definedName name="OTHAvCE98" localSheetId="11">#REF!</definedName>
    <definedName name="OTHAvCE98">#REF!</definedName>
    <definedName name="OTHAvCE99" localSheetId="7">#REF!</definedName>
    <definedName name="OTHAvCE99" localSheetId="11">#REF!</definedName>
    <definedName name="OTHAvCE99">#REF!</definedName>
    <definedName name="OTHbegcap" localSheetId="7">#REF!</definedName>
    <definedName name="OTHbegcap" localSheetId="11">#REF!</definedName>
    <definedName name="OTHbegcap">#REF!</definedName>
    <definedName name="OTHdebt95" localSheetId="7">#REF!</definedName>
    <definedName name="OTHdebt95" localSheetId="11">#REF!</definedName>
    <definedName name="OTHdebt95">#REF!</definedName>
    <definedName name="OTHER" localSheetId="7">#REF!</definedName>
    <definedName name="OTHER" localSheetId="11">#REF!</definedName>
    <definedName name="OTHER">#REF!</definedName>
    <definedName name="Other_asset_turns">'[34]Invested capital_VDF'!$A$101:$Z$101</definedName>
    <definedName name="Other_asset_turns_fore" localSheetId="7">#REF!</definedName>
    <definedName name="Other_asset_turns_fore" localSheetId="11">#REF!</definedName>
    <definedName name="Other_asset_turns_fore">#REF!</definedName>
    <definedName name="Other_Cash_Items" localSheetId="7">#REF!</definedName>
    <definedName name="Other_Cash_Items" localSheetId="11">#REF!</definedName>
    <definedName name="Other_Cash_Items">#REF!</definedName>
    <definedName name="Other_Creditors" localSheetId="7">#REF!</definedName>
    <definedName name="Other_Creditors" localSheetId="11">#REF!</definedName>
    <definedName name="Other_Creditors">#REF!</definedName>
    <definedName name="Other_current_assets_growth_fore" localSheetId="7">#REF!</definedName>
    <definedName name="Other_current_assets_growth_fore" localSheetId="11">#REF!</definedName>
    <definedName name="Other_current_assets_growth_fore">#REF!</definedName>
    <definedName name="Other_current_liabilities_growth_fore" localSheetId="7">#REF!</definedName>
    <definedName name="Other_current_liabilities_growth_fore" localSheetId="11">#REF!</definedName>
    <definedName name="Other_current_liabilities_growth_fore">#REF!</definedName>
    <definedName name="Other_dividends" localSheetId="11">'[34]Invested capital_VDF'!#REF!</definedName>
    <definedName name="Other_dividends">'[34]Invested capital_VDF'!#REF!</definedName>
    <definedName name="Other_Europe" localSheetId="7">#REF!</definedName>
    <definedName name="Other_Europe" localSheetId="11">#REF!</definedName>
    <definedName name="Other_Europe">#REF!</definedName>
    <definedName name="Other_Europe_Sales" localSheetId="7">#REF!</definedName>
    <definedName name="Other_Europe_Sales" localSheetId="11">#REF!</definedName>
    <definedName name="Other_Europe_Sales">#REF!</definedName>
    <definedName name="Other_Europe_w" localSheetId="7">#REF!</definedName>
    <definedName name="Other_Europe_w" localSheetId="11">#REF!</definedName>
    <definedName name="Other_Europe_w">#REF!</definedName>
    <definedName name="Other_Expenses">[34]NOPAT_VDF!$C$59:$AZ$59</definedName>
    <definedName name="Other_Expenses_fore" localSheetId="7">#REF!</definedName>
    <definedName name="Other_Expenses_fore" localSheetId="11">#REF!</definedName>
    <definedName name="Other_Expenses_fore">#REF!</definedName>
    <definedName name="Other_expenses_gains">[34]NOPAT_VDF!$C$14:$AZ$14</definedName>
    <definedName name="Other_expenses_gains_fore" localSheetId="7">#REF!</definedName>
    <definedName name="Other_expenses_gains_fore" localSheetId="11">#REF!</definedName>
    <definedName name="Other_expenses_gains_fore">#REF!</definedName>
    <definedName name="Other_expenses_growth_fore" localSheetId="7">#REF!</definedName>
    <definedName name="Other_expenses_growth_fore" localSheetId="11">#REF!</definedName>
    <definedName name="Other_expenses_growth_fore">#REF!</definedName>
    <definedName name="Other_Financial_Assets" localSheetId="7">#REF!</definedName>
    <definedName name="Other_Financial_Assets" localSheetId="11">#REF!</definedName>
    <definedName name="Other_Financial_Assets">#REF!</definedName>
    <definedName name="Other_fixed_asset_turns_fore" localSheetId="7">#REF!</definedName>
    <definedName name="Other_fixed_asset_turns_fore" localSheetId="11">#REF!</definedName>
    <definedName name="Other_fixed_asset_turns_fore">#REF!</definedName>
    <definedName name="Other_fixed_assets_growth_fore" localSheetId="7">#REF!</definedName>
    <definedName name="Other_fixed_assets_growth_fore" localSheetId="11">#REF!</definedName>
    <definedName name="Other_fixed_assets_growth_fore">#REF!</definedName>
    <definedName name="Other_growth_fore" localSheetId="7">#REF!</definedName>
    <definedName name="Other_growth_fore" localSheetId="11">#REF!</definedName>
    <definedName name="Other_growth_fore">#REF!</definedName>
    <definedName name="Other_inc_exp_fore" localSheetId="7">#REF!</definedName>
    <definedName name="Other_inc_exp_fore" localSheetId="11">#REF!</definedName>
    <definedName name="Other_inc_exp_fore">#REF!</definedName>
    <definedName name="Other_Income" localSheetId="7">[34]NOPAT_VDF!$C$58:$AZ$58</definedName>
    <definedName name="Other_income" localSheetId="11">#REF!</definedName>
    <definedName name="Other_income">#REF!</definedName>
    <definedName name="Other_income_growth_fore" localSheetId="7">#REF!</definedName>
    <definedName name="Other_income_growth_fore" localSheetId="11">#REF!</definedName>
    <definedName name="Other_income_growth_fore">#REF!</definedName>
    <definedName name="Other_Intangibles" localSheetId="7">#REF!</definedName>
    <definedName name="Other_Intangibles" localSheetId="11">#REF!</definedName>
    <definedName name="Other_Intangibles">#REF!</definedName>
    <definedName name="Other_investments" localSheetId="7">#REF!</definedName>
    <definedName name="Other_investments" localSheetId="11">#REF!</definedName>
    <definedName name="Other_investments">#REF!</definedName>
    <definedName name="Other_liabilities_growth_fore" localSheetId="7">#REF!</definedName>
    <definedName name="Other_liabilities_growth_fore" localSheetId="11">#REF!</definedName>
    <definedName name="Other_liabilities_growth_fore">#REF!</definedName>
    <definedName name="Other_long_term_liabilities" localSheetId="7">#REF!</definedName>
    <definedName name="Other_long_term_liabilities" localSheetId="11">#REF!</definedName>
    <definedName name="Other_long_term_liabilities">#REF!</definedName>
    <definedName name="Other_LT_assets" localSheetId="7">#REF!</definedName>
    <definedName name="Other_LT_assets" localSheetId="11">#REF!</definedName>
    <definedName name="Other_LT_assets">#REF!</definedName>
    <definedName name="Other_non_current_assets" localSheetId="7">#REF!</definedName>
    <definedName name="Other_non_current_assets" localSheetId="11">#REF!</definedName>
    <definedName name="Other_non_current_assets">#REF!</definedName>
    <definedName name="Other_Provisions" localSheetId="7">#REF!</definedName>
    <definedName name="Other_Provisions" localSheetId="11">#REF!</definedName>
    <definedName name="Other_Provisions">#REF!</definedName>
    <definedName name="Other_Segment_Revenues" localSheetId="11">[34]NOPAT_VDF!#REF!</definedName>
    <definedName name="Other_Segment_Revenues">[34]NOPAT_VDF!#REF!</definedName>
    <definedName name="Other_Taxes" localSheetId="7">#REF!</definedName>
    <definedName name="Other_Taxes" localSheetId="11">#REF!</definedName>
    <definedName name="Other_Taxes">#REF!</definedName>
    <definedName name="OtherAmericas" localSheetId="7">#REF!</definedName>
    <definedName name="OtherAmericas" localSheetId="11">#REF!</definedName>
    <definedName name="OtherAmericas">#REF!</definedName>
    <definedName name="OtherAntiInfectives00" localSheetId="7">#REF!</definedName>
    <definedName name="OtherAntiInfectives00" localSheetId="11">#REF!</definedName>
    <definedName name="OtherAntiInfectives00">#REF!</definedName>
    <definedName name="OtherAntiInfectives01" localSheetId="7">#REF!</definedName>
    <definedName name="OtherAntiInfectives01" localSheetId="11">#REF!</definedName>
    <definedName name="OtherAntiInfectives01">#REF!</definedName>
    <definedName name="OtherAntiInfectives02" localSheetId="7">#REF!</definedName>
    <definedName name="OtherAntiInfectives02" localSheetId="11">#REF!</definedName>
    <definedName name="OtherAntiInfectives02">#REF!</definedName>
    <definedName name="OtherAntiInfectives03" localSheetId="7">#REF!</definedName>
    <definedName name="OtherAntiInfectives03" localSheetId="11">#REF!</definedName>
    <definedName name="OtherAntiInfectives03">#REF!</definedName>
    <definedName name="OtherAntiInfectives04" localSheetId="7">#REF!</definedName>
    <definedName name="OtherAntiInfectives04" localSheetId="11">#REF!</definedName>
    <definedName name="OtherAntiInfectives04">#REF!</definedName>
    <definedName name="OtherAntiInfectives05" localSheetId="7">#REF!</definedName>
    <definedName name="OtherAntiInfectives05" localSheetId="11">#REF!</definedName>
    <definedName name="OtherAntiInfectives05">#REF!</definedName>
    <definedName name="OtherAntiInfectives97" localSheetId="7">#REF!</definedName>
    <definedName name="OtherAntiInfectives97" localSheetId="11">#REF!</definedName>
    <definedName name="OtherAntiInfectives97">#REF!</definedName>
    <definedName name="OtherAntiInfectives98" localSheetId="7">#REF!</definedName>
    <definedName name="OtherAntiInfectives98" localSheetId="11">#REF!</definedName>
    <definedName name="OtherAntiInfectives98">#REF!</definedName>
    <definedName name="OtherAntiInfectives99" localSheetId="7">#REF!</definedName>
    <definedName name="OtherAntiInfectives99" localSheetId="11">#REF!</definedName>
    <definedName name="OtherAntiInfectives99">#REF!</definedName>
    <definedName name="OtherBiologics00" localSheetId="7">#REF!</definedName>
    <definedName name="OtherBiologics00" localSheetId="11">#REF!</definedName>
    <definedName name="OtherBiologics00">#REF!</definedName>
    <definedName name="OtherBiologics01" localSheetId="7">#REF!</definedName>
    <definedName name="OtherBiologics01" localSheetId="11">#REF!</definedName>
    <definedName name="OtherBiologics01">#REF!</definedName>
    <definedName name="OtherBiologics02" localSheetId="7">#REF!</definedName>
    <definedName name="OtherBiologics02" localSheetId="11">#REF!</definedName>
    <definedName name="OtherBiologics02">#REF!</definedName>
    <definedName name="OtherBiologics03" localSheetId="7">#REF!</definedName>
    <definedName name="OtherBiologics03" localSheetId="11">#REF!</definedName>
    <definedName name="OtherBiologics03">#REF!</definedName>
    <definedName name="OtherBiologics04" localSheetId="7">#REF!</definedName>
    <definedName name="OtherBiologics04" localSheetId="11">#REF!</definedName>
    <definedName name="OtherBiologics04">#REF!</definedName>
    <definedName name="OtherBiologics05" localSheetId="7">#REF!</definedName>
    <definedName name="OtherBiologics05" localSheetId="11">#REF!</definedName>
    <definedName name="OtherBiologics05">#REF!</definedName>
    <definedName name="OtherBiologics97" localSheetId="7">#REF!</definedName>
    <definedName name="OtherBiologics97" localSheetId="11">#REF!</definedName>
    <definedName name="OtherBiologics97">#REF!</definedName>
    <definedName name="OtherBiologics98" localSheetId="7">#REF!</definedName>
    <definedName name="OtherBiologics98" localSheetId="11">#REF!</definedName>
    <definedName name="OtherBiologics98">#REF!</definedName>
    <definedName name="OtherBiologics99" localSheetId="7">#REF!</definedName>
    <definedName name="OtherBiologics99" localSheetId="11">#REF!</definedName>
    <definedName name="OtherBiologics99">#REF!</definedName>
    <definedName name="OtherBS" localSheetId="7">#REF!</definedName>
    <definedName name="OtherBS" localSheetId="11">#REF!</definedName>
    <definedName name="OtherBS">#REF!</definedName>
    <definedName name="OtherCentralNervousSystem00" localSheetId="7">#REF!</definedName>
    <definedName name="OtherCentralNervousSystem00" localSheetId="11">#REF!</definedName>
    <definedName name="OtherCentralNervousSystem00">#REF!</definedName>
    <definedName name="OtherCentralNervousSystem01" localSheetId="7">#REF!</definedName>
    <definedName name="OtherCentralNervousSystem01" localSheetId="11">#REF!</definedName>
    <definedName name="OtherCentralNervousSystem01">#REF!</definedName>
    <definedName name="OtherCentralNervousSystem02" localSheetId="7">#REF!</definedName>
    <definedName name="OtherCentralNervousSystem02" localSheetId="11">#REF!</definedName>
    <definedName name="OtherCentralNervousSystem02">#REF!</definedName>
    <definedName name="OtherCentralNervousSystem03" localSheetId="7">#REF!</definedName>
    <definedName name="OtherCentralNervousSystem03" localSheetId="11">#REF!</definedName>
    <definedName name="OtherCentralNervousSystem03">#REF!</definedName>
    <definedName name="OtherCentralNervousSystem04" localSheetId="7">#REF!</definedName>
    <definedName name="OtherCentralNervousSystem04" localSheetId="11">#REF!</definedName>
    <definedName name="OtherCentralNervousSystem04">#REF!</definedName>
    <definedName name="OtherCentralNervousSystem05" localSheetId="7">#REF!</definedName>
    <definedName name="OtherCentralNervousSystem05" localSheetId="11">#REF!</definedName>
    <definedName name="OtherCentralNervousSystem05">#REF!</definedName>
    <definedName name="OtherCentralNervousSystem97" localSheetId="7">#REF!</definedName>
    <definedName name="OtherCentralNervousSystem97" localSheetId="11">#REF!</definedName>
    <definedName name="OtherCentralNervousSystem97">#REF!</definedName>
    <definedName name="OtherCentralNervousSystem98" localSheetId="7">#REF!</definedName>
    <definedName name="OtherCentralNervousSystem98" localSheetId="11">#REF!</definedName>
    <definedName name="OtherCentralNervousSystem98">#REF!</definedName>
    <definedName name="OtherCentralNervousSystem99" localSheetId="7">#REF!</definedName>
    <definedName name="OtherCentralNervousSystem99" localSheetId="11">#REF!</definedName>
    <definedName name="OtherCentralNervousSystem99">#REF!</definedName>
    <definedName name="otherdeps93" localSheetId="7">#REF!</definedName>
    <definedName name="otherdeps93" localSheetId="11">#REF!</definedName>
    <definedName name="otherdeps93">#REF!</definedName>
    <definedName name="otherdeps94" localSheetId="7">#REF!</definedName>
    <definedName name="otherdeps94" localSheetId="11">#REF!</definedName>
    <definedName name="otherdeps94">#REF!</definedName>
    <definedName name="otherdeps95" localSheetId="7">#REF!</definedName>
    <definedName name="otherdeps95" localSheetId="11">#REF!</definedName>
    <definedName name="otherdeps95">#REF!</definedName>
    <definedName name="otherdeps96" localSheetId="7">#REF!</definedName>
    <definedName name="otherdeps96" localSheetId="11">#REF!</definedName>
    <definedName name="otherdeps96">#REF!</definedName>
    <definedName name="otherdeps97" localSheetId="7">#REF!</definedName>
    <definedName name="otherdeps97" localSheetId="11">#REF!</definedName>
    <definedName name="otherdeps97">#REF!</definedName>
    <definedName name="OtherEurope" localSheetId="7">#REF!</definedName>
    <definedName name="OtherEurope" localSheetId="11">#REF!</definedName>
    <definedName name="OtherEurope">#REF!</definedName>
    <definedName name="otherinc93" localSheetId="7">#REF!</definedName>
    <definedName name="otherinc93" localSheetId="11">#REF!</definedName>
    <definedName name="otherinc93">#REF!</definedName>
    <definedName name="otherinc94" localSheetId="7">#REF!</definedName>
    <definedName name="otherinc94" localSheetId="11">#REF!</definedName>
    <definedName name="otherinc94">#REF!</definedName>
    <definedName name="otherinc95" localSheetId="7">#REF!</definedName>
    <definedName name="otherinc95" localSheetId="11">#REF!</definedName>
    <definedName name="otherinc95">#REF!</definedName>
    <definedName name="otherinc96" localSheetId="7">#REF!</definedName>
    <definedName name="otherinc96" localSheetId="11">#REF!</definedName>
    <definedName name="otherinc96">#REF!</definedName>
    <definedName name="otherinc97" localSheetId="7">#REF!</definedName>
    <definedName name="otherinc97" localSheetId="11">#REF!</definedName>
    <definedName name="otherinc97">#REF!</definedName>
    <definedName name="otherinc98" localSheetId="11">'[18]Annual Model'!#REF!</definedName>
    <definedName name="otherinc98">'[18]Annual Model'!#REF!</definedName>
    <definedName name="OtherIS" localSheetId="7">#REF!</definedName>
    <definedName name="OtherIS" localSheetId="11">#REF!</definedName>
    <definedName name="OtherIS">#REF!</definedName>
    <definedName name="OtherOncology00" localSheetId="7">#REF!</definedName>
    <definedName name="OtherOncology00" localSheetId="11">#REF!</definedName>
    <definedName name="OtherOncology00">#REF!</definedName>
    <definedName name="OtherOncology01" localSheetId="7">#REF!</definedName>
    <definedName name="OtherOncology01" localSheetId="11">#REF!</definedName>
    <definedName name="OtherOncology01">#REF!</definedName>
    <definedName name="OtherOncology02" localSheetId="7">#REF!</definedName>
    <definedName name="OtherOncology02" localSheetId="11">#REF!</definedName>
    <definedName name="OtherOncology02">#REF!</definedName>
    <definedName name="OtherOncology03" localSheetId="7">#REF!</definedName>
    <definedName name="OtherOncology03" localSheetId="11">#REF!</definedName>
    <definedName name="OtherOncology03">#REF!</definedName>
    <definedName name="OtherOncology04" localSheetId="7">#REF!</definedName>
    <definedName name="OtherOncology04" localSheetId="11">#REF!</definedName>
    <definedName name="OtherOncology04">#REF!</definedName>
    <definedName name="OtherOncology05" localSheetId="7">#REF!</definedName>
    <definedName name="OtherOncology05" localSheetId="11">#REF!</definedName>
    <definedName name="OtherOncology05">#REF!</definedName>
    <definedName name="OtherOncology97" localSheetId="7">#REF!</definedName>
    <definedName name="OtherOncology97" localSheetId="11">#REF!</definedName>
    <definedName name="OtherOncology97">#REF!</definedName>
    <definedName name="OtherOncology98" localSheetId="7">#REF!</definedName>
    <definedName name="OtherOncology98" localSheetId="11">#REF!</definedName>
    <definedName name="OtherOncology98">#REF!</definedName>
    <definedName name="OtherOncology99" localSheetId="7">#REF!</definedName>
    <definedName name="OtherOncology99" localSheetId="11">#REF!</definedName>
    <definedName name="OtherOncology99">#REF!</definedName>
    <definedName name="OtherPacificRim" localSheetId="7">#REF!</definedName>
    <definedName name="OtherPacificRim" localSheetId="11">#REF!</definedName>
    <definedName name="OtherPacificRim">#REF!</definedName>
    <definedName name="OtherRespiratoryandAllergy00" localSheetId="7">#REF!</definedName>
    <definedName name="OtherRespiratoryandAllergy00" localSheetId="11">#REF!</definedName>
    <definedName name="OtherRespiratoryandAllergy00">#REF!</definedName>
    <definedName name="OtherRespiratoryandAllergy02" localSheetId="7">#REF!</definedName>
    <definedName name="OtherRespiratoryandAllergy02" localSheetId="11">#REF!</definedName>
    <definedName name="OtherRespiratoryandAllergy02">#REF!</definedName>
    <definedName name="OtherRespiratoryandAllergy03" localSheetId="7">#REF!</definedName>
    <definedName name="OtherRespiratoryandAllergy03" localSheetId="11">#REF!</definedName>
    <definedName name="OtherRespiratoryandAllergy03">#REF!</definedName>
    <definedName name="OtherRespiratoryandAllergy04" localSheetId="7">#REF!</definedName>
    <definedName name="OtherRespiratoryandAllergy04" localSheetId="11">#REF!</definedName>
    <definedName name="OtherRespiratoryandAllergy04">#REF!</definedName>
    <definedName name="OtherRespiratoryandAllergy05" localSheetId="7">#REF!</definedName>
    <definedName name="OtherRespiratoryandAllergy05" localSheetId="11">#REF!</definedName>
    <definedName name="OtherRespiratoryandAllergy05">#REF!</definedName>
    <definedName name="OtherRespiratoryandAllergy97" localSheetId="7">#REF!</definedName>
    <definedName name="OtherRespiratoryandAllergy97" localSheetId="11">#REF!</definedName>
    <definedName name="OtherRespiratoryandAllergy97">#REF!</definedName>
    <definedName name="OtherRespiratoryandAllergy98" localSheetId="7">#REF!</definedName>
    <definedName name="OtherRespiratoryandAllergy98" localSheetId="11">#REF!</definedName>
    <definedName name="OtherRespiratoryandAllergy98">#REF!</definedName>
    <definedName name="OtherRespiratoryandAllergy99" localSheetId="7">#REF!</definedName>
    <definedName name="OtherRespiratoryandAllergy99" localSheetId="11">#REF!</definedName>
    <definedName name="OtherRespiratoryandAllergy99">#REF!</definedName>
    <definedName name="OtherRevenue_2000">[76]DHQORFA!$AQ$23</definedName>
    <definedName name="OtherThrombosisCardiology00" localSheetId="7">#REF!</definedName>
    <definedName name="OtherThrombosisCardiology00" localSheetId="11">#REF!</definedName>
    <definedName name="OtherThrombosisCardiology00">#REF!</definedName>
    <definedName name="OtherThrombosisCardiology01" localSheetId="7">#REF!</definedName>
    <definedName name="OtherThrombosisCardiology01" localSheetId="11">#REF!</definedName>
    <definedName name="OtherThrombosisCardiology01">#REF!</definedName>
    <definedName name="OtherThrombosisCardiology02" localSheetId="7">#REF!</definedName>
    <definedName name="OtherThrombosisCardiology02" localSheetId="11">#REF!</definedName>
    <definedName name="OtherThrombosisCardiology02">#REF!</definedName>
    <definedName name="OtherThrombosisCardiology03" localSheetId="7">#REF!</definedName>
    <definedName name="OtherThrombosisCardiology03" localSheetId="11">#REF!</definedName>
    <definedName name="OtherThrombosisCardiology03">#REF!</definedName>
    <definedName name="OtherThrombosisCardiology04" localSheetId="7">#REF!</definedName>
    <definedName name="OtherThrombosisCardiology04" localSheetId="11">#REF!</definedName>
    <definedName name="OtherThrombosisCardiology04">#REF!</definedName>
    <definedName name="OtherThrombosisCardiology05" localSheetId="7">#REF!</definedName>
    <definedName name="OtherThrombosisCardiology05" localSheetId="11">#REF!</definedName>
    <definedName name="OtherThrombosisCardiology05">#REF!</definedName>
    <definedName name="OtherThrombosisCardiology97" localSheetId="7">#REF!</definedName>
    <definedName name="OtherThrombosisCardiology97" localSheetId="11">#REF!</definedName>
    <definedName name="OtherThrombosisCardiology97">#REF!</definedName>
    <definedName name="OtherThrombosisCardiology98" localSheetId="7">#REF!</definedName>
    <definedName name="OtherThrombosisCardiology98" localSheetId="11">#REF!</definedName>
    <definedName name="OtherThrombosisCardiology98">#REF!</definedName>
    <definedName name="OtherThrombosisCardiology99" localSheetId="7">#REF!</definedName>
    <definedName name="OtherThrombosisCardiology99" localSheetId="11">#REF!</definedName>
    <definedName name="OtherThrombosisCardiology99">#REF!</definedName>
    <definedName name="othlnsye97">'[19]Interim Model'!$X$56</definedName>
    <definedName name="OTHNOPAT86" localSheetId="7">#REF!</definedName>
    <definedName name="OTHNOPAT86" localSheetId="11">#REF!</definedName>
    <definedName name="OTHNOPAT86">#REF!</definedName>
    <definedName name="OTHNOPAT87" localSheetId="7">#REF!</definedName>
    <definedName name="OTHNOPAT87" localSheetId="11">#REF!</definedName>
    <definedName name="OTHNOPAT87">#REF!</definedName>
    <definedName name="OTHNOPAT88" localSheetId="7">#REF!</definedName>
    <definedName name="OTHNOPAT88" localSheetId="11">#REF!</definedName>
    <definedName name="OTHNOPAT88">#REF!</definedName>
    <definedName name="OTHNOPAT89" localSheetId="7">#REF!</definedName>
    <definedName name="OTHNOPAT89" localSheetId="11">#REF!</definedName>
    <definedName name="OTHNOPAT89">#REF!</definedName>
    <definedName name="OTHNOPAT90" localSheetId="7">#REF!</definedName>
    <definedName name="OTHNOPAT90" localSheetId="11">#REF!</definedName>
    <definedName name="OTHNOPAT90">#REF!</definedName>
    <definedName name="OTHNOPAT91" localSheetId="7">#REF!</definedName>
    <definedName name="OTHNOPAT91" localSheetId="11">#REF!</definedName>
    <definedName name="OTHNOPAT91">#REF!</definedName>
    <definedName name="OTHNOPAT92" localSheetId="7">#REF!</definedName>
    <definedName name="OTHNOPAT92" localSheetId="11">#REF!</definedName>
    <definedName name="OTHNOPAT92">#REF!</definedName>
    <definedName name="OTHNOPAT93" localSheetId="7">#REF!</definedName>
    <definedName name="OTHNOPAT93" localSheetId="11">#REF!</definedName>
    <definedName name="OTHNOPAT93">#REF!</definedName>
    <definedName name="OTHNOPAT94" localSheetId="7">#REF!</definedName>
    <definedName name="OTHNOPAT94" localSheetId="11">#REF!</definedName>
    <definedName name="OTHNOPAT94">#REF!</definedName>
    <definedName name="OTHNOPAT95" localSheetId="7">#REF!</definedName>
    <definedName name="OTHNOPAT95" localSheetId="11">#REF!</definedName>
    <definedName name="OTHNOPAT95">#REF!</definedName>
    <definedName name="OTHNOPAT96" localSheetId="7">#REF!</definedName>
    <definedName name="OTHNOPAT96" localSheetId="11">#REF!</definedName>
    <definedName name="OTHNOPAT96">#REF!</definedName>
    <definedName name="OTHNOPAT97" localSheetId="7">#REF!</definedName>
    <definedName name="OTHNOPAT97" localSheetId="11">#REF!</definedName>
    <definedName name="OTHNOPAT97">#REF!</definedName>
    <definedName name="OTHNOPAT98" localSheetId="7">#REF!</definedName>
    <definedName name="OTHNOPAT98" localSheetId="11">#REF!</definedName>
    <definedName name="OTHNOPAT98">#REF!</definedName>
    <definedName name="OTHNOPAT99" localSheetId="7">#REF!</definedName>
    <definedName name="OTHNOPAT99" localSheetId="11">#REF!</definedName>
    <definedName name="OTHNOPAT99">#REF!</definedName>
    <definedName name="OTHTotCE" localSheetId="7">#REF!</definedName>
    <definedName name="OTHTotCE" localSheetId="11">#REF!</definedName>
    <definedName name="OTHTotCE">#REF!</definedName>
    <definedName name="OWN" localSheetId="11">'[2]teo model'!#REF!</definedName>
    <definedName name="OWN">'[2]teo model'!#REF!</definedName>
    <definedName name="P" localSheetId="11">'[2]teo model'!#REF!</definedName>
    <definedName name="P">'[2]teo model'!#REF!</definedName>
    <definedName name="P_CF_VALUE">[86]Main!$DX$1:$DX$65536</definedName>
    <definedName name="P_CF_VALUE_2001">[86]Main!$DX$1:$DX$65536</definedName>
    <definedName name="p53.00" localSheetId="7">#REF!</definedName>
    <definedName name="p53.00" localSheetId="11">#REF!</definedName>
    <definedName name="p53.00">#REF!</definedName>
    <definedName name="p53.01" localSheetId="7">#REF!</definedName>
    <definedName name="p53.01" localSheetId="11">#REF!</definedName>
    <definedName name="p53.01">#REF!</definedName>
    <definedName name="p53.02" localSheetId="7">#REF!</definedName>
    <definedName name="p53.02" localSheetId="11">#REF!</definedName>
    <definedName name="p53.02">#REF!</definedName>
    <definedName name="p53.03" localSheetId="7">#REF!</definedName>
    <definedName name="p53.03" localSheetId="11">#REF!</definedName>
    <definedName name="p53.03">#REF!</definedName>
    <definedName name="p53.04" localSheetId="7">#REF!</definedName>
    <definedName name="p53.04" localSheetId="11">#REF!</definedName>
    <definedName name="p53.04">#REF!</definedName>
    <definedName name="p53.05" localSheetId="7">#REF!</definedName>
    <definedName name="p53.05" localSheetId="11">#REF!</definedName>
    <definedName name="p53.05">#REF!</definedName>
    <definedName name="p53.97" localSheetId="7">#REF!</definedName>
    <definedName name="p53.97" localSheetId="11">#REF!</definedName>
    <definedName name="p53.97">#REF!</definedName>
    <definedName name="p53.98" localSheetId="7">#REF!</definedName>
    <definedName name="p53.98" localSheetId="11">#REF!</definedName>
    <definedName name="p53.98">#REF!</definedName>
    <definedName name="p53.99" localSheetId="7">#REF!</definedName>
    <definedName name="p53.99" localSheetId="11">#REF!</definedName>
    <definedName name="p53.99">#REF!</definedName>
    <definedName name="PacificRim" localSheetId="7">#REF!</definedName>
    <definedName name="PacificRim" localSheetId="11">#REF!</definedName>
    <definedName name="PacificRim">#REF!</definedName>
    <definedName name="Paid_tax" localSheetId="7">#REF!</definedName>
    <definedName name="Paid_tax" localSheetId="11">#REF!</definedName>
    <definedName name="Paid_tax">#REF!</definedName>
    <definedName name="PandL_HY" localSheetId="7">#REF!</definedName>
    <definedName name="PandL_HY" localSheetId="11">#REF!</definedName>
    <definedName name="PandL_HY">#REF!</definedName>
    <definedName name="Parent_Company_Dividend" localSheetId="7">#REF!</definedName>
    <definedName name="Parent_Company_Dividend" localSheetId="11">#REF!</definedName>
    <definedName name="Parent_Company_Dividend">#REF!</definedName>
    <definedName name="Patent" localSheetId="7">#REF!</definedName>
    <definedName name="Patent" localSheetId="11">#REF!</definedName>
    <definedName name="Patent">#REF!</definedName>
    <definedName name="Payable95" localSheetId="7">#REF!</definedName>
    <definedName name="Payable95" localSheetId="11">#REF!</definedName>
    <definedName name="Payable95">#REF!</definedName>
    <definedName name="Payable96" localSheetId="7">#REF!</definedName>
    <definedName name="Payable96" localSheetId="11">#REF!</definedName>
    <definedName name="Payable96">#REF!</definedName>
    <definedName name="Payable97" localSheetId="7">#REF!</definedName>
    <definedName name="Payable97" localSheetId="11">#REF!</definedName>
    <definedName name="Payable97">#REF!</definedName>
    <definedName name="Payable98" localSheetId="7">#REF!</definedName>
    <definedName name="Payable98" localSheetId="11">#REF!</definedName>
    <definedName name="Payable98">#REF!</definedName>
    <definedName name="Payable99" localSheetId="7">#REF!</definedName>
    <definedName name="Payable99" localSheetId="11">#REF!</definedName>
    <definedName name="Payable99">#REF!</definedName>
    <definedName name="Payout_ratio_on_underlying" localSheetId="11">[32]Figures!#REF!</definedName>
    <definedName name="Payout_ratio_on_underlying">[32]Figures!#REF!</definedName>
    <definedName name="PBAvCE87" localSheetId="7">#REF!</definedName>
    <definedName name="PBAvCE87" localSheetId="11">#REF!</definedName>
    <definedName name="PBAvCE87">#REF!</definedName>
    <definedName name="PBAvCE88" localSheetId="7">#REF!</definedName>
    <definedName name="PBAvCE88" localSheetId="11">#REF!</definedName>
    <definedName name="PBAvCE88">#REF!</definedName>
    <definedName name="PBAvCE89" localSheetId="7">#REF!</definedName>
    <definedName name="PBAvCE89" localSheetId="11">#REF!</definedName>
    <definedName name="PBAvCE89">#REF!</definedName>
    <definedName name="PBAvCE90" localSheetId="7">#REF!</definedName>
    <definedName name="PBAvCE90" localSheetId="11">#REF!</definedName>
    <definedName name="PBAvCE90">#REF!</definedName>
    <definedName name="PBAvCE91" localSheetId="7">#REF!</definedName>
    <definedName name="PBAvCE91" localSheetId="11">#REF!</definedName>
    <definedName name="PBAvCE91">#REF!</definedName>
    <definedName name="PBAvCE92" localSheetId="7">#REF!</definedName>
    <definedName name="PBAvCE92" localSheetId="11">#REF!</definedName>
    <definedName name="PBAvCE92">#REF!</definedName>
    <definedName name="PBAvCE93" localSheetId="7">#REF!</definedName>
    <definedName name="PBAvCE93" localSheetId="11">#REF!</definedName>
    <definedName name="PBAvCE93">#REF!</definedName>
    <definedName name="PBAvCE94" localSheetId="7">#REF!</definedName>
    <definedName name="PBAvCE94" localSheetId="11">#REF!</definedName>
    <definedName name="PBAvCE94">#REF!</definedName>
    <definedName name="PBAvCE95" localSheetId="7">#REF!</definedName>
    <definedName name="PBAvCE95" localSheetId="11">#REF!</definedName>
    <definedName name="PBAvCE95">#REF!</definedName>
    <definedName name="PBAvCE96" localSheetId="7">#REF!</definedName>
    <definedName name="PBAvCE96" localSheetId="11">#REF!</definedName>
    <definedName name="PBAvCE96">#REF!</definedName>
    <definedName name="PBAvCE97" localSheetId="7">#REF!</definedName>
    <definedName name="PBAvCE97" localSheetId="11">#REF!</definedName>
    <definedName name="PBAvCE97">#REF!</definedName>
    <definedName name="PBAvCE98" localSheetId="7">#REF!</definedName>
    <definedName name="PBAvCE98" localSheetId="11">#REF!</definedName>
    <definedName name="PBAvCE98">#REF!</definedName>
    <definedName name="PBAvCE99" localSheetId="7">#REF!</definedName>
    <definedName name="PBAvCE99" localSheetId="11">#REF!</definedName>
    <definedName name="PBAvCE99">#REF!</definedName>
    <definedName name="PBbegcap" localSheetId="7">#REF!</definedName>
    <definedName name="PBbegcap" localSheetId="11">#REF!</definedName>
    <definedName name="PBbegcap">#REF!</definedName>
    <definedName name="PBdebt95" localSheetId="7">#REF!</definedName>
    <definedName name="PBdebt95" localSheetId="11">#REF!</definedName>
    <definedName name="PBdebt95">#REF!</definedName>
    <definedName name="PBNOPAT86" localSheetId="7">#REF!</definedName>
    <definedName name="PBNOPAT86" localSheetId="11">#REF!</definedName>
    <definedName name="PBNOPAT86">#REF!</definedName>
    <definedName name="PBNOPAT87" localSheetId="7">#REF!</definedName>
    <definedName name="PBNOPAT87" localSheetId="11">#REF!</definedName>
    <definedName name="PBNOPAT87">#REF!</definedName>
    <definedName name="PBNOPAT88" localSheetId="7">#REF!</definedName>
    <definedName name="PBNOPAT88" localSheetId="11">#REF!</definedName>
    <definedName name="PBNOPAT88">#REF!</definedName>
    <definedName name="PBNOPAT89" localSheetId="7">#REF!</definedName>
    <definedName name="PBNOPAT89" localSheetId="11">#REF!</definedName>
    <definedName name="PBNOPAT89">#REF!</definedName>
    <definedName name="PBNOPAT90" localSheetId="7">#REF!</definedName>
    <definedName name="PBNOPAT90" localSheetId="11">#REF!</definedName>
    <definedName name="PBNOPAT90">#REF!</definedName>
    <definedName name="PBNOPAT91" localSheetId="7">#REF!</definedName>
    <definedName name="PBNOPAT91" localSheetId="11">#REF!</definedName>
    <definedName name="PBNOPAT91">#REF!</definedName>
    <definedName name="PBNOPAT92" localSheetId="7">#REF!</definedName>
    <definedName name="PBNOPAT92" localSheetId="11">#REF!</definedName>
    <definedName name="PBNOPAT92">#REF!</definedName>
    <definedName name="PBNOPAT93" localSheetId="7">#REF!</definedName>
    <definedName name="PBNOPAT93" localSheetId="11">#REF!</definedName>
    <definedName name="PBNOPAT93">#REF!</definedName>
    <definedName name="PBNOPAT94" localSheetId="7">#REF!</definedName>
    <definedName name="PBNOPAT94" localSheetId="11">#REF!</definedName>
    <definedName name="PBNOPAT94">#REF!</definedName>
    <definedName name="PBNOPAT95" localSheetId="7">#REF!</definedName>
    <definedName name="PBNOPAT95" localSheetId="11">#REF!</definedName>
    <definedName name="PBNOPAT95">#REF!</definedName>
    <definedName name="PBNOPAT96" localSheetId="7">#REF!</definedName>
    <definedName name="PBNOPAT96" localSheetId="11">#REF!</definedName>
    <definedName name="PBNOPAT96">#REF!</definedName>
    <definedName name="PBNOPAT97" localSheetId="7">#REF!</definedName>
    <definedName name="PBNOPAT97" localSheetId="11">#REF!</definedName>
    <definedName name="PBNOPAT97">#REF!</definedName>
    <definedName name="PBNOPAT98" localSheetId="7">#REF!</definedName>
    <definedName name="PBNOPAT98" localSheetId="11">#REF!</definedName>
    <definedName name="PBNOPAT98">#REF!</definedName>
    <definedName name="PBNOPAT99" localSheetId="7">#REF!</definedName>
    <definedName name="PBNOPAT99" localSheetId="11">#REF!</definedName>
    <definedName name="PBNOPAT99">#REF!</definedName>
    <definedName name="PBTotCE" localSheetId="7">#REF!</definedName>
    <definedName name="PBTotCE" localSheetId="11">#REF!</definedName>
    <definedName name="PBTotCE">#REF!</definedName>
    <definedName name="PBV" localSheetId="7">#REF!</definedName>
    <definedName name="PBV" localSheetId="11">#REF!</definedName>
    <definedName name="PBV">#REF!</definedName>
    <definedName name="PD" localSheetId="11">'[2]teo model'!#REF!</definedName>
    <definedName name="PD">'[2]teo model'!#REF!</definedName>
    <definedName name="PDist" localSheetId="7">#REF!</definedName>
    <definedName name="PDist" localSheetId="11">#REF!</definedName>
    <definedName name="PDist">#REF!</definedName>
    <definedName name="PE" localSheetId="7">#REF!</definedName>
    <definedName name="PE" localSheetId="11">#REF!</definedName>
    <definedName name="PE">#REF!</definedName>
    <definedName name="Pension_provisions" localSheetId="7">#REF!</definedName>
    <definedName name="Pension_provisions" localSheetId="11">#REF!</definedName>
    <definedName name="Pension_provisions">#REF!</definedName>
    <definedName name="People" localSheetId="7">#REF!</definedName>
    <definedName name="People" localSheetId="11">#REF!</definedName>
    <definedName name="People">#REF!</definedName>
    <definedName name="per_branch_1" localSheetId="7">#REF!</definedName>
    <definedName name="per_branch_1" localSheetId="11">#REF!</definedName>
    <definedName name="per_branch_1">#REF!</definedName>
    <definedName name="per_branch_2" localSheetId="7">#REF!</definedName>
    <definedName name="per_branch_2" localSheetId="11">#REF!</definedName>
    <definedName name="per_branch_2">#REF!</definedName>
    <definedName name="per_branch_table" localSheetId="7">#REF!</definedName>
    <definedName name="per_branch_table" localSheetId="11">#REF!</definedName>
    <definedName name="per_branch_table">#REF!</definedName>
    <definedName name="percenttotal" localSheetId="11">'[39]Income Statement Summary'!#REF!</definedName>
    <definedName name="percenttotal">'[39]Income Statement Summary'!#REF!</definedName>
    <definedName name="perel95" localSheetId="7">#REF!</definedName>
    <definedName name="perel95" localSheetId="11">#REF!</definedName>
    <definedName name="perel95">#REF!</definedName>
    <definedName name="perel96" localSheetId="7">#REF!</definedName>
    <definedName name="perel96" localSheetId="11">#REF!</definedName>
    <definedName name="perel96">#REF!</definedName>
    <definedName name="perel97" localSheetId="7">#REF!</definedName>
    <definedName name="perel97" localSheetId="11">#REF!</definedName>
    <definedName name="perel97">#REF!</definedName>
    <definedName name="PerEndDateSerial" localSheetId="7">#REF!</definedName>
    <definedName name="PerEndDateSerial" localSheetId="11">#REF!</definedName>
    <definedName name="PerEndDateSerial">#REF!</definedName>
    <definedName name="perf" localSheetId="7">#REF!</definedName>
    <definedName name="perf" localSheetId="11">#REF!</definedName>
    <definedName name="perf">#REF!</definedName>
    <definedName name="Perf_97">[37]Depreciation!$O$227</definedName>
    <definedName name="Perf_98">[37]Depreciation!$P$227</definedName>
    <definedName name="Perf_99">[37]Depreciation!$Q$227</definedName>
    <definedName name="Performance" localSheetId="7">#REF!</definedName>
    <definedName name="Performance" localSheetId="11">#REF!</definedName>
    <definedName name="Performance">#REF!</definedName>
    <definedName name="PerformanceDPS" localSheetId="7">#REF!</definedName>
    <definedName name="PerformanceDPS" localSheetId="11">#REF!</definedName>
    <definedName name="PerformanceDPS">#REF!</definedName>
    <definedName name="Perfume" localSheetId="7">#REF!</definedName>
    <definedName name="Perfume" localSheetId="11">#REF!</definedName>
    <definedName name="Perfume">#REF!</definedName>
    <definedName name="PERSONNEL_ANALYSIS" localSheetId="7">#REF!</definedName>
    <definedName name="PERSONNEL_ANALYSIS" localSheetId="11">#REF!</definedName>
    <definedName name="PERSONNEL_ANALYSIS">#REF!</definedName>
    <definedName name="Personnel_Costs" localSheetId="7">#REF!</definedName>
    <definedName name="Personnel_Costs" localSheetId="11">#REF!</definedName>
    <definedName name="Personnel_Costs">#REF!</definedName>
    <definedName name="persye97">'[19]Interim Model'!$X$55</definedName>
    <definedName name="PFS_divis">[42]Divisional!$A$121:$BO$167</definedName>
    <definedName name="PG1_D" localSheetId="7">#REF!</definedName>
    <definedName name="PG1_D" localSheetId="11">#REF!</definedName>
    <definedName name="PG1_D">#REF!</definedName>
    <definedName name="PG1_S" localSheetId="7">#REF!</definedName>
    <definedName name="PG1_S" localSheetId="11">#REF!</definedName>
    <definedName name="PG1_S">#REF!</definedName>
    <definedName name="PG10_D" localSheetId="7">#REF!</definedName>
    <definedName name="PG10_D" localSheetId="11">#REF!</definedName>
    <definedName name="PG10_D">#REF!</definedName>
    <definedName name="PG10_S" localSheetId="7">#REF!</definedName>
    <definedName name="PG10_S" localSheetId="11">#REF!</definedName>
    <definedName name="PG10_S">#REF!</definedName>
    <definedName name="PG11A_S" localSheetId="7">#REF!</definedName>
    <definedName name="PG11A_S" localSheetId="11">#REF!</definedName>
    <definedName name="PG11A_S">#REF!</definedName>
    <definedName name="PG11B_S" localSheetId="7">#REF!</definedName>
    <definedName name="PG11B_S" localSheetId="11">#REF!</definedName>
    <definedName name="PG11B_S">#REF!</definedName>
    <definedName name="PG12_S" localSheetId="7">#REF!</definedName>
    <definedName name="PG12_S" localSheetId="11">#REF!</definedName>
    <definedName name="PG12_S">#REF!</definedName>
    <definedName name="PG13_S" localSheetId="7">#REF!</definedName>
    <definedName name="PG13_S" localSheetId="11">#REF!</definedName>
    <definedName name="PG13_S">#REF!</definedName>
    <definedName name="PG14_D" localSheetId="7">#REF!</definedName>
    <definedName name="PG14_D" localSheetId="11">#REF!</definedName>
    <definedName name="PG14_D">#REF!</definedName>
    <definedName name="PG14_O" localSheetId="7">#REF!</definedName>
    <definedName name="PG14_O" localSheetId="11">#REF!</definedName>
    <definedName name="PG14_O">#REF!</definedName>
    <definedName name="PG14_S" localSheetId="7">#REF!</definedName>
    <definedName name="PG14_S" localSheetId="11">#REF!</definedName>
    <definedName name="PG14_S">#REF!</definedName>
    <definedName name="PG15A_S" localSheetId="7">#REF!</definedName>
    <definedName name="PG15A_S" localSheetId="11">#REF!</definedName>
    <definedName name="PG15A_S">#REF!</definedName>
    <definedName name="PG15B_S" localSheetId="7">#REF!</definedName>
    <definedName name="PG15B_S" localSheetId="11">#REF!</definedName>
    <definedName name="PG15B_S">#REF!</definedName>
    <definedName name="PG16A_S" localSheetId="7">#REF!</definedName>
    <definedName name="PG16A_S" localSheetId="11">#REF!</definedName>
    <definedName name="PG16A_S">#REF!</definedName>
    <definedName name="PG16B_S" localSheetId="7">#REF!</definedName>
    <definedName name="PG16B_S" localSheetId="11">#REF!</definedName>
    <definedName name="PG16B_S">#REF!</definedName>
    <definedName name="PG17A_S" localSheetId="7">#REF!</definedName>
    <definedName name="PG17A_S" localSheetId="11">#REF!</definedName>
    <definedName name="PG17A_S">#REF!</definedName>
    <definedName name="PG17B_S" localSheetId="7">#REF!</definedName>
    <definedName name="PG17B_S" localSheetId="11">#REF!</definedName>
    <definedName name="PG17B_S">#REF!</definedName>
    <definedName name="PG18_S" localSheetId="7">#REF!</definedName>
    <definedName name="PG18_S" localSheetId="11">#REF!</definedName>
    <definedName name="PG18_S">#REF!</definedName>
    <definedName name="PG19_D" localSheetId="7">#REF!</definedName>
    <definedName name="PG19_D" localSheetId="11">#REF!</definedName>
    <definedName name="PG19_D">#REF!</definedName>
    <definedName name="PG19_O" localSheetId="7">#REF!</definedName>
    <definedName name="PG19_O" localSheetId="11">#REF!</definedName>
    <definedName name="PG19_O">#REF!</definedName>
    <definedName name="PG19_S" localSheetId="7">#REF!</definedName>
    <definedName name="PG19_S" localSheetId="11">#REF!</definedName>
    <definedName name="PG19_S">#REF!</definedName>
    <definedName name="PG2_D" localSheetId="7">#REF!</definedName>
    <definedName name="PG2_D" localSheetId="11">#REF!</definedName>
    <definedName name="PG2_D">#REF!</definedName>
    <definedName name="PG2_S" localSheetId="7">#REF!</definedName>
    <definedName name="PG2_S" localSheetId="11">#REF!</definedName>
    <definedName name="PG2_S">#REF!</definedName>
    <definedName name="PG20_D" localSheetId="7">#REF!</definedName>
    <definedName name="PG20_D" localSheetId="11">#REF!</definedName>
    <definedName name="PG20_D">#REF!</definedName>
    <definedName name="PG20_S" localSheetId="7">#REF!</definedName>
    <definedName name="PG20_S" localSheetId="11">#REF!</definedName>
    <definedName name="PG20_S">#REF!</definedName>
    <definedName name="PG21_D" localSheetId="7">#REF!</definedName>
    <definedName name="PG21_D" localSheetId="11">#REF!</definedName>
    <definedName name="PG21_D">#REF!</definedName>
    <definedName name="PG21_S" localSheetId="7">#REF!</definedName>
    <definedName name="PG21_S" localSheetId="11">#REF!</definedName>
    <definedName name="PG21_S">#REF!</definedName>
    <definedName name="PG22_D" localSheetId="7">#REF!</definedName>
    <definedName name="PG22_D" localSheetId="11">#REF!</definedName>
    <definedName name="PG22_D">#REF!</definedName>
    <definedName name="PG22_S" localSheetId="7">#REF!</definedName>
    <definedName name="PG22_S" localSheetId="11">#REF!</definedName>
    <definedName name="PG22_S">#REF!</definedName>
    <definedName name="PG23_D" localSheetId="7">#REF!</definedName>
    <definedName name="PG23_D" localSheetId="11">#REF!</definedName>
    <definedName name="PG23_D">#REF!</definedName>
    <definedName name="PG23_O" localSheetId="7">#REF!</definedName>
    <definedName name="PG23_O" localSheetId="11">#REF!</definedName>
    <definedName name="PG23_O">#REF!</definedName>
    <definedName name="PG23_S" localSheetId="7">#REF!</definedName>
    <definedName name="PG23_S" localSheetId="11">#REF!</definedName>
    <definedName name="PG23_S">#REF!</definedName>
    <definedName name="PG24_D" localSheetId="7">#REF!</definedName>
    <definedName name="PG24_D" localSheetId="11">#REF!</definedName>
    <definedName name="PG24_D">#REF!</definedName>
    <definedName name="PG24_O" localSheetId="7">#REF!</definedName>
    <definedName name="PG24_O" localSheetId="11">#REF!</definedName>
    <definedName name="PG24_O">#REF!</definedName>
    <definedName name="PG24_S" localSheetId="7">#REF!</definedName>
    <definedName name="PG24_S" localSheetId="11">#REF!</definedName>
    <definedName name="PG24_S">#REF!</definedName>
    <definedName name="PG25_D" localSheetId="7">#REF!</definedName>
    <definedName name="PG25_D" localSheetId="11">#REF!</definedName>
    <definedName name="PG25_D">#REF!</definedName>
    <definedName name="PG25_O" localSheetId="7">#REF!</definedName>
    <definedName name="PG25_O" localSheetId="11">#REF!</definedName>
    <definedName name="PG25_O">#REF!</definedName>
    <definedName name="PG25_S" localSheetId="7">#REF!</definedName>
    <definedName name="PG25_S" localSheetId="11">#REF!</definedName>
    <definedName name="PG25_S">#REF!</definedName>
    <definedName name="PG26_D" localSheetId="7">#REF!</definedName>
    <definedName name="PG26_D" localSheetId="11">#REF!</definedName>
    <definedName name="PG26_D">#REF!</definedName>
    <definedName name="PG26_O" localSheetId="7">#REF!</definedName>
    <definedName name="PG26_O" localSheetId="11">#REF!</definedName>
    <definedName name="PG26_O">#REF!</definedName>
    <definedName name="PG26_S" localSheetId="7">#REF!</definedName>
    <definedName name="PG26_S" localSheetId="11">#REF!</definedName>
    <definedName name="PG26_S">#REF!</definedName>
    <definedName name="PG27_O" localSheetId="7">#REF!</definedName>
    <definedName name="PG27_O" localSheetId="11">#REF!</definedName>
    <definedName name="PG27_O">#REF!</definedName>
    <definedName name="PG27_S" localSheetId="7">#REF!</definedName>
    <definedName name="PG27_S" localSheetId="11">#REF!</definedName>
    <definedName name="PG27_S">#REF!</definedName>
    <definedName name="PG28_D" localSheetId="7">#REF!</definedName>
    <definedName name="PG28_D" localSheetId="11">#REF!</definedName>
    <definedName name="PG28_D">#REF!</definedName>
    <definedName name="PG28_S" localSheetId="7">#REF!</definedName>
    <definedName name="PG28_S" localSheetId="11">#REF!</definedName>
    <definedName name="PG28_S">#REF!</definedName>
    <definedName name="PG29_D" localSheetId="7">#REF!</definedName>
    <definedName name="PG29_D" localSheetId="11">#REF!</definedName>
    <definedName name="PG29_D">#REF!</definedName>
    <definedName name="PG29_S" localSheetId="7">#REF!</definedName>
    <definedName name="PG29_S" localSheetId="11">#REF!</definedName>
    <definedName name="PG29_S">#REF!</definedName>
    <definedName name="PG3_D" localSheetId="7">#REF!</definedName>
    <definedName name="PG3_D" localSheetId="11">#REF!</definedName>
    <definedName name="PG3_D">#REF!</definedName>
    <definedName name="PG3_S" localSheetId="7">#REF!</definedName>
    <definedName name="PG3_S" localSheetId="11">#REF!</definedName>
    <definedName name="PG3_S">#REF!</definedName>
    <definedName name="PG30_D" localSheetId="7">#REF!</definedName>
    <definedName name="PG30_D" localSheetId="11">#REF!</definedName>
    <definedName name="PG30_D">#REF!</definedName>
    <definedName name="PG30_S" localSheetId="7">#REF!</definedName>
    <definedName name="PG30_S" localSheetId="11">#REF!</definedName>
    <definedName name="PG30_S">#REF!</definedName>
    <definedName name="PG31_D" localSheetId="7">#REF!</definedName>
    <definedName name="PG31_D" localSheetId="11">#REF!</definedName>
    <definedName name="PG31_D">#REF!</definedName>
    <definedName name="PG31_S" localSheetId="7">#REF!</definedName>
    <definedName name="PG31_S" localSheetId="11">#REF!</definedName>
    <definedName name="PG31_S">#REF!</definedName>
    <definedName name="PG32_S" localSheetId="7">#REF!</definedName>
    <definedName name="PG32_S" localSheetId="11">#REF!</definedName>
    <definedName name="PG32_S">#REF!</definedName>
    <definedName name="PG33_D" localSheetId="7">#REF!</definedName>
    <definedName name="PG33_D" localSheetId="11">#REF!</definedName>
    <definedName name="PG33_D">#REF!</definedName>
    <definedName name="PG33_O" localSheetId="7">#REF!</definedName>
    <definedName name="PG33_O" localSheetId="11">#REF!</definedName>
    <definedName name="PG33_O">#REF!</definedName>
    <definedName name="PG33_S" localSheetId="7">#REF!</definedName>
    <definedName name="PG33_S" localSheetId="11">#REF!</definedName>
    <definedName name="PG33_S">#REF!</definedName>
    <definedName name="PG34_O" localSheetId="7">#REF!</definedName>
    <definedName name="PG34_O" localSheetId="11">#REF!</definedName>
    <definedName name="PG34_O">#REF!</definedName>
    <definedName name="PG34_S" localSheetId="7">#REF!</definedName>
    <definedName name="PG34_S" localSheetId="11">#REF!</definedName>
    <definedName name="PG34_S">#REF!</definedName>
    <definedName name="PG35_0" localSheetId="7">#REF!</definedName>
    <definedName name="PG35_0" localSheetId="11">#REF!</definedName>
    <definedName name="PG35_0">#REF!</definedName>
    <definedName name="PG35_O" localSheetId="7">#REF!</definedName>
    <definedName name="PG35_O" localSheetId="11">#REF!</definedName>
    <definedName name="PG35_O">#REF!</definedName>
    <definedName name="PG35_S" localSheetId="7">#REF!</definedName>
    <definedName name="PG35_S" localSheetId="11">#REF!</definedName>
    <definedName name="PG35_S">#REF!</definedName>
    <definedName name="PG4_D" localSheetId="7">#REF!</definedName>
    <definedName name="PG4_D" localSheetId="11">#REF!</definedName>
    <definedName name="PG4_D">#REF!</definedName>
    <definedName name="PG4_S" localSheetId="7">#REF!</definedName>
    <definedName name="PG4_S" localSheetId="11">#REF!</definedName>
    <definedName name="PG4_S">#REF!</definedName>
    <definedName name="PG5_D" localSheetId="7">#REF!</definedName>
    <definedName name="PG5_D" localSheetId="11">#REF!</definedName>
    <definedName name="PG5_D">#REF!</definedName>
    <definedName name="PG5_S" localSheetId="7">#REF!</definedName>
    <definedName name="PG5_S" localSheetId="11">#REF!</definedName>
    <definedName name="PG5_S">#REF!</definedName>
    <definedName name="PG6_D" localSheetId="7">#REF!</definedName>
    <definedName name="PG6_D" localSheetId="11">#REF!</definedName>
    <definedName name="PG6_D">#REF!</definedName>
    <definedName name="PG6_S" localSheetId="7">#REF!</definedName>
    <definedName name="PG6_S" localSheetId="11">#REF!</definedName>
    <definedName name="PG6_S">#REF!</definedName>
    <definedName name="PG7_D" localSheetId="7">#REF!</definedName>
    <definedName name="PG7_D" localSheetId="11">#REF!</definedName>
    <definedName name="PG7_D">#REF!</definedName>
    <definedName name="PG7_S" localSheetId="7">#REF!</definedName>
    <definedName name="PG7_S" localSheetId="11">#REF!</definedName>
    <definedName name="PG7_S">#REF!</definedName>
    <definedName name="PG8_O" localSheetId="7">#REF!</definedName>
    <definedName name="PG8_O" localSheetId="11">#REF!</definedName>
    <definedName name="PG8_O">#REF!</definedName>
    <definedName name="PG8_S" localSheetId="7">#REF!</definedName>
    <definedName name="PG8_S" localSheetId="11">#REF!</definedName>
    <definedName name="PG8_S">#REF!</definedName>
    <definedName name="PG9A_S" localSheetId="7">#REF!</definedName>
    <definedName name="PG9A_S" localSheetId="11">#REF!</definedName>
    <definedName name="PG9A_S">#REF!</definedName>
    <definedName name="PG9B_S" localSheetId="7">#REF!</definedName>
    <definedName name="PG9B_S" localSheetId="11">#REF!</definedName>
    <definedName name="PG9B_S">#REF!</definedName>
    <definedName name="pippo" localSheetId="7" hidden="1">#REF!</definedName>
    <definedName name="pippo" localSheetId="11" hidden="1">#REF!</definedName>
    <definedName name="pippo" hidden="1">#REF!</definedName>
    <definedName name="PirData">[107]Datasheet!$A:$IV</definedName>
    <definedName name="PirPeriod">[107]Datasheet!$A$6:$IV$6</definedName>
    <definedName name="pj" localSheetId="6" hidden="1">{#N/A,#N/A,FALSE,"Sheet1";#N/A,#N/A,FALSE,"Sheet2";#N/A,#N/A,FALSE,"Sheet3";#N/A,#N/A,FALSE,"Sheet4";#N/A,#N/A,FALSE,"Sheet5";#N/A,#N/A,FALSE,"Sheet6"}</definedName>
    <definedName name="pj" localSheetId="7" hidden="1">{#N/A,#N/A,FALSE,"Sheet1";#N/A,#N/A,FALSE,"Sheet2";#N/A,#N/A,FALSE,"Sheet3";#N/A,#N/A,FALSE,"Sheet4";#N/A,#N/A,FALSE,"Sheet5";#N/A,#N/A,FALSE,"Sheet6"}</definedName>
    <definedName name="pj" localSheetId="4" hidden="1">{#N/A,#N/A,FALSE,"Sheet1";#N/A,#N/A,FALSE,"Sheet2";#N/A,#N/A,FALSE,"Sheet3";#N/A,#N/A,FALSE,"Sheet4";#N/A,#N/A,FALSE,"Sheet5";#N/A,#N/A,FALSE,"Sheet6"}</definedName>
    <definedName name="pj" localSheetId="3" hidden="1">{#N/A,#N/A,FALSE,"Sheet1";#N/A,#N/A,FALSE,"Sheet2";#N/A,#N/A,FALSE,"Sheet3";#N/A,#N/A,FALSE,"Sheet4";#N/A,#N/A,FALSE,"Sheet5";#N/A,#N/A,FALSE,"Sheet6"}</definedName>
    <definedName name="pj" localSheetId="11" hidden="1">{#N/A,#N/A,FALSE,"Sheet1";#N/A,#N/A,FALSE,"Sheet2";#N/A,#N/A,FALSE,"Sheet3";#N/A,#N/A,FALSE,"Sheet4";#N/A,#N/A,FALSE,"Sheet5";#N/A,#N/A,FALSE,"Sheet6"}</definedName>
    <definedName name="pj" hidden="1">{#N/A,#N/A,FALSE,"Sheet1";#N/A,#N/A,FALSE,"Sheet2";#N/A,#N/A,FALSE,"Sheet3";#N/A,#N/A,FALSE,"Sheet4";#N/A,#N/A,FALSE,"Sheet5";#N/A,#N/A,FALSE,"Sheet6"}</definedName>
    <definedName name="pl" localSheetId="7">#REF!</definedName>
    <definedName name="PL" localSheetId="11">#REF!</definedName>
    <definedName name="PL">#REF!</definedName>
    <definedName name="PLA" localSheetId="7">#REF!</definedName>
    <definedName name="PLA" localSheetId="11">#REF!</definedName>
    <definedName name="PLA">#REF!</definedName>
    <definedName name="PLAN" localSheetId="7">#REF!</definedName>
    <definedName name="PLAN" localSheetId="11">#REF!</definedName>
    <definedName name="PLAN">#REF!</definedName>
    <definedName name="PLAN2" localSheetId="7">#REF!</definedName>
    <definedName name="PLAN2" localSheetId="11">#REF!</definedName>
    <definedName name="PLAN2">#REF!</definedName>
    <definedName name="Plant____Eqipment" localSheetId="7">#REF!</definedName>
    <definedName name="Plant____Eqipment" localSheetId="11">#REF!</definedName>
    <definedName name="Plant____Eqipment">#REF!</definedName>
    <definedName name="PLCHG" localSheetId="11">[108]PL!#REF!</definedName>
    <definedName name="PLCHG">[108]PL!#REF!</definedName>
    <definedName name="PLFULL" localSheetId="7">#REF!</definedName>
    <definedName name="PLFULL" localSheetId="11">#REF!</definedName>
    <definedName name="PLFULL">#REF!</definedName>
    <definedName name="PLN" localSheetId="7">#REF!</definedName>
    <definedName name="PLN" localSheetId="11">#REF!</definedName>
    <definedName name="PLN">#REF!</definedName>
    <definedName name="PLnominal" localSheetId="7">#REF!</definedName>
    <definedName name="PLnominal" localSheetId="11">#REF!</definedName>
    <definedName name="PLnominal">#REF!</definedName>
    <definedName name="PLQ" localSheetId="7">#REF!</definedName>
    <definedName name="PLQ" localSheetId="11">#REF!</definedName>
    <definedName name="PLQ">#REF!</definedName>
    <definedName name="PLqoqyoy" localSheetId="7">#REF!</definedName>
    <definedName name="PLqoqyoy" localSheetId="11">#REF!</definedName>
    <definedName name="PLqoqyoy">#REF!</definedName>
    <definedName name="PLR" localSheetId="11">'[2]teo model'!#REF!</definedName>
    <definedName name="PLR">'[2]teo model'!#REF!</definedName>
    <definedName name="PLreal" localSheetId="7">#REF!</definedName>
    <definedName name="PLreal" localSheetId="11">#REF!</definedName>
    <definedName name="PLreal">#REF!</definedName>
    <definedName name="PLUSD" localSheetId="7">#REF!</definedName>
    <definedName name="PLUSD" localSheetId="11">#REF!</definedName>
    <definedName name="PLUSD">#REF!</definedName>
    <definedName name="PNL_extraordinary_items">[66]PNL!$A$29:$IV$29</definedName>
    <definedName name="PNL_other_income">[66]PNL!$A$36:$IV$36</definedName>
    <definedName name="PNTwin00" localSheetId="7">#REF!</definedName>
    <definedName name="PNTwin00" localSheetId="11">#REF!</definedName>
    <definedName name="PNTwin00">#REF!</definedName>
    <definedName name="PNTwin01" localSheetId="7">#REF!</definedName>
    <definedName name="PNTwin01" localSheetId="11">#REF!</definedName>
    <definedName name="PNTwin01">#REF!</definedName>
    <definedName name="PNTwin02" localSheetId="7">#REF!</definedName>
    <definedName name="PNTwin02" localSheetId="11">#REF!</definedName>
    <definedName name="PNTwin02">#REF!</definedName>
    <definedName name="PNTwin03" localSheetId="7">#REF!</definedName>
    <definedName name="PNTwin03" localSheetId="11">#REF!</definedName>
    <definedName name="PNTwin03">#REF!</definedName>
    <definedName name="PNTwin04" localSheetId="7">#REF!</definedName>
    <definedName name="PNTwin04" localSheetId="11">#REF!</definedName>
    <definedName name="PNTwin04">#REF!</definedName>
    <definedName name="PNTwin05" localSheetId="7">#REF!</definedName>
    <definedName name="PNTwin05" localSheetId="11">#REF!</definedName>
    <definedName name="PNTwin05">#REF!</definedName>
    <definedName name="PNTwin97" localSheetId="7">#REF!</definedName>
    <definedName name="PNTwin97" localSheetId="11">#REF!</definedName>
    <definedName name="PNTwin97">#REF!</definedName>
    <definedName name="PNTwin98" localSheetId="7">#REF!</definedName>
    <definedName name="PNTwin98" localSheetId="11">#REF!</definedName>
    <definedName name="PNTwin98">#REF!</definedName>
    <definedName name="PNTwin99" localSheetId="7">#REF!</definedName>
    <definedName name="PNTwin99" localSheetId="11">#REF!</definedName>
    <definedName name="PNTwin99">#REF!</definedName>
    <definedName name="Post_tax_stock_gains_losses" localSheetId="11">[32]Figures!#REF!</definedName>
    <definedName name="Post_tax_stock_gains_losses">[32]Figures!#REF!</definedName>
    <definedName name="pp" localSheetId="7">#REF!</definedName>
    <definedName name="pp" localSheetId="11">#REF!</definedName>
    <definedName name="pp">#REF!</definedName>
    <definedName name="PPE" localSheetId="7">#REF!</definedName>
    <definedName name="PPE" localSheetId="11">#REF!</definedName>
    <definedName name="PPE">#REF!</definedName>
    <definedName name="PPnE_turns_fore" localSheetId="7">#REF!</definedName>
    <definedName name="PPnE_turns_fore" localSheetId="11">#REF!</definedName>
    <definedName name="PPnE_turns_fore">#REF!</definedName>
    <definedName name="ppp" localSheetId="6" hidden="1">{#N/A,#N/A,FALSE,"FAB VENDORS";"BUD SUM",#N/A,FALSE,"BUD SUM WO TEX"}</definedName>
    <definedName name="ppp" localSheetId="7" hidden="1">{#N/A,#N/A,FALSE,"FAB VENDORS";"BUD SUM",#N/A,FALSE,"BUD SUM WO TEX"}</definedName>
    <definedName name="ppp" localSheetId="4" hidden="1">{#N/A,#N/A,FALSE,"FAB VENDORS";"BUD SUM",#N/A,FALSE,"BUD SUM WO TEX"}</definedName>
    <definedName name="ppp" localSheetId="3" hidden="1">{#N/A,#N/A,FALSE,"FAB VENDORS";"BUD SUM",#N/A,FALSE,"BUD SUM WO TEX"}</definedName>
    <definedName name="ppp" localSheetId="11" hidden="1">{#N/A,#N/A,FALSE,"FAB VENDORS";"BUD SUM",#N/A,FALSE,"BUD SUM WO TEX"}</definedName>
    <definedName name="ppp" hidden="1">{#N/A,#N/A,FALSE,"FAB VENDORS";"BUD SUM",#N/A,FALSE,"BUD SUM WO TEX"}</definedName>
    <definedName name="pr12m" localSheetId="11">#REF!</definedName>
    <definedName name="pr12m">#REF!</definedName>
    <definedName name="pr1m" localSheetId="7">#REF!</definedName>
    <definedName name="pr1m" localSheetId="11">#REF!</definedName>
    <definedName name="pr1m">#REF!</definedName>
    <definedName name="pr3m" localSheetId="7">#REF!</definedName>
    <definedName name="pr3m" localSheetId="11">#REF!</definedName>
    <definedName name="pr3m">#REF!</definedName>
    <definedName name="Praxilene00" localSheetId="11">[17]Products!#REF!</definedName>
    <definedName name="Praxilene00">[17]Products!#REF!</definedName>
    <definedName name="Praxilene01" localSheetId="11">[17]Products!#REF!</definedName>
    <definedName name="Praxilene01">[17]Products!#REF!</definedName>
    <definedName name="Praxilene02" localSheetId="11">[17]Products!#REF!</definedName>
    <definedName name="Praxilene02">[17]Products!#REF!</definedName>
    <definedName name="Praxilene03" localSheetId="11">[17]Products!#REF!</definedName>
    <definedName name="Praxilene03">[17]Products!#REF!</definedName>
    <definedName name="Praxilene04" localSheetId="11">[17]Products!#REF!</definedName>
    <definedName name="Praxilene04">[17]Products!#REF!</definedName>
    <definedName name="Praxilene05" localSheetId="11">[17]Products!#REF!</definedName>
    <definedName name="Praxilene05">[17]Products!#REF!</definedName>
    <definedName name="Praxilene97" localSheetId="11">[17]Products!#REF!</definedName>
    <definedName name="Praxilene97">[17]Products!#REF!</definedName>
    <definedName name="Praxilene98" localSheetId="11">[17]Products!#REF!</definedName>
    <definedName name="Praxilene98">[17]Products!#REF!</definedName>
    <definedName name="Praxilene99" localSheetId="11">[17]Products!#REF!</definedName>
    <definedName name="Praxilene99">[17]Products!#REF!</definedName>
    <definedName name="Pre_Tax__Profit" localSheetId="7">#REF!</definedName>
    <definedName name="Pre_Tax__Profit" localSheetId="11">#REF!</definedName>
    <definedName name="Pre_Tax__Profit">#REF!</definedName>
    <definedName name="Pre_Tax_Profit" localSheetId="7">#REF!</definedName>
    <definedName name="Pre_Tax_Profit" localSheetId="11">#REF!</definedName>
    <definedName name="Pre_Tax_Profit">#REF!</definedName>
    <definedName name="Preferred_stock_growth_fore" localSheetId="7">#REF!</definedName>
    <definedName name="Preferred_stock_growth_fore" localSheetId="11">#REF!</definedName>
    <definedName name="Preferred_stock_growth_fore">#REF!</definedName>
    <definedName name="PREL86" localSheetId="11">[22]independent!#REF!</definedName>
    <definedName name="PREL86">[22]independent!#REF!</definedName>
    <definedName name="PREL87" localSheetId="11">[22]independent!#REF!</definedName>
    <definedName name="PREL87">[22]independent!#REF!</definedName>
    <definedName name="PREL88" localSheetId="11">[22]independent!#REF!</definedName>
    <definedName name="PREL88">[22]independent!#REF!</definedName>
    <definedName name="PREL89" localSheetId="11">[22]independent!#REF!</definedName>
    <definedName name="PREL89">[22]independent!#REF!</definedName>
    <definedName name="PREL90" localSheetId="11">[22]independent!#REF!</definedName>
    <definedName name="PREL90">[22]independent!#REF!</definedName>
    <definedName name="PREL91" localSheetId="11">[22]independent!#REF!</definedName>
    <definedName name="PREL91">[22]independent!#REF!</definedName>
    <definedName name="PREL92" localSheetId="11">[22]independent!#REF!</definedName>
    <definedName name="PREL92">[22]independent!#REF!</definedName>
    <definedName name="PREL93" localSheetId="11">[22]independent!#REF!</definedName>
    <definedName name="PREL93">[22]independent!#REF!</definedName>
    <definedName name="PREL94" localSheetId="11">[22]independent!#REF!</definedName>
    <definedName name="PREL94">[22]independent!#REF!</definedName>
    <definedName name="PREL95" localSheetId="11">[23]unitedx!#REF!</definedName>
    <definedName name="PREL95">[23]unitedx!#REF!</definedName>
    <definedName name="PREL96" localSheetId="11">[23]unitedx!#REF!</definedName>
    <definedName name="PREL96">[23]unitedx!#REF!</definedName>
    <definedName name="PREL97" localSheetId="11">[23]unitedx!#REF!</definedName>
    <definedName name="PREL97">[23]unitedx!#REF!</definedName>
    <definedName name="PREL98" localSheetId="11">[23]unitedx!#REF!</definedName>
    <definedName name="PREL98">[23]unitedx!#REF!</definedName>
    <definedName name="PREL99" localSheetId="11">[23]unitedx!#REF!</definedName>
    <definedName name="PREL99">[23]unitedx!#REF!</definedName>
    <definedName name="PRENL86" localSheetId="11">[22]independent!#REF!</definedName>
    <definedName name="PRENL86">[22]independent!#REF!</definedName>
    <definedName name="PRENL87" localSheetId="11">[22]independent!#REF!</definedName>
    <definedName name="PRENL87">[22]independent!#REF!</definedName>
    <definedName name="PRENL88" localSheetId="11">[22]independent!#REF!</definedName>
    <definedName name="PRENL88">[22]independent!#REF!</definedName>
    <definedName name="PRENL89" localSheetId="11">[22]independent!#REF!</definedName>
    <definedName name="PRENL89">[22]independent!#REF!</definedName>
    <definedName name="PRENL90" localSheetId="11">[22]independent!#REF!</definedName>
    <definedName name="PRENL90">[22]independent!#REF!</definedName>
    <definedName name="PRENL91" localSheetId="11">[22]independent!#REF!</definedName>
    <definedName name="PRENL91">[22]independent!#REF!</definedName>
    <definedName name="PRENL92" localSheetId="11">[22]independent!#REF!</definedName>
    <definedName name="PRENL92">[22]independent!#REF!</definedName>
    <definedName name="PRENL93" localSheetId="11">[22]independent!#REF!</definedName>
    <definedName name="PRENL93">[22]independent!#REF!</definedName>
    <definedName name="PRENL94" localSheetId="11">[22]independent!#REF!</definedName>
    <definedName name="PRENL94">[22]independent!#REF!</definedName>
    <definedName name="PRENL95" localSheetId="11">[23]unitedx!#REF!</definedName>
    <definedName name="PRENL95">[23]unitedx!#REF!</definedName>
    <definedName name="PRENL96" localSheetId="11">[23]unitedx!#REF!</definedName>
    <definedName name="PRENL96">[23]unitedx!#REF!</definedName>
    <definedName name="PRENL97" localSheetId="11">[23]unitedx!#REF!</definedName>
    <definedName name="PRENL97">[23]unitedx!#REF!</definedName>
    <definedName name="PRENL98" localSheetId="11">[23]unitedx!#REF!</definedName>
    <definedName name="PRENL98">[23]unitedx!#REF!</definedName>
    <definedName name="PRENL99" localSheetId="11">[23]unitedx!#REF!</definedName>
    <definedName name="PRENL99">[23]unitedx!#REF!</definedName>
    <definedName name="Prepaid_expenses" localSheetId="7">#REF!</definedName>
    <definedName name="Prepaid_expenses" localSheetId="11">#REF!</definedName>
    <definedName name="Prepaid_expenses">#REF!</definedName>
    <definedName name="Present_Value_Oper_lease">'[34]PV of Op Leases_VDF'!$C$51:$AW$51</definedName>
    <definedName name="PresentationNormalA4" localSheetId="7">#REF!</definedName>
    <definedName name="PresentationNormalA4" localSheetId="11">#REF!</definedName>
    <definedName name="PresentationNormalA4">#REF!</definedName>
    <definedName name="Pretax_income">[34]NOPAT_VDF!$C$90:$AE$90</definedName>
    <definedName name="Pretax_income_fore" localSheetId="7">#REF!</definedName>
    <definedName name="Pretax_income_fore" localSheetId="11">#REF!</definedName>
    <definedName name="Pretax_income_fore">#REF!</definedName>
    <definedName name="Pretax_profit" localSheetId="7">#REF!</definedName>
    <definedName name="Pretax_profit" localSheetId="11">#REF!</definedName>
    <definedName name="Pretax_profit">#REF!</definedName>
    <definedName name="pretax00">'[18]Annual Model'!$H$28</definedName>
    <definedName name="pretax01">'[18]Annual Model'!$I$28</definedName>
    <definedName name="pretax02">'[18]Annual Model'!$J$28</definedName>
    <definedName name="pretax03">'[19]Annual Model'!$AH$33</definedName>
    <definedName name="pretax1q00">'[18]Quarterly Model'!$G$28</definedName>
    <definedName name="pretax1q97" localSheetId="7">#REF!</definedName>
    <definedName name="pretax1q97" localSheetId="11">#REF!</definedName>
    <definedName name="pretax1q97">#REF!</definedName>
    <definedName name="pretax1q97b" localSheetId="7">#REF!</definedName>
    <definedName name="pretax1q97b" localSheetId="11">#REF!</definedName>
    <definedName name="pretax1q97b">#REF!</definedName>
    <definedName name="pretax1q98" localSheetId="7">#REF!</definedName>
    <definedName name="pretax1q98" localSheetId="11">#REF!</definedName>
    <definedName name="pretax1q98">#REF!</definedName>
    <definedName name="pretax1q99" localSheetId="7">#REF!</definedName>
    <definedName name="pretax1q99" localSheetId="11">#REF!</definedName>
    <definedName name="pretax1q99">#REF!</definedName>
    <definedName name="pretax2q00">'[18]Quarterly Model'!$I$28</definedName>
    <definedName name="pretax2q97" localSheetId="7">#REF!</definedName>
    <definedName name="pretax2q97" localSheetId="11">#REF!</definedName>
    <definedName name="pretax2q97">#REF!</definedName>
    <definedName name="pretax2q97b" localSheetId="7">#REF!</definedName>
    <definedName name="pretax2q97b" localSheetId="11">#REF!</definedName>
    <definedName name="pretax2q97b">#REF!</definedName>
    <definedName name="pretax2q98" localSheetId="7">#REF!</definedName>
    <definedName name="pretax2q98" localSheetId="11">#REF!</definedName>
    <definedName name="pretax2q98">#REF!</definedName>
    <definedName name="pretax2q99" localSheetId="7">#REF!</definedName>
    <definedName name="pretax2q99" localSheetId="11">#REF!</definedName>
    <definedName name="pretax2q99">#REF!</definedName>
    <definedName name="pretax3q00">'[18]Quarterly Model'!$K$28</definedName>
    <definedName name="pretax3q98" localSheetId="7">#REF!</definedName>
    <definedName name="pretax3q98" localSheetId="11">#REF!</definedName>
    <definedName name="pretax3q98">#REF!</definedName>
    <definedName name="pretax3q99" localSheetId="7">#REF!</definedName>
    <definedName name="pretax3q99" localSheetId="11">#REF!</definedName>
    <definedName name="pretax3q99">#REF!</definedName>
    <definedName name="PRETAX3Q99e" localSheetId="7">#REF!</definedName>
    <definedName name="PRETAX3Q99e" localSheetId="11">#REF!</definedName>
    <definedName name="PRETAX3Q99e">#REF!</definedName>
    <definedName name="pretax4q00">'[18]Quarterly Model'!$M$28</definedName>
    <definedName name="pretax4q98" localSheetId="7">#REF!</definedName>
    <definedName name="pretax4q98" localSheetId="11">#REF!</definedName>
    <definedName name="pretax4q98">#REF!</definedName>
    <definedName name="pretax4q99" localSheetId="7">#REF!</definedName>
    <definedName name="pretax4q99" localSheetId="11">#REF!</definedName>
    <definedName name="pretax4q99">#REF!</definedName>
    <definedName name="pretax90">[24]LOWQORF!$S$143</definedName>
    <definedName name="pretax91">[24]LOWQORF!$Y$143</definedName>
    <definedName name="pretax92">[24]LOWQORF!$AE$143</definedName>
    <definedName name="pretax93">[24]LOWQORF!$AK$143</definedName>
    <definedName name="pretax94">[24]LOWQORF!$AQ$143</definedName>
    <definedName name="pretax95">[24]LOWQORF!$AW$143</definedName>
    <definedName name="pretax96">[24]LOWQORF!$BC$143</definedName>
    <definedName name="pretax97" localSheetId="7">#REF!</definedName>
    <definedName name="pretax97" localSheetId="11">#REF!</definedName>
    <definedName name="pretax97">#REF!</definedName>
    <definedName name="pretax98">'[18]Annual Model'!$E$34</definedName>
    <definedName name="pretax99">'[18]Annual Model'!$G$28</definedName>
    <definedName name="pretaxh100">'[19]Interim Model'!$AW$32</definedName>
    <definedName name="pretaxh194">'[19]Interim Model'!$E$32</definedName>
    <definedName name="pretaxh195">'[19]Interim Model'!$L$32</definedName>
    <definedName name="pretaxh196">'[19]Interim Model'!$M$32</definedName>
    <definedName name="pretaxh197">'[19]Interim Model'!$U$32</definedName>
    <definedName name="pretaxh198">'[19]Interim Model'!$AB$32</definedName>
    <definedName name="pretaxh199">'[19]Interim Model'!$AI$32</definedName>
    <definedName name="pretaxh294">'[19]Interim Model'!$H$32</definedName>
    <definedName name="pretaxh295">'[19]Interim Model'!$O$32</definedName>
    <definedName name="pretaxh298">'[19]Interim Model'!$AE$32</definedName>
    <definedName name="pretaxinc93" localSheetId="7">#REF!</definedName>
    <definedName name="pretaxinc93" localSheetId="11">#REF!</definedName>
    <definedName name="pretaxinc93">#REF!</definedName>
    <definedName name="pretaxinc94" localSheetId="7">#REF!</definedName>
    <definedName name="pretaxinc94" localSheetId="11">#REF!</definedName>
    <definedName name="pretaxinc94">#REF!</definedName>
    <definedName name="pretaxinc95" localSheetId="7">#REF!</definedName>
    <definedName name="pretaxinc95" localSheetId="11">#REF!</definedName>
    <definedName name="pretaxinc95">#REF!</definedName>
    <definedName name="pretaxinc96" localSheetId="7">#REF!</definedName>
    <definedName name="pretaxinc96" localSheetId="11">#REF!</definedName>
    <definedName name="pretaxinc96">#REF!</definedName>
    <definedName name="pretaxinc97" localSheetId="7">#REF!</definedName>
    <definedName name="pretaxinc97" localSheetId="11">#REF!</definedName>
    <definedName name="pretaxinc97">#REF!</definedName>
    <definedName name="pretaxinc98" localSheetId="7">#REF!</definedName>
    <definedName name="pretaxinc98" localSheetId="11">#REF!</definedName>
    <definedName name="pretaxinc98">#REF!</definedName>
    <definedName name="pretaxq197" localSheetId="7">#REF!</definedName>
    <definedName name="pretaxq197" localSheetId="11">#REF!</definedName>
    <definedName name="pretaxq197">#REF!</definedName>
    <definedName name="pretaxq296" localSheetId="7">#REF!</definedName>
    <definedName name="pretaxq296" localSheetId="11">#REF!</definedName>
    <definedName name="pretaxq296">#REF!</definedName>
    <definedName name="Prev_EPSDPS" localSheetId="7">#REF!</definedName>
    <definedName name="Prev_EPSDPS" localSheetId="11">#REF!</definedName>
    <definedName name="Prev_EPSDPS">#REF!</definedName>
    <definedName name="prhi" localSheetId="7">#REF!</definedName>
    <definedName name="prhi" localSheetId="11">#REF!</definedName>
    <definedName name="prhi">#REF!</definedName>
    <definedName name="price" localSheetId="7">#REF!</definedName>
    <definedName name="price" localSheetId="11">#REF!</definedName>
    <definedName name="price">#REF!</definedName>
    <definedName name="PRICEDATA">[109]Ind.holdings!$AE$12:$AO$35</definedName>
    <definedName name="pricehi" localSheetId="7">#REF!</definedName>
    <definedName name="pricehi" localSheetId="11">#REF!</definedName>
    <definedName name="pricehi">#REF!</definedName>
    <definedName name="pricelo" localSheetId="7">#REF!</definedName>
    <definedName name="pricelo" localSheetId="11">#REF!</definedName>
    <definedName name="pricelo">#REF!</definedName>
    <definedName name="PRICETITLES">[109]Ind.holdings!$AE$12:$AO$12</definedName>
    <definedName name="Priftin.rifapentine00" localSheetId="7">#REF!</definedName>
    <definedName name="Priftin.rifapentine00" localSheetId="11">#REF!</definedName>
    <definedName name="Priftin.rifapentine00">#REF!</definedName>
    <definedName name="Priftin.rifapentine01" localSheetId="7">#REF!</definedName>
    <definedName name="Priftin.rifapentine01" localSheetId="11">#REF!</definedName>
    <definedName name="Priftin.rifapentine01">#REF!</definedName>
    <definedName name="Priftin.rifapentine02" localSheetId="7">#REF!</definedName>
    <definedName name="Priftin.rifapentine02" localSheetId="11">#REF!</definedName>
    <definedName name="Priftin.rifapentine02">#REF!</definedName>
    <definedName name="Priftin.rifapentine03" localSheetId="7">#REF!</definedName>
    <definedName name="Priftin.rifapentine03" localSheetId="11">#REF!</definedName>
    <definedName name="Priftin.rifapentine03">#REF!</definedName>
    <definedName name="Priftin.rifapentine04" localSheetId="7">#REF!</definedName>
    <definedName name="Priftin.rifapentine04" localSheetId="11">#REF!</definedName>
    <definedName name="Priftin.rifapentine04">#REF!</definedName>
    <definedName name="Priftin.rifapentine05" localSheetId="7">#REF!</definedName>
    <definedName name="Priftin.rifapentine05" localSheetId="11">#REF!</definedName>
    <definedName name="Priftin.rifapentine05">#REF!</definedName>
    <definedName name="Priftin.rifapentine97" localSheetId="7">#REF!</definedName>
    <definedName name="Priftin.rifapentine97" localSheetId="11">#REF!</definedName>
    <definedName name="Priftin.rifapentine97">#REF!</definedName>
    <definedName name="Priftin.rifapentine98" localSheetId="7">#REF!</definedName>
    <definedName name="Priftin.rifapentine98" localSheetId="11">#REF!</definedName>
    <definedName name="Priftin.rifapentine98">#REF!</definedName>
    <definedName name="Priftin.rifapentine99" localSheetId="7">#REF!</definedName>
    <definedName name="Priftin.rifapentine99" localSheetId="11">#REF!</definedName>
    <definedName name="Priftin.rifapentine99">#REF!</definedName>
    <definedName name="PRIME" localSheetId="7">#REF!</definedName>
    <definedName name="PRIME" localSheetId="11">#REF!</definedName>
    <definedName name="PRIME">#REF!</definedName>
    <definedName name="_xlnm.Print_Area" localSheetId="6">'Balance Sheet &amp; Cash Flow'!$A$6:$AG$71</definedName>
    <definedName name="_xlnm.Print_Area" localSheetId="11">'[110]Income Statement Summary'!#REF!</definedName>
    <definedName name="_xlnm.Print_Area" localSheetId="13">'Sales &amp; stores'!$A$1:$R$495</definedName>
    <definedName name="_xlnm.Print_Area">'[110]Income Statement Summary'!#REF!</definedName>
    <definedName name="Print_Area_MI" localSheetId="7">#REF!</definedName>
    <definedName name="Print_Area_MI" localSheetId="11">#REF!</definedName>
    <definedName name="Print_Area_MI">#REF!</definedName>
    <definedName name="PRINT_BS" localSheetId="7">#REF!</definedName>
    <definedName name="PRINT_BS" localSheetId="11">#REF!</definedName>
    <definedName name="PRINT_BS">#REF!</definedName>
    <definedName name="print_page" localSheetId="11">[59]!print_page</definedName>
    <definedName name="print_page">[59]!print_page</definedName>
    <definedName name="PRINT_PL" localSheetId="7">#REF!</definedName>
    <definedName name="PRINT_PL" localSheetId="11">#REF!</definedName>
    <definedName name="PRINT_PL">#REF!</definedName>
    <definedName name="_xlnm.Print_Titles" localSheetId="11">#REF!</definedName>
    <definedName name="_xlnm.Print_Titles" localSheetId="13">'Sales &amp; stores'!$1:$2</definedName>
    <definedName name="_xlnm.Print_Titles">#REF!</definedName>
    <definedName name="Print_Titles_MI">#N/A</definedName>
    <definedName name="PrintAPL" localSheetId="7">#REF!</definedName>
    <definedName name="PrintAPL" localSheetId="11">#REF!</definedName>
    <definedName name="PrintAPL">#REF!</definedName>
    <definedName name="printarea" localSheetId="7">#REF!</definedName>
    <definedName name="printarea" localSheetId="11">#REF!</definedName>
    <definedName name="printarea">#REF!</definedName>
    <definedName name="PrintLTP" localSheetId="7">#REF!</definedName>
    <definedName name="PrintLTP" localSheetId="11">#REF!</definedName>
    <definedName name="PrintLTP">#REF!</definedName>
    <definedName name="PrintRange1">'[80]Annual Model'!$B$1:$D$108,'[80]Annual Model'!$M$1:$M$108,'[80]Annual Model'!$O$1:$O$108,'[80]Annual Model'!$Q$1:$Q$108</definedName>
    <definedName name="printrange2" localSheetId="7">#REF!,#REF!,#REF!,#REF!,#REF!,#REF!,#REF!,#REF!,#REF!</definedName>
    <definedName name="printrange2" localSheetId="11">#REF!,#REF!,#REF!,#REF!,#REF!,#REF!,#REF!,#REF!,#REF!</definedName>
    <definedName name="printrange2">#REF!,#REF!,#REF!,#REF!,#REF!,#REF!,#REF!,#REF!,#REF!</definedName>
    <definedName name="privnetinc00" localSheetId="7">#REF!</definedName>
    <definedName name="privnetinc00" localSheetId="11">#REF!</definedName>
    <definedName name="privnetinc00">#REF!</definedName>
    <definedName name="privnetinc97" localSheetId="7">#REF!</definedName>
    <definedName name="privnetinc97" localSheetId="11">#REF!</definedName>
    <definedName name="privnetinc97">#REF!</definedName>
    <definedName name="privnetinc98" localSheetId="7">#REF!</definedName>
    <definedName name="privnetinc98" localSheetId="11">#REF!</definedName>
    <definedName name="privnetinc98">#REF!</definedName>
    <definedName name="privnetinc99" localSheetId="7">#REF!</definedName>
    <definedName name="privnetinc99" localSheetId="11">#REF!</definedName>
    <definedName name="privnetinc99">#REF!</definedName>
    <definedName name="prlo" localSheetId="7">#REF!</definedName>
    <definedName name="prlo" localSheetId="11">#REF!</definedName>
    <definedName name="prlo">#REF!</definedName>
    <definedName name="Proceeds_of_New_Issue" localSheetId="7">#REF!</definedName>
    <definedName name="Proceeds_of_New_Issue" localSheetId="11">#REF!</definedName>
    <definedName name="Proceeds_of_New_Issue">#REF!</definedName>
    <definedName name="prod" localSheetId="7">#REF!</definedName>
    <definedName name="prod" localSheetId="11">#REF!</definedName>
    <definedName name="prod">#REF!</definedName>
    <definedName name="Products" localSheetId="7">#REF!</definedName>
    <definedName name="Products" localSheetId="11">#REF!</definedName>
    <definedName name="Products">#REF!</definedName>
    <definedName name="prof_loss">[71]Fineco!$A$2:$AD$40</definedName>
    <definedName name="profit" localSheetId="7">#REF!</definedName>
    <definedName name="profit" localSheetId="11">#REF!</definedName>
    <definedName name="profit">#REF!</definedName>
    <definedName name="Profit_aft_net_finance" localSheetId="7">#REF!</definedName>
    <definedName name="Profit_aft_net_finance" localSheetId="11">#REF!</definedName>
    <definedName name="Profit_aft_net_finance">#REF!</definedName>
    <definedName name="Profit_Loss" localSheetId="7">#REF!</definedName>
    <definedName name="Profit_Loss" localSheetId="11">#REF!</definedName>
    <definedName name="Profit_Loss">#REF!</definedName>
    <definedName name="ProfitAndLoss" localSheetId="7">#REF!</definedName>
    <definedName name="ProfitAndLoss" localSheetId="11">#REF!</definedName>
    <definedName name="ProfitAndLoss">#REF!</definedName>
    <definedName name="PROJ" localSheetId="7">#REF!</definedName>
    <definedName name="PROJ" localSheetId="11">#REF!</definedName>
    <definedName name="PROJ">#REF!</definedName>
    <definedName name="Property__plant_and_equipment" localSheetId="7">#REF!</definedName>
    <definedName name="Property__plant_and_equipment" localSheetId="11">#REF!</definedName>
    <definedName name="Property__plant_and_equipment">#REF!</definedName>
    <definedName name="prov00">'[18]Annual Model'!$H$22</definedName>
    <definedName name="prov01">'[18]Annual Model'!$I$22</definedName>
    <definedName name="prov02">'[18]Annual Model'!$J$22</definedName>
    <definedName name="prov03">'[19]Annual Model'!$AH$22</definedName>
    <definedName name="prov1h00">'[99]Interim Model'!$AT$22</definedName>
    <definedName name="prov1q00">'[18]Quarterly Model'!$G$22</definedName>
    <definedName name="prov2q00">'[18]Quarterly Model'!$I$22</definedName>
    <definedName name="prov3q00">'[18]Quarterly Model'!$K$22</definedName>
    <definedName name="prov4q00">'[18]Quarterly Model'!$M$22</definedName>
    <definedName name="prov92">'[19]Annual Model'!$E$22</definedName>
    <definedName name="prov93">'[19]Annual Model'!$F$22</definedName>
    <definedName name="prov94">'[19]Annual Model'!$G$22</definedName>
    <definedName name="prov95">'[19]Annual Model'!$I$22</definedName>
    <definedName name="prov96">'[19]Annual Model'!$L$22</definedName>
    <definedName name="prov97" localSheetId="7">#REF!</definedName>
    <definedName name="prov97" localSheetId="11">#REF!</definedName>
    <definedName name="prov97">#REF!</definedName>
    <definedName name="prov98">'[18]Annual Model'!$E$28</definedName>
    <definedName name="prov99">'[18]Annual Model'!$G$22</definedName>
    <definedName name="prov99AR">'[19]Annual Model'!$T$22</definedName>
    <definedName name="provh199">'[99]Interim Model'!$AM$22</definedName>
    <definedName name="provh200">'[99]Interim Model'!$AW$22</definedName>
    <definedName name="provh299">'[99]Interim Model'!$AP$22</definedName>
    <definedName name="provinsav00">'[18]Annual Model'!$H$91</definedName>
    <definedName name="provinsav01">'[18]Annual Model'!$I$91</definedName>
    <definedName name="provinsav02">'[18]Annual Model'!$J$91</definedName>
    <definedName name="provinsav98">'[18]Annual Model'!$E$91</definedName>
    <definedName name="provinsav99">'[18]Annual Model'!$G$91</definedName>
    <definedName name="Provisions" localSheetId="7">#REF!</definedName>
    <definedName name="Provisions" localSheetId="11">#REF!</definedName>
    <definedName name="Provisions">#REF!</definedName>
    <definedName name="provloansav00">'[19]Annual Model'!$V$90</definedName>
    <definedName name="provloansav92">'[19]Annual Model'!$E$90</definedName>
    <definedName name="provloansav93">'[19]Annual Model'!$F$90</definedName>
    <definedName name="provloansav94">'[19]Annual Model'!$G$90</definedName>
    <definedName name="provloansav95">'[19]Annual Model'!$I$90</definedName>
    <definedName name="provloansav96">'[19]Annual Model'!$L$90</definedName>
    <definedName name="provloansav97">'[19]Annual Model'!$N$90</definedName>
    <definedName name="provloansav98">'[19]Annual Model'!$P$90</definedName>
    <definedName name="provloansav99">'[19]Annual Model'!$R$90</definedName>
    <definedName name="provtoloan93" localSheetId="7">#REF!</definedName>
    <definedName name="provtoloan93" localSheetId="11">#REF!</definedName>
    <definedName name="provtoloan93">#REF!</definedName>
    <definedName name="provtoloan94" localSheetId="7">#REF!</definedName>
    <definedName name="provtoloan94" localSheetId="11">#REF!</definedName>
    <definedName name="provtoloan94">#REF!</definedName>
    <definedName name="provtoloan95" localSheetId="7">#REF!</definedName>
    <definedName name="provtoloan95" localSheetId="11">#REF!</definedName>
    <definedName name="provtoloan95">#REF!</definedName>
    <definedName name="provtoloan96" localSheetId="7">#REF!</definedName>
    <definedName name="provtoloan96" localSheetId="11">#REF!</definedName>
    <definedName name="provtoloan96">#REF!</definedName>
    <definedName name="provtoloan97" localSheetId="7">#REF!</definedName>
    <definedName name="provtoloan97" localSheetId="11">#REF!</definedName>
    <definedName name="provtoloan97">#REF!</definedName>
    <definedName name="provtoloan98" localSheetId="7">#REF!</definedName>
    <definedName name="provtoloan98" localSheetId="11">#REF!</definedName>
    <definedName name="provtoloan98">#REF!</definedName>
    <definedName name="ptp" localSheetId="7">#REF!</definedName>
    <definedName name="ptp" localSheetId="11">#REF!</definedName>
    <definedName name="ptp">#REF!</definedName>
    <definedName name="Purchases" localSheetId="7">#REF!</definedName>
    <definedName name="Purchases" localSheetId="11">#REF!</definedName>
    <definedName name="Purchases">#REF!</definedName>
    <definedName name="PVVA" localSheetId="7">#REF!</definedName>
    <definedName name="PVVA" localSheetId="11">#REF!</definedName>
    <definedName name="PVVA">#REF!</definedName>
    <definedName name="pwcclass" localSheetId="7">#REF!</definedName>
    <definedName name="pwcclass" localSheetId="11">#REF!</definedName>
    <definedName name="pwcclass">#REF!</definedName>
    <definedName name="PYR">"JANUARY 3, 1998"</definedName>
    <definedName name="q" localSheetId="7">#REF!</definedName>
    <definedName name="q" localSheetId="11">#REF!</definedName>
    <definedName name="q">#REF!</definedName>
    <definedName name="q2we" localSheetId="6" hidden="1">{#N/A,#N/A,FALSE,"SUMMARY";#N/A,#N/A,FALSE,"DETAIL";#N/A,#N/A,FALSE,"VARIANCE"}</definedName>
    <definedName name="q2we" localSheetId="7" hidden="1">{#N/A,#N/A,FALSE,"SUMMARY";#N/A,#N/A,FALSE,"DETAIL";#N/A,#N/A,FALSE,"VARIANCE"}</definedName>
    <definedName name="q2we" localSheetId="4" hidden="1">{#N/A,#N/A,FALSE,"SUMMARY";#N/A,#N/A,FALSE,"DETAIL";#N/A,#N/A,FALSE,"VARIANCE"}</definedName>
    <definedName name="q2we" localSheetId="3" hidden="1">{#N/A,#N/A,FALSE,"SUMMARY";#N/A,#N/A,FALSE,"DETAIL";#N/A,#N/A,FALSE,"VARIANCE"}</definedName>
    <definedName name="q2we" localSheetId="11" hidden="1">{#N/A,#N/A,FALSE,"SUMMARY";#N/A,#N/A,FALSE,"DETAIL";#N/A,#N/A,FALSE,"VARIANCE"}</definedName>
    <definedName name="q2we" hidden="1">{#N/A,#N/A,FALSE,"SUMMARY";#N/A,#N/A,FALSE,"DETAIL";#N/A,#N/A,FALSE,"VARIANCE"}</definedName>
    <definedName name="qmatchcodes">[111]Quantum!$C$63:$IV$63</definedName>
    <definedName name="QPERIOD">[112]Quantum!$C$25:$IV$25</definedName>
    <definedName name="qryEstimateSet" localSheetId="7">#REF!</definedName>
    <definedName name="qryEstimateSet" localSheetId="11">#REF!</definedName>
    <definedName name="qryEstimateSet">#REF!</definedName>
    <definedName name="qryTicker" localSheetId="7">#REF!</definedName>
    <definedName name="qryTicker" localSheetId="11">#REF!</definedName>
    <definedName name="qryTicker">#REF!</definedName>
    <definedName name="qstore" localSheetId="7">#REF!</definedName>
    <definedName name="qstore" localSheetId="11">#REF!</definedName>
    <definedName name="qstore">#REF!</definedName>
    <definedName name="qtr00.01">'[40]Qtrly Inc'!$DL$2:$EJ$62</definedName>
    <definedName name="qtr01.02">'[40]Qtrly Inc'!$EL$2:$FQ$62</definedName>
    <definedName name="qtrly02.03">'[40]Qtrly Inc'!$FS$2:$GQ$62</definedName>
    <definedName name="qtrly99.00">'[40]Qtrly Inc'!$CI$2:$DJ$62</definedName>
    <definedName name="qtrSEGMENT93" localSheetId="7">#REF!</definedName>
    <definedName name="qtrSEGMENT93" localSheetId="11">#REF!</definedName>
    <definedName name="qtrSEGMENT93">#REF!</definedName>
    <definedName name="qtrSEGMENT94" localSheetId="7">#REF!</definedName>
    <definedName name="qtrSEGMENT94" localSheetId="11">#REF!</definedName>
    <definedName name="qtrSEGMENT94">#REF!</definedName>
    <definedName name="QUANTUM">[112]Quantum!$C$8:$IV$20</definedName>
    <definedName name="QuantumData">[113]Quantum!$C$8:$IV$65536</definedName>
    <definedName name="QuantumTitles">[113]Quantum!$C$8:$IV$8</definedName>
    <definedName name="Quarterly" localSheetId="7">#REF!</definedName>
    <definedName name="Quarterly" localSheetId="11">#REF!</definedName>
    <definedName name="Quarterly">#REF!</definedName>
    <definedName name="QuarterlyComponents" localSheetId="7">#REF!</definedName>
    <definedName name="QuarterlyComponents" localSheetId="11">#REF!</definedName>
    <definedName name="QuarterlyComponents">#REF!</definedName>
    <definedName name="QuarterlyLocals1995" localSheetId="7">#REF!</definedName>
    <definedName name="QuarterlyLocals1995" localSheetId="11">#REF!</definedName>
    <definedName name="QuarterlyLocals1995">#REF!</definedName>
    <definedName name="QuarterlyLocalsFrom1996" localSheetId="7">#REF!</definedName>
    <definedName name="QuarterlyLocalsFrom1996" localSheetId="11">#REF!</definedName>
    <definedName name="QuarterlyLocalsFrom1996">#REF!</definedName>
    <definedName name="QuarterlyProfitFrom1997" localSheetId="7">#REF!</definedName>
    <definedName name="QuarterlyProfitFrom1997" localSheetId="11">#REF!</definedName>
    <definedName name="QuarterlyProfitFrom1997">#REF!</definedName>
    <definedName name="QuarterlyProfitTo1996" localSheetId="7">#REF!</definedName>
    <definedName name="QuarterlyProfitTo1996" localSheetId="11">#REF!</definedName>
    <definedName name="QuarterlyProfitTo1996">#REF!</definedName>
    <definedName name="QuarterlySalesFrom1996" localSheetId="7">#REF!</definedName>
    <definedName name="QuarterlySalesFrom1996" localSheetId="11">#REF!</definedName>
    <definedName name="QuarterlySalesFrom1996">#REF!</definedName>
    <definedName name="QuarterlySalesTo1995" localSheetId="7">#REF!</definedName>
    <definedName name="QuarterlySalesTo1995" localSheetId="11">#REF!</definedName>
    <definedName name="QuarterlySalesTo1995">#REF!</definedName>
    <definedName name="QUARTERS" localSheetId="7">#REF!</definedName>
    <definedName name="QUARTERS" localSheetId="11">#REF!</definedName>
    <definedName name="QUARTERS">#REF!</definedName>
    <definedName name="quartstore" localSheetId="11">'[27]Income Statement Summary'!#REF!</definedName>
    <definedName name="quartstore">'[27]Income Statement Summary'!#REF!</definedName>
    <definedName name="quartstorinv" localSheetId="11">'[39]Income Statement Summary'!#REF!</definedName>
    <definedName name="quartstorinv">'[39]Income Statement Summary'!#REF!</definedName>
    <definedName name="Quoted_investments" localSheetId="7">#REF!</definedName>
    <definedName name="Quoted_investments" localSheetId="11">#REF!</definedName>
    <definedName name="Quoted_investments">#REF!</definedName>
    <definedName name="qwe" localSheetId="6" hidden="1">{#N/A,#N/A,FALSE,"FAB VENDORS";"BUD SUM",#N/A,FALSE,"BUD SUM WO TEX"}</definedName>
    <definedName name="qwe" localSheetId="7" hidden="1">{#N/A,#N/A,FALSE,"FAB VENDORS";"BUD SUM",#N/A,FALSE,"BUD SUM WO TEX"}</definedName>
    <definedName name="qwe" localSheetId="4" hidden="1">{#N/A,#N/A,FALSE,"FAB VENDORS";"BUD SUM",#N/A,FALSE,"BUD SUM WO TEX"}</definedName>
    <definedName name="qwe" localSheetId="3" hidden="1">{#N/A,#N/A,FALSE,"FAB VENDORS";"BUD SUM",#N/A,FALSE,"BUD SUM WO TEX"}</definedName>
    <definedName name="qwe" localSheetId="11" hidden="1">{#N/A,#N/A,FALSE,"FAB VENDORS";"BUD SUM",#N/A,FALSE,"BUD SUM WO TEX"}</definedName>
    <definedName name="qwe" hidden="1">{#N/A,#N/A,FALSE,"FAB VENDORS";"BUD SUM",#N/A,FALSE,"BUD SUM WO TEX"}</definedName>
    <definedName name="qwer" localSheetId="6" hidden="1">{#N/A,#N/A,FALSE,"Barranca"}</definedName>
    <definedName name="qwer" localSheetId="7" hidden="1">{#N/A,#N/A,FALSE,"Barranca"}</definedName>
    <definedName name="qwer" localSheetId="4" hidden="1">{#N/A,#N/A,FALSE,"Barranca"}</definedName>
    <definedName name="qwer" localSheetId="3" hidden="1">{#N/A,#N/A,FALSE,"Barranca"}</definedName>
    <definedName name="qwer" localSheetId="11" hidden="1">{#N/A,#N/A,FALSE,"Barranca"}</definedName>
    <definedName name="qwer" hidden="1">{#N/A,#N/A,FALSE,"Barranca"}</definedName>
    <definedName name="R_D" localSheetId="7">#REF!</definedName>
    <definedName name="R_D" localSheetId="11">#REF!</definedName>
    <definedName name="R_D">#REF!</definedName>
    <definedName name="R_D_amort_years">'[34]Invested capital_VDF'!$A$34</definedName>
    <definedName name="R_D_Amortization">'[34]Invested capital_VDF'!$C$31:$AU$31</definedName>
    <definedName name="R_D_expense">'[34]Invested capital_VDF'!$C$28:$AZ$28</definedName>
    <definedName name="ra" localSheetId="7">#REF!</definedName>
    <definedName name="ra" localSheetId="11">#REF!</definedName>
    <definedName name="ra">#REF!</definedName>
    <definedName name="raccolta96" localSheetId="7">#REF!</definedName>
    <definedName name="raccolta96" localSheetId="11">#REF!</definedName>
    <definedName name="raccolta96">#REF!</definedName>
    <definedName name="RANGENAMES" localSheetId="7">#REF!</definedName>
    <definedName name="RANGENAMES" localSheetId="11">#REF!</definedName>
    <definedName name="RANGENAMES">#REF!</definedName>
    <definedName name="RAT" localSheetId="11">'[2]teo model'!#REF!</definedName>
    <definedName name="RAT">'[2]teo model'!#REF!</definedName>
    <definedName name="rate" localSheetId="7">#REF!</definedName>
    <definedName name="rate" localSheetId="11">#REF!</definedName>
    <definedName name="rate">#REF!</definedName>
    <definedName name="RATES" localSheetId="11">'[2]teo model'!#REF!</definedName>
    <definedName name="RATES">'[2]teo model'!#REF!</definedName>
    <definedName name="RATES2" localSheetId="11">'[2]teo model'!#REF!</definedName>
    <definedName name="RATES2">'[2]teo model'!#REF!</definedName>
    <definedName name="rating" localSheetId="7">#REF!</definedName>
    <definedName name="rating" localSheetId="11">#REF!</definedName>
    <definedName name="rating">#REF!</definedName>
    <definedName name="Ratings" localSheetId="11">[114]!Ratings</definedName>
    <definedName name="Ratings">[114]!Ratings</definedName>
    <definedName name="RATIOFULL" localSheetId="7">#REF!</definedName>
    <definedName name="RATIOFULL" localSheetId="11">#REF!</definedName>
    <definedName name="RATIOFULL">#REF!</definedName>
    <definedName name="Ratios" localSheetId="11">#REF!</definedName>
    <definedName name="Ratios">#REF!</definedName>
    <definedName name="rbstkf" localSheetId="11">[38]Input!#REF!</definedName>
    <definedName name="rbstkf">[38]Input!#REF!</definedName>
    <definedName name="rbstpbkf" localSheetId="7">#REF!</definedName>
    <definedName name="rbstpbkf" localSheetId="11">#REF!</definedName>
    <definedName name="rbstpbkf">#REF!</definedName>
    <definedName name="RDR" localSheetId="7">#REF!</definedName>
    <definedName name="RDR" localSheetId="11">#REF!</definedName>
    <definedName name="RDR">#REF!</definedName>
    <definedName name="recap_dividend">"Picture 69"</definedName>
    <definedName name="recap_repurchase">"Picture 64"</definedName>
    <definedName name="Receivable95" localSheetId="11">#REF!</definedName>
    <definedName name="Receivable95">#REF!</definedName>
    <definedName name="Receivable96" localSheetId="7">#REF!</definedName>
    <definedName name="Receivable96" localSheetId="11">#REF!</definedName>
    <definedName name="Receivable96">#REF!</definedName>
    <definedName name="Receivable97" localSheetId="7">#REF!</definedName>
    <definedName name="Receivable97" localSheetId="11">#REF!</definedName>
    <definedName name="Receivable97">#REF!</definedName>
    <definedName name="Receivable98" localSheetId="7">#REF!</definedName>
    <definedName name="Receivable98" localSheetId="11">#REF!</definedName>
    <definedName name="Receivable98">#REF!</definedName>
    <definedName name="Receivable99" localSheetId="7">#REF!</definedName>
    <definedName name="Receivable99" localSheetId="11">#REF!</definedName>
    <definedName name="Receivable99">#REF!</definedName>
    <definedName name="Receivables" localSheetId="7">#REF!</definedName>
    <definedName name="Receivables" localSheetId="11">#REF!</definedName>
    <definedName name="Receivables">#REF!</definedName>
    <definedName name="Recorder">'[56]#REF'!$A$1:$A$65536</definedName>
    <definedName name="recoveries93" localSheetId="7">#REF!</definedName>
    <definedName name="recoveries93" localSheetId="11">#REF!</definedName>
    <definedName name="recoveries93">#REF!</definedName>
    <definedName name="recoveries94" localSheetId="7">#REF!</definedName>
    <definedName name="recoveries94" localSheetId="11">#REF!</definedName>
    <definedName name="recoveries94">#REF!</definedName>
    <definedName name="recoveries95" localSheetId="7">#REF!</definedName>
    <definedName name="recoveries95" localSheetId="11">#REF!</definedName>
    <definedName name="recoveries95">#REF!</definedName>
    <definedName name="recoveries96" localSheetId="7">#REF!</definedName>
    <definedName name="recoveries96" localSheetId="11">#REF!</definedName>
    <definedName name="recoveries96">#REF!</definedName>
    <definedName name="recoveries97" localSheetId="7">#REF!</definedName>
    <definedName name="recoveries97" localSheetId="11">#REF!</definedName>
    <definedName name="recoveries97">#REF!</definedName>
    <definedName name="recoveries98" localSheetId="7">#REF!</definedName>
    <definedName name="recoveries98" localSheetId="11">#REF!</definedName>
    <definedName name="recoveries98">#REF!</definedName>
    <definedName name="redo" localSheetId="11">[115]Macro1!#REF!</definedName>
    <definedName name="redo">[115]Macro1!#REF!</definedName>
    <definedName name="Refludan00" localSheetId="7">#REF!</definedName>
    <definedName name="Refludan00" localSheetId="11">#REF!</definedName>
    <definedName name="Refludan00">#REF!</definedName>
    <definedName name="Refludan01" localSheetId="7">#REF!</definedName>
    <definedName name="Refludan01" localSheetId="11">#REF!</definedName>
    <definedName name="Refludan01">#REF!</definedName>
    <definedName name="Refludan02" localSheetId="7">#REF!</definedName>
    <definedName name="Refludan02" localSheetId="11">#REF!</definedName>
    <definedName name="Refludan02">#REF!</definedName>
    <definedName name="Refludan03" localSheetId="7">#REF!</definedName>
    <definedName name="Refludan03" localSheetId="11">#REF!</definedName>
    <definedName name="Refludan03">#REF!</definedName>
    <definedName name="Refludan04" localSheetId="7">#REF!</definedName>
    <definedName name="Refludan04" localSheetId="11">#REF!</definedName>
    <definedName name="Refludan04">#REF!</definedName>
    <definedName name="Refludan05" localSheetId="7">#REF!</definedName>
    <definedName name="Refludan05" localSheetId="11">#REF!</definedName>
    <definedName name="Refludan05">#REF!</definedName>
    <definedName name="Refludan97" localSheetId="7">#REF!</definedName>
    <definedName name="Refludan97" localSheetId="11">#REF!</definedName>
    <definedName name="Refludan97">#REF!</definedName>
    <definedName name="Refludan98" localSheetId="7">#REF!</definedName>
    <definedName name="Refludan98" localSheetId="11">#REF!</definedName>
    <definedName name="Refludan98">#REF!</definedName>
    <definedName name="Refludan99" localSheetId="7">#REF!</definedName>
    <definedName name="Refludan99" localSheetId="11">#REF!</definedName>
    <definedName name="Refludan99">#REF!</definedName>
    <definedName name="reg" localSheetId="7">#REF!</definedName>
    <definedName name="reg" localSheetId="11">#REF!</definedName>
    <definedName name="reg">#REF!</definedName>
    <definedName name="releases93" localSheetId="7">#REF!</definedName>
    <definedName name="releases93" localSheetId="11">#REF!</definedName>
    <definedName name="releases93">#REF!</definedName>
    <definedName name="releases94" localSheetId="7">#REF!</definedName>
    <definedName name="releases94" localSheetId="11">#REF!</definedName>
    <definedName name="releases94">#REF!</definedName>
    <definedName name="releases95" localSheetId="7">#REF!</definedName>
    <definedName name="releases95" localSheetId="11">#REF!</definedName>
    <definedName name="releases95">#REF!</definedName>
    <definedName name="releases96" localSheetId="7">#REF!</definedName>
    <definedName name="releases96" localSheetId="11">#REF!</definedName>
    <definedName name="releases96">#REF!</definedName>
    <definedName name="releases97" localSheetId="7">#REF!</definedName>
    <definedName name="releases97" localSheetId="11">#REF!</definedName>
    <definedName name="releases97">#REF!</definedName>
    <definedName name="releases98" localSheetId="7">#REF!</definedName>
    <definedName name="releases98" localSheetId="11">#REF!</definedName>
    <definedName name="releases98">#REF!</definedName>
    <definedName name="relpr12m" localSheetId="7">#REF!</definedName>
    <definedName name="relpr12m" localSheetId="11">#REF!</definedName>
    <definedName name="relpr12m">#REF!</definedName>
    <definedName name="relpr1m" localSheetId="7">#REF!</definedName>
    <definedName name="relpr1m" localSheetId="11">#REF!</definedName>
    <definedName name="relpr1m">#REF!</definedName>
    <definedName name="relpr3m" localSheetId="7">#REF!</definedName>
    <definedName name="relpr3m" localSheetId="11">#REF!</definedName>
    <definedName name="relpr3m">#REF!</definedName>
    <definedName name="Repackaged_subordinated_notes" localSheetId="7">#REF!</definedName>
    <definedName name="Repackaged_subordinated_notes" localSheetId="11">#REF!</definedName>
    <definedName name="Repackaged_subordinated_notes">#REF!</definedName>
    <definedName name="REPORT_ABNPRICE">'[116]Price Vol charts'!$B$8:$B$9</definedName>
    <definedName name="REPORT_BS">'[117]Report tables'!$G$5:$S$38</definedName>
    <definedName name="REPORT_BSGRAPH">'[117]Report BS'!$M$4:$M$8</definedName>
    <definedName name="REPORT_CAPFORM">'[117]Report P&amp;L'!$AW$29:$BA$43</definedName>
    <definedName name="REPORT_CSPRICE">'[116]Price Vol charts'!$B$2:$B$3</definedName>
    <definedName name="REPORT_DBPRICE">'[116]Price Vol charts'!$D$5:$D$6</definedName>
    <definedName name="REPORT_EQUITY">'[117]Report P&amp;L'!$AN$29:$AP$66</definedName>
    <definedName name="REPORT_FORTISPRICE">'[116]Price Vol charts'!$D$2:$D$3</definedName>
    <definedName name="REPORT_KEYSTATS">'[117]Report P&amp;L'!$AA$26:$AG$35</definedName>
    <definedName name="REPORT_MIXGRAPH" localSheetId="7">#REF!</definedName>
    <definedName name="REPORT_MIXGRAPH" localSheetId="11">#REF!</definedName>
    <definedName name="REPORT_MIXGRAPH">#REF!</definedName>
    <definedName name="REPORT_PL">[117]Bil!$X$5:$AQ$36</definedName>
    <definedName name="REPORT_RETURNSACC">'[117]Report P&amp;L'!$BH$29:$BL$57</definedName>
    <definedName name="REPORT_RETURNSCASH">'[117]Report P&amp;L'!$BS$29:$BW$60</definedName>
    <definedName name="REPORT_REVGRAPH">'[117]Report BS'!$I$4:$I$5</definedName>
    <definedName name="REPORT_REVSCOSTS" localSheetId="11">'[118]Report Graphs'!#REF!</definedName>
    <definedName name="REPORT_REVSCOSTS">'[118]Report Graphs'!#REF!</definedName>
    <definedName name="REPORT_SOTP">[117]SOTP!$C$10:$M$34</definedName>
    <definedName name="REPORT_SOTPGRAPH">'[117]Report BS'!$K$4:$K$8</definedName>
    <definedName name="REPORT_UBSPRICE">'[116]Price Vol charts'!$B$5:$B$6</definedName>
    <definedName name="REPORT_VALUATION">'[117]Report P&amp;L'!$D$12:$U$21</definedName>
    <definedName name="Reported_net_income" localSheetId="11">[32]Figures!#REF!</definedName>
    <definedName name="Reported_net_income">[32]Figures!#REF!</definedName>
    <definedName name="REPORTED_PRETAX_PROFIT" localSheetId="7">#REF!</definedName>
    <definedName name="REPORTED_PRETAX_PROFIT" localSheetId="11">#REF!</definedName>
    <definedName name="REPORTED_PRETAX_PROFIT">#REF!</definedName>
    <definedName name="ReportGroup" hidden="1">0</definedName>
    <definedName name="reposassets93" localSheetId="7">#REF!</definedName>
    <definedName name="reposassets93" localSheetId="11">#REF!</definedName>
    <definedName name="reposassets93">#REF!</definedName>
    <definedName name="reposassets94" localSheetId="7">#REF!</definedName>
    <definedName name="reposassets94" localSheetId="11">#REF!</definedName>
    <definedName name="reposassets94">#REF!</definedName>
    <definedName name="reposassets95" localSheetId="7">#REF!</definedName>
    <definedName name="reposassets95" localSheetId="11">#REF!</definedName>
    <definedName name="reposassets95">#REF!</definedName>
    <definedName name="reposassets96" localSheetId="7">#REF!</definedName>
    <definedName name="reposassets96" localSheetId="11">#REF!</definedName>
    <definedName name="reposassets96">#REF!</definedName>
    <definedName name="reposassets97" localSheetId="7">#REF!</definedName>
    <definedName name="reposassets97" localSheetId="11">#REF!</definedName>
    <definedName name="reposassets97">#REF!</definedName>
    <definedName name="reqdetails">'[61]DDETABLE '!$O$15:$T$345</definedName>
    <definedName name="Required_cash_percent">'[34]Invested capital_VDF'!$A$9</definedName>
    <definedName name="ResearchForecasts" localSheetId="7">#REF!</definedName>
    <definedName name="ResearchForecasts" localSheetId="11">#REF!</definedName>
    <definedName name="ResearchForecasts">#REF!</definedName>
    <definedName name="resnpa93" localSheetId="7">#REF!</definedName>
    <definedName name="resnpa93" localSheetId="11">#REF!</definedName>
    <definedName name="resnpa93">#REF!</definedName>
    <definedName name="resnpa94" localSheetId="7">#REF!</definedName>
    <definedName name="resnpa94" localSheetId="11">#REF!</definedName>
    <definedName name="resnpa94">#REF!</definedName>
    <definedName name="resnpa95" localSheetId="7">#REF!</definedName>
    <definedName name="resnpa95" localSheetId="11">#REF!</definedName>
    <definedName name="resnpa95">#REF!</definedName>
    <definedName name="resnpa96" localSheetId="7">#REF!</definedName>
    <definedName name="resnpa96" localSheetId="11">#REF!</definedName>
    <definedName name="resnpa96">#REF!</definedName>
    <definedName name="resnpa97" localSheetId="7">#REF!</definedName>
    <definedName name="resnpa97" localSheetId="11">#REF!</definedName>
    <definedName name="resnpa97">#REF!</definedName>
    <definedName name="resnpa98" localSheetId="7">#REF!</definedName>
    <definedName name="resnpa98" localSheetId="11">#REF!</definedName>
    <definedName name="resnpa98">#REF!</definedName>
    <definedName name="resnpl93" localSheetId="7">#REF!</definedName>
    <definedName name="resnpl93" localSheetId="11">#REF!</definedName>
    <definedName name="resnpl93">#REF!</definedName>
    <definedName name="resnpl94" localSheetId="7">#REF!</definedName>
    <definedName name="resnpl94" localSheetId="11">#REF!</definedName>
    <definedName name="resnpl94">#REF!</definedName>
    <definedName name="resnpl95" localSheetId="7">#REF!</definedName>
    <definedName name="resnpl95" localSheetId="11">#REF!</definedName>
    <definedName name="resnpl95">#REF!</definedName>
    <definedName name="resnpl96" localSheetId="7">#REF!</definedName>
    <definedName name="resnpl96" localSheetId="11">#REF!</definedName>
    <definedName name="resnpl96">#REF!</definedName>
    <definedName name="resnpl97" localSheetId="7">#REF!</definedName>
    <definedName name="resnpl97" localSheetId="11">#REF!</definedName>
    <definedName name="resnpl97">#REF!</definedName>
    <definedName name="resnpl98" localSheetId="7">#REF!</definedName>
    <definedName name="resnpl98" localSheetId="11">#REF!</definedName>
    <definedName name="resnpl98">#REF!</definedName>
    <definedName name="resriskass93" localSheetId="7">#REF!</definedName>
    <definedName name="resriskass93" localSheetId="11">#REF!</definedName>
    <definedName name="resriskass93">#REF!</definedName>
    <definedName name="resriskass94" localSheetId="7">#REF!</definedName>
    <definedName name="resriskass94" localSheetId="11">#REF!</definedName>
    <definedName name="resriskass94">#REF!</definedName>
    <definedName name="resriskass95" localSheetId="7">#REF!</definedName>
    <definedName name="resriskass95" localSheetId="11">#REF!</definedName>
    <definedName name="resriskass95">#REF!</definedName>
    <definedName name="resriskass96" localSheetId="7">#REF!</definedName>
    <definedName name="resriskass96" localSheetId="11">#REF!</definedName>
    <definedName name="resriskass96">#REF!</definedName>
    <definedName name="resriskass97" localSheetId="7">#REF!</definedName>
    <definedName name="resriskass97" localSheetId="11">#REF!</definedName>
    <definedName name="resriskass97">#REF!</definedName>
    <definedName name="resriskass98" localSheetId="7">#REF!</definedName>
    <definedName name="resriskass98" localSheetId="11">#REF!</definedName>
    <definedName name="resriskass98">#REF!</definedName>
    <definedName name="restolns92">'[19]Annual Model'!$E$99</definedName>
    <definedName name="restolns93">'[19]Annual Model'!$F$99</definedName>
    <definedName name="restolns94">'[19]Annual Model'!$G$99</definedName>
    <definedName name="restolns95">'[19]Annual Model'!$I$99</definedName>
    <definedName name="Restricted_equity" localSheetId="7">#REF!</definedName>
    <definedName name="Restricted_equity" localSheetId="11">#REF!</definedName>
    <definedName name="Restricted_equity">#REF!</definedName>
    <definedName name="Restructuring" localSheetId="7">#REF!</definedName>
    <definedName name="Restructuring" localSheetId="11">#REF!</definedName>
    <definedName name="Restructuring">#REF!</definedName>
    <definedName name="Restructuring_charges" localSheetId="11">'[34]Invested capital_VDF'!#REF!</definedName>
    <definedName name="Restructuring_charges">'[34]Invested capital_VDF'!#REF!</definedName>
    <definedName name="Restructuring_charges_growth_fore" localSheetId="7">#REF!</definedName>
    <definedName name="Restructuring_charges_growth_fore" localSheetId="11">#REF!</definedName>
    <definedName name="Restructuring_charges_growth_fore">#REF!</definedName>
    <definedName name="Results" localSheetId="7">#REF!</definedName>
    <definedName name="Results" localSheetId="11">#REF!</definedName>
    <definedName name="Results">#REF!</definedName>
    <definedName name="retail">'[33]R'!$B$2:$S$38</definedName>
    <definedName name="retail_pl">'[33]R'!$B$2:$S$39</definedName>
    <definedName name="Retained_Earnings" localSheetId="7">#REF!</definedName>
    <definedName name="Retained_Earnings" localSheetId="11">#REF!</definedName>
    <definedName name="Retained_Earnings">#REF!</definedName>
    <definedName name="retpric3" localSheetId="6">#REF!</definedName>
    <definedName name="retpric3" localSheetId="7">#REF!</definedName>
    <definedName name="retpric3" localSheetId="11">#REF!</definedName>
    <definedName name="retpric3">#REF!</definedName>
    <definedName name="returns" localSheetId="11">[59]!returns</definedName>
    <definedName name="returns">[59]!returns</definedName>
    <definedName name="Rev_syn">[69]Synergies!$M$39:$O$56</definedName>
    <definedName name="Revenue" localSheetId="7">#REF!</definedName>
    <definedName name="Revenue" localSheetId="11">#REF!</definedName>
    <definedName name="Revenue">#REF!</definedName>
    <definedName name="Revenue_2" localSheetId="11">'[119]Rev sum'!#REF!</definedName>
    <definedName name="Revenue_2">'[119]Rev sum'!#REF!</definedName>
    <definedName name="Revenues" localSheetId="7">#REF!</definedName>
    <definedName name="Revenues" localSheetId="11">#REF!</definedName>
    <definedName name="Revenues">#REF!</definedName>
    <definedName name="Revlon" localSheetId="7" hidden="1">{"ASCONGRP","COMPANIES",TRUE}</definedName>
    <definedName name="Revlon" localSheetId="4" hidden="1">{"ASCONGRP","COMPANIES",TRUE}</definedName>
    <definedName name="Revlon" hidden="1">{"ASCONGRP","COMPANIES",TRUE}</definedName>
    <definedName name="revs_cellular_total">[66]Revenues!$A$80:$IV$80</definedName>
    <definedName name="revs_internet">[66]Revenues!$A$134:$IV$134</definedName>
    <definedName name="revs_other">[66]Revenues!$A$136:$IV$136</definedName>
    <definedName name="Rilutek.Riluzole00" localSheetId="7">#REF!</definedName>
    <definedName name="Rilutek.Riluzole00" localSheetId="11">#REF!</definedName>
    <definedName name="Rilutek.Riluzole00">#REF!</definedName>
    <definedName name="Rilutek.Riluzole01" localSheetId="7">#REF!</definedName>
    <definedName name="Rilutek.Riluzole01" localSheetId="11">#REF!</definedName>
    <definedName name="Rilutek.Riluzole01">#REF!</definedName>
    <definedName name="Rilutek.Riluzole02" localSheetId="7">#REF!</definedName>
    <definedName name="Rilutek.Riluzole02" localSheetId="11">#REF!</definedName>
    <definedName name="Rilutek.Riluzole02">#REF!</definedName>
    <definedName name="Rilutek.Riluzole03" localSheetId="7">#REF!</definedName>
    <definedName name="Rilutek.Riluzole03" localSheetId="11">#REF!</definedName>
    <definedName name="Rilutek.Riluzole03">#REF!</definedName>
    <definedName name="Rilutek.Riluzole04" localSheetId="7">#REF!</definedName>
    <definedName name="Rilutek.Riluzole04" localSheetId="11">#REF!</definedName>
    <definedName name="Rilutek.Riluzole04">#REF!</definedName>
    <definedName name="Rilutek.Riluzole05" localSheetId="7">#REF!</definedName>
    <definedName name="Rilutek.Riluzole05" localSheetId="11">#REF!</definedName>
    <definedName name="Rilutek.Riluzole05">#REF!</definedName>
    <definedName name="Rilutek.Riluzole97" localSheetId="7">#REF!</definedName>
    <definedName name="Rilutek.Riluzole97" localSheetId="11">#REF!</definedName>
    <definedName name="Rilutek.Riluzole97">#REF!</definedName>
    <definedName name="Rilutek.Riluzole98" localSheetId="7">#REF!</definedName>
    <definedName name="Rilutek.Riluzole98" localSheetId="11">#REF!</definedName>
    <definedName name="Rilutek.Riluzole98">#REF!</definedName>
    <definedName name="Rilutek.Riluzole99" localSheetId="7">#REF!</definedName>
    <definedName name="Rilutek.Riluzole99" localSheetId="11">#REF!</definedName>
    <definedName name="Rilutek.Riluzole99">#REF!</definedName>
    <definedName name="riskassets93" localSheetId="7">#REF!</definedName>
    <definedName name="riskassets93" localSheetId="11">#REF!</definedName>
    <definedName name="riskassets93">#REF!</definedName>
    <definedName name="riskassets94" localSheetId="7">#REF!</definedName>
    <definedName name="riskassets94" localSheetId="11">#REF!</definedName>
    <definedName name="riskassets94">#REF!</definedName>
    <definedName name="riskassets95" localSheetId="7">#REF!</definedName>
    <definedName name="riskassets95" localSheetId="11">#REF!</definedName>
    <definedName name="riskassets95">#REF!</definedName>
    <definedName name="riskassets96" localSheetId="7">#REF!</definedName>
    <definedName name="riskassets96" localSheetId="11">#REF!</definedName>
    <definedName name="riskassets96">#REF!</definedName>
    <definedName name="riskassets97" localSheetId="7">#REF!</definedName>
    <definedName name="riskassets97" localSheetId="11">#REF!</definedName>
    <definedName name="riskassets97">#REF!</definedName>
    <definedName name="riskassets98" localSheetId="7">#REF!</definedName>
    <definedName name="riskassets98" localSheetId="11">#REF!</definedName>
    <definedName name="riskassets98">#REF!</definedName>
    <definedName name="rnc" localSheetId="11">'[120]AssetListing for Upload'!#REF!</definedName>
    <definedName name="rnc">'[120]AssetListing for Upload'!#REF!</definedName>
    <definedName name="RnD_expense">'[34]Invested capital_VDF'!$C$28:$AZ$28</definedName>
    <definedName name="RnD_expense_fore" localSheetId="7">#REF!</definedName>
    <definedName name="RnD_expense_fore" localSheetId="11">#REF!</definedName>
    <definedName name="RnD_expense_fore">#REF!</definedName>
    <definedName name="RnD_expense_growth_fore" localSheetId="7">#REF!</definedName>
    <definedName name="RnD_expense_growth_fore" localSheetId="11">#REF!</definedName>
    <definedName name="RnD_expense_growth_fore">#REF!</definedName>
    <definedName name="RnD_expenses_fore" localSheetId="7">#REF!</definedName>
    <definedName name="RnD_expenses_fore" localSheetId="11">#REF!</definedName>
    <definedName name="RnD_expenses_fore">#REF!</definedName>
    <definedName name="roa00" localSheetId="11">'[18]Annual Model'!#REF!</definedName>
    <definedName name="roa00">'[18]Annual Model'!#REF!</definedName>
    <definedName name="roae94">[24]LOWRETD!$T$30</definedName>
    <definedName name="roae95">[24]LOWRETD!$V$30</definedName>
    <definedName name="roae96">[24]LOWRETD!$X$30</definedName>
    <definedName name="ROC" localSheetId="7">#REF!</definedName>
    <definedName name="ROC" localSheetId="11">#REF!</definedName>
    <definedName name="ROC">#REF!</definedName>
    <definedName name="roce1">[97]Airlines!$E$12</definedName>
    <definedName name="ROE" localSheetId="7">#REF!</definedName>
    <definedName name="ROE" localSheetId="11">#REF!</definedName>
    <definedName name="ROE">#REF!</definedName>
    <definedName name="roe00">'[18]Annual Model'!$H$85</definedName>
    <definedName name="roe1h00">'[19]Interim Model'!$AW$97</definedName>
    <definedName name="roe1q00">'[18]Quarterly Model'!$G$86</definedName>
    <definedName name="roe1q98" localSheetId="7">#REF!</definedName>
    <definedName name="roe1q98" localSheetId="11">#REF!</definedName>
    <definedName name="roe1q98">#REF!</definedName>
    <definedName name="roe1q99" localSheetId="7">#REF!</definedName>
    <definedName name="roe1q99" localSheetId="11">#REF!</definedName>
    <definedName name="roe1q99">#REF!</definedName>
    <definedName name="roe2q00">'[18]Quarterly Model'!$I$86</definedName>
    <definedName name="roe2q97" localSheetId="7">#REF!</definedName>
    <definedName name="roe2q97" localSheetId="11">#REF!</definedName>
    <definedName name="roe2q97">#REF!</definedName>
    <definedName name="roe2q97b" localSheetId="7">#REF!</definedName>
    <definedName name="roe2q97b" localSheetId="11">#REF!</definedName>
    <definedName name="roe2q97b">#REF!</definedName>
    <definedName name="roe2q98" localSheetId="7">#REF!</definedName>
    <definedName name="roe2q98" localSheetId="11">#REF!</definedName>
    <definedName name="roe2q98">#REF!</definedName>
    <definedName name="roe2q99" localSheetId="7">#REF!</definedName>
    <definedName name="roe2q99" localSheetId="11">#REF!</definedName>
    <definedName name="roe2q99">#REF!</definedName>
    <definedName name="roe3q00">'[18]Quarterly Model'!$K$86</definedName>
    <definedName name="roe3q98" localSheetId="7">#REF!</definedName>
    <definedName name="roe3q98" localSheetId="11">#REF!</definedName>
    <definedName name="roe3q98">#REF!</definedName>
    <definedName name="roe3q99" localSheetId="7">#REF!</definedName>
    <definedName name="roe3q99" localSheetId="11">#REF!</definedName>
    <definedName name="roe3q99">#REF!</definedName>
    <definedName name="ROE3Q99e" localSheetId="7">#REF!</definedName>
    <definedName name="ROE3Q99e" localSheetId="11">#REF!</definedName>
    <definedName name="ROE3Q99e">#REF!</definedName>
    <definedName name="roe4q00">'[18]Quarterly Model'!$M$86</definedName>
    <definedName name="roe4q98" localSheetId="7">#REF!</definedName>
    <definedName name="roe4q98" localSheetId="11">#REF!</definedName>
    <definedName name="roe4q98">#REF!</definedName>
    <definedName name="roeadjDL95" localSheetId="11">'[19]Annual Model'!#REF!</definedName>
    <definedName name="roeadjDL95">'[19]Annual Model'!#REF!</definedName>
    <definedName name="roeadjDL96" localSheetId="11">'[19]Annual Model'!#REF!</definedName>
    <definedName name="roeadjDL96">'[19]Annual Model'!#REF!</definedName>
    <definedName name="roeadjDL97" localSheetId="11">'[19]Annual Model'!#REF!</definedName>
    <definedName name="roeadjDL97">'[19]Annual Model'!#REF!</definedName>
    <definedName name="roeadjDL98" localSheetId="11">'[19]Annual Model'!#REF!</definedName>
    <definedName name="roeadjDL98">'[19]Annual Model'!#REF!</definedName>
    <definedName name="roecc00" localSheetId="7">#REF!</definedName>
    <definedName name="roecc00" localSheetId="11">#REF!</definedName>
    <definedName name="roecc00">#REF!</definedName>
    <definedName name="roecc98" localSheetId="7">#REF!</definedName>
    <definedName name="roecc98" localSheetId="11">#REF!</definedName>
    <definedName name="roecc98">#REF!</definedName>
    <definedName name="roecc99" localSheetId="7">#REF!</definedName>
    <definedName name="roecc99" localSheetId="11">#REF!</definedName>
    <definedName name="roecc99">#REF!</definedName>
    <definedName name="roeccc97" localSheetId="7">#REF!</definedName>
    <definedName name="roeccc97" localSheetId="11">#REF!</definedName>
    <definedName name="roeccc97">#REF!</definedName>
    <definedName name="roecon00" localSheetId="7">#REF!</definedName>
    <definedName name="roecon00" localSheetId="11">#REF!</definedName>
    <definedName name="roecon00">#REF!</definedName>
    <definedName name="roecon97" localSheetId="7">#REF!</definedName>
    <definedName name="roecon97" localSheetId="11">#REF!</definedName>
    <definedName name="roecon97">#REF!</definedName>
    <definedName name="roecon98" localSheetId="7">#REF!</definedName>
    <definedName name="roecon98" localSheetId="11">#REF!</definedName>
    <definedName name="roecon98">#REF!</definedName>
    <definedName name="roecon99" localSheetId="7">#REF!</definedName>
    <definedName name="roecon99" localSheetId="11">#REF!</definedName>
    <definedName name="roecon99">#REF!</definedName>
    <definedName name="roeh197">'[19]Interim Model'!$U$97</definedName>
    <definedName name="roeh198">'[19]Interim Model'!$AB$97</definedName>
    <definedName name="roeh199">'[19]Interim Model'!$AI$97</definedName>
    <definedName name="roeh298">'[19]Interim Model'!$AE$96</definedName>
    <definedName name="roeinv00" localSheetId="7">#REF!</definedName>
    <definedName name="roeinv00" localSheetId="11">#REF!</definedName>
    <definedName name="roeinv00">#REF!</definedName>
    <definedName name="roeinv97" localSheetId="7">#REF!</definedName>
    <definedName name="roeinv97" localSheetId="11">#REF!</definedName>
    <definedName name="roeinv97">#REF!</definedName>
    <definedName name="roeinv98" localSheetId="7">#REF!</definedName>
    <definedName name="roeinv98" localSheetId="11">#REF!</definedName>
    <definedName name="roeinv98">#REF!</definedName>
    <definedName name="roeinv99" localSheetId="7">#REF!</definedName>
    <definedName name="roeinv99" localSheetId="11">#REF!</definedName>
    <definedName name="roeinv99">#REF!</definedName>
    <definedName name="roepriv00" localSheetId="7">#REF!</definedName>
    <definedName name="roepriv00" localSheetId="11">#REF!</definedName>
    <definedName name="roepriv00">#REF!</definedName>
    <definedName name="roepriv97" localSheetId="7">#REF!</definedName>
    <definedName name="roepriv97" localSheetId="11">#REF!</definedName>
    <definedName name="roepriv97">#REF!</definedName>
    <definedName name="roepriv98" localSheetId="7">#REF!</definedName>
    <definedName name="roepriv98" localSheetId="11">#REF!</definedName>
    <definedName name="roepriv98">#REF!</definedName>
    <definedName name="roepriv99" localSheetId="7">#REF!</definedName>
    <definedName name="roepriv99" localSheetId="11">#REF!</definedName>
    <definedName name="roepriv99">#REF!</definedName>
    <definedName name="roeq296" localSheetId="7">#REF!</definedName>
    <definedName name="roeq296" localSheetId="11">#REF!</definedName>
    <definedName name="roeq296">#REF!</definedName>
    <definedName name="roic" localSheetId="7">#REF!</definedName>
    <definedName name="roic" localSheetId="11">#REF!</definedName>
    <definedName name="roic">#REF!</definedName>
    <definedName name="roic2" localSheetId="7">#REF!</definedName>
    <definedName name="roic2" localSheetId="11">#REF!</definedName>
    <definedName name="roic2">#REF!</definedName>
    <definedName name="RoW" localSheetId="7">#REF!</definedName>
    <definedName name="RoW" localSheetId="11">#REF!</definedName>
    <definedName name="RoW">#REF!</definedName>
    <definedName name="RoW_w" localSheetId="7">#REF!</definedName>
    <definedName name="RoW_w" localSheetId="11">#REF!</definedName>
    <definedName name="RoW_w">#REF!</definedName>
    <definedName name="RPOthers00" localSheetId="7">#REF!</definedName>
    <definedName name="RPOthers00" localSheetId="11">#REF!</definedName>
    <definedName name="RPOthers00">#REF!</definedName>
    <definedName name="RPOthers01" localSheetId="7">#REF!</definedName>
    <definedName name="RPOthers01" localSheetId="11">#REF!</definedName>
    <definedName name="RPOthers01">#REF!</definedName>
    <definedName name="RPOthers02" localSheetId="7">#REF!</definedName>
    <definedName name="RPOthers02" localSheetId="11">#REF!</definedName>
    <definedName name="RPOthers02">#REF!</definedName>
    <definedName name="RPOthers03" localSheetId="7">#REF!</definedName>
    <definedName name="RPOthers03" localSheetId="11">#REF!</definedName>
    <definedName name="RPOthers03">#REF!</definedName>
    <definedName name="RPOthers04" localSheetId="7">#REF!</definedName>
    <definedName name="RPOthers04" localSheetId="11">#REF!</definedName>
    <definedName name="RPOthers04">#REF!</definedName>
    <definedName name="RPOthers05" localSheetId="7">#REF!</definedName>
    <definedName name="RPOthers05" localSheetId="11">#REF!</definedName>
    <definedName name="RPOthers05">#REF!</definedName>
    <definedName name="RPOthers97" localSheetId="7">#REF!</definedName>
    <definedName name="RPOthers97" localSheetId="11">#REF!</definedName>
    <definedName name="RPOthers97">#REF!</definedName>
    <definedName name="RPOthers98" localSheetId="7">#REF!</definedName>
    <definedName name="RPOthers98" localSheetId="11">#REF!</definedName>
    <definedName name="RPOthers98">#REF!</definedName>
    <definedName name="RPOthers99" localSheetId="7">#REF!</definedName>
    <definedName name="RPOthers99" localSheetId="11">#REF!</definedName>
    <definedName name="RPOthers99">#REF!</definedName>
    <definedName name="rs">'[121]Dem-HH'!$I$13</definedName>
    <definedName name="rubbish" localSheetId="7">#REF!</definedName>
    <definedName name="rubbish" localSheetId="11">#REF!</definedName>
    <definedName name="rubbish">#REF!</definedName>
    <definedName name="rubbish2" localSheetId="7">#REF!</definedName>
    <definedName name="rubbish2" localSheetId="11">#REF!</definedName>
    <definedName name="rubbish2">#REF!</definedName>
    <definedName name="Rulid00" localSheetId="7">#REF!</definedName>
    <definedName name="Rulid00" localSheetId="11">#REF!</definedName>
    <definedName name="Rulid00">#REF!</definedName>
    <definedName name="Rulid01" localSheetId="7">#REF!</definedName>
    <definedName name="Rulid01" localSheetId="11">#REF!</definedName>
    <definedName name="Rulid01">#REF!</definedName>
    <definedName name="Rulid02" localSheetId="7">#REF!</definedName>
    <definedName name="Rulid02" localSheetId="11">#REF!</definedName>
    <definedName name="Rulid02">#REF!</definedName>
    <definedName name="Rulid03" localSheetId="7">#REF!</definedName>
    <definedName name="Rulid03" localSheetId="11">#REF!</definedName>
    <definedName name="Rulid03">#REF!</definedName>
    <definedName name="Rulid04" localSheetId="7">#REF!</definedName>
    <definedName name="Rulid04" localSheetId="11">#REF!</definedName>
    <definedName name="Rulid04">#REF!</definedName>
    <definedName name="Rulid05" localSheetId="7">#REF!</definedName>
    <definedName name="Rulid05" localSheetId="11">#REF!</definedName>
    <definedName name="Rulid05">#REF!</definedName>
    <definedName name="Rulid97" localSheetId="7">#REF!</definedName>
    <definedName name="Rulid97" localSheetId="11">#REF!</definedName>
    <definedName name="Rulid97">#REF!</definedName>
    <definedName name="Rulid98" localSheetId="7">#REF!</definedName>
    <definedName name="Rulid98" localSheetId="11">#REF!</definedName>
    <definedName name="Rulid98">#REF!</definedName>
    <definedName name="Rulid99" localSheetId="7">#REF!</definedName>
    <definedName name="Rulid99" localSheetId="11">#REF!</definedName>
    <definedName name="Rulid99">#REF!</definedName>
    <definedName name="RWA1h00">'[19]Interim Model'!$AW$62</definedName>
    <definedName name="RWA1h96">'[19]Interim Model'!$M$62</definedName>
    <definedName name="RWA1h97">'[19]Interim Model'!$U$62</definedName>
    <definedName name="RWA1h98">'[19]Interim Model'!$AB$62</definedName>
    <definedName name="RWA1h99">'[19]Interim Model'!$AI$62</definedName>
    <definedName name="RWA2h00">'[19]Interim Model'!$AZ$62</definedName>
    <definedName name="RWA2h99">'[19]Interim Model'!$AL$62</definedName>
    <definedName name="RWAs00">'[19]Annual Model'!$V$63</definedName>
    <definedName name="RWAs01">'[19]Annual Model'!$Z$63</definedName>
    <definedName name="RWAs92">'[19]Annual Model'!$E$63</definedName>
    <definedName name="RWAs93">'[19]Annual Model'!$F$63</definedName>
    <definedName name="RWAs94">'[19]Annual Model'!$G$63</definedName>
    <definedName name="RWAs95">'[19]Annual Model'!$I$63</definedName>
    <definedName name="RWAs96">'[19]Annual Model'!$L$63</definedName>
    <definedName name="RWAs97">'[19]Annual Model'!$N$63</definedName>
    <definedName name="RWAs98">'[19]Annual Model'!$P$63</definedName>
    <definedName name="RWAs99">'[19]Annual Model'!$R$63</definedName>
    <definedName name="Rythmodan00" localSheetId="7">#REF!</definedName>
    <definedName name="Rythmodan00" localSheetId="11">#REF!</definedName>
    <definedName name="Rythmodan00">#REF!</definedName>
    <definedName name="Rythmodan01" localSheetId="7">#REF!</definedName>
    <definedName name="Rythmodan01" localSheetId="11">#REF!</definedName>
    <definedName name="Rythmodan01">#REF!</definedName>
    <definedName name="Rythmodan02" localSheetId="7">#REF!</definedName>
    <definedName name="Rythmodan02" localSheetId="11">#REF!</definedName>
    <definedName name="Rythmodan02">#REF!</definedName>
    <definedName name="Rythmodan03" localSheetId="7">#REF!</definedName>
    <definedName name="Rythmodan03" localSheetId="11">#REF!</definedName>
    <definedName name="Rythmodan03">#REF!</definedName>
    <definedName name="Rythmodan04" localSheetId="7">#REF!</definedName>
    <definedName name="Rythmodan04" localSheetId="11">#REF!</definedName>
    <definedName name="Rythmodan04">#REF!</definedName>
    <definedName name="Rythmodan05" localSheetId="7">#REF!</definedName>
    <definedName name="Rythmodan05" localSheetId="11">#REF!</definedName>
    <definedName name="Rythmodan05">#REF!</definedName>
    <definedName name="Rythmodan97" localSheetId="7">#REF!</definedName>
    <definedName name="Rythmodan97" localSheetId="11">#REF!</definedName>
    <definedName name="Rythmodan97">#REF!</definedName>
    <definedName name="Rythmodan98" localSheetId="7">#REF!</definedName>
    <definedName name="Rythmodan98" localSheetId="11">#REF!</definedName>
    <definedName name="Rythmodan98">#REF!</definedName>
    <definedName name="Rythmodan99" localSheetId="7">#REF!</definedName>
    <definedName name="Rythmodan99" localSheetId="11">#REF!</definedName>
    <definedName name="Rythmodan99">#REF!</definedName>
    <definedName name="s" localSheetId="6" hidden="1">{#N/A,#N/A,FALSE,"Title";#N/A,#N/A,FALSE,"Inputs";#N/A,#N/A,FALSE,"Impact";#N/A,#N/A,FALSE,"Sources &amp; Uses";#N/A,#N/A,FALSE,"Capitalization Impact";#N/A,#N/A,FALSE,"NEWCO Projections"}</definedName>
    <definedName name="s" localSheetId="7" hidden="1">{#N/A,#N/A,FALSE,"Title";#N/A,#N/A,FALSE,"Inputs";#N/A,#N/A,FALSE,"Impact";#N/A,#N/A,FALSE,"Sources &amp; Uses";#N/A,#N/A,FALSE,"Capitalization Impact";#N/A,#N/A,FALSE,"NEWCO Projections"}</definedName>
    <definedName name="s" localSheetId="4" hidden="1">{#N/A,#N/A,FALSE,"Title";#N/A,#N/A,FALSE,"Inputs";#N/A,#N/A,FALSE,"Impact";#N/A,#N/A,FALSE,"Sources &amp; Uses";#N/A,#N/A,FALSE,"Capitalization Impact";#N/A,#N/A,FALSE,"NEWCO Projections"}</definedName>
    <definedName name="s" localSheetId="3" hidden="1">{#N/A,#N/A,FALSE,"Title";#N/A,#N/A,FALSE,"Inputs";#N/A,#N/A,FALSE,"Impact";#N/A,#N/A,FALSE,"Sources &amp; Uses";#N/A,#N/A,FALSE,"Capitalization Impact";#N/A,#N/A,FALSE,"NEWCO Projections"}</definedName>
    <definedName name="s" localSheetId="11" hidden="1">{#N/A,#N/A,FALSE,"Title";#N/A,#N/A,FALSE,"Inputs";#N/A,#N/A,FALSE,"Impact";#N/A,#N/A,FALSE,"Sources &amp; Uses";#N/A,#N/A,FALSE,"Capitalization Impact";#N/A,#N/A,FALSE,"NEWCO Projections"}</definedName>
    <definedName name="s" hidden="1">{#N/A,#N/A,FALSE,"Title";#N/A,#N/A,FALSE,"Inputs";#N/A,#N/A,FALSE,"Impact";#N/A,#N/A,FALSE,"Sources &amp; Uses";#N/A,#N/A,FALSE,"Capitalization Impact";#N/A,#N/A,FALSE,"NEWCO Projections"}</definedName>
    <definedName name="SabData">[107]Datasheet!$A:$IV</definedName>
    <definedName name="SabPeriod">[107]Datasheet!$A$6:$IV$6</definedName>
    <definedName name="Sabril00" localSheetId="7">#REF!</definedName>
    <definedName name="Sabril00" localSheetId="11">#REF!</definedName>
    <definedName name="Sabril00">#REF!</definedName>
    <definedName name="Sabril01" localSheetId="7">#REF!</definedName>
    <definedName name="Sabril01" localSheetId="11">#REF!</definedName>
    <definedName name="Sabril01">#REF!</definedName>
    <definedName name="Sabril02" localSheetId="7">#REF!</definedName>
    <definedName name="Sabril02" localSheetId="11">#REF!</definedName>
    <definedName name="Sabril02">#REF!</definedName>
    <definedName name="Sabril03" localSheetId="7">#REF!</definedName>
    <definedName name="Sabril03" localSheetId="11">#REF!</definedName>
    <definedName name="Sabril03">#REF!</definedName>
    <definedName name="Sabril04" localSheetId="7">#REF!</definedName>
    <definedName name="Sabril04" localSheetId="11">#REF!</definedName>
    <definedName name="Sabril04">#REF!</definedName>
    <definedName name="Sabril05" localSheetId="7">#REF!</definedName>
    <definedName name="Sabril05" localSheetId="11">#REF!</definedName>
    <definedName name="Sabril05">#REF!</definedName>
    <definedName name="Sabril97" localSheetId="7">#REF!</definedName>
    <definedName name="Sabril97" localSheetId="11">#REF!</definedName>
    <definedName name="Sabril97">#REF!</definedName>
    <definedName name="Sabril98" localSheetId="7">#REF!</definedName>
    <definedName name="Sabril98" localSheetId="11">#REF!</definedName>
    <definedName name="Sabril98">#REF!</definedName>
    <definedName name="Sabril99" localSheetId="7">#REF!</definedName>
    <definedName name="Sabril99" localSheetId="11">#REF!</definedName>
    <definedName name="Sabril99">#REF!</definedName>
    <definedName name="sales" localSheetId="7">#REF!</definedName>
    <definedName name="sales" localSheetId="11">#REF!</definedName>
    <definedName name="sales">#REF!</definedName>
    <definedName name="sales.00">'[60]Dial P&amp;L'!$B$15</definedName>
    <definedName name="sales.01">'[60]Dial P&amp;L'!$C$15</definedName>
    <definedName name="sales.02">'[60]Dial P&amp;L'!$D$15</definedName>
    <definedName name="sales.03">'[60]Dial P&amp;L'!$E$15</definedName>
    <definedName name="sales.04">'[60]Dial P&amp;L'!$F$15</definedName>
    <definedName name="sales.98" localSheetId="11">'[60]Dial P&amp;L'!#REF!</definedName>
    <definedName name="sales.98">'[60]Dial P&amp;L'!#REF!</definedName>
    <definedName name="sales.99" localSheetId="11">'[60]Dial P&amp;L'!#REF!</definedName>
    <definedName name="sales.99">'[60]Dial P&amp;L'!#REF!</definedName>
    <definedName name="Sales_2002">[122]WMTQORFA!$CO$13</definedName>
    <definedName name="Sales_growth_avg" localSheetId="7">#REF!</definedName>
    <definedName name="Sales_growth_avg" localSheetId="11">#REF!</definedName>
    <definedName name="Sales_growth_avg">#REF!</definedName>
    <definedName name="Sales2000" localSheetId="11">'[21]Main model'!#REF!</definedName>
    <definedName name="Sales2000">'[21]Main model'!#REF!</definedName>
    <definedName name="Sales96" localSheetId="11">'[21]Main model'!#REF!</definedName>
    <definedName name="Sales96">'[21]Main model'!#REF!</definedName>
    <definedName name="Sales97" localSheetId="11">'[21]Main model'!#REF!</definedName>
    <definedName name="Sales97">'[21]Main model'!#REF!</definedName>
    <definedName name="Sales98" localSheetId="11">'[21]Main model'!#REF!</definedName>
    <definedName name="Sales98">'[21]Main model'!#REF!</definedName>
    <definedName name="Sales99" localSheetId="11">'[21]Main model'!#REF!</definedName>
    <definedName name="Sales99">'[21]Main model'!#REF!</definedName>
    <definedName name="SalesAndOperatingDivisions" localSheetId="11">[44]ROCHE!#REF!</definedName>
    <definedName name="SalesAndOperatingDivisions">[44]ROCHE!#REF!</definedName>
    <definedName name="SalesGwth">'[123]LVMH Model'!$Y$22</definedName>
    <definedName name="SalesLux">'[124]Sales Model'!$B$16</definedName>
    <definedName name="SalesUnits">#N/A</definedName>
    <definedName name="SalesUnits2">#N/A</definedName>
    <definedName name="sasa" localSheetId="7" hidden="1">{"Income (All hidden)",#N/A,FALSE,"Income";"EPS (All Hidden)",#N/A,FALSE,"EPS";"EPS (All Hidden)",#N/A,FALSE,"CashFlow";"Quarterly (Last, Current and Next)",#N/A,FALSE,"Quarterly"}</definedName>
    <definedName name="sasa" localSheetId="4" hidden="1">{"Income (All hidden)",#N/A,FALSE,"Income";"EPS (All Hidden)",#N/A,FALSE,"EPS";"EPS (All Hidden)",#N/A,FALSE,"CashFlow";"Quarterly (Last, Current and Next)",#N/A,FALSE,"Quarterly"}</definedName>
    <definedName name="sasa" hidden="1">{"Income (All hidden)",#N/A,FALSE,"Income";"EPS (All Hidden)",#N/A,FALSE,"EPS";"EPS (All Hidden)",#N/A,FALSE,"CashFlow";"Quarterly (Last, Current and Next)",#N/A,FALSE,"Quarterly"}</definedName>
    <definedName name="sbcepsfd98" localSheetId="11">#REF!</definedName>
    <definedName name="sbcepsfd98">#REF!</definedName>
    <definedName name="sbcepsfd99" localSheetId="7">#REF!</definedName>
    <definedName name="sbcepsfd99" localSheetId="11">#REF!</definedName>
    <definedName name="sbcepsfd99">#REF!</definedName>
    <definedName name="SCare" localSheetId="7">#REF!</definedName>
    <definedName name="SCare" localSheetId="11">#REF!</definedName>
    <definedName name="SCare">#REF!</definedName>
    <definedName name="Schedule">'[61]DDETABLE '!$E$5</definedName>
    <definedName name="Schroder_exceptionals" localSheetId="11">[32]Figures!#REF!</definedName>
    <definedName name="Schroder_exceptionals">[32]Figures!#REF!</definedName>
    <definedName name="sdf" localSheetId="6" hidden="1">{#N/A,#N/A,FALSE,"FAB VENDORS";"BUD SUM",#N/A,FALSE,"BUD SUM WO TEX"}</definedName>
    <definedName name="sdf" localSheetId="7" hidden="1">{#N/A,#N/A,FALSE,"FAB VENDORS";"BUD SUM",#N/A,FALSE,"BUD SUM WO TEX"}</definedName>
    <definedName name="sdf" localSheetId="4" hidden="1">{#N/A,#N/A,FALSE,"FAB VENDORS";"BUD SUM",#N/A,FALSE,"BUD SUM WO TEX"}</definedName>
    <definedName name="sdf" localSheetId="3" hidden="1">{#N/A,#N/A,FALSE,"FAB VENDORS";"BUD SUM",#N/A,FALSE,"BUD SUM WO TEX"}</definedName>
    <definedName name="sdf" localSheetId="11" hidden="1">{#N/A,#N/A,FALSE,"FAB VENDORS";"BUD SUM",#N/A,FALSE,"BUD SUM WO TEX"}</definedName>
    <definedName name="sdf" hidden="1">{#N/A,#N/A,FALSE,"FAB VENDORS";"BUD SUM",#N/A,FALSE,"BUD SUM WO TEX"}</definedName>
    <definedName name="SDGT">'[50]Asset Risk III'!$E$9</definedName>
    <definedName name="sds" localSheetId="7" hidden="1">{"Print Summary",#N/A,FALSE,"Bal_Graphs";"Print Summary",#N/A,FALSE,"DCF";"Print Summary",#N/A,FALSE,"Graphs";"Print Summary",#N/A,FALSE,"Summary"}</definedName>
    <definedName name="sds" hidden="1">{"Print Summary",#N/A,FALSE,"Bal_Graphs";"Print Summary",#N/A,FALSE,"DCF";"Print Summary",#N/A,FALSE,"Graphs";"Print Summary",#N/A,FALSE,"Summary"}</definedName>
    <definedName name="sech199div" localSheetId="11">#REF!</definedName>
    <definedName name="sech199div">#REF!</definedName>
    <definedName name="Sector" localSheetId="7">#REF!</definedName>
    <definedName name="Sector" localSheetId="11">#REF!</definedName>
    <definedName name="Sector">#REF!</definedName>
    <definedName name="Securitisations">'[71]Asset quality'!$B$115:$G$127</definedName>
    <definedName name="Segment1_income">[34]NOPAT_VDF!$C$5:$AZ$5</definedName>
    <definedName name="Segment1_income_DCF">[34]DCF_VDF!$C$6:$BZ$6</definedName>
    <definedName name="Segment1_income_fore" localSheetId="7">#REF!</definedName>
    <definedName name="Segment1_income_fore" localSheetId="11">#REF!</definedName>
    <definedName name="Segment1_income_fore">#REF!</definedName>
    <definedName name="Segment1_income_growth_fore" localSheetId="7">#REF!</definedName>
    <definedName name="Segment1_income_growth_fore" localSheetId="11">#REF!</definedName>
    <definedName name="Segment1_income_growth_fore">#REF!</definedName>
    <definedName name="Segment2_income">[34]NOPAT_VDF!$C$6:$AZ$6</definedName>
    <definedName name="Segment2_income_DCF">[34]DCF_VDF!$C$7:$BZ$7</definedName>
    <definedName name="Segment2_income_fore" localSheetId="7">#REF!</definedName>
    <definedName name="Segment2_income_fore" localSheetId="11">#REF!</definedName>
    <definedName name="Segment2_income_fore">#REF!</definedName>
    <definedName name="Segment2_income_growth_fore" localSheetId="7">#REF!</definedName>
    <definedName name="Segment2_income_growth_fore" localSheetId="11">#REF!</definedName>
    <definedName name="Segment2_income_growth_fore">#REF!</definedName>
    <definedName name="Seikopr">[41]Datastream!$B$5</definedName>
    <definedName name="Seldane00" localSheetId="7">#REF!</definedName>
    <definedName name="Seldane00" localSheetId="11">#REF!</definedName>
    <definedName name="Seldane00">#REF!</definedName>
    <definedName name="Seldane01" localSheetId="7">#REF!</definedName>
    <definedName name="Seldane01" localSheetId="11">#REF!</definedName>
    <definedName name="Seldane01">#REF!</definedName>
    <definedName name="Seldane02" localSheetId="7">#REF!</definedName>
    <definedName name="Seldane02" localSheetId="11">#REF!</definedName>
    <definedName name="Seldane02">#REF!</definedName>
    <definedName name="Seldane03" localSheetId="7">#REF!</definedName>
    <definedName name="Seldane03" localSheetId="11">#REF!</definedName>
    <definedName name="Seldane03">#REF!</definedName>
    <definedName name="Seldane04" localSheetId="7">#REF!</definedName>
    <definedName name="Seldane04" localSheetId="11">#REF!</definedName>
    <definedName name="Seldane04">#REF!</definedName>
    <definedName name="Seldane05" localSheetId="7">#REF!</definedName>
    <definedName name="Seldane05" localSheetId="11">#REF!</definedName>
    <definedName name="Seldane05">#REF!</definedName>
    <definedName name="Seldane97" localSheetId="7">#REF!</definedName>
    <definedName name="Seldane97" localSheetId="11">#REF!</definedName>
    <definedName name="Seldane97">#REF!</definedName>
    <definedName name="Seldane98" localSheetId="7">#REF!</definedName>
    <definedName name="Seldane98" localSheetId="11">#REF!</definedName>
    <definedName name="Seldane98">#REF!</definedName>
    <definedName name="Seldane99" localSheetId="7">#REF!</definedName>
    <definedName name="Seldane99" localSheetId="11">#REF!</definedName>
    <definedName name="Seldane99">#REF!</definedName>
    <definedName name="select">'[125]Operating profit'!$A$318:$H$360</definedName>
    <definedName name="selectInput" localSheetId="11">[59]!selectInput</definedName>
    <definedName name="selectInput">[59]!selectInput</definedName>
    <definedName name="SelectLBO" localSheetId="11">[59]!SelectLBO</definedName>
    <definedName name="SelectLBO">[59]!SelectLBO</definedName>
    <definedName name="SelectRECAP" localSheetId="11">[59]!SelectRECAP</definedName>
    <definedName name="SelectRECAP">[59]!SelectRECAP</definedName>
    <definedName name="SellThruPERCENTUnits">#N/A</definedName>
    <definedName name="sencount" hidden="1">1</definedName>
    <definedName name="sens_1" localSheetId="7">#REF!</definedName>
    <definedName name="sens_1" localSheetId="11">#REF!</definedName>
    <definedName name="sens_1">#REF!</definedName>
    <definedName name="sens_2" localSheetId="7">#REF!</definedName>
    <definedName name="sens_2" localSheetId="11">#REF!</definedName>
    <definedName name="sens_2">#REF!</definedName>
    <definedName name="sens_3" localSheetId="7">#REF!</definedName>
    <definedName name="sens_3" localSheetId="11">#REF!</definedName>
    <definedName name="sens_3">#REF!</definedName>
    <definedName name="sensitivity">#N/A</definedName>
    <definedName name="seperators" localSheetId="7">#REF!,#REF!,#REF!,#REF!</definedName>
    <definedName name="seperators" localSheetId="11">#REF!,#REF!,#REF!,#REF!</definedName>
    <definedName name="seperators">#REF!,#REF!,#REF!,#REF!</definedName>
    <definedName name="seperators2" localSheetId="7">#REF!,#REF!,#REF!,#REF!</definedName>
    <definedName name="seperators2" localSheetId="11">#REF!,#REF!,#REF!,#REF!</definedName>
    <definedName name="seperators2">#REF!,#REF!,#REF!,#REF!</definedName>
    <definedName name="serase" localSheetId="7">#REF!</definedName>
    <definedName name="serase" localSheetId="11">#REF!</definedName>
    <definedName name="serase">#REF!</definedName>
    <definedName name="Set">" "</definedName>
    <definedName name="Setup">'[61]DDETABLE '!$AC$2</definedName>
    <definedName name="sFormat">'[61]DDETABLE '!$AQ$4</definedName>
    <definedName name="sFreq">'[61]DDETABLE '!$AQ$5</definedName>
    <definedName name="SFrUS">[41]Datastream!$B$21</definedName>
    <definedName name="SGA">[34]NOPAT_VDF!$C$12:$AE$12</definedName>
    <definedName name="sga.00">'[60]Dial P&amp;L'!$B$25</definedName>
    <definedName name="sga.01">'[60]Dial P&amp;L'!$C$25</definedName>
    <definedName name="sga.02">'[60]Dial P&amp;L'!$D$25</definedName>
    <definedName name="sga.03">'[60]Dial P&amp;L'!$E$25</definedName>
    <definedName name="sga.04">'[60]Dial P&amp;L'!$F$25</definedName>
    <definedName name="SGA_fore" localSheetId="7">#REF!</definedName>
    <definedName name="SGA_fore" localSheetId="11">#REF!</definedName>
    <definedName name="SGA_fore">#REF!</definedName>
    <definedName name="SGA_growth" localSheetId="11">[34]NOPAT_VDF!#REF!</definedName>
    <definedName name="SGA_growth">[34]NOPAT_VDF!#REF!</definedName>
    <definedName name="SGA_growth_avg" localSheetId="7">#REF!</definedName>
    <definedName name="SGA_growth_avg" localSheetId="11">#REF!</definedName>
    <definedName name="SGA_growth_avg">#REF!</definedName>
    <definedName name="SGA_growth_fore" localSheetId="7">#REF!</definedName>
    <definedName name="SGA_growth_fore" localSheetId="11">#REF!</definedName>
    <definedName name="SGA_growth_fore">#REF!</definedName>
    <definedName name="SGA_margin_fore" localSheetId="7">#REF!</definedName>
    <definedName name="SGA_margin_fore" localSheetId="11">#REF!</definedName>
    <definedName name="SGA_margin_fore">#REF!</definedName>
    <definedName name="SHAO86" localSheetId="11">[22]independent!#REF!</definedName>
    <definedName name="SHAO86">[22]independent!#REF!</definedName>
    <definedName name="SHAO87" localSheetId="11">[22]independent!#REF!</definedName>
    <definedName name="SHAO87">[22]independent!#REF!</definedName>
    <definedName name="SHAO88" localSheetId="11">[22]independent!#REF!</definedName>
    <definedName name="SHAO88">[22]independent!#REF!</definedName>
    <definedName name="SHAO89" localSheetId="11">[22]independent!#REF!</definedName>
    <definedName name="SHAO89">[22]independent!#REF!</definedName>
    <definedName name="SHAO90" localSheetId="11">[22]independent!#REF!</definedName>
    <definedName name="SHAO90">[22]independent!#REF!</definedName>
    <definedName name="SHAO91" localSheetId="11">[22]independent!#REF!</definedName>
    <definedName name="SHAO91">[22]independent!#REF!</definedName>
    <definedName name="SHAO92" localSheetId="11">[22]independent!#REF!</definedName>
    <definedName name="SHAO92">[22]independent!#REF!</definedName>
    <definedName name="SHAO93" localSheetId="11">[22]independent!#REF!</definedName>
    <definedName name="SHAO93">[22]independent!#REF!</definedName>
    <definedName name="SHAO94" localSheetId="11">[22]independent!#REF!</definedName>
    <definedName name="SHAO94">[22]independent!#REF!</definedName>
    <definedName name="SHAO95" localSheetId="11">[23]unitedx!#REF!</definedName>
    <definedName name="SHAO95">[23]unitedx!#REF!</definedName>
    <definedName name="SHAO96" localSheetId="11">[23]unitedx!#REF!</definedName>
    <definedName name="SHAO96">[23]unitedx!#REF!</definedName>
    <definedName name="SHAO97" localSheetId="11">[23]unitedx!#REF!</definedName>
    <definedName name="SHAO97">[23]unitedx!#REF!</definedName>
    <definedName name="SHAO98" localSheetId="11">[23]unitedx!#REF!</definedName>
    <definedName name="SHAO98">[23]unitedx!#REF!</definedName>
    <definedName name="SHAO99" localSheetId="11">[23]unitedx!#REF!</definedName>
    <definedName name="SHAO99">[23]unitedx!#REF!</definedName>
    <definedName name="SHAP01" localSheetId="11">'[77]Statutory Model'!#REF!</definedName>
    <definedName name="SHAP01">'[77]Statutory Model'!#REF!</definedName>
    <definedName name="SHAP86" localSheetId="11">[22]independent!#REF!</definedName>
    <definedName name="SHAP86">[22]independent!#REF!</definedName>
    <definedName name="SHAP87" localSheetId="11">[22]independent!#REF!</definedName>
    <definedName name="SHAP87">[22]independent!#REF!</definedName>
    <definedName name="SHAP88" localSheetId="11">[22]independent!#REF!</definedName>
    <definedName name="SHAP88">[22]independent!#REF!</definedName>
    <definedName name="SHAP89" localSheetId="11">[22]independent!#REF!</definedName>
    <definedName name="SHAP89">[22]independent!#REF!</definedName>
    <definedName name="SHAP90" localSheetId="11">[22]independent!#REF!</definedName>
    <definedName name="SHAP90">[22]independent!#REF!</definedName>
    <definedName name="SHAP91" localSheetId="11">[22]independent!#REF!</definedName>
    <definedName name="SHAP91">[22]independent!#REF!</definedName>
    <definedName name="SHAP92" localSheetId="11">[22]independent!#REF!</definedName>
    <definedName name="SHAP92">[22]independent!#REF!</definedName>
    <definedName name="SHAP93" localSheetId="11">[22]independent!#REF!</definedName>
    <definedName name="SHAP93">[22]independent!#REF!</definedName>
    <definedName name="SHAP94" localSheetId="11">[22]independent!#REF!</definedName>
    <definedName name="SHAP94">[22]independent!#REF!</definedName>
    <definedName name="SHAP95" localSheetId="11">[23]unitedx!#REF!</definedName>
    <definedName name="SHAP95">[23]unitedx!#REF!</definedName>
    <definedName name="SHAP96" localSheetId="11">[23]unitedx!#REF!</definedName>
    <definedName name="SHAP96">[23]unitedx!#REF!</definedName>
    <definedName name="SHAP97" localSheetId="11">[23]unitedx!#REF!</definedName>
    <definedName name="SHAP97">[23]unitedx!#REF!</definedName>
    <definedName name="SHAP98" localSheetId="11">[23]unitedx!#REF!</definedName>
    <definedName name="SHAP98">[23]unitedx!#REF!</definedName>
    <definedName name="SHAP99" localSheetId="11">[23]unitedx!#REF!</definedName>
    <definedName name="SHAP99">[23]unitedx!#REF!</definedName>
    <definedName name="Share_Data" localSheetId="7">#REF!</definedName>
    <definedName name="Share_Data" localSheetId="11">#REF!,#REF!</definedName>
    <definedName name="Share_Data">#REF!,#REF!</definedName>
    <definedName name="Share_Price" localSheetId="11">[20]EVA!#REF!</definedName>
    <definedName name="Share_Price">[20]EVA!#REF!</definedName>
    <definedName name="SharePrice" localSheetId="7">#REF!</definedName>
    <definedName name="SharePrice" localSheetId="11">#REF!</definedName>
    <definedName name="SharePrice">#REF!</definedName>
    <definedName name="shares" localSheetId="7">#REF!</definedName>
    <definedName name="shares" localSheetId="11">#REF!</definedName>
    <definedName name="shares">#REF!</definedName>
    <definedName name="Shares_DCF">[34]DCF_VDF!$C$37:$AZ$37</definedName>
    <definedName name="Shares_fore" localSheetId="7">#REF!</definedName>
    <definedName name="Shares_fore" localSheetId="11">#REF!</definedName>
    <definedName name="Shares_fore">#REF!</definedName>
    <definedName name="Shares_growth">[34]NOPAT_VDF!$M$151:$Q$151</definedName>
    <definedName name="Shares_growth_fore" localSheetId="7">#REF!</definedName>
    <definedName name="Shares_growth_fore" localSheetId="11">#REF!</definedName>
    <definedName name="Shares_growth_fore">#REF!</definedName>
    <definedName name="Shares_repurchase_liability" localSheetId="11">'[34]Invested capital_VDF'!#REF!</definedName>
    <definedName name="Shares_repurchase_liability">'[34]Invested capital_VDF'!#REF!</definedName>
    <definedName name="shares1" localSheetId="7">#REF!</definedName>
    <definedName name="shares1" localSheetId="11">#REF!</definedName>
    <definedName name="shares1">#REF!</definedName>
    <definedName name="Shares97" localSheetId="11">#REF!</definedName>
    <definedName name="Shares97">#REF!</definedName>
    <definedName name="sharesav00">'[18]Annual Model'!$H$48</definedName>
    <definedName name="sharesav01">'[18]Annual Model'!$I$49</definedName>
    <definedName name="sharesav02">'[18]Annual Model'!$J$48</definedName>
    <definedName name="sharesav93">'[19]Annual Model'!$F$51</definedName>
    <definedName name="sharesav94">'[19]Annual Model'!$G$51</definedName>
    <definedName name="sharesav95">'[19]Annual Model'!$I$51</definedName>
    <definedName name="sharesav96">'[19]Annual Model'!$L$51</definedName>
    <definedName name="sharesav97" localSheetId="7">#REF!</definedName>
    <definedName name="sharesav97" localSheetId="11">#REF!</definedName>
    <definedName name="sharesav97">#REF!</definedName>
    <definedName name="sharesav98">'[18]Annual Model'!$E$55</definedName>
    <definedName name="sharesav99">'[18]Annual Model'!$G$49</definedName>
    <definedName name="sharesavg93" localSheetId="7">#REF!</definedName>
    <definedName name="sharesavg93" localSheetId="11">#REF!</definedName>
    <definedName name="sharesavg93">#REF!</definedName>
    <definedName name="sharesavg94" localSheetId="7">#REF!</definedName>
    <definedName name="sharesavg94" localSheetId="11">#REF!</definedName>
    <definedName name="sharesavg94">#REF!</definedName>
    <definedName name="sharesavg95" localSheetId="7">#REF!</definedName>
    <definedName name="sharesavg95" localSheetId="11">#REF!</definedName>
    <definedName name="sharesavg95">#REF!</definedName>
    <definedName name="sharesavg96" localSheetId="7">#REF!</definedName>
    <definedName name="sharesavg96" localSheetId="11">#REF!</definedName>
    <definedName name="sharesavg96">#REF!</definedName>
    <definedName name="sharesavg97" localSheetId="7">#REF!</definedName>
    <definedName name="sharesavg97" localSheetId="11">#REF!</definedName>
    <definedName name="sharesavg97">#REF!</definedName>
    <definedName name="sharesavg98" localSheetId="7">#REF!</definedName>
    <definedName name="sharesavg98" localSheetId="11">#REF!</definedName>
    <definedName name="sharesavg98">#REF!</definedName>
    <definedName name="sharesavgfd93" localSheetId="7">#REF!</definedName>
    <definedName name="sharesavgfd93" localSheetId="11">#REF!</definedName>
    <definedName name="sharesavgfd93">#REF!</definedName>
    <definedName name="sharesavgfd94" localSheetId="7">#REF!</definedName>
    <definedName name="sharesavgfd94" localSheetId="11">#REF!</definedName>
    <definedName name="sharesavgfd94">#REF!</definedName>
    <definedName name="sharesavgfd95" localSheetId="7">#REF!</definedName>
    <definedName name="sharesavgfd95" localSheetId="11">#REF!</definedName>
    <definedName name="sharesavgfd95">#REF!</definedName>
    <definedName name="sharesavgfd96" localSheetId="7">#REF!</definedName>
    <definedName name="sharesavgfd96" localSheetId="11">#REF!</definedName>
    <definedName name="sharesavgfd96">#REF!</definedName>
    <definedName name="sharesavgfd97" localSheetId="7">#REF!</definedName>
    <definedName name="sharesavgfd97" localSheetId="11">#REF!</definedName>
    <definedName name="sharesavgfd97">#REF!</definedName>
    <definedName name="sharesavgfd98" localSheetId="7">#REF!</definedName>
    <definedName name="sharesavgfd98" localSheetId="11">#REF!</definedName>
    <definedName name="sharesavgfd98">#REF!</definedName>
    <definedName name="sharesq296" localSheetId="7">#REF!</definedName>
    <definedName name="sharesq296" localSheetId="11">#REF!</definedName>
    <definedName name="sharesq296">#REF!</definedName>
    <definedName name="sharesy00">'[18]Annual Model'!$H$48</definedName>
    <definedName name="sharesye00" localSheetId="11">'[18]Annual Model'!#REF!</definedName>
    <definedName name="sharesye00">'[18]Annual Model'!#REF!</definedName>
    <definedName name="sharesye01">'[18]Annual Model'!$I$48</definedName>
    <definedName name="sharesye02">'[18]Annual Model'!$J$48</definedName>
    <definedName name="sharesye93" localSheetId="7">#REF!</definedName>
    <definedName name="sharesye93" localSheetId="11">#REF!</definedName>
    <definedName name="sharesye93">#REF!</definedName>
    <definedName name="sharesye94" localSheetId="7">#REF!</definedName>
    <definedName name="sharesye94" localSheetId="11">#REF!</definedName>
    <definedName name="sharesye94">#REF!</definedName>
    <definedName name="sharesye95" localSheetId="7">#REF!</definedName>
    <definedName name="sharesye95" localSheetId="11">#REF!</definedName>
    <definedName name="sharesye95">#REF!</definedName>
    <definedName name="sharesye96">'[19]Annual Model'!$L$50</definedName>
    <definedName name="sharesye97" localSheetId="7">#REF!</definedName>
    <definedName name="sharesye97" localSheetId="11">#REF!</definedName>
    <definedName name="sharesye97">#REF!</definedName>
    <definedName name="sharesye98">'[18]Annual Model'!$E$54</definedName>
    <definedName name="sharesye99">'[18]Annual Model'!$G$48</definedName>
    <definedName name="SHAS01" localSheetId="11">'[77]Statutory Model'!#REF!</definedName>
    <definedName name="SHAS01">'[77]Statutory Model'!#REF!</definedName>
    <definedName name="SHAS86" localSheetId="11">[22]independent!#REF!</definedName>
    <definedName name="SHAS86">[22]independent!#REF!</definedName>
    <definedName name="SHAS87" localSheetId="11">[22]independent!#REF!</definedName>
    <definedName name="SHAS87">[22]independent!#REF!</definedName>
    <definedName name="SHAS88" localSheetId="11">[22]independent!#REF!</definedName>
    <definedName name="SHAS88">[22]independent!#REF!</definedName>
    <definedName name="SHAS89" localSheetId="11">[22]independent!#REF!</definedName>
    <definedName name="SHAS89">[22]independent!#REF!</definedName>
    <definedName name="SHAS90" localSheetId="11">[22]independent!#REF!</definedName>
    <definedName name="SHAS90">[22]independent!#REF!</definedName>
    <definedName name="SHAS91" localSheetId="11">[22]independent!#REF!</definedName>
    <definedName name="SHAS91">[22]independent!#REF!</definedName>
    <definedName name="SHAS92" localSheetId="11">[22]independent!#REF!</definedName>
    <definedName name="SHAS92">[22]independent!#REF!</definedName>
    <definedName name="SHAS93" localSheetId="11">[22]independent!#REF!</definedName>
    <definedName name="SHAS93">[22]independent!#REF!</definedName>
    <definedName name="SHAS94" localSheetId="11">[22]independent!#REF!</definedName>
    <definedName name="SHAS94">[22]independent!#REF!</definedName>
    <definedName name="SHAS95" localSheetId="11">[23]unitedx!#REF!</definedName>
    <definedName name="SHAS95">[23]unitedx!#REF!</definedName>
    <definedName name="SHAS96" localSheetId="11">[23]unitedx!#REF!</definedName>
    <definedName name="SHAS96">[23]unitedx!#REF!</definedName>
    <definedName name="SHAS97" localSheetId="11">[23]unitedx!#REF!</definedName>
    <definedName name="SHAS97">[23]unitedx!#REF!</definedName>
    <definedName name="SHAS98" localSheetId="11">[23]unitedx!#REF!</definedName>
    <definedName name="SHAS98">[23]unitedx!#REF!</definedName>
    <definedName name="SHAS99" localSheetId="11">[23]unitedx!#REF!</definedName>
    <definedName name="SHAS99">[23]unitedx!#REF!</definedName>
    <definedName name="Short_term_Borrowings" localSheetId="7">#REF!</definedName>
    <definedName name="Short_term_Borrowings" localSheetId="11">#REF!</definedName>
    <definedName name="Short_term_Borrowings">#REF!</definedName>
    <definedName name="Short_term_debt" localSheetId="7">#REF!</definedName>
    <definedName name="Short_term_debt" localSheetId="11">#REF!</definedName>
    <definedName name="Short_term_debt">#REF!</definedName>
    <definedName name="Short_term_invest." localSheetId="7">#REF!</definedName>
    <definedName name="Short_term_invest." localSheetId="11">#REF!</definedName>
    <definedName name="Short_term_invest.">#REF!</definedName>
    <definedName name="Short_term_investments" localSheetId="7">#REF!</definedName>
    <definedName name="Short_term_investments" localSheetId="11">#REF!</definedName>
    <definedName name="Short_term_investments">#REF!</definedName>
    <definedName name="ShortTermRec" localSheetId="7">#REF!</definedName>
    <definedName name="ShortTermRec" localSheetId="11">#REF!</definedName>
    <definedName name="ShortTermRec">#REF!</definedName>
    <definedName name="ShowDetails">'[61]DDETABLE '!$AH$13</definedName>
    <definedName name="SHRFULL" localSheetId="7">#REF!</definedName>
    <definedName name="SHRFULL" localSheetId="11">#REF!</definedName>
    <definedName name="SHRFULL">#REF!</definedName>
    <definedName name="Singapore" localSheetId="7">#REF!</definedName>
    <definedName name="Singapore" localSheetId="11">#REF!</definedName>
    <definedName name="Singapore">#REF!</definedName>
    <definedName name="sls1q91">[24]LOWQORF!$Y$8</definedName>
    <definedName name="sls2q91">[24]LOWQORF!$Y$9</definedName>
    <definedName name="sls3q91">[24]LOWQORF!$Y$10</definedName>
    <definedName name="SMHBpr">[41]Datastream!$B$3</definedName>
    <definedName name="SMHRpr">[41]Datastream!$B$4</definedName>
    <definedName name="SO1H97" localSheetId="7">#REF!</definedName>
    <definedName name="SO1H97" localSheetId="11">#REF!</definedName>
    <definedName name="SO1H97">#REF!</definedName>
    <definedName name="SO1H97b" localSheetId="7">#REF!</definedName>
    <definedName name="SO1H97b" localSheetId="11">#REF!</definedName>
    <definedName name="SO1H97b">#REF!</definedName>
    <definedName name="so1h98" localSheetId="7">#REF!</definedName>
    <definedName name="so1h98" localSheetId="11">#REF!</definedName>
    <definedName name="so1h98">#REF!</definedName>
    <definedName name="so1h99" localSheetId="7">#REF!</definedName>
    <definedName name="so1h99" localSheetId="11">#REF!</definedName>
    <definedName name="so1h99">#REF!</definedName>
    <definedName name="so2q97" localSheetId="7">#REF!</definedName>
    <definedName name="so2q97" localSheetId="11">#REF!</definedName>
    <definedName name="so2q97">#REF!</definedName>
    <definedName name="so3q99" localSheetId="7">#REF!</definedName>
    <definedName name="so3q99" localSheetId="11">#REF!</definedName>
    <definedName name="so3q99">#REF!</definedName>
    <definedName name="so4q99" localSheetId="7">#REF!</definedName>
    <definedName name="so4q99" localSheetId="11">#REF!</definedName>
    <definedName name="so4q99">#REF!</definedName>
    <definedName name="Solution" localSheetId="7">#REF!</definedName>
    <definedName name="Solution" localSheetId="11">#REF!</definedName>
    <definedName name="Solution">#REF!</definedName>
    <definedName name="solver_adj" localSheetId="11" hidden="1">[126]DCF!#REF!</definedName>
    <definedName name="solver_adj" hidden="1">[126]DCF!#REF!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1" hidden="1">[126]DCF!#REF!</definedName>
    <definedName name="solver_opt" hidden="1">[126]DCF!#REF!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0.1076</definedName>
    <definedName name="sort_start" localSheetId="11">[45]Links!#REF!</definedName>
    <definedName name="sort_start">[45]Links!#REF!</definedName>
    <definedName name="SOTP">[69]SOTP!$B$10:$N$69</definedName>
    <definedName name="SOTP_full">[33]SOTP!$B$6:$L$28</definedName>
    <definedName name="SOTP1">[33]SOTP!$B$6:$L$28</definedName>
    <definedName name="SOTPDATA">[33]SOTP!$V$6:$AK$28</definedName>
    <definedName name="SOTPTITLES">[33]SOTP!$V$6:$AK$6</definedName>
    <definedName name="Source__Company_Data__GS_Research_Estimates" localSheetId="7">#REF!</definedName>
    <definedName name="Source__Company_Data__GS_Research_Estimates" localSheetId="11">#REF!</definedName>
    <definedName name="Source__Company_Data__GS_Research_Estimates">#REF!</definedName>
    <definedName name="South_America" localSheetId="7">#REF!</definedName>
    <definedName name="South_America" localSheetId="11">#REF!</definedName>
    <definedName name="South_America">#REF!</definedName>
    <definedName name="South_America_w" localSheetId="7">#REF!</definedName>
    <definedName name="South_America_w" localSheetId="11">#REF!</definedName>
    <definedName name="South_America_w">#REF!</definedName>
    <definedName name="SouthAfrica" localSheetId="7">#REF!</definedName>
    <definedName name="SouthAfrica" localSheetId="11">#REF!</definedName>
    <definedName name="SouthAfrica">#REF!</definedName>
    <definedName name="sp" localSheetId="11">[127]QORFA!#REF!</definedName>
    <definedName name="sp">[127]QORFA!#REF!</definedName>
    <definedName name="SpiData">[42]Datasheet!$A:$IV</definedName>
    <definedName name="SpiPeriod">[42]Datasheet!$A$6:$IV$6</definedName>
    <definedName name="split" localSheetId="11">[128]QORFA!#REF!</definedName>
    <definedName name="split">[128]QORFA!#REF!</definedName>
    <definedName name="Splitska_financials" localSheetId="7">#REF!</definedName>
    <definedName name="Splitska_financials" localSheetId="11">#REF!</definedName>
    <definedName name="Splitska_financials">#REF!</definedName>
    <definedName name="SPWS_WBID">"18BBEB6F-98AC-4905-A8E2-44DE6BB148D7"</definedName>
    <definedName name="ss92inc">[24]LOWQORF!$AI$8:$AI$13</definedName>
    <definedName name="ss93inc">[24]LOWQORF!$AO$8:$AO$13</definedName>
    <definedName name="ss94inc">[24]LOWQORF!$AU$8:$AU$13</definedName>
    <definedName name="ss95inc">[24]LOWQORF!$BA$8:$BA$13</definedName>
    <definedName name="ss96inc">[24]LOWQORF!$BG$8:$BG$13</definedName>
    <definedName name="SSMI">'[50]Asset Risk III'!$E$10</definedName>
    <definedName name="SSUpdate" localSheetId="7">#REF!</definedName>
    <definedName name="SSUpdate" localSheetId="11">#REF!</definedName>
    <definedName name="SSUpdate">#REF!</definedName>
    <definedName name="ST_debt_growth_fore" localSheetId="7">#REF!</definedName>
    <definedName name="ST_debt_growth_fore" localSheetId="11">#REF!</definedName>
    <definedName name="ST_debt_growth_fore">#REF!</definedName>
    <definedName name="ST_Rec" localSheetId="7">#REF!</definedName>
    <definedName name="ST_Rec" localSheetId="11">#REF!</definedName>
    <definedName name="ST_Rec">#REF!</definedName>
    <definedName name="sTable">'[61]DDETABLE '!$AJ$2:$AQ$11</definedName>
    <definedName name="Staff_syn">[69]Staff!$B$4:$N$54</definedName>
    <definedName name="staff92">'[19]Annual Model'!$E$17</definedName>
    <definedName name="staff93" localSheetId="7">#REF!</definedName>
    <definedName name="staff93" localSheetId="11">#REF!</definedName>
    <definedName name="staff93">#REF!</definedName>
    <definedName name="staff94" localSheetId="7">#REF!</definedName>
    <definedName name="staff94" localSheetId="11">#REF!</definedName>
    <definedName name="staff94">#REF!</definedName>
    <definedName name="staff95" localSheetId="7">#REF!</definedName>
    <definedName name="staff95" localSheetId="11">#REF!</definedName>
    <definedName name="staff95">#REF!</definedName>
    <definedName name="staff96" localSheetId="7">#REF!</definedName>
    <definedName name="staff96" localSheetId="11">#REF!</definedName>
    <definedName name="staff96">#REF!</definedName>
    <definedName name="staff97" localSheetId="7">#REF!</definedName>
    <definedName name="staff97" localSheetId="11">#REF!</definedName>
    <definedName name="staff97">#REF!</definedName>
    <definedName name="staff98" localSheetId="11">'[18]Annual Model'!#REF!</definedName>
    <definedName name="staff98">'[18]Annual Model'!#REF!</definedName>
    <definedName name="stankf" localSheetId="11">[38]Input!#REF!</definedName>
    <definedName name="stankf">[38]Input!#REF!</definedName>
    <definedName name="stanpbkf" localSheetId="7">#REF!</definedName>
    <definedName name="stanpbkf" localSheetId="11">#REF!</definedName>
    <definedName name="stanpbkf">#REF!</definedName>
    <definedName name="StanptargetT" localSheetId="11">[38]Input!#REF!</definedName>
    <definedName name="StanptargetT">[38]Input!#REF!</definedName>
    <definedName name="StartPosition">[129]REQUEST_TABLE!$B$6</definedName>
    <definedName name="States" localSheetId="7">#REF!</definedName>
    <definedName name="States" localSheetId="11">#REF!</definedName>
    <definedName name="States">#REF!</definedName>
    <definedName name="stdebt2q94" localSheetId="7">#REF!</definedName>
    <definedName name="stdebt2q94" localSheetId="11">#REF!</definedName>
    <definedName name="stdebt2q94">#REF!</definedName>
    <definedName name="stdebt3q94" localSheetId="7">#REF!</definedName>
    <definedName name="stdebt3q94" localSheetId="11">#REF!</definedName>
    <definedName name="stdebt3q94">#REF!</definedName>
    <definedName name="stdebt4q93" localSheetId="7">#REF!</definedName>
    <definedName name="stdebt4q93" localSheetId="11">#REF!</definedName>
    <definedName name="stdebt4q93">#REF!</definedName>
    <definedName name="stdebt4q94" localSheetId="7">#REF!</definedName>
    <definedName name="stdebt4q94" localSheetId="11">#REF!</definedName>
    <definedName name="stdebt4q94">#REF!</definedName>
    <definedName name="Step3" localSheetId="7">#REF!</definedName>
    <definedName name="Step3" localSheetId="11">#REF!</definedName>
    <definedName name="Step3">#REF!</definedName>
    <definedName name="STERECU">[130]Sheet1!$A$1</definedName>
    <definedName name="Stockholders__equity" localSheetId="7">#REF!</definedName>
    <definedName name="Stockholders__equity" localSheetId="11">#REF!</definedName>
    <definedName name="Stockholders__equity">#REF!</definedName>
    <definedName name="sTopic">'[61]DDETABLE '!$AQ$3</definedName>
    <definedName name="strec" localSheetId="7">#REF!</definedName>
    <definedName name="strec" localSheetId="11">#REF!</definedName>
    <definedName name="strec">#REF!</definedName>
    <definedName name="structure_change" localSheetId="7">#REF!</definedName>
    <definedName name="structure_change" localSheetId="11">#REF!</definedName>
    <definedName name="structure_change">#REF!</definedName>
    <definedName name="Subs_total">[66]Revenues!$A$25:$IV$25</definedName>
    <definedName name="sum" localSheetId="11">'[2]teo model'!#REF!</definedName>
    <definedName name="sum">'[2]teo model'!#REF!</definedName>
    <definedName name="Sum_of_the_parts_valuation__EUR_mn">[69]SOTP!$B$10:$N$67</definedName>
    <definedName name="SUMMARY" localSheetId="7">#REF!</definedName>
    <definedName name="SUMMARY" localSheetId="11">#REF!</definedName>
    <definedName name="SUMMARY">#REF!</definedName>
    <definedName name="summary_1" localSheetId="11">[118]Summary!#REF!</definedName>
    <definedName name="summary_1">[118]Summary!#REF!</definedName>
    <definedName name="summary_2" localSheetId="11">[118]Summary!#REF!</definedName>
    <definedName name="summary_2">[118]Summary!#REF!</definedName>
    <definedName name="SummaryPL" localSheetId="7">#REF!+#REF!</definedName>
    <definedName name="SummaryPL" localSheetId="11">#REF!+#REF!</definedName>
    <definedName name="SummaryPL">#REF!+#REF!</definedName>
    <definedName name="summaryplbbva" localSheetId="7">#REF!</definedName>
    <definedName name="summaryplbbva" localSheetId="11">#REF!</definedName>
    <definedName name="summaryplbbva">#REF!</definedName>
    <definedName name="SUMMOD" localSheetId="7">#REF!</definedName>
    <definedName name="SUMMOD" localSheetId="11">#REF!</definedName>
    <definedName name="SUMMOD">#REF!</definedName>
    <definedName name="SumPrice" localSheetId="7">#REF!</definedName>
    <definedName name="SumPrice" localSheetId="11">#REF!</definedName>
    <definedName name="SumPrice">#REF!</definedName>
    <definedName name="Supplementary_Info" localSheetId="11">[44]Interim!#REF!</definedName>
    <definedName name="Supplementary_Info">[44]Interim!#REF!</definedName>
    <definedName name="Suprefact00" localSheetId="7">#REF!</definedName>
    <definedName name="Suprefact00" localSheetId="11">#REF!</definedName>
    <definedName name="Suprefact00">#REF!</definedName>
    <definedName name="Suprefact01" localSheetId="7">#REF!</definedName>
    <definedName name="Suprefact01" localSheetId="11">#REF!</definedName>
    <definedName name="Suprefact01">#REF!</definedName>
    <definedName name="Suprefact02" localSheetId="7">#REF!</definedName>
    <definedName name="Suprefact02" localSheetId="11">#REF!</definedName>
    <definedName name="Suprefact02">#REF!</definedName>
    <definedName name="Suprefact03" localSheetId="7">#REF!</definedName>
    <definedName name="Suprefact03" localSheetId="11">#REF!</definedName>
    <definedName name="Suprefact03">#REF!</definedName>
    <definedName name="Suprefact04" localSheetId="7">#REF!</definedName>
    <definedName name="Suprefact04" localSheetId="11">#REF!</definedName>
    <definedName name="Suprefact04">#REF!</definedName>
    <definedName name="Suprefact05" localSheetId="7">#REF!</definedName>
    <definedName name="Suprefact05" localSheetId="11">#REF!</definedName>
    <definedName name="Suprefact05">#REF!</definedName>
    <definedName name="Suprefact97" localSheetId="7">#REF!</definedName>
    <definedName name="Suprefact97" localSheetId="11">#REF!</definedName>
    <definedName name="Suprefact97">#REF!</definedName>
    <definedName name="Suprefact98" localSheetId="7">#REF!</definedName>
    <definedName name="Suprefact98" localSheetId="11">#REF!</definedName>
    <definedName name="Suprefact98">#REF!</definedName>
    <definedName name="Suprefact99" localSheetId="7">#REF!</definedName>
    <definedName name="Suprefact99" localSheetId="11">#REF!</definedName>
    <definedName name="Suprefact99">#REF!</definedName>
    <definedName name="Sw">[50]SysCAR!$E$7:$E$29</definedName>
    <definedName name="Sweden" localSheetId="7">#REF!</definedName>
    <definedName name="Sweden" localSheetId="11">#REF!</definedName>
    <definedName name="Sweden">#REF!</definedName>
    <definedName name="Sweden_w" localSheetId="7">#REF!</definedName>
    <definedName name="Sweden_w" localSheetId="11">#REF!</definedName>
    <definedName name="Sweden_w">#REF!</definedName>
    <definedName name="sYesNo">'[61]DDETABLE '!$AQ$2</definedName>
    <definedName name="Syn">[69]Synergies!$M$4:$S$35</definedName>
    <definedName name="Synercid00" localSheetId="7">#REF!</definedName>
    <definedName name="Synercid00" localSheetId="11">#REF!</definedName>
    <definedName name="Synercid00">#REF!</definedName>
    <definedName name="Synercid01" localSheetId="7">#REF!</definedName>
    <definedName name="Synercid01" localSheetId="11">#REF!</definedName>
    <definedName name="Synercid01">#REF!</definedName>
    <definedName name="Synercid02" localSheetId="7">#REF!</definedName>
    <definedName name="Synercid02" localSheetId="11">#REF!</definedName>
    <definedName name="Synercid02">#REF!</definedName>
    <definedName name="Synercid03" localSheetId="7">#REF!</definedName>
    <definedName name="Synercid03" localSheetId="11">#REF!</definedName>
    <definedName name="Synercid03">#REF!</definedName>
    <definedName name="Synercid04" localSheetId="7">#REF!</definedName>
    <definedName name="Synercid04" localSheetId="11">#REF!</definedName>
    <definedName name="Synercid04">#REF!</definedName>
    <definedName name="Synercid05" localSheetId="7">#REF!</definedName>
    <definedName name="Synercid05" localSheetId="11">#REF!</definedName>
    <definedName name="Synercid05">#REF!</definedName>
    <definedName name="Synercid97" localSheetId="7">#REF!</definedName>
    <definedName name="Synercid97" localSheetId="11">#REF!</definedName>
    <definedName name="Synercid97">#REF!</definedName>
    <definedName name="Synercid98" localSheetId="7">#REF!</definedName>
    <definedName name="Synercid98" localSheetId="11">#REF!</definedName>
    <definedName name="Synercid98">#REF!</definedName>
    <definedName name="Synercid99" localSheetId="7">#REF!</definedName>
    <definedName name="Synercid99" localSheetId="11">#REF!</definedName>
    <definedName name="Synercid99">#REF!</definedName>
    <definedName name="Synt" localSheetId="7">#REF!</definedName>
    <definedName name="Synt" localSheetId="11">#REF!</definedName>
    <definedName name="Synt">#REF!</definedName>
    <definedName name="t" localSheetId="7">#REF!</definedName>
    <definedName name="t" localSheetId="11">#REF!</definedName>
    <definedName name="t">#REF!</definedName>
    <definedName name="T1997B" localSheetId="11">'[13]Qtly PL'!#REF!</definedName>
    <definedName name="T1997B">'[13]Qtly PL'!#REF!</definedName>
    <definedName name="T1998B" localSheetId="11">'[13]Qtly PL'!#REF!</definedName>
    <definedName name="T1998B">'[13]Qtly PL'!#REF!</definedName>
    <definedName name="T1999B" localSheetId="11">'[13]Qtly PL'!#REF!</definedName>
    <definedName name="T1999B">'[13]Qtly PL'!#REF!</definedName>
    <definedName name="t1eq00">'[19]Annual Model'!$V$69</definedName>
    <definedName name="t1eq98">'[19]Annual Model'!$P$69</definedName>
    <definedName name="t1eq99">'[19]Annual Model'!$R$69</definedName>
    <definedName name="T1h100">'[19]Interim Model'!$AW$70</definedName>
    <definedName name="T1h199">'[19]Interim Model'!$AI$70</definedName>
    <definedName name="T1h200">'[19]Interim Model'!$AZ$70</definedName>
    <definedName name="T1h299">'[19]Interim Model'!$AL$70</definedName>
    <definedName name="T2000B" localSheetId="11">'[13]Qtly PL'!#REF!</definedName>
    <definedName name="T2000B">'[13]Qtly PL'!#REF!</definedName>
    <definedName name="T2001B" localSheetId="11">'[13]Qtly PL'!#REF!</definedName>
    <definedName name="T2001B">'[13]Qtly PL'!#REF!</definedName>
    <definedName name="T2002B" localSheetId="11">'[13]Qtly PL'!#REF!</definedName>
    <definedName name="T2002B">'[13]Qtly PL'!#REF!</definedName>
    <definedName name="T2003B" localSheetId="11">'[13]Qtly PL'!#REF!</definedName>
    <definedName name="T2003B">'[13]Qtly PL'!#REF!</definedName>
    <definedName name="T2004B" localSheetId="11">'[13]Qtly PL'!#REF!</definedName>
    <definedName name="T2004B">'[13]Qtly PL'!#REF!</definedName>
    <definedName name="TAB" localSheetId="11">'[2]teo model'!#REF!</definedName>
    <definedName name="TAB">'[2]teo model'!#REF!</definedName>
    <definedName name="TabCapPlan" localSheetId="7">#REF!</definedName>
    <definedName name="TabCapPlan" localSheetId="11">#REF!</definedName>
    <definedName name="TabCapPlan">#REF!</definedName>
    <definedName name="TAbEVA" localSheetId="7">#REF!</definedName>
    <definedName name="TAbEVA" localSheetId="11">#REF!</definedName>
    <definedName name="TAbEVA">#REF!</definedName>
    <definedName name="TabHYCashFlow" localSheetId="7">#REF!</definedName>
    <definedName name="TabHYCashFlow" localSheetId="11">#REF!</definedName>
    <definedName name="TabHYCashFlow">#REF!</definedName>
    <definedName name="TabHYPandL" localSheetId="7">#REF!</definedName>
    <definedName name="TabHYPandL" localSheetId="11">#REF!</definedName>
    <definedName name="TabHYPandL">#REF!</definedName>
    <definedName name="Table" localSheetId="7">#REF!</definedName>
    <definedName name="Table" localSheetId="11">#REF!</definedName>
    <definedName name="Table">#REF!</definedName>
    <definedName name="Table01">'[50]Misc '!$A$256:$C$259</definedName>
    <definedName name="Table2" localSheetId="7">#REF!</definedName>
    <definedName name="Table2" localSheetId="11">#REF!</definedName>
    <definedName name="Table2">#REF!</definedName>
    <definedName name="Table3" localSheetId="7">#REF!</definedName>
    <definedName name="Table3" localSheetId="11">#REF!</definedName>
    <definedName name="Table3">#REF!</definedName>
    <definedName name="TableName">'[61]DDETABLE '!$E$6</definedName>
    <definedName name="TabRevPlanA" localSheetId="7">#REF!</definedName>
    <definedName name="TabRevPlanA" localSheetId="11">#REF!</definedName>
    <definedName name="TabRevPlanA">#REF!</definedName>
    <definedName name="TabRevPlanB" localSheetId="7">#REF!</definedName>
    <definedName name="TabRevPlanB" localSheetId="11">#REF!</definedName>
    <definedName name="TabRevPlanB">#REF!</definedName>
    <definedName name="TabSensitivity" localSheetId="7">#REF!</definedName>
    <definedName name="TabSensitivity" localSheetId="11">#REF!</definedName>
    <definedName name="TabSensitivity">#REF!</definedName>
    <definedName name="tangible">[52]SOTP!$B$31:$C$49</definedName>
    <definedName name="Tangible_Assets" localSheetId="7">#REF!</definedName>
    <definedName name="Tangible_Assets" localSheetId="11">#REF!</definedName>
    <definedName name="Tangible_Assets">#REF!</definedName>
    <definedName name="Target_debt_to_capital" localSheetId="7">#REF!</definedName>
    <definedName name="Target_debt_to_capital" localSheetId="11">#REF!</definedName>
    <definedName name="Target_debt_to_capital">#REF!</definedName>
    <definedName name="TARGETS">[117]CF!$B$5:$F$34</definedName>
    <definedName name="Targocid00" localSheetId="7">#REF!</definedName>
    <definedName name="Targocid00" localSheetId="11">#REF!</definedName>
    <definedName name="Targocid00">#REF!</definedName>
    <definedName name="Targocid01" localSheetId="7">#REF!</definedName>
    <definedName name="Targocid01" localSheetId="11">#REF!</definedName>
    <definedName name="Targocid01">#REF!</definedName>
    <definedName name="Targocid02" localSheetId="7">#REF!</definedName>
    <definedName name="Targocid02" localSheetId="11">#REF!</definedName>
    <definedName name="Targocid02">#REF!</definedName>
    <definedName name="Targocid03" localSheetId="7">#REF!</definedName>
    <definedName name="Targocid03" localSheetId="11">#REF!</definedName>
    <definedName name="Targocid03">#REF!</definedName>
    <definedName name="Targocid04" localSheetId="7">#REF!</definedName>
    <definedName name="Targocid04" localSheetId="11">#REF!</definedName>
    <definedName name="Targocid04">#REF!</definedName>
    <definedName name="Targocid05" localSheetId="7">#REF!</definedName>
    <definedName name="Targocid05" localSheetId="11">#REF!</definedName>
    <definedName name="Targocid05">#REF!</definedName>
    <definedName name="Targocid97" localSheetId="7">#REF!</definedName>
    <definedName name="Targocid97" localSheetId="11">#REF!</definedName>
    <definedName name="Targocid97">#REF!</definedName>
    <definedName name="Targocid98" localSheetId="7">#REF!</definedName>
    <definedName name="Targocid98" localSheetId="11">#REF!</definedName>
    <definedName name="Targocid98">#REF!</definedName>
    <definedName name="Targocid99" localSheetId="7">#REF!</definedName>
    <definedName name="Targocid99" localSheetId="11">#REF!</definedName>
    <definedName name="Targocid99">#REF!</definedName>
    <definedName name="tariff" localSheetId="11">[131]Revenue!#REF!</definedName>
    <definedName name="tariff">[131]Revenue!#REF!</definedName>
    <definedName name="Tarivid00" localSheetId="7">#REF!</definedName>
    <definedName name="Tarivid00" localSheetId="11">#REF!</definedName>
    <definedName name="Tarivid00">#REF!</definedName>
    <definedName name="Tarivid01" localSheetId="7">#REF!</definedName>
    <definedName name="Tarivid01" localSheetId="11">#REF!</definedName>
    <definedName name="Tarivid01">#REF!</definedName>
    <definedName name="Tarivid02" localSheetId="7">#REF!</definedName>
    <definedName name="Tarivid02" localSheetId="11">#REF!</definedName>
    <definedName name="Tarivid02">#REF!</definedName>
    <definedName name="Tarivid03" localSheetId="7">#REF!</definedName>
    <definedName name="Tarivid03" localSheetId="11">#REF!</definedName>
    <definedName name="Tarivid03">#REF!</definedName>
    <definedName name="Tarivid04" localSheetId="7">#REF!</definedName>
    <definedName name="Tarivid04" localSheetId="11">#REF!</definedName>
    <definedName name="Tarivid04">#REF!</definedName>
    <definedName name="Tarivid05" localSheetId="7">#REF!</definedName>
    <definedName name="Tarivid05" localSheetId="11">#REF!</definedName>
    <definedName name="Tarivid05">#REF!</definedName>
    <definedName name="Tarivid97" localSheetId="7">#REF!</definedName>
    <definedName name="Tarivid97" localSheetId="11">#REF!</definedName>
    <definedName name="Tarivid97">#REF!</definedName>
    <definedName name="Tarivid98" localSheetId="7">#REF!</definedName>
    <definedName name="Tarivid98" localSheetId="11">#REF!</definedName>
    <definedName name="Tarivid98">#REF!</definedName>
    <definedName name="Tarivid99" localSheetId="7">#REF!</definedName>
    <definedName name="Tarivid99" localSheetId="11">#REF!</definedName>
    <definedName name="Tarivid99">#REF!</definedName>
    <definedName name="Tavanic.levofloxacin00" localSheetId="7">#REF!</definedName>
    <definedName name="Tavanic.levofloxacin00" localSheetId="11">#REF!</definedName>
    <definedName name="Tavanic.levofloxacin00">#REF!</definedName>
    <definedName name="Tavanic.levofloxacin01" localSheetId="7">#REF!</definedName>
    <definedName name="Tavanic.levofloxacin01" localSheetId="11">#REF!</definedName>
    <definedName name="Tavanic.levofloxacin01">#REF!</definedName>
    <definedName name="Tavanic.levofloxacin02" localSheetId="7">#REF!</definedName>
    <definedName name="Tavanic.levofloxacin02" localSheetId="11">#REF!</definedName>
    <definedName name="Tavanic.levofloxacin02">#REF!</definedName>
    <definedName name="Tavanic.levofloxacin03" localSheetId="7">#REF!</definedName>
    <definedName name="Tavanic.levofloxacin03" localSheetId="11">#REF!</definedName>
    <definedName name="Tavanic.levofloxacin03">#REF!</definedName>
    <definedName name="Tavanic.levofloxacin04" localSheetId="7">#REF!</definedName>
    <definedName name="Tavanic.levofloxacin04" localSheetId="11">#REF!</definedName>
    <definedName name="Tavanic.levofloxacin04">#REF!</definedName>
    <definedName name="Tavanic.levofloxacin05" localSheetId="7">#REF!</definedName>
    <definedName name="Tavanic.levofloxacin05" localSheetId="11">#REF!</definedName>
    <definedName name="Tavanic.levofloxacin05">#REF!</definedName>
    <definedName name="Tavanic.levofloxacin97" localSheetId="7">#REF!</definedName>
    <definedName name="Tavanic.levofloxacin97" localSheetId="11">#REF!</definedName>
    <definedName name="Tavanic.levofloxacin97">#REF!</definedName>
    <definedName name="Tavanic.levofloxacin98" localSheetId="7">#REF!</definedName>
    <definedName name="Tavanic.levofloxacin98" localSheetId="11">#REF!</definedName>
    <definedName name="Tavanic.levofloxacin98">#REF!</definedName>
    <definedName name="Tavanic.levofloxacin99" localSheetId="7">#REF!</definedName>
    <definedName name="Tavanic.levofloxacin99" localSheetId="11">#REF!</definedName>
    <definedName name="Tavanic.levofloxacin99">#REF!</definedName>
    <definedName name="Tax_expense">[66]PNL!$A$38:$IV$38</definedName>
    <definedName name="TAX_RATE" localSheetId="7">#REF!</definedName>
    <definedName name="TAX_RATE" localSheetId="11">#REF!</definedName>
    <definedName name="TAX_RATE">#REF!</definedName>
    <definedName name="Tax_rate_for_WACC" localSheetId="11">[34]WACC_VDF!#REF!</definedName>
    <definedName name="Tax_rate_for_WACC">[34]WACC_VDF!#REF!</definedName>
    <definedName name="tax00">'[18]Annual Model'!$H$29</definedName>
    <definedName name="tax99ar">'[19]Annual Model'!$T$34</definedName>
    <definedName name="taxarte01">'[18]Annual Model'!$I$80</definedName>
    <definedName name="taxarte02">'[18]Annual Model'!$J$80</definedName>
    <definedName name="TAXCALC" localSheetId="7">#REF!</definedName>
    <definedName name="TAXCALC" localSheetId="11">#REF!</definedName>
    <definedName name="TAXCALC">#REF!</definedName>
    <definedName name="Taxes_paid" localSheetId="7">#REF!</definedName>
    <definedName name="Taxes_paid" localSheetId="11">#REF!</definedName>
    <definedName name="Taxes_paid">#REF!</definedName>
    <definedName name="Taxotere00" localSheetId="7">#REF!</definedName>
    <definedName name="Taxotere00" localSheetId="11">#REF!</definedName>
    <definedName name="Taxotere00">#REF!</definedName>
    <definedName name="Taxotere01" localSheetId="7">#REF!</definedName>
    <definedName name="Taxotere01" localSheetId="11">#REF!</definedName>
    <definedName name="Taxotere01">#REF!</definedName>
    <definedName name="Taxotere02" localSheetId="7">#REF!</definedName>
    <definedName name="Taxotere02" localSheetId="11">#REF!</definedName>
    <definedName name="Taxotere02">#REF!</definedName>
    <definedName name="Taxotere03" localSheetId="7">#REF!</definedName>
    <definedName name="Taxotere03" localSheetId="11">#REF!</definedName>
    <definedName name="Taxotere03">#REF!</definedName>
    <definedName name="Taxotere04" localSheetId="7">#REF!</definedName>
    <definedName name="Taxotere04" localSheetId="11">#REF!</definedName>
    <definedName name="Taxotere04">#REF!</definedName>
    <definedName name="Taxotere05" localSheetId="7">#REF!</definedName>
    <definedName name="Taxotere05" localSheetId="11">#REF!</definedName>
    <definedName name="Taxotere05">#REF!</definedName>
    <definedName name="Taxotere97" localSheetId="7">#REF!</definedName>
    <definedName name="Taxotere97" localSheetId="11">#REF!</definedName>
    <definedName name="Taxotere97">#REF!</definedName>
    <definedName name="Taxotere98" localSheetId="7">#REF!</definedName>
    <definedName name="Taxotere98" localSheetId="11">#REF!</definedName>
    <definedName name="Taxotere98">#REF!</definedName>
    <definedName name="Taxotere99" localSheetId="7">#REF!</definedName>
    <definedName name="Taxotere99" localSheetId="11">#REF!</definedName>
    <definedName name="Taxotere99">#REF!</definedName>
    <definedName name="taxrate00">'[18]Annual Model'!$H$80</definedName>
    <definedName name="taxrate01" localSheetId="11">'[18]Annual Model'!#REF!</definedName>
    <definedName name="taxrate01">'[18]Annual Model'!#REF!</definedName>
    <definedName name="taxrate02" localSheetId="11">'[18]Annual Model'!#REF!</definedName>
    <definedName name="taxrate02">'[18]Annual Model'!#REF!</definedName>
    <definedName name="taxrate93" localSheetId="7">#REF!</definedName>
    <definedName name="taxrate93" localSheetId="11">#REF!</definedName>
    <definedName name="taxrate93">#REF!</definedName>
    <definedName name="taxrate94" localSheetId="7">#REF!</definedName>
    <definedName name="taxrate94" localSheetId="11">#REF!</definedName>
    <definedName name="taxrate94">#REF!</definedName>
    <definedName name="taxrate95" localSheetId="7">#REF!</definedName>
    <definedName name="taxrate95" localSheetId="11">#REF!</definedName>
    <definedName name="taxrate95">#REF!</definedName>
    <definedName name="taxrate96" localSheetId="7">#REF!</definedName>
    <definedName name="taxrate96" localSheetId="11">#REF!</definedName>
    <definedName name="taxrate96">#REF!</definedName>
    <definedName name="taxrate97" localSheetId="7">#REF!</definedName>
    <definedName name="taxrate97" localSheetId="11">#REF!</definedName>
    <definedName name="taxrate97">#REF!</definedName>
    <definedName name="taxrate98">'[18]Annual Model'!$E$92</definedName>
    <definedName name="taxrate99">'[18]Annual Model'!$G$80</definedName>
    <definedName name="TECH" localSheetId="11">'[2]teo model'!#REF!</definedName>
    <definedName name="TECH">'[2]teo model'!#REF!</definedName>
    <definedName name="temp" localSheetId="7">#REF!</definedName>
    <definedName name="temp" localSheetId="11">#REF!</definedName>
    <definedName name="temp">#REF!</definedName>
    <definedName name="template" localSheetId="7">#REF!</definedName>
    <definedName name="template" localSheetId="11">#REF!</definedName>
    <definedName name="template">#REF!</definedName>
    <definedName name="test" localSheetId="7" hidden="1">{"Income (All hidden)",#N/A,FALSE,"Income";"EPS (All Hidden)",#N/A,FALSE,"EPS";"EPS (All Hidden)",#N/A,FALSE,"CashFlow";"Quarterly (Last, Current and Next)",#N/A,FALSE,"Quarterly"}</definedName>
    <definedName name="test" hidden="1">{"Income (All hidden)",#N/A,FALSE,"Income";"EPS (All Hidden)",#N/A,FALSE,"EPS";"EPS (All Hidden)",#N/A,FALSE,"CashFlow";"Quarterly (Last, Current and Next)",#N/A,FALSE,"Quarterly"}</definedName>
    <definedName name="test1" localSheetId="7" hidden="1">{"Print Summary",#N/A,FALSE,"Bal_Graphs";"Print Summary",#N/A,FALSE,"DCF";"Print Summary",#N/A,FALSE,"Graphs";"Print Summary",#N/A,FALSE,"Summary"}</definedName>
    <definedName name="test1" hidden="1">{"Print Summary",#N/A,FALSE,"Bal_Graphs";"Print Summary",#N/A,FALSE,"DCF";"Print Summary",#N/A,FALSE,"Graphs";"Print Summary",#N/A,FALSE,"Summary"}</definedName>
    <definedName name="TestAdd">"Test RefersTo1"</definedName>
    <definedName name="Tet" localSheetId="7">#REF!</definedName>
    <definedName name="Tet" localSheetId="11">#REF!</definedName>
    <definedName name="Tet">#REF!</definedName>
    <definedName name="Text" localSheetId="7">#REF!</definedName>
    <definedName name="Text" localSheetId="11">#REF!</definedName>
    <definedName name="Text">#REF!</definedName>
    <definedName name="textToday">[129]REQUEST_TABLE!$G$3</definedName>
    <definedName name="third" localSheetId="7">#REF!</definedName>
    <definedName name="third" localSheetId="11">#REF!</definedName>
    <definedName name="third">#REF!</definedName>
    <definedName name="threeg" localSheetId="11">[131]Revenue!#REF!</definedName>
    <definedName name="threeg">[131]Revenue!#REF!</definedName>
    <definedName name="Ticker">""</definedName>
    <definedName name="tier100">'[18]Annual Model'!$H$93</definedName>
    <definedName name="tier101">'[18]Annual Model'!$I$93</definedName>
    <definedName name="tier102">'[18]Annual Model'!$J$93</definedName>
    <definedName name="tier11q00">'[18]Quarterly Model'!$G$94</definedName>
    <definedName name="tier12q00">'[18]Quarterly Model'!$I$94</definedName>
    <definedName name="tier13q00">'[18]Quarterly Model'!$K$94</definedName>
    <definedName name="tier14q00">'[18]Quarterly Model'!$M$94</definedName>
    <definedName name="tier193" localSheetId="7">#REF!</definedName>
    <definedName name="tier193" localSheetId="11">#REF!</definedName>
    <definedName name="tier193">#REF!</definedName>
    <definedName name="tier194" localSheetId="7">#REF!</definedName>
    <definedName name="tier194" localSheetId="11">#REF!</definedName>
    <definedName name="tier194">#REF!</definedName>
    <definedName name="tier195" localSheetId="7">#REF!</definedName>
    <definedName name="tier195" localSheetId="11">#REF!</definedName>
    <definedName name="tier195">#REF!</definedName>
    <definedName name="tier196" localSheetId="7">#REF!</definedName>
    <definedName name="tier196" localSheetId="11">#REF!</definedName>
    <definedName name="tier196">#REF!</definedName>
    <definedName name="tier197" localSheetId="7">#REF!</definedName>
    <definedName name="tier197" localSheetId="11">#REF!</definedName>
    <definedName name="tier197">#REF!</definedName>
    <definedName name="tier198">'[18]Annual Model'!$E$105</definedName>
    <definedName name="Tier199">'[18]Annual Model'!$G$93</definedName>
    <definedName name="Tigr_Exhibit05e49216_82fa_4581_af88_2a3d931fc72f" hidden="1">DCF!$A$31:$M$50</definedName>
    <definedName name="Tigr_Exhibit096416d7_b517_4955_bb20_486f274c1cea" hidden="1">'Preview(old)'!$C$5:$BB$48</definedName>
    <definedName name="Tigr_Exhibit0fc968aa_2b58_42e7_8695_97724d646eee" localSheetId="11" hidden="1">#REF!</definedName>
    <definedName name="Tigr_Exhibit0fc968aa_2b58_42e7_8695_97724d646eee" hidden="1">#REF!</definedName>
    <definedName name="Tigr_Exhibit10c2688e_2c49_4653_87ff_aed9c237db65" localSheetId="11" hidden="1">'Profit and Loss OLd'!$BF$81:$BT$539</definedName>
    <definedName name="Tigr_Exhibit10c2688e_2c49_4653_87ff_aed9c237db65" hidden="1">'Profit and Loss'!$BO$81:$CC$551</definedName>
    <definedName name="Tigr_Exhibit10dcb663_1e4b_495e_97bf_171c29fbc8b5" hidden="1">'Preview(old)'!$C$5:$BD$44</definedName>
    <definedName name="Tigr_Exhibit123d5da5_7fc3_4d95_8049_4399dd93badf" hidden="1">'Balance Sheet &amp; Cash Flow'!$A$6:$AB$72</definedName>
    <definedName name="Tigr_Exhibit13833945_127e_43dc_ad19_b943409f616a" hidden="1">DCF!$A$62:$H$68</definedName>
    <definedName name="Tigr_Exhibit15fdb517_022e_4a75_add2_a62ae884f3a8" hidden="1">'Balance Sheet &amp; Cash Flow'!$A$6:$AC$71</definedName>
    <definedName name="Tigr_Exhibit1af796af_5684_4ecf_85d4_711941c2f5ba" hidden="1">'Preview(old)'!$C$5:$AW$44</definedName>
    <definedName name="Tigr_Exhibit1c05cd8e_6be5_4727_8d8f_7ea17d06707e" localSheetId="11" hidden="1">#REF!</definedName>
    <definedName name="Tigr_Exhibit1c05cd8e_6be5_4727_8d8f_7ea17d06707e" hidden="1">#REF!</definedName>
    <definedName name="Tigr_Exhibit1c7ef712_fca9_4d4e_a116_f729120933e6" localSheetId="11" hidden="1">#REF!</definedName>
    <definedName name="Tigr_Exhibit1c7ef712_fca9_4d4e_a116_f729120933e6" hidden="1">#REF!</definedName>
    <definedName name="Tigr_Exhibit2285376e_534b_49d2_ba13_d95da5003787" hidden="1">DCF!$A$17:$L$21</definedName>
    <definedName name="Tigr_Exhibit2b535660_b56c_4cc9_a665_988758a58244" hidden="1">Interim!$A$387:$FM$450</definedName>
    <definedName name="Tigr_Exhibit2e9302bd_8801_4ab2_ba55_e437f783f972" hidden="1">'Preview(old)'!$C$5:$BE$48</definedName>
    <definedName name="Tigr_Exhibit335c1336_be52_474b_ad62_75388963f3e4" localSheetId="11" hidden="1">#REF!</definedName>
    <definedName name="Tigr_Exhibit335c1336_be52_474b_ad62_75388963f3e4" hidden="1">#REF!</definedName>
    <definedName name="Tigr_Exhibit352873cb_ce80_48ac_a5e9_93bd5ec46eda" localSheetId="11" hidden="1">#REF!</definedName>
    <definedName name="Tigr_Exhibit352873cb_ce80_48ac_a5e9_93bd5ec46eda" hidden="1">#REF!</definedName>
    <definedName name="Tigr_Exhibit40b503e9_46a3_4cf2_a575_56e46e95be67" localSheetId="11" hidden="1">#REF!</definedName>
    <definedName name="Tigr_Exhibit40b503e9_46a3_4cf2_a575_56e46e95be67" hidden="1">#REF!</definedName>
    <definedName name="Tigr_Exhibit412d6adc_a5f4_4539_850a_b2b70925880b" localSheetId="11" hidden="1">#REF!</definedName>
    <definedName name="Tigr_Exhibit412d6adc_a5f4_4539_850a_b2b70925880b" hidden="1">#REF!</definedName>
    <definedName name="Tigr_Exhibit4b787038_c9d5_49a6_a020_fe8282e147a2" localSheetId="11" hidden="1">#REF!</definedName>
    <definedName name="Tigr_Exhibit4b787038_c9d5_49a6_a020_fe8282e147a2" hidden="1">#REF!</definedName>
    <definedName name="Tigr_Exhibit54f45a3c_a824_469d_a070_5070c7cf9286" localSheetId="11" hidden="1">#REF!</definedName>
    <definedName name="Tigr_Exhibit54f45a3c_a824_469d_a070_5070c7cf9286" hidden="1">#REF!</definedName>
    <definedName name="Tigr_Exhibit642f2afe_0027_46ae_957c_68f5166f68a5" localSheetId="11" hidden="1">#REF!</definedName>
    <definedName name="Tigr_Exhibit642f2afe_0027_46ae_957c_68f5166f68a5" hidden="1">#REF!</definedName>
    <definedName name="Tigr_Exhibit677a45a5_2f1c_4170_835e_54a593a0e947" hidden="1">'Balance Sheet &amp; Cash Flow'!$A$6:$AB$69</definedName>
    <definedName name="Tigr_Exhibit68b3f859_c8cf_417c_8e35_8d751f7d71fa" hidden="1">'Preview(old)'!$C$5:$BD$48</definedName>
    <definedName name="Tigr_Exhibit68d652e2_a2d0_4939_aab8_c5c03b1f28f2" hidden="1">DCF!$A$18:$L$23</definedName>
    <definedName name="Tigr_Exhibit6c87da1b_ce83_44c9_9e4d_6ed4e7cdbcdb" hidden="1">'Preview(old)'!$C$5:$AX$44</definedName>
    <definedName name="Tigr_Exhibit6f407b40_b46d_452e_829c_a7046939b996" localSheetId="11" hidden="1">#REF!</definedName>
    <definedName name="Tigr_Exhibit6f407b40_b46d_452e_829c_a7046939b996" hidden="1">#REF!</definedName>
    <definedName name="Tigr_Exhibit721eac9b_c698_403c_97c4_08ff974067c2" hidden="1">'Preview(old)'!$C$5:$BF$48</definedName>
    <definedName name="Tigr_Exhibit73da305b_5dbf_4307_abd8_6c760fc8fae4" localSheetId="11" hidden="1">'Profit and Loss OLd'!$AT$336:$BC$360</definedName>
    <definedName name="Tigr_Exhibit73da305b_5dbf_4307_abd8_6c760fc8fae4" hidden="1">'Profit and Loss'!$BC$343:$BL$367</definedName>
    <definedName name="Tigr_Exhibit754072b1_cd1d_4428_803f_955d1b0331e8" localSheetId="11" hidden="1">'Profit and Loss OLd'!$A$318:$AB$404</definedName>
    <definedName name="Tigr_Exhibit754072b1_cd1d_4428_803f_955d1b0331e8" hidden="1">'Profit and Loss'!$A$324:$AB$411</definedName>
    <definedName name="Tigr_Exhibit75ad9494_ae42_4681_9de2_d3638d7178e1" localSheetId="11" hidden="1">#REF!</definedName>
    <definedName name="Tigr_Exhibit75ad9494_ae42_4681_9de2_d3638d7178e1" hidden="1">#REF!</definedName>
    <definedName name="Tigr_Exhibit777fd044_9f54_407f_b433_f2cb52ccffde" hidden="1">'Preview(old)'!$BT$5:$BV$14</definedName>
    <definedName name="Tigr_Exhibit7aee5226_9e2e_4ed8_a7c2_53fff6f0ccb9" localSheetId="11" hidden="1">'Profit and Loss OLd'!$BF$81:$BT$539</definedName>
    <definedName name="Tigr_Exhibit7aee5226_9e2e_4ed8_a7c2_53fff6f0ccb9" hidden="1">'Profit and Loss'!$BO$81:$CC$551</definedName>
    <definedName name="Tigr_Exhibit804886ea_24e7_4252_b087_daa7d47134c2" hidden="1">DCF!$A$26:$Q$28</definedName>
    <definedName name="Tigr_Exhibit80fe347e_7d35_440c_a732_ede6c7ddb8b0" hidden="1">DCF!$A$3:$M$15</definedName>
    <definedName name="Tigr_Exhibit81fa6aa2_311e_4fc0_a0f9_20d7999cce29" hidden="1">Interim!$JR$4:$JZ$22</definedName>
    <definedName name="Tigr_Exhibit87edcf07_26c2_4dcd_9165_f02f1a5794e7" localSheetId="11" hidden="1">#REF!</definedName>
    <definedName name="Tigr_Exhibit87edcf07_26c2_4dcd_9165_f02f1a5794e7" hidden="1">#REF!</definedName>
    <definedName name="Tigr_Exhibit8a33a79e_e9e3_494d_9239_3706c7c47cb8" localSheetId="11" hidden="1">'Profit and Loss OLd'!$A$318:$AA$400</definedName>
    <definedName name="Tigr_Exhibit8a33a79e_e9e3_494d_9239_3706c7c47cb8" hidden="1">'Profit and Loss'!$A$324:$AA$407</definedName>
    <definedName name="Tigr_Exhibit8cc741e1_0c12_4d15_8d64_e11401bc7c7e" hidden="1">Interim!$A$387:$FU$446</definedName>
    <definedName name="Tigr_Exhibit8e862049_0870_4203_8499_5fbc753845f7" hidden="1">'Balance Sheet &amp; Cash Flow'!$A$89:$AB$135</definedName>
    <definedName name="Tigr_Exhibit9612d64d_9f42_4c62_a6d0_057e55b30c19" localSheetId="11" hidden="1">#REF!</definedName>
    <definedName name="Tigr_Exhibit9612d64d_9f42_4c62_a6d0_057e55b30c19" hidden="1">#REF!</definedName>
    <definedName name="Tigr_Exhibit99dd8286_bb84_446e_8e84_e509576b748b" localSheetId="11" hidden="1">'Profit and Loss OLd'!$AK$80:$AV$539</definedName>
    <definedName name="Tigr_Exhibit99dd8286_bb84_446e_8e84_e509576b748b" hidden="1">'Profit and Loss'!$AT$80:$BE$551</definedName>
    <definedName name="Tigr_Exhibit9a493301_a1ea_4d62_8b86_6c9e4f475652" hidden="1">DCF!$A$31:$K$50</definedName>
    <definedName name="Tigr_Exhibita36702c4_0e69_499a_acff_3863e7f76d3a" localSheetId="11" hidden="1">'Profit and Loss OLd'!$AZ$80:$BN$539</definedName>
    <definedName name="Tigr_Exhibita36702c4_0e69_499a_acff_3863e7f76d3a" hidden="1">'Profit and Loss'!$BI$80:$BW$551</definedName>
    <definedName name="Tigr_Exhibita3ea773b_8000_421c_8978_b938c460f468" hidden="1">'Balance Sheet &amp; Cash Flow'!$A$89:$AC$136</definedName>
    <definedName name="Tigr_Exhibita9038c51_e8e7_44aa_a0f9_1365f41e9b78" localSheetId="11" hidden="1">#REF!</definedName>
    <definedName name="Tigr_Exhibita9038c51_e8e7_44aa_a0f9_1365f41e9b78" hidden="1">#REF!</definedName>
    <definedName name="Tigr_Exhibitac819b74_d11c_409f_91d9_79aca67aa9da" hidden="1">Interim!$JT$112:$KA$126</definedName>
    <definedName name="Tigr_Exhibitac881dce_4f27_4620_b567_432adee2824e" localSheetId="11" hidden="1">#REF!</definedName>
    <definedName name="Tigr_Exhibitac881dce_4f27_4620_b567_432adee2824e" hidden="1">#REF!</definedName>
    <definedName name="Tigr_Exhibitacfa1309_1c85_493f_80bd_2d0caf2014cc" localSheetId="11" hidden="1">#REF!</definedName>
    <definedName name="Tigr_Exhibitacfa1309_1c85_493f_80bd_2d0caf2014cc" hidden="1">#REF!</definedName>
    <definedName name="Tigr_Exhibitad56d662_6a6e_43c9_8afc_bb6f72cb1702" hidden="1">DCF!$A$31:$M$49</definedName>
    <definedName name="Tigr_Exhibitad905acc_ff78_4b61_b17d_c4a81417fed8" hidden="1">'Preview(old)'!$C$5:$BF$47</definedName>
    <definedName name="Tigr_Exhibitb073bece_2d1c_4309_a736_8780067ba8d3" hidden="1">DCF!$A$3:$K$15</definedName>
    <definedName name="Tigr_Exhibitb301daf1_173d_4d9a_8de0_008ed0a0890a" hidden="1">'Preview(old)'!$BH$5:$BR$10</definedName>
    <definedName name="Tigr_Exhibitb4588ead_436e_41ad_a1d7_a000b057c71d" localSheetId="11" hidden="1">'Profit and Loss OLd'!$A$318:$AB$403</definedName>
    <definedName name="Tigr_Exhibitb4588ead_436e_41ad_a1d7_a000b057c71d" hidden="1">'Profit and Loss'!$A$324:$AB$410</definedName>
    <definedName name="Tigr_Exhibitb5cfc6b9_4f6d_4e06_b08f_a740b8a3f703" hidden="1">'Preview(old)'!$C$5:$AX$48</definedName>
    <definedName name="Tigr_Exhibitba296bba_4aff_4507_a4e9_f1129abd1507" localSheetId="11" hidden="1">#REF!</definedName>
    <definedName name="Tigr_Exhibitba296bba_4aff_4507_a4e9_f1129abd1507" hidden="1">#REF!</definedName>
    <definedName name="Tigr_Exhibitc07c07c0_828a_4aff_874e_95e2265bf6f8" hidden="1">'Balance Sheet &amp; Cash Flow'!$A$6:$AC$72</definedName>
    <definedName name="Tigr_Exhibitc28d394c_4abd_4359_982e_91b004b9595e" hidden="1">Interim!$JM$410</definedName>
    <definedName name="Tigr_Exhibitc3b103ff_3b9e_4054_9621_287152503c2e" hidden="1">'Preview(old)'!$C$5:$AZ$48</definedName>
    <definedName name="Tigr_Exhibitcd22862a_fd4c_43e9_b33a_96f64f5fc458" hidden="1">DCF!$A$56:$H$68</definedName>
    <definedName name="Tigr_Exhibitcdcef870_8b6c_4366_a044_6d075ebbea7e" localSheetId="11" hidden="1">'Profit and Loss OLd'!$A$318:$AA$404</definedName>
    <definedName name="Tigr_Exhibitcdcef870_8b6c_4366_a044_6d075ebbea7e" hidden="1">'Profit and Loss'!$A$324:$AA$411</definedName>
    <definedName name="Tigr_Exhibitd194455c_0fcb_47dd_99ca_8fff69c1974d" localSheetId="11" hidden="1">'Profit and Loss OLd'!$AK$212</definedName>
    <definedName name="Tigr_Exhibitd194455c_0fcb_47dd_99ca_8fff69c1974d" hidden="1">'Profit and Loss'!$AT$218</definedName>
    <definedName name="Tigr_Exhibitd2b862b9_5cb0_43b2_8b60_e4e7839805e5" localSheetId="11" hidden="1">#REF!</definedName>
    <definedName name="Tigr_Exhibitd2b862b9_5cb0_43b2_8b60_e4e7839805e5" hidden="1">#REF!</definedName>
    <definedName name="Tigr_Exhibitd4568362_8ed5_4007_9824_347d46eb6d5d" hidden="1">'Balance Sheet &amp; Cash Flow'!$A$6:$AB$71</definedName>
    <definedName name="Tigr_Exhibitd73bde3a_2a97_4229_adf4_04e3e41d914a" localSheetId="11" hidden="1">#REF!</definedName>
    <definedName name="Tigr_Exhibitd73bde3a_2a97_4229_adf4_04e3e41d914a" hidden="1">#REF!</definedName>
    <definedName name="Tigr_Exhibitdfef2064_3913_40a5_bb2c_f3a1582dc360" hidden="1">'Preview(old)'!$C$5:$BE$47</definedName>
    <definedName name="Tigr_Exhibite1e976de_4656_4638_ada8_5a06250028cf" localSheetId="11" hidden="1">#REF!</definedName>
    <definedName name="Tigr_Exhibite1e976de_4656_4638_ada8_5a06250028cf" hidden="1">#REF!</definedName>
    <definedName name="Tigr_Exhibite2d17662_2ecb_418c_a40a_8c9996bc1636" hidden="1">'Balance Sheet &amp; Cash Flow'!$A$89:$AC$134</definedName>
    <definedName name="Tigr_Exhibitf56c1934_94f9_410c_a786_13eec6136478" hidden="1">'Balance Sheet &amp; Cash Flow'!$A$89:$AB$136</definedName>
    <definedName name="Tigr_Exhibitf861998e_4e8a_4533_a768_6cbc6b24a3e2" hidden="1">DCF!$A$56:$H$60</definedName>
    <definedName name="Tigr_Exhibitfb8a0b46_e7ea_46c9_9d42_71460850b475" localSheetId="11" hidden="1">#REF!</definedName>
    <definedName name="Tigr_Exhibitfb8a0b46_e7ea_46c9_9d42_71460850b475" hidden="1">#REF!</definedName>
    <definedName name="Tigr_Exhibitfecb72d5_ba8a_4953_b18c_358f9fd13383" localSheetId="11" hidden="1">#REF!</definedName>
    <definedName name="Tigr_Exhibitfecb72d5_ba8a_4953_b18c_358f9fd13383" hidden="1">#REF!</definedName>
    <definedName name="Tilade00" localSheetId="7">#REF!</definedName>
    <definedName name="Tilade00" localSheetId="11">#REF!</definedName>
    <definedName name="Tilade00">#REF!</definedName>
    <definedName name="Tilade01" localSheetId="7">#REF!</definedName>
    <definedName name="Tilade01" localSheetId="11">#REF!</definedName>
    <definedName name="Tilade01">#REF!</definedName>
    <definedName name="Tilade02" localSheetId="7">#REF!</definedName>
    <definedName name="Tilade02" localSheetId="11">#REF!</definedName>
    <definedName name="Tilade02">#REF!</definedName>
    <definedName name="Tilade03" localSheetId="7">#REF!</definedName>
    <definedName name="Tilade03" localSheetId="11">#REF!</definedName>
    <definedName name="Tilade03">#REF!</definedName>
    <definedName name="Tilade04" localSheetId="7">#REF!</definedName>
    <definedName name="Tilade04" localSheetId="11">#REF!</definedName>
    <definedName name="Tilade04">#REF!</definedName>
    <definedName name="Tilade05" localSheetId="7">#REF!</definedName>
    <definedName name="Tilade05" localSheetId="11">#REF!</definedName>
    <definedName name="Tilade05">#REF!</definedName>
    <definedName name="Tilade97" localSheetId="7">#REF!</definedName>
    <definedName name="Tilade97" localSheetId="11">#REF!</definedName>
    <definedName name="Tilade97">#REF!</definedName>
    <definedName name="Tilade98" localSheetId="7">#REF!</definedName>
    <definedName name="Tilade98" localSheetId="11">#REF!</definedName>
    <definedName name="Tilade98">#REF!</definedName>
    <definedName name="Tilade99" localSheetId="7">#REF!</definedName>
    <definedName name="Tilade99" localSheetId="11">#REF!</definedName>
    <definedName name="Tilade99">#REF!</definedName>
    <definedName name="tim" localSheetId="7">#REF!</definedName>
    <definedName name="tim" localSheetId="11">#REF!</definedName>
    <definedName name="tim">#REF!</definedName>
    <definedName name="timedeposits93" localSheetId="7">#REF!</definedName>
    <definedName name="timedeposits93" localSheetId="11">#REF!</definedName>
    <definedName name="timedeposits93">#REF!</definedName>
    <definedName name="timedeposits94" localSheetId="7">#REF!</definedName>
    <definedName name="timedeposits94" localSheetId="11">#REF!</definedName>
    <definedName name="timedeposits94">#REF!</definedName>
    <definedName name="timedeposits95" localSheetId="7">#REF!</definedName>
    <definedName name="timedeposits95" localSheetId="11">#REF!</definedName>
    <definedName name="timedeposits95">#REF!</definedName>
    <definedName name="timedeposits96" localSheetId="7">#REF!</definedName>
    <definedName name="timedeposits96" localSheetId="11">#REF!</definedName>
    <definedName name="timedeposits96">#REF!</definedName>
    <definedName name="timedeposits97" localSheetId="7">#REF!</definedName>
    <definedName name="timedeposits97" localSheetId="11">#REF!</definedName>
    <definedName name="timedeposits97">#REF!</definedName>
    <definedName name="TimeProdpr">[41]Datastream!$B$8</definedName>
    <definedName name="Title">'[61]DDETABLE '!$E$8</definedName>
    <definedName name="Titles">'[80]Annual Model'!$B$1:$D$7,'[80]Annual Model'!$M$1:$M$7,'[80]Annual Model'!$O$1:$O$7,'[80]Annual Model'!$Q$1:$Q$7</definedName>
    <definedName name="Top" localSheetId="7">#REF!</definedName>
    <definedName name="Top" localSheetId="11">#REF!</definedName>
    <definedName name="Top">#REF!</definedName>
    <definedName name="Topics">'[61]DDETABLE '!$AL$2:$AL$3</definedName>
    <definedName name="tot92inc">[24]LOWQORF!$AG$8:$AG$13</definedName>
    <definedName name="tot93inc">[24]LOWQORF!$AM$8:$AM$13</definedName>
    <definedName name="tot94inc">[24]LOWQORF!$AS$8:$AS$13</definedName>
    <definedName name="tot95inc">[24]LOWQORF!$AY$8:$AY$13</definedName>
    <definedName name="Total_amort_fore" localSheetId="7">#REF!</definedName>
    <definedName name="Total_amort_fore" localSheetId="11">#REF!</definedName>
    <definedName name="Total_amort_fore">#REF!</definedName>
    <definedName name="Total_Amortization">[34]NOPAT_VDF!$C$18:$AZ$18</definedName>
    <definedName name="Total_Amortization_fore" localSheetId="7">#REF!</definedName>
    <definedName name="Total_Amortization_fore" localSheetId="11">#REF!</definedName>
    <definedName name="Total_Amortization_fore">#REF!</definedName>
    <definedName name="Total_Assets" localSheetId="7">#REF!</definedName>
    <definedName name="Total_Assets" localSheetId="11">#REF!</definedName>
    <definedName name="Total_Assets">#REF!</definedName>
    <definedName name="Total_COS">[34]NOPAT_VDF!$C$9:$AZ$9</definedName>
    <definedName name="Total_COS_fore" localSheetId="7">#REF!</definedName>
    <definedName name="Total_COS_fore" localSheetId="11">#REF!</definedName>
    <definedName name="Total_COS_fore">#REF!</definedName>
    <definedName name="Total_COS_growth_fore" localSheetId="7">#REF!</definedName>
    <definedName name="Total_COS_growth_fore" localSheetId="11">#REF!</definedName>
    <definedName name="Total_COS_growth_fore">#REF!</definedName>
    <definedName name="Total_COS_net_DnA_fore" localSheetId="7">#REF!</definedName>
    <definedName name="Total_COS_net_DnA_fore" localSheetId="11">#REF!</definedName>
    <definedName name="Total_COS_net_DnA_fore">#REF!</definedName>
    <definedName name="Total_Current_Assets" localSheetId="7">#REF!</definedName>
    <definedName name="Total_Current_Assets" localSheetId="11">#REF!</definedName>
    <definedName name="Total_Current_Assets">#REF!</definedName>
    <definedName name="Total_current_liabilities" localSheetId="7">#REF!</definedName>
    <definedName name="Total_current_liabilities" localSheetId="11">#REF!</definedName>
    <definedName name="Total_current_liabilities">#REF!</definedName>
    <definedName name="Total_debt">'[34]Invested capital_VDF'!$C$61:$AU$61</definedName>
    <definedName name="Total_debt_DCF">[34]DCF_VDF!$C$35:$AZ$35</definedName>
    <definedName name="Total_debt_fore" localSheetId="7">#REF!</definedName>
    <definedName name="Total_debt_fore" localSheetId="11">#REF!</definedName>
    <definedName name="Total_debt_fore">#REF!</definedName>
    <definedName name="Total_debt_growth_fore" localSheetId="7">#REF!</definedName>
    <definedName name="Total_debt_growth_fore" localSheetId="11">#REF!</definedName>
    <definedName name="Total_debt_growth_fore">#REF!</definedName>
    <definedName name="Total_Increase_in_EEs_fore" localSheetId="7">#REF!</definedName>
    <definedName name="Total_Increase_in_EEs_fore" localSheetId="11">#REF!</definedName>
    <definedName name="Total_Increase_in_EEs_fore">#REF!</definedName>
    <definedName name="Total_investments_and_other_assets" localSheetId="7">#REF!</definedName>
    <definedName name="Total_investments_and_other_assets" localSheetId="11">#REF!</definedName>
    <definedName name="Total_investments_and_other_assets">#REF!</definedName>
    <definedName name="Total_Liabilities_and_Stockholders__Funds" localSheetId="7">#REF!</definedName>
    <definedName name="Total_Liabilities_and_Stockholders__Funds" localSheetId="11">#REF!</definedName>
    <definedName name="Total_Liabilities_and_Stockholders__Funds">#REF!</definedName>
    <definedName name="Total_Long_term_debt" localSheetId="7">#REF!</definedName>
    <definedName name="Total_Long_term_debt" localSheetId="11">#REF!</definedName>
    <definedName name="Total_Long_term_debt">#REF!</definedName>
    <definedName name="Total_stockholders__equity" localSheetId="7">#REF!</definedName>
    <definedName name="Total_stockholders__equity" localSheetId="11">#REF!</definedName>
    <definedName name="Total_stockholders__equity">#REF!</definedName>
    <definedName name="TotalAntiInfectives00" localSheetId="7">#REF!</definedName>
    <definedName name="TotalAntiInfectives00" localSheetId="11">#REF!</definedName>
    <definedName name="TotalAntiInfectives00">#REF!</definedName>
    <definedName name="TotalAntiInfectives01" localSheetId="7">#REF!</definedName>
    <definedName name="TotalAntiInfectives01" localSheetId="11">#REF!</definedName>
    <definedName name="TotalAntiInfectives01">#REF!</definedName>
    <definedName name="TotalAntiInfectives02" localSheetId="7">#REF!</definedName>
    <definedName name="TotalAntiInfectives02" localSheetId="11">#REF!</definedName>
    <definedName name="TotalAntiInfectives02">#REF!</definedName>
    <definedName name="TotalAntiInfectives03" localSheetId="7">#REF!</definedName>
    <definedName name="TotalAntiInfectives03" localSheetId="11">#REF!</definedName>
    <definedName name="TotalAntiInfectives03">#REF!</definedName>
    <definedName name="TotalAntiInfectives04" localSheetId="7">#REF!</definedName>
    <definedName name="TotalAntiInfectives04" localSheetId="11">#REF!</definedName>
    <definedName name="TotalAntiInfectives04">#REF!</definedName>
    <definedName name="TotalAntiInfectives05" localSheetId="7">#REF!</definedName>
    <definedName name="TotalAntiInfectives05" localSheetId="11">#REF!</definedName>
    <definedName name="TotalAntiInfectives05">#REF!</definedName>
    <definedName name="TotalAntiInfectives97" localSheetId="7">#REF!</definedName>
    <definedName name="TotalAntiInfectives97" localSheetId="11">#REF!</definedName>
    <definedName name="TotalAntiInfectives97">#REF!</definedName>
    <definedName name="TotalAntiInfectives98" localSheetId="7">#REF!</definedName>
    <definedName name="TotalAntiInfectives98" localSheetId="11">#REF!</definedName>
    <definedName name="TotalAntiInfectives98">#REF!</definedName>
    <definedName name="TotalAntiInfectives99" localSheetId="7">#REF!</definedName>
    <definedName name="TotalAntiInfectives99" localSheetId="11">#REF!</definedName>
    <definedName name="TotalAntiInfectives99">#REF!</definedName>
    <definedName name="TotalAventisBehring00" localSheetId="7">#REF!</definedName>
    <definedName name="TotalAventisBehring00" localSheetId="11">#REF!</definedName>
    <definedName name="TotalAventisBehring00">#REF!</definedName>
    <definedName name="TotalAventisBehring01" localSheetId="7">#REF!</definedName>
    <definedName name="TotalAventisBehring01" localSheetId="11">#REF!</definedName>
    <definedName name="TotalAventisBehring01">#REF!</definedName>
    <definedName name="TotalAventisBehring02" localSheetId="7">#REF!</definedName>
    <definedName name="TotalAventisBehring02" localSheetId="11">#REF!</definedName>
    <definedName name="TotalAventisBehring02">#REF!</definedName>
    <definedName name="TotalAventisBehring03" localSheetId="7">#REF!</definedName>
    <definedName name="TotalAventisBehring03" localSheetId="11">#REF!</definedName>
    <definedName name="TotalAventisBehring03">#REF!</definedName>
    <definedName name="TotalAventisBehring04" localSheetId="7">#REF!</definedName>
    <definedName name="TotalAventisBehring04" localSheetId="11">#REF!</definedName>
    <definedName name="TotalAventisBehring04">#REF!</definedName>
    <definedName name="TotalAventisBehring05" localSheetId="7">#REF!</definedName>
    <definedName name="TotalAventisBehring05" localSheetId="11">#REF!</definedName>
    <definedName name="TotalAventisBehring05">#REF!</definedName>
    <definedName name="TotalAventisBehring97" localSheetId="7">#REF!</definedName>
    <definedName name="TotalAventisBehring97" localSheetId="11">#REF!</definedName>
    <definedName name="TotalAventisBehring97">#REF!</definedName>
    <definedName name="TotalAventisBehring98" localSheetId="7">#REF!</definedName>
    <definedName name="TotalAventisBehring98" localSheetId="11">#REF!</definedName>
    <definedName name="TotalAventisBehring98">#REF!</definedName>
    <definedName name="TotalAventisBehring99" localSheetId="7">#REF!</definedName>
    <definedName name="TotalAventisBehring99" localSheetId="11">#REF!</definedName>
    <definedName name="TotalAventisBehring99">#REF!</definedName>
    <definedName name="TotalCentralNervousSystem00" localSheetId="7">#REF!</definedName>
    <definedName name="TotalCentralNervousSystem00" localSheetId="11">#REF!</definedName>
    <definedName name="TotalCentralNervousSystem00">#REF!</definedName>
    <definedName name="TotalCentralNervousSystem01" localSheetId="7">#REF!</definedName>
    <definedName name="TotalCentralNervousSystem01" localSheetId="11">#REF!</definedName>
    <definedName name="TotalCentralNervousSystem01">#REF!</definedName>
    <definedName name="TotalCentralNervousSystem02" localSheetId="7">#REF!</definedName>
    <definedName name="TotalCentralNervousSystem02" localSheetId="11">#REF!</definedName>
    <definedName name="TotalCentralNervousSystem02">#REF!</definedName>
    <definedName name="TotalCentralNervousSystem03" localSheetId="7">#REF!</definedName>
    <definedName name="TotalCentralNervousSystem03" localSheetId="11">#REF!</definedName>
    <definedName name="TotalCentralNervousSystem03">#REF!</definedName>
    <definedName name="TotalCentralNervousSystem04" localSheetId="7">#REF!</definedName>
    <definedName name="TotalCentralNervousSystem04" localSheetId="11">#REF!</definedName>
    <definedName name="TotalCentralNervousSystem04">#REF!</definedName>
    <definedName name="TotalCentralNervousSystem05" localSheetId="7">#REF!</definedName>
    <definedName name="TotalCentralNervousSystem05" localSheetId="11">#REF!</definedName>
    <definedName name="TotalCentralNervousSystem05">#REF!</definedName>
    <definedName name="TotalCentralNervousSystem97" localSheetId="7">#REF!</definedName>
    <definedName name="TotalCentralNervousSystem97" localSheetId="11">#REF!</definedName>
    <definedName name="TotalCentralNervousSystem97">#REF!</definedName>
    <definedName name="TotalCentralNervousSystem98" localSheetId="7">#REF!</definedName>
    <definedName name="TotalCentralNervousSystem98" localSheetId="11">#REF!</definedName>
    <definedName name="TotalCentralNervousSystem98">#REF!</definedName>
    <definedName name="TotalCentralNervousSystem99" localSheetId="7">#REF!</definedName>
    <definedName name="TotalCentralNervousSystem99" localSheetId="11">#REF!</definedName>
    <definedName name="TotalCentralNervousSystem99">#REF!</definedName>
    <definedName name="TotalDiabetes00" localSheetId="7">#REF!</definedName>
    <definedName name="TotalDiabetes00" localSheetId="11">#REF!</definedName>
    <definedName name="TotalDiabetes00">#REF!</definedName>
    <definedName name="TotalDiabetes01" localSheetId="7">#REF!</definedName>
    <definedName name="TotalDiabetes01" localSheetId="11">#REF!</definedName>
    <definedName name="TotalDiabetes01">#REF!</definedName>
    <definedName name="TotalDiabetes02" localSheetId="7">#REF!</definedName>
    <definedName name="TotalDiabetes02" localSheetId="11">#REF!</definedName>
    <definedName name="TotalDiabetes02">#REF!</definedName>
    <definedName name="TotalDiabetes03" localSheetId="7">#REF!</definedName>
    <definedName name="TotalDiabetes03" localSheetId="11">#REF!</definedName>
    <definedName name="TotalDiabetes03">#REF!</definedName>
    <definedName name="TotalDiabetes04" localSheetId="7">#REF!</definedName>
    <definedName name="TotalDiabetes04" localSheetId="11">#REF!</definedName>
    <definedName name="TotalDiabetes04">#REF!</definedName>
    <definedName name="TotalDiabetes05" localSheetId="7">#REF!</definedName>
    <definedName name="TotalDiabetes05" localSheetId="11">#REF!</definedName>
    <definedName name="TotalDiabetes05">#REF!</definedName>
    <definedName name="TotalDiabetes97" localSheetId="7">#REF!</definedName>
    <definedName name="TotalDiabetes97" localSheetId="11">#REF!</definedName>
    <definedName name="TotalDiabetes97">#REF!</definedName>
    <definedName name="TotalDiabetes98" localSheetId="7">#REF!</definedName>
    <definedName name="TotalDiabetes98" localSheetId="11">#REF!</definedName>
    <definedName name="TotalDiabetes98">#REF!</definedName>
    <definedName name="TotalDiabetes99" localSheetId="7">#REF!</definedName>
    <definedName name="TotalDiabetes99" localSheetId="11">#REF!</definedName>
    <definedName name="TotalDiabetes99">#REF!</definedName>
    <definedName name="TotalInsulins00" localSheetId="7">#REF!</definedName>
    <definedName name="TotalInsulins00" localSheetId="11">#REF!</definedName>
    <definedName name="TotalInsulins00">#REF!</definedName>
    <definedName name="TotalInsulins01" localSheetId="7">#REF!</definedName>
    <definedName name="TotalInsulins01" localSheetId="11">#REF!</definedName>
    <definedName name="TotalInsulins01">#REF!</definedName>
    <definedName name="TotalInsulins02" localSheetId="7">#REF!</definedName>
    <definedName name="TotalInsulins02" localSheetId="11">#REF!</definedName>
    <definedName name="TotalInsulins02">#REF!</definedName>
    <definedName name="TotalInsulins03" localSheetId="7">#REF!</definedName>
    <definedName name="TotalInsulins03" localSheetId="11">#REF!</definedName>
    <definedName name="TotalInsulins03">#REF!</definedName>
    <definedName name="TotalInsulins04" localSheetId="7">#REF!</definedName>
    <definedName name="TotalInsulins04" localSheetId="11">#REF!</definedName>
    <definedName name="TotalInsulins04">#REF!</definedName>
    <definedName name="TotalInsulins05" localSheetId="7">#REF!</definedName>
    <definedName name="TotalInsulins05" localSheetId="11">#REF!</definedName>
    <definedName name="TotalInsulins05">#REF!</definedName>
    <definedName name="TotalInsulins97" localSheetId="7">#REF!</definedName>
    <definedName name="TotalInsulins97" localSheetId="11">#REF!</definedName>
    <definedName name="TotalInsulins97">#REF!</definedName>
    <definedName name="TotalInsulins98" localSheetId="7">#REF!</definedName>
    <definedName name="TotalInsulins98" localSheetId="11">#REF!</definedName>
    <definedName name="TotalInsulins98">#REF!</definedName>
    <definedName name="TotalInsulins99" localSheetId="7">#REF!</definedName>
    <definedName name="TotalInsulins99" localSheetId="11">#REF!</definedName>
    <definedName name="TotalInsulins99">#REF!</definedName>
    <definedName name="TotalMiscellaneous00" localSheetId="7">#REF!</definedName>
    <definedName name="TotalMiscellaneous00" localSheetId="11">#REF!</definedName>
    <definedName name="TotalMiscellaneous00">#REF!</definedName>
    <definedName name="TotalMiscellaneous01" localSheetId="7">#REF!</definedName>
    <definedName name="TotalMiscellaneous01" localSheetId="11">#REF!</definedName>
    <definedName name="TotalMiscellaneous01">#REF!</definedName>
    <definedName name="TotalMiscellaneous02" localSheetId="7">#REF!</definedName>
    <definedName name="TotalMiscellaneous02" localSheetId="11">#REF!</definedName>
    <definedName name="TotalMiscellaneous02">#REF!</definedName>
    <definedName name="TotalMiscellaneous03" localSheetId="7">#REF!</definedName>
    <definedName name="TotalMiscellaneous03" localSheetId="11">#REF!</definedName>
    <definedName name="TotalMiscellaneous03">#REF!</definedName>
    <definedName name="TotalMiscellaneous04" localSheetId="7">#REF!</definedName>
    <definedName name="TotalMiscellaneous04" localSheetId="11">#REF!</definedName>
    <definedName name="TotalMiscellaneous04">#REF!</definedName>
    <definedName name="TotalMiscellaneous05" localSheetId="7">#REF!</definedName>
    <definedName name="TotalMiscellaneous05" localSheetId="11">#REF!</definedName>
    <definedName name="TotalMiscellaneous05">#REF!</definedName>
    <definedName name="TotalMiscellaneous97" localSheetId="7">#REF!</definedName>
    <definedName name="TotalMiscellaneous97" localSheetId="11">#REF!</definedName>
    <definedName name="TotalMiscellaneous97">#REF!</definedName>
    <definedName name="TotalMiscellaneous98" localSheetId="7">#REF!</definedName>
    <definedName name="TotalMiscellaneous98" localSheetId="11">#REF!</definedName>
    <definedName name="TotalMiscellaneous98">#REF!</definedName>
    <definedName name="TotalMiscellaneous99" localSheetId="7">#REF!</definedName>
    <definedName name="TotalMiscellaneous99" localSheetId="11">#REF!</definedName>
    <definedName name="TotalMiscellaneous99">#REF!</definedName>
    <definedName name="TotalOncology00" localSheetId="7">#REF!</definedName>
    <definedName name="TotalOncology00" localSheetId="11">#REF!</definedName>
    <definedName name="TotalOncology00">#REF!</definedName>
    <definedName name="TotalOncology01" localSheetId="7">#REF!</definedName>
    <definedName name="TotalOncology01" localSheetId="11">#REF!</definedName>
    <definedName name="TotalOncology01">#REF!</definedName>
    <definedName name="TotalOncology02" localSheetId="7">#REF!</definedName>
    <definedName name="TotalOncology02" localSheetId="11">#REF!</definedName>
    <definedName name="TotalOncology02">#REF!</definedName>
    <definedName name="TotalOncology03" localSheetId="7">#REF!</definedName>
    <definedName name="TotalOncology03" localSheetId="11">#REF!</definedName>
    <definedName name="TotalOncology03">#REF!</definedName>
    <definedName name="TotalOncology04" localSheetId="7">#REF!</definedName>
    <definedName name="TotalOncology04" localSheetId="11">#REF!</definedName>
    <definedName name="TotalOncology04">#REF!</definedName>
    <definedName name="TotalOncology05" localSheetId="7">#REF!</definedName>
    <definedName name="TotalOncology05" localSheetId="11">#REF!</definedName>
    <definedName name="TotalOncology05">#REF!</definedName>
    <definedName name="TotalOncology97" localSheetId="7">#REF!</definedName>
    <definedName name="TotalOncology97" localSheetId="11">#REF!</definedName>
    <definedName name="TotalOncology97">#REF!</definedName>
    <definedName name="TotalOncology98" localSheetId="7">#REF!</definedName>
    <definedName name="TotalOncology98" localSheetId="11">#REF!</definedName>
    <definedName name="TotalOncology98">#REF!</definedName>
    <definedName name="TotalOncology99" localSheetId="7">#REF!</definedName>
    <definedName name="TotalOncology99" localSheetId="11">#REF!</definedName>
    <definedName name="TotalOncology99">#REF!</definedName>
    <definedName name="TotalOnOrderUnits">#N/A</definedName>
    <definedName name="TotalOthers00" localSheetId="7">#REF!</definedName>
    <definedName name="TotalOthers00" localSheetId="11">#REF!</definedName>
    <definedName name="TotalOthers00">#REF!</definedName>
    <definedName name="TotalOthers01" localSheetId="7">#REF!</definedName>
    <definedName name="TotalOthers01" localSheetId="11">#REF!</definedName>
    <definedName name="TotalOthers01">#REF!</definedName>
    <definedName name="TotalOthers02" localSheetId="7">#REF!</definedName>
    <definedName name="TotalOthers02" localSheetId="11">#REF!</definedName>
    <definedName name="TotalOthers02">#REF!</definedName>
    <definedName name="TotalOthers03" localSheetId="7">#REF!</definedName>
    <definedName name="TotalOthers03" localSheetId="11">#REF!</definedName>
    <definedName name="TotalOthers03">#REF!</definedName>
    <definedName name="TotalOthers04" localSheetId="7">#REF!</definedName>
    <definedName name="TotalOthers04" localSheetId="11">#REF!</definedName>
    <definedName name="TotalOthers04">#REF!</definedName>
    <definedName name="TotalOthers05" localSheetId="7">#REF!</definedName>
    <definedName name="TotalOthers05" localSheetId="11">#REF!</definedName>
    <definedName name="TotalOthers05">#REF!</definedName>
    <definedName name="TotalOthers97" localSheetId="7">#REF!</definedName>
    <definedName name="TotalOthers97" localSheetId="11">#REF!</definedName>
    <definedName name="TotalOthers97">#REF!</definedName>
    <definedName name="TotalOthers98" localSheetId="7">#REF!</definedName>
    <definedName name="TotalOthers98" localSheetId="11">#REF!</definedName>
    <definedName name="TotalOthers98">#REF!</definedName>
    <definedName name="TotalOthers99" localSheetId="7">#REF!</definedName>
    <definedName name="TotalOthers99" localSheetId="11">#REF!</definedName>
    <definedName name="TotalOthers99">#REF!</definedName>
    <definedName name="TOTALPHARMA00" localSheetId="7">#REF!</definedName>
    <definedName name="TOTALPHARMA00" localSheetId="11">#REF!</definedName>
    <definedName name="TOTALPHARMA00">#REF!</definedName>
    <definedName name="TOTALPHARMA01" localSheetId="7">#REF!</definedName>
    <definedName name="TOTALPHARMA01" localSheetId="11">#REF!</definedName>
    <definedName name="TOTALPHARMA01">#REF!</definedName>
    <definedName name="TOTALPHARMA02" localSheetId="7">#REF!</definedName>
    <definedName name="TOTALPHARMA02" localSheetId="11">#REF!</definedName>
    <definedName name="TOTALPHARMA02">#REF!</definedName>
    <definedName name="TOTALPHARMA03" localSheetId="7">#REF!</definedName>
    <definedName name="TOTALPHARMA03" localSheetId="11">#REF!</definedName>
    <definedName name="TOTALPHARMA03">#REF!</definedName>
    <definedName name="TOTALPHARMA04" localSheetId="7">#REF!</definedName>
    <definedName name="TOTALPHARMA04" localSheetId="11">#REF!</definedName>
    <definedName name="TOTALPHARMA04">#REF!</definedName>
    <definedName name="TOTALPHARMA05" localSheetId="7">#REF!</definedName>
    <definedName name="TOTALPHARMA05" localSheetId="11">#REF!</definedName>
    <definedName name="TOTALPHARMA05">#REF!</definedName>
    <definedName name="TOTALPHARMA97" localSheetId="7">#REF!</definedName>
    <definedName name="TOTALPHARMA97" localSheetId="11">#REF!</definedName>
    <definedName name="TOTALPHARMA97">#REF!</definedName>
    <definedName name="TOTALPHARMA98" localSheetId="7">#REF!</definedName>
    <definedName name="TOTALPHARMA98" localSheetId="11">#REF!</definedName>
    <definedName name="TOTALPHARMA98">#REF!</definedName>
    <definedName name="TOTALPHARMA99" localSheetId="7">#REF!</definedName>
    <definedName name="TOTALPHARMA99" localSheetId="11">#REF!</definedName>
    <definedName name="TOTALPHARMA99">#REF!</definedName>
    <definedName name="TotalPharmaceuticals00" localSheetId="7">#REF!</definedName>
    <definedName name="TotalPharmaceuticals00" localSheetId="11">#REF!</definedName>
    <definedName name="TotalPharmaceuticals00">#REF!</definedName>
    <definedName name="TotalPharmaceuticals01" localSheetId="7">#REF!</definedName>
    <definedName name="TotalPharmaceuticals01" localSheetId="11">#REF!</definedName>
    <definedName name="TotalPharmaceuticals01">#REF!</definedName>
    <definedName name="TotalPharmaceuticals02" localSheetId="7">#REF!</definedName>
    <definedName name="TotalPharmaceuticals02" localSheetId="11">#REF!</definedName>
    <definedName name="TotalPharmaceuticals02">#REF!</definedName>
    <definedName name="TotalPharmaceuticals03" localSheetId="7">#REF!</definedName>
    <definedName name="TotalPharmaceuticals03" localSheetId="11">#REF!</definedName>
    <definedName name="TotalPharmaceuticals03">#REF!</definedName>
    <definedName name="TotalPharmaceuticals04" localSheetId="7">#REF!</definedName>
    <definedName name="TotalPharmaceuticals04" localSheetId="11">#REF!</definedName>
    <definedName name="TotalPharmaceuticals04">#REF!</definedName>
    <definedName name="TotalPharmaceuticals05" localSheetId="7">#REF!</definedName>
    <definedName name="TotalPharmaceuticals05" localSheetId="11">#REF!</definedName>
    <definedName name="TotalPharmaceuticals05">#REF!</definedName>
    <definedName name="TotalPharmaceuticals97" localSheetId="7">#REF!</definedName>
    <definedName name="TotalPharmaceuticals97" localSheetId="11">#REF!</definedName>
    <definedName name="TotalPharmaceuticals97">#REF!</definedName>
    <definedName name="TotalPharmaceuticals98" localSheetId="7">#REF!</definedName>
    <definedName name="TotalPharmaceuticals98" localSheetId="11">#REF!</definedName>
    <definedName name="TotalPharmaceuticals98">#REF!</definedName>
    <definedName name="TotalPharmaceuticals99" localSheetId="7">#REF!</definedName>
    <definedName name="TotalPharmaceuticals99" localSheetId="11">#REF!</definedName>
    <definedName name="TotalPharmaceuticals99">#REF!</definedName>
    <definedName name="TotalReqs">'[61]DDETABLE '!$H$5</definedName>
    <definedName name="TotalRespiratoryandAllergy00" localSheetId="7">#REF!</definedName>
    <definedName name="TotalRespiratoryandAllergy00" localSheetId="11">#REF!</definedName>
    <definedName name="TotalRespiratoryandAllergy00">#REF!</definedName>
    <definedName name="TotalRespiratoryandAllergy01" localSheetId="7">#REF!</definedName>
    <definedName name="TotalRespiratoryandAllergy01" localSheetId="11">#REF!</definedName>
    <definedName name="TotalRespiratoryandAllergy01">#REF!</definedName>
    <definedName name="TotalRespiratoryandAllergy02" localSheetId="7">#REF!</definedName>
    <definedName name="TotalRespiratoryandAllergy02" localSheetId="11">#REF!</definedName>
    <definedName name="TotalRespiratoryandAllergy02">#REF!</definedName>
    <definedName name="TotalRespiratoryandAllergy03" localSheetId="7">#REF!</definedName>
    <definedName name="TotalRespiratoryandAllergy03" localSheetId="11">#REF!</definedName>
    <definedName name="TotalRespiratoryandAllergy03">#REF!</definedName>
    <definedName name="TotalRespiratoryandAllergy04" localSheetId="7">#REF!</definedName>
    <definedName name="TotalRespiratoryandAllergy04" localSheetId="11">#REF!</definedName>
    <definedName name="TotalRespiratoryandAllergy04">#REF!</definedName>
    <definedName name="TotalRespiratoryandAllergy05" localSheetId="7">#REF!</definedName>
    <definedName name="TotalRespiratoryandAllergy05" localSheetId="11">#REF!</definedName>
    <definedName name="TotalRespiratoryandAllergy05">#REF!</definedName>
    <definedName name="TotalRespiratoryandAllergy97" localSheetId="7">#REF!</definedName>
    <definedName name="TotalRespiratoryandAllergy97" localSheetId="11">#REF!</definedName>
    <definedName name="TotalRespiratoryandAllergy97">#REF!</definedName>
    <definedName name="TotalRespiratoryandAllergy98" localSheetId="7">#REF!</definedName>
    <definedName name="TotalRespiratoryandAllergy98" localSheetId="11">#REF!</definedName>
    <definedName name="TotalRespiratoryandAllergy98">#REF!</definedName>
    <definedName name="TotalRespiratoryandAllergy99" localSheetId="7">#REF!</definedName>
    <definedName name="TotalRespiratoryandAllergy99" localSheetId="11">#REF!</definedName>
    <definedName name="TotalRespiratoryandAllergy99">#REF!</definedName>
    <definedName name="totalrev93" localSheetId="7">#REF!</definedName>
    <definedName name="totalrev93" localSheetId="11">#REF!</definedName>
    <definedName name="totalrev93">#REF!</definedName>
    <definedName name="totalrev94" localSheetId="7">#REF!</definedName>
    <definedName name="totalrev94" localSheetId="11">#REF!</definedName>
    <definedName name="totalrev94">#REF!</definedName>
    <definedName name="totalrev95" localSheetId="7">#REF!</definedName>
    <definedName name="totalrev95" localSheetId="11">#REF!</definedName>
    <definedName name="totalrev95">#REF!</definedName>
    <definedName name="totalrev96" localSheetId="7">#REF!</definedName>
    <definedName name="totalrev96" localSheetId="11">#REF!</definedName>
    <definedName name="totalrev96">#REF!</definedName>
    <definedName name="totalrev97" localSheetId="7">#REF!</definedName>
    <definedName name="totalrev97" localSheetId="11">#REF!</definedName>
    <definedName name="totalrev97">#REF!</definedName>
    <definedName name="totalrev98" localSheetId="7">#REF!</definedName>
    <definedName name="totalrev98" localSheetId="11">#REF!</definedName>
    <definedName name="totalrev98">#REF!</definedName>
    <definedName name="TotalThrombosisCardiology" localSheetId="7">#REF!</definedName>
    <definedName name="TotalThrombosisCardiology" localSheetId="11">#REF!</definedName>
    <definedName name="TotalThrombosisCardiology">#REF!</definedName>
    <definedName name="TotalThrombosisCardiology00" localSheetId="7">#REF!</definedName>
    <definedName name="TotalThrombosisCardiology00" localSheetId="11">#REF!</definedName>
    <definedName name="TotalThrombosisCardiology00">#REF!</definedName>
    <definedName name="TotalThrombosisCardiology01" localSheetId="7">#REF!</definedName>
    <definedName name="TotalThrombosisCardiology01" localSheetId="11">#REF!</definedName>
    <definedName name="TotalThrombosisCardiology01">#REF!</definedName>
    <definedName name="TotalThrombosisCardiology02" localSheetId="7">#REF!</definedName>
    <definedName name="TotalThrombosisCardiology02" localSheetId="11">#REF!</definedName>
    <definedName name="TotalThrombosisCardiology02">#REF!</definedName>
    <definedName name="TotalThrombosisCardiology03" localSheetId="7">#REF!</definedName>
    <definedName name="TotalThrombosisCardiology03" localSheetId="11">#REF!</definedName>
    <definedName name="TotalThrombosisCardiology03">#REF!</definedName>
    <definedName name="TotalThrombosisCardiology04" localSheetId="7">#REF!</definedName>
    <definedName name="TotalThrombosisCardiology04" localSheetId="11">#REF!</definedName>
    <definedName name="TotalThrombosisCardiology04">#REF!</definedName>
    <definedName name="TotalThrombosisCardiology05" localSheetId="7">#REF!</definedName>
    <definedName name="TotalThrombosisCardiology05" localSheetId="11">#REF!</definedName>
    <definedName name="TotalThrombosisCardiology05">#REF!</definedName>
    <definedName name="TotalThrombosisCardiology97" localSheetId="7">#REF!</definedName>
    <definedName name="TotalThrombosisCardiology97" localSheetId="11">#REF!</definedName>
    <definedName name="TotalThrombosisCardiology97">#REF!</definedName>
    <definedName name="TotalThrombosisCardiology98" localSheetId="7">#REF!</definedName>
    <definedName name="TotalThrombosisCardiology98" localSheetId="11">#REF!</definedName>
    <definedName name="TotalThrombosisCardiology98">#REF!</definedName>
    <definedName name="TotalThrombosisCardiology99" localSheetId="7">#REF!</definedName>
    <definedName name="TotalThrombosisCardiology99" localSheetId="11">#REF!</definedName>
    <definedName name="TotalThrombosisCardiology99">#REF!</definedName>
    <definedName name="TotalTime">'[61]DDETABLE '!$H$7</definedName>
    <definedName name="TotalVaccines00" localSheetId="7">#REF!</definedName>
    <definedName name="TotalVaccines00" localSheetId="11">#REF!</definedName>
    <definedName name="TotalVaccines00">#REF!</definedName>
    <definedName name="TotalVaccines01" localSheetId="7">#REF!</definedName>
    <definedName name="TotalVaccines01" localSheetId="11">#REF!</definedName>
    <definedName name="TotalVaccines01">#REF!</definedName>
    <definedName name="TotalVaccines02" localSheetId="7">#REF!</definedName>
    <definedName name="TotalVaccines02" localSheetId="11">#REF!</definedName>
    <definedName name="TotalVaccines02">#REF!</definedName>
    <definedName name="TotalVaccines03" localSheetId="7">#REF!</definedName>
    <definedName name="TotalVaccines03" localSheetId="11">#REF!</definedName>
    <definedName name="TotalVaccines03">#REF!</definedName>
    <definedName name="TotalVaccines04" localSheetId="7">#REF!</definedName>
    <definedName name="TotalVaccines04" localSheetId="11">#REF!</definedName>
    <definedName name="TotalVaccines04">#REF!</definedName>
    <definedName name="TotalVaccines05" localSheetId="7">#REF!</definedName>
    <definedName name="TotalVaccines05" localSheetId="11">#REF!</definedName>
    <definedName name="TotalVaccines05">#REF!</definedName>
    <definedName name="TotalVaccines97" localSheetId="7">#REF!</definedName>
    <definedName name="TotalVaccines97" localSheetId="11">#REF!</definedName>
    <definedName name="TotalVaccines97">#REF!</definedName>
    <definedName name="TotalVaccines98" localSheetId="7">#REF!</definedName>
    <definedName name="TotalVaccines98" localSheetId="11">#REF!</definedName>
    <definedName name="TotalVaccines98">#REF!</definedName>
    <definedName name="TotalVaccines99" localSheetId="7">#REF!</definedName>
    <definedName name="TotalVaccines99" localSheetId="11">#REF!</definedName>
    <definedName name="TotalVaccines99">#REF!</definedName>
    <definedName name="totassets93" localSheetId="7">#REF!</definedName>
    <definedName name="totassets93" localSheetId="11">#REF!</definedName>
    <definedName name="totassets93">#REF!</definedName>
    <definedName name="totassets94" localSheetId="7">#REF!</definedName>
    <definedName name="totassets94" localSheetId="11">#REF!</definedName>
    <definedName name="totassets94">#REF!</definedName>
    <definedName name="totassets95" localSheetId="7">#REF!</definedName>
    <definedName name="totassets95" localSheetId="11">#REF!</definedName>
    <definedName name="totassets95">#REF!</definedName>
    <definedName name="totassets96" localSheetId="7">#REF!</definedName>
    <definedName name="totassets96" localSheetId="11">#REF!</definedName>
    <definedName name="totassets96">#REF!</definedName>
    <definedName name="totassets97" localSheetId="7">#REF!</definedName>
    <definedName name="totassets97" localSheetId="11">#REF!</definedName>
    <definedName name="totassets97">#REF!</definedName>
    <definedName name="totassets98" localSheetId="7">#REF!</definedName>
    <definedName name="totassets98" localSheetId="11">#REF!</definedName>
    <definedName name="totassets98">#REF!</definedName>
    <definedName name="totassetsav98" localSheetId="7">#REF!</definedName>
    <definedName name="totassetsav98" localSheetId="11">#REF!</definedName>
    <definedName name="totassetsav98">#REF!</definedName>
    <definedName name="totassetsavg93" localSheetId="7">#REF!</definedName>
    <definedName name="totassetsavg93" localSheetId="11">#REF!</definedName>
    <definedName name="totassetsavg93">#REF!</definedName>
    <definedName name="totassetsavg94" localSheetId="7">#REF!</definedName>
    <definedName name="totassetsavg94" localSheetId="11">#REF!</definedName>
    <definedName name="totassetsavg94">#REF!</definedName>
    <definedName name="totassetsavg95" localSheetId="7">#REF!</definedName>
    <definedName name="totassetsavg95" localSheetId="11">#REF!</definedName>
    <definedName name="totassetsavg95">#REF!</definedName>
    <definedName name="totassetsavg96" localSheetId="7">#REF!</definedName>
    <definedName name="totassetsavg96" localSheetId="11">#REF!</definedName>
    <definedName name="totassetsavg96">#REF!</definedName>
    <definedName name="totassetsavg97" localSheetId="7">#REF!</definedName>
    <definedName name="totassetsavg97" localSheetId="11">#REF!</definedName>
    <definedName name="totassetsavg97">#REF!</definedName>
    <definedName name="TOTAvCE87" localSheetId="7">#REF!</definedName>
    <definedName name="TOTAvCE87" localSheetId="11">#REF!</definedName>
    <definedName name="TOTAvCE87">#REF!</definedName>
    <definedName name="TOTAvCE88" localSheetId="7">#REF!</definedName>
    <definedName name="TOTAvCE88" localSheetId="11">#REF!</definedName>
    <definedName name="TOTAvCE88">#REF!</definedName>
    <definedName name="TOTAvCE89" localSheetId="7">#REF!</definedName>
    <definedName name="TOTAvCE89" localSheetId="11">#REF!</definedName>
    <definedName name="TOTAvCE89">#REF!</definedName>
    <definedName name="TOTAvCE90" localSheetId="7">#REF!</definedName>
    <definedName name="TOTAvCE90" localSheetId="11">#REF!</definedName>
    <definedName name="TOTAvCE90">#REF!</definedName>
    <definedName name="TOTAvCE91" localSheetId="7">#REF!</definedName>
    <definedName name="TOTAvCE91" localSheetId="11">#REF!</definedName>
    <definedName name="TOTAvCE91">#REF!</definedName>
    <definedName name="TOTAvCE92" localSheetId="7">#REF!</definedName>
    <definedName name="TOTAvCE92" localSheetId="11">#REF!</definedName>
    <definedName name="TOTAvCE92">#REF!</definedName>
    <definedName name="TOTAvCE93" localSheetId="7">#REF!</definedName>
    <definedName name="TOTAvCE93" localSheetId="11">#REF!</definedName>
    <definedName name="TOTAvCE93">#REF!</definedName>
    <definedName name="TOTAvCE94" localSheetId="7">#REF!</definedName>
    <definedName name="TOTAvCE94" localSheetId="11">#REF!</definedName>
    <definedName name="TOTAvCE94">#REF!</definedName>
    <definedName name="TOTAvCE95" localSheetId="7">#REF!</definedName>
    <definedName name="TOTAvCE95" localSheetId="11">#REF!</definedName>
    <definedName name="TOTAvCE95">#REF!</definedName>
    <definedName name="TOTAvCE96" localSheetId="7">#REF!</definedName>
    <definedName name="TOTAvCE96" localSheetId="11">#REF!</definedName>
    <definedName name="TOTAvCE96">#REF!</definedName>
    <definedName name="TOTAvCE97" localSheetId="7">#REF!</definedName>
    <definedName name="TOTAvCE97" localSheetId="11">#REF!</definedName>
    <definedName name="TOTAvCE97">#REF!</definedName>
    <definedName name="TOTAvCE98" localSheetId="7">#REF!</definedName>
    <definedName name="TOTAvCE98" localSheetId="11">#REF!</definedName>
    <definedName name="TOTAvCE98">#REF!</definedName>
    <definedName name="TOTAvCE99" localSheetId="7">#REF!</definedName>
    <definedName name="TOTAvCE99" localSheetId="11">#REF!</definedName>
    <definedName name="TOTAvCE99">#REF!</definedName>
    <definedName name="TOTbegcap" localSheetId="7">#REF!</definedName>
    <definedName name="TOTbegcap" localSheetId="11">#REF!</definedName>
    <definedName name="TOTbegcap">#REF!</definedName>
    <definedName name="totcapital93" localSheetId="7">#REF!</definedName>
    <definedName name="totcapital93" localSheetId="11">#REF!</definedName>
    <definedName name="totcapital93">#REF!</definedName>
    <definedName name="totcapital94" localSheetId="7">#REF!</definedName>
    <definedName name="totcapital94" localSheetId="11">#REF!</definedName>
    <definedName name="totcapital94">#REF!</definedName>
    <definedName name="totcapital96" localSheetId="7">#REF!</definedName>
    <definedName name="totcapital96" localSheetId="11">#REF!</definedName>
    <definedName name="totcapital96">#REF!</definedName>
    <definedName name="totcapital97" localSheetId="7">#REF!</definedName>
    <definedName name="totcapital97" localSheetId="11">#REF!</definedName>
    <definedName name="totcapital97">#REF!</definedName>
    <definedName name="totcapitl95" localSheetId="7">#REF!</definedName>
    <definedName name="totcapitl95" localSheetId="11">#REF!</definedName>
    <definedName name="totcapitl95">#REF!</definedName>
    <definedName name="TOTdebt95" localSheetId="7">#REF!</definedName>
    <definedName name="TOTdebt95" localSheetId="11">#REF!</definedName>
    <definedName name="TOTdebt95">#REF!</definedName>
    <definedName name="TOTdebt96" localSheetId="7">#REF!</definedName>
    <definedName name="TOTdebt96" localSheetId="11">#REF!</definedName>
    <definedName name="TOTdebt96">#REF!</definedName>
    <definedName name="TOTdebt97" localSheetId="7">#REF!</definedName>
    <definedName name="TOTdebt97" localSheetId="11">#REF!</definedName>
    <definedName name="TOTdebt97">#REF!</definedName>
    <definedName name="TOTdebt98" localSheetId="7">#REF!</definedName>
    <definedName name="TOTdebt98" localSheetId="11">#REF!</definedName>
    <definedName name="TOTdebt98">#REF!</definedName>
    <definedName name="TOTdebt99" localSheetId="7">#REF!</definedName>
    <definedName name="TOTdebt99" localSheetId="11">#REF!</definedName>
    <definedName name="TOTdebt99">#REF!</definedName>
    <definedName name="totinc00" localSheetId="11">'[18]Annual Model'!#REF!</definedName>
    <definedName name="totinc00">'[18]Annual Model'!#REF!</definedName>
    <definedName name="totinc01" localSheetId="11">'[18]Annual Model'!#REF!</definedName>
    <definedName name="totinc01">'[18]Annual Model'!#REF!</definedName>
    <definedName name="totinc02" localSheetId="11">'[18]Annual Model'!#REF!</definedName>
    <definedName name="totinc02">'[18]Annual Model'!#REF!</definedName>
    <definedName name="totinc98" localSheetId="11">'[18]Annual Model'!#REF!</definedName>
    <definedName name="totinc98">'[18]Annual Model'!#REF!</definedName>
    <definedName name="totinc99" localSheetId="11">'[18]Annual Model'!#REF!</definedName>
    <definedName name="totinc99">'[18]Annual Model'!#REF!</definedName>
    <definedName name="TOTNOPAT86" localSheetId="7">#REF!</definedName>
    <definedName name="TOTNOPAT86" localSheetId="11">#REF!</definedName>
    <definedName name="TOTNOPAT86">#REF!</definedName>
    <definedName name="TOTNOPAT87" localSheetId="7">#REF!</definedName>
    <definedName name="TOTNOPAT87" localSheetId="11">#REF!</definedName>
    <definedName name="TOTNOPAT87">#REF!</definedName>
    <definedName name="TOTNOPAT88" localSheetId="7">#REF!</definedName>
    <definedName name="TOTNOPAT88" localSheetId="11">#REF!</definedName>
    <definedName name="TOTNOPAT88">#REF!</definedName>
    <definedName name="TOTNOPAT89" localSheetId="7">#REF!</definedName>
    <definedName name="TOTNOPAT89" localSheetId="11">#REF!</definedName>
    <definedName name="TOTNOPAT89">#REF!</definedName>
    <definedName name="TOTNOPAT90" localSheetId="7">#REF!</definedName>
    <definedName name="TOTNOPAT90" localSheetId="11">#REF!</definedName>
    <definedName name="TOTNOPAT90">#REF!</definedName>
    <definedName name="TOTNOPAT91" localSheetId="7">#REF!</definedName>
    <definedName name="TOTNOPAT91" localSheetId="11">#REF!</definedName>
    <definedName name="TOTNOPAT91">#REF!</definedName>
    <definedName name="TOTNOPAT92" localSheetId="7">#REF!</definedName>
    <definedName name="TOTNOPAT92" localSheetId="11">#REF!</definedName>
    <definedName name="TOTNOPAT92">#REF!</definedName>
    <definedName name="TOTNOPAT93" localSheetId="7">#REF!</definedName>
    <definedName name="TOTNOPAT93" localSheetId="11">#REF!</definedName>
    <definedName name="TOTNOPAT93">#REF!</definedName>
    <definedName name="TOTNOPAT94" localSheetId="7">#REF!</definedName>
    <definedName name="TOTNOPAT94" localSheetId="11">#REF!</definedName>
    <definedName name="TOTNOPAT94">#REF!</definedName>
    <definedName name="TOTNOPAT95" localSheetId="7">#REF!</definedName>
    <definedName name="TOTNOPAT95" localSheetId="11">#REF!</definedName>
    <definedName name="TOTNOPAT95">#REF!</definedName>
    <definedName name="TOTNOPAT96" localSheetId="7">#REF!</definedName>
    <definedName name="TOTNOPAT96" localSheetId="11">#REF!</definedName>
    <definedName name="TOTNOPAT96">#REF!</definedName>
    <definedName name="TOTNOPAT97" localSheetId="7">#REF!</definedName>
    <definedName name="TOTNOPAT97" localSheetId="11">#REF!</definedName>
    <definedName name="TOTNOPAT97">#REF!</definedName>
    <definedName name="TOTNOPAT98" localSheetId="7">#REF!</definedName>
    <definedName name="TOTNOPAT98" localSheetId="11">#REF!</definedName>
    <definedName name="TOTNOPAT98">#REF!</definedName>
    <definedName name="TOTNOPAT99" localSheetId="7">#REF!</definedName>
    <definedName name="TOTNOPAT99" localSheetId="11">#REF!</definedName>
    <definedName name="TOTNOPAT99">#REF!</definedName>
    <definedName name="totrev00">'[18]Annual Model'!$H$19</definedName>
    <definedName name="totrev01">'[18]Annual Model'!$I$19</definedName>
    <definedName name="totrev02">'[18]Annual Model'!$J$19</definedName>
    <definedName name="totrev1q00">'[18]Quarterly Model'!$G$19</definedName>
    <definedName name="totrev2q00">'[18]Quarterly Model'!$I$19</definedName>
    <definedName name="totrev3q00">'[18]Quarterly Model'!$K$19</definedName>
    <definedName name="totrev4q00">'[18]Quarterly Model'!$M$19</definedName>
    <definedName name="totrev96" localSheetId="7">#REF!</definedName>
    <definedName name="totrev96" localSheetId="11">#REF!</definedName>
    <definedName name="totrev96">#REF!</definedName>
    <definedName name="totrev97" localSheetId="7">#REF!</definedName>
    <definedName name="totrev97" localSheetId="11">#REF!</definedName>
    <definedName name="totrev97">#REF!</definedName>
    <definedName name="totrev98">'[18]Annual Model'!$E$21</definedName>
    <definedName name="totrev98E">'[105]New model'!$L$15</definedName>
    <definedName name="totrev99">'[18]Annual Model'!$G$19</definedName>
    <definedName name="totriskass96">'[19]Annual Model'!$L$78</definedName>
    <definedName name="TOTTotCE" localSheetId="7">#REF!</definedName>
    <definedName name="TOTTotCE" localSheetId="11">#REF!</definedName>
    <definedName name="TOTTotCE">#REF!</definedName>
    <definedName name="tpa00" localSheetId="11">'[18]Annual Model'!#REF!</definedName>
    <definedName name="tpa00">'[18]Annual Model'!#REF!</definedName>
    <definedName name="TPROF" localSheetId="7">#REF!</definedName>
    <definedName name="TPROF" localSheetId="11">#REF!</definedName>
    <definedName name="TPROF">#REF!</definedName>
    <definedName name="TRAcover93">'[19]Annual Model'!$F$103</definedName>
    <definedName name="TRAcover94">'[19]Annual Model'!$G$103</definedName>
    <definedName name="TRAcover95">'[19]Annual Model'!$I$103</definedName>
    <definedName name="TRAcover96">'[19]Annual Model'!$L$103</definedName>
    <definedName name="transacc93" localSheetId="7">#REF!</definedName>
    <definedName name="transacc93" localSheetId="11">#REF!</definedName>
    <definedName name="transacc93">#REF!</definedName>
    <definedName name="transacc94" localSheetId="7">#REF!</definedName>
    <definedName name="transacc94" localSheetId="11">#REF!</definedName>
    <definedName name="transacc94">#REF!</definedName>
    <definedName name="transacc95" localSheetId="7">#REF!</definedName>
    <definedName name="transacc95" localSheetId="11">#REF!</definedName>
    <definedName name="transacc95">#REF!</definedName>
    <definedName name="transacc96" localSheetId="7">#REF!</definedName>
    <definedName name="transacc96" localSheetId="11">#REF!</definedName>
    <definedName name="transacc96">#REF!</definedName>
    <definedName name="transacc97" localSheetId="7">#REF!</definedName>
    <definedName name="transacc97" localSheetId="11">#REF!</definedName>
    <definedName name="transacc97">#REF!</definedName>
    <definedName name="Treasury_Shares" localSheetId="7">#REF!</definedName>
    <definedName name="Treasury_Shares" localSheetId="11">#REF!</definedName>
    <definedName name="Treasury_Shares">#REF!</definedName>
    <definedName name="trend" localSheetId="7">#REF!</definedName>
    <definedName name="trend" localSheetId="11">#REF!</definedName>
    <definedName name="trend">#REF!</definedName>
    <definedName name="Trental00" localSheetId="7">#REF!</definedName>
    <definedName name="Trental00" localSheetId="11">#REF!</definedName>
    <definedName name="Trental00">#REF!</definedName>
    <definedName name="Trental01" localSheetId="7">#REF!</definedName>
    <definedName name="Trental01" localSheetId="11">#REF!</definedName>
    <definedName name="Trental01">#REF!</definedName>
    <definedName name="Trental02" localSheetId="7">#REF!</definedName>
    <definedName name="Trental02" localSheetId="11">#REF!</definedName>
    <definedName name="Trental02">#REF!</definedName>
    <definedName name="Trental03" localSheetId="7">#REF!</definedName>
    <definedName name="Trental03" localSheetId="11">#REF!</definedName>
    <definedName name="Trental03">#REF!</definedName>
    <definedName name="Trental04" localSheetId="7">#REF!</definedName>
    <definedName name="Trental04" localSheetId="11">#REF!</definedName>
    <definedName name="Trental04">#REF!</definedName>
    <definedName name="Trental05" localSheetId="7">#REF!</definedName>
    <definedName name="Trental05" localSheetId="11">#REF!</definedName>
    <definedName name="Trental05">#REF!</definedName>
    <definedName name="Trental97" localSheetId="7">#REF!</definedName>
    <definedName name="Trental97" localSheetId="11">#REF!</definedName>
    <definedName name="Trental97">#REF!</definedName>
    <definedName name="Trental98" localSheetId="7">#REF!</definedName>
    <definedName name="Trental98" localSheetId="11">#REF!</definedName>
    <definedName name="Trental98">#REF!</definedName>
    <definedName name="Trental99" localSheetId="7">#REF!</definedName>
    <definedName name="Trental99" localSheetId="11">#REF!</definedName>
    <definedName name="Trental99">#REF!</definedName>
    <definedName name="Trevi_asset_liab">'[71]Trevi BS'!$B$1:$I$62</definedName>
    <definedName name="Trevi_data">[71]Trevi!$A$3:$I$10</definedName>
    <definedName name="trevi_recovery">[71]Trevi!$A$33:$I$41</definedName>
    <definedName name="Trevi_risk">'[71]Trevi BS'!$A$64:$F$72</definedName>
    <definedName name="trevi_underlying_assets">[71]Trevi!$A$14:$I$16</definedName>
    <definedName name="trevi1_RecvsFitch">'[71]Trevi Graph'!$A$4</definedName>
    <definedName name="Trevi2_RECvsFitch">'[71]Trevi Graph'!$B$4</definedName>
    <definedName name="Trevi3_RECvsFitch">'[71]Trevi Graph'!$C$4</definedName>
    <definedName name="Trimegestone00" localSheetId="7">#REF!</definedName>
    <definedName name="Trimegestone00" localSheetId="11">#REF!</definedName>
    <definedName name="Trimegestone00">#REF!</definedName>
    <definedName name="Trimegestone01" localSheetId="7">#REF!</definedName>
    <definedName name="Trimegestone01" localSheetId="11">#REF!</definedName>
    <definedName name="Trimegestone01">#REF!</definedName>
    <definedName name="Trimegestone02" localSheetId="7">#REF!</definedName>
    <definedName name="Trimegestone02" localSheetId="11">#REF!</definedName>
    <definedName name="Trimegestone02">#REF!</definedName>
    <definedName name="Trimegestone03" localSheetId="7">#REF!</definedName>
    <definedName name="Trimegestone03" localSheetId="11">#REF!</definedName>
    <definedName name="Trimegestone03">#REF!</definedName>
    <definedName name="Trimegestone04" localSheetId="7">#REF!</definedName>
    <definedName name="Trimegestone04" localSheetId="11">#REF!</definedName>
    <definedName name="Trimegestone04">#REF!</definedName>
    <definedName name="Trimegestone05" localSheetId="7">#REF!</definedName>
    <definedName name="Trimegestone05" localSheetId="11">#REF!</definedName>
    <definedName name="Trimegestone05">#REF!</definedName>
    <definedName name="Trimegestone06" localSheetId="7">#REF!</definedName>
    <definedName name="Trimegestone06" localSheetId="11">#REF!</definedName>
    <definedName name="Trimegestone06">#REF!</definedName>
    <definedName name="Trimegestone97" localSheetId="7">#REF!</definedName>
    <definedName name="Trimegestone97" localSheetId="11">#REF!</definedName>
    <definedName name="Trimegestone97">#REF!</definedName>
    <definedName name="Trimegestone98" localSheetId="7">#REF!</definedName>
    <definedName name="Trimegestone98" localSheetId="11">#REF!</definedName>
    <definedName name="Trimegestone98">#REF!</definedName>
    <definedName name="Trimegestone99" localSheetId="7">#REF!</definedName>
    <definedName name="Trimegestone99" localSheetId="11">#REF!</definedName>
    <definedName name="Trimegestone99">#REF!</definedName>
    <definedName name="TRNR_0034399c44b447a0a1647f9b5f70e0be_784_2" hidden="1">'Cost split'!$A$1</definedName>
    <definedName name="TRNR_0fe67e011d1442f8a708d16c3c122588_783_2" hidden="1">'Cost split'!$A$1</definedName>
    <definedName name="TRNR_14edee9348de4705ada6fc5e200acef2_524_2" hidden="1">'Cost split'!$N$1</definedName>
    <definedName name="TRNR_183a7e812f9e446b938aca5272864a48_784_2" hidden="1">'Cost split'!$A$1</definedName>
    <definedName name="TRNR_32899d6668714cce9be8b49f41379d6c_783_2" hidden="1">'Cost split'!$A$1</definedName>
    <definedName name="TRNR_3f420071aef545b9846565909cc5c3f2_523_2" hidden="1">'Cost split'!$N$1</definedName>
    <definedName name="TRNR_4704c53c52c54d149eef12ec54987559_785_2" hidden="1">'Cost split'!$A$1</definedName>
    <definedName name="TRNR_4736d29eb3d64f319a2057e5452d3835_523_2" hidden="1">'Cost split'!$N$1</definedName>
    <definedName name="TRNR_499b8ecdf2e34be4b7f7b2ab1d2b7193_783_2" hidden="1">'Cost split'!$A$1</definedName>
    <definedName name="TRNR_5b4a854ee1a545c1a6c170345d723014_525_2" hidden="1">'Cost split'!$N$1</definedName>
    <definedName name="TRNR_678df1c3640647d5bdcae86fd73d5fd3_523_2" hidden="1">'Cost split'!$N$1</definedName>
    <definedName name="TRNR_6dc5c85bdc2743c48f18ae3c5e4fc602_523_2" hidden="1">'Cost split'!$N$1</definedName>
    <definedName name="TRNR_814becc85a684a5892ddaa43853bedce_523_2" hidden="1">'Cost split'!$N$1</definedName>
    <definedName name="TRNR_9ef12e5de9f7453bb1cd98cb3e2fb3e3_523_2" hidden="1">'Cost split'!$N$1</definedName>
    <definedName name="TRNR_a1f916d04a9443f8a76a70f5f01cd5a6_786_2" hidden="1">'Cost split'!$A$1</definedName>
    <definedName name="TRNR_b4773e7bb7cc4d82874bf5d2158a2e81_783_2" hidden="1">'Cost split'!$A$1</definedName>
    <definedName name="TRNR_b51600c01da947e9bb6a7b755c65f966_783_2" hidden="1">'Cost split'!$A$1</definedName>
    <definedName name="TRNR_d7c9bb0e63224c07bb764ac4eb5ef571_525_2" hidden="1">'Cost split'!$N$1</definedName>
    <definedName name="TRNR_d98df85ee5584179a2d1e6d538fd1e8c_524_2" hidden="1">'Cost split'!$N$1</definedName>
    <definedName name="TRNR_ee536c6b09d5496cbd7348cfebacab73_786_2" hidden="1">'Cost split'!$A$1</definedName>
    <definedName name="troe97" localSheetId="7">#REF!</definedName>
    <definedName name="troe97" localSheetId="11">#REF!</definedName>
    <definedName name="troe97">#REF!</definedName>
    <definedName name="troe98" localSheetId="7">#REF!</definedName>
    <definedName name="troe98" localSheetId="11">#REF!</definedName>
    <definedName name="troe98">#REF!</definedName>
    <definedName name="tt" localSheetId="6" hidden="1">{#N/A,#N/A,FALSE,"Sheet1";#N/A,#N/A,FALSE,"Sheet2";#N/A,#N/A,FALSE,"Sheet3";#N/A,#N/A,FALSE,"Sheet4";#N/A,#N/A,FALSE,"Sheet5";#N/A,#N/A,FALSE,"Sheet6"}</definedName>
    <definedName name="tt" localSheetId="7" hidden="1">{#N/A,#N/A,FALSE,"Sheet1";#N/A,#N/A,FALSE,"Sheet2";#N/A,#N/A,FALSE,"Sheet3";#N/A,#N/A,FALSE,"Sheet4";#N/A,#N/A,FALSE,"Sheet5";#N/A,#N/A,FALSE,"Sheet6"}</definedName>
    <definedName name="tt" localSheetId="4" hidden="1">{#N/A,#N/A,FALSE,"Sheet1";#N/A,#N/A,FALSE,"Sheet2";#N/A,#N/A,FALSE,"Sheet3";#N/A,#N/A,FALSE,"Sheet4";#N/A,#N/A,FALSE,"Sheet5";#N/A,#N/A,FALSE,"Sheet6"}</definedName>
    <definedName name="tt" localSheetId="3" hidden="1">{#N/A,#N/A,FALSE,"Sheet1";#N/A,#N/A,FALSE,"Sheet2";#N/A,#N/A,FALSE,"Sheet3";#N/A,#N/A,FALSE,"Sheet4";#N/A,#N/A,FALSE,"Sheet5";#N/A,#N/A,FALSE,"Sheet6"}</definedName>
    <definedName name="tt" localSheetId="11" hidden="1">{#N/A,#N/A,FALSE,"Sheet1";#N/A,#N/A,FALSE,"Sheet2";#N/A,#N/A,FALSE,"Sheet3";#N/A,#N/A,FALSE,"Sheet4";#N/A,#N/A,FALSE,"Sheet5";#N/A,#N/A,FALSE,"Sheet6"}</definedName>
    <definedName name="tt" hidden="1">{#N/A,#N/A,FALSE,"Sheet1";#N/A,#N/A,FALSE,"Sheet2";#N/A,#N/A,FALSE,"Sheet3";#N/A,#N/A,FALSE,"Sheet4";#N/A,#N/A,FALSE,"Sheet5";#N/A,#N/A,FALSE,"Sheet6"}</definedName>
    <definedName name="ttt" localSheetId="6" hidden="1">{#N/A,#N/A,FALSE,"Sheet1";#N/A,#N/A,FALSE,"Sheet2";#N/A,#N/A,FALSE,"Sheet3";#N/A,#N/A,FALSE,"Sheet4";#N/A,#N/A,FALSE,"Sheet5";#N/A,#N/A,FALSE,"Sheet6"}</definedName>
    <definedName name="ttt" localSheetId="7" hidden="1">{#N/A,#N/A,FALSE,"Sheet1";#N/A,#N/A,FALSE,"Sheet2";#N/A,#N/A,FALSE,"Sheet3";#N/A,#N/A,FALSE,"Sheet4";#N/A,#N/A,FALSE,"Sheet5";#N/A,#N/A,FALSE,"Sheet6"}</definedName>
    <definedName name="ttt" localSheetId="4" hidden="1">{#N/A,#N/A,FALSE,"Sheet1";#N/A,#N/A,FALSE,"Sheet2";#N/A,#N/A,FALSE,"Sheet3";#N/A,#N/A,FALSE,"Sheet4";#N/A,#N/A,FALSE,"Sheet5";#N/A,#N/A,FALSE,"Sheet6"}</definedName>
    <definedName name="ttt" localSheetId="3" hidden="1">{#N/A,#N/A,FALSE,"Sheet1";#N/A,#N/A,FALSE,"Sheet2";#N/A,#N/A,FALSE,"Sheet3";#N/A,#N/A,FALSE,"Sheet4";#N/A,#N/A,FALSE,"Sheet5";#N/A,#N/A,FALSE,"Sheet6"}</definedName>
    <definedName name="ttt" localSheetId="11" hidden="1">{#N/A,#N/A,FALSE,"Sheet1";#N/A,#N/A,FALSE,"Sheet2";#N/A,#N/A,FALSE,"Sheet3";#N/A,#N/A,FALSE,"Sheet4";#N/A,#N/A,FALSE,"Sheet5";#N/A,#N/A,FALSE,"Sheet6"}</definedName>
    <definedName name="ttt" hidden="1">{#N/A,#N/A,FALSE,"Sheet1";#N/A,#N/A,FALSE,"Sheet2";#N/A,#N/A,FALSE,"Sheet3";#N/A,#N/A,FALSE,"Sheet4";#N/A,#N/A,FALSE,"Sheet5";#N/A,#N/A,FALSE,"Sheet6"}</definedName>
    <definedName name="tttt" localSheetId="6" hidden="1">{#N/A,#N/A,FALSE,"Sheet8";#N/A,#N/A,FALSE,"Sheet7"}</definedName>
    <definedName name="tttt" localSheetId="7" hidden="1">{#N/A,#N/A,FALSE,"Sheet8";#N/A,#N/A,FALSE,"Sheet7"}</definedName>
    <definedName name="tttt" localSheetId="4" hidden="1">{#N/A,#N/A,FALSE,"Sheet8";#N/A,#N/A,FALSE,"Sheet7"}</definedName>
    <definedName name="tttt" localSheetId="3" hidden="1">{#N/A,#N/A,FALSE,"Sheet8";#N/A,#N/A,FALSE,"Sheet7"}</definedName>
    <definedName name="tttt" localSheetId="11" hidden="1">{#N/A,#N/A,FALSE,"Sheet8";#N/A,#N/A,FALSE,"Sheet7"}</definedName>
    <definedName name="tttt" hidden="1">{#N/A,#N/A,FALSE,"Sheet8";#N/A,#N/A,FALSE,"Sheet7"}</definedName>
    <definedName name="ttttt" localSheetId="6" hidden="1">{#N/A,#N/A,FALSE,"Sheet1";#N/A,#N/A,FALSE,"Sheet2";#N/A,#N/A,FALSE,"Sheet3";#N/A,#N/A,FALSE,"Sheet4";#N/A,#N/A,FALSE,"Sheet5";#N/A,#N/A,FALSE,"Sheet6"}</definedName>
    <definedName name="ttttt" localSheetId="7" hidden="1">{#N/A,#N/A,FALSE,"Sheet1";#N/A,#N/A,FALSE,"Sheet2";#N/A,#N/A,FALSE,"Sheet3";#N/A,#N/A,FALSE,"Sheet4";#N/A,#N/A,FALSE,"Sheet5";#N/A,#N/A,FALSE,"Sheet6"}</definedName>
    <definedName name="ttttt" localSheetId="4" hidden="1">{#N/A,#N/A,FALSE,"Sheet1";#N/A,#N/A,FALSE,"Sheet2";#N/A,#N/A,FALSE,"Sheet3";#N/A,#N/A,FALSE,"Sheet4";#N/A,#N/A,FALSE,"Sheet5";#N/A,#N/A,FALSE,"Sheet6"}</definedName>
    <definedName name="ttttt" localSheetId="3" hidden="1">{#N/A,#N/A,FALSE,"Sheet1";#N/A,#N/A,FALSE,"Sheet2";#N/A,#N/A,FALSE,"Sheet3";#N/A,#N/A,FALSE,"Sheet4";#N/A,#N/A,FALSE,"Sheet5";#N/A,#N/A,FALSE,"Sheet6"}</definedName>
    <definedName name="ttttt" localSheetId="11" hidden="1">{#N/A,#N/A,FALSE,"Sheet1";#N/A,#N/A,FALSE,"Sheet2";#N/A,#N/A,FALSE,"Sheet3";#N/A,#N/A,FALSE,"Sheet4";#N/A,#N/A,FALSE,"Sheet5";#N/A,#N/A,FALSE,"Sheet6"}</definedName>
    <definedName name="ttttt" hidden="1">{#N/A,#N/A,FALSE,"Sheet1";#N/A,#N/A,FALSE,"Sheet2";#N/A,#N/A,FALSE,"Sheet3";#N/A,#N/A,FALSE,"Sheet4";#N/A,#N/A,FALSE,"Sheet5";#N/A,#N/A,FALSE,"Sheet6"}</definedName>
    <definedName name="ttttttt" localSheetId="11">[22]independent!#REF!</definedName>
    <definedName name="ttttttt">[22]independent!#REF!</definedName>
    <definedName name="ty">'[132]99 Act Sales'!$A$1:$N$65536</definedName>
    <definedName name="UBSIII" localSheetId="7" hidden="1">{#N/A,#N/A,FALSE,"Annual Model";#N/A,#N/A,FALSE,"Quarterly Model";#N/A,#N/A,FALSE,"Header";#N/A,#N/A,FALSE,"Notes"}</definedName>
    <definedName name="UBSIII" localSheetId="4" hidden="1">{#N/A,#N/A,FALSE,"Annual Model";#N/A,#N/A,FALSE,"Quarterly Model";#N/A,#N/A,FALSE,"Header";#N/A,#N/A,FALSE,"Notes"}</definedName>
    <definedName name="UBSIII" hidden="1">{#N/A,#N/A,FALSE,"Annual Model";#N/A,#N/A,FALSE,"Quarterly Model";#N/A,#N/A,FALSE,"Header";#N/A,#N/A,FALSE,"Notes"}</definedName>
    <definedName name="UBSIII_1" localSheetId="7" hidden="1">{#N/A,#N/A,FALSE,"Annual Model";#N/A,#N/A,FALSE,"Quarterly Model";#N/A,#N/A,FALSE,"Header";#N/A,#N/A,FALSE,"Notes"}</definedName>
    <definedName name="UBSIII_1" localSheetId="4" hidden="1">{#N/A,#N/A,FALSE,"Annual Model";#N/A,#N/A,FALSE,"Quarterly Model";#N/A,#N/A,FALSE,"Header";#N/A,#N/A,FALSE,"Notes"}</definedName>
    <definedName name="UBSIII_1" hidden="1">{#N/A,#N/A,FALSE,"Annual Model";#N/A,#N/A,FALSE,"Quarterly Model";#N/A,#N/A,FALSE,"Header";#N/A,#N/A,FALSE,"Notes"}</definedName>
    <definedName name="UC_NI_Breakdown" localSheetId="11">#REF!</definedName>
    <definedName name="UC_NI_Breakdown">#REF!</definedName>
    <definedName name="UC_PL_BS" localSheetId="7">#REF!</definedName>
    <definedName name="UC_PL_BS" localSheetId="11">#REF!</definedName>
    <definedName name="UC_PL_BS">#REF!</definedName>
    <definedName name="UK" localSheetId="7">#REF!</definedName>
    <definedName name="UK" localSheetId="11">#REF!</definedName>
    <definedName name="UK">#REF!</definedName>
    <definedName name="UK_w" localSheetId="7">#REF!</definedName>
    <definedName name="UK_w" localSheetId="11">#REF!</definedName>
    <definedName name="UK_w">#REF!</definedName>
    <definedName name="UKFX" localSheetId="11">#REF!</definedName>
    <definedName name="UKFX">#REF!</definedName>
    <definedName name="UKUS">[41]Datastream!$B$20</definedName>
    <definedName name="UL">"               "</definedName>
    <definedName name="Ulcogant00" localSheetId="11">[17]Products!#REF!</definedName>
    <definedName name="Ulcogant00">[17]Products!#REF!</definedName>
    <definedName name="Ulcogant01" localSheetId="11">[17]Products!#REF!</definedName>
    <definedName name="Ulcogant01">[17]Products!#REF!</definedName>
    <definedName name="Ulcogant02" localSheetId="11">[17]Products!#REF!</definedName>
    <definedName name="Ulcogant02">[17]Products!#REF!</definedName>
    <definedName name="Ulcogant03" localSheetId="11">[17]Products!#REF!</definedName>
    <definedName name="Ulcogant03">[17]Products!#REF!</definedName>
    <definedName name="Ulcogant04" localSheetId="11">[17]Products!#REF!</definedName>
    <definedName name="Ulcogant04">[17]Products!#REF!</definedName>
    <definedName name="Ulcogant05" localSheetId="11">[17]Products!#REF!</definedName>
    <definedName name="Ulcogant05">[17]Products!#REF!</definedName>
    <definedName name="Ulcogant97" localSheetId="11">[17]Products!#REF!</definedName>
    <definedName name="Ulcogant97">[17]Products!#REF!</definedName>
    <definedName name="Ulcogant98" localSheetId="11">[17]Products!#REF!</definedName>
    <definedName name="Ulcogant98">[17]Products!#REF!</definedName>
    <definedName name="Ulcogant99" localSheetId="11">[17]Products!#REF!</definedName>
    <definedName name="Ulcogant99">[17]Products!#REF!</definedName>
    <definedName name="Unconsolidated_subsids" localSheetId="7">#REF!</definedName>
    <definedName name="Unconsolidated_subsids" localSheetId="11">#REF!</definedName>
    <definedName name="Unconsolidated_subsids">#REF!</definedName>
    <definedName name="Unconsolidated_subsids_and_other_investments" localSheetId="7">#REF!</definedName>
    <definedName name="Unconsolidated_subsids_and_other_investments" localSheetId="11">#REF!</definedName>
    <definedName name="Unconsolidated_subsids_and_other_investments">#REF!</definedName>
    <definedName name="underline">"              "</definedName>
    <definedName name="underlying_EPS">'[33]underlying EPS'!$C$31:$V$40</definedName>
    <definedName name="UniqueRange_0" localSheetId="11">'[56]EVA1'!#REF!</definedName>
    <definedName name="UniqueRange_0">'[56]EVA1'!#REF!</definedName>
    <definedName name="UniqueRange_1" localSheetId="6">#REF!</definedName>
    <definedName name="UniqueRange_1" localSheetId="7">'[56]EVA1'!#REF!</definedName>
    <definedName name="UniqueRange_1" localSheetId="11">#REF!</definedName>
    <definedName name="UniqueRange_1">#REF!</definedName>
    <definedName name="UniqueRange_10" localSheetId="6">#REF!</definedName>
    <definedName name="UniqueRange_10" localSheetId="7">[91]FAME!#REF!</definedName>
    <definedName name="UniqueRange_10" localSheetId="11">#REF!</definedName>
    <definedName name="UniqueRange_10">#REF!</definedName>
    <definedName name="UniqueRange_105" localSheetId="11">[90]date!#REF!</definedName>
    <definedName name="UniqueRange_105">[90]date!#REF!</definedName>
    <definedName name="UniqueRange_108" localSheetId="11">[90]date!#REF!</definedName>
    <definedName name="UniqueRange_108">[90]date!#REF!</definedName>
    <definedName name="UniqueRange_109" localSheetId="11">[90]date!#REF!</definedName>
    <definedName name="UniqueRange_109">[90]date!#REF!</definedName>
    <definedName name="UniqueRange_11" localSheetId="6">#REF!</definedName>
    <definedName name="UniqueRange_11" localSheetId="7">[91]FAME!#REF!</definedName>
    <definedName name="UniqueRange_11" localSheetId="11">#REF!</definedName>
    <definedName name="UniqueRange_11">#REF!</definedName>
    <definedName name="UniqueRange_114" localSheetId="11">[90]date!#REF!</definedName>
    <definedName name="UniqueRange_114">[90]date!#REF!</definedName>
    <definedName name="UniqueRange_119" localSheetId="11">[90]date!#REF!</definedName>
    <definedName name="UniqueRange_119">[90]date!#REF!</definedName>
    <definedName name="UniqueRange_12" localSheetId="6">#REF!</definedName>
    <definedName name="UniqueRange_12" localSheetId="7">[91]FAME!#REF!</definedName>
    <definedName name="UniqueRange_12" localSheetId="11">#REF!</definedName>
    <definedName name="UniqueRange_12">#REF!</definedName>
    <definedName name="UniqueRange_121" localSheetId="11">[90]date!#REF!</definedName>
    <definedName name="UniqueRange_121">[90]date!#REF!</definedName>
    <definedName name="UniqueRange_123" localSheetId="11">[90]date!#REF!</definedName>
    <definedName name="UniqueRange_123">[90]date!#REF!</definedName>
    <definedName name="UniqueRange_124" localSheetId="11">[90]date!#REF!</definedName>
    <definedName name="UniqueRange_124">[90]date!#REF!</definedName>
    <definedName name="UniqueRange_128" localSheetId="11">[90]date!#REF!</definedName>
    <definedName name="UniqueRange_128">[90]date!#REF!</definedName>
    <definedName name="UniqueRange_129" localSheetId="11">[90]date!#REF!</definedName>
    <definedName name="UniqueRange_129">[90]date!#REF!</definedName>
    <definedName name="UniqueRange_13" localSheetId="6">#REF!</definedName>
    <definedName name="UniqueRange_13" localSheetId="7">[91]FAME!#REF!</definedName>
    <definedName name="UniqueRange_13" localSheetId="11">#REF!</definedName>
    <definedName name="UniqueRange_13">#REF!</definedName>
    <definedName name="UniqueRange_135" localSheetId="11">[91]FAME!#REF!</definedName>
    <definedName name="UniqueRange_135">[91]FAME!#REF!</definedName>
    <definedName name="UniqueRange_137" localSheetId="11">[90]date!#REF!</definedName>
    <definedName name="UniqueRange_137">[90]date!#REF!</definedName>
    <definedName name="UniqueRange_138" localSheetId="11">[91]FAME!#REF!</definedName>
    <definedName name="UniqueRange_138">[91]FAME!#REF!</definedName>
    <definedName name="UniqueRange_14" localSheetId="6">#REF!</definedName>
    <definedName name="UniqueRange_14" localSheetId="7">[91]FAME!#REF!</definedName>
    <definedName name="UniqueRange_14" localSheetId="11">#REF!</definedName>
    <definedName name="UniqueRange_14">#REF!</definedName>
    <definedName name="UniqueRange_143" localSheetId="11">[91]FAME!#REF!</definedName>
    <definedName name="UniqueRange_143">[91]FAME!#REF!</definedName>
    <definedName name="UniqueRange_144" localSheetId="11">[91]FAME!#REF!</definedName>
    <definedName name="UniqueRange_144">[91]FAME!#REF!</definedName>
    <definedName name="UniqueRange_145" localSheetId="11">[91]FAME!#REF!</definedName>
    <definedName name="UniqueRange_145">[91]FAME!#REF!</definedName>
    <definedName name="UniqueRange_146" localSheetId="11">[91]FAME!#REF!</definedName>
    <definedName name="UniqueRange_146">[91]FAME!#REF!</definedName>
    <definedName name="UniqueRange_147" localSheetId="11">[91]FAME!#REF!</definedName>
    <definedName name="UniqueRange_147">[91]FAME!#REF!</definedName>
    <definedName name="UniqueRange_148" localSheetId="11">[91]FAME!#REF!</definedName>
    <definedName name="UniqueRange_148">[91]FAME!#REF!</definedName>
    <definedName name="UniqueRange_149" localSheetId="11">[91]FAME!#REF!</definedName>
    <definedName name="UniqueRange_149">[91]FAME!#REF!</definedName>
    <definedName name="UniqueRange_15" localSheetId="6">#REF!</definedName>
    <definedName name="UniqueRange_15" localSheetId="7">#REF!</definedName>
    <definedName name="UniqueRange_15" localSheetId="11">#REF!</definedName>
    <definedName name="UniqueRange_15">#REF!</definedName>
    <definedName name="UniqueRange_150" localSheetId="11">[91]FAME!#REF!</definedName>
    <definedName name="UniqueRange_150">[91]FAME!#REF!</definedName>
    <definedName name="UniqueRange_151" localSheetId="11">[91]FAME!#REF!</definedName>
    <definedName name="UniqueRange_151">[91]FAME!#REF!</definedName>
    <definedName name="UniqueRange_152" localSheetId="11">[91]FAME!#REF!</definedName>
    <definedName name="UniqueRange_152">[91]FAME!#REF!</definedName>
    <definedName name="UniqueRange_153" localSheetId="11">[91]FAME!#REF!</definedName>
    <definedName name="UniqueRange_153">[91]FAME!#REF!</definedName>
    <definedName name="UniqueRange_154" localSheetId="11">[91]FAME!#REF!</definedName>
    <definedName name="UniqueRange_154">[91]FAME!#REF!</definedName>
    <definedName name="UniqueRange_155" localSheetId="11">[91]FAME!#REF!</definedName>
    <definedName name="UniqueRange_155">[91]FAME!#REF!</definedName>
    <definedName name="UniqueRange_156" localSheetId="11">[91]FAME!#REF!</definedName>
    <definedName name="UniqueRange_156">[91]FAME!#REF!</definedName>
    <definedName name="UniqueRange_157" localSheetId="11">[91]FAME!#REF!</definedName>
    <definedName name="UniqueRange_157">[91]FAME!#REF!</definedName>
    <definedName name="UniqueRange_158" localSheetId="11">[91]FAME!#REF!</definedName>
    <definedName name="UniqueRange_158">[91]FAME!#REF!</definedName>
    <definedName name="UniqueRange_159" localSheetId="11">[91]FAME!#REF!</definedName>
    <definedName name="UniqueRange_159">[91]FAME!#REF!</definedName>
    <definedName name="UniqueRange_16" localSheetId="6">#REF!</definedName>
    <definedName name="UniqueRange_16" localSheetId="7">[90]date!#REF!</definedName>
    <definedName name="UniqueRange_16" localSheetId="11">#REF!</definedName>
    <definedName name="UniqueRange_16">#REF!</definedName>
    <definedName name="UniqueRange_160" localSheetId="11">[91]FAME!#REF!</definedName>
    <definedName name="UniqueRange_160">[91]FAME!#REF!</definedName>
    <definedName name="UniqueRange_161" localSheetId="11">[91]FAME!#REF!</definedName>
    <definedName name="UniqueRange_161">[91]FAME!#REF!</definedName>
    <definedName name="UniqueRange_162" localSheetId="11">[91]FAME!#REF!</definedName>
    <definedName name="UniqueRange_162">[91]FAME!#REF!</definedName>
    <definedName name="UniqueRange_163" localSheetId="11">[91]FAME!#REF!</definedName>
    <definedName name="UniqueRange_163">[91]FAME!#REF!</definedName>
    <definedName name="UniqueRange_164" localSheetId="11">[91]FAME!#REF!</definedName>
    <definedName name="UniqueRange_164">[91]FAME!#REF!</definedName>
    <definedName name="UniqueRange_165" localSheetId="11">[91]FAME!#REF!</definedName>
    <definedName name="UniqueRange_165">[91]FAME!#REF!</definedName>
    <definedName name="UniqueRange_166" localSheetId="11">[91]FAME!#REF!</definedName>
    <definedName name="UniqueRange_166">[91]FAME!#REF!</definedName>
    <definedName name="UniqueRange_167" localSheetId="11">[91]FAME!#REF!</definedName>
    <definedName name="UniqueRange_167">[91]FAME!#REF!</definedName>
    <definedName name="UniqueRange_168" localSheetId="11">[91]FAME!#REF!</definedName>
    <definedName name="UniqueRange_168">[91]FAME!#REF!</definedName>
    <definedName name="UniqueRange_169" localSheetId="11">[91]FAME!#REF!</definedName>
    <definedName name="UniqueRange_169">[91]FAME!#REF!</definedName>
    <definedName name="UniqueRange_17" localSheetId="6">#REF!</definedName>
    <definedName name="UniqueRange_17" localSheetId="7">#REF!</definedName>
    <definedName name="UniqueRange_17" localSheetId="11">#REF!</definedName>
    <definedName name="UniqueRange_17">#REF!</definedName>
    <definedName name="UniqueRange_170" localSheetId="11">[91]FAME!#REF!</definedName>
    <definedName name="UniqueRange_170">[91]FAME!#REF!</definedName>
    <definedName name="UniqueRange_171" localSheetId="11">[91]FAME!#REF!</definedName>
    <definedName name="UniqueRange_171">[91]FAME!#REF!</definedName>
    <definedName name="UniqueRange_172" localSheetId="11">[91]FAME!#REF!</definedName>
    <definedName name="UniqueRange_172">[91]FAME!#REF!</definedName>
    <definedName name="UniqueRange_176" localSheetId="11">[91]FAME!#REF!</definedName>
    <definedName name="UniqueRange_176">[91]FAME!#REF!</definedName>
    <definedName name="UniqueRange_177" localSheetId="11">[91]FAME!#REF!</definedName>
    <definedName name="UniqueRange_177">[91]FAME!#REF!</definedName>
    <definedName name="UniqueRange_178" localSheetId="11">[91]FAME!#REF!</definedName>
    <definedName name="UniqueRange_178">[91]FAME!#REF!</definedName>
    <definedName name="UniqueRange_179" localSheetId="11">[91]FAME!#REF!</definedName>
    <definedName name="UniqueRange_179">[91]FAME!#REF!</definedName>
    <definedName name="UniqueRange_18" localSheetId="6">#REF!</definedName>
    <definedName name="UniqueRange_18" localSheetId="7">[90]date!#REF!</definedName>
    <definedName name="UniqueRange_18" localSheetId="11">#REF!</definedName>
    <definedName name="UniqueRange_18">#REF!</definedName>
    <definedName name="UniqueRange_19" localSheetId="6">#REF!</definedName>
    <definedName name="UniqueRange_19" localSheetId="7">[90]date!#REF!</definedName>
    <definedName name="UniqueRange_19" localSheetId="11">#REF!</definedName>
    <definedName name="UniqueRange_19">#REF!</definedName>
    <definedName name="UniqueRange_2" localSheetId="6">#REF!</definedName>
    <definedName name="UniqueRange_2" localSheetId="7">#REF!</definedName>
    <definedName name="UniqueRange_2" localSheetId="11">#REF!</definedName>
    <definedName name="UniqueRange_2">#REF!</definedName>
    <definedName name="UniqueRange_20" localSheetId="6">#REF!</definedName>
    <definedName name="UniqueRange_20" localSheetId="7">#REF!</definedName>
    <definedName name="UniqueRange_20" localSheetId="11">#REF!</definedName>
    <definedName name="UniqueRange_20">#REF!</definedName>
    <definedName name="UniqueRange_21" localSheetId="6">#REF!</definedName>
    <definedName name="UniqueRange_21" localSheetId="7">#REF!</definedName>
    <definedName name="UniqueRange_21" localSheetId="11">#REF!</definedName>
    <definedName name="UniqueRange_21">#REF!</definedName>
    <definedName name="UniqueRange_22" localSheetId="6">#REF!</definedName>
    <definedName name="UniqueRange_22" localSheetId="7">#REF!</definedName>
    <definedName name="UniqueRange_22" localSheetId="11">#REF!</definedName>
    <definedName name="UniqueRange_22">#REF!</definedName>
    <definedName name="UniqueRange_220" localSheetId="11">[133]APDSUM!#REF!</definedName>
    <definedName name="UniqueRange_220">[133]APDSUM!#REF!</definedName>
    <definedName name="UniqueRange_221" localSheetId="11">[133]APDSUM!#REF!</definedName>
    <definedName name="UniqueRange_221">[133]APDSUM!#REF!</definedName>
    <definedName name="UniqueRange_23" localSheetId="6">#REF!</definedName>
    <definedName name="UniqueRange_23" localSheetId="7">[90]date!#REF!</definedName>
    <definedName name="UniqueRange_23" localSheetId="11">#REF!</definedName>
    <definedName name="UniqueRange_23">#REF!</definedName>
    <definedName name="UniqueRange_24" localSheetId="6">#REF!</definedName>
    <definedName name="UniqueRange_24" localSheetId="7">[90]date!#REF!</definedName>
    <definedName name="UniqueRange_24" localSheetId="11">#REF!</definedName>
    <definedName name="UniqueRange_24">#REF!</definedName>
    <definedName name="UniqueRange_25" localSheetId="6">#REF!</definedName>
    <definedName name="UniqueRange_25" localSheetId="7">#REF!</definedName>
    <definedName name="UniqueRange_25" localSheetId="11">#REF!</definedName>
    <definedName name="UniqueRange_25">#REF!</definedName>
    <definedName name="UniqueRange_26" localSheetId="6">#REF!</definedName>
    <definedName name="UniqueRange_26" localSheetId="7">#REF!</definedName>
    <definedName name="UniqueRange_26" localSheetId="11">#REF!</definedName>
    <definedName name="UniqueRange_26">#REF!</definedName>
    <definedName name="UniqueRange_27" localSheetId="6">#REF!</definedName>
    <definedName name="UniqueRange_27" localSheetId="7">[91]FAME!#REF!</definedName>
    <definedName name="UniqueRange_27" localSheetId="11">#REF!</definedName>
    <definedName name="UniqueRange_27">#REF!</definedName>
    <definedName name="UniqueRange_28" localSheetId="6">#REF!</definedName>
    <definedName name="UniqueRange_28" localSheetId="7">#REF!</definedName>
    <definedName name="UniqueRange_28" localSheetId="11">#REF!</definedName>
    <definedName name="UniqueRange_28">#REF!</definedName>
    <definedName name="UniqueRange_29" localSheetId="6">#REF!</definedName>
    <definedName name="UniqueRange_29" localSheetId="7">#REF!</definedName>
    <definedName name="UniqueRange_29" localSheetId="11">#REF!</definedName>
    <definedName name="UniqueRange_29">#REF!</definedName>
    <definedName name="UniqueRange_3" localSheetId="6">#REF!</definedName>
    <definedName name="UniqueRange_3" localSheetId="7">[91]FAME!#REF!</definedName>
    <definedName name="UniqueRange_3" localSheetId="11">#REF!</definedName>
    <definedName name="UniqueRange_3">#REF!</definedName>
    <definedName name="UniqueRange_30" localSheetId="6">#REF!</definedName>
    <definedName name="UniqueRange_30" localSheetId="7">#REF!</definedName>
    <definedName name="UniqueRange_30" localSheetId="11">#REF!</definedName>
    <definedName name="UniqueRange_30">#REF!</definedName>
    <definedName name="UniqueRange_31" localSheetId="6">#REF!</definedName>
    <definedName name="UniqueRange_31" localSheetId="7">#REF!</definedName>
    <definedName name="UniqueRange_31" localSheetId="11">#REF!</definedName>
    <definedName name="UniqueRange_31">#REF!</definedName>
    <definedName name="UniqueRange_32" localSheetId="6">#REF!</definedName>
    <definedName name="UniqueRange_32" localSheetId="7">#REF!</definedName>
    <definedName name="UniqueRange_32" localSheetId="11">#REF!</definedName>
    <definedName name="UniqueRange_32">#REF!</definedName>
    <definedName name="UniqueRange_33" localSheetId="6">#REF!</definedName>
    <definedName name="UniqueRange_33" localSheetId="7">#REF!</definedName>
    <definedName name="UniqueRange_33" localSheetId="11">#REF!</definedName>
    <definedName name="UniqueRange_33">#REF!</definedName>
    <definedName name="UniqueRange_34" localSheetId="6">#REF!</definedName>
    <definedName name="UniqueRange_34" localSheetId="7">#REF!</definedName>
    <definedName name="UniqueRange_34" localSheetId="11">#REF!</definedName>
    <definedName name="UniqueRange_34">#REF!</definedName>
    <definedName name="UniqueRange_35" localSheetId="6">#REF!</definedName>
    <definedName name="UniqueRange_35" localSheetId="7">#REF!</definedName>
    <definedName name="UniqueRange_35" localSheetId="11">#REF!</definedName>
    <definedName name="UniqueRange_35">#REF!</definedName>
    <definedName name="UniqueRange_36" localSheetId="6">#REF!</definedName>
    <definedName name="UniqueRange_36" localSheetId="7">#REF!</definedName>
    <definedName name="UniqueRange_36" localSheetId="11">#REF!</definedName>
    <definedName name="UniqueRange_36">#REF!</definedName>
    <definedName name="UniqueRange_37" localSheetId="6">#REF!</definedName>
    <definedName name="UniqueRange_37" localSheetId="7">#REF!</definedName>
    <definedName name="UniqueRange_37" localSheetId="11">#REF!</definedName>
    <definedName name="UniqueRange_37">#REF!</definedName>
    <definedName name="UniqueRange_38" localSheetId="6">#REF!</definedName>
    <definedName name="UniqueRange_38" localSheetId="7">#REF!</definedName>
    <definedName name="UniqueRange_38" localSheetId="11">#REF!</definedName>
    <definedName name="UniqueRange_38">#REF!</definedName>
    <definedName name="UniqueRange_39" localSheetId="6">#REF!</definedName>
    <definedName name="UniqueRange_39" localSheetId="7">#REF!</definedName>
    <definedName name="UniqueRange_39" localSheetId="11">#REF!</definedName>
    <definedName name="UniqueRange_39">#REF!</definedName>
    <definedName name="UniqueRange_4" localSheetId="7">#REF!</definedName>
    <definedName name="UniqueRange_4" localSheetId="11">#REF!</definedName>
    <definedName name="UniqueRange_4">#REF!</definedName>
    <definedName name="UniqueRange_40" localSheetId="6">#REF!</definedName>
    <definedName name="UniqueRange_40" localSheetId="7">#REF!</definedName>
    <definedName name="UniqueRange_40" localSheetId="11">#REF!</definedName>
    <definedName name="UniqueRange_40">#REF!</definedName>
    <definedName name="UniqueRange_41" localSheetId="6">#REF!</definedName>
    <definedName name="UniqueRange_41" localSheetId="7">#REF!</definedName>
    <definedName name="UniqueRange_41" localSheetId="11">#REF!</definedName>
    <definedName name="UniqueRange_41">#REF!</definedName>
    <definedName name="UniqueRange_42" localSheetId="6">#REF!</definedName>
    <definedName name="UniqueRange_42" localSheetId="7">#REF!</definedName>
    <definedName name="UniqueRange_42" localSheetId="11">#REF!</definedName>
    <definedName name="UniqueRange_42">#REF!</definedName>
    <definedName name="UniqueRange_43" localSheetId="6">#REF!</definedName>
    <definedName name="UniqueRange_43" localSheetId="7">#REF!</definedName>
    <definedName name="UniqueRange_43" localSheetId="11">#REF!</definedName>
    <definedName name="UniqueRange_43">#REF!</definedName>
    <definedName name="UniqueRange_44" localSheetId="6">#REF!</definedName>
    <definedName name="UniqueRange_44" localSheetId="7">[91]FAME!#REF!</definedName>
    <definedName name="UniqueRange_44" localSheetId="11">#REF!</definedName>
    <definedName name="UniqueRange_44">#REF!</definedName>
    <definedName name="UniqueRange_45" localSheetId="6">#REF!</definedName>
    <definedName name="UniqueRange_45" localSheetId="7">[91]FAME!#REF!</definedName>
    <definedName name="UniqueRange_45" localSheetId="11">#REF!</definedName>
    <definedName name="UniqueRange_45">#REF!</definedName>
    <definedName name="UniqueRange_46" localSheetId="6">#REF!</definedName>
    <definedName name="UniqueRange_46" localSheetId="7">#REF!</definedName>
    <definedName name="UniqueRange_46" localSheetId="11">#REF!</definedName>
    <definedName name="UniqueRange_46">#REF!</definedName>
    <definedName name="UniqueRange_49" localSheetId="11">[91]FAME!#REF!</definedName>
    <definedName name="UniqueRange_49">[91]FAME!#REF!</definedName>
    <definedName name="UniqueRange_5" localSheetId="7">[91]FAME!#REF!</definedName>
    <definedName name="UniqueRange_5" localSheetId="11">#REF!</definedName>
    <definedName name="UniqueRange_5">#REF!</definedName>
    <definedName name="UniqueRange_51" localSheetId="11">[91]FAME!#REF!</definedName>
    <definedName name="UniqueRange_51">[91]FAME!#REF!</definedName>
    <definedName name="UniqueRange_53" localSheetId="11">[91]FAME!#REF!</definedName>
    <definedName name="UniqueRange_53">[91]FAME!#REF!</definedName>
    <definedName name="UniqueRange_56" localSheetId="11">[91]FAME!#REF!</definedName>
    <definedName name="UniqueRange_56">[91]FAME!#REF!</definedName>
    <definedName name="UniqueRange_57" localSheetId="11">[91]FAME!#REF!</definedName>
    <definedName name="UniqueRange_57">[91]FAME!#REF!</definedName>
    <definedName name="UniqueRange_58" localSheetId="11">[91]FAME!#REF!</definedName>
    <definedName name="UniqueRange_58">[91]FAME!#REF!</definedName>
    <definedName name="UniqueRange_59" localSheetId="11">[91]FAME!#REF!</definedName>
    <definedName name="UniqueRange_59">[91]FAME!#REF!</definedName>
    <definedName name="UniqueRange_6" localSheetId="7">#REF!</definedName>
    <definedName name="UniqueRange_6" localSheetId="11">#REF!</definedName>
    <definedName name="UniqueRange_6">#REF!</definedName>
    <definedName name="UniqueRange_60" localSheetId="11">[91]FAME!#REF!</definedName>
    <definedName name="UniqueRange_60">[91]FAME!#REF!</definedName>
    <definedName name="UniqueRange_61" localSheetId="7">[91]FAME!#REF!</definedName>
    <definedName name="UniqueRange_61" localSheetId="11">#REF!</definedName>
    <definedName name="UniqueRange_61">#REF!</definedName>
    <definedName name="UniqueRange_62" localSheetId="11">[91]FAME!#REF!</definedName>
    <definedName name="UniqueRange_62">[91]FAME!#REF!</definedName>
    <definedName name="UniqueRange_63" localSheetId="11">[91]FAME!#REF!</definedName>
    <definedName name="UniqueRange_63">[91]FAME!#REF!</definedName>
    <definedName name="UniqueRange_64" localSheetId="11">[91]FAME!#REF!</definedName>
    <definedName name="UniqueRange_64">[91]FAME!#REF!</definedName>
    <definedName name="UniqueRange_65" localSheetId="11">[91]FAME!#REF!</definedName>
    <definedName name="UniqueRange_65">[91]FAME!#REF!</definedName>
    <definedName name="UniqueRange_66" localSheetId="11">[91]FAME!#REF!</definedName>
    <definedName name="UniqueRange_66">[91]FAME!#REF!</definedName>
    <definedName name="UniqueRange_67" localSheetId="11">[91]FAME!#REF!</definedName>
    <definedName name="UniqueRange_67">[91]FAME!#REF!</definedName>
    <definedName name="UniqueRange_7" localSheetId="7">[91]FAME!#REF!</definedName>
    <definedName name="UniqueRange_7" localSheetId="11">#REF!</definedName>
    <definedName name="UniqueRange_7">#REF!</definedName>
    <definedName name="UniqueRange_78" localSheetId="11">[90]date!#REF!</definedName>
    <definedName name="UniqueRange_78">[90]date!#REF!</definedName>
    <definedName name="UniqueRange_79" localSheetId="11">[90]date!#REF!</definedName>
    <definedName name="UniqueRange_79">[90]date!#REF!</definedName>
    <definedName name="UniqueRange_8" localSheetId="6">#REF!</definedName>
    <definedName name="UniqueRange_8" localSheetId="7">#REF!</definedName>
    <definedName name="UniqueRange_8" localSheetId="11">#REF!</definedName>
    <definedName name="UniqueRange_8">#REF!</definedName>
    <definedName name="UniqueRange_84" localSheetId="11">[90]date!#REF!</definedName>
    <definedName name="UniqueRange_84">[90]date!#REF!</definedName>
    <definedName name="UniqueRange_89" localSheetId="11">[90]date!#REF!</definedName>
    <definedName name="UniqueRange_89">[90]date!#REF!</definedName>
    <definedName name="UniqueRange_9" localSheetId="6">#REF!</definedName>
    <definedName name="UniqueRange_9" localSheetId="7">[91]FAME!#REF!</definedName>
    <definedName name="UniqueRange_9" localSheetId="11">#REF!</definedName>
    <definedName name="UniqueRange_9">#REF!</definedName>
    <definedName name="United_States_Breakdown__1990_1998E" localSheetId="7">#REF!</definedName>
    <definedName name="United_States_Breakdown__1990_1998E" localSheetId="11">#REF!</definedName>
    <definedName name="United_States_Breakdown__1990_1998E">#REF!</definedName>
    <definedName name="UnitedKingdom" localSheetId="7">#REF!</definedName>
    <definedName name="UnitedKingdom" localSheetId="11">#REF!</definedName>
    <definedName name="UnitedKingdom">#REF!</definedName>
    <definedName name="unrealbps" localSheetId="11">'[18]Annual Model'!#REF!</definedName>
    <definedName name="unrealbps">'[18]Annual Model'!#REF!</definedName>
    <definedName name="unrealbps98" localSheetId="11">'[18]Annual Model'!#REF!</definedName>
    <definedName name="unrealbps98">'[18]Annual Model'!#REF!</definedName>
    <definedName name="unrealbps99" localSheetId="11">'[18]Annual Model'!#REF!</definedName>
    <definedName name="unrealbps99">'[18]Annual Model'!#REF!</definedName>
    <definedName name="Unrestricted_equity" localSheetId="7">#REF!</definedName>
    <definedName name="Unrestricted_equity" localSheetId="11">#REF!</definedName>
    <definedName name="Unrestricted_equity">#REF!</definedName>
    <definedName name="unsech199div" localSheetId="7">#REF!</definedName>
    <definedName name="unsech199div" localSheetId="11">#REF!</definedName>
    <definedName name="unsech199div">#REF!</definedName>
    <definedName name="Untaxed_reserves" localSheetId="7">#REF!</definedName>
    <definedName name="Untaxed_reserves" localSheetId="11">#REF!</definedName>
    <definedName name="Untaxed_reserves">#REF!</definedName>
    <definedName name="UPDA">[26]VITA!$B$5:$D$237</definedName>
    <definedName name="US" localSheetId="11">#REF!</definedName>
    <definedName name="US">#REF!</definedName>
    <definedName name="usa">[50]SysCAR!$B$7:$B$29</definedName>
    <definedName name="Usage" localSheetId="7">#REF!</definedName>
    <definedName name="Usage" localSheetId="11">#REF!</definedName>
    <definedName name="Usage">#REF!</definedName>
    <definedName name="USF">"USF"</definedName>
    <definedName name="USFX" localSheetId="11">#REF!</definedName>
    <definedName name="USFX">#REF!</definedName>
    <definedName name="uti" localSheetId="7">#REF!</definedName>
    <definedName name="uti" localSheetId="11">#REF!</definedName>
    <definedName name="uti">#REF!</definedName>
    <definedName name="uuuu" localSheetId="6" hidden="1">{#N/A,#N/A,FALSE,"Barranca"}</definedName>
    <definedName name="uuuu" localSheetId="7" hidden="1">{#N/A,#N/A,FALSE,"Barranca"}</definedName>
    <definedName name="uuuu" localSheetId="4" hidden="1">{#N/A,#N/A,FALSE,"Barranca"}</definedName>
    <definedName name="uuuu" localSheetId="3" hidden="1">{#N/A,#N/A,FALSE,"Barranca"}</definedName>
    <definedName name="uuuu" localSheetId="11" hidden="1">{#N/A,#N/A,FALSE,"Barranca"}</definedName>
    <definedName name="uuuu" hidden="1">{#N/A,#N/A,FALSE,"Barranca"}</definedName>
    <definedName name="uuuuu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V_ALL_ADSGn.DE">#REF!</definedName>
    <definedName name="V_ALL_ADSGn.DE_">#REF!</definedName>
    <definedName name="V_ALL_KEYWORDS_TYPE_ScalarContributed_EQTY_200001863">#REF!,#REF!,#REF!</definedName>
    <definedName name="V_ALL_KEYWORDS_TYPE_ScalarContributed_EQTY_200006738">[28]BRBY.L_Validation_Sheet!$366:$375,[28]BRBY.L_Validation_Sheet!$415:$417</definedName>
    <definedName name="V_ALL_KEYWORDS_TYPE_ScalarContributed_ISSR_208000693">#REF!,#REF!</definedName>
    <definedName name="V_ALL_KEYWORDS_TYPE_Vector_EQTY_200001863">#REF!,#REF!,#REF!,#REF!,#REF!</definedName>
    <definedName name="V_ALL_KEYWORDS_TYPE_Vector_EQTY_200006738">[28]BRBY.L_Validation_Sheet!$390:$405,[28]BRBY.L_Validation_Sheet!$407:$409,[28]BRBY.L_Validation_Sheet!$411:$411,[28]BRBY.L_Validation_Sheet!$413:$413,[28]BRBY.L_Validation_Sheet!$377:$388</definedName>
    <definedName name="V_ALL_KEYWORDS_TYPE_Vector_ISSR_208000693">#REF!,#REF!,#REF!,#REF!,#REF!,#REF!,#REF!,#REF!,#REF!,#REF!,#REF!,#REF!,#REF!,#REF!,#REF!,#REF!</definedName>
    <definedName name="V_ALL_KEYWORDS_TYPE_Vector_ISSR_208001980">[28]BRBY.L_Validation_Sheet!$2:$3,[28]BRBY.L_Validation_Sheet!$11:$29,[28]BRBY.L_Validation_Sheet!$31:$39,[28]BRBY.L_Validation_Sheet!$41:$68,[28]BRBY.L_Validation_Sheet!$70:$82,[28]BRBY.L_Validation_Sheet!$84:$100,[28]BRBY.L_Validation_Sheet!$102:$114,[28]BRBY.L_Validation_Sheet!$116:$116,[28]BRBY.L_Validation_Sheet!$118:$118,[28]BRBY.L_Validation_Sheet!$120:$121,[28]BRBY.L_Validation_Sheet!$123:$127,[28]BRBY.L_Validation_Sheet!$132:$133,[28]BRBY.L_Validation_Sheet!$137:$137,[28]BRBY.L_Validation_Sheet!$160:$163,[28]BRBY.L_Validation_Sheet!$165:$169,[28]BRBY.L_Validation_Sheet!$174:$175,[28]BRBY.L_Validation_Sheet!$179:$179,[28]BRBY.L_Validation_Sheet!$202:$203,[28]BRBY.L_Validation_Sheet!$356:$356,[28]BRBY.L_Validation_Sheet!$145:$156,[28]BRBY.L_Validation_Sheet!$187:$198,[28]BRBY.L_Validation_Sheet!$241:$244,[28]BRBY.L_Validation_Sheet!$263:$266,[28]BRBY.L_Validation_Sheet!$141:$142,[28]BRBY.L_Validation_Sheet!$183:$184,[28]BRBY.L_Validation_Sheet!$341:$354,[28]BRBY.L_Validation_Sheet!$304:$312,[28]BRBY.L_Validation_Sheet!$314:$339</definedName>
    <definedName name="V_ALL_SECTION_KEYWORDS_EQTY_200001863_13A">#REF!</definedName>
    <definedName name="V_ALL_SECTION_KEYWORDS_EQTY_200001863_13K">#REF!</definedName>
    <definedName name="V_ALL_SECTION_KEYWORDS_ISSR_208000693_1314">#REF!</definedName>
    <definedName name="V_ALL_SECTION_KEYWORDS_ISSR_208000693_1319">#REF!</definedName>
    <definedName name="V_ALL_SECTION_KEYWORDS_ISSR_208000693_131E">#REF!</definedName>
    <definedName name="V_ALL_SECTION_KEYWORDS_ISSR_208000693_13V">#REF!,#REF!</definedName>
    <definedName name="V_ALL_SECTIONS_EQTY_200006738">[28]BRBY.L_Validation_Sheet!$358:$358,[28]BRBY.L_Validation_Sheet!$365:$365,[28]BRBY.L_Validation_Sheet!$376:$376,[28]BRBY.L_Validation_Sheet!$389:$389,[28]BRBY.L_Validation_Sheet!$406:$406,[28]BRBY.L_Validation_Sheet!$410:$410,[28]BRBY.L_Validation_Sheet!$412:$412,[28]BRBY.L_Validation_Sheet!$414:$414</definedName>
    <definedName name="VA" localSheetId="7">#REF!</definedName>
    <definedName name="VA" localSheetId="11">#REF!</definedName>
    <definedName name="VA">#REF!</definedName>
    <definedName name="VaccinesConsOtherVaccines" localSheetId="7">#REF!</definedName>
    <definedName name="VaccinesConsOtherVaccines" localSheetId="11">#REF!</definedName>
    <definedName name="VaccinesConsOtherVaccines">#REF!</definedName>
    <definedName name="VaccinesConsOtherVaccines00" localSheetId="7">#REF!</definedName>
    <definedName name="VaccinesConsOtherVaccines00" localSheetId="11">#REF!</definedName>
    <definedName name="VaccinesConsOtherVaccines00">#REF!</definedName>
    <definedName name="VaccinesConsOtherVaccines01" localSheetId="7">#REF!</definedName>
    <definedName name="VaccinesConsOtherVaccines01" localSheetId="11">#REF!</definedName>
    <definedName name="VaccinesConsOtherVaccines01">#REF!</definedName>
    <definedName name="VaccinesConsOtherVaccines02" localSheetId="7">#REF!</definedName>
    <definedName name="VaccinesConsOtherVaccines02" localSheetId="11">#REF!</definedName>
    <definedName name="VaccinesConsOtherVaccines02">#REF!</definedName>
    <definedName name="VaccinesConsOtherVaccines03" localSheetId="7">#REF!</definedName>
    <definedName name="VaccinesConsOtherVaccines03" localSheetId="11">#REF!</definedName>
    <definedName name="VaccinesConsOtherVaccines03">#REF!</definedName>
    <definedName name="VaccinesConsOtherVaccines04" localSheetId="7">#REF!</definedName>
    <definedName name="VaccinesConsOtherVaccines04" localSheetId="11">#REF!</definedName>
    <definedName name="VaccinesConsOtherVaccines04">#REF!</definedName>
    <definedName name="VaccinesConsOtherVaccines05" localSheetId="7">#REF!</definedName>
    <definedName name="VaccinesConsOtherVaccines05" localSheetId="11">#REF!</definedName>
    <definedName name="VaccinesConsOtherVaccines05">#REF!</definedName>
    <definedName name="VaccinesConsOtherVaccines97" localSheetId="7">#REF!</definedName>
    <definedName name="VaccinesConsOtherVaccines97" localSheetId="11">#REF!</definedName>
    <definedName name="VaccinesConsOtherVaccines97">#REF!</definedName>
    <definedName name="VaccinesConsOtherVaccines98" localSheetId="7">#REF!</definedName>
    <definedName name="VaccinesConsOtherVaccines98" localSheetId="11">#REF!</definedName>
    <definedName name="VaccinesConsOtherVaccines98">#REF!</definedName>
    <definedName name="VaccinesConsOtherVaccines99" localSheetId="7">#REF!</definedName>
    <definedName name="VaccinesConsOtherVaccines99" localSheetId="11">#REF!</definedName>
    <definedName name="VaccinesConsOtherVaccines99">#REF!</definedName>
    <definedName name="VAL" localSheetId="7">#REF!</definedName>
    <definedName name="VAL" localSheetId="11">#REF!</definedName>
    <definedName name="VAL">#REF!</definedName>
    <definedName name="VALID_FORMATS">[129]REQUEST_TABLE!$AD$7:$AE$13</definedName>
    <definedName name="Valname" localSheetId="7">#REF!</definedName>
    <definedName name="Valname" localSheetId="11">#REF!</definedName>
    <definedName name="Valname">#REF!</definedName>
    <definedName name="valu" localSheetId="7">#REF!</definedName>
    <definedName name="valu" localSheetId="11">#REF!</definedName>
    <definedName name="valu">#REF!</definedName>
    <definedName name="Valuation" localSheetId="7">#REF!</definedName>
    <definedName name="Valuation" localSheetId="11">#REF!</definedName>
    <definedName name="Valuation">#REF!</definedName>
    <definedName name="Valuation_summary__EUR_mn__except_per_share_data">'[134]Report tables'!$D$12:$U$22</definedName>
    <definedName name="Valuation1" localSheetId="7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Valuation1" localSheetId="4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Valuation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ValuationPE_Yield" localSheetId="7">#REF!,#REF!,#REF!,#REF!,#REF!,#REF!</definedName>
    <definedName name="ValuationPE_Yield" localSheetId="11">#REF!,#REF!,#REF!,#REF!,#REF!,#REF!</definedName>
    <definedName name="ValuationPE_Yield">#REF!,#REF!,#REF!,#REF!,#REF!,#REF!</definedName>
    <definedName name="Variation_in_other_provisions" localSheetId="7">#REF!</definedName>
    <definedName name="Variation_in_other_provisions" localSheetId="11">#REF!</definedName>
    <definedName name="Variation_in_other_provisions">#REF!</definedName>
    <definedName name="Variation_in_Pension_Provisions" localSheetId="7">#REF!</definedName>
    <definedName name="Variation_in_Pension_Provisions" localSheetId="11">#REF!</definedName>
    <definedName name="Variation_in_Pension_Provisions">#REF!</definedName>
    <definedName name="Variation_Special_reserve" localSheetId="7">#REF!</definedName>
    <definedName name="Variation_Special_reserve" localSheetId="11">#REF!</definedName>
    <definedName name="Variation_Special_reserve">#REF!</definedName>
    <definedName name="vedior">'[125]Operating profit'!$A$225:$H$315</definedName>
    <definedName name="vgbh" localSheetId="6" hidden="1">{#N/A,#N/A,FALSE,"SUMMARY";#N/A,#N/A,FALSE,"DETAIL";#N/A,#N/A,FALSE,"VARIANCE"}</definedName>
    <definedName name="vgbh" localSheetId="7" hidden="1">{#N/A,#N/A,FALSE,"SUMMARY";#N/A,#N/A,FALSE,"DETAIL";#N/A,#N/A,FALSE,"VARIANCE"}</definedName>
    <definedName name="vgbh" localSheetId="4" hidden="1">{#N/A,#N/A,FALSE,"SUMMARY";#N/A,#N/A,FALSE,"DETAIL";#N/A,#N/A,FALSE,"VARIANCE"}</definedName>
    <definedName name="vgbh" localSheetId="3" hidden="1">{#N/A,#N/A,FALSE,"SUMMARY";#N/A,#N/A,FALSE,"DETAIL";#N/A,#N/A,FALSE,"VARIANCE"}</definedName>
    <definedName name="vgbh" localSheetId="11" hidden="1">{#N/A,#N/A,FALSE,"SUMMARY";#N/A,#N/A,FALSE,"DETAIL";#N/A,#N/A,FALSE,"VARIANCE"}</definedName>
    <definedName name="vgbh" hidden="1">{#N/A,#N/A,FALSE,"SUMMARY";#N/A,#N/A,FALSE,"DETAIL";#N/A,#N/A,FALSE,"VARIANCE"}</definedName>
    <definedName name="view_comps" localSheetId="11">[114]!view_comps</definedName>
    <definedName name="view_comps">[114]!view_comps</definedName>
    <definedName name="ViviqPropentofylline00" localSheetId="7">#REF!</definedName>
    <definedName name="ViviqPropentofylline00" localSheetId="11">#REF!</definedName>
    <definedName name="ViviqPropentofylline00">#REF!</definedName>
    <definedName name="ViviqPropentofylline01" localSheetId="7">#REF!</definedName>
    <definedName name="ViviqPropentofylline01" localSheetId="11">#REF!</definedName>
    <definedName name="ViviqPropentofylline01">#REF!</definedName>
    <definedName name="ViviqPropentofylline02" localSheetId="7">#REF!</definedName>
    <definedName name="ViviqPropentofylline02" localSheetId="11">#REF!</definedName>
    <definedName name="ViviqPropentofylline02">#REF!</definedName>
    <definedName name="ViviqPropentofylline03" localSheetId="7">#REF!</definedName>
    <definedName name="ViviqPropentofylline03" localSheetId="11">#REF!</definedName>
    <definedName name="ViviqPropentofylline03">#REF!</definedName>
    <definedName name="ViviqPropentofylline04" localSheetId="7">#REF!</definedName>
    <definedName name="ViviqPropentofylline04" localSheetId="11">#REF!</definedName>
    <definedName name="ViviqPropentofylline04">#REF!</definedName>
    <definedName name="ViviqPropentofylline05" localSheetId="7">#REF!</definedName>
    <definedName name="ViviqPropentofylline05" localSheetId="11">#REF!</definedName>
    <definedName name="ViviqPropentofylline05">#REF!</definedName>
    <definedName name="ViviqPropentofylline97" localSheetId="7">#REF!</definedName>
    <definedName name="ViviqPropentofylline97" localSheetId="11">#REF!</definedName>
    <definedName name="ViviqPropentofylline97">#REF!</definedName>
    <definedName name="ViviqPropentofylline98" localSheetId="7">#REF!</definedName>
    <definedName name="ViviqPropentofylline98" localSheetId="11">#REF!</definedName>
    <definedName name="ViviqPropentofylline98">#REF!</definedName>
    <definedName name="ViviqPropentofylline99" localSheetId="7">#REF!</definedName>
    <definedName name="ViviqPropentofylline99" localSheetId="11">#REF!</definedName>
    <definedName name="ViviqPropentofylline99">#REF!</definedName>
    <definedName name="VNB" localSheetId="7">#REF!</definedName>
    <definedName name="VNB" localSheetId="11">#REF!</definedName>
    <definedName name="VNB">#REF!</definedName>
    <definedName name="VOL" localSheetId="11">'[2]teo model'!#REF!</definedName>
    <definedName name="VOL">'[2]teo model'!#REF!</definedName>
    <definedName name="Volume_growth_and_margin" localSheetId="7">#REF!</definedName>
    <definedName name="Volume_growth_and_margin" localSheetId="11">#REF!</definedName>
    <definedName name="Volume_growth_and_margin">#REF!</definedName>
    <definedName name="vv" localSheetId="7">#REF!</definedName>
    <definedName name="vv" localSheetId="11">#REF!</definedName>
    <definedName name="vv">#REF!</definedName>
    <definedName name="vvvv" localSheetId="6" hidden="1">{#N/A,#N/A,FALSE,"FAB VENDORS";"BUD SUM",#N/A,FALSE,"BUD SUM WO TEX"}</definedName>
    <definedName name="vvvv" localSheetId="7" hidden="1">{#N/A,#N/A,FALSE,"FAB VENDORS";"BUD SUM",#N/A,FALSE,"BUD SUM WO TEX"}</definedName>
    <definedName name="vvvv" localSheetId="4" hidden="1">{#N/A,#N/A,FALSE,"FAB VENDORS";"BUD SUM",#N/A,FALSE,"BUD SUM WO TEX"}</definedName>
    <definedName name="vvvv" localSheetId="3" hidden="1">{#N/A,#N/A,FALSE,"FAB VENDORS";"BUD SUM",#N/A,FALSE,"BUD SUM WO TEX"}</definedName>
    <definedName name="vvvv" localSheetId="11" hidden="1">{#N/A,#N/A,FALSE,"FAB VENDORS";"BUD SUM",#N/A,FALSE,"BUD SUM WO TEX"}</definedName>
    <definedName name="vvvv" hidden="1">{#N/A,#N/A,FALSE,"FAB VENDORS";"BUD SUM",#N/A,FALSE,"BUD SUM WO TEX"}</definedName>
    <definedName name="w3e" localSheetId="6" hidden="1">{#N/A,#N/A,FALSE,"Carterco"}</definedName>
    <definedName name="w3e" localSheetId="7" hidden="1">{#N/A,#N/A,FALSE,"Carterco"}</definedName>
    <definedName name="w3e" localSheetId="4" hidden="1">{#N/A,#N/A,FALSE,"Carterco"}</definedName>
    <definedName name="w3e" localSheetId="3" hidden="1">{#N/A,#N/A,FALSE,"Carterco"}</definedName>
    <definedName name="w3e" localSheetId="11" hidden="1">{#N/A,#N/A,FALSE,"Carterco"}</definedName>
    <definedName name="w3e" hidden="1">{#N/A,#N/A,FALSE,"Carterco"}</definedName>
    <definedName name="WACC" localSheetId="7">#REF!</definedName>
    <definedName name="wacc" localSheetId="11">#REF!</definedName>
    <definedName name="wacc">#REF!</definedName>
    <definedName name="WACC_fore">[34]WACC_VDF!$J$21</definedName>
    <definedName name="WACC_P">'[34]Income Statement_VDF'!$R$44</definedName>
    <definedName name="WACC_P_1">[34]WACC_VDF!$U$23</definedName>
    <definedName name="WACC_P_8" localSheetId="11">[34]WACC_VDF!#REF!</definedName>
    <definedName name="WACC_P_8">[34]WACC_VDF!#REF!</definedName>
    <definedName name="WACC2000" localSheetId="11">#REF!</definedName>
    <definedName name="WACC2000">#REF!</definedName>
    <definedName name="WACC96" localSheetId="7">#REF!</definedName>
    <definedName name="WACC96" localSheetId="11">#REF!</definedName>
    <definedName name="WACC96">#REF!</definedName>
    <definedName name="WACC97" localSheetId="7">#REF!</definedName>
    <definedName name="WACC97" localSheetId="11">#REF!</definedName>
    <definedName name="WACC97">#REF!</definedName>
    <definedName name="WACC98" localSheetId="7">#REF!</definedName>
    <definedName name="WACC98" localSheetId="11">#REF!</definedName>
    <definedName name="WACC98">#REF!</definedName>
    <definedName name="WACC99" localSheetId="7">#REF!</definedName>
    <definedName name="WACC99" localSheetId="11">#REF!</definedName>
    <definedName name="WACC99">#REF!</definedName>
    <definedName name="Wages_incl_soc.costs" localSheetId="7">#REF!</definedName>
    <definedName name="Wages_incl_soc.costs" localSheetId="11">#REF!</definedName>
    <definedName name="Wages_incl_soc.costs">#REF!</definedName>
    <definedName name="WagonLitsImpact" localSheetId="7">#REF!</definedName>
    <definedName name="WagonLitsImpact" localSheetId="11">#REF!</definedName>
    <definedName name="WagonLitsImpact">#REF!</definedName>
    <definedName name="Watch">[41]EVA!$Q$7</definedName>
    <definedName name="wcom" localSheetId="7" hidden="1">{"IS",#N/A,FALSE,"IS";"RPTIS",#N/A,FALSE,"RPTIS";"STATS",#N/A,FALSE,"STATS";"BS",#N/A,FALSE,"BS"}</definedName>
    <definedName name="wcom" localSheetId="4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estHemisDutyFree" localSheetId="7">#REF!</definedName>
    <definedName name="WestHemisDutyFree" localSheetId="11">#REF!</definedName>
    <definedName name="WestHemisDutyFree">#REF!</definedName>
    <definedName name="WHO" localSheetId="6" hidden="1">{#N/A,#N/A,FALSE,"SUMMARY";#N/A,#N/A,FALSE,"DETAIL";#N/A,#N/A,FALSE,"VARIANCE"}</definedName>
    <definedName name="WHO" localSheetId="7" hidden="1">{#N/A,#N/A,FALSE,"SUMMARY";#N/A,#N/A,FALSE,"DETAIL";#N/A,#N/A,FALSE,"VARIANCE"}</definedName>
    <definedName name="WHO" localSheetId="4" hidden="1">{#N/A,#N/A,FALSE,"SUMMARY";#N/A,#N/A,FALSE,"DETAIL";#N/A,#N/A,FALSE,"VARIANCE"}</definedName>
    <definedName name="WHO" localSheetId="3" hidden="1">{#N/A,#N/A,FALSE,"SUMMARY";#N/A,#N/A,FALSE,"DETAIL";#N/A,#N/A,FALSE,"VARIANCE"}</definedName>
    <definedName name="WHO" localSheetId="11" hidden="1">{#N/A,#N/A,FALSE,"SUMMARY";#N/A,#N/A,FALSE,"DETAIL";#N/A,#N/A,FALSE,"VARIANCE"}</definedName>
    <definedName name="WHO" hidden="1">{#N/A,#N/A,FALSE,"SUMMARY";#N/A,#N/A,FALSE,"DETAIL";#N/A,#N/A,FALSE,"VARIANCE"}</definedName>
    <definedName name="wippccmpsum" localSheetId="7">#REF!</definedName>
    <definedName name="wippccmpsum" localSheetId="11">#REF!</definedName>
    <definedName name="wippccmpsum">#REF!</definedName>
    <definedName name="wippctcomplete" localSheetId="7">#REF!</definedName>
    <definedName name="wippctcomplete" localSheetId="11">#REF!</definedName>
    <definedName name="wippctcomplete">#REF!</definedName>
    <definedName name="wk">[63]GS_DCF!$Y$9:$AH$9</definedName>
    <definedName name="WM_IB_divis">[42]Divisional!$A$170:$AY$240</definedName>
    <definedName name="work" localSheetId="7">#REF!</definedName>
    <definedName name="work" localSheetId="11">#REF!</definedName>
    <definedName name="work">#REF!</definedName>
    <definedName name="WPI" localSheetId="11">'[2]teo model'!#REF!</definedName>
    <definedName name="WPI">'[2]teo model'!#REF!</definedName>
    <definedName name="Wrapper" localSheetId="7">#N/A</definedName>
    <definedName name="Wrapper" localSheetId="4">Interim!Wrapper</definedName>
    <definedName name="Wrapper">DCF!Wrapper</definedName>
    <definedName name="wrn.all." localSheetId="7" hidden="1">{#N/A,#N/A,FALSE,"Annual Model";#N/A,#N/A,FALSE,"Quarterly Model";#N/A,#N/A,FALSE,"Header";#N/A,#N/A,FALSE,"Notes"}</definedName>
    <definedName name="wrn.all." localSheetId="4" hidden="1">{#N/A,#N/A,FALSE,"Annual Model";#N/A,#N/A,FALSE,"Quarterly Model";#N/A,#N/A,FALSE,"Header";#N/A,#N/A,FALSE,"Notes"}</definedName>
    <definedName name="wrn.all." hidden="1">{#N/A,#N/A,FALSE,"Annual Model";#N/A,#N/A,FALSE,"Quarterly Model";#N/A,#N/A,FALSE,"Header";#N/A,#N/A,FALSE,"Notes"}</definedName>
    <definedName name="wrn.all._1" localSheetId="7" hidden="1">{#N/A,#N/A,FALSE,"Annual Model";#N/A,#N/A,FALSE,"Quarterly Model";#N/A,#N/A,FALSE,"Header";#N/A,#N/A,FALSE,"Notes"}</definedName>
    <definedName name="wrn.all._1" localSheetId="4" hidden="1">{#N/A,#N/A,FALSE,"Annual Model";#N/A,#N/A,FALSE,"Quarterly Model";#N/A,#N/A,FALSE,"Header";#N/A,#N/A,FALSE,"Notes"}</definedName>
    <definedName name="wrn.all._1" hidden="1">{#N/A,#N/A,FALSE,"Annual Model";#N/A,#N/A,FALSE,"Quarterly Model";#N/A,#N/A,FALSE,"Header";#N/A,#N/A,FALSE,"Notes"}</definedName>
    <definedName name="wrn.Barranca." localSheetId="6" hidden="1">{#N/A,#N/A,FALSE,"Barranca"}</definedName>
    <definedName name="wrn.Barranca." localSheetId="7" hidden="1">{#N/A,#N/A,FALSE,"Barranca"}</definedName>
    <definedName name="wrn.Barranca." localSheetId="4" hidden="1">{#N/A,#N/A,FALSE,"Barranca"}</definedName>
    <definedName name="wrn.Barranca." localSheetId="3" hidden="1">{#N/A,#N/A,FALSE,"Barranca"}</definedName>
    <definedName name="wrn.Barranca." localSheetId="11" hidden="1">{#N/A,#N/A,FALSE,"Barranca"}</definedName>
    <definedName name="wrn.Barranca." hidden="1">{#N/A,#N/A,FALSE,"Barranca"}</definedName>
    <definedName name="wrn.BEL." localSheetId="6" hidden="1">{"IS",#N/A,FALSE,"IS";"RPTIS",#N/A,FALSE,"RPTIS";"STATS",#N/A,FALSE,"STATS";"CELL",#N/A,FALSE,"CELL";"BS",#N/A,FALSE,"BS"}</definedName>
    <definedName name="wrn.BEL." localSheetId="7" hidden="1">{"IS",#N/A,FALSE,"IS";"RPTIS",#N/A,FALSE,"RPTIS";"STATS",#N/A,FALSE,"STATS";"CELL",#N/A,FALSE,"CELL";"BS",#N/A,FALSE,"BS"}</definedName>
    <definedName name="wrn.BEL." localSheetId="4" hidden="1">{"IS",#N/A,FALSE,"IS";"RPTIS",#N/A,FALSE,"RPTIS";"STATS",#N/A,FALSE,"STATS";"CELL",#N/A,FALSE,"CELL";"BS",#N/A,FALSE,"BS"}</definedName>
    <definedName name="wrn.BEL." localSheetId="3" hidden="1">{"IS",#N/A,FALSE,"IS";"RPTIS",#N/A,FALSE,"RPTIS";"STATS",#N/A,FALSE,"STATS";"CELL",#N/A,FALSE,"CELL";"BS",#N/A,FALSE,"BS"}</definedName>
    <definedName name="wrn.BEL." localSheetId="11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ok._.Output." localSheetId="6" hidden="1">{#N/A,#N/A,FALSE,"Title";#N/A,#N/A,FALSE,"Inputs";#N/A,#N/A,FALSE,"Impact";#N/A,#N/A,FALSE,"Sources &amp; Uses";#N/A,#N/A,FALSE,"Capitalization Impact";#N/A,#N/A,FALSE,"NEWCO Projections"}</definedName>
    <definedName name="wrn.Book._.Output." localSheetId="7" hidden="1">{#N/A,#N/A,FALSE,"Title";#N/A,#N/A,FALSE,"Inputs";#N/A,#N/A,FALSE,"Impact";#N/A,#N/A,FALSE,"Sources &amp; Uses";#N/A,#N/A,FALSE,"Capitalization Impact";#N/A,#N/A,FALSE,"NEWCO Projections"}</definedName>
    <definedName name="wrn.Book._.Output." localSheetId="4" hidden="1">{#N/A,#N/A,FALSE,"Title";#N/A,#N/A,FALSE,"Inputs";#N/A,#N/A,FALSE,"Impact";#N/A,#N/A,FALSE,"Sources &amp; Uses";#N/A,#N/A,FALSE,"Capitalization Impact";#N/A,#N/A,FALSE,"NEWCO Projections"}</definedName>
    <definedName name="wrn.Book._.Output." localSheetId="3" hidden="1">{#N/A,#N/A,FALSE,"Title";#N/A,#N/A,FALSE,"Inputs";#N/A,#N/A,FALSE,"Impact";#N/A,#N/A,FALSE,"Sources &amp; Uses";#N/A,#N/A,FALSE,"Capitalization Impact";#N/A,#N/A,FALSE,"NEWCO Projections"}</definedName>
    <definedName name="wrn.Book._.Output." localSheetId="11" hidden="1">{#N/A,#N/A,FALSE,"Title";#N/A,#N/A,FALSE,"Inputs";#N/A,#N/A,FALSE,"Impact";#N/A,#N/A,FALSE,"Sources &amp; Uses";#N/A,#N/A,FALSE,"Capitalization Impact";#N/A,#N/A,FALSE,"NEWCO Projections"}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localSheetId="6" hidden="1">{#N/A,#N/A,FALSE,"Mill 5"}</definedName>
    <definedName name="wrn.Budget._.Analysis." localSheetId="7" hidden="1">{#N/A,#N/A,FALSE,"Mill 5"}</definedName>
    <definedName name="wrn.Budget._.Analysis." localSheetId="4" hidden="1">{#N/A,#N/A,FALSE,"Mill 5"}</definedName>
    <definedName name="wrn.Budget._.Analysis." localSheetId="3" hidden="1">{#N/A,#N/A,FALSE,"Mill 5"}</definedName>
    <definedName name="wrn.Budget._.Analysis." localSheetId="11" hidden="1">{#N/A,#N/A,FALSE,"Mill 5"}</definedName>
    <definedName name="wrn.Budget._.Analysis." hidden="1">{#N/A,#N/A,FALSE,"Mill 5"}</definedName>
    <definedName name="wrn.Carterco." localSheetId="6" hidden="1">{#N/A,#N/A,FALSE,"Carterco"}</definedName>
    <definedName name="wrn.Carterco." localSheetId="7" hidden="1">{#N/A,#N/A,FALSE,"Carterco"}</definedName>
    <definedName name="wrn.Carterco." localSheetId="4" hidden="1">{#N/A,#N/A,FALSE,"Carterco"}</definedName>
    <definedName name="wrn.Carterco." localSheetId="3" hidden="1">{#N/A,#N/A,FALSE,"Carterco"}</definedName>
    <definedName name="wrn.Carterco." localSheetId="11" hidden="1">{#N/A,#N/A,FALSE,"Carterco"}</definedName>
    <definedName name="wrn.Carterco." hidden="1">{#N/A,#N/A,FALSE,"Carterco"}</definedName>
    <definedName name="WRN.CM" localSheetId="6" hidden="1">{#N/A,#N/A,FALSE,"FAB VENDORS";"BUD SUM",#N/A,FALSE,"BUD SUM WO TEX"}</definedName>
    <definedName name="WRN.CM" localSheetId="7" hidden="1">{#N/A,#N/A,FALSE,"FAB VENDORS";"BUD SUM",#N/A,FALSE,"BUD SUM WO TEX"}</definedName>
    <definedName name="WRN.CM" localSheetId="4" hidden="1">{#N/A,#N/A,FALSE,"FAB VENDORS";"BUD SUM",#N/A,FALSE,"BUD SUM WO TEX"}</definedName>
    <definedName name="WRN.CM" localSheetId="3" hidden="1">{#N/A,#N/A,FALSE,"FAB VENDORS";"BUD SUM",#N/A,FALSE,"BUD SUM WO TEX"}</definedName>
    <definedName name="WRN.CM" localSheetId="11" hidden="1">{#N/A,#N/A,FALSE,"FAB VENDORS";"BUD SUM",#N/A,FALSE,"BUD SUM WO TEX"}</definedName>
    <definedName name="WRN.CM" hidden="1">{#N/A,#N/A,FALSE,"FAB VENDORS";"BUD SUM",#N/A,FALSE,"BUD SUM WO TEX"}</definedName>
    <definedName name="WRN.CM1" localSheetId="6" hidden="1">{#N/A,#N/A,FALSE,"FAB VENDORS";"BUD SUM",#N/A,FALSE,"BUD SUM WO TEX"}</definedName>
    <definedName name="WRN.CM1" localSheetId="7" hidden="1">{#N/A,#N/A,FALSE,"FAB VENDORS";"BUD SUM",#N/A,FALSE,"BUD SUM WO TEX"}</definedName>
    <definedName name="WRN.CM1" localSheetId="4" hidden="1">{#N/A,#N/A,FALSE,"FAB VENDORS";"BUD SUM",#N/A,FALSE,"BUD SUM WO TEX"}</definedName>
    <definedName name="WRN.CM1" localSheetId="3" hidden="1">{#N/A,#N/A,FALSE,"FAB VENDORS";"BUD SUM",#N/A,FALSE,"BUD SUM WO TEX"}</definedName>
    <definedName name="WRN.CM1" localSheetId="11" hidden="1">{#N/A,#N/A,FALSE,"FAB VENDORS";"BUD SUM",#N/A,FALSE,"BUD SUM WO TEX"}</definedName>
    <definedName name="WRN.CM1" hidden="1">{#N/A,#N/A,FALSE,"FAB VENDORS";"BUD SUM",#N/A,FALSE,"BUD SUM WO TEX"}</definedName>
    <definedName name="wrn.Complete._.Report.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ION." localSheetId="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UPID." localSheetId="6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7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4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3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11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W." localSheetId="6" hidden="1">{#N/A,#N/A,FALSE,"FAB VENDORS";"BUD SUM",#N/A,FALSE,"BUD SUM WO TEX"}</definedName>
    <definedName name="wrn.CW." localSheetId="7" hidden="1">{#N/A,#N/A,FALSE,"FAB VENDORS";"BUD SUM",#N/A,FALSE,"BUD SUM WO TEX"}</definedName>
    <definedName name="wrn.CW." localSheetId="4" hidden="1">{#N/A,#N/A,FALSE,"FAB VENDORS";"BUD SUM",#N/A,FALSE,"BUD SUM WO TEX"}</definedName>
    <definedName name="wrn.CW." localSheetId="3" hidden="1">{#N/A,#N/A,FALSE,"FAB VENDORS";"BUD SUM",#N/A,FALSE,"BUD SUM WO TEX"}</definedName>
    <definedName name="wrn.CW." localSheetId="11" hidden="1">{#N/A,#N/A,FALSE,"FAB VENDORS";"BUD SUM",#N/A,FALSE,"BUD SUM WO TEX"}</definedName>
    <definedName name="wrn.CW." hidden="1">{#N/A,#N/A,FALSE,"FAB VENDORS";"BUD SUM",#N/A,FALSE,"BUD SUM WO TEX"}</definedName>
    <definedName name="wrn.Dataproj1." localSheetId="7" hidden="1">{#N/A,#N/A,FALSE,"Front Page";#N/A,#N/A,FALSE,"Page 2";#N/A,#N/A,FALSE,"Page 3";#N/A,#N/A,FALSE,"Loan Growth"}</definedName>
    <definedName name="wrn.Dataproj1." localSheetId="4" hidden="1">{#N/A,#N/A,FALSE,"Front Page";#N/A,#N/A,FALSE,"Page 2";#N/A,#N/A,FALSE,"Page 3";#N/A,#N/A,FALSE,"Loan Growth"}</definedName>
    <definedName name="wrn.Dataproj1." hidden="1">{#N/A,#N/A,FALSE,"Front Page";#N/A,#N/A,FALSE,"Page 2";#N/A,#N/A,FALSE,"Page 3";#N/A,#N/A,FALSE,"Loan Growth"}</definedName>
    <definedName name="wrn.Dataproj1._1" localSheetId="7" hidden="1">{#N/A,#N/A,FALSE,"Front Page";#N/A,#N/A,FALSE,"Page 2";#N/A,#N/A,FALSE,"Page 3";#N/A,#N/A,FALSE,"Loan Growth"}</definedName>
    <definedName name="wrn.Dataproj1._1" localSheetId="4" hidden="1">{#N/A,#N/A,FALSE,"Front Page";#N/A,#N/A,FALSE,"Page 2";#N/A,#N/A,FALSE,"Page 3";#N/A,#N/A,FALSE,"Loan Growth"}</definedName>
    <definedName name="wrn.Dataproj1._1" hidden="1">{#N/A,#N/A,FALSE,"Front Page";#N/A,#N/A,FALSE,"Page 2";#N/A,#N/A,FALSE,"Page 3";#N/A,#N/A,FALSE,"Loan Growth"}</definedName>
    <definedName name="wrn.Everything." localSheetId="6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7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Level._.4." localSheetId="7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4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ain._.Report._.All._.Sections." localSheetId="7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4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odel._.Level._.3." localSheetId="7" hidden="1">{"Income (All hidden)",#N/A,FALSE,"Income";"EPS (All Hidden)",#N/A,FALSE,"EPS";"EPS (All Hidden)",#N/A,FALSE,"CashFlow";"Quarterly (Last, Current and Next)",#N/A,FALSE,"Quarterly"}</definedName>
    <definedName name="wrn.Model._.Level._.3." localSheetId="4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localSheetId="6" hidden="1">{#N/A,#N/A,FALSE,"SUMMARY";#N/A,#N/A,FALSE,"DETAIL";#N/A,#N/A,FALSE,"VARIANCE"}</definedName>
    <definedName name="wrn.MONTH_END." localSheetId="7" hidden="1">{#N/A,#N/A,FALSE,"SUMMARY";#N/A,#N/A,FALSE,"DETAIL";#N/A,#N/A,FALSE,"VARIANCE"}</definedName>
    <definedName name="wrn.MONTH_END." localSheetId="4" hidden="1">{#N/A,#N/A,FALSE,"SUMMARY";#N/A,#N/A,FALSE,"DETAIL";#N/A,#N/A,FALSE,"VARIANCE"}</definedName>
    <definedName name="wrn.MONTH_END." localSheetId="3" hidden="1">{#N/A,#N/A,FALSE,"SUMMARY";#N/A,#N/A,FALSE,"DETAIL";#N/A,#N/A,FALSE,"VARIANCE"}</definedName>
    <definedName name="wrn.MONTH_END." localSheetId="11" hidden="1">{#N/A,#N/A,FALSE,"SUMMARY";#N/A,#N/A,FALSE,"DETAIL";#N/A,#N/A,FALSE,"VARIANCE"}</definedName>
    <definedName name="wrn.MONTH_END." hidden="1">{#N/A,#N/A,FALSE,"SUMMARY";#N/A,#N/A,FALSE,"DETAIL";#N/A,#N/A,FALSE,"VARIANCE"}</definedName>
    <definedName name="wrn.MONTHLY._.INVENTORY._.SCHEDULE." localSheetId="6" hidden="1">{#N/A,#N/A,FALSE,"Sheet1";#N/A,#N/A,FALSE,"Sheet2";#N/A,#N/A,FALSE,"Sheet3";#N/A,#N/A,FALSE,"Sheet4";#N/A,#N/A,FALSE,"Sheet5";#N/A,#N/A,FALSE,"Sheet6"}</definedName>
    <definedName name="wrn.MONTHLY._.INVENTORY._.SCHEDULE." localSheetId="7" hidden="1">{#N/A,#N/A,FALSE,"Sheet1";#N/A,#N/A,FALSE,"Sheet2";#N/A,#N/A,FALSE,"Sheet3";#N/A,#N/A,FALSE,"Sheet4";#N/A,#N/A,FALSE,"Sheet5";#N/A,#N/A,FALSE,"Sheet6"}</definedName>
    <definedName name="wrn.MONTHLY._.INVENTORY._.SCHEDULE." localSheetId="4" hidden="1">{#N/A,#N/A,FALSE,"Sheet1";#N/A,#N/A,FALSE,"Sheet2";#N/A,#N/A,FALSE,"Sheet3";#N/A,#N/A,FALSE,"Sheet4";#N/A,#N/A,FALSE,"Sheet5";#N/A,#N/A,FALSE,"Sheet6"}</definedName>
    <definedName name="wrn.MONTHLY._.INVENTORY._.SCHEDULE." localSheetId="3" hidden="1">{#N/A,#N/A,FALSE,"Sheet1";#N/A,#N/A,FALSE,"Sheet2";#N/A,#N/A,FALSE,"Sheet3";#N/A,#N/A,FALSE,"Sheet4";#N/A,#N/A,FALSE,"Sheet5";#N/A,#N/A,FALSE,"Sheet6"}</definedName>
    <definedName name="wrn.MONTHLY._.INVENTORY._.SCHEDULE." localSheetId="11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Output." localSheetId="6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localSheetId="7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localSheetId="4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localSheetId="3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localSheetId="11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printall." localSheetId="6" hidden="1">{"output","fiftysix",FALSE,"mergerplans";"inputs",#N/A,FALSE,"mergerplans";"output","sixtyfive",FALSE,"mergerplans";"output","seventy",FALSE,"mergerplans"}</definedName>
    <definedName name="wrn.printall." localSheetId="7" hidden="1">{"output","fiftysix",FALSE,"mergerplans";"inputs",#N/A,FALSE,"mergerplans";"output","sixtyfive",FALSE,"mergerplans";"output","seventy",FALSE,"mergerplans"}</definedName>
    <definedName name="wrn.printall." localSheetId="4" hidden="1">{"output","fiftysix",FALSE,"mergerplans";"inputs",#N/A,FALSE,"mergerplans";"output","sixtyfive",FALSE,"mergerplans";"output","seventy",FALSE,"mergerplans"}</definedName>
    <definedName name="wrn.printall." localSheetId="3" hidden="1">{"output","fiftysix",FALSE,"mergerplans";"inputs",#N/A,FALSE,"mergerplans";"output","sixtyfive",FALSE,"mergerplans";"output","seventy",FALSE,"mergerplans"}</definedName>
    <definedName name="wrn.printall." localSheetId="11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RESERVE._.SCHEDULE." localSheetId="6" hidden="1">{#N/A,#N/A,FALSE,"Sheet8";#N/A,#N/A,FALSE,"Sheet7"}</definedName>
    <definedName name="wrn.RESERVE._.SCHEDULE." localSheetId="7" hidden="1">{#N/A,#N/A,FALSE,"Sheet8";#N/A,#N/A,FALSE,"Sheet7"}</definedName>
    <definedName name="wrn.RESERVE._.SCHEDULE." localSheetId="4" hidden="1">{#N/A,#N/A,FALSE,"Sheet8";#N/A,#N/A,FALSE,"Sheet7"}</definedName>
    <definedName name="wrn.RESERVE._.SCHEDULE." localSheetId="3" hidden="1">{#N/A,#N/A,FALSE,"Sheet8";#N/A,#N/A,FALSE,"Sheet7"}</definedName>
    <definedName name="wrn.RESERVE._.SCHEDULE." localSheetId="11" hidden="1">{#N/A,#N/A,FALSE,"Sheet8";#N/A,#N/A,FALSE,"Sheet7"}</definedName>
    <definedName name="wrn.RESERVE._.SCHEDULE." hidden="1">{#N/A,#N/A,FALSE,"Sheet8";#N/A,#N/A,FALSE,"Sheet7"}</definedName>
    <definedName name="wrn.Revenue._.Details." localSheetId="7" hidden="1">{"Revenue by Industry Chart",#N/A,FALSE,"Mix";"Annual Revenue Detail",#N/A,FALSE,"Mix";"Quarterly Revenue Detail",#N/A,FALSE,"Mix"}</definedName>
    <definedName name="wrn.Revenue._.Details." localSheetId="4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iverwood_comp_model." localSheetId="6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7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f." localSheetId="7" hidden="1">{#N/A,#N/A,FALSE,"SAFILOR"}</definedName>
    <definedName name="wrn.saf." localSheetId="4" hidden="1">{#N/A,#N/A,FALSE,"SAFILOR"}</definedName>
    <definedName name="wrn.saf." hidden="1">{#N/A,#N/A,FALSE,"SAFILOR"}</definedName>
    <definedName name="wrn.San._.Pedro." localSheetId="6" hidden="1">{#N/A,#N/A,FALSE,"San Pedro"}</definedName>
    <definedName name="wrn.San._.Pedro." localSheetId="7" hidden="1">{#N/A,#N/A,FALSE,"San Pedro"}</definedName>
    <definedName name="wrn.San._.Pedro." localSheetId="4" hidden="1">{#N/A,#N/A,FALSE,"San Pedro"}</definedName>
    <definedName name="wrn.San._.Pedro." localSheetId="3" hidden="1">{#N/A,#N/A,FALSE,"San Pedro"}</definedName>
    <definedName name="wrn.San._.Pedro." localSheetId="11" hidden="1">{#N/A,#N/A,FALSE,"San Pedro"}</definedName>
    <definedName name="wrn.San._.Pedro." hidden="1">{#N/A,#N/A,FALSE,"San Pedro"}</definedName>
    <definedName name="wrn.Summary." localSheetId="7" hidden="1">{"Print Summary",#N/A,FALSE,"Bal_Graphs";"Print Summary",#N/A,FALSE,"DCF";"Print Summary",#N/A,FALSE,"Graphs";"Print Summary",#N/A,FALSE,"Summary"}</definedName>
    <definedName name="wrn.Summary." localSheetId="4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.Output." localSheetId="6" hidden="1">{#N/A,#N/A,FALSE,"Title";#N/A,#N/A,FALSE,"Inputs";#N/A,#N/A,FALSE,"Impact"}</definedName>
    <definedName name="wrn.Summary._.Output." localSheetId="7" hidden="1">{#N/A,#N/A,FALSE,"Title";#N/A,#N/A,FALSE,"Inputs";#N/A,#N/A,FALSE,"Impact"}</definedName>
    <definedName name="wrn.Summary._.Output." localSheetId="4" hidden="1">{#N/A,#N/A,FALSE,"Title";#N/A,#N/A,FALSE,"Inputs";#N/A,#N/A,FALSE,"Impact"}</definedName>
    <definedName name="wrn.Summary._.Output." localSheetId="3" hidden="1">{#N/A,#N/A,FALSE,"Title";#N/A,#N/A,FALSE,"Inputs";#N/A,#N/A,FALSE,"Impact"}</definedName>
    <definedName name="wrn.Summary._.Output." localSheetId="11" hidden="1">{#N/A,#N/A,FALSE,"Title";#N/A,#N/A,FALSE,"Inputs";#N/A,#N/A,FALSE,"Impact"}</definedName>
    <definedName name="wrn.Summary._.Output." hidden="1">{#N/A,#N/A,FALSE,"Title";#N/A,#N/A,FALSE,"Inputs";#N/A,#N/A,FALSE,"Impact"}</definedName>
    <definedName name="wrn.Summary._.Projections." localSheetId="6" hidden="1">{#N/A,#N/A,FALSE,"Summary - Forte";#N/A,#N/A,FALSE,"Summary - ITT"}</definedName>
    <definedName name="wrn.Summary._.Projections." localSheetId="7" hidden="1">{#N/A,#N/A,FALSE,"Summary - Forte";#N/A,#N/A,FALSE,"Summary - ITT"}</definedName>
    <definedName name="wrn.Summary._.Projections." localSheetId="4" hidden="1">{#N/A,#N/A,FALSE,"Summary - Forte";#N/A,#N/A,FALSE,"Summary - ITT"}</definedName>
    <definedName name="wrn.Summary._.Projections." localSheetId="3" hidden="1">{#N/A,#N/A,FALSE,"Summary - Forte";#N/A,#N/A,FALSE,"Summary - ITT"}</definedName>
    <definedName name="wrn.Summary._.Projections." localSheetId="11" hidden="1">{#N/A,#N/A,FALSE,"Summary - Forte";#N/A,#N/A,FALSE,"Summary - ITT"}</definedName>
    <definedName name="wrn.Summary._.Projections." hidden="1">{#N/A,#N/A,FALSE,"Summary - Forte";#N/A,#N/A,FALSE,"Summary - ITT"}</definedName>
    <definedName name="wrn.SummaryPgs." localSheetId="6" hidden="1">{#N/A,#N/A,FALSE,"CreditStat";#N/A,#N/A,FALSE,"SPbrkup";#N/A,#N/A,FALSE,"MerSPsyn";#N/A,#N/A,FALSE,"MerSPwKCsyn";#N/A,#N/A,FALSE,"MerSPwKCsyn (2)";#N/A,#N/A,FALSE,"CreditStat (2)"}</definedName>
    <definedName name="wrn.SummaryPgs." localSheetId="7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localSheetId="11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USW." localSheetId="6" hidden="1">{"IS",#N/A,FALSE,"IS";"RPTIS",#N/A,FALSE,"RPTIS";"STATS",#N/A,FALSE,"STATS";"BS",#N/A,FALSE,"BS"}</definedName>
    <definedName name="wrn.USW." localSheetId="7" hidden="1">{"IS",#N/A,FALSE,"IS";"RPTIS",#N/A,FALSE,"RPTIS";"STATS",#N/A,FALSE,"STATS";"BS",#N/A,FALSE,"BS"}</definedName>
    <definedName name="wrn.USW." localSheetId="4" hidden="1">{"IS",#N/A,FALSE,"IS";"RPTIS",#N/A,FALSE,"RPTIS";"STATS",#N/A,FALSE,"STATS";"BS",#N/A,FALSE,"BS"}</definedName>
    <definedName name="wrn.USW." localSheetId="3" hidden="1">{"IS",#N/A,FALSE,"IS";"RPTIS",#N/A,FALSE,"RPTIS";"STATS",#N/A,FALSE,"STATS";"BS",#N/A,FALSE,"BS"}</definedName>
    <definedName name="wrn.USW." localSheetId="11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sed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6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7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4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1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whkf" localSheetId="11">[38]Input!#REF!</definedName>
    <definedName name="wwhkf">[38]Input!#REF!</definedName>
    <definedName name="wwhpbkf" localSheetId="7">#REF!</definedName>
    <definedName name="wwhpbkf" localSheetId="11">#REF!</definedName>
    <definedName name="wwhpbkf">#REF!</definedName>
    <definedName name="x" localSheetId="7" hidden="1">'[56]EVA1'!#REF!</definedName>
    <definedName name="x" localSheetId="4" hidden="1">{"EUUTI","COMPANIES",TRUE}</definedName>
    <definedName name="x" hidden="1">{"EUUTI","COMPANIES",TRUE}</definedName>
    <definedName name="xx" localSheetId="6" hidden="1">{#N/A,#N/A,FALSE,"Title";#N/A,#N/A,FALSE,"Inputs";#N/A,#N/A,FALSE,"Impact";#N/A,#N/A,FALSE,"Sources &amp; Uses";#N/A,#N/A,FALSE,"Capitalization Impact";#N/A,#N/A,FALSE,"NEWCO Projections"}</definedName>
    <definedName name="xx" localSheetId="7" hidden="1">{#N/A,#N/A,FALSE,"Title";#N/A,#N/A,FALSE,"Inputs";#N/A,#N/A,FALSE,"Impact";#N/A,#N/A,FALSE,"Sources &amp; Uses";#N/A,#N/A,FALSE,"Capitalization Impact";#N/A,#N/A,FALSE,"NEWCO Projections"}</definedName>
    <definedName name="XX" localSheetId="4">{#N/A,#N/A,FALSE,"Title";#N/A,#N/A,FALSE,"Inputs";#N/A,#N/A,FALSE,"Impact";#N/A,#N/A,FALSE,"Sources &amp; Uses";#N/A,#N/A,FALSE,"Capitalization Impact";#N/A,#N/A,FALSE,"NEWCO Projections"}</definedName>
    <definedName name="XX" localSheetId="3">{#N/A,#N/A,FALSE,"Title";#N/A,#N/A,FALSE,"Inputs";#N/A,#N/A,FALSE,"Impact";#N/A,#N/A,FALSE,"Sources &amp; Uses";#N/A,#N/A,FALSE,"Capitalization Impact";#N/A,#N/A,FALSE,"NEWCO Projections"}</definedName>
    <definedName name="XX" localSheetId="11">{#N/A,#N/A,FALSE,"Title";#N/A,#N/A,FALSE,"Inputs";#N/A,#N/A,FALSE,"Impact";#N/A,#N/A,FALSE,"Sources &amp; Uses";#N/A,#N/A,FALSE,"Capitalization Impact";#N/A,#N/A,FALSE,"NEWCO Projections"}</definedName>
    <definedName name="XX" hidden="1">{#N/A,#N/A,FALSE,"Title";#N/A,#N/A,FALSE,"Inputs";#N/A,#N/A,FALSE,"Impact";#N/A,#N/A,FALSE,"Sources &amp; Uses";#N/A,#N/A,FALSE,"Capitalization Impact";#N/A,#N/A,FALSE,"NEWCO Projections"}</definedName>
    <definedName name="XXX" localSheetId="11" hidden="1">[135]Canali!#REF!</definedName>
    <definedName name="XXX" hidden="1">[135]Canali!#REF!</definedName>
    <definedName name="xxxx" localSheetId="6" hidden="1">{#N/A,#N/A,FALSE,"Sheet1";#N/A,#N/A,FALSE,"Sheet2";#N/A,#N/A,FALSE,"Sheet3";#N/A,#N/A,FALSE,"Sheet4";#N/A,#N/A,FALSE,"Sheet5";#N/A,#N/A,FALSE,"Sheet6"}</definedName>
    <definedName name="xxxx" localSheetId="7" hidden="1">{#N/A,#N/A,FALSE,"Sheet1";#N/A,#N/A,FALSE,"Sheet2";#N/A,#N/A,FALSE,"Sheet3";#N/A,#N/A,FALSE,"Sheet4";#N/A,#N/A,FALSE,"Sheet5";#N/A,#N/A,FALSE,"Sheet6"}</definedName>
    <definedName name="xxxx" localSheetId="4" hidden="1">{#N/A,#N/A,FALSE,"Sheet1";#N/A,#N/A,FALSE,"Sheet2";#N/A,#N/A,FALSE,"Sheet3";#N/A,#N/A,FALSE,"Sheet4";#N/A,#N/A,FALSE,"Sheet5";#N/A,#N/A,FALSE,"Sheet6"}</definedName>
    <definedName name="xxxx" localSheetId="3" hidden="1">{#N/A,#N/A,FALSE,"Sheet1";#N/A,#N/A,FALSE,"Sheet2";#N/A,#N/A,FALSE,"Sheet3";#N/A,#N/A,FALSE,"Sheet4";#N/A,#N/A,FALSE,"Sheet5";#N/A,#N/A,FALSE,"Sheet6"}</definedName>
    <definedName name="xxxx" localSheetId="11" hidden="1">{#N/A,#N/A,FALSE,"Sheet1";#N/A,#N/A,FALSE,"Sheet2";#N/A,#N/A,FALSE,"Sheet3";#N/A,#N/A,FALSE,"Sheet4";#N/A,#N/A,FALSE,"Sheet5";#N/A,#N/A,FALSE,"Sheet6"}</definedName>
    <definedName name="xxxx" hidden="1">{#N/A,#N/A,FALSE,"Sheet1";#N/A,#N/A,FALSE,"Sheet2";#N/A,#N/A,FALSE,"Sheet3";#N/A,#N/A,FALSE,"Sheet4";#N/A,#N/A,FALSE,"Sheet5";#N/A,#N/A,FALSE,"Sheet6"}</definedName>
    <definedName name="ye.05" localSheetId="11">[136]Ratios!#REF!</definedName>
    <definedName name="ye.05">[136]Ratios!#REF!</definedName>
    <definedName name="year" localSheetId="7">#REF!</definedName>
    <definedName name="year" localSheetId="11">#REF!</definedName>
    <definedName name="year">#REF!</definedName>
    <definedName name="Year_End_Net_Cash____Debt" localSheetId="7">#REF!</definedName>
    <definedName name="Year_End_Net_Cash____Debt" localSheetId="11">#REF!</definedName>
    <definedName name="Year_End_Net_Cash____Debt">#REF!</definedName>
    <definedName name="Year_End_Number_of_Employees" localSheetId="7">#REF!</definedName>
    <definedName name="Year_End_Number_of_Employees" localSheetId="11">#REF!</definedName>
    <definedName name="Year_End_Number_of_Employees">#REF!</definedName>
    <definedName name="Years">"A1:v1"</definedName>
    <definedName name="Yen" localSheetId="11">#REF!</definedName>
    <definedName name="Yen">#REF!</definedName>
    <definedName name="YenUS">[41]Datastream!$B$16</definedName>
    <definedName name="YesNo">'[61]DDETABLE '!$AK$2:$AK$3</definedName>
    <definedName name="Yr0" localSheetId="7">#REF!</definedName>
    <definedName name="Yr0" localSheetId="11">#REF!</definedName>
    <definedName name="Yr0">#REF!</definedName>
    <definedName name="YTD" localSheetId="11">'[27]Income Statement Summary'!#REF!</definedName>
    <definedName name="YTD">'[27]Income Statement Summary'!#REF!</definedName>
    <definedName name="YTDbp" localSheetId="11">'[27]Income Statement Summary'!#REF!</definedName>
    <definedName name="YTDbp">'[27]Income Statement Summary'!#REF!</definedName>
    <definedName name="YTDpercentBps" localSheetId="11">'[39]Income Statement Summary'!#REF!</definedName>
    <definedName name="YTDpercentBps">'[39]Income Statement Summary'!#REF!</definedName>
    <definedName name="YTDPL" localSheetId="11">'[39]Income Statement Summary'!#REF!</definedName>
    <definedName name="YTDPL">'[39]Income Statement Summary'!#REF!</definedName>
    <definedName name="yy" localSheetId="7">#REF!</definedName>
    <definedName name="yy" localSheetId="11">#REF!</definedName>
    <definedName name="yy">#REF!</definedName>
    <definedName name="yyyy" localSheetId="6" hidden="1">{#N/A,#N/A,FALSE,"Sheet1";#N/A,#N/A,FALSE,"Sheet2";#N/A,#N/A,FALSE,"Sheet3";#N/A,#N/A,FALSE,"Sheet4";#N/A,#N/A,FALSE,"Sheet5";#N/A,#N/A,FALSE,"Sheet6"}</definedName>
    <definedName name="yyyy" localSheetId="7" hidden="1">{#N/A,#N/A,FALSE,"Sheet1";#N/A,#N/A,FALSE,"Sheet2";#N/A,#N/A,FALSE,"Sheet3";#N/A,#N/A,FALSE,"Sheet4";#N/A,#N/A,FALSE,"Sheet5";#N/A,#N/A,FALSE,"Sheet6"}</definedName>
    <definedName name="yyyy" localSheetId="4" hidden="1">{#N/A,#N/A,FALSE,"Sheet1";#N/A,#N/A,FALSE,"Sheet2";#N/A,#N/A,FALSE,"Sheet3";#N/A,#N/A,FALSE,"Sheet4";#N/A,#N/A,FALSE,"Sheet5";#N/A,#N/A,FALSE,"Sheet6"}</definedName>
    <definedName name="yyyy" localSheetId="3" hidden="1">{#N/A,#N/A,FALSE,"Sheet1";#N/A,#N/A,FALSE,"Sheet2";#N/A,#N/A,FALSE,"Sheet3";#N/A,#N/A,FALSE,"Sheet4";#N/A,#N/A,FALSE,"Sheet5";#N/A,#N/A,FALSE,"Sheet6"}</definedName>
    <definedName name="yyyy" localSheetId="11" hidden="1">{#N/A,#N/A,FALSE,"Sheet1";#N/A,#N/A,FALSE,"Sheet2";#N/A,#N/A,FALSE,"Sheet3";#N/A,#N/A,FALSE,"Sheet4";#N/A,#N/A,FALSE,"Sheet5";#N/A,#N/A,FALSE,"Sheet6"}</definedName>
    <definedName name="yyyy" hidden="1">{#N/A,#N/A,FALSE,"Sheet1";#N/A,#N/A,FALSE,"Sheet2";#N/A,#N/A,FALSE,"Sheet3";#N/A,#N/A,FALSE,"Sheet4";#N/A,#N/A,FALSE,"Sheet5";#N/A,#N/A,FALSE,"Sheet6"}</definedName>
    <definedName name="z" localSheetId="6" hidden="1">{#N/A,#N/A,FALSE,"Sheet1";#N/A,#N/A,FALSE,"Sheet2";#N/A,#N/A,FALSE,"Sheet3";#N/A,#N/A,FALSE,"Sheet4";#N/A,#N/A,FALSE,"Sheet5";#N/A,#N/A,FALSE,"Sheet6"}</definedName>
    <definedName name="z" localSheetId="7" hidden="1">{#N/A,#N/A,FALSE,"Sheet1";#N/A,#N/A,FALSE,"Sheet2";#N/A,#N/A,FALSE,"Sheet3";#N/A,#N/A,FALSE,"Sheet4";#N/A,#N/A,FALSE,"Sheet5";#N/A,#N/A,FALSE,"Sheet6"}</definedName>
    <definedName name="z" localSheetId="4" hidden="1">{#N/A,#N/A,FALSE,"Sheet1";#N/A,#N/A,FALSE,"Sheet2";#N/A,#N/A,FALSE,"Sheet3";#N/A,#N/A,FALSE,"Sheet4";#N/A,#N/A,FALSE,"Sheet5";#N/A,#N/A,FALSE,"Sheet6"}</definedName>
    <definedName name="z" localSheetId="3" hidden="1">{#N/A,#N/A,FALSE,"Sheet1";#N/A,#N/A,FALSE,"Sheet2";#N/A,#N/A,FALSE,"Sheet3";#N/A,#N/A,FALSE,"Sheet4";#N/A,#N/A,FALSE,"Sheet5";#N/A,#N/A,FALSE,"Sheet6"}</definedName>
    <definedName name="z" localSheetId="11" hidden="1">{#N/A,#N/A,FALSE,"Sheet1";#N/A,#N/A,FALSE,"Sheet2";#N/A,#N/A,FALSE,"Sheet3";#N/A,#N/A,FALSE,"Sheet4";#N/A,#N/A,FALSE,"Sheet5";#N/A,#N/A,FALSE,"Sheet6"}</definedName>
    <definedName name="z" hidden="1">{#N/A,#N/A,FALSE,"Sheet1";#N/A,#N/A,FALSE,"Sheet2";#N/A,#N/A,FALSE,"Sheet3";#N/A,#N/A,FALSE,"Sheet4";#N/A,#N/A,FALSE,"Sheet5";#N/A,#N/A,FALSE,"Sheet6"}</definedName>
    <definedName name="ZASH91" localSheetId="11">[4]roysuna!#REF!</definedName>
    <definedName name="ZASH91">[4]roysuna!#REF!</definedName>
    <definedName name="ZASH92" localSheetId="11">[4]roysuna!#REF!</definedName>
    <definedName name="ZASH92">[4]roysuna!#REF!</definedName>
    <definedName name="ZASH93" localSheetId="11">[4]roysuna!#REF!</definedName>
    <definedName name="ZASH93">[4]roysuna!#REF!</definedName>
    <definedName name="ZASH94" localSheetId="11">[4]roysuna!#REF!</definedName>
    <definedName name="ZASH94">[4]roysuna!#REF!</definedName>
    <definedName name="ZASH95" localSheetId="11">[4]roysuna!#REF!</definedName>
    <definedName name="ZASH95">[4]roysuna!#REF!</definedName>
    <definedName name="ZASH96" localSheetId="11">[4]roysuna!#REF!</definedName>
    <definedName name="ZASH96">[4]roysuna!#REF!</definedName>
    <definedName name="ZASH97" localSheetId="11">[4]roysuna!#REF!</definedName>
    <definedName name="ZASH97">[4]roysuna!#REF!</definedName>
    <definedName name="ZASH98" localSheetId="11">[4]roysuna!#REF!</definedName>
    <definedName name="ZASH98">[4]roysuna!#REF!</definedName>
    <definedName name="ZASH99" localSheetId="11">[4]roysuna!#REF!</definedName>
    <definedName name="ZASH99">[4]roysuna!#REF!</definedName>
    <definedName name="ZASY91" localSheetId="11">[4]roysuna!#REF!</definedName>
    <definedName name="ZASY91">[4]roysuna!#REF!</definedName>
    <definedName name="ZASY92" localSheetId="11">[4]roysuna!#REF!</definedName>
    <definedName name="ZASY92">[4]roysuna!#REF!</definedName>
    <definedName name="ZASY93" localSheetId="11">[4]roysuna!#REF!</definedName>
    <definedName name="ZASY93">[4]roysuna!#REF!</definedName>
    <definedName name="ZASY94" localSheetId="11">[4]roysuna!#REF!</definedName>
    <definedName name="ZASY94">[4]roysuna!#REF!</definedName>
    <definedName name="ZASY95" localSheetId="11">[4]roysuna!#REF!</definedName>
    <definedName name="ZASY95">[4]roysuna!#REF!</definedName>
    <definedName name="ZASY96" localSheetId="11">[4]roysuna!#REF!</definedName>
    <definedName name="ZASY96">[4]roysuna!#REF!</definedName>
    <definedName name="ZASY97" localSheetId="11">[4]roysuna!#REF!</definedName>
    <definedName name="ZASY97">[4]roysuna!#REF!</definedName>
    <definedName name="ZASY98" localSheetId="11">[4]roysuna!#REF!</definedName>
    <definedName name="ZASY98">[4]roysuna!#REF!</definedName>
    <definedName name="ZASY99" localSheetId="11">[4]roysuna!#REF!</definedName>
    <definedName name="ZASY99">[4]roysuna!#REF!</definedName>
    <definedName name="zb" localSheetId="6" hidden="1">{#N/A,#N/A,FALSE,"Sheet1";#N/A,#N/A,FALSE,"Sheet2";#N/A,#N/A,FALSE,"Sheet3";#N/A,#N/A,FALSE,"Sheet4";#N/A,#N/A,FALSE,"Sheet5";#N/A,#N/A,FALSE,"Sheet6"}</definedName>
    <definedName name="zb" localSheetId="7" hidden="1">{#N/A,#N/A,FALSE,"Sheet1";#N/A,#N/A,FALSE,"Sheet2";#N/A,#N/A,FALSE,"Sheet3";#N/A,#N/A,FALSE,"Sheet4";#N/A,#N/A,FALSE,"Sheet5";#N/A,#N/A,FALSE,"Sheet6"}</definedName>
    <definedName name="zb" localSheetId="4" hidden="1">{#N/A,#N/A,FALSE,"Sheet1";#N/A,#N/A,FALSE,"Sheet2";#N/A,#N/A,FALSE,"Sheet3";#N/A,#N/A,FALSE,"Sheet4";#N/A,#N/A,FALSE,"Sheet5";#N/A,#N/A,FALSE,"Sheet6"}</definedName>
    <definedName name="zb" localSheetId="3" hidden="1">{#N/A,#N/A,FALSE,"Sheet1";#N/A,#N/A,FALSE,"Sheet2";#N/A,#N/A,FALSE,"Sheet3";#N/A,#N/A,FALSE,"Sheet4";#N/A,#N/A,FALSE,"Sheet5";#N/A,#N/A,FALSE,"Sheet6"}</definedName>
    <definedName name="zb" localSheetId="11" hidden="1">{#N/A,#N/A,FALSE,"Sheet1";#N/A,#N/A,FALSE,"Sheet2";#N/A,#N/A,FALSE,"Sheet3";#N/A,#N/A,FALSE,"Sheet4";#N/A,#N/A,FALSE,"Sheet5";#N/A,#N/A,FALSE,"Sheet6"}</definedName>
    <definedName name="zb" hidden="1">{#N/A,#N/A,FALSE,"Sheet1";#N/A,#N/A,FALSE,"Sheet2";#N/A,#N/A,FALSE,"Sheet3";#N/A,#N/A,FALSE,"Sheet4";#N/A,#N/A,FALSE,"Sheet5";#N/A,#N/A,FALSE,"Sheet6"}</definedName>
    <definedName name="ZE_H91" localSheetId="11">[4]roysuna!#REF!</definedName>
    <definedName name="ZE_H91">[4]roysuna!#REF!</definedName>
    <definedName name="ZE_H92" localSheetId="11">[4]roysuna!#REF!</definedName>
    <definedName name="ZE_H92">[4]roysuna!#REF!</definedName>
    <definedName name="ZE_H93" localSheetId="11">[4]roysuna!#REF!</definedName>
    <definedName name="ZE_H93">[4]roysuna!#REF!</definedName>
    <definedName name="ZE_H94" localSheetId="11">[4]roysuna!#REF!</definedName>
    <definedName name="ZE_H94">[4]roysuna!#REF!</definedName>
    <definedName name="ZE_H95" localSheetId="11">[4]roysuna!#REF!</definedName>
    <definedName name="ZE_H95">[4]roysuna!#REF!</definedName>
    <definedName name="ZE_H96" localSheetId="11">[4]roysuna!#REF!</definedName>
    <definedName name="ZE_H96">[4]roysuna!#REF!</definedName>
    <definedName name="ZE_H97" localSheetId="11">[4]roysuna!#REF!</definedName>
    <definedName name="ZE_H97">[4]roysuna!#REF!</definedName>
    <definedName name="ZE_H98" localSheetId="11">[4]roysuna!#REF!</definedName>
    <definedName name="ZE_H98">[4]roysuna!#REF!</definedName>
    <definedName name="ZE_H99" localSheetId="11">[4]roysuna!#REF!</definedName>
    <definedName name="ZE_H99">[4]roysuna!#REF!</definedName>
    <definedName name="ZE_Y91" localSheetId="11">[4]roysuna!#REF!</definedName>
    <definedName name="ZE_Y91">[4]roysuna!#REF!</definedName>
    <definedName name="ZE_Y92" localSheetId="11">[4]roysuna!#REF!</definedName>
    <definedName name="ZE_Y92">[4]roysuna!#REF!</definedName>
    <definedName name="ZE_Y93" localSheetId="11">[4]roysuna!#REF!</definedName>
    <definedName name="ZE_Y93">[4]roysuna!#REF!</definedName>
    <definedName name="ZE_Y94" localSheetId="11">[4]roysuna!#REF!</definedName>
    <definedName name="ZE_Y94">[4]roysuna!#REF!</definedName>
    <definedName name="ZE_Y95" localSheetId="11">[4]roysuna!#REF!</definedName>
    <definedName name="ZE_Y95">[4]roysuna!#REF!</definedName>
    <definedName name="ZE_Y96" localSheetId="11">[4]roysuna!#REF!</definedName>
    <definedName name="ZE_Y96">[4]roysuna!#REF!</definedName>
    <definedName name="ZE_Y97" localSheetId="11">[4]roysuna!#REF!</definedName>
    <definedName name="ZE_Y97">[4]roysuna!#REF!</definedName>
    <definedName name="ZE_Y98" localSheetId="11">[4]roysuna!#REF!</definedName>
    <definedName name="ZE_Y98">[4]roysuna!#REF!</definedName>
    <definedName name="ZE_Y99" localSheetId="11">[4]roysuna!#REF!</definedName>
    <definedName name="ZE_Y99">[4]roysuna!#REF!</definedName>
    <definedName name="ZEAGH91" localSheetId="11">[4]roysuna!#REF!</definedName>
    <definedName name="ZEAGH91">[4]roysuna!#REF!</definedName>
    <definedName name="ZEAGH92" localSheetId="11">[4]roysuna!#REF!</definedName>
    <definedName name="ZEAGH92">[4]roysuna!#REF!</definedName>
    <definedName name="ZEAGH93" localSheetId="11">[4]roysuna!#REF!</definedName>
    <definedName name="ZEAGH93">[4]roysuna!#REF!</definedName>
    <definedName name="ZEAGH94" localSheetId="11">[4]roysuna!#REF!</definedName>
    <definedName name="ZEAGH94">[4]roysuna!#REF!</definedName>
    <definedName name="ZEAGH95" localSheetId="11">[4]roysuna!#REF!</definedName>
    <definedName name="ZEAGH95">[4]roysuna!#REF!</definedName>
    <definedName name="ZEAGH96" localSheetId="11">[4]roysuna!#REF!</definedName>
    <definedName name="ZEAGH96">[4]roysuna!#REF!</definedName>
    <definedName name="ZEAGH97" localSheetId="11">[4]roysuna!#REF!</definedName>
    <definedName name="ZEAGH97">[4]roysuna!#REF!</definedName>
    <definedName name="ZEAGH98" localSheetId="11">[4]roysuna!#REF!</definedName>
    <definedName name="ZEAGH98">[4]roysuna!#REF!</definedName>
    <definedName name="ZEAGH99" localSheetId="11">[4]roysuna!#REF!</definedName>
    <definedName name="ZEAGH99">[4]roysuna!#REF!</definedName>
    <definedName name="ZEAGY91" localSheetId="11">[4]roysuna!#REF!</definedName>
    <definedName name="ZEAGY91">[4]roysuna!#REF!</definedName>
    <definedName name="ZEAGY92" localSheetId="11">[4]roysuna!#REF!</definedName>
    <definedName name="ZEAGY92">[4]roysuna!#REF!</definedName>
    <definedName name="ZEAGY93" localSheetId="11">[4]roysuna!#REF!</definedName>
    <definedName name="ZEAGY93">[4]roysuna!#REF!</definedName>
    <definedName name="ZEAGY94" localSheetId="11">[4]roysuna!#REF!</definedName>
    <definedName name="ZEAGY94">[4]roysuna!#REF!</definedName>
    <definedName name="ZEAGY95" localSheetId="11">[4]roysuna!#REF!</definedName>
    <definedName name="ZEAGY95">[4]roysuna!#REF!</definedName>
    <definedName name="ZEAGY96" localSheetId="11">[4]roysuna!#REF!</definedName>
    <definedName name="ZEAGY96">[4]roysuna!#REF!</definedName>
    <definedName name="ZEAGY97" localSheetId="11">[4]roysuna!#REF!</definedName>
    <definedName name="ZEAGY97">[4]roysuna!#REF!</definedName>
    <definedName name="ZEAGY98" localSheetId="11">[4]roysuna!#REF!</definedName>
    <definedName name="ZEAGY98">[4]roysuna!#REF!</definedName>
    <definedName name="ZEAGY99" localSheetId="11">[4]roysuna!#REF!</definedName>
    <definedName name="ZEAGY99">[4]roysuna!#REF!</definedName>
    <definedName name="ZECH91" localSheetId="11">[4]roysuna!#REF!</definedName>
    <definedName name="ZECH91">[4]roysuna!#REF!</definedName>
    <definedName name="ZECH92" localSheetId="11">[4]roysuna!#REF!</definedName>
    <definedName name="ZECH92">[4]roysuna!#REF!</definedName>
    <definedName name="ZECH93" localSheetId="11">[4]roysuna!#REF!</definedName>
    <definedName name="ZECH93">[4]roysuna!#REF!</definedName>
    <definedName name="ZECH94" localSheetId="11">[4]roysuna!#REF!</definedName>
    <definedName name="ZECH94">[4]roysuna!#REF!</definedName>
    <definedName name="ZECH95" localSheetId="11">[4]roysuna!#REF!</definedName>
    <definedName name="ZECH95">[4]roysuna!#REF!</definedName>
    <definedName name="ZECH96" localSheetId="11">[4]roysuna!#REF!</definedName>
    <definedName name="ZECH96">[4]roysuna!#REF!</definedName>
    <definedName name="ZECH97" localSheetId="11">[4]roysuna!#REF!</definedName>
    <definedName name="ZECH97">[4]roysuna!#REF!</definedName>
    <definedName name="ZECH98" localSheetId="11">[4]roysuna!#REF!</definedName>
    <definedName name="ZECH98">[4]roysuna!#REF!</definedName>
    <definedName name="ZECH99" localSheetId="11">[4]roysuna!#REF!</definedName>
    <definedName name="ZECH99">[4]roysuna!#REF!</definedName>
    <definedName name="ZECY91" localSheetId="11">[4]roysuna!#REF!</definedName>
    <definedName name="ZECY91">[4]roysuna!#REF!</definedName>
    <definedName name="ZECY92" localSheetId="11">[4]roysuna!#REF!</definedName>
    <definedName name="ZECY92">[4]roysuna!#REF!</definedName>
    <definedName name="ZECY93" localSheetId="11">[4]roysuna!#REF!</definedName>
    <definedName name="ZECY93">[4]roysuna!#REF!</definedName>
    <definedName name="ZECY94" localSheetId="11">[4]roysuna!#REF!</definedName>
    <definedName name="ZECY94">[4]roysuna!#REF!</definedName>
    <definedName name="ZECY95" localSheetId="11">[4]roysuna!#REF!</definedName>
    <definedName name="ZECY95">[4]roysuna!#REF!</definedName>
    <definedName name="ZECY96" localSheetId="11">[4]roysuna!#REF!</definedName>
    <definedName name="ZECY96">[4]roysuna!#REF!</definedName>
    <definedName name="ZECY97" localSheetId="11">[4]roysuna!#REF!</definedName>
    <definedName name="ZECY97">[4]roysuna!#REF!</definedName>
    <definedName name="ZECY98" localSheetId="11">[4]roysuna!#REF!</definedName>
    <definedName name="ZECY98">[4]roysuna!#REF!</definedName>
    <definedName name="ZECY99" localSheetId="11">[4]roysuna!#REF!</definedName>
    <definedName name="ZECY99">[4]roysuna!#REF!</definedName>
    <definedName name="ZEPH91" localSheetId="11">[4]roysuna!#REF!</definedName>
    <definedName name="ZEPH91">[4]roysuna!#REF!</definedName>
    <definedName name="ZEPH92" localSheetId="11">[4]roysuna!#REF!</definedName>
    <definedName name="ZEPH92">[4]roysuna!#REF!</definedName>
    <definedName name="ZEPH93" localSheetId="11">[4]roysuna!#REF!</definedName>
    <definedName name="ZEPH93">[4]roysuna!#REF!</definedName>
    <definedName name="ZEPH94" localSheetId="11">[4]roysuna!#REF!</definedName>
    <definedName name="ZEPH94">[4]roysuna!#REF!</definedName>
    <definedName name="ZEPH95" localSheetId="11">[4]roysuna!#REF!</definedName>
    <definedName name="ZEPH95">[4]roysuna!#REF!</definedName>
    <definedName name="ZEPH96" localSheetId="11">[4]roysuna!#REF!</definedName>
    <definedName name="ZEPH96">[4]roysuna!#REF!</definedName>
    <definedName name="ZEPH97" localSheetId="11">[4]roysuna!#REF!</definedName>
    <definedName name="ZEPH97">[4]roysuna!#REF!</definedName>
    <definedName name="ZEPH98" localSheetId="11">[4]roysuna!#REF!</definedName>
    <definedName name="ZEPH98">[4]roysuna!#REF!</definedName>
    <definedName name="ZEPH99" localSheetId="11">[4]roysuna!#REF!</definedName>
    <definedName name="ZEPH99">[4]roysuna!#REF!</definedName>
    <definedName name="ZEPY91" localSheetId="11">[4]roysuna!#REF!</definedName>
    <definedName name="ZEPY91">[4]roysuna!#REF!</definedName>
    <definedName name="ZEPY92" localSheetId="11">[4]roysuna!#REF!</definedName>
    <definedName name="ZEPY92">[4]roysuna!#REF!</definedName>
    <definedName name="ZEPY93" localSheetId="11">[4]roysuna!#REF!</definedName>
    <definedName name="ZEPY93">[4]roysuna!#REF!</definedName>
    <definedName name="ZEPY94" localSheetId="11">[4]roysuna!#REF!</definedName>
    <definedName name="ZEPY94">[4]roysuna!#REF!</definedName>
    <definedName name="ZEPY95" localSheetId="11">[4]roysuna!#REF!</definedName>
    <definedName name="ZEPY95">[4]roysuna!#REF!</definedName>
    <definedName name="ZEPY96" localSheetId="11">[4]roysuna!#REF!</definedName>
    <definedName name="ZEPY96">[4]roysuna!#REF!</definedName>
    <definedName name="ZEPY97" localSheetId="11">[4]roysuna!#REF!</definedName>
    <definedName name="ZEPY97">[4]roysuna!#REF!</definedName>
    <definedName name="ZEPY98" localSheetId="11">[4]roysuna!#REF!</definedName>
    <definedName name="ZEPY98">[4]roysuna!#REF!</definedName>
    <definedName name="ZEPY99" localSheetId="11">[4]roysuna!#REF!</definedName>
    <definedName name="ZEPY99">[4]roysuna!#REF!</definedName>
    <definedName name="ZIIH91" localSheetId="11">[4]roysuna!#REF!</definedName>
    <definedName name="ZIIH91">[4]roysuna!#REF!</definedName>
    <definedName name="ZIIH92" localSheetId="11">[4]roysuna!#REF!</definedName>
    <definedName name="ZIIH92">[4]roysuna!#REF!</definedName>
    <definedName name="ZIIH93" localSheetId="11">[4]roysuna!#REF!</definedName>
    <definedName name="ZIIH93">[4]roysuna!#REF!</definedName>
    <definedName name="ZIIH94" localSheetId="11">[4]roysuna!#REF!</definedName>
    <definedName name="ZIIH94">[4]roysuna!#REF!</definedName>
    <definedName name="ZIIH95" localSheetId="11">[4]roysuna!#REF!</definedName>
    <definedName name="ZIIH95">[4]roysuna!#REF!</definedName>
    <definedName name="ZIIH96" localSheetId="11">[4]roysuna!#REF!</definedName>
    <definedName name="ZIIH96">[4]roysuna!#REF!</definedName>
    <definedName name="ZIIH97" localSheetId="11">[4]roysuna!#REF!</definedName>
    <definedName name="ZIIH97">[4]roysuna!#REF!</definedName>
    <definedName name="ZIIH98" localSheetId="11">[4]roysuna!#REF!</definedName>
    <definedName name="ZIIH98">[4]roysuna!#REF!</definedName>
    <definedName name="ZIIH99" localSheetId="11">[4]roysuna!#REF!</definedName>
    <definedName name="ZIIH99">[4]roysuna!#REF!</definedName>
    <definedName name="ZIIY91" localSheetId="11">[4]roysuna!#REF!</definedName>
    <definedName name="ZIIY91">[4]roysuna!#REF!</definedName>
    <definedName name="ZIIY92" localSheetId="11">[4]roysuna!#REF!</definedName>
    <definedName name="ZIIY92">[4]roysuna!#REF!</definedName>
    <definedName name="ZIIY93" localSheetId="11">[4]roysuna!#REF!</definedName>
    <definedName name="ZIIY93">[4]roysuna!#REF!</definedName>
    <definedName name="ZIIY94" localSheetId="11">[4]roysuna!#REF!</definedName>
    <definedName name="ZIIY94">[4]roysuna!#REF!</definedName>
    <definedName name="ZIIY95" localSheetId="11">[4]roysuna!#REF!</definedName>
    <definedName name="ZIIY95">[4]roysuna!#REF!</definedName>
    <definedName name="ZIIY96" localSheetId="11">[4]roysuna!#REF!</definedName>
    <definedName name="ZIIY96">[4]roysuna!#REF!</definedName>
    <definedName name="ZIIY97" localSheetId="11">[4]roysuna!#REF!</definedName>
    <definedName name="ZIIY97">[4]roysuna!#REF!</definedName>
    <definedName name="ZIIY98" localSheetId="11">[4]roysuna!#REF!</definedName>
    <definedName name="ZIIY98">[4]roysuna!#REF!</definedName>
    <definedName name="ZIIY99" localSheetId="11">[4]roysuna!#REF!</definedName>
    <definedName name="ZIIY99">[4]roysuna!#REF!</definedName>
    <definedName name="ZLPH91" localSheetId="11">[4]roysuna!#REF!</definedName>
    <definedName name="ZLPH91">[4]roysuna!#REF!</definedName>
    <definedName name="ZLPH92" localSheetId="11">[4]roysuna!#REF!</definedName>
    <definedName name="ZLPH92">[4]roysuna!#REF!</definedName>
    <definedName name="ZLPH93" localSheetId="11">[4]roysuna!#REF!</definedName>
    <definedName name="ZLPH93">[4]roysuna!#REF!</definedName>
    <definedName name="ZLPH94" localSheetId="11">[4]roysuna!#REF!</definedName>
    <definedName name="ZLPH94">[4]roysuna!#REF!</definedName>
    <definedName name="ZLPH95" localSheetId="11">[4]roysuna!#REF!</definedName>
    <definedName name="ZLPH95">[4]roysuna!#REF!</definedName>
    <definedName name="ZLPH96" localSheetId="11">[4]roysuna!#REF!</definedName>
    <definedName name="ZLPH96">[4]roysuna!#REF!</definedName>
    <definedName name="ZLPH97" localSheetId="11">[4]roysuna!#REF!</definedName>
    <definedName name="ZLPH97">[4]roysuna!#REF!</definedName>
    <definedName name="ZLPH98" localSheetId="11">[4]roysuna!#REF!</definedName>
    <definedName name="ZLPH98">[4]roysuna!#REF!</definedName>
    <definedName name="ZLPH99" localSheetId="11">[4]roysuna!#REF!</definedName>
    <definedName name="ZLPH99">[4]roysuna!#REF!</definedName>
    <definedName name="ZLPY91" localSheetId="11">[4]roysuna!#REF!</definedName>
    <definedName name="ZLPY91">[4]roysuna!#REF!</definedName>
    <definedName name="ZLPY92" localSheetId="11">[4]roysuna!#REF!</definedName>
    <definedName name="ZLPY92">[4]roysuna!#REF!</definedName>
    <definedName name="ZLPY93" localSheetId="11">[4]roysuna!#REF!</definedName>
    <definedName name="ZLPY93">[4]roysuna!#REF!</definedName>
    <definedName name="ZLPY94" localSheetId="11">[4]roysuna!#REF!</definedName>
    <definedName name="ZLPY94">[4]roysuna!#REF!</definedName>
    <definedName name="ZLPY95" localSheetId="11">[4]roysuna!#REF!</definedName>
    <definedName name="ZLPY95">[4]roysuna!#REF!</definedName>
    <definedName name="ZLPY96" localSheetId="11">[4]roysuna!#REF!</definedName>
    <definedName name="ZLPY96">[4]roysuna!#REF!</definedName>
    <definedName name="ZLPY97" localSheetId="11">[4]roysuna!#REF!</definedName>
    <definedName name="ZLPY97">[4]roysuna!#REF!</definedName>
    <definedName name="ZLPY98" localSheetId="11">[4]roysuna!#REF!</definedName>
    <definedName name="ZLPY98">[4]roysuna!#REF!</definedName>
    <definedName name="ZLPY99" localSheetId="11">[4]roysuna!#REF!</definedName>
    <definedName name="ZLPY99">[4]roysuna!#REF!</definedName>
    <definedName name="ZLSH91" localSheetId="11">[4]roysuna!#REF!</definedName>
    <definedName name="ZLSH91">[4]roysuna!#REF!</definedName>
    <definedName name="ZLSH92" localSheetId="11">[4]roysuna!#REF!</definedName>
    <definedName name="ZLSH92">[4]roysuna!#REF!</definedName>
    <definedName name="ZLSH93" localSheetId="11">[4]roysuna!#REF!</definedName>
    <definedName name="ZLSH93">[4]roysuna!#REF!</definedName>
    <definedName name="ZLSH94" localSheetId="11">[4]roysuna!#REF!</definedName>
    <definedName name="ZLSH94">[4]roysuna!#REF!</definedName>
    <definedName name="ZLSH95" localSheetId="11">[4]roysuna!#REF!</definedName>
    <definedName name="ZLSH95">[4]roysuna!#REF!</definedName>
    <definedName name="ZLSH96" localSheetId="11">[4]roysuna!#REF!</definedName>
    <definedName name="ZLSH96">[4]roysuna!#REF!</definedName>
    <definedName name="ZLSH97" localSheetId="11">[4]roysuna!#REF!</definedName>
    <definedName name="ZLSH97">[4]roysuna!#REF!</definedName>
    <definedName name="ZLSH98" localSheetId="11">[4]roysuna!#REF!</definedName>
    <definedName name="ZLSH98">[4]roysuna!#REF!</definedName>
    <definedName name="ZLSH99" localSheetId="11">[4]roysuna!#REF!</definedName>
    <definedName name="ZLSH99">[4]roysuna!#REF!</definedName>
    <definedName name="ZLSY91" localSheetId="11">[4]roysuna!#REF!</definedName>
    <definedName name="ZLSY91">[4]roysuna!#REF!</definedName>
    <definedName name="ZLSY92" localSheetId="11">[4]roysuna!#REF!</definedName>
    <definedName name="ZLSY92">[4]roysuna!#REF!</definedName>
    <definedName name="ZLSY93" localSheetId="11">[4]roysuna!#REF!</definedName>
    <definedName name="ZLSY93">[4]roysuna!#REF!</definedName>
    <definedName name="ZLSY94" localSheetId="11">[4]roysuna!#REF!</definedName>
    <definedName name="ZLSY94">[4]roysuna!#REF!</definedName>
    <definedName name="ZLSY95" localSheetId="11">[4]roysuna!#REF!</definedName>
    <definedName name="ZLSY95">[4]roysuna!#REF!</definedName>
    <definedName name="ZLSY96" localSheetId="11">[4]roysuna!#REF!</definedName>
    <definedName name="ZLSY96">[4]roysuna!#REF!</definedName>
    <definedName name="ZLSY97" localSheetId="11">[4]roysuna!#REF!</definedName>
    <definedName name="ZLSY97">[4]roysuna!#REF!</definedName>
    <definedName name="ZLSY98" localSheetId="11">[4]roysuna!#REF!</definedName>
    <definedName name="ZLSY98">[4]roysuna!#REF!</definedName>
    <definedName name="ZLSY99" localSheetId="11">[4]roysuna!#REF!</definedName>
    <definedName name="ZLSY99">[4]roysuna!#REF!</definedName>
    <definedName name="ZMIH91" localSheetId="11">[4]roysuna!#REF!</definedName>
    <definedName name="ZMIH91">[4]roysuna!#REF!</definedName>
    <definedName name="ZMIH92" localSheetId="11">[4]roysuna!#REF!</definedName>
    <definedName name="ZMIH92">[4]roysuna!#REF!</definedName>
    <definedName name="ZMIH93" localSheetId="11">[4]roysuna!#REF!</definedName>
    <definedName name="ZMIH93">[4]roysuna!#REF!</definedName>
    <definedName name="ZMIH94" localSheetId="11">[4]roysuna!#REF!</definedName>
    <definedName name="ZMIH94">[4]roysuna!#REF!</definedName>
    <definedName name="ZMIH95" localSheetId="11">[4]roysuna!#REF!</definedName>
    <definedName name="ZMIH95">[4]roysuna!#REF!</definedName>
    <definedName name="ZMIH96" localSheetId="11">[4]roysuna!#REF!</definedName>
    <definedName name="ZMIH96">[4]roysuna!#REF!</definedName>
    <definedName name="ZMIH97" localSheetId="11">[4]roysuna!#REF!</definedName>
    <definedName name="ZMIH97">[4]roysuna!#REF!</definedName>
    <definedName name="ZMIH98" localSheetId="11">[4]roysuna!#REF!</definedName>
    <definedName name="ZMIH98">[4]roysuna!#REF!</definedName>
    <definedName name="ZMIH99" localSheetId="11">[4]roysuna!#REF!</definedName>
    <definedName name="ZMIH99">[4]roysuna!#REF!</definedName>
    <definedName name="ZMIY91" localSheetId="11">[4]roysuna!#REF!</definedName>
    <definedName name="ZMIY91">[4]roysuna!#REF!</definedName>
    <definedName name="ZMIY92" localSheetId="11">[4]roysuna!#REF!</definedName>
    <definedName name="ZMIY92">[4]roysuna!#REF!</definedName>
    <definedName name="ZMIY93" localSheetId="11">[4]roysuna!#REF!</definedName>
    <definedName name="ZMIY93">[4]roysuna!#REF!</definedName>
    <definedName name="ZMIY94" localSheetId="11">[4]roysuna!#REF!</definedName>
    <definedName name="ZMIY94">[4]roysuna!#REF!</definedName>
    <definedName name="ZMIY95" localSheetId="11">[4]roysuna!#REF!</definedName>
    <definedName name="ZMIY95">[4]roysuna!#REF!</definedName>
    <definedName name="ZMIY96" localSheetId="11">[4]roysuna!#REF!</definedName>
    <definedName name="ZMIY96">[4]roysuna!#REF!</definedName>
    <definedName name="ZMIY97" localSheetId="11">[4]roysuna!#REF!</definedName>
    <definedName name="ZMIY97">[4]roysuna!#REF!</definedName>
    <definedName name="ZMIY98" localSheetId="11">[4]roysuna!#REF!</definedName>
    <definedName name="ZMIY98">[4]roysuna!#REF!</definedName>
    <definedName name="ZMIY99" localSheetId="11">[4]roysuna!#REF!</definedName>
    <definedName name="ZMIY99">[4]roysuna!#REF!</definedName>
    <definedName name="ZNDH91" localSheetId="11">[4]roysuna!#REF!</definedName>
    <definedName name="ZNDH91">[4]roysuna!#REF!</definedName>
    <definedName name="ZNDH92" localSheetId="11">[4]roysuna!#REF!</definedName>
    <definedName name="ZNDH92">[4]roysuna!#REF!</definedName>
    <definedName name="ZNDH93" localSheetId="11">[4]roysuna!#REF!</definedName>
    <definedName name="ZNDH93">[4]roysuna!#REF!</definedName>
    <definedName name="ZNDH94" localSheetId="11">[4]roysuna!#REF!</definedName>
    <definedName name="ZNDH94">[4]roysuna!#REF!</definedName>
    <definedName name="ZNDH95" localSheetId="11">[4]roysuna!#REF!</definedName>
    <definedName name="ZNDH95">[4]roysuna!#REF!</definedName>
    <definedName name="ZNDH96" localSheetId="11">[4]roysuna!#REF!</definedName>
    <definedName name="ZNDH96">[4]roysuna!#REF!</definedName>
    <definedName name="ZNDH97" localSheetId="11">[4]roysuna!#REF!</definedName>
    <definedName name="ZNDH97">[4]roysuna!#REF!</definedName>
    <definedName name="ZNDH98" localSheetId="11">[4]roysuna!#REF!</definedName>
    <definedName name="ZNDH98">[4]roysuna!#REF!</definedName>
    <definedName name="ZNDH99" localSheetId="11">[4]roysuna!#REF!</definedName>
    <definedName name="ZNDH99">[4]roysuna!#REF!</definedName>
    <definedName name="ZNDY91" localSheetId="11">[4]roysuna!#REF!</definedName>
    <definedName name="ZNDY91">[4]roysuna!#REF!</definedName>
    <definedName name="ZNDY92" localSheetId="11">[4]roysuna!#REF!</definedName>
    <definedName name="ZNDY92">[4]roysuna!#REF!</definedName>
    <definedName name="ZNDY93" localSheetId="11">[4]roysuna!#REF!</definedName>
    <definedName name="ZNDY93">[4]roysuna!#REF!</definedName>
    <definedName name="ZNDY94" localSheetId="11">[4]roysuna!#REF!</definedName>
    <definedName name="ZNDY94">[4]roysuna!#REF!</definedName>
    <definedName name="ZNDY95" localSheetId="11">[4]roysuna!#REF!</definedName>
    <definedName name="ZNDY95">[4]roysuna!#REF!</definedName>
    <definedName name="ZNDY96" localSheetId="11">[4]roysuna!#REF!</definedName>
    <definedName name="ZNDY96">[4]roysuna!#REF!</definedName>
    <definedName name="ZNDY97" localSheetId="11">[4]roysuna!#REF!</definedName>
    <definedName name="ZNDY97">[4]roysuna!#REF!</definedName>
    <definedName name="ZNDY98" localSheetId="11">[4]roysuna!#REF!</definedName>
    <definedName name="ZNDY98">[4]roysuna!#REF!</definedName>
    <definedName name="ZNDY99" localSheetId="11">[4]roysuna!#REF!</definedName>
    <definedName name="ZNDY99">[4]roysuna!#REF!</definedName>
    <definedName name="ZTAH91" localSheetId="11">[4]roysuna!#REF!</definedName>
    <definedName name="ZTAH91">[4]roysuna!#REF!</definedName>
    <definedName name="ZTAH92" localSheetId="11">[4]roysuna!#REF!</definedName>
    <definedName name="ZTAH92">[4]roysuna!#REF!</definedName>
    <definedName name="ZTAH93" localSheetId="11">[4]roysuna!#REF!</definedName>
    <definedName name="ZTAH93">[4]roysuna!#REF!</definedName>
    <definedName name="ZTAH94" localSheetId="11">[4]roysuna!#REF!</definedName>
    <definedName name="ZTAH94">[4]roysuna!#REF!</definedName>
    <definedName name="ZTAH95" localSheetId="11">[4]roysuna!#REF!</definedName>
    <definedName name="ZTAH95">[4]roysuna!#REF!</definedName>
    <definedName name="ZTAH96" localSheetId="11">[4]roysuna!#REF!</definedName>
    <definedName name="ZTAH96">[4]roysuna!#REF!</definedName>
    <definedName name="ZTAH97" localSheetId="11">[4]roysuna!#REF!</definedName>
    <definedName name="ZTAH97">[4]roysuna!#REF!</definedName>
    <definedName name="ZTAH98" localSheetId="11">[4]roysuna!#REF!</definedName>
    <definedName name="ZTAH98">[4]roysuna!#REF!</definedName>
    <definedName name="ZTAH99" localSheetId="11">[4]roysuna!#REF!</definedName>
    <definedName name="ZTAH99">[4]roysuna!#REF!</definedName>
    <definedName name="ZTAY91" localSheetId="11">[4]roysuna!#REF!</definedName>
    <definedName name="ZTAY91">[4]roysuna!#REF!</definedName>
    <definedName name="ZTAY92" localSheetId="11">[4]roysuna!#REF!</definedName>
    <definedName name="ZTAY92">[4]roysuna!#REF!</definedName>
    <definedName name="ZTAY93" localSheetId="11">[4]roysuna!#REF!</definedName>
    <definedName name="ZTAY93">[4]roysuna!#REF!</definedName>
    <definedName name="ZTAY94" localSheetId="11">[4]roysuna!#REF!</definedName>
    <definedName name="ZTAY94">[4]roysuna!#REF!</definedName>
    <definedName name="ZTAY95" localSheetId="11">[4]roysuna!#REF!</definedName>
    <definedName name="ZTAY95">[4]roysuna!#REF!</definedName>
    <definedName name="ZTAY96" localSheetId="11">[4]roysuna!#REF!</definedName>
    <definedName name="ZTAY96">[4]roysuna!#REF!</definedName>
    <definedName name="ZTAY97" localSheetId="11">[4]roysuna!#REF!</definedName>
    <definedName name="ZTAY97">[4]roysuna!#REF!</definedName>
    <definedName name="ZTAY98" localSheetId="11">[4]roysuna!#REF!</definedName>
    <definedName name="ZTAY98">[4]roysuna!#REF!</definedName>
    <definedName name="ZTAY99" localSheetId="11">[4]roysuna!#REF!</definedName>
    <definedName name="ZTAY99">[4]roysuna!#REF!</definedName>
    <definedName name="ZUW2H91" localSheetId="11">[4]roysuna!#REF!</definedName>
    <definedName name="ZUW2H91">[4]roysuna!#REF!</definedName>
    <definedName name="ZUW2H92" localSheetId="11">[4]roysuna!#REF!</definedName>
    <definedName name="ZUW2H92">[4]roysuna!#REF!</definedName>
    <definedName name="ZUW2H93" localSheetId="11">[4]roysuna!#REF!</definedName>
    <definedName name="ZUW2H93">[4]roysuna!#REF!</definedName>
    <definedName name="ZUW2H94" localSheetId="11">[4]roysuna!#REF!</definedName>
    <definedName name="ZUW2H94">[4]roysuna!#REF!</definedName>
    <definedName name="ZUW2H95" localSheetId="11">[4]roysuna!#REF!</definedName>
    <definedName name="ZUW2H95">[4]roysuna!#REF!</definedName>
    <definedName name="ZUW2H96" localSheetId="11">[4]roysuna!#REF!</definedName>
    <definedName name="ZUW2H96">[4]roysuna!#REF!</definedName>
    <definedName name="ZUW2H97" localSheetId="11">[4]roysuna!#REF!</definedName>
    <definedName name="ZUW2H97">[4]roysuna!#REF!</definedName>
    <definedName name="ZUW2H98" localSheetId="11">[4]roysuna!#REF!</definedName>
    <definedName name="ZUW2H98">[4]roysuna!#REF!</definedName>
    <definedName name="ZUW2H99" localSheetId="11">[4]roysuna!#REF!</definedName>
    <definedName name="ZUW2H99">[4]roysuna!#REF!</definedName>
    <definedName name="ZUW2Y91" localSheetId="11">[4]roysuna!#REF!</definedName>
    <definedName name="ZUW2Y91">[4]roysuna!#REF!</definedName>
    <definedName name="ZUW2Y92" localSheetId="11">[4]roysuna!#REF!</definedName>
    <definedName name="ZUW2Y92">[4]roysuna!#REF!</definedName>
    <definedName name="ZUW2Y93" localSheetId="11">[4]roysuna!#REF!</definedName>
    <definedName name="ZUW2Y93">[4]roysuna!#REF!</definedName>
    <definedName name="ZUW2Y94" localSheetId="11">[4]roysuna!#REF!</definedName>
    <definedName name="ZUW2Y94">[4]roysuna!#REF!</definedName>
    <definedName name="ZUW2Y95" localSheetId="11">[4]roysuna!#REF!</definedName>
    <definedName name="ZUW2Y95">[4]roysuna!#REF!</definedName>
    <definedName name="ZUW2Y96" localSheetId="11">[4]roysuna!#REF!</definedName>
    <definedName name="ZUW2Y96">[4]roysuna!#REF!</definedName>
    <definedName name="ZUW2Y97" localSheetId="11">[4]roysuna!#REF!</definedName>
    <definedName name="ZUW2Y97">[4]roysuna!#REF!</definedName>
    <definedName name="ZUW2Y98" localSheetId="11">[4]roysuna!#REF!</definedName>
    <definedName name="ZUW2Y98">[4]roysuna!#REF!</definedName>
    <definedName name="ZUW2Y99" localSheetId="11">[4]roysuna!#REF!</definedName>
    <definedName name="ZUW2Y99">[4]roysuna!#REF!</definedName>
    <definedName name="ZUW3H91" localSheetId="11">[4]roysuna!#REF!</definedName>
    <definedName name="ZUW3H91">[4]roysuna!#REF!</definedName>
    <definedName name="ZUW3H92" localSheetId="11">[4]roysuna!#REF!</definedName>
    <definedName name="ZUW3H92">[4]roysuna!#REF!</definedName>
    <definedName name="ZUW3H93" localSheetId="11">[4]roysuna!#REF!</definedName>
    <definedName name="ZUW3H93">[4]roysuna!#REF!</definedName>
    <definedName name="ZUW3H94" localSheetId="11">[4]roysuna!#REF!</definedName>
    <definedName name="ZUW3H94">[4]roysuna!#REF!</definedName>
    <definedName name="ZUW3H95" localSheetId="11">[4]roysuna!#REF!</definedName>
    <definedName name="ZUW3H95">[4]roysuna!#REF!</definedName>
    <definedName name="ZUW3H96" localSheetId="11">[4]roysuna!#REF!</definedName>
    <definedName name="ZUW3H96">[4]roysuna!#REF!</definedName>
    <definedName name="ZUW3H97" localSheetId="11">[4]roysuna!#REF!</definedName>
    <definedName name="ZUW3H97">[4]roysuna!#REF!</definedName>
    <definedName name="ZUW3H98" localSheetId="11">[4]roysuna!#REF!</definedName>
    <definedName name="ZUW3H98">[4]roysuna!#REF!</definedName>
    <definedName name="ZUW3H99" localSheetId="11">[4]roysuna!#REF!</definedName>
    <definedName name="ZUW3H99">[4]roysuna!#REF!</definedName>
    <definedName name="ZUW3Y91" localSheetId="11">[4]roysuna!#REF!</definedName>
    <definedName name="ZUW3Y91">[4]roysuna!#REF!</definedName>
    <definedName name="ZUW3Y92" localSheetId="11">[4]roysuna!#REF!</definedName>
    <definedName name="ZUW3Y92">[4]roysuna!#REF!</definedName>
    <definedName name="ZUW3Y93" localSheetId="11">[4]roysuna!#REF!</definedName>
    <definedName name="ZUW3Y93">[4]roysuna!#REF!</definedName>
    <definedName name="ZUW3Y94" localSheetId="11">[4]roysuna!#REF!</definedName>
    <definedName name="ZUW3Y94">[4]roysuna!#REF!</definedName>
    <definedName name="ZUW3Y95" localSheetId="11">[4]roysuna!#REF!</definedName>
    <definedName name="ZUW3Y95">[4]roysuna!#REF!</definedName>
    <definedName name="ZUW3Y96" localSheetId="11">[4]roysuna!#REF!</definedName>
    <definedName name="ZUW3Y96">[4]roysuna!#REF!</definedName>
    <definedName name="ZUW3Y97" localSheetId="11">[4]roysuna!#REF!</definedName>
    <definedName name="ZUW3Y97">[4]roysuna!#REF!</definedName>
    <definedName name="ZUW3Y98" localSheetId="11">[4]roysuna!#REF!</definedName>
    <definedName name="ZUW3Y98">[4]roysuna!#REF!</definedName>
    <definedName name="ZUW3Y99" localSheetId="11">[4]roysuna!#REF!</definedName>
    <definedName name="ZUW3Y99">[4]roysuna!#REF!</definedName>
    <definedName name="ZUW4H91" localSheetId="11">[4]roysuna!#REF!</definedName>
    <definedName name="ZUW4H91">[4]roysuna!#REF!</definedName>
    <definedName name="ZUW4H92" localSheetId="11">[4]roysuna!#REF!</definedName>
    <definedName name="ZUW4H92">[4]roysuna!#REF!</definedName>
    <definedName name="ZUW4H93" localSheetId="11">[4]roysuna!#REF!</definedName>
    <definedName name="ZUW4H93">[4]roysuna!#REF!</definedName>
    <definedName name="ZUW4H94" localSheetId="11">[4]roysuna!#REF!</definedName>
    <definedName name="ZUW4H94">[4]roysuna!#REF!</definedName>
    <definedName name="ZUW4H95" localSheetId="11">[4]roysuna!#REF!</definedName>
    <definedName name="ZUW4H95">[4]roysuna!#REF!</definedName>
    <definedName name="ZUW4H96" localSheetId="11">[4]roysuna!#REF!</definedName>
    <definedName name="ZUW4H96">[4]roysuna!#REF!</definedName>
    <definedName name="ZUW4H97" localSheetId="11">[4]roysuna!#REF!</definedName>
    <definedName name="ZUW4H97">[4]roysuna!#REF!</definedName>
    <definedName name="ZUW4H98" localSheetId="11">[4]roysuna!#REF!</definedName>
    <definedName name="ZUW4H98">[4]roysuna!#REF!</definedName>
    <definedName name="ZUW4H99" localSheetId="11">[4]roysuna!#REF!</definedName>
    <definedName name="ZUW4H99">[4]roysuna!#REF!</definedName>
    <definedName name="ZUW4Y91" localSheetId="11">[4]roysuna!#REF!</definedName>
    <definedName name="ZUW4Y91">[4]roysuna!#REF!</definedName>
    <definedName name="ZUW4Y92" localSheetId="11">[4]roysuna!#REF!</definedName>
    <definedName name="ZUW4Y92">[4]roysuna!#REF!</definedName>
    <definedName name="ZUW4Y93" localSheetId="11">[4]roysuna!#REF!</definedName>
    <definedName name="ZUW4Y93">[4]roysuna!#REF!</definedName>
    <definedName name="ZUW4Y94" localSheetId="11">[4]roysuna!#REF!</definedName>
    <definedName name="ZUW4Y94">[4]roysuna!#REF!</definedName>
    <definedName name="ZUW4Y95" localSheetId="11">[4]roysuna!#REF!</definedName>
    <definedName name="ZUW4Y95">[4]roysuna!#REF!</definedName>
    <definedName name="ZUW4Y96" localSheetId="11">[4]roysuna!#REF!</definedName>
    <definedName name="ZUW4Y96">[4]roysuna!#REF!</definedName>
    <definedName name="ZUW4Y97" localSheetId="11">[4]roysuna!#REF!</definedName>
    <definedName name="ZUW4Y97">[4]roysuna!#REF!</definedName>
    <definedName name="ZUW4Y98" localSheetId="11">[4]roysuna!#REF!</definedName>
    <definedName name="ZUW4Y98">[4]roysuna!#REF!</definedName>
    <definedName name="ZUW4Y99" localSheetId="11">[4]roysuna!#REF!</definedName>
    <definedName name="ZUW4Y99">[4]roysuna!#REF!</definedName>
    <definedName name="ZUW5H91" localSheetId="11">[4]roysuna!#REF!</definedName>
    <definedName name="ZUW5H91">[4]roysuna!#REF!</definedName>
    <definedName name="ZUW5H92" localSheetId="11">[4]roysuna!#REF!</definedName>
    <definedName name="ZUW5H92">[4]roysuna!#REF!</definedName>
    <definedName name="ZUW5H93" localSheetId="11">[4]roysuna!#REF!</definedName>
    <definedName name="ZUW5H93">[4]roysuna!#REF!</definedName>
    <definedName name="ZUW5H94" localSheetId="11">[4]roysuna!#REF!</definedName>
    <definedName name="ZUW5H94">[4]roysuna!#REF!</definedName>
    <definedName name="ZUW5H95" localSheetId="11">[4]roysuna!#REF!</definedName>
    <definedName name="ZUW5H95">[4]roysuna!#REF!</definedName>
    <definedName name="ZUW5H96" localSheetId="11">[4]roysuna!#REF!</definedName>
    <definedName name="ZUW5H96">[4]roysuna!#REF!</definedName>
    <definedName name="ZUW5H97" localSheetId="11">[4]roysuna!#REF!</definedName>
    <definedName name="ZUW5H97">[4]roysuna!#REF!</definedName>
    <definedName name="ZUW5H98" localSheetId="11">[4]roysuna!#REF!</definedName>
    <definedName name="ZUW5H98">[4]roysuna!#REF!</definedName>
    <definedName name="ZUW5H99" localSheetId="11">[4]roysuna!#REF!</definedName>
    <definedName name="ZUW5H99">[4]roysuna!#REF!</definedName>
    <definedName name="ZUW5Y91" localSheetId="11">[4]roysuna!#REF!</definedName>
    <definedName name="ZUW5Y91">[4]roysuna!#REF!</definedName>
    <definedName name="ZUW5Y92" localSheetId="11">[4]roysuna!#REF!</definedName>
    <definedName name="ZUW5Y92">[4]roysuna!#REF!</definedName>
    <definedName name="ZUW5Y93" localSheetId="11">[4]roysuna!#REF!</definedName>
    <definedName name="ZUW5Y93">[4]roysuna!#REF!</definedName>
    <definedName name="ZUW5Y94" localSheetId="11">[4]roysuna!#REF!</definedName>
    <definedName name="ZUW5Y94">[4]roysuna!#REF!</definedName>
    <definedName name="ZUW5Y95" localSheetId="11">[4]roysuna!#REF!</definedName>
    <definedName name="ZUW5Y95">[4]roysuna!#REF!</definedName>
    <definedName name="ZUW5Y96" localSheetId="11">[4]roysuna!#REF!</definedName>
    <definedName name="ZUW5Y96">[4]roysuna!#REF!</definedName>
    <definedName name="ZUW5Y97" localSheetId="11">[4]roysuna!#REF!</definedName>
    <definedName name="ZUW5Y97">[4]roysuna!#REF!</definedName>
    <definedName name="ZUW5Y98" localSheetId="11">[4]roysuna!#REF!</definedName>
    <definedName name="ZUW5Y98">[4]roysuna!#REF!</definedName>
    <definedName name="ZUW5Y99" localSheetId="11">[4]roysuna!#REF!</definedName>
    <definedName name="ZUW5Y99">[4]roysuna!#REF!</definedName>
    <definedName name="zz" localSheetId="7">#REF!</definedName>
    <definedName name="zz" localSheetId="11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bajwaj</author>
    <author>Authorized User</author>
  </authors>
  <commentList>
    <comment ref="W13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Russia: 20%@ 1%
eCom: 15% @38%
Rest: 64% @ 10% (5% space, 10% LFL)</t>
        </r>
      </text>
    </comment>
    <comment ref="K1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11% of adidas brand</t>
        </r>
      </text>
    </comment>
    <comment ref="L1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13% of adidas brand</t>
        </r>
      </text>
    </comment>
    <comment ref="A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Existed in US since at least 2004</t>
        </r>
      </text>
    </comment>
    <comment ref="S21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2012 AR: pg 38</t>
        </r>
      </text>
    </comment>
    <comment ref="V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IR - Just over </t>
        </r>
        <r>
          <rPr>
            <sz val="9"/>
            <rFont val="Calibri"/>
            <charset val="134"/>
          </rPr>
          <t>€</t>
        </r>
        <r>
          <rPr>
            <sz val="6.3"/>
            <rFont val="Tahoma"/>
            <charset val="134"/>
          </rPr>
          <t>600mn</t>
        </r>
      </text>
    </comment>
    <comment ref="W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Over €1bn</t>
        </r>
      </text>
    </comment>
    <comment ref="R72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11% c.n. growth</t>
        </r>
      </text>
    </comment>
    <comment ref="S7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Originals €2.5bn 
NEO €700mn</t>
        </r>
      </text>
    </comment>
    <comment ref="R75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24% c.n. growth</t>
        </r>
      </text>
    </comment>
    <comment ref="R78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6% c.n. growth</t>
        </r>
      </text>
    </comment>
    <comment ref="R82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16% c.n. growth</t>
        </r>
      </text>
    </comment>
    <comment ref="A9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V12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12% ASP
-7% store base
-12% vol</t>
        </r>
      </text>
    </comment>
    <comment ref="A12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A132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AU23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Implied by 2020 guidance</t>
        </r>
      </text>
    </comment>
    <comment ref="T35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2.5% growth underlying</t>
        </r>
      </text>
    </comment>
    <comment ref="R360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S,G&amp;A excluding depreciation</t>
        </r>
      </text>
    </comment>
    <comment ref="S372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Goodwill impairment relating to Reebok</t>
        </r>
      </text>
    </comment>
    <comment ref="V53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1% in 1H, +5% excl. Russia</t>
        </r>
      </text>
    </comment>
  </commentList>
</comments>
</file>

<file path=xl/comments2.xml><?xml version="1.0" encoding="utf-8"?>
<comments xmlns="http://schemas.openxmlformats.org/spreadsheetml/2006/main">
  <authors>
    <author>Authorized User</author>
    <author>bajwaj</author>
    <author>Lacaille, Benjamin J [GIR]</author>
    <author>authil</author>
    <author>cagnoe</author>
    <author>cipicl</author>
  </authors>
  <commentList>
    <comment ref="EE13" authorId="0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11% comps store sales</t>
        </r>
      </text>
    </comment>
    <comment ref="FK1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-5% store impact (Russia)</t>
        </r>
      </text>
    </comment>
    <comment ref="FF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+7% excl. Russia</t>
        </r>
      </text>
    </comment>
    <comment ref="FG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+3% excl. Russia</t>
        </r>
      </text>
    </comment>
    <comment ref="FH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+5% excl. Russia</t>
        </r>
      </text>
    </comment>
    <comment ref="FK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+10% excl. Russia</t>
        </r>
      </text>
    </comment>
    <comment ref="FN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Physical (Russia and non-Russia) + Digital LFL</t>
        </r>
      </text>
    </comment>
    <comment ref="FO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Physical (Russia and non-Russia) + Digital LFL</t>
        </r>
      </text>
    </comment>
    <comment ref="FQ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Physical (Russia and non-Russia) + Digital LFL</t>
        </r>
      </text>
    </comment>
    <comment ref="FS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Physical (Russia and non-Russia) + Digital LFL</t>
        </r>
      </text>
    </comment>
    <comment ref="FG19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Implied</t>
        </r>
      </text>
    </comment>
    <comment ref="FF2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Rockport divesture</t>
        </r>
      </text>
    </comment>
    <comment ref="FG2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Rockport divesture</t>
        </r>
      </text>
    </comment>
    <comment ref="FH2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Rockport divesture</t>
        </r>
      </text>
    </comment>
    <comment ref="A169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FQ172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United and Juve impact</t>
        </r>
      </text>
    </comment>
    <comment ref="A174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USA, Canada</t>
        </r>
      </text>
    </comment>
    <comment ref="A179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Argentina, Brazil, Mexico, Chile, Peru, Colombia, Panama, Venezuela</t>
        </r>
      </text>
    </comment>
    <comment ref="A184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A194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FI1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58 store closures or 5% impact</t>
        </r>
      </text>
    </comment>
    <comment ref="A199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A204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FW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+28% yoy continuing</t>
        </r>
      </text>
    </comment>
    <comment ref="FX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FY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+28% yoy continuing</t>
        </r>
      </text>
    </comment>
    <comment ref="GE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+28% yoy continuing</t>
        </r>
      </text>
    </comment>
    <comment ref="GF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GG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+28% yoy continuing</t>
        </r>
      </text>
    </comment>
    <comment ref="GI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GN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GV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D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L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N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P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Q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T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V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X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HY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B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D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F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G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J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L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N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O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R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T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V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IW21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+15% continuing ops</t>
        </r>
      </text>
    </comment>
    <comment ref="A24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A264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A325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FK340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Retail outperfoming wholesale - partly timing driven due to change in wholesale delivery</t>
        </r>
      </text>
    </comment>
    <comment ref="A34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A358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FX378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+16% for continuing ops</t>
        </r>
      </text>
    </comment>
    <comment ref="GF378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+16% for continuing ops</t>
        </r>
      </text>
    </comment>
    <comment ref="GF381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+16% for continuing ops</t>
        </r>
      </text>
    </comment>
    <comment ref="FW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FX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+322% continuing ops</t>
        </r>
      </text>
    </comment>
    <comment ref="GE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F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+16% for continuing ops</t>
        </r>
      </text>
    </comment>
    <comment ref="GG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O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W384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FW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FX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+9.9pp continuing ops</t>
        </r>
      </text>
    </comment>
    <comment ref="GE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F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+9.9pp continuing ops</t>
        </r>
      </text>
    </comment>
    <comment ref="GG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M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N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+9.9pp continuing ops</t>
        </r>
      </text>
    </comment>
    <comment ref="GO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U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V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+9.9pp continuing ops</t>
        </r>
      </text>
    </comment>
    <comment ref="GW38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+18pp continuing ops</t>
        </r>
      </text>
    </comment>
    <comment ref="GT386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U386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V386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GW386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+309% continuing ops</t>
        </r>
      </text>
    </comment>
    <comment ref="EQ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130bp hedging headwind</t>
        </r>
      </text>
    </comment>
    <comment ref="ES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-50bp hedging headwind
-70bps TM headwind</t>
        </r>
      </text>
    </comment>
    <comment ref="EU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-70bps hedging headwind
-20/30bps TM headwind
-50bps Reebok headwind</t>
        </r>
      </text>
    </comment>
    <comment ref="EX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Hedging -70bps
Rouble -30bps
TMAG -40bps
Input costs -20bps</t>
        </r>
      </text>
    </comment>
    <comment ref="EY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Hedging -60bps
Rouble -50bps
TMAG -30bps
Input costs -20bps</t>
        </r>
      </text>
    </comment>
    <comment ref="FA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Input costs -80bps 
Russia (promo + FX): -50bps
Ex. Russia markdown + promo: -80bps
Hedging -40bps</t>
        </r>
      </text>
    </comment>
    <comment ref="FF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+150bps Product/ price mix
-140bps input prices
-10bps Hedging </t>
        </r>
      </text>
    </comment>
    <comment ref="FG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50bps TM
20bps FX
20bps price mix</t>
        </r>
      </text>
    </comment>
    <comment ref="FW39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+70bps underlying GM up
+22% GP growth</t>
        </r>
      </text>
    </comment>
    <comment ref="FX397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+ 10bp underlying
+20% GP growth</t>
        </r>
      </text>
    </comment>
    <comment ref="FW400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-2.5% continuing
</t>
        </r>
      </text>
    </comment>
    <comment ref="FX400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7.4% change in continuing operations</t>
        </r>
      </text>
    </comment>
    <comment ref="FJ40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ADI +19% VS. REVS +18%
RBK +29% VS. REVS +12%</t>
        </r>
      </text>
    </comment>
    <comment ref="FW403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don't have</t>
        </r>
      </text>
    </comment>
    <comment ref="FX40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+12% growth cont. ops</t>
        </r>
      </text>
    </comment>
    <comment ref="GE403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don't have</t>
        </r>
      </text>
    </comment>
    <comment ref="GF40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+12% growth cont. ops</t>
        </r>
      </text>
    </comment>
    <comment ref="FH41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+9% excl. FX</t>
        </r>
      </text>
    </comment>
    <comment ref="EM421" authorId="1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Goodwill impairment related to Reebok</t>
        </r>
      </text>
    </comment>
    <comment ref="EU421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Iberia impairment: €23mn
North America €29mn goodwill impairment</t>
        </r>
      </text>
    </comment>
    <comment ref="FA421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Closing of Adams Golf Facility in Plano &amp; 15% reduction in Global Golf segment</t>
        </r>
      </text>
    </comment>
    <comment ref="FC421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€80mn Russia goodwill impariment
€90mn (€80-100mn) Rockport discontinued ops</t>
        </r>
      </text>
    </comment>
    <comment ref="FQ421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€10mn Golf
€10mn Reebok</t>
        </r>
      </text>
    </comment>
    <comment ref="FS421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€20mn Reebok</t>
        </r>
      </text>
    </comment>
    <comment ref="EX42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-€80mn from TM
-€50mn from FX </t>
        </r>
      </text>
    </comment>
    <comment ref="EZ426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FX: €100mn
TM: €120mn</t>
        </r>
      </text>
    </comment>
    <comment ref="FW427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17.9% increase continuing operations</t>
        </r>
      </text>
    </comment>
    <comment ref="FX427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20.2% increase continuing ops</t>
        </r>
      </text>
    </comment>
    <comment ref="FW433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14.5% increase continuing ops</t>
        </r>
      </text>
    </comment>
    <comment ref="FX433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18.8% increase continuing ops</t>
        </r>
      </text>
    </comment>
    <comment ref="EU437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47.1% underlying</t>
        </r>
      </text>
    </comment>
    <comment ref="FW439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+15.5% continuing ops</t>
        </r>
      </text>
    </comment>
    <comment ref="FX439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+20.6% continuing ops</t>
        </r>
      </text>
    </comment>
    <comment ref="FW443" authorId="1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Golf -99mn hit
CCM -86mn hit
Rockport -4mn hit</t>
        </r>
      </text>
    </comment>
    <comment ref="FW44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-45.5% continuing ops</t>
        </r>
      </text>
    </comment>
    <comment ref="FX445" authorId="2">
      <text>
        <r>
          <rPr>
            <b/>
            <sz val="9"/>
            <rFont val="Tahoma"/>
            <charset val="134"/>
          </rPr>
          <t>Lacaille, Benjamin J [GIR]:</t>
        </r>
        <r>
          <rPr>
            <sz val="9"/>
            <rFont val="Tahoma"/>
            <charset val="134"/>
          </rPr>
          <t xml:space="preserve">
-4.4% continuing ops</t>
        </r>
      </text>
    </comment>
    <comment ref="DJ540" authorId="3">
      <text>
        <r>
          <rPr>
            <b/>
            <sz val="8"/>
            <rFont val="Tahoma"/>
            <charset val="134"/>
          </rPr>
          <t>authil:</t>
        </r>
        <r>
          <rPr>
            <sz val="8"/>
            <rFont val="Tahoma"/>
            <charset val="134"/>
          </rPr>
          <t xml:space="preserve">
impact of JV with Vulcabras</t>
        </r>
      </text>
    </comment>
    <comment ref="CW565" authorId="4">
      <text>
        <r>
          <rPr>
            <b/>
            <sz val="8"/>
            <rFont val="Tahoma"/>
            <charset val="134"/>
          </rPr>
          <t>cagnoe:</t>
        </r>
        <r>
          <rPr>
            <sz val="8"/>
            <rFont val="Tahoma"/>
            <charset val="134"/>
          </rPr>
          <t xml:space="preserve">
8months consolidation and inclusion of January in the scope of consolidation LFL -4% for 9M'07</t>
        </r>
      </text>
    </comment>
    <comment ref="CX567" authorId="4">
      <text>
        <r>
          <rPr>
            <b/>
            <sz val="8"/>
            <rFont val="Tahoma"/>
            <charset val="134"/>
          </rPr>
          <t>cagnoe:</t>
        </r>
        <r>
          <rPr>
            <sz val="8"/>
            <rFont val="Tahoma"/>
            <charset val="134"/>
          </rPr>
          <t xml:space="preserve">
o/w Eur 40mn HQ Consolidation</t>
        </r>
      </text>
    </comment>
    <comment ref="CU663" authorId="5">
      <text>
        <r>
          <rPr>
            <b/>
            <sz val="8"/>
            <rFont val="Tahoma"/>
            <charset val="134"/>
          </rPr>
          <t>cipicl:</t>
        </r>
        <r>
          <rPr>
            <sz val="8"/>
            <rFont val="Tahoma"/>
            <charset val="134"/>
          </rPr>
          <t xml:space="preserve">
positive 2% from Euro</t>
        </r>
      </text>
    </comment>
    <comment ref="CT712" authorId="5">
      <text>
        <r>
          <rPr>
            <b/>
            <sz val="8"/>
            <rFont val="Tahoma"/>
            <charset val="134"/>
          </rPr>
          <t>cipicl:</t>
        </r>
        <r>
          <rPr>
            <sz val="8"/>
            <rFont val="Tahoma"/>
            <charset val="134"/>
          </rPr>
          <t xml:space="preserve">
-5% excluding extra 1 month (January)</t>
        </r>
      </text>
    </comment>
  </commentList>
</comments>
</file>

<file path=xl/comments3.xml><?xml version="1.0" encoding="utf-8"?>
<comments xmlns="http://schemas.openxmlformats.org/spreadsheetml/2006/main">
  <authors>
    <author>bajwaj</author>
  </authors>
  <commentList>
    <comment ref="B103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B10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USA, Canada</t>
        </r>
      </text>
    </comment>
    <comment ref="B10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Argentina, Brazil, Mexico, Chile, Peru, Colombia, Panama, Venezuela</t>
        </r>
      </text>
    </comment>
    <comment ref="B106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B10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B109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B113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B11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USA, Canada</t>
        </r>
      </text>
    </comment>
    <comment ref="B11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Argentina, Brazil, Mexico, Chile, Peru, Colombia, Panama, Venezuela</t>
        </r>
      </text>
    </comment>
    <comment ref="B116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B11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B119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B123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B12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USA, Canada</t>
        </r>
      </text>
    </comment>
    <comment ref="B12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Argentina, Brazil, Mexico, Chile, Peru, Colombia, Panama, Venezuela</t>
        </r>
      </text>
    </comment>
    <comment ref="B126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B12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B129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</commentList>
</comments>
</file>

<file path=xl/comments4.xml><?xml version="1.0" encoding="utf-8"?>
<comments xmlns="http://schemas.openxmlformats.org/spreadsheetml/2006/main">
  <authors>
    <author>cipicl</author>
    <author>authil</author>
    <author>bajwaj</author>
  </authors>
  <commentList>
    <comment ref="P111" authorId="0">
      <text>
        <r>
          <rPr>
            <b/>
            <sz val="8"/>
            <rFont val="Tahoma"/>
            <charset val="134"/>
          </rPr>
          <t>cipicl:</t>
        </r>
        <r>
          <rPr>
            <sz val="8"/>
            <rFont val="Tahoma"/>
            <charset val="134"/>
          </rPr>
          <t xml:space="preserve">
Guidance medium term 300-400mn</t>
        </r>
      </text>
    </comment>
    <comment ref="N114" authorId="0">
      <text>
        <r>
          <rPr>
            <b/>
            <sz val="8"/>
            <rFont val="Tahoma"/>
            <charset val="134"/>
          </rPr>
          <t>cipicl:</t>
        </r>
        <r>
          <rPr>
            <sz val="8"/>
            <rFont val="Tahoma"/>
            <charset val="134"/>
          </rPr>
          <t xml:space="preserve">
Reebok</t>
        </r>
      </text>
    </comment>
    <comment ref="P114" authorId="1">
      <text>
        <r>
          <rPr>
            <b/>
            <sz val="8"/>
            <rFont val="Tahoma"/>
            <charset val="134"/>
          </rPr>
          <t>authil:</t>
        </r>
        <r>
          <rPr>
            <sz val="8"/>
            <rFont val="Tahoma"/>
            <charset val="134"/>
          </rPr>
          <t xml:space="preserve">
acquisition of Ashworth by Taylor made</t>
        </r>
      </text>
    </comment>
    <comment ref="W114" authorId="2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Runtastic (210mn)
Refuel (Mitchell &amp; Ness disto, 7mn)</t>
        </r>
      </text>
    </comment>
    <comment ref="W191" authorId="2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Calibri"/>
            <charset val="134"/>
          </rPr>
          <t>€</t>
        </r>
        <r>
          <rPr>
            <sz val="7.65"/>
            <rFont val="Tahoma"/>
            <charset val="134"/>
          </rPr>
          <t>25MN gain from FX translation</t>
        </r>
      </text>
    </comment>
  </commentList>
</comments>
</file>

<file path=xl/comments5.xml><?xml version="1.0" encoding="utf-8"?>
<comments xmlns="http://schemas.openxmlformats.org/spreadsheetml/2006/main">
  <authors>
    <author>bajwaj</author>
    <author>Authorized User</author>
    <author>hutcwi</author>
  </authors>
  <commentList>
    <comment ref="W13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Russia: 20%@ 1%
eCom: 15% @38%
Rest: 64% @ 10% (5% space, 10% LFL)</t>
        </r>
      </text>
    </comment>
    <comment ref="K1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11% of adidas brand</t>
        </r>
      </text>
    </comment>
    <comment ref="L1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13% of adidas brand</t>
        </r>
      </text>
    </comment>
    <comment ref="A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Existed in US since at least 2004</t>
        </r>
      </text>
    </comment>
    <comment ref="S21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2012 AR: pg 38</t>
        </r>
      </text>
    </comment>
    <comment ref="V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IR - Just over </t>
        </r>
        <r>
          <rPr>
            <sz val="9"/>
            <rFont val="Calibri"/>
            <charset val="134"/>
          </rPr>
          <t>€</t>
        </r>
        <r>
          <rPr>
            <sz val="6.3"/>
            <rFont val="Tahoma"/>
            <charset val="134"/>
          </rPr>
          <t>600mn</t>
        </r>
      </text>
    </comment>
    <comment ref="W2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Over €1bn</t>
        </r>
      </text>
    </comment>
    <comment ref="R72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11% c.n. growth</t>
        </r>
      </text>
    </comment>
    <comment ref="S74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Originals €2.5bn 
NEO €700mn</t>
        </r>
      </text>
    </comment>
    <comment ref="R75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24% c.n. growth</t>
        </r>
      </text>
    </comment>
    <comment ref="R78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6% c.n. growth</t>
        </r>
      </text>
    </comment>
    <comment ref="R82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16% c.n. growth</t>
        </r>
      </text>
    </comment>
    <comment ref="A9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Germany, Austria, Switzerland, Poland, Czech, Slovakia, Hungary, France, Spain, Portugal, Italy, Greece, UK, Ireland, Netherlands, Belgium, Sweden, Norway, Denmark, Finland</t>
        </r>
      </text>
    </comment>
    <comment ref="A102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USA, Canada</t>
        </r>
      </text>
    </comment>
    <comment ref="A10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Argentina, Brazil, Mexico, Chile, Peru, Colombia, Panama, Venezuela</t>
        </r>
      </text>
    </comment>
    <comment ref="A112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Mainland, HK, Taiwan</t>
        </r>
      </text>
    </comment>
    <comment ref="A122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Russia, Kazakhstan, Ukraine</t>
        </r>
      </text>
    </comment>
    <comment ref="V12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12% ASP
-7% store base
-12% vol</t>
        </r>
      </text>
    </comment>
    <comment ref="A12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incl. Turkey, Israel, Romania, Bulgaria, Egypt, UAE, South Africa, South, Korea, India, Singapore, Malaysia, Philippines, Thailand, Indonesia, Vietnam, Australia, New Zealand</t>
        </r>
      </text>
    </comment>
    <comment ref="BA14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20% uplift in full-price sell-through</t>
        </r>
      </text>
    </comment>
    <comment ref="AL22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Implied by 2020 guidance</t>
        </r>
      </text>
    </comment>
    <comment ref="Y32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+60bps channel mix
+30bps FX benefit from US$ weakness</t>
        </r>
      </text>
    </comment>
    <comment ref="Z328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+70bps channel mix
+90bps FX benefit from US$ weakness (rehedge)</t>
        </r>
      </text>
    </comment>
    <comment ref="X337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-10bps from Chelsea
-xxbps from IAAF</t>
        </r>
      </text>
    </comment>
    <comment ref="S350" authorId="2">
      <text>
        <r>
          <rPr>
            <b/>
            <sz val="8"/>
            <rFont val="Tahoma"/>
            <charset val="134"/>
          </rPr>
          <t>hutcwi:</t>
        </r>
        <r>
          <rPr>
            <sz val="8"/>
            <rFont val="Tahoma"/>
            <charset val="134"/>
          </rPr>
          <t xml:space="preserve">
Including impairment charge of €265</t>
        </r>
      </text>
    </comment>
    <comment ref="V350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Includes 15mn golf restructure</t>
        </r>
      </text>
    </comment>
    <comment ref="T351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2.5% growth underlying</t>
        </r>
      </text>
    </comment>
    <comment ref="R353" authorId="1">
      <text>
        <r>
          <rPr>
            <b/>
            <sz val="8"/>
            <rFont val="Tahoma"/>
            <charset val="134"/>
          </rPr>
          <t>Authorized User:</t>
        </r>
        <r>
          <rPr>
            <sz val="8"/>
            <rFont val="Tahoma"/>
            <charset val="134"/>
          </rPr>
          <t xml:space="preserve">
S,G&amp;A excluding depreciation</t>
        </r>
      </text>
    </comment>
    <comment ref="S365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Goodwill impairment relating to Reebok</t>
        </r>
      </text>
    </comment>
    <comment ref="T36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Iberia impairment: €23mn
North America €29mn goodwill impairment</t>
        </r>
      </text>
    </comment>
    <comment ref="U36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€78mn Russia impairment</t>
        </r>
      </text>
    </comment>
    <comment ref="V36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Goodwill impairment losses for Russia and Latin America</t>
        </r>
      </text>
    </comment>
    <comment ref="W365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+€82.5mn Chelsea contract
-€30mn Reebok
-€10mn Golf bankruptcies</t>
        </r>
      </text>
    </comment>
    <comment ref="V519" authorId="0">
      <text>
        <r>
          <rPr>
            <b/>
            <sz val="9"/>
            <rFont val="Tahoma"/>
            <charset val="134"/>
          </rPr>
          <t>bajwaj:</t>
        </r>
        <r>
          <rPr>
            <sz val="9"/>
            <rFont val="Tahoma"/>
            <charset val="134"/>
          </rPr>
          <t xml:space="preserve">
1% in 1H, +5% excl. Russia</t>
        </r>
      </text>
    </comment>
  </commentList>
</comments>
</file>

<file path=xl/comments6.xml><?xml version="1.0" encoding="utf-8"?>
<comments xmlns="http://schemas.openxmlformats.org/spreadsheetml/2006/main">
  <authors>
    <author>bajwaj</author>
  </authors>
  <commentList>
    <comment ref="J412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from 07 AR, 430 stores purely Reebok implying 94 Rockport stores</t>
        </r>
      </text>
    </comment>
    <comment ref="L452" authorId="0">
      <text>
        <r>
          <rPr>
            <b/>
            <sz val="8"/>
            <rFont val="Tahoma"/>
            <charset val="134"/>
          </rPr>
          <t>bajwaj:</t>
        </r>
        <r>
          <rPr>
            <sz val="8"/>
            <rFont val="Tahoma"/>
            <charset val="134"/>
          </rPr>
          <t xml:space="preserve">
Now reported as group retail stores</t>
        </r>
      </text>
    </comment>
  </commentList>
</comments>
</file>

<file path=xl/comments7.xml><?xml version="1.0" encoding="utf-8"?>
<comments xmlns="http://schemas.openxmlformats.org/spreadsheetml/2006/main">
  <authors>
    <author>Edwards, Richard D F [GIR]</author>
  </authors>
  <commentList>
    <comment ref="A1" authorId="0">
      <text>
        <r>
          <rPr>
            <b/>
            <sz val="9"/>
            <rFont val="Tahoma"/>
            <charset val="134"/>
          </rPr>
          <t>=Thomson.Reuters.AFOSpreadSheetFormulas.DSGRID("OILBREN,COTTONM"," ","-3Y","","D","RowHeader=true;ColHeader=true;Code=true;DispSeriesDescription=true;YearlyTSFormat=false;QuarterlyTSFormat=false;AutoRefresh=false","")</t>
        </r>
      </text>
    </comment>
    <comment ref="N1" authorId="0">
      <text>
        <r>
          <rPr>
            <b/>
            <sz val="9"/>
            <rFont val="Tahoma"/>
            <charset val="134"/>
          </rPr>
          <t>=Thomson.Reuters.AFOSpreadSheetFormulas.DSGRID("USEURO.,RSEURSP"," ","-2Y","","D","RowHeader=true;ColHeader=true;Code=true;DispSeriesDescription=true;YearlyTSFormat=false;QuarterlyTSFormat=false;AutoRefresh=false","")</t>
        </r>
      </text>
    </comment>
  </commentList>
</comments>
</file>

<file path=xl/sharedStrings.xml><?xml version="1.0" encoding="utf-8"?>
<sst xmlns="http://schemas.openxmlformats.org/spreadsheetml/2006/main" count="8731" uniqueCount="1788">
  <si>
    <t>Adidas Model</t>
  </si>
  <si>
    <t>European General Retail</t>
  </si>
  <si>
    <t>Team:</t>
  </si>
  <si>
    <t>Richard Edwards</t>
  </si>
  <si>
    <t>Managing Director</t>
  </si>
  <si>
    <t>Richard.Edwards@gs.com</t>
  </si>
  <si>
    <t>+44 (20) 7051-6016</t>
  </si>
  <si>
    <t>Ben Williams</t>
  </si>
  <si>
    <t>Analyst</t>
  </si>
  <si>
    <t>ben.williams@gs.com</t>
  </si>
  <si>
    <t>+44 (20) 7051-0661</t>
  </si>
  <si>
    <t>Hamish Bogdan</t>
  </si>
  <si>
    <t>hamish.bogdan@gs.com</t>
  </si>
  <si>
    <t>+44 (20) 7552-2214</t>
  </si>
  <si>
    <t>FY 95</t>
  </si>
  <si>
    <t>FY 96</t>
  </si>
  <si>
    <t>FY 97</t>
  </si>
  <si>
    <t>FY 98</t>
  </si>
  <si>
    <t>FY 99</t>
  </si>
  <si>
    <t>FY 00</t>
  </si>
  <si>
    <t>FY 01</t>
  </si>
  <si>
    <t>FY 02</t>
  </si>
  <si>
    <t>FY 03</t>
  </si>
  <si>
    <t>FY 04</t>
  </si>
  <si>
    <t>FY 05</t>
  </si>
  <si>
    <t>FY 06</t>
  </si>
  <si>
    <t>FY 07</t>
  </si>
  <si>
    <t>FY 08</t>
  </si>
  <si>
    <t>FY 09</t>
  </si>
  <si>
    <t>FY 10</t>
  </si>
  <si>
    <t>FY 11</t>
  </si>
  <si>
    <t>FY 12</t>
  </si>
  <si>
    <t>FY 13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</si>
  <si>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</si>
  <si>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</si>
  <si>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</si>
  <si>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</si>
  <si>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</si>
  <si>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</si>
  <si>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</si>
  <si>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</si>
  <si>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</si>
  <si>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</si>
  <si>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</si>
  <si>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FY 25</t>
  </si>
  <si>
    <t>FY 26E</t>
  </si>
  <si>
    <t>FY 27E</t>
  </si>
  <si>
    <t>FY 28E</t>
  </si>
  <si>
    <t>FY 29E</t>
  </si>
  <si>
    <t>FY 30E</t>
  </si>
  <si>
    <t>adidas - Dec YE - in EUR mn</t>
  </si>
  <si>
    <t>IFRS</t>
  </si>
  <si>
    <t>Sales by segment</t>
  </si>
  <si>
    <t>FY 17E</t>
  </si>
  <si>
    <t>FY 18E</t>
  </si>
  <si>
    <t>FY 19E</t>
  </si>
  <si>
    <t>FY 22E</t>
  </si>
  <si>
    <t>FY 23E</t>
  </si>
  <si>
    <t>FY 24E</t>
  </si>
  <si>
    <t>FY 25E</t>
  </si>
  <si>
    <t>Wholesale</t>
  </si>
  <si>
    <t>Growth</t>
  </si>
  <si>
    <t>Retail</t>
  </si>
  <si>
    <t>FX &amp; Scope impact</t>
  </si>
  <si>
    <t>Other</t>
  </si>
  <si>
    <t>Currency neutral</t>
  </si>
  <si>
    <t>% of total</t>
  </si>
  <si>
    <t>of which stores</t>
  </si>
  <si>
    <t>% of retail</t>
  </si>
  <si>
    <t>of which eCommerce</t>
  </si>
  <si>
    <t>Other Businesses</t>
  </si>
  <si>
    <t>Total sales</t>
  </si>
  <si>
    <t>Check</t>
  </si>
  <si>
    <t>Gross profit by segment</t>
  </si>
  <si>
    <t>Gross margin %</t>
  </si>
  <si>
    <t xml:space="preserve">Total </t>
  </si>
  <si>
    <t>Gross margins by brands</t>
  </si>
  <si>
    <t>FY 12E</t>
  </si>
  <si>
    <t>FY 13E</t>
  </si>
  <si>
    <t>FY 14E</t>
  </si>
  <si>
    <t>adidas</t>
  </si>
  <si>
    <t>change in GM (bps)</t>
  </si>
  <si>
    <t>Reebok</t>
  </si>
  <si>
    <t>Wholesale check</t>
  </si>
  <si>
    <t>Retail check</t>
  </si>
  <si>
    <t>Sales by brand</t>
  </si>
  <si>
    <t>as % of sales</t>
  </si>
  <si>
    <t>adidas Sport Performance</t>
  </si>
  <si>
    <t>as % of adidas brand</t>
  </si>
  <si>
    <t>adidas Sport Style</t>
  </si>
  <si>
    <t>Other brands</t>
  </si>
  <si>
    <t>TaylorMade-adidas Golf</t>
  </si>
  <si>
    <t>Rockport</t>
  </si>
  <si>
    <t>Reebok-CCM Hockey</t>
  </si>
  <si>
    <t>Other centrally managed brands</t>
  </si>
  <si>
    <t>Sales by brand analysis</t>
  </si>
  <si>
    <t>NEW REPORTING STRUCTURE</t>
  </si>
  <si>
    <t>SALES BY REGION</t>
  </si>
  <si>
    <t>Western Europe/EMEA from 2020/Europe from 2022</t>
  </si>
  <si>
    <t>FX &amp; Scope</t>
  </si>
  <si>
    <t>Currency Neutral</t>
  </si>
  <si>
    <t>North America</t>
  </si>
  <si>
    <t>Latin America</t>
  </si>
  <si>
    <t>Gt ChIna from 2020 (Asia-Pacific 2018-20; Greater China pre 2018)</t>
  </si>
  <si>
    <t>Japan</t>
  </si>
  <si>
    <t>Russia/ CIS</t>
  </si>
  <si>
    <t>Japan/South Korea (from 2022)</t>
  </si>
  <si>
    <t>Emerging markets (from 2022)</t>
  </si>
  <si>
    <t>HQ/Consolidation</t>
  </si>
  <si>
    <t>Total Sales</t>
  </si>
  <si>
    <t>Sales ex. Potential disposals</t>
  </si>
  <si>
    <t>SALES BY BRAND</t>
  </si>
  <si>
    <t>Western Europe</t>
  </si>
  <si>
    <t>growth</t>
  </si>
  <si>
    <t>Greater China</t>
  </si>
  <si>
    <t>Russia / CIS</t>
  </si>
  <si>
    <t>MEEA</t>
  </si>
  <si>
    <t>adidas brand</t>
  </si>
  <si>
    <t>as % total</t>
  </si>
  <si>
    <t>TMaG</t>
  </si>
  <si>
    <t>Reebok CCM</t>
  </si>
  <si>
    <t>OCMB</t>
  </si>
  <si>
    <t>Brands to be disposed</t>
  </si>
  <si>
    <t>% sales</t>
  </si>
  <si>
    <t>Core brands</t>
  </si>
  <si>
    <t>MARGINS BY REGION (definition changed in FY17)</t>
  </si>
  <si>
    <t>COGS</t>
  </si>
  <si>
    <t>Gross profit</t>
  </si>
  <si>
    <t>Gross margin</t>
  </si>
  <si>
    <t>Operating costs</t>
  </si>
  <si>
    <t>as % sales</t>
  </si>
  <si>
    <t>EBIT</t>
  </si>
  <si>
    <t>EBIT margin</t>
  </si>
  <si>
    <t>Greater China (APAC from FY17)</t>
  </si>
  <si>
    <t>MEEA/Emerging Markets from FY17</t>
  </si>
  <si>
    <t>adidas Gross Profit</t>
  </si>
  <si>
    <t>Reebok Gross Profit</t>
  </si>
  <si>
    <t>adidas + Reebok EBIT</t>
  </si>
  <si>
    <t>Model is ex Yeezy</t>
  </si>
  <si>
    <t>Profit and Loss</t>
  </si>
  <si>
    <t>Other income (expense)</t>
  </si>
  <si>
    <t>Net sales</t>
  </si>
  <si>
    <t xml:space="preserve">  Growth</t>
  </si>
  <si>
    <t xml:space="preserve">  cFX Growth</t>
  </si>
  <si>
    <t>Costs of sales</t>
  </si>
  <si>
    <t xml:space="preserve">  % of sales</t>
  </si>
  <si>
    <t>Gross Profit</t>
  </si>
  <si>
    <t>Royalty Income</t>
  </si>
  <si>
    <t>Other operating income</t>
  </si>
  <si>
    <t>Marketing working budget</t>
  </si>
  <si>
    <t>Marketing overhead</t>
  </si>
  <si>
    <t>Sales force</t>
  </si>
  <si>
    <t>Logistics</t>
  </si>
  <si>
    <t>R&amp;D</t>
  </si>
  <si>
    <t>Central costs and other</t>
  </si>
  <si>
    <t>SG&amp;A expenses</t>
  </si>
  <si>
    <t>Depreciation &amp; Amortisation</t>
  </si>
  <si>
    <t xml:space="preserve">  % of capex</t>
  </si>
  <si>
    <t>Operating Income</t>
  </si>
  <si>
    <t>Operating leverage</t>
  </si>
  <si>
    <t>Exceptionals</t>
  </si>
  <si>
    <t>Operating Income (adj)</t>
  </si>
  <si>
    <t>EBITDA</t>
  </si>
  <si>
    <t>Net Financial Expense</t>
  </si>
  <si>
    <t>Pretax Income</t>
  </si>
  <si>
    <t>NA</t>
  </si>
  <si>
    <t>Taxes</t>
  </si>
  <si>
    <t xml:space="preserve">  Tax rate</t>
  </si>
  <si>
    <t>Net Income</t>
  </si>
  <si>
    <t>Minority Interests</t>
  </si>
  <si>
    <t>Net Income after Minority Interests</t>
  </si>
  <si>
    <t>Discontinued operations</t>
  </si>
  <si>
    <t>Net income</t>
  </si>
  <si>
    <t>na</t>
  </si>
  <si>
    <t>Net income (adj)</t>
  </si>
  <si>
    <t>EPS (diluted)</t>
  </si>
  <si>
    <t>EPS (basic)</t>
  </si>
  <si>
    <t>EPS (diluted - adj)</t>
  </si>
  <si>
    <t>EPS (basic - adj)</t>
  </si>
  <si>
    <t>Year end # shares</t>
  </si>
  <si>
    <t>Average shares outstanding (diluted)</t>
  </si>
  <si>
    <t>Average shares outstanding (basic)</t>
  </si>
  <si>
    <t xml:space="preserve">DPS </t>
  </si>
  <si>
    <t>Growth %</t>
  </si>
  <si>
    <t>Payout ratio</t>
  </si>
  <si>
    <t>Dividends</t>
  </si>
  <si>
    <r>
      <rPr>
        <b/>
        <sz val="12"/>
        <rFont val="Calibri"/>
        <charset val="134"/>
      </rPr>
      <t>PAT increase (</t>
    </r>
    <r>
      <rPr>
        <u/>
        <sz val="12"/>
        <rFont val="Calibri"/>
        <charset val="134"/>
      </rPr>
      <t>EUR mn)</t>
    </r>
  </si>
  <si>
    <t>Old EPS Estimates</t>
  </si>
  <si>
    <t>% change</t>
  </si>
  <si>
    <t>100% bonus</t>
  </si>
  <si>
    <t>150% bonus</t>
  </si>
  <si>
    <t>200% bonus</t>
  </si>
  <si>
    <t>Margins</t>
  </si>
  <si>
    <t>SG&amp;A expense</t>
  </si>
  <si>
    <t>Operating income</t>
  </si>
  <si>
    <t>Pretax income</t>
  </si>
  <si>
    <t>FX impact - absolute</t>
  </si>
  <si>
    <t>USD to EUR</t>
  </si>
  <si>
    <t>Yen to EUR</t>
  </si>
  <si>
    <t>HK$ to EUR</t>
  </si>
  <si>
    <t>Russian Rouble to Euro</t>
  </si>
  <si>
    <t>Russian Rouble to USD</t>
  </si>
  <si>
    <t>Brazilian Real to EUR</t>
  </si>
  <si>
    <t>Chinese Yuan to EUR</t>
  </si>
  <si>
    <t>British Pound to EUR</t>
  </si>
  <si>
    <t>Argentine Peso to EUR</t>
  </si>
  <si>
    <t>Mexican Peso to EUR</t>
  </si>
  <si>
    <t>FX impact - change</t>
  </si>
  <si>
    <t>Suppliers FX impact  by region</t>
  </si>
  <si>
    <t>Europe</t>
  </si>
  <si>
    <t>Americas</t>
  </si>
  <si>
    <t>Asia</t>
  </si>
  <si>
    <t>Total</t>
  </si>
  <si>
    <t>Suppliers by region</t>
  </si>
  <si>
    <t>FY 07E</t>
  </si>
  <si>
    <t>FY 08E</t>
  </si>
  <si>
    <t>Leases</t>
  </si>
  <si>
    <t>Rentals</t>
  </si>
  <si>
    <t>% of sales</t>
  </si>
  <si>
    <t>D&amp;A</t>
  </si>
  <si>
    <t>D&amp;A rate</t>
  </si>
  <si>
    <t>Capex</t>
  </si>
  <si>
    <t>Capex / D&amp;A</t>
  </si>
  <si>
    <t>Personnel</t>
  </si>
  <si>
    <t>Personnel expenses</t>
  </si>
  <si>
    <t>Number of employees</t>
  </si>
  <si>
    <t>Sales per employees (in€'000)</t>
  </si>
  <si>
    <t>Average wage</t>
  </si>
  <si>
    <t>growth, %</t>
  </si>
  <si>
    <t>Store analysis</t>
  </si>
  <si>
    <t>Revenue</t>
  </si>
  <si>
    <t>Concept stores</t>
  </si>
  <si>
    <t>as % of retail</t>
  </si>
  <si>
    <t>Sales/ Store</t>
  </si>
  <si>
    <t>Factory outlets</t>
  </si>
  <si>
    <t>Concession corners</t>
  </si>
  <si>
    <t>Factory + Concession</t>
  </si>
  <si>
    <t>eCom</t>
  </si>
  <si>
    <t>Retail revenue</t>
  </si>
  <si>
    <t>Store based retail</t>
  </si>
  <si>
    <t>Store</t>
  </si>
  <si>
    <t>Store contribution factor</t>
  </si>
  <si>
    <t>LFL</t>
  </si>
  <si>
    <t>Incl. eCom LFL</t>
  </si>
  <si>
    <t>Concept</t>
  </si>
  <si>
    <t>Factory outlet</t>
  </si>
  <si>
    <t>Concession</t>
  </si>
  <si>
    <t>Total store numbers</t>
  </si>
  <si>
    <t>Growth (abs)</t>
  </si>
  <si>
    <t>Growth (%)</t>
  </si>
  <si>
    <t xml:space="preserve">Capex for stores </t>
  </si>
  <si>
    <t>Capex per store</t>
  </si>
  <si>
    <t>Additional stores on our numbers</t>
  </si>
  <si>
    <t>Total stores</t>
  </si>
  <si>
    <t>Implied rev per store</t>
  </si>
  <si>
    <t>Implied revenue per store + online</t>
  </si>
  <si>
    <t>DO NOT DELETE - OLD REPORTING STRUCTURE</t>
  </si>
  <si>
    <t>2018E</t>
  </si>
  <si>
    <t>ADIDAS -in EURmn</t>
  </si>
  <si>
    <t>Q1 95</t>
  </si>
  <si>
    <t>Q2 95</t>
  </si>
  <si>
    <t>H1 95</t>
  </si>
  <si>
    <t>Q3 95</t>
  </si>
  <si>
    <t>9M 95</t>
  </si>
  <si>
    <t>Q4 95</t>
  </si>
  <si>
    <t>H2 95</t>
  </si>
  <si>
    <t>Q1 96</t>
  </si>
  <si>
    <t>Q2 96</t>
  </si>
  <si>
    <t>H1 96</t>
  </si>
  <si>
    <t>Q3 96</t>
  </si>
  <si>
    <t>9M 96</t>
  </si>
  <si>
    <t>Q4 96</t>
  </si>
  <si>
    <t>H2 96</t>
  </si>
  <si>
    <t>Q1 97</t>
  </si>
  <si>
    <t>Q2 97</t>
  </si>
  <si>
    <t>H1 97</t>
  </si>
  <si>
    <t>Q3 97</t>
  </si>
  <si>
    <t>9M 97</t>
  </si>
  <si>
    <t>Q4 97</t>
  </si>
  <si>
    <t>H2 97</t>
  </si>
  <si>
    <t>Q1 98</t>
  </si>
  <si>
    <t>Q2 98</t>
  </si>
  <si>
    <t>H1 98</t>
  </si>
  <si>
    <t>Q3 98</t>
  </si>
  <si>
    <t>Q4 98</t>
  </si>
  <si>
    <t>H2 98</t>
  </si>
  <si>
    <t>Q1 99</t>
  </si>
  <si>
    <t>Q2 99</t>
  </si>
  <si>
    <t>H1 99</t>
  </si>
  <si>
    <t>Q3 99</t>
  </si>
  <si>
    <t>9M 99</t>
  </si>
  <si>
    <t>Q4 99</t>
  </si>
  <si>
    <t>H2 99</t>
  </si>
  <si>
    <t>Q1 00</t>
  </si>
  <si>
    <t>Q2 00</t>
  </si>
  <si>
    <t>H1 00</t>
  </si>
  <si>
    <t>Q3 00</t>
  </si>
  <si>
    <t>9M 00</t>
  </si>
  <si>
    <t>Q4 00</t>
  </si>
  <si>
    <t>H2 00</t>
  </si>
  <si>
    <t>Q1 01</t>
  </si>
  <si>
    <t>Q2 01</t>
  </si>
  <si>
    <t>H1 01</t>
  </si>
  <si>
    <t>Q3 01</t>
  </si>
  <si>
    <t>9M 01</t>
  </si>
  <si>
    <t>Q4 01</t>
  </si>
  <si>
    <t>H2 01</t>
  </si>
  <si>
    <t>Q1 02</t>
  </si>
  <si>
    <t>Q2 02</t>
  </si>
  <si>
    <t>H1 02</t>
  </si>
  <si>
    <t>Q3 02</t>
  </si>
  <si>
    <t>9M 02</t>
  </si>
  <si>
    <t>Q4 02</t>
  </si>
  <si>
    <t>H2 02</t>
  </si>
  <si>
    <t>Q1 03</t>
  </si>
  <si>
    <t>Q2 03</t>
  </si>
  <si>
    <t>H1 03</t>
  </si>
  <si>
    <t>Q3 03</t>
  </si>
  <si>
    <t>9M 03</t>
  </si>
  <si>
    <t>Q4 03</t>
  </si>
  <si>
    <t>H2 03</t>
  </si>
  <si>
    <t>Q1 04</t>
  </si>
  <si>
    <t>Q2 04</t>
  </si>
  <si>
    <t>H1 04</t>
  </si>
  <si>
    <t>Q3 04</t>
  </si>
  <si>
    <t>9M 04</t>
  </si>
  <si>
    <t>Q4 04</t>
  </si>
  <si>
    <t>H2 04</t>
  </si>
  <si>
    <t>Q1 05</t>
  </si>
  <si>
    <t>Q2 05</t>
  </si>
  <si>
    <t>H1 05</t>
  </si>
  <si>
    <t>Q3 05</t>
  </si>
  <si>
    <t>9M 05</t>
  </si>
  <si>
    <t>Q4 05</t>
  </si>
  <si>
    <t>H2 05</t>
  </si>
  <si>
    <t>Q1 06</t>
  </si>
  <si>
    <t>Q2 06</t>
  </si>
  <si>
    <t>H1 06</t>
  </si>
  <si>
    <t>Q3 06</t>
  </si>
  <si>
    <t>9M 06</t>
  </si>
  <si>
    <t>Q4 06</t>
  </si>
  <si>
    <t>H2 06</t>
  </si>
  <si>
    <t>Q1 07</t>
  </si>
  <si>
    <t>Q2 07</t>
  </si>
  <si>
    <t>H1 07</t>
  </si>
  <si>
    <t>Q3 07</t>
  </si>
  <si>
    <t>9M 07</t>
  </si>
  <si>
    <t>Q4 07</t>
  </si>
  <si>
    <t>H2 07</t>
  </si>
  <si>
    <t>Q1 08</t>
  </si>
  <si>
    <t>Q2 08</t>
  </si>
  <si>
    <t>H1 08</t>
  </si>
  <si>
    <t>Q3 08</t>
  </si>
  <si>
    <t>9M 08</t>
  </si>
  <si>
    <t>Q4 08</t>
  </si>
  <si>
    <t>H2 08</t>
  </si>
  <si>
    <t>Q1 09</t>
  </si>
  <si>
    <t>Q2 09</t>
  </si>
  <si>
    <t>H1 09</t>
  </si>
  <si>
    <t>Q3 09</t>
  </si>
  <si>
    <t>9M 09</t>
  </si>
  <si>
    <t>Q4 09</t>
  </si>
  <si>
    <t>H2 09</t>
  </si>
  <si>
    <t>Q1 10</t>
  </si>
  <si>
    <t>Q2 10</t>
  </si>
  <si>
    <t>H1 10</t>
  </si>
  <si>
    <t>Q3 10</t>
  </si>
  <si>
    <t>9M 10</t>
  </si>
  <si>
    <t>Q4 10</t>
  </si>
  <si>
    <t>H2 10</t>
  </si>
  <si>
    <t>Q1 11</t>
  </si>
  <si>
    <t>Q2 11</t>
  </si>
  <si>
    <t>H1 11</t>
  </si>
  <si>
    <t>Q3 11</t>
  </si>
  <si>
    <t>9M 11</t>
  </si>
  <si>
    <t>Q4 11</t>
  </si>
  <si>
    <t>H2 11</t>
  </si>
  <si>
    <t>Q1 12</t>
  </si>
  <si>
    <t>Q2 12</t>
  </si>
  <si>
    <t>H1 12</t>
  </si>
  <si>
    <t>Q3 12</t>
  </si>
  <si>
    <t>9M 12</t>
  </si>
  <si>
    <t>Q4 12</t>
  </si>
  <si>
    <t>H2 12</t>
  </si>
  <si>
    <t>1Q13</t>
  </si>
  <si>
    <t>2Q13</t>
  </si>
  <si>
    <t>1H13</t>
  </si>
  <si>
    <t>3Q13</t>
  </si>
  <si>
    <t>9M13</t>
  </si>
  <si>
    <t>4Q13</t>
  </si>
  <si>
    <t>2H13</t>
  </si>
  <si>
    <t>FY13</t>
  </si>
  <si>
    <t>1Q14</t>
  </si>
  <si>
    <t>2Q14</t>
  </si>
  <si>
    <t>1H14</t>
  </si>
  <si>
    <t>3Q14</t>
  </si>
  <si>
    <t>9M14</t>
  </si>
  <si>
    <t>4Q14</t>
  </si>
  <si>
    <t>2H14</t>
  </si>
  <si>
    <t>FY14</t>
  </si>
  <si>
    <t>1Q15</t>
  </si>
  <si>
    <t>2Q15</t>
  </si>
  <si>
    <t>1H15</t>
  </si>
  <si>
    <t>3Q15</t>
  </si>
  <si>
    <t>9M15</t>
  </si>
  <si>
    <t>4Q15</t>
  </si>
  <si>
    <t>2H15</t>
  </si>
  <si>
    <t>FY15</t>
  </si>
  <si>
    <t>1Q16</t>
  </si>
  <si>
    <t>2Q16</t>
  </si>
  <si>
    <t>1H16</t>
  </si>
  <si>
    <t>3Q16</t>
  </si>
  <si>
    <t>9M16</t>
  </si>
  <si>
    <t>4Q16</t>
  </si>
  <si>
    <t>2H16</t>
  </si>
  <si>
    <t>FY16</t>
  </si>
  <si>
    <t>1Q17</t>
  </si>
  <si>
    <t>2Q17</t>
  </si>
  <si>
    <t>1H17</t>
  </si>
  <si>
    <t>3Q17</t>
  </si>
  <si>
    <t>9M17</t>
  </si>
  <si>
    <t>4Q17</t>
  </si>
  <si>
    <t>2H17</t>
  </si>
  <si>
    <t>FY17</t>
  </si>
  <si>
    <t>1Q18</t>
  </si>
  <si>
    <t>2Q18</t>
  </si>
  <si>
    <t>1H18</t>
  </si>
  <si>
    <t>3Q18</t>
  </si>
  <si>
    <t>9M18</t>
  </si>
  <si>
    <t>4Q18</t>
  </si>
  <si>
    <t>2H18</t>
  </si>
  <si>
    <t>FY18</t>
  </si>
  <si>
    <t>1Q19</t>
  </si>
  <si>
    <t>2Q19</t>
  </si>
  <si>
    <t>1H19</t>
  </si>
  <si>
    <t>3Q19</t>
  </si>
  <si>
    <t>9M19</t>
  </si>
  <si>
    <t>4Q19</t>
  </si>
  <si>
    <t>2H19</t>
  </si>
  <si>
    <t>FY19</t>
  </si>
  <si>
    <t>1Q20</t>
  </si>
  <si>
    <t>2Q20</t>
  </si>
  <si>
    <t>1H20</t>
  </si>
  <si>
    <t>3Q20</t>
  </si>
  <si>
    <t>9M20</t>
  </si>
  <si>
    <t>4Q20</t>
  </si>
  <si>
    <t>2H20</t>
  </si>
  <si>
    <t>FY20</t>
  </si>
  <si>
    <t>1Q21</t>
  </si>
  <si>
    <t>2Q21</t>
  </si>
  <si>
    <t>1H21</t>
  </si>
  <si>
    <t>3Q21</t>
  </si>
  <si>
    <t>9M21</t>
  </si>
  <si>
    <t>4Q21</t>
  </si>
  <si>
    <t>2H21</t>
  </si>
  <si>
    <t>FY21</t>
  </si>
  <si>
    <t>1Q22</t>
  </si>
  <si>
    <t>2Q22</t>
  </si>
  <si>
    <t>1H22</t>
  </si>
  <si>
    <t>3Q22</t>
  </si>
  <si>
    <t>9M22E</t>
  </si>
  <si>
    <t>4Q22</t>
  </si>
  <si>
    <t>2H22</t>
  </si>
  <si>
    <t>FY22</t>
  </si>
  <si>
    <t>1Q23</t>
  </si>
  <si>
    <t>2Q23</t>
  </si>
  <si>
    <t>1H23</t>
  </si>
  <si>
    <t>3Q23</t>
  </si>
  <si>
    <t>9M23E</t>
  </si>
  <si>
    <t>4Q23</t>
  </si>
  <si>
    <t>2H23</t>
  </si>
  <si>
    <t>FY23</t>
  </si>
  <si>
    <t>1Q24</t>
  </si>
  <si>
    <t>2Q24</t>
  </si>
  <si>
    <t>1H24</t>
  </si>
  <si>
    <t>3Q24</t>
  </si>
  <si>
    <t>9M24E</t>
  </si>
  <si>
    <t>4Q24</t>
  </si>
  <si>
    <t>2H24E</t>
  </si>
  <si>
    <t>FY24</t>
  </si>
  <si>
    <t>1Q25</t>
  </si>
  <si>
    <t>2Q25</t>
  </si>
  <si>
    <t>1H25</t>
  </si>
  <si>
    <t>3Q25</t>
  </si>
  <si>
    <t>9M25E</t>
  </si>
  <si>
    <t>4Q25</t>
  </si>
  <si>
    <t>2H25E</t>
  </si>
  <si>
    <t>FY25</t>
  </si>
  <si>
    <t>1Q26</t>
  </si>
  <si>
    <t>2Q26</t>
  </si>
  <si>
    <t>1H25E</t>
  </si>
  <si>
    <t>3Q26E</t>
  </si>
  <si>
    <t>4Q26E</t>
  </si>
  <si>
    <t>FY26E</t>
  </si>
  <si>
    <t>Q3</t>
  </si>
  <si>
    <t>Q4</t>
  </si>
  <si>
    <t>Q1</t>
  </si>
  <si>
    <t>Q2</t>
  </si>
  <si>
    <t>1H</t>
  </si>
  <si>
    <t>9M</t>
  </si>
  <si>
    <t>2H</t>
  </si>
  <si>
    <t>Interim Results</t>
  </si>
  <si>
    <t>adidas-Salomon</t>
  </si>
  <si>
    <t>1H23E</t>
  </si>
  <si>
    <t xml:space="preserve">2 year </t>
  </si>
  <si>
    <t xml:space="preserve">3 year </t>
  </si>
  <si>
    <t>Store contribution implied</t>
  </si>
  <si>
    <t>eCommerce contribution implied</t>
  </si>
  <si>
    <t>Group LFL</t>
  </si>
  <si>
    <t>adidas LFL</t>
  </si>
  <si>
    <t>Reebok LFL</t>
  </si>
  <si>
    <t>eCommerce growth (cFX)</t>
  </si>
  <si>
    <t>Retail &amp; Wholesale gross margin</t>
  </si>
  <si>
    <t>yoy gross margin bp</t>
  </si>
  <si>
    <t>check</t>
  </si>
  <si>
    <t>1Q</t>
  </si>
  <si>
    <t>2Q</t>
  </si>
  <si>
    <t>3Q</t>
  </si>
  <si>
    <t>4Q</t>
  </si>
  <si>
    <t>Brand average</t>
  </si>
  <si>
    <t>3Q25E</t>
  </si>
  <si>
    <t>4Q25E</t>
  </si>
  <si>
    <t>FY25E</t>
  </si>
  <si>
    <t>Sales by region</t>
  </si>
  <si>
    <t>European Ems</t>
  </si>
  <si>
    <t>Other Asian Markets</t>
  </si>
  <si>
    <t>Retail Store Network</t>
  </si>
  <si>
    <t>Adidas</t>
  </si>
  <si>
    <t>Absolute increase</t>
  </si>
  <si>
    <t>% growth yoy</t>
  </si>
  <si>
    <t>Factory Outlets</t>
  </si>
  <si>
    <t>Sales by Category</t>
  </si>
  <si>
    <t>9M20E</t>
  </si>
  <si>
    <t>Footwear</t>
  </si>
  <si>
    <t>2 year</t>
  </si>
  <si>
    <t>3 year</t>
  </si>
  <si>
    <t>Apparel</t>
  </si>
  <si>
    <t>Hardware</t>
  </si>
  <si>
    <t>Restate segments</t>
  </si>
  <si>
    <t>9M18E</t>
  </si>
  <si>
    <t>1H19E</t>
  </si>
  <si>
    <t>9M19E</t>
  </si>
  <si>
    <t>2H19E</t>
  </si>
  <si>
    <t>2H20E</t>
  </si>
  <si>
    <t>adi</t>
  </si>
  <si>
    <t>% total</t>
  </si>
  <si>
    <t>2 Year</t>
  </si>
  <si>
    <t>Ree</t>
  </si>
  <si>
    <t>3 Year</t>
  </si>
  <si>
    <t>DO NOT DELETE</t>
  </si>
  <si>
    <t>Other Businesses (cont ops, restated)</t>
  </si>
  <si>
    <t>OTHER BIZ REGIONS</t>
  </si>
  <si>
    <t>W Europe</t>
  </si>
  <si>
    <t>Russia</t>
  </si>
  <si>
    <t>2Q21E</t>
  </si>
  <si>
    <t>1H20E</t>
  </si>
  <si>
    <t>3Q21E</t>
  </si>
  <si>
    <t>4Q21E</t>
  </si>
  <si>
    <t>FY21E</t>
  </si>
  <si>
    <t>Lat Am</t>
  </si>
  <si>
    <t>MEAA</t>
  </si>
  <si>
    <t>Asia-Pacific (Greater China pre 2018)</t>
  </si>
  <si>
    <t>Emerging markets (MEAA pre 2018)</t>
  </si>
  <si>
    <t>Other Businesses (Runtastic, adidas Golf and OCMB as of 1Q17)</t>
  </si>
  <si>
    <t>% other</t>
  </si>
  <si>
    <t>Margins by region</t>
  </si>
  <si>
    <t>APAC from 2020 (Emerging markets 2018-20, MEAA pre 2018)</t>
  </si>
  <si>
    <t>Yeezy</t>
  </si>
  <si>
    <t>Incl Yeezy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</si>
  <si>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</si>
  <si>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</si>
  <si>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</si>
  <si>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</si>
  <si>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</si>
  <si>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</si>
  <si>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</si>
  <si>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</si>
  <si>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</si>
  <si>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2Q11E</t>
  </si>
  <si>
    <t>3Q11E</t>
  </si>
  <si>
    <t>4Q11E</t>
  </si>
  <si>
    <t>Effect of COGs inflation</t>
  </si>
  <si>
    <t xml:space="preserve">  - cFX</t>
  </si>
  <si>
    <t xml:space="preserve">  - ccy, scope</t>
  </si>
  <si>
    <t>Gross profit margin</t>
  </si>
  <si>
    <t>Gross margin change (yoy)</t>
  </si>
  <si>
    <t>Sales and marketing working budget</t>
  </si>
  <si>
    <t>Seasonality</t>
  </si>
  <si>
    <t>Other S, G &amp; A</t>
  </si>
  <si>
    <t>Not capturing other operating income</t>
  </si>
  <si>
    <t>Other expenses</t>
  </si>
  <si>
    <t>Extraordinary Items(Non-recurring)</t>
  </si>
  <si>
    <t>Operating Income without Extraordinary Items</t>
  </si>
  <si>
    <t>Underlying EBIT margin change (yoy)</t>
  </si>
  <si>
    <t>Na</t>
  </si>
  <si>
    <t>nm</t>
  </si>
  <si>
    <t>Earnings per share (Euro - Diluted)</t>
  </si>
  <si>
    <t>Earnings per share (Euro - Basic)</t>
  </si>
  <si>
    <t>Eps adj (Euro - Diluted)</t>
  </si>
  <si>
    <t>Eps adj (Euro - Basic)</t>
  </si>
  <si>
    <t>Period end shares</t>
  </si>
  <si>
    <t>Balance sheet &amp; Cash Flow items</t>
  </si>
  <si>
    <t>Inventories</t>
  </si>
  <si>
    <t>Receivables</t>
  </si>
  <si>
    <t>Working Capital</t>
  </si>
  <si>
    <t>Payables</t>
  </si>
  <si>
    <t>Net debt/(cash)</t>
  </si>
  <si>
    <t>Assets</t>
  </si>
  <si>
    <t>Equity</t>
  </si>
  <si>
    <t>Inventories as % of COGS</t>
  </si>
  <si>
    <t>Inventory as % sales</t>
  </si>
  <si>
    <t>Inventory as % retail sales</t>
  </si>
  <si>
    <t>Receivables as % of sales</t>
  </si>
  <si>
    <t>Working Capital as % of sales</t>
  </si>
  <si>
    <t>Capex as % of sales</t>
  </si>
  <si>
    <t>Net Debt/Assets</t>
  </si>
  <si>
    <t>Net Debt/Equity</t>
  </si>
  <si>
    <t>EBIT/Assets</t>
  </si>
  <si>
    <t>EBIT/Capex</t>
  </si>
  <si>
    <t xml:space="preserve">FX impact </t>
  </si>
  <si>
    <t>Salomon (+ Mavic as of 2002)</t>
  </si>
  <si>
    <t xml:space="preserve">  % of total</t>
  </si>
  <si>
    <t xml:space="preserve"> Europe</t>
  </si>
  <si>
    <t xml:space="preserve">  FX impact</t>
  </si>
  <si>
    <t xml:space="preserve">  Currency neutral</t>
  </si>
  <si>
    <t xml:space="preserve"> North America</t>
  </si>
  <si>
    <t xml:space="preserve"> Asia &amp; Latin America</t>
  </si>
  <si>
    <t xml:space="preserve">    Total adidas sales</t>
  </si>
  <si>
    <t>Consolidation</t>
  </si>
  <si>
    <t>Taylor Made</t>
  </si>
  <si>
    <t>Gross Profit by brand</t>
  </si>
  <si>
    <t xml:space="preserve">  Gross Margin</t>
  </si>
  <si>
    <t>Total Gross Profit</t>
  </si>
  <si>
    <t>Operating Profit by brand</t>
  </si>
  <si>
    <t xml:space="preserve">  Operating Margin</t>
  </si>
  <si>
    <t xml:space="preserve">  % of total sales</t>
  </si>
  <si>
    <t>Total Operating Profit</t>
  </si>
  <si>
    <t>Adidas brand</t>
  </si>
  <si>
    <t>adidas brand sales by region</t>
  </si>
  <si>
    <t xml:space="preserve">   Declared Growth</t>
  </si>
  <si>
    <t xml:space="preserve">   FX impact</t>
  </si>
  <si>
    <t xml:space="preserve">   Currency Neutral Growth</t>
  </si>
  <si>
    <t xml:space="preserve">   % of total</t>
  </si>
  <si>
    <t xml:space="preserve">North America </t>
  </si>
  <si>
    <t xml:space="preserve">Asia </t>
  </si>
  <si>
    <t xml:space="preserve">   Declared Growth (%)</t>
  </si>
  <si>
    <t xml:space="preserve">   Currency Neutral Growth (%)</t>
  </si>
  <si>
    <t>adidas brand sales by segment</t>
  </si>
  <si>
    <t>Sport Performance</t>
  </si>
  <si>
    <t>Sport Style</t>
  </si>
  <si>
    <t>adidas brand profits</t>
  </si>
  <si>
    <t>Operating Profit</t>
  </si>
  <si>
    <t xml:space="preserve">  EBIT Margin</t>
  </si>
  <si>
    <t>adidas Order backlog</t>
  </si>
  <si>
    <t xml:space="preserve">   Currency Neutral</t>
  </si>
  <si>
    <t>Reebok segment</t>
  </si>
  <si>
    <t xml:space="preserve">  Currency Neutral Growth</t>
  </si>
  <si>
    <t>Gross Profit (including purchase price allocation)</t>
  </si>
  <si>
    <t>Purchase price allocation on gross profit</t>
  </si>
  <si>
    <t>Gross Profit (excluding purchase price allocation)</t>
  </si>
  <si>
    <t>Operating Profit (including purchase price allocation)</t>
  </si>
  <si>
    <t>Purchase price allocation on EBIT</t>
  </si>
  <si>
    <t>Operating Profit (excluding purchase price allocation)</t>
  </si>
  <si>
    <t>Reebok Order backlog (yoy %)</t>
  </si>
  <si>
    <t>TaylorMade</t>
  </si>
  <si>
    <t xml:space="preserve">Gross Profit </t>
  </si>
  <si>
    <t xml:space="preserve">Operating Profit </t>
  </si>
  <si>
    <t>Retail vs. wholesale</t>
  </si>
  <si>
    <t>Own Retail growth</t>
  </si>
  <si>
    <t>Comp FX impact</t>
  </si>
  <si>
    <t>NOT IN USE - DO NOT DELETE</t>
  </si>
  <si>
    <t>Others</t>
  </si>
  <si>
    <t>Space</t>
  </si>
  <si>
    <t>Includes consolidation of Five Ten from Q4 11</t>
  </si>
  <si>
    <t>Sales by Channel &amp; Geography</t>
  </si>
  <si>
    <t>Space %</t>
  </si>
  <si>
    <t>Comp store %</t>
  </si>
  <si>
    <t>Store number</t>
  </si>
  <si>
    <t>Other Business</t>
  </si>
  <si>
    <t>Operating profit by segment</t>
  </si>
  <si>
    <t>Operating margin %</t>
  </si>
  <si>
    <t>Discontinued operations impact</t>
  </si>
  <si>
    <t>Reported Revenue</t>
  </si>
  <si>
    <t>Reported Gross margin</t>
  </si>
  <si>
    <t>Continuing ops</t>
  </si>
  <si>
    <t>up to +30bps (to 49.5%)</t>
  </si>
  <si>
    <t>Opex</t>
  </si>
  <si>
    <t>% growth</t>
  </si>
  <si>
    <t>8.6-8.8% (+20-40bps)</t>
  </si>
  <si>
    <t>Assets for sale (discontinued ops)</t>
  </si>
  <si>
    <t>as % of Other Biz</t>
  </si>
  <si>
    <t>Restated estimates (yoy change for 2017)</t>
  </si>
  <si>
    <t>Revenue (restated)</t>
  </si>
  <si>
    <t>Gross profit (restated)</t>
  </si>
  <si>
    <t>Gross margin (restated)</t>
  </si>
  <si>
    <t>yoy gross margin change (bps)</t>
  </si>
  <si>
    <t>EBIT (restated)</t>
  </si>
  <si>
    <t>EBIT margin (restated)</t>
  </si>
  <si>
    <t>yoy EBIT margin change (bps)</t>
  </si>
  <si>
    <t>2H17E</t>
  </si>
  <si>
    <t>FY17E</t>
  </si>
  <si>
    <t>1Q20E</t>
  </si>
  <si>
    <t>2Q20E</t>
  </si>
  <si>
    <t>3Q20E</t>
  </si>
  <si>
    <t>4Q20E</t>
  </si>
  <si>
    <t>Wholesale cFX growth</t>
  </si>
  <si>
    <t>Retail cFX growth</t>
  </si>
  <si>
    <t>- online</t>
  </si>
  <si>
    <t>- store LFL</t>
  </si>
  <si>
    <t>- space</t>
  </si>
  <si>
    <t>Sales</t>
  </si>
  <si>
    <t>1Q 10</t>
  </si>
  <si>
    <t>2Q 10</t>
  </si>
  <si>
    <t>3Q 10</t>
  </si>
  <si>
    <t>4Q 10</t>
  </si>
  <si>
    <t>1Q 11</t>
  </si>
  <si>
    <t>2Q 11</t>
  </si>
  <si>
    <t>3Q 11</t>
  </si>
  <si>
    <t>4Q 11</t>
  </si>
  <si>
    <t>1Q 12</t>
  </si>
  <si>
    <t>2Q 12</t>
  </si>
  <si>
    <t>3Q 12</t>
  </si>
  <si>
    <t>4Q 12</t>
  </si>
  <si>
    <t>Reported growth</t>
  </si>
  <si>
    <t>Footwear growth</t>
  </si>
  <si>
    <t>Apparel growth</t>
  </si>
  <si>
    <t>Hardware growth</t>
  </si>
  <si>
    <t>Sales split</t>
  </si>
  <si>
    <t>cFX growth</t>
  </si>
  <si>
    <t>4Q19E</t>
  </si>
  <si>
    <t>Asia-Pac (Gt China pre 2018)</t>
  </si>
  <si>
    <t>EM (MEAA pre 2018)</t>
  </si>
  <si>
    <t>Split</t>
  </si>
  <si>
    <t>2Q18E</t>
  </si>
  <si>
    <t>EBIT margin evolution</t>
  </si>
  <si>
    <t>3Q19E</t>
  </si>
  <si>
    <t>Gross margin contrib</t>
  </si>
  <si>
    <t>Opex/sales contrib</t>
  </si>
  <si>
    <t>EBIT margin contrib</t>
  </si>
  <si>
    <t>Gross margin drivers</t>
  </si>
  <si>
    <t>Country mix</t>
  </si>
  <si>
    <t>Brand mix</t>
  </si>
  <si>
    <t>Channel mix</t>
  </si>
  <si>
    <t>Sales growth, by geography</t>
  </si>
  <si>
    <t>FY23E</t>
  </si>
  <si>
    <t>FY24E</t>
  </si>
  <si>
    <t>N America</t>
  </si>
  <si>
    <t>Latam</t>
  </si>
  <si>
    <t>LatAm</t>
  </si>
  <si>
    <t>AsiaPac</t>
  </si>
  <si>
    <t>Asia-Pac</t>
  </si>
  <si>
    <t>EM</t>
  </si>
  <si>
    <t>EBIT margin delta</t>
  </si>
  <si>
    <t>GM% delta</t>
  </si>
  <si>
    <t>Opex/sales delta</t>
  </si>
  <si>
    <t>Gt China</t>
  </si>
  <si>
    <t>EBIT margin (RHS)</t>
  </si>
  <si>
    <t>FY19E</t>
  </si>
  <si>
    <t>FY20E</t>
  </si>
  <si>
    <t>Sales ccy translation/scope</t>
  </si>
  <si>
    <t>FY12</t>
  </si>
  <si>
    <t>FY22E</t>
  </si>
  <si>
    <t>EPS growth</t>
  </si>
  <si>
    <t>EPS</t>
  </si>
  <si>
    <t>Sales mix</t>
  </si>
  <si>
    <t>Retail - Online</t>
  </si>
  <si>
    <t>Retail - Stores</t>
  </si>
  <si>
    <t>Other business</t>
  </si>
  <si>
    <t>adidas online growth</t>
  </si>
  <si>
    <t>adidas store sales growth</t>
  </si>
  <si>
    <t>adidas Retail sales growth</t>
  </si>
  <si>
    <t>Space contribution</t>
  </si>
  <si>
    <t>adidas space growth</t>
  </si>
  <si>
    <t>adidas store LFL</t>
  </si>
  <si>
    <t>adidas Group online penetration</t>
  </si>
  <si>
    <t>adidas Retail online penetration</t>
  </si>
  <si>
    <t>adidas store contrib</t>
  </si>
  <si>
    <t>adidas online contrib</t>
  </si>
  <si>
    <t>2020E</t>
  </si>
  <si>
    <t>2021E</t>
  </si>
  <si>
    <t>2022E</t>
  </si>
  <si>
    <t>2023E</t>
  </si>
  <si>
    <t>cFX sales growth</t>
  </si>
  <si>
    <t>Average</t>
  </si>
  <si>
    <t>Pricing analysis</t>
  </si>
  <si>
    <t>APAC</t>
  </si>
  <si>
    <t>Emerging Markets</t>
  </si>
  <si>
    <t>Russia/CIS</t>
  </si>
  <si>
    <t>Other businesses</t>
  </si>
  <si>
    <t>Group</t>
  </si>
  <si>
    <t>Index</t>
  </si>
  <si>
    <t>Variance</t>
  </si>
  <si>
    <t>Unit price</t>
  </si>
  <si>
    <t>Unit COGS</t>
  </si>
  <si>
    <t>Unit GM%</t>
  </si>
  <si>
    <t>Retail vs Wholesale</t>
  </si>
  <si>
    <t>Price index</t>
  </si>
  <si>
    <t>Volume index</t>
  </si>
  <si>
    <t>Volume growth</t>
  </si>
  <si>
    <t>Value index</t>
  </si>
  <si>
    <t>Value growth</t>
  </si>
  <si>
    <t>Retail mix impact</t>
  </si>
  <si>
    <t>Change in retail mix</t>
  </si>
  <si>
    <t>2019E</t>
  </si>
  <si>
    <t>Wholesale to retail</t>
  </si>
  <si>
    <t>FY29E</t>
  </si>
  <si>
    <t>FY19-29E</t>
  </si>
  <si>
    <t>sales</t>
  </si>
  <si>
    <t>Margin</t>
  </si>
  <si>
    <t>Online</t>
  </si>
  <si>
    <t>Retail (offline)</t>
  </si>
  <si>
    <t>Offline</t>
  </si>
  <si>
    <t>W</t>
  </si>
  <si>
    <t>R</t>
  </si>
  <si>
    <t>- value split</t>
  </si>
  <si>
    <t>O</t>
  </si>
  <si>
    <t>- price</t>
  </si>
  <si>
    <t>- volume</t>
  </si>
  <si>
    <t>- volume split</t>
  </si>
  <si>
    <t>Online basket economics:</t>
  </si>
  <si>
    <t>USD</t>
  </si>
  <si>
    <t>Sales %</t>
  </si>
  <si>
    <t>Sales (net of returns)]</t>
  </si>
  <si>
    <t>Warehouse and distribution</t>
  </si>
  <si>
    <t>Marketing</t>
  </si>
  <si>
    <t>Central costs</t>
  </si>
  <si>
    <t>Graphic data</t>
  </si>
  <si>
    <t>YOY growth</t>
  </si>
  <si>
    <t>yoy growth</t>
  </si>
  <si>
    <t>Tmall sales growth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</si>
  <si>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</si>
  <si>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</si>
  <si>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</si>
  <si>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</si>
  <si>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</si>
  <si>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</si>
  <si>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</si>
  <si>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</si>
  <si>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</si>
  <si>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August</t>
  </si>
  <si>
    <t>September</t>
  </si>
  <si>
    <t>Puma</t>
  </si>
  <si>
    <t>Nike</t>
  </si>
  <si>
    <t>Li Ning</t>
  </si>
  <si>
    <t>Anta</t>
  </si>
  <si>
    <t>Fila</t>
  </si>
  <si>
    <t>3mth yoy growth (val)</t>
  </si>
  <si>
    <t>3 mnth YOY growth</t>
  </si>
  <si>
    <t>3 month</t>
  </si>
  <si>
    <t>Adidas APAC cFX sales growth</t>
  </si>
  <si>
    <t>Puma APAC cFX sales growth</t>
  </si>
  <si>
    <t>3mth yoy growth (vol)</t>
  </si>
  <si>
    <t>Volume</t>
  </si>
  <si>
    <t>Value</t>
  </si>
  <si>
    <t>- yoy growth</t>
  </si>
  <si>
    <t>China</t>
  </si>
  <si>
    <t>- retail (stores)</t>
  </si>
  <si>
    <t>- retail (online)</t>
  </si>
  <si>
    <t>- wholesale (stores)</t>
  </si>
  <si>
    <t>- wholesale (online)</t>
  </si>
  <si>
    <t xml:space="preserve">Other </t>
  </si>
  <si>
    <t>Inventory</t>
  </si>
  <si>
    <t>Inventory/sales</t>
  </si>
  <si>
    <t>2026E</t>
  </si>
  <si>
    <t>2024E</t>
  </si>
  <si>
    <t>2025E</t>
  </si>
  <si>
    <t>FCF</t>
  </si>
  <si>
    <t>Net cash (debt)</t>
  </si>
  <si>
    <t>Share buyhback + dividends</t>
  </si>
  <si>
    <t>Gross margin calc</t>
  </si>
  <si>
    <t>Base</t>
  </si>
  <si>
    <t>GM%</t>
  </si>
  <si>
    <t>GP</t>
  </si>
  <si>
    <t>RoW</t>
  </si>
  <si>
    <t>2020E gross margin drivers</t>
  </si>
  <si>
    <t>2QE</t>
  </si>
  <si>
    <t>3QE</t>
  </si>
  <si>
    <t>4QE</t>
  </si>
  <si>
    <t>Regional mix</t>
  </si>
  <si>
    <t>Cancelled purchase orders</t>
  </si>
  <si>
    <t>Markdown</t>
  </si>
  <si>
    <t>FX/other</t>
  </si>
  <si>
    <t>Yeezy exit</t>
  </si>
  <si>
    <t>Ex costs</t>
  </si>
  <si>
    <t>Yeezy Sales</t>
  </si>
  <si>
    <t xml:space="preserve"> - 4Q22E</t>
  </si>
  <si>
    <t xml:space="preserve"> - EBIT margin</t>
  </si>
  <si>
    <t>Tax</t>
  </si>
  <si>
    <t>2027E</t>
  </si>
  <si>
    <t>2028E</t>
  </si>
  <si>
    <t>Revenue (OLD)</t>
  </si>
  <si>
    <t>Change in forecast</t>
  </si>
  <si>
    <t>2029E</t>
  </si>
  <si>
    <t>cFX sales growth (OLD)</t>
  </si>
  <si>
    <t>cFX sales growth FY15-19</t>
  </si>
  <si>
    <t>Change in forecast (RHS)</t>
  </si>
  <si>
    <t>Nedest Cal y/end</t>
  </si>
  <si>
    <t>Nike cFX growth</t>
  </si>
  <si>
    <t xml:space="preserve">Adidas cFX sales </t>
  </si>
  <si>
    <t>Shoe sales</t>
  </si>
  <si>
    <t xml:space="preserve"> - growth (cFX)%</t>
  </si>
  <si>
    <t>Shoe pairs manuf</t>
  </si>
  <si>
    <t xml:space="preserve"> - growth %</t>
  </si>
  <si>
    <t>Graphic</t>
  </si>
  <si>
    <t>Shoe sales growth</t>
  </si>
  <si>
    <t>Shoe pairs manuf growth</t>
  </si>
  <si>
    <t>Shoe pairs manuf (RHS)</t>
  </si>
  <si>
    <t>cFX shoe sales growth</t>
  </si>
  <si>
    <t>Inventory growth</t>
  </si>
  <si>
    <t>Sales growth - inventory growth</t>
  </si>
  <si>
    <t>Shoe revenue</t>
  </si>
  <si>
    <t>Shoe pairs manuf (est)</t>
  </si>
  <si>
    <t>Reported</t>
  </si>
  <si>
    <t>Depreciation</t>
  </si>
  <si>
    <t>Depreciation delta</t>
  </si>
  <si>
    <t>4Q24E</t>
  </si>
  <si>
    <t>Adidas Wholesale cFX sales growth</t>
  </si>
  <si>
    <t>Adidas DTC cFX sales growth</t>
  </si>
  <si>
    <t>Adidas Average</t>
  </si>
  <si>
    <t>Adidas Group</t>
  </si>
  <si>
    <t>Adidas DTC sales mix</t>
  </si>
  <si>
    <t>Adidas regional sales</t>
  </si>
  <si>
    <t>Mix</t>
  </si>
  <si>
    <t>EEMEA</t>
  </si>
  <si>
    <t>latin America</t>
  </si>
  <si>
    <t>APAC ex China</t>
  </si>
  <si>
    <t>Adidas regional production</t>
  </si>
  <si>
    <t>Accessories</t>
  </si>
  <si>
    <t>Vietnam</t>
  </si>
  <si>
    <t>Cambodia</t>
  </si>
  <si>
    <t>Indonesia</t>
  </si>
  <si>
    <t>Other/Europe</t>
  </si>
  <si>
    <t>Weighting</t>
  </si>
  <si>
    <t>cFX</t>
  </si>
  <si>
    <t>Avg 2010-19</t>
  </si>
  <si>
    <t>Adidas category sales mix</t>
  </si>
  <si>
    <t>EUR mn</t>
  </si>
  <si>
    <t>Performance</t>
  </si>
  <si>
    <t xml:space="preserve"> - Soccer</t>
  </si>
  <si>
    <t xml:space="preserve"> - Running</t>
  </si>
  <si>
    <t xml:space="preserve"> - Training</t>
  </si>
  <si>
    <t xml:space="preserve"> - Other</t>
  </si>
  <si>
    <t>Lifestyle</t>
  </si>
  <si>
    <t xml:space="preserve"> - Originals/Classics</t>
  </si>
  <si>
    <t xml:space="preserve"> - Sportswear</t>
  </si>
  <si>
    <t>Growth cFX %</t>
  </si>
  <si>
    <t>Total cFX</t>
  </si>
  <si>
    <t xml:space="preserve"> - FX</t>
  </si>
  <si>
    <t>Total (EUROs)</t>
  </si>
  <si>
    <t>Sales mix %</t>
  </si>
  <si>
    <t>Footwear trends</t>
  </si>
  <si>
    <t>FX</t>
  </si>
  <si>
    <t>Adidas footwear</t>
  </si>
  <si>
    <t>Terrace</t>
  </si>
  <si>
    <t>Non terrace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</si>
  <si>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</si>
  <si>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</si>
  <si>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</si>
  <si>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</si>
  <si>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</si>
  <si>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</si>
  <si>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</si>
  <si>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</si>
  <si>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</si>
  <si>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</si>
  <si>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</si>
  <si>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</si>
  <si>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</si>
  <si>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2030E</t>
  </si>
  <si>
    <t>LTM Revenues</t>
  </si>
  <si>
    <t>Balance Sheet and Cash Flow Statement</t>
  </si>
  <si>
    <t>Balance Sheet</t>
  </si>
  <si>
    <t>Cash &amp; Equivalents</t>
  </si>
  <si>
    <t>Net Receivables</t>
  </si>
  <si>
    <t>Current Deferred Tax Assets</t>
  </si>
  <si>
    <t>Other Current Assets</t>
  </si>
  <si>
    <t>Current Assets</t>
  </si>
  <si>
    <t>Gross PP&amp;E</t>
  </si>
  <si>
    <t>Less: Cumulative Depreciation</t>
  </si>
  <si>
    <t>Net PP&amp;E</t>
  </si>
  <si>
    <t>Right of use asset</t>
  </si>
  <si>
    <t>Gross Intangibles</t>
  </si>
  <si>
    <t>Less: Cumulative Amortization</t>
  </si>
  <si>
    <t>Net Intangibles</t>
  </si>
  <si>
    <t>Equity Method Investments</t>
  </si>
  <si>
    <t>Investments in Securities or Other</t>
  </si>
  <si>
    <t>Total Investments</t>
  </si>
  <si>
    <t>Deferred Tax Assets</t>
  </si>
  <si>
    <t>Other Long-Term Assets</t>
  </si>
  <si>
    <t>Total Assets</t>
  </si>
  <si>
    <t>Liabilities</t>
  </si>
  <si>
    <t>Accounts Payable</t>
  </si>
  <si>
    <t>Multiple of inventory growth</t>
  </si>
  <si>
    <t>Notes Payable</t>
  </si>
  <si>
    <t>Short-Term Debt</t>
  </si>
  <si>
    <t>Deferred Tax Liability</t>
  </si>
  <si>
    <t>Lease liabilities</t>
  </si>
  <si>
    <t>Other Current Liabilities</t>
  </si>
  <si>
    <t>Current Liabilities</t>
  </si>
  <si>
    <t>Debt</t>
  </si>
  <si>
    <t>Preferred Shares</t>
  </si>
  <si>
    <t>Other Long-term Liabilities</t>
  </si>
  <si>
    <t>Total Liabilities</t>
  </si>
  <si>
    <t>Common Stock</t>
  </si>
  <si>
    <t>Retained Earnings</t>
  </si>
  <si>
    <t>Other Common Equity</t>
  </si>
  <si>
    <t>Total Common Equity</t>
  </si>
  <si>
    <t>Total Shareholders Equity</t>
  </si>
  <si>
    <t>Total Liabilities &amp; S. Equity</t>
  </si>
  <si>
    <t xml:space="preserve"> </t>
  </si>
  <si>
    <t>Long-Term Liability Ratios</t>
  </si>
  <si>
    <t>Other Liabilities as % of LTM Revenue</t>
  </si>
  <si>
    <t>Deferred Tax Ratios</t>
  </si>
  <si>
    <t>Book Income Tax Growth</t>
  </si>
  <si>
    <t>LT Deferred Tax Asset Growth</t>
  </si>
  <si>
    <t>Current Deferred Tax Liability Growth</t>
  </si>
  <si>
    <t>LT Deferred Tax Liability Growth</t>
  </si>
  <si>
    <t>Current Deferred Tax Assets as % of LTM Revenue</t>
  </si>
  <si>
    <t>LT Deferred Tax Assets as % of LTM Revenue</t>
  </si>
  <si>
    <t>Current Deferred Tax Liability as % of LTM Revenue</t>
  </si>
  <si>
    <t>LT Deferred Tax Liability as % of LTM Revenue</t>
  </si>
  <si>
    <t>Cash Flow</t>
  </si>
  <si>
    <t>Cash Flow from Operations</t>
  </si>
  <si>
    <t>Amortization</t>
  </si>
  <si>
    <t>Minority Interest Expense</t>
  </si>
  <si>
    <t>% of net income</t>
  </si>
  <si>
    <t>Change in Long-Term Deferred Taxes</t>
  </si>
  <si>
    <t>Change in Working Capital</t>
  </si>
  <si>
    <t>Accounts Receivable</t>
  </si>
  <si>
    <t>2017E</t>
  </si>
  <si>
    <t>FCF/sales</t>
  </si>
  <si>
    <t>FCF growth</t>
  </si>
  <si>
    <t>Net cash (debt) post buyback - RHS</t>
  </si>
  <si>
    <t>Other Operating Cash Flow Items</t>
  </si>
  <si>
    <t>Total Cash Flow from Operations</t>
  </si>
  <si>
    <t>Cash Flow from Investments</t>
  </si>
  <si>
    <t>Capital Expenditures</t>
  </si>
  <si>
    <t>Acquisitions</t>
  </si>
  <si>
    <t>Divestitures</t>
  </si>
  <si>
    <t>Net Profit/Loss on Asset Sales</t>
  </si>
  <si>
    <t>Other Investing Cash Flow Items</t>
  </si>
  <si>
    <t>Total Cash Flow from Investments</t>
  </si>
  <si>
    <t>Cash Flow from Financing</t>
  </si>
  <si>
    <t>Preferred Dividends</t>
  </si>
  <si>
    <t>Common Dividends</t>
  </si>
  <si>
    <t>Rent</t>
  </si>
  <si>
    <t>Share Repurchase/Issuance</t>
  </si>
  <si>
    <t>Change in Other Common Equity</t>
  </si>
  <si>
    <t>Change in Minority Interest</t>
  </si>
  <si>
    <t>Change in Debt</t>
  </si>
  <si>
    <t>Change in Notes Payable</t>
  </si>
  <si>
    <t>Change in Short-Term Debt</t>
  </si>
  <si>
    <t>Change in LT Debt</t>
  </si>
  <si>
    <t>Change in Preferred Debt</t>
  </si>
  <si>
    <t>Change in Other Liabilities</t>
  </si>
  <si>
    <t>Other Financing Cash Flow Items</t>
  </si>
  <si>
    <t>Total Cash Flow from Financing</t>
  </si>
  <si>
    <t>Exchange rate</t>
  </si>
  <si>
    <t>Net Increase in Cash &amp; Equivalents</t>
  </si>
  <si>
    <t>Net debt (cash)</t>
  </si>
  <si>
    <t>IFRS16 Net Debt (Cash)</t>
  </si>
  <si>
    <t>Balance Sheet Ratios</t>
  </si>
  <si>
    <t>Working Capital Ratios</t>
  </si>
  <si>
    <t>Other Current liabilities</t>
  </si>
  <si>
    <t>Growth in working capital, yoy %</t>
  </si>
  <si>
    <t>Working capital growth / sales growth</t>
  </si>
  <si>
    <t>Working capital as % of sales</t>
  </si>
  <si>
    <t>Inventory days</t>
  </si>
  <si>
    <t>Receivable days</t>
  </si>
  <si>
    <t>Payable days</t>
  </si>
  <si>
    <t>PP&amp;E Ratios</t>
  </si>
  <si>
    <t>Cumulative Depreciation as % of Gross PP&amp;E</t>
  </si>
  <si>
    <t>Depreciation (% of CapEx)</t>
  </si>
  <si>
    <t>Depreciation as % of Revenue</t>
  </si>
  <si>
    <t>Depreciation as % of Net PP&amp;E</t>
  </si>
  <si>
    <t>CapEx as % of Revenue</t>
  </si>
  <si>
    <t>CapEx as % of Net PP&amp;E</t>
  </si>
  <si>
    <t>Asset turn</t>
  </si>
  <si>
    <t>Intangibles Ratios</t>
  </si>
  <si>
    <t>Cumulative Amortization as % of Gross Intangibles</t>
  </si>
  <si>
    <t>Amortization as % of Revenue</t>
  </si>
  <si>
    <t>Amortization as % of Net Intangibles</t>
  </si>
  <si>
    <t>Debt Schedule</t>
  </si>
  <si>
    <t>Short-Term Debt and Current Portion of LT Debt</t>
  </si>
  <si>
    <t>Long-Term Debt</t>
  </si>
  <si>
    <t>Total Debt</t>
  </si>
  <si>
    <t>Cash</t>
  </si>
  <si>
    <t>Total Net Debt (cash)</t>
  </si>
  <si>
    <t>Financial leverage</t>
  </si>
  <si>
    <t>Net Debt(cash)/ EBITDA</t>
  </si>
  <si>
    <t>Net Debt (cash) (lease adj.)</t>
  </si>
  <si>
    <t>Net Debt (cash)/ EBITDA (lease adj.)</t>
  </si>
  <si>
    <t>Historical Net Debt(cash)/ EBITDA</t>
  </si>
  <si>
    <t>Historical lease adj. Net Debt(cash)/ EBITDA</t>
  </si>
  <si>
    <t>Interest Expense</t>
  </si>
  <si>
    <t>Notes Payable Interest Expense</t>
  </si>
  <si>
    <t>ST Debt and Current Debt Interest Expense</t>
  </si>
  <si>
    <t>Long-Term Debt Interest Expense</t>
  </si>
  <si>
    <t>Total Interest Expense</t>
  </si>
  <si>
    <t>Cash Interest Income</t>
  </si>
  <si>
    <t>Net Interest Expense</t>
  </si>
  <si>
    <t>Preferred Stock Dividends</t>
  </si>
  <si>
    <t>Cash Flow Analysis</t>
  </si>
  <si>
    <t>Free Cash Flow</t>
  </si>
  <si>
    <t>Interest Rates</t>
  </si>
  <si>
    <t>Cash Interest Rate</t>
  </si>
  <si>
    <t>Net Debt Interest Rate</t>
  </si>
  <si>
    <t>Total Interest Rate</t>
  </si>
  <si>
    <t>FFO</t>
  </si>
  <si>
    <t>Chg in WC</t>
  </si>
  <si>
    <t>Acquisitions &amp; disposals</t>
  </si>
  <si>
    <t>Other chg in cash flow</t>
  </si>
  <si>
    <t>Net Debt/EBITDA</t>
  </si>
  <si>
    <t>2031E</t>
  </si>
  <si>
    <t>2032E</t>
  </si>
  <si>
    <t>2033E</t>
  </si>
  <si>
    <t>2034E</t>
  </si>
  <si>
    <t>Delta Working Capital</t>
  </si>
  <si>
    <t>Free Cashflow</t>
  </si>
  <si>
    <t>Free Cashflow/Sales</t>
  </si>
  <si>
    <t>Residual Value</t>
  </si>
  <si>
    <t>Total Free Cashflow</t>
  </si>
  <si>
    <t>Discount Factor</t>
  </si>
  <si>
    <t>Discounted Free Cashflow</t>
  </si>
  <si>
    <t>adidas - DCF Valuation Summary (€m)</t>
  </si>
  <si>
    <t>NPV</t>
  </si>
  <si>
    <t>Cash (Debt)</t>
  </si>
  <si>
    <t>Total Valuation (€m)</t>
  </si>
  <si>
    <t>Implied PE (1/18)</t>
  </si>
  <si>
    <t># shares</t>
  </si>
  <si>
    <t>Valuation per share</t>
  </si>
  <si>
    <t>adidas DCF Assumptions</t>
  </si>
  <si>
    <t>Rf</t>
  </si>
  <si>
    <t>Rm</t>
  </si>
  <si>
    <t>Beta</t>
  </si>
  <si>
    <t>Re</t>
  </si>
  <si>
    <t>WACC</t>
  </si>
  <si>
    <t>Inputs</t>
  </si>
  <si>
    <t>Growth rate</t>
  </si>
  <si>
    <t>adidas - Cashflow Forecast Assumptions</t>
  </si>
  <si>
    <t>- growth</t>
  </si>
  <si>
    <t>- cFX</t>
  </si>
  <si>
    <t>- Ccy</t>
  </si>
  <si>
    <t>EBIT/Sales</t>
  </si>
  <si>
    <t>- depn/sales</t>
  </si>
  <si>
    <t>- capex/sales</t>
  </si>
  <si>
    <t>- rent/sales</t>
  </si>
  <si>
    <t>- working capital/sales</t>
  </si>
  <si>
    <t>Capex/depreciation</t>
  </si>
  <si>
    <t>Net Finance</t>
  </si>
  <si>
    <t>Implied PE (12/19)</t>
  </si>
  <si>
    <t>Terminal growth rate</t>
  </si>
  <si>
    <t>Terminal margin</t>
  </si>
  <si>
    <t>Capex as % sales</t>
  </si>
  <si>
    <t>Working capital as % sales</t>
  </si>
  <si>
    <t>Tax rate</t>
  </si>
  <si>
    <t>Forecast change</t>
  </si>
  <si>
    <t>Retail mix effect on EBIT margin</t>
  </si>
  <si>
    <t>- Retail</t>
  </si>
  <si>
    <t>- Wholesale</t>
  </si>
  <si>
    <t>- Total</t>
  </si>
  <si>
    <t>- theoretical channel mix delta</t>
  </si>
  <si>
    <t>Regional mix effect on EBIT margin</t>
  </si>
  <si>
    <t xml:space="preserve">EBIT margin </t>
  </si>
  <si>
    <t>Emerging markets</t>
  </si>
  <si>
    <t>Total segmental EBIT</t>
  </si>
  <si>
    <t>- sales %</t>
  </si>
  <si>
    <t>Group EBIT</t>
  </si>
  <si>
    <t>Group EBIT margin</t>
  </si>
  <si>
    <t>Sales (EUR mn)</t>
  </si>
  <si>
    <t>Wholesale &amp; stores</t>
  </si>
  <si>
    <t>Online (adidas.com)</t>
  </si>
  <si>
    <t>- online/sales</t>
  </si>
  <si>
    <t>- online/retail</t>
  </si>
  <si>
    <t>EBIT (EUR mn)</t>
  </si>
  <si>
    <t>Online contribution to margin delta</t>
  </si>
  <si>
    <t>Group margin driver summary</t>
  </si>
  <si>
    <t>- delta</t>
  </si>
  <si>
    <t>Opex/sales</t>
  </si>
  <si>
    <t>Graphics:</t>
  </si>
  <si>
    <t>Wholesale/Gp sales</t>
  </si>
  <si>
    <t>Retail offline/Gp sales</t>
  </si>
  <si>
    <t>Online/Gp sales</t>
  </si>
  <si>
    <t>Online/Retail sales</t>
  </si>
  <si>
    <t>Online growth</t>
  </si>
  <si>
    <t>Cumulative EBIT margin effect (bp)</t>
  </si>
  <si>
    <t>Central overhead/sales (RHS)</t>
  </si>
  <si>
    <t>Cum impact on EBIT margin</t>
  </si>
  <si>
    <t>2018-29E EBIT margin delta</t>
  </si>
  <si>
    <t>Cumulative GM% impact (bp)</t>
  </si>
  <si>
    <t>Gross margin delta</t>
  </si>
  <si>
    <t>Local ccy, latest FY</t>
  </si>
  <si>
    <t>Euro, latest FY</t>
  </si>
  <si>
    <t>Ccy avg in period</t>
  </si>
  <si>
    <t>adidas group revenue</t>
  </si>
  <si>
    <t>nike group revenue</t>
  </si>
  <si>
    <t>adidas marketing working budget</t>
  </si>
  <si>
    <t>nike demand creation expense</t>
  </si>
  <si>
    <t>Cental overhead growth yoy (RHS)</t>
  </si>
  <si>
    <t>Cental overhead/sales</t>
  </si>
  <si>
    <t>STAT AB</t>
  </si>
  <si>
    <t>PRICE</t>
  </si>
  <si>
    <t>Yr to Dec</t>
  </si>
  <si>
    <t>EBIT (€M)</t>
  </si>
  <si>
    <t>PBT (€M)</t>
  </si>
  <si>
    <t>EPS, €</t>
  </si>
  <si>
    <t>EPS, € (Old)</t>
  </si>
  <si>
    <t>DPS, €</t>
  </si>
  <si>
    <t>P/E</t>
  </si>
  <si>
    <t>Div Yld (%)</t>
  </si>
  <si>
    <t>FCF yield</t>
  </si>
  <si>
    <t>EV/sales</t>
  </si>
  <si>
    <t>EV/NOPAT</t>
  </si>
  <si>
    <t>EV/EBITDA</t>
  </si>
  <si>
    <t>Sales (€ M)</t>
  </si>
  <si>
    <t>EBITDA (€ M)</t>
  </si>
  <si>
    <t>Net debt (€ M)</t>
  </si>
  <si>
    <t>Adj EBITDA</t>
  </si>
  <si>
    <t>NOPAT</t>
  </si>
  <si>
    <t>Lease interest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</si>
  <si>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</si>
  <si>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</si>
  <si>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</si>
  <si>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</si>
  <si>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</si>
  <si>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</si>
  <si>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</si>
  <si>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</si>
  <si>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2020A</t>
  </si>
  <si>
    <t>2024</t>
  </si>
  <si>
    <t>2025</t>
  </si>
  <si>
    <t>Gearing</t>
  </si>
  <si>
    <t>Shares</t>
  </si>
  <si>
    <t>EV (m)</t>
  </si>
  <si>
    <t>MV (m)</t>
  </si>
  <si>
    <t>Target price</t>
  </si>
  <si>
    <t>TP</t>
  </si>
  <si>
    <t>9.6x FY27E EV/EBITDA</t>
  </si>
  <si>
    <t>Capital delta</t>
  </si>
  <si>
    <t>15x FY27E EV/NOPAT</t>
  </si>
  <si>
    <t>DY</t>
  </si>
  <si>
    <t>15.2x FY27E PE</t>
  </si>
  <si>
    <t>TSR</t>
  </si>
  <si>
    <t>China sourcing</t>
  </si>
  <si>
    <t>US sales</t>
  </si>
  <si>
    <t>Net China sourcing, US sales exposure</t>
  </si>
  <si>
    <t>Net debt/EV</t>
  </si>
  <si>
    <t>Cal year end</t>
  </si>
  <si>
    <t>Consumer spending growth</t>
  </si>
  <si>
    <t>Nominal consumer expenditure</t>
  </si>
  <si>
    <t>Wgting</t>
  </si>
  <si>
    <t>Brazil</t>
  </si>
  <si>
    <t>Mexico</t>
  </si>
  <si>
    <t>Columbia</t>
  </si>
  <si>
    <t>Chile</t>
  </si>
  <si>
    <t>Wt avg (adidas mix)</t>
  </si>
  <si>
    <t>Adidas cFX sales</t>
  </si>
  <si>
    <t>cFX GP growth</t>
  </si>
  <si>
    <t>3 yr cFX GP growth</t>
  </si>
  <si>
    <t>cFX EBIT growth</t>
  </si>
  <si>
    <t>FY 20E</t>
  </si>
  <si>
    <t>FY 21E</t>
  </si>
  <si>
    <t>MARGINS BY REGION</t>
  </si>
  <si>
    <t>+11-13%</t>
  </si>
  <si>
    <t>up to +50bps</t>
  </si>
  <si>
    <t>SG&amp;A expenses (Excl D&amp;A)</t>
  </si>
  <si>
    <t>+18-20%</t>
  </si>
  <si>
    <t>8.3-8.5%</t>
  </si>
  <si>
    <t>€1.2-1.225bn</t>
  </si>
  <si>
    <t>Actual</t>
  </si>
  <si>
    <t>GSe</t>
  </si>
  <si>
    <t>Reported vs GSe</t>
  </si>
  <si>
    <t>Consensus (company)</t>
  </si>
  <si>
    <t>GSe  vs Cons</t>
  </si>
  <si>
    <t>Implied pa growth to FY15 (GSe)</t>
  </si>
  <si>
    <t>Consensus</t>
  </si>
  <si>
    <t>GSe vs. Consensus</t>
  </si>
  <si>
    <t>Beat/ Miss</t>
  </si>
  <si>
    <t>Guidance Raised/ Lowered</t>
  </si>
  <si>
    <t>(in € mn)</t>
  </si>
  <si>
    <t>1H 11</t>
  </si>
  <si>
    <t>3Q11</t>
  </si>
  <si>
    <t>9m11</t>
  </si>
  <si>
    <t>4Q11</t>
  </si>
  <si>
    <t>FY11</t>
  </si>
  <si>
    <t>1Q12</t>
  </si>
  <si>
    <t>2Q12</t>
  </si>
  <si>
    <t>1H 12</t>
  </si>
  <si>
    <t>3Q12</t>
  </si>
  <si>
    <t>9M12</t>
  </si>
  <si>
    <t>4Q12</t>
  </si>
  <si>
    <t>2H12</t>
  </si>
  <si>
    <t>4Q16E</t>
  </si>
  <si>
    <t>FY16E</t>
  </si>
  <si>
    <t>3Q16E</t>
  </si>
  <si>
    <t>1H16E</t>
  </si>
  <si>
    <t>2Q16E</t>
  </si>
  <si>
    <t>9M15E</t>
  </si>
  <si>
    <t xml:space="preserve">Sales </t>
  </si>
  <si>
    <t>Beat</t>
  </si>
  <si>
    <t>Raise</t>
  </si>
  <si>
    <t>Growth (cFX)</t>
  </si>
  <si>
    <t>comp FX growth</t>
  </si>
  <si>
    <t>Operating margin</t>
  </si>
  <si>
    <t>2Q11</t>
  </si>
  <si>
    <t>In-line</t>
  </si>
  <si>
    <t>MSD</t>
  </si>
  <si>
    <t>2015 guidance</t>
  </si>
  <si>
    <t xml:space="preserve">Retail </t>
  </si>
  <si>
    <t>margin</t>
  </si>
  <si>
    <t>47.5-48.5%</t>
  </si>
  <si>
    <t>Gross Margin</t>
  </si>
  <si>
    <t>Increase/ Decrease in margin (bps)</t>
  </si>
  <si>
    <t>EBIT Margin</t>
  </si>
  <si>
    <t>6.5-7%</t>
  </si>
  <si>
    <t>7-10%</t>
  </si>
  <si>
    <t>NI Margin</t>
  </si>
  <si>
    <t xml:space="preserve">   </t>
  </si>
  <si>
    <t>Absolute sales</t>
  </si>
  <si>
    <t>By region</t>
  </si>
  <si>
    <t>EMEA</t>
  </si>
  <si>
    <t>% vol</t>
  </si>
  <si>
    <t>By product category</t>
  </si>
  <si>
    <t>style</t>
  </si>
  <si>
    <t>perf</t>
  </si>
  <si>
    <t>football</t>
  </si>
  <si>
    <t>India</t>
  </si>
  <si>
    <t>By brand</t>
  </si>
  <si>
    <t>Myanmar</t>
  </si>
  <si>
    <t>LAT</t>
  </si>
  <si>
    <t>By Segment</t>
  </si>
  <si>
    <t>Sport performance</t>
  </si>
  <si>
    <t>Other formats</t>
  </si>
  <si>
    <t>Sport Heritage</t>
  </si>
  <si>
    <t>Own retail</t>
  </si>
  <si>
    <t>Reebok CCM Hockey</t>
  </si>
  <si>
    <t>Taylor made</t>
  </si>
  <si>
    <t>adidas Golf</t>
  </si>
  <si>
    <t>Ashworth</t>
  </si>
  <si>
    <t>Reported sales growth</t>
  </si>
  <si>
    <t>By Brand</t>
  </si>
  <si>
    <t>Currency neutral sales growth</t>
  </si>
  <si>
    <t>Adidas Sport performance</t>
  </si>
  <si>
    <t>Adidas Sport style</t>
  </si>
  <si>
    <t>As % of total sales</t>
  </si>
  <si>
    <t>Product split by brand</t>
  </si>
  <si>
    <t>By segment</t>
  </si>
  <si>
    <t xml:space="preserve">Wholesale </t>
  </si>
  <si>
    <t>Sports Performance</t>
  </si>
  <si>
    <t>Total Retail Stores</t>
  </si>
  <si>
    <t>ROUTE to 2015 STORES</t>
  </si>
  <si>
    <t>GUIDANCE</t>
  </si>
  <si>
    <t>OUR NUMBERS</t>
  </si>
  <si>
    <t>Revenue per store</t>
  </si>
  <si>
    <t>EX FACTORY OUTLET BY BRAND</t>
  </si>
  <si>
    <t>Store base</t>
  </si>
  <si>
    <t>2015 Guidance</t>
  </si>
  <si>
    <t>Gse</t>
  </si>
  <si>
    <t>2015 Potential</t>
  </si>
  <si>
    <t>Contribution (implied)</t>
  </si>
  <si>
    <t>New store productivity</t>
  </si>
  <si>
    <t>Own retail channels</t>
  </si>
  <si>
    <t>Sport Performance Concept stores</t>
  </si>
  <si>
    <t>Original Concept stores</t>
  </si>
  <si>
    <t>Concession Corners</t>
  </si>
  <si>
    <t>Internet</t>
  </si>
  <si>
    <t>Own retail stores</t>
  </si>
  <si>
    <t>Sport style Concept stores</t>
  </si>
  <si>
    <t>Sales by products</t>
  </si>
  <si>
    <t>Metalwoods</t>
  </si>
  <si>
    <t>Other hardware</t>
  </si>
  <si>
    <t>Crude Oil BFO M1 Europe FOB $/BBl</t>
  </si>
  <si>
    <t>Cotton,1 1/16Str Low -Midl,Memph $/Lb</t>
  </si>
  <si>
    <t>Raw Materials</t>
  </si>
  <si>
    <t>EURO TO USD (LSEG DS) - EXCHANGE RATE</t>
  </si>
  <si>
    <t>RUSSIAN ROUBLE TO EURO (WMR) - EXCHANGE RATE</t>
  </si>
  <si>
    <t>Code</t>
  </si>
  <si>
    <t>OILBREN</t>
  </si>
  <si>
    <t>COTTONM</t>
  </si>
  <si>
    <t>Crude Oil Brent (1/10/07= 100</t>
  </si>
  <si>
    <t>Memph C/lb (1/10/07 =100)</t>
  </si>
  <si>
    <t xml:space="preserve">Labour </t>
  </si>
  <si>
    <t>USEURO.</t>
  </si>
  <si>
    <t>RSEURSP</t>
  </si>
  <si>
    <t>Fixed</t>
  </si>
  <si>
    <t>Primary Consensus</t>
  </si>
  <si>
    <t>Consensus updated on 23/07/26</t>
  </si>
  <si>
    <t>Source: Company Compiled Consensus</t>
  </si>
  <si>
    <t>Outdated for FY results</t>
  </si>
  <si>
    <t>VA Keyword</t>
  </si>
  <si>
    <t>FY27E</t>
  </si>
  <si>
    <t>€, mn</t>
  </si>
  <si>
    <t>Actuals</t>
  </si>
  <si>
    <t>Net Revenue</t>
  </si>
  <si>
    <t>cFX sales growth %</t>
  </si>
  <si>
    <t>- EMEA</t>
  </si>
  <si>
    <t>-</t>
  </si>
  <si>
    <t>- Emerging Markets</t>
  </si>
  <si>
    <t>- North America</t>
  </si>
  <si>
    <t>- LATAM</t>
  </si>
  <si>
    <t>- China</t>
  </si>
  <si>
    <t>- Japan / Korea</t>
  </si>
  <si>
    <t>Gross Margin %</t>
  </si>
  <si>
    <t>EBIT margin %</t>
  </si>
  <si>
    <t>PBT</t>
  </si>
  <si>
    <t>adj. Net Income</t>
  </si>
  <si>
    <t>Basic EPS</t>
  </si>
  <si>
    <t>DPS</t>
  </si>
  <si>
    <t>Secondary Consensus</t>
  </si>
  <si>
    <t>Source: Visible Alpha</t>
  </si>
  <si>
    <t>Ticker</t>
  </si>
  <si>
    <t>2Q26E</t>
  </si>
  <si>
    <t>ADS_DE</t>
  </si>
  <si>
    <t>Currency-neutral growth - Net sales</t>
  </si>
  <si>
    <t>Europe - Constant currency impact</t>
  </si>
  <si>
    <t>Emerging Markets - Constant currency impact</t>
  </si>
  <si>
    <t>North America - Constant currency impact</t>
  </si>
  <si>
    <t>Latin America - Constant currency impact</t>
  </si>
  <si>
    <t>Greater China - Constant currency impact</t>
  </si>
  <si>
    <t>Japan/Korea - Constant currency impact</t>
  </si>
  <si>
    <t>Gross profit/(loss)</t>
  </si>
  <si>
    <t>Operating income/(loss) - Operating</t>
  </si>
  <si>
    <t>Income/(loss) before taxes</t>
  </si>
  <si>
    <t>Net income/(loss) from continuing operations</t>
  </si>
  <si>
    <t>Basic EPS (in €)</t>
  </si>
  <si>
    <t>EPS - Basic - Continuing Operations</t>
  </si>
  <si>
    <t>Dividend per share</t>
  </si>
  <si>
    <t>For First Take</t>
  </si>
  <si>
    <t>Beat/Miss</t>
  </si>
  <si>
    <t>GS</t>
  </si>
  <si>
    <t>EBIT Margin %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</si>
  <si>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</si>
  <si>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</si>
  <si>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</si>
  <si>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</si>
  <si>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</si>
  <si>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</si>
  <si>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</si>
  <si>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</si>
  <si>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</si>
  <si>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</si>
  <si>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</si>
  <si>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</si>
  <si>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</si>
  <si>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</si>
  <si>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</si>
  <si>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</si>
  <si>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</si>
  <si>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</si>
  <si>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</si>
  <si>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</si>
  <si>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</si>
  <si>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</si>
  <si>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</si>
  <si>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</si>
  <si>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</si>
  <si>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</si>
  <si>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</si>
  <si>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</si>
  <si>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AUTO-GENERATED BY TIGR NUMBERS SUBMISSION. DO NOT MODIFY OR DELETE!</t>
  </si>
  <si>
    <t>ACC_END_DATE</t>
  </si>
  <si>
    <t>EUR</t>
  </si>
  <si>
    <t>EURO_LIST</t>
  </si>
  <si>
    <t>Buy</t>
  </si>
  <si>
    <t>EURO_CONVICTION</t>
  </si>
  <si>
    <t>LEGAL_RATING</t>
  </si>
  <si>
    <t>TARGET_PRICE</t>
  </si>
  <si>
    <t>TP_PERIOD</t>
  </si>
  <si>
    <t>12 months</t>
  </si>
  <si>
    <t>NUM_SH1</t>
  </si>
  <si>
    <t>FREE_FLOAT</t>
  </si>
  <si>
    <t>ACT1</t>
  </si>
  <si>
    <t>x</t>
  </si>
  <si>
    <t>ACT2</t>
  </si>
  <si>
    <t>ACT3</t>
  </si>
  <si>
    <t>ACT4</t>
  </si>
  <si>
    <t>ACT5</t>
  </si>
  <si>
    <t>ACT6</t>
  </si>
  <si>
    <t>ACT7</t>
  </si>
  <si>
    <t>ACT8</t>
  </si>
  <si>
    <t>BVPS_PUB</t>
  </si>
  <si>
    <t>DPS_PUB</t>
  </si>
  <si>
    <t>EBITDA_PUB</t>
  </si>
  <si>
    <t>EPS_PUB</t>
  </si>
  <si>
    <t>EV_ADJ_PUB</t>
  </si>
  <si>
    <t>NET_DEBT_PUB</t>
  </si>
  <si>
    <t>NI_PUB</t>
  </si>
  <si>
    <t>EBIT_PUB</t>
  </si>
  <si>
    <t>PTP_PUB</t>
  </si>
  <si>
    <t>REVS_PUB</t>
  </si>
  <si>
    <t>EQ_PUB</t>
  </si>
  <si>
    <t>SALES</t>
  </si>
  <si>
    <t>COST_GD_SD</t>
  </si>
  <si>
    <t>SEL_GL_AD</t>
  </si>
  <si>
    <t>OP_COST</t>
  </si>
  <si>
    <t>RD_EXP</t>
  </si>
  <si>
    <t>OTH_OP_INC_EXP</t>
  </si>
  <si>
    <t>TOT_OPS_EXP_DDA</t>
  </si>
  <si>
    <t>TOT_OPS_EXP</t>
  </si>
  <si>
    <t>EBITDA_CALC</t>
  </si>
  <si>
    <t>DEPREC</t>
  </si>
  <si>
    <t>GOODWILL_AMORT</t>
  </si>
  <si>
    <t>INT_INC_IND</t>
  </si>
  <si>
    <t>INT_EXP_IND</t>
  </si>
  <si>
    <t>NET_INT_EXP</t>
  </si>
  <si>
    <t>ASSOCIATE</t>
  </si>
  <si>
    <t>PROFIT_ON_DISP</t>
  </si>
  <si>
    <t>OTH_COST_INC</t>
  </si>
  <si>
    <t>PT_PROF</t>
  </si>
  <si>
    <t>PROV_INC_TAX</t>
  </si>
  <si>
    <t>INC_MINORITY</t>
  </si>
  <si>
    <t>NI_PRE_PREF</t>
  </si>
  <si>
    <t>PREF_DIV</t>
  </si>
  <si>
    <t>NET_EARNING</t>
  </si>
  <si>
    <t>TAX_EXC</t>
  </si>
  <si>
    <t>NET_INC</t>
  </si>
  <si>
    <t>EPS_FUL_DIL</t>
  </si>
  <si>
    <t>EPS_POST_BASIC</t>
  </si>
  <si>
    <t>FULLY_DIL_EPS</t>
  </si>
  <si>
    <t>COMMON_DIV_PAID</t>
  </si>
  <si>
    <t>SH1</t>
  </si>
  <si>
    <t>DILUTE_SHARES</t>
  </si>
  <si>
    <t>NON_OP_ADD</t>
  </si>
  <si>
    <t>ORG_NI</t>
  </si>
  <si>
    <t>ORG_EPS</t>
  </si>
  <si>
    <t>ORG_REV</t>
  </si>
  <si>
    <t>ORG_REV_GRTH</t>
  </si>
  <si>
    <t>LEASE_PAY</t>
  </si>
  <si>
    <t>LEASE_DEEM_INT</t>
  </si>
  <si>
    <t>LEASE_DEEM_DEPR</t>
  </si>
  <si>
    <t>NET_INT_CH</t>
  </si>
  <si>
    <t>ASSOCIATE_OP</t>
  </si>
  <si>
    <t>GW_AMORT</t>
  </si>
  <si>
    <t>OTH_INT_AMORT</t>
  </si>
  <si>
    <t>MARGIN_TAX_RATE</t>
  </si>
  <si>
    <t>CASH_EQ</t>
  </si>
  <si>
    <t>DEBTORS</t>
  </si>
  <si>
    <t>STOCKS</t>
  </si>
  <si>
    <t>OTH_CUR_ASS</t>
  </si>
  <si>
    <t>CUR_ASS</t>
  </si>
  <si>
    <t>GR_FIX_ASS</t>
  </si>
  <si>
    <t>ACC_DDA</t>
  </si>
  <si>
    <t>NET_FIX_ASS</t>
  </si>
  <si>
    <t>GR_INTANG</t>
  </si>
  <si>
    <t>ACC_AMORT</t>
  </si>
  <si>
    <t>NET_INTANG</t>
  </si>
  <si>
    <t>FIX_ASS_INV</t>
  </si>
  <si>
    <t>INV_SECUR</t>
  </si>
  <si>
    <t>OTH_LT_ASS</t>
  </si>
  <si>
    <t>TOT_ASSET</t>
  </si>
  <si>
    <t>ACC_PAY_GQ</t>
  </si>
  <si>
    <t>SHORT_T_DEBT</t>
  </si>
  <si>
    <t>OTH_CUR_LIABS</t>
  </si>
  <si>
    <t>SHORT_TERM_LIABS</t>
  </si>
  <si>
    <t>LT_DEBT</t>
  </si>
  <si>
    <t>OTH_LT_CRED_GQ</t>
  </si>
  <si>
    <t>TOT_LT_LIAB</t>
  </si>
  <si>
    <t>TOT_LIAB</t>
  </si>
  <si>
    <t>PREF_SH</t>
  </si>
  <si>
    <t>ORD_SH_FUND</t>
  </si>
  <si>
    <t>MINORITIES</t>
  </si>
  <si>
    <t>EQ</t>
  </si>
  <si>
    <t>TOT_LIAB_EQ</t>
  </si>
  <si>
    <t>BVPS</t>
  </si>
  <si>
    <t>NET_DEBT</t>
  </si>
  <si>
    <t>CAP_LEASES</t>
  </si>
  <si>
    <t>DEF_INC_TAX</t>
  </si>
  <si>
    <t>MV_ASSOCIATES</t>
  </si>
  <si>
    <t>NET_DEBT_ADJ</t>
  </si>
  <si>
    <t>CO_BOR_MARGIN</t>
  </si>
  <si>
    <t>UNF_PENS</t>
  </si>
  <si>
    <t>UNF_PENS_OFF</t>
  </si>
  <si>
    <t>UNF_PENS_LIAB_OTH</t>
  </si>
  <si>
    <t>ADJ_UNF_PENS_GOOD</t>
  </si>
  <si>
    <t>OTH_GCI_ADJ</t>
  </si>
  <si>
    <t>GCI_INFL</t>
  </si>
  <si>
    <t>BAL_MINO_INT</t>
  </si>
  <si>
    <t>CF_NI_PRE_PREF</t>
  </si>
  <si>
    <t>CF_INC_MINORITY</t>
  </si>
  <si>
    <t>DEPR_AMORT</t>
  </si>
  <si>
    <t>WORK_CAP</t>
  </si>
  <si>
    <t>OTH_OP_CF</t>
  </si>
  <si>
    <t>CF_OPS</t>
  </si>
  <si>
    <t>CAPEX</t>
  </si>
  <si>
    <t>ACQ</t>
  </si>
  <si>
    <t>DIVEST</t>
  </si>
  <si>
    <t>OTH_INV_CF</t>
  </si>
  <si>
    <t>CF_INV</t>
  </si>
  <si>
    <t>DIV_PAID</t>
  </si>
  <si>
    <t>SH_REPUR</t>
  </si>
  <si>
    <t>CHG_LT_DEBT</t>
  </si>
  <si>
    <t>OTH_FIN_CF</t>
  </si>
  <si>
    <t>CF_FIN</t>
  </si>
  <si>
    <t>OTH_ITEM_NCF</t>
  </si>
  <si>
    <t>TOT_CF</t>
  </si>
  <si>
    <t>ASSOC_JV_ADDBK</t>
  </si>
  <si>
    <t>CASH_INT_INC_EXP</t>
  </si>
  <si>
    <t>CASH_TAX_PD</t>
  </si>
  <si>
    <t>PL_SALE_ASSETS</t>
  </si>
  <si>
    <t>OTH_NONCASH_ADJ</t>
  </si>
  <si>
    <t>OTH_DACF_ADJ</t>
  </si>
  <si>
    <t>CASH_INT_EXP</t>
  </si>
  <si>
    <t>CASH_TAX_EXP</t>
  </si>
  <si>
    <t>DIVDS_ASSOC_JV</t>
  </si>
  <si>
    <t>CAPEX_MAINTENANCE</t>
  </si>
  <si>
    <t>CAPEX_EXPANSION</t>
  </si>
  <si>
    <t>NONPPE_CAPEX</t>
  </si>
  <si>
    <t>DIVDS_PD_MINORITIES</t>
  </si>
  <si>
    <t>EMPLOYEES</t>
  </si>
  <si>
    <t>BETA_ANALYST</t>
  </si>
  <si>
    <t>MKT_EQ_RISK_PREM</t>
  </si>
  <si>
    <t>RISK_FR_RATE</t>
  </si>
  <si>
    <t>CURRENCY_ISO</t>
  </si>
  <si>
    <t>PRICE_CURRENCY_ISO</t>
  </si>
  <si>
    <t>PUB_CURRENCY_ISO</t>
  </si>
  <si>
    <t>RETAIL_SSS_PCT_CHG</t>
  </si>
  <si>
    <t>SALES_TOT_AM</t>
  </si>
  <si>
    <t>SALES_US</t>
  </si>
  <si>
    <t>SALES_CANADA</t>
  </si>
  <si>
    <t>SALES_BRAZIL</t>
  </si>
  <si>
    <t>SALES_OTH_AM</t>
  </si>
  <si>
    <t>SALES_TOT_EMEA</t>
  </si>
  <si>
    <t>SALES_UK</t>
  </si>
  <si>
    <t>SALES_EU_EX_UK</t>
  </si>
  <si>
    <t>SALES_AUSTRIA</t>
  </si>
  <si>
    <t>SALES_BEL</t>
  </si>
  <si>
    <t>SALES_DEN</t>
  </si>
  <si>
    <t>SALES_FIN</t>
  </si>
  <si>
    <t>SALES_FRA</t>
  </si>
  <si>
    <t>SALES_GER</t>
  </si>
  <si>
    <t>SALES_GRE</t>
  </si>
  <si>
    <t>SALES_ICE</t>
  </si>
  <si>
    <t>SALES_IRE</t>
  </si>
  <si>
    <t>SALES_ITA</t>
  </si>
  <si>
    <t>SALES_NETH</t>
  </si>
  <si>
    <t>SALES_NOR</t>
  </si>
  <si>
    <t>SALES_POR</t>
  </si>
  <si>
    <t>SALES_SPA</t>
  </si>
  <si>
    <t>SALES_SWE</t>
  </si>
  <si>
    <t>SALES_SWIT</t>
  </si>
  <si>
    <t>SALES_CEE</t>
  </si>
  <si>
    <t>SALES_ME</t>
  </si>
  <si>
    <t>SALES_RUSSIA</t>
  </si>
  <si>
    <t>SALES_OTH_EMEA</t>
  </si>
  <si>
    <t>SALES_TOT_ASIA</t>
  </si>
  <si>
    <t>SALES_JAPAN</t>
  </si>
  <si>
    <t>SALES_CHINA</t>
  </si>
  <si>
    <t>SALES_INDIA</t>
  </si>
  <si>
    <t>SALES_SK</t>
  </si>
  <si>
    <t>SALES_AUSTRA</t>
  </si>
  <si>
    <t>SALES_NZ</t>
  </si>
  <si>
    <t>SALES_OTH_AEJ</t>
  </si>
  <si>
    <t>SALES_OTHER</t>
  </si>
  <si>
    <t>IND_SALES_TOT_AM</t>
  </si>
  <si>
    <t>IND_SALES_US</t>
  </si>
  <si>
    <t>IND_SALES_CANADA</t>
  </si>
  <si>
    <t>IND_SALES_BRAZIL</t>
  </si>
  <si>
    <t>IND_SALES_OTH_AM</t>
  </si>
  <si>
    <t>IND_SALES_TOT_EMEA</t>
  </si>
  <si>
    <t>IND_SALES_UK</t>
  </si>
  <si>
    <t>IND_SALES_EU_EX_UK</t>
  </si>
  <si>
    <t>IND_SALES_AUSTRIA</t>
  </si>
  <si>
    <t>IND_SALES_BEL</t>
  </si>
  <si>
    <t>IND_SALES_DEN</t>
  </si>
  <si>
    <t>IND_SALES_FIN</t>
  </si>
  <si>
    <t>IND_SALES_FRA</t>
  </si>
  <si>
    <t>IND_SALES_GER</t>
  </si>
  <si>
    <t>IND_SALES_GRE</t>
  </si>
  <si>
    <t>IND_SALES_ICE</t>
  </si>
  <si>
    <t>IND_SALES_IRE</t>
  </si>
  <si>
    <t>IND_SALES_ITA</t>
  </si>
  <si>
    <t>IND_SALES_NETH</t>
  </si>
  <si>
    <t>IND_SALES_NOR</t>
  </si>
  <si>
    <t>IND_SALES_POR</t>
  </si>
  <si>
    <t>IND_SALES_SPA</t>
  </si>
  <si>
    <t>IND_SALES_SWE</t>
  </si>
  <si>
    <t>IND_SALES_SWIT</t>
  </si>
  <si>
    <t>IND_SALES_CEE</t>
  </si>
  <si>
    <t>IND_SALES_ME</t>
  </si>
  <si>
    <t>IND_SALES_RUSSIA</t>
  </si>
  <si>
    <t>IND_SALES_OTH_EMEA</t>
  </si>
  <si>
    <t>IND_SALES_TOT_ASIA</t>
  </si>
  <si>
    <t>IND_SALES_JAPAN</t>
  </si>
  <si>
    <t>IND_SALES_CHINA</t>
  </si>
  <si>
    <t>IND_SALES_INDIA</t>
  </si>
  <si>
    <t>IND_SALES_SK</t>
  </si>
  <si>
    <t>IND_SALES_AUSTRA</t>
  </si>
  <si>
    <t>IND_SALES_NZ</t>
  </si>
  <si>
    <t>IND_SALES_OTH_AEJ</t>
  </si>
  <si>
    <t>IND_SALES_OTHER</t>
  </si>
  <si>
    <t>OP_TOT_AM</t>
  </si>
  <si>
    <t>OP_US</t>
  </si>
  <si>
    <t>OP_CANADA</t>
  </si>
  <si>
    <t>OP_BRAZIL</t>
  </si>
  <si>
    <t>OP_OTH_AM</t>
  </si>
  <si>
    <t>OP_TOT_EMEA</t>
  </si>
  <si>
    <t>OP_UK</t>
  </si>
  <si>
    <t>OP_EU_EX_UK</t>
  </si>
  <si>
    <t>OP_AUSTRIA</t>
  </si>
  <si>
    <t>OP_BEL</t>
  </si>
  <si>
    <t>OP_DEN</t>
  </si>
  <si>
    <t>OP_FIN</t>
  </si>
  <si>
    <t>OP_FRA</t>
  </si>
  <si>
    <t>OP_GER</t>
  </si>
  <si>
    <t>OP_GRE</t>
  </si>
  <si>
    <t>OP_ICE</t>
  </si>
  <si>
    <t>OP_IRE</t>
  </si>
  <si>
    <t>OP_ITA</t>
  </si>
  <si>
    <t>OP_NETH</t>
  </si>
  <si>
    <t>OP_NOR</t>
  </si>
  <si>
    <t>OP_POR</t>
  </si>
  <si>
    <t>OP_SPA</t>
  </si>
  <si>
    <t>OP_SWE</t>
  </si>
  <si>
    <t>OP_SWIT</t>
  </si>
  <si>
    <t>OP_CEE</t>
  </si>
  <si>
    <t>OP_ME</t>
  </si>
  <si>
    <t>OP_RUSSIA</t>
  </si>
  <si>
    <t>OP_OTH_EMEA</t>
  </si>
  <si>
    <t>OP_TOT_ASIA</t>
  </si>
  <si>
    <t>OP_JAPAN</t>
  </si>
  <si>
    <t>OP_CHINA</t>
  </si>
  <si>
    <t>OP_INDIA</t>
  </si>
  <si>
    <t>OP_SK</t>
  </si>
  <si>
    <t>OP_AUSTRA</t>
  </si>
  <si>
    <t>OP_NZ</t>
  </si>
  <si>
    <t>OP_OTH_AEJ</t>
  </si>
  <si>
    <t>OP_OTHER</t>
  </si>
  <si>
    <t>SALES_CONS</t>
  </si>
  <si>
    <t>SALES_IND</t>
  </si>
  <si>
    <t>SALES_GOV</t>
  </si>
  <si>
    <t>OP_CONS</t>
  </si>
  <si>
    <t>OP_IND</t>
  </si>
  <si>
    <t>OP_GOV</t>
  </si>
  <si>
    <t>NI_CON</t>
  </si>
  <si>
    <t>NI_IND</t>
  </si>
  <si>
    <t>NI_GOV</t>
  </si>
  <si>
    <t>SALES_US_CONS</t>
  </si>
  <si>
    <t>SALES_US_IND</t>
  </si>
  <si>
    <t>SALES_US_GOV</t>
  </si>
  <si>
    <t>SALES_UK_CONS</t>
  </si>
  <si>
    <t>SALES_UK_IND</t>
  </si>
  <si>
    <t>SALES_UK_GOV</t>
  </si>
  <si>
    <t>SALES_EU_EX_UK_CONS</t>
  </si>
  <si>
    <t>SALES_EU_EX_UK_IND</t>
  </si>
  <si>
    <t>SALES_EU_EX_UK_GOV</t>
  </si>
  <si>
    <t>SALES_BRICS_CONS</t>
  </si>
  <si>
    <t>SALES_BRICS_IND</t>
  </si>
  <si>
    <t>SALES_BRICS_GOV</t>
  </si>
  <si>
    <t>IND_SALES_CONS</t>
  </si>
  <si>
    <t>IND_SALES_IND</t>
  </si>
  <si>
    <t>IND_SALES_GOV</t>
  </si>
  <si>
    <t>IND_SALES_US_CONS</t>
  </si>
  <si>
    <t>IND_SALES_US_IND</t>
  </si>
  <si>
    <t>IND_SALES_US_GOV</t>
  </si>
  <si>
    <t>IND_SALES_UK_CONS</t>
  </si>
  <si>
    <t>IND_SALES_UK_IND</t>
  </si>
  <si>
    <t>IND_SALES_UK_GOV</t>
  </si>
  <si>
    <t>IND_SALES_EU_EX_UK_CONS</t>
  </si>
  <si>
    <t>IND_SALES_EU_EX_UK_IND</t>
  </si>
  <si>
    <t>IND_SALES_EU_EX_UK_GOV</t>
  </si>
  <si>
    <t>IND_SALES_BRICS_CONS</t>
  </si>
  <si>
    <t>IND_SALES_BRICS_IND</t>
  </si>
  <si>
    <t>IND_SALES_BRICS_GOV</t>
  </si>
  <si>
    <t>OP_US_CONS</t>
  </si>
  <si>
    <t>OP_US_IND</t>
  </si>
  <si>
    <t>OP_US_GOV</t>
  </si>
  <si>
    <t>OP_UK_CONS</t>
  </si>
  <si>
    <t>OP_UK_IND</t>
  </si>
  <si>
    <t>OP_UK_GOV</t>
  </si>
  <si>
    <t>OP_EU_EX_UK_CONS</t>
  </si>
  <si>
    <t>OP_EU_EX_UK_IND</t>
  </si>
  <si>
    <t>OP_EU_EX_UK_GOV</t>
  </si>
  <si>
    <t>OP_BRICS_CONS</t>
  </si>
  <si>
    <t>OP_BRICS_IND</t>
  </si>
  <si>
    <t>OP_BRICS_GOV</t>
  </si>
  <si>
    <t>NI_US_CONS</t>
  </si>
  <si>
    <t>NI_US_IND</t>
  </si>
  <si>
    <t>NI_US_GOV</t>
  </si>
  <si>
    <t>NI_UK_CONS</t>
  </si>
  <si>
    <t>NI_UK_IND</t>
  </si>
  <si>
    <t>NI_UK_GOV</t>
  </si>
  <si>
    <t>NI_EU_EX_UK_CONS</t>
  </si>
  <si>
    <t>NI_EU_EX_UK_IND</t>
  </si>
  <si>
    <t>NI_EU_EX_UK_GOV</t>
  </si>
  <si>
    <t>NI_BRICS_CONS</t>
  </si>
  <si>
    <t>NI_BRICS_IND</t>
  </si>
  <si>
    <t>NI_BRICS_GOV</t>
  </si>
  <si>
    <t>RETAIL_CN_PCT_CHG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</si>
</sst>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General_)"/>
    <numFmt numFmtId="178" formatCode="0_);\(0\)"/>
    <numFmt numFmtId="179" formatCode="&quot;MR&quot;#,##0.00_);\(&quot;$&quot;#,##0.00\)"/>
    <numFmt numFmtId="180" formatCode="#,##0.000"/>
    <numFmt numFmtId="181" formatCode="m/d"/>
    <numFmt numFmtId="182" formatCode="&quot;YEAR&quot;\ General"/>
    <numFmt numFmtId="183" formatCode="0.0%_);\(0.0%\)"/>
    <numFmt numFmtId="184" formatCode="0.0%"/>
    <numFmt numFmtId="185" formatCode="&quot;W&quot;&quot;$&quot;#,##0.00_);\(&quot;$&quot;#,##0.00\)"/>
    <numFmt numFmtId="186" formatCode="#,##0;\(#,##0\)"/>
    <numFmt numFmtId="187" formatCode="0.0_)\%;\(0.0\)\%;0.0_)\%;@_)_%"/>
    <numFmt numFmtId="188" formatCode="#,##0.0_)_%;\(#,##0.0\)_%;0.0_)_%;@_)_%"/>
    <numFmt numFmtId="189" formatCode="\+#,##0.0;\-0.0"/>
    <numFmt numFmtId="190" formatCode="#,###&quot;—&quot;_);\(#,###&quot;—&quot;\)"/>
    <numFmt numFmtId="191" formatCode="#,##0.0_);\(#,##0.0\)"/>
    <numFmt numFmtId="192" formatCode="#,##0.0_);\(#,##0.0\);#,##0.0_);@_)"/>
    <numFmt numFmtId="193" formatCode="&quot;$&quot;_(#,##0.00_);&quot;$&quot;\(#,##0.00\)"/>
    <numFmt numFmtId="194" formatCode="&quot;$&quot;_(#,##0.00_);&quot;$&quot;\(#,##0.00\);&quot;$&quot;_(0.00_);@_)"/>
    <numFmt numFmtId="195" formatCode="&quot;£&quot;_(#,##0.00_);&quot;£&quot;\(#,##0.00\);&quot;£&quot;_(0.00_);@_)"/>
    <numFmt numFmtId="196" formatCode="#,##0.00\ &quot;F&quot;;[Red]\-#,##0.00\ &quot;F&quot;"/>
    <numFmt numFmtId="197" formatCode="&quot;£&quot;\ #,##0;&quot;£&quot;\ \-#,##0"/>
    <numFmt numFmtId="198" formatCode="&quot;£&quot;_(#,##0.00_);&quot;£&quot;\(#,##0.00\)"/>
    <numFmt numFmtId="199" formatCode="#,##0.00_);\(#,##0.00\);0.00_);@_)"/>
    <numFmt numFmtId="200" formatCode="&quot;€&quot;_(#,##0.00_);&quot;€&quot;\(#,##0.00\);&quot;€&quot;_(0.00_);@_)"/>
    <numFmt numFmtId="201" formatCode="&quot;Ç&quot;\ &quot;´&quot;&quot;´&quot;&quot;´&quot;&quot;´&quot;\ &quot;»&quot;&quot;»&quot;&quot;»&quot;&quot;»&quot;"/>
    <numFmt numFmtId="202" formatCode="&quot;ß&quot;\&amp;\,\&amp;\&amp;0.00_);\(&quot;ß&quot;\&amp;\,\&amp;\&amp;0.00\)"/>
    <numFmt numFmtId="203" formatCode="\+#,##0;\-#,##0"/>
    <numFmt numFmtId="204" formatCode="\+#,##0.00;\-#,##0.00"/>
    <numFmt numFmtId="205" formatCode="#,##0.0_)\x;\(#,##0.0\)\x"/>
    <numFmt numFmtId="206" formatCode="#,##0_)\x;\(#,##0\)\x;0_)\x;@_)_x"/>
    <numFmt numFmtId="207" formatCode="#,##0.0_)\x;\(#,##0.0\)\x;0.0_)\x;@_)_x"/>
    <numFmt numFmtId="208" formatCode="_-* #,##0\ &quot;F&quot;_-;\-* #,##0\ &quot;F&quot;_-;_-* &quot;-&quot;\ &quot;F&quot;_-;_-@_-"/>
    <numFmt numFmtId="209" formatCode="#,##0.0_)_x;\(#,##0.0\)_x"/>
    <numFmt numFmtId="210" formatCode="#,##0_)_x;\(#,##0\)_x;0_)_x;@_)_x"/>
    <numFmt numFmtId="211" formatCode="_-* #,##0\ _F_-;\-* #,##0\ _F_-;_-* &quot;-&quot;\ _F_-;_-@_-"/>
    <numFmt numFmtId="212" formatCode="&quot;£&quot;#,##0_);\(&quot;£&quot;#,##0\)"/>
    <numFmt numFmtId="213" formatCode="#,##0.0_)_x;\(#,##0.0\)_x;0.0_)_x;@_)_x"/>
    <numFmt numFmtId="214" formatCode="0.0_)\%;\(0.0\)\%"/>
    <numFmt numFmtId="215" formatCode="_-* #,##0.00\ &quot;F&quot;_-;\-* #,##0.00\ &quot;F&quot;_-;_-* &quot;-&quot;??\ &quot;F&quot;_-;_-@_-"/>
    <numFmt numFmtId="216" formatCode="#,##0.0_)_%;\(#,##0.0\)_%"/>
    <numFmt numFmtId="217" formatCode="_-* #,##0.00\ _F_-;\-* #,##0.00\ _F_-;_-* &quot;-&quot;??\ _F_-;_-@_-"/>
    <numFmt numFmtId="218" formatCode="0.00_);\(0.00\);0.00_)"/>
    <numFmt numFmtId="219" formatCode="#,##0.0_);[Red]\(#,##0.0\)"/>
    <numFmt numFmtId="220" formatCode="0.0"/>
    <numFmt numFmtId="221" formatCode="&quot;HK$&quot;#,##0\ "/>
    <numFmt numFmtId="222" formatCode="General&quot;x Cash Flow&quot;"/>
    <numFmt numFmtId="223" formatCode="General&quot;x&quot;"/>
    <numFmt numFmtId="224" formatCode="#,##0&quot;x&quot;_);\(#,##0\)"/>
    <numFmt numFmtId="225" formatCode="#,##0.0"/>
    <numFmt numFmtId="226" formatCode="#,##0.0&quot; x&quot;;\(&quot;$&quot;#,##0.00\)"/>
    <numFmt numFmtId="227" formatCode="0&quot;A&quot;"/>
    <numFmt numFmtId="228" formatCode="0\A"/>
    <numFmt numFmtId="229" formatCode="0.0_);\(0.0\)"/>
    <numFmt numFmtId="230" formatCode="#,##0.000000000000000\ "/>
    <numFmt numFmtId="231" formatCode="#,##0_);\(#,##0\);\-_);"/>
    <numFmt numFmtId="232" formatCode="[Blue]General"/>
    <numFmt numFmtId="233" formatCode="#,##0_);\(#,##0\);\-_)"/>
    <numFmt numFmtId="234" formatCode="0.00_)"/>
    <numFmt numFmtId="235" formatCode="###0.0;\(###0.0\)"/>
    <numFmt numFmtId="236" formatCode="#,##0_%_);\(#,##0\)_%;**;@_%_)"/>
    <numFmt numFmtId="237" formatCode="#,##0_%_);\(#,##0\)_%;#,##0_%_);@_%_)"/>
    <numFmt numFmtId="238" formatCode="#,##0.00_%_);\(#,##0.00\)_%;#,##0.00_%_);@_%_)"/>
    <numFmt numFmtId="239" formatCode="0.00_);\(0.00\);0.00"/>
    <numFmt numFmtId="240" formatCode="&quot;$&quot;#,##0.00_);[Red]\(&quot;$&quot;#,##0.00\)"/>
    <numFmt numFmtId="241" formatCode="&quot;$&quot;#,##0_%_);\(&quot;$&quot;#,##0\)_%;&quot;$&quot;#,##0_%_);@_%_)"/>
    <numFmt numFmtId="242" formatCode="&quot;$&quot;#,##0.00_%_);\(&quot;$&quot;#,##0.00\)_%;&quot;$&quot;#,##0.00_%_);@_%_)"/>
    <numFmt numFmtId="243" formatCode="&quot;$&quot;#,##0.0_);[Red]\(&quot;$&quot;#,##0.0\)"/>
    <numFmt numFmtId="244" formatCode="_(&quot;$&quot;* #,##0_);_(&quot;$&quot;* \(#,##0\);_(&quot;$&quot;* &quot;-&quot;_);_(@_)"/>
    <numFmt numFmtId="245" formatCode="_(&quot;$&quot;* #,##0.00_);_(&quot;$&quot;* \(#,##0.00\);_(&quot;$&quot;* &quot;-&quot;??_);_(@_)"/>
    <numFmt numFmtId="246" formatCode="m/d/yy_%_)"/>
    <numFmt numFmtId="247" formatCode="###0;\(###0\)"/>
    <numFmt numFmtId="248" formatCode="\$0.00;\(\$0.00\)"/>
    <numFmt numFmtId="249" formatCode="0&quot;E&quot;"/>
    <numFmt numFmtId="250" formatCode="0.0&quot;  &quot;"/>
    <numFmt numFmtId="251" formatCode="#,##0_);\(#,##0\);0_)"/>
    <numFmt numFmtId="252" formatCode="###0"/>
    <numFmt numFmtId="253" formatCode="0.0000000000000000%"/>
    <numFmt numFmtId="254" formatCode="#,##0.0000\ ;\(#,##0.0000\)"/>
    <numFmt numFmtId="255" formatCode="##,#0_;\(#,##0\)"/>
    <numFmt numFmtId="256" formatCode="_-* #,##0_-;\(#,##0\);_-* &quot;–&quot;_-;_-@_-"/>
    <numFmt numFmtId="257" formatCode="#,##0.0000_);[Red]\(#,##0.0000\)"/>
    <numFmt numFmtId="258" formatCode="&quot;$&quot;#,##0.00_);\(&quot;$&quot;#,##0.00\)"/>
    <numFmt numFmtId="259" formatCode="0.00%;\(0.00%\)"/>
    <numFmt numFmtId="260" formatCode="0.0\%_);\(0.0\%\);0.0\%_);@_%_)"/>
    <numFmt numFmtId="261" formatCode="0.0\ &quot;X&quot;"/>
    <numFmt numFmtId="262" formatCode="#,##0.00;;;[White]General"/>
    <numFmt numFmtId="263" formatCode="_-* #,##0.00_-;_-* #,##0.00\-;_-* &quot;-&quot;??_-;_-@_-"/>
    <numFmt numFmtId="264" formatCode="#,##0_)&quot;m&quot;;\(#,##0\)&quot;m&quot;;\-_)&quot;m&quot;"/>
    <numFmt numFmtId="265" formatCode="[Magenta]General"/>
    <numFmt numFmtId="266" formatCode="#,##0.0;\-#,##0.0"/>
    <numFmt numFmtId="267" formatCode="#,##0_ ;\-#,##0\ "/>
    <numFmt numFmtId="268" formatCode="_(* #,##0\ &quot;(*)&quot;_);_(* \(#,##0\);_(* &quot;-&quot;??_);_(@_)"/>
    <numFmt numFmtId="269" formatCode="_(* #,##0_);_(* \(#,##0\);_(* &quot;-&quot;??_);_(@_)"/>
    <numFmt numFmtId="270" formatCode="\+0%;\-0%"/>
    <numFmt numFmtId="271" formatCode="0.0\x;\(0.0\)\x"/>
    <numFmt numFmtId="272" formatCode="#,##0.0_);\(###0.0\)_)"/>
    <numFmt numFmtId="273" formatCode="#,##0.0_);\(#,##0.0\)_)"/>
    <numFmt numFmtId="274" formatCode="&quot;$&quot;#,##0.0_);\(&quot;$&quot;#,##0.0\)"/>
    <numFmt numFmtId="275" formatCode="###0.0_x;\(###0.0\)_x"/>
    <numFmt numFmtId="276" formatCode="#,##0_);\(#,##0\);0_._0_)"/>
    <numFmt numFmtId="277" formatCode="#,##0.0&quot;x&quot;;\-#,##0.0&quot;x&quot;;0.0&quot;x&quot;"/>
    <numFmt numFmtId="278" formatCode="#,##0_)&quot;p&quot;;\(#,##0\)&quot;p&quot;;\-_)&quot;p&quot;"/>
    <numFmt numFmtId="279" formatCode="#,##0.000_);[Red]\(#,##0.000\)"/>
    <numFmt numFmtId="280" formatCode="0.0%;\(0.0%\)"/>
    <numFmt numFmtId="281" formatCode="#,##0.0%;[Red]\(#,##0.0%\)"/>
    <numFmt numFmtId="282" formatCode="_(* #,##0.0\ &quot;x&quot;_);_(* \(#,##0.0\);_(* &quot;-&quot;??_);_(@_)"/>
    <numFmt numFmtId="283" formatCode="_(* #,##0\ &quot;x&quot;_);_(* \(#,##0\);_(* &quot;-&quot;??_);_(@_)"/>
    <numFmt numFmtId="284" formatCode="0.00\%;\-0.00\%;0.00\%"/>
    <numFmt numFmtId="285" formatCode="_(* #,##0.0000_);_(* \(#,##0.0000\);_(* &quot;-&quot;????_);_(@_)"/>
    <numFmt numFmtId="286" formatCode="yyyy/mm/dd"/>
    <numFmt numFmtId="287" formatCode="_(* #,##0.000000000_);_(* \(#,##0.000000000\);_(* &quot;-&quot;??_);_(@_)"/>
    <numFmt numFmtId="288" formatCode="_(* #,##0.0000000000_);_(* \(#,##0.0000000000\);_(* &quot;-&quot;??_);_(@_)"/>
    <numFmt numFmtId="289" formatCode="0.00;\-0.00;0.00"/>
    <numFmt numFmtId="290" formatCode="0.00\x;\-0.00\x;0.00\x"/>
    <numFmt numFmtId="291" formatCode="[Red]General"/>
    <numFmt numFmtId="292" formatCode="##0.00000"/>
    <numFmt numFmtId="293" formatCode="#,##0.0;\(#,##0.0\)"/>
    <numFmt numFmtId="294" formatCode="General;\-General;General;"/>
    <numFmt numFmtId="295" formatCode="#,##0;\(#,##0\);&quot;–&quot;;@"/>
    <numFmt numFmtId="296" formatCode="&quot;$&quot;#,##0_);[Red]\(&quot;$&quot;#,##0\)"/>
    <numFmt numFmtId="297" formatCode="_(&quot;CHF&quot;* #,##0.0_);_(&quot;CHF&quot;* \(#,##0.0\);_(&quot;CHF&quot;* &quot;-&quot;??_);_(@_)"/>
    <numFmt numFmtId="298" formatCode="&quot;Sfr&quot;#,##0_);\(&quot;Sfr&quot;#,##0\)"/>
    <numFmt numFmtId="299" formatCode="_(* #,##0.00000000000_);_(* \(#,##0.00000000000\);_(* &quot;-&quot;??_);_(@_)"/>
    <numFmt numFmtId="300" formatCode="_(* #,##0.000000000000_);_(* \(#,##0.000000000000\);_(* &quot;-&quot;??_);_(@_)"/>
    <numFmt numFmtId="301" formatCode="_(* #,##0.0000000000000_);_(* \(#,##0.0000000000000\);_(* &quot;-&quot;??_);_(@_)"/>
    <numFmt numFmtId="302" formatCode="#,##0.00;[Red]\(#,##0.00\)"/>
    <numFmt numFmtId="303" formatCode="#,##0.000\ ;\(#,##0.000\)"/>
    <numFmt numFmtId="304" formatCode="#,##0.00_)\ \x;\(#,##0.00\)\ \x"/>
    <numFmt numFmtId="305" formatCode="#,##0.00\ ;\(#,##0.00\)"/>
    <numFmt numFmtId="306" formatCode="#,##0\ ;\(#,##0\)"/>
    <numFmt numFmtId="307" formatCode="#,##0.0_)\x;\(#,##0.0_)\x\)"/>
    <numFmt numFmtId="308" formatCode="0.0_)"/>
    <numFmt numFmtId="309" formatCode="0&quot;bps&quot;"/>
    <numFmt numFmtId="310" formatCode="#,##0.00;\(#,##0.00\)"/>
    <numFmt numFmtId="311" formatCode="0.0000%"/>
    <numFmt numFmtId="312" formatCode="[$€-2]\ #,##0;[Red]\-[$€-2]\ #,##0"/>
    <numFmt numFmtId="313" formatCode="0.000"/>
    <numFmt numFmtId="314" formatCode="#,##0.0;[Red]\-#,##0.0"/>
    <numFmt numFmtId="315" formatCode="#0.00\x;\(#0.00\x\);\-__\x"/>
    <numFmt numFmtId="316" formatCode="0.0\x"/>
    <numFmt numFmtId="317" formatCode="0.0000000%"/>
    <numFmt numFmtId="318" formatCode="_(* #,##0.0_);_(* \(#,##0.0\);_(* &quot;-&quot;??_);_(@_)"/>
    <numFmt numFmtId="319" formatCode="_-* #,##0.0_-;\-* #,##0.0_-;_-* &quot;-&quot;??_-;_-@_-"/>
    <numFmt numFmtId="320" formatCode="_-* #,##0.0_-;\-* #,##0.0_-;_-* &quot;-&quot;?_-;_-@_-"/>
    <numFmt numFmtId="321" formatCode="_-* #,##0_-;\-* #,##0_-;_-* &quot;-&quot;??_-;_-@_-"/>
    <numFmt numFmtId="322" formatCode="_-* #,##0.00_-;\-* #,##0.00_-;_-* &quot;-&quot;??_-;_-@_-"/>
    <numFmt numFmtId="323" formatCode="[$-809]dd\ mmmm\ yyyy;@"/>
    <numFmt numFmtId="324" formatCode="#,##0.0_);\(#,##0.0\);\-___)"/>
    <numFmt numFmtId="325" formatCode="0.000000000"/>
    <numFmt numFmtId="326" formatCode="&quot;$&quot;#,##0.0_);\(&quot;$&quot;#,##0.0\);&quot;$&quot;__\-___)"/>
    <numFmt numFmtId="327" formatCode="#0.0\x;\(#0.0\x\);\-__\x"/>
    <numFmt numFmtId="328" formatCode="0.0000000000"/>
    <numFmt numFmtId="329" formatCode="#,##0_);\(#,##0\);\-___)"/>
    <numFmt numFmtId="330" formatCode="0.0%_);\(0.0%\);\-__\%_)"/>
    <numFmt numFmtId="331" formatCode="#,##0.000000000000"/>
    <numFmt numFmtId="332" formatCode="0.00&quot;x&quot;"/>
    <numFmt numFmtId="333" formatCode="0.00000000000"/>
    <numFmt numFmtId="334" formatCode="0.000000000000"/>
    <numFmt numFmtId="335" formatCode="0.000%"/>
    <numFmt numFmtId="336" formatCode="[$-809]d\ mmmm\ yyyy;@"/>
    <numFmt numFmtId="337" formatCode="#,##0.000;[Red]\-#,##0.000"/>
    <numFmt numFmtId="338" formatCode="_(* #,##0.000_);_(* \(#,##0.000\);_(* &quot;-&quot;??_);_(@_)"/>
    <numFmt numFmtId="339" formatCode="0.00000000000%"/>
    <numFmt numFmtId="340" formatCode="0\E"/>
    <numFmt numFmtId="341" formatCode="[$-409]d\-mmm\-yy;@"/>
  </numFmts>
  <fonts count="262">
    <font>
      <sz val="10"/>
      <name val="Arial"/>
      <charset val="134"/>
    </font>
    <font>
      <b/>
      <sz val="12"/>
      <name val="Arial"/>
      <charset val="134"/>
    </font>
    <font>
      <sz val="11"/>
      <color rgb="FF000000"/>
      <name val="Calibri"/>
      <charset val="134"/>
    </font>
    <font>
      <b/>
      <sz val="11"/>
      <color rgb="FFBE3232"/>
      <name val="Calibri"/>
      <charset val="134"/>
    </font>
    <font>
      <i/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rgb="FFBE3232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0"/>
      <color indexed="9"/>
      <name val="Calibri"/>
      <charset val="134"/>
    </font>
    <font>
      <sz val="10"/>
      <color indexed="12"/>
      <name val="Calibri"/>
      <charset val="134"/>
    </font>
    <font>
      <sz val="10"/>
      <color indexed="10"/>
      <name val="Calibri"/>
      <charset val="134"/>
    </font>
    <font>
      <b/>
      <sz val="10"/>
      <color indexed="9"/>
      <name val="Arial"/>
      <charset val="134"/>
    </font>
    <font>
      <b/>
      <sz val="10"/>
      <color theme="0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i/>
      <sz val="11"/>
      <name val="Arial"/>
      <charset val="134"/>
    </font>
    <font>
      <i/>
      <sz val="11"/>
      <name val="Arial"/>
      <charset val="134"/>
    </font>
    <font>
      <sz val="11"/>
      <name val="Arial"/>
      <charset val="134"/>
    </font>
    <font>
      <u/>
      <sz val="11"/>
      <name val="Arial"/>
      <charset val="134"/>
    </font>
    <font>
      <sz val="11"/>
      <color indexed="12"/>
      <name val="Arial"/>
      <charset val="134"/>
    </font>
    <font>
      <sz val="11"/>
      <color indexed="10"/>
      <name val="Arial"/>
      <charset val="134"/>
    </font>
    <font>
      <b/>
      <sz val="11"/>
      <color indexed="16"/>
      <name val="Arial"/>
      <charset val="134"/>
    </font>
    <font>
      <b/>
      <sz val="11"/>
      <color indexed="9"/>
      <name val="Arial"/>
      <charset val="134"/>
    </font>
    <font>
      <b/>
      <sz val="11"/>
      <color rgb="FFC00000"/>
      <name val="Arial"/>
      <charset val="134"/>
    </font>
    <font>
      <sz val="11"/>
      <color indexed="9"/>
      <name val="Arial"/>
      <charset val="134"/>
    </font>
    <font>
      <b/>
      <sz val="11"/>
      <color indexed="10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indexed="60"/>
      <name val="Arial"/>
      <charset val="134"/>
    </font>
    <font>
      <b/>
      <sz val="11"/>
      <color indexed="12"/>
      <name val="Arial"/>
      <charset val="134"/>
    </font>
    <font>
      <sz val="11"/>
      <color indexed="24"/>
      <name val="Arial"/>
      <charset val="134"/>
    </font>
    <font>
      <b/>
      <sz val="11"/>
      <color indexed="24"/>
      <name val="Arial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sz val="11"/>
      <color rgb="FF0000FF"/>
      <name val="Arial"/>
      <charset val="134"/>
    </font>
    <font>
      <b/>
      <i/>
      <sz val="11"/>
      <color rgb="FFC00000"/>
      <name val="Arial"/>
      <charset val="134"/>
    </font>
    <font>
      <sz val="11"/>
      <color indexed="16"/>
      <name val="Arial"/>
      <charset val="134"/>
    </font>
    <font>
      <b/>
      <sz val="11"/>
      <color indexed="23"/>
      <name val="Arial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9"/>
      <color theme="0"/>
      <name val="Arial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indexed="9"/>
      <name val="Calibri"/>
      <charset val="134"/>
    </font>
    <font>
      <b/>
      <sz val="11"/>
      <color rgb="FFC00000"/>
      <name val="Calibri"/>
      <charset val="134"/>
    </font>
    <font>
      <sz val="11"/>
      <color indexed="9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indexed="23"/>
      <name val="Calibri"/>
      <charset val="134"/>
    </font>
    <font>
      <sz val="11"/>
      <color indexed="12"/>
      <name val="Calibri"/>
      <charset val="134"/>
    </font>
    <font>
      <b/>
      <sz val="10"/>
      <color theme="0"/>
      <name val="Calibri"/>
      <charset val="134"/>
    </font>
    <font>
      <sz val="12"/>
      <color theme="0"/>
      <name val="Calibri"/>
      <charset val="134"/>
    </font>
    <font>
      <u/>
      <sz val="11"/>
      <name val="Calibri"/>
      <charset val="134"/>
    </font>
    <font>
      <sz val="11"/>
      <color rgb="FF0000FF"/>
      <name val="Calibri"/>
      <charset val="134"/>
    </font>
    <font>
      <sz val="11"/>
      <color rgb="FFFFC000"/>
      <name val="Calibri"/>
      <charset val="134"/>
    </font>
    <font>
      <i/>
      <sz val="11"/>
      <name val="Calibri"/>
      <charset val="134"/>
    </font>
    <font>
      <sz val="12"/>
      <name val="Calibri"/>
      <charset val="134"/>
    </font>
    <font>
      <b/>
      <sz val="11"/>
      <color indexed="12"/>
      <name val="Calibri"/>
      <charset val="134"/>
    </font>
    <font>
      <b/>
      <sz val="11"/>
      <color indexed="16"/>
      <name val="Calibri"/>
      <charset val="134"/>
    </font>
    <font>
      <sz val="9"/>
      <name val="Arial"/>
      <charset val="134"/>
    </font>
    <font>
      <sz val="10"/>
      <color theme="1"/>
      <name val="Arial"/>
      <charset val="134"/>
    </font>
    <font>
      <b/>
      <u/>
      <sz val="11"/>
      <name val="Calibri"/>
      <charset val="134"/>
    </font>
    <font>
      <b/>
      <sz val="11"/>
      <color indexed="24"/>
      <name val="Calibri"/>
      <charset val="134"/>
    </font>
    <font>
      <sz val="11"/>
      <color indexed="40"/>
      <name val="Calibri"/>
      <charset val="134"/>
    </font>
    <font>
      <b/>
      <sz val="12"/>
      <name val="Calibri"/>
      <charset val="134"/>
    </font>
    <font>
      <b/>
      <i/>
      <sz val="12"/>
      <name val="Calibri"/>
      <charset val="134"/>
    </font>
    <font>
      <i/>
      <sz val="12"/>
      <name val="Calibri"/>
      <charset val="134"/>
    </font>
    <font>
      <u/>
      <sz val="12"/>
      <name val="Calibri"/>
      <charset val="134"/>
    </font>
    <font>
      <sz val="12"/>
      <color indexed="12"/>
      <name val="Calibri"/>
      <charset val="134"/>
    </font>
    <font>
      <sz val="12"/>
      <color indexed="10"/>
      <name val="Calibri"/>
      <charset val="134"/>
    </font>
    <font>
      <b/>
      <sz val="12"/>
      <color indexed="16"/>
      <name val="Calibri"/>
      <charset val="134"/>
    </font>
    <font>
      <b/>
      <sz val="12"/>
      <color indexed="9"/>
      <name val="Calibri"/>
      <charset val="134"/>
    </font>
    <font>
      <b/>
      <sz val="12"/>
      <color rgb="FFC00000"/>
      <name val="Calibri"/>
      <charset val="134"/>
    </font>
    <font>
      <sz val="12"/>
      <color indexed="9"/>
      <name val="Calibri"/>
      <charset val="134"/>
    </font>
    <font>
      <b/>
      <sz val="12"/>
      <color indexed="10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indexed="60"/>
      <name val="Calibri"/>
      <charset val="134"/>
    </font>
    <font>
      <b/>
      <sz val="12"/>
      <color indexed="12"/>
      <name val="Calibri"/>
      <charset val="134"/>
    </font>
    <font>
      <sz val="12"/>
      <color indexed="24"/>
      <name val="Calibri"/>
      <charset val="134"/>
    </font>
    <font>
      <b/>
      <sz val="12"/>
      <color indexed="24"/>
      <name val="Calibri"/>
      <charset val="134"/>
    </font>
    <font>
      <b/>
      <sz val="12"/>
      <color theme="0"/>
      <name val="Calibri"/>
      <charset val="134"/>
    </font>
    <font>
      <sz val="12"/>
      <color rgb="FF0000FF"/>
      <name val="Calibri"/>
      <charset val="134"/>
    </font>
    <font>
      <b/>
      <i/>
      <sz val="12"/>
      <color rgb="FFC00000"/>
      <name val="Calibri"/>
      <charset val="134"/>
    </font>
    <font>
      <sz val="12"/>
      <color indexed="16"/>
      <name val="Calibri"/>
      <charset val="134"/>
    </font>
    <font>
      <b/>
      <sz val="12"/>
      <color indexed="23"/>
      <name val="Calibri"/>
      <charset val="134"/>
    </font>
    <font>
      <sz val="10"/>
      <color indexed="20"/>
      <name val="Arial"/>
      <charset val="134"/>
    </font>
    <font>
      <b/>
      <sz val="9"/>
      <name val="Arial"/>
      <charset val="134"/>
    </font>
    <font>
      <b/>
      <u/>
      <sz val="9"/>
      <name val="Arial"/>
      <charset val="134"/>
    </font>
    <font>
      <b/>
      <sz val="22"/>
      <name val="Arial"/>
      <charset val="134"/>
    </font>
    <font>
      <b/>
      <sz val="14"/>
      <name val="Arial"/>
      <charset val="134"/>
    </font>
    <font>
      <i/>
      <sz val="9"/>
      <name val="Arial"/>
      <charset val="134"/>
    </font>
    <font>
      <u/>
      <sz val="10"/>
      <color theme="10"/>
      <name val="Arial"/>
      <charset val="134"/>
    </font>
    <font>
      <b/>
      <sz val="10.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Calibri"/>
      <charset val="134"/>
    </font>
    <font>
      <b/>
      <sz val="10"/>
      <name val="Palatino"/>
      <charset val="134"/>
    </font>
    <font>
      <i/>
      <sz val="11"/>
      <color indexed="23"/>
      <name val="Calibri"/>
      <charset val="134"/>
    </font>
    <font>
      <b/>
      <sz val="15"/>
      <color indexed="62"/>
      <name val="Calibri"/>
      <charset val="134"/>
    </font>
    <font>
      <sz val="18"/>
      <name val="Helvetica-Black"/>
      <charset val="134"/>
    </font>
    <font>
      <i/>
      <sz val="14"/>
      <name val="Palatino"/>
      <charset val="134"/>
    </font>
    <font>
      <b/>
      <sz val="11"/>
      <color indexed="62"/>
      <name val="Calibri"/>
      <charset val="134"/>
    </font>
    <font>
      <sz val="10"/>
      <color indexed="10"/>
      <name val="Times New Roman"/>
      <charset val="134"/>
    </font>
    <font>
      <b/>
      <sz val="11"/>
      <color indexed="34"/>
      <name val="Calibri"/>
      <charset val="134"/>
    </font>
    <font>
      <b/>
      <sz val="11"/>
      <color indexed="52"/>
      <name val="Calibri"/>
      <charset val="134"/>
    </font>
    <font>
      <sz val="11"/>
      <color indexed="52"/>
      <name val="Calibri"/>
      <charset val="134"/>
    </font>
    <font>
      <sz val="8"/>
      <name val="Helv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8"/>
      <name val="Calibri"/>
      <charset val="134"/>
    </font>
    <font>
      <sz val="10"/>
      <color indexed="10"/>
      <name val="Arial"/>
      <charset val="134"/>
    </font>
    <font>
      <sz val="12"/>
      <name val="Arial MT"/>
      <charset val="134"/>
    </font>
    <font>
      <sz val="8"/>
      <color indexed="49"/>
      <name val="Times New Roman"/>
      <charset val="134"/>
    </font>
    <font>
      <sz val="10"/>
      <name val="Helvetica"/>
      <charset val="134"/>
    </font>
    <font>
      <sz val="10"/>
      <color indexed="8"/>
      <name val="MS Sans Serif"/>
      <charset val="134"/>
    </font>
    <font>
      <sz val="10"/>
      <name val="Univers (WN)"/>
      <charset val="134"/>
    </font>
    <font>
      <sz val="10"/>
      <name val="MS Sans Serif"/>
      <charset val="134"/>
    </font>
    <font>
      <sz val="10"/>
      <name val="GS TheSans"/>
      <charset val="134"/>
    </font>
    <font>
      <sz val="8"/>
      <name val="Tahoma"/>
      <charset val="134"/>
    </font>
    <font>
      <b/>
      <sz val="10"/>
      <name val="MS Sans Serif"/>
      <charset val="134"/>
    </font>
    <font>
      <sz val="10"/>
      <name val="Times New Roman"/>
      <charset val="134"/>
    </font>
    <font>
      <b/>
      <sz val="22"/>
      <color indexed="18"/>
      <name val="Arial"/>
      <charset val="134"/>
    </font>
    <font>
      <b/>
      <sz val="14"/>
      <color indexed="18"/>
      <name val="Arial"/>
      <charset val="134"/>
    </font>
    <font>
      <sz val="9"/>
      <color indexed="8"/>
      <name val="Arial"/>
      <charset val="134"/>
    </font>
    <font>
      <b/>
      <sz val="10"/>
      <color indexed="18"/>
      <name val="Arial"/>
      <charset val="134"/>
    </font>
    <font>
      <b/>
      <u val="singleAccounting"/>
      <sz val="10"/>
      <color indexed="18"/>
      <name val="Arial"/>
      <charset val="134"/>
    </font>
    <font>
      <sz val="10"/>
      <name val="Courier"/>
      <charset val="134"/>
    </font>
    <font>
      <sz val="9"/>
      <name val="Times New Roman"/>
      <charset val="134"/>
    </font>
    <font>
      <sz val="8"/>
      <name val="Arial"/>
      <charset val="134"/>
    </font>
    <font>
      <sz val="8"/>
      <color indexed="12"/>
      <name val="Arial"/>
      <charset val="134"/>
    </font>
    <font>
      <i/>
      <sz val="8"/>
      <color indexed="16"/>
      <name val="Arial"/>
      <charset val="134"/>
    </font>
    <font>
      <i/>
      <sz val="8"/>
      <color indexed="54"/>
      <name val="Arial"/>
      <charset val="134"/>
    </font>
    <font>
      <i/>
      <sz val="9"/>
      <color indexed="16"/>
      <name val="Arial"/>
      <charset val="134"/>
    </font>
    <font>
      <sz val="9"/>
      <color indexed="8"/>
      <name val="Times New Roman"/>
      <charset val="134"/>
    </font>
    <font>
      <b/>
      <sz val="10"/>
      <color indexed="8"/>
      <name val="Times New Roman"/>
      <charset val="134"/>
    </font>
    <font>
      <sz val="8"/>
      <name val="Times"/>
      <charset val="134"/>
    </font>
    <font>
      <sz val="8"/>
      <name val="Helvetica"/>
      <charset val="134"/>
    </font>
    <font>
      <b/>
      <sz val="12"/>
      <name val="Tms Rmn"/>
      <charset val="134"/>
    </font>
    <font>
      <b/>
      <sz val="6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2"/>
      <color indexed="12"/>
      <name val="Arial"/>
      <charset val="134"/>
    </font>
    <font>
      <sz val="10"/>
      <color indexed="18"/>
      <name val="GS TheSans"/>
      <charset val="134"/>
    </font>
    <font>
      <sz val="11"/>
      <color rgb="FF9C0006"/>
      <name val="Univers LT Std 55"/>
      <charset val="134"/>
    </font>
    <font>
      <b/>
      <sz val="8"/>
      <color indexed="9"/>
      <name val="Arial"/>
      <charset val="134"/>
    </font>
    <font>
      <sz val="9"/>
      <color indexed="9"/>
      <name val="Times New Roman"/>
      <charset val="134"/>
    </font>
    <font>
      <sz val="10"/>
      <name val="Helv"/>
      <charset val="134"/>
    </font>
    <font>
      <sz val="12"/>
      <name val="Tms Rmn"/>
      <charset val="134"/>
    </font>
    <font>
      <sz val="8"/>
      <name val="Univers"/>
      <charset val="134"/>
    </font>
    <font>
      <sz val="7"/>
      <color indexed="10"/>
      <name val="Helvetica"/>
      <charset val="134"/>
    </font>
    <font>
      <b/>
      <i/>
      <sz val="8"/>
      <name val="Arial"/>
      <charset val="134"/>
    </font>
    <font>
      <sz val="10"/>
      <name val="Courier New"/>
      <charset val="134"/>
    </font>
    <font>
      <b/>
      <sz val="10"/>
      <name val="Bookman"/>
      <charset val="134"/>
    </font>
    <font>
      <sz val="8"/>
      <color indexed="12"/>
      <name val="Helv"/>
      <charset val="134"/>
    </font>
    <font>
      <sz val="8"/>
      <name val="Palatino"/>
      <charset val="134"/>
    </font>
    <font>
      <b/>
      <sz val="8"/>
      <name val="Helvetica"/>
      <charset val="134"/>
    </font>
    <font>
      <sz val="24"/>
      <name val="MS Sans Serif"/>
      <charset val="134"/>
    </font>
    <font>
      <b/>
      <sz val="24"/>
      <name val="Times New Roman"/>
      <charset val="134"/>
    </font>
    <font>
      <b/>
      <sz val="14"/>
      <name val="Book Antiqua"/>
      <charset val="134"/>
    </font>
    <font>
      <sz val="11"/>
      <color indexed="12"/>
      <name val="Book Antiqua"/>
      <charset val="134"/>
    </font>
    <font>
      <b/>
      <i/>
      <strike/>
      <sz val="12"/>
      <color indexed="48"/>
      <name val="Arial"/>
      <charset val="134"/>
    </font>
    <font>
      <sz val="8"/>
      <color indexed="9"/>
      <name val="Arial"/>
      <charset val="134"/>
    </font>
    <font>
      <b/>
      <sz val="8"/>
      <name val="Times New Roman"/>
      <charset val="134"/>
    </font>
    <font>
      <sz val="9"/>
      <color indexed="12"/>
      <name val="Times New Roman"/>
      <charset val="134"/>
    </font>
    <font>
      <sz val="7"/>
      <name val="Helvetica"/>
      <charset val="134"/>
    </font>
    <font>
      <i/>
      <strike/>
      <sz val="12"/>
      <color indexed="40"/>
      <name val="Arial"/>
      <charset val="134"/>
    </font>
    <font>
      <sz val="8"/>
      <name val="Times New Roman"/>
      <charset val="134"/>
    </font>
    <font>
      <sz val="10"/>
      <name val="Book Antiqua"/>
      <charset val="134"/>
    </font>
    <font>
      <sz val="7"/>
      <name val="Arial"/>
      <charset val="134"/>
    </font>
    <font>
      <b/>
      <sz val="8.5"/>
      <color indexed="17"/>
      <name val="Arial"/>
      <charset val="134"/>
    </font>
    <font>
      <sz val="11"/>
      <color rgb="FF006100"/>
      <name val="Univers LT Std 55"/>
      <charset val="134"/>
    </font>
    <font>
      <b/>
      <sz val="7"/>
      <color indexed="17"/>
      <name val="Arial"/>
      <charset val="134"/>
    </font>
    <font>
      <sz val="8.5"/>
      <color indexed="8"/>
      <name val="Arial"/>
      <charset val="134"/>
    </font>
    <font>
      <sz val="6"/>
      <color indexed="16"/>
      <name val="Palatino"/>
      <charset val="134"/>
    </font>
    <font>
      <sz val="8"/>
      <name val="VeticaBlack"/>
      <charset val="134"/>
    </font>
    <font>
      <b/>
      <i/>
      <sz val="16"/>
      <name val="Arial"/>
      <charset val="134"/>
    </font>
    <font>
      <u/>
      <sz val="10"/>
      <color indexed="12"/>
      <name val="Arial"/>
      <charset val="134"/>
    </font>
    <font>
      <sz val="10"/>
      <color indexed="12"/>
      <name val="Arial"/>
      <charset val="134"/>
    </font>
    <font>
      <i/>
      <sz val="10"/>
      <color indexed="10"/>
      <name val="Helv"/>
      <charset val="134"/>
    </font>
    <font>
      <sz val="8"/>
      <color indexed="60"/>
      <name val="Arial"/>
      <charset val="134"/>
    </font>
    <font>
      <sz val="10"/>
      <color indexed="25"/>
      <name val="Helvetica"/>
      <charset val="134"/>
    </font>
    <font>
      <sz val="8"/>
      <name val="Frutiger 45"/>
      <charset val="134"/>
    </font>
    <font>
      <sz val="7.5"/>
      <name val="Frutiger 45"/>
      <charset val="134"/>
    </font>
    <font>
      <sz val="8"/>
      <name val="Book Antiqua"/>
      <charset val="134"/>
    </font>
    <font>
      <i/>
      <sz val="7"/>
      <name val="Book Antiqua"/>
      <charset val="134"/>
    </font>
    <font>
      <sz val="10"/>
      <name val="Arabic Transparent"/>
      <charset val="178"/>
    </font>
    <font>
      <sz val="11"/>
      <color rgb="FF9C6500"/>
      <name val="Univers LT Std 55"/>
      <charset val="134"/>
    </font>
    <font>
      <sz val="7"/>
      <name val="Small Fonts"/>
      <charset val="134"/>
    </font>
    <font>
      <sz val="11"/>
      <color theme="1"/>
      <name val="Univers LT Std 55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  <font>
      <sz val="10"/>
      <name val="Arial CE"/>
      <charset val="238"/>
    </font>
    <font>
      <i/>
      <sz val="10"/>
      <name val="Helv"/>
      <charset val="134"/>
    </font>
    <font>
      <sz val="8"/>
      <color indexed="8"/>
      <name val="Times New Roman"/>
      <charset val="134"/>
    </font>
    <font>
      <sz val="8.5"/>
      <name val="Arial Narrow"/>
      <charset val="134"/>
    </font>
    <font>
      <i/>
      <strike/>
      <sz val="12"/>
      <color indexed="10"/>
      <name val="Arial"/>
      <charset val="134"/>
    </font>
    <font>
      <sz val="10"/>
      <name val="System"/>
      <charset val="134"/>
    </font>
    <font>
      <b/>
      <sz val="11"/>
      <color rgb="FF3F3F3F"/>
      <name val="Univers LT Std 55"/>
      <charset val="134"/>
    </font>
    <font>
      <b/>
      <sz val="14"/>
      <name val="Times New Roman"/>
      <charset val="134"/>
    </font>
    <font>
      <sz val="10"/>
      <color indexed="16"/>
      <name val="Helvetica-Black"/>
      <charset val="134"/>
    </font>
    <font>
      <strike/>
      <sz val="12"/>
      <color indexed="46"/>
      <name val="Arial"/>
      <charset val="134"/>
    </font>
    <font>
      <sz val="12"/>
      <name val="Helvetica"/>
      <charset val="134"/>
    </font>
    <font>
      <sz val="9"/>
      <name val="GS TheSans"/>
      <charset val="134"/>
    </font>
    <font>
      <sz val="8"/>
      <name val="Helv"/>
      <charset val="134"/>
    </font>
    <font>
      <i/>
      <sz val="8"/>
      <name val="Times New Roman"/>
      <charset val="134"/>
    </font>
    <font>
      <sz val="12"/>
      <color indexed="17"/>
      <name val="Arial"/>
      <charset val="134"/>
    </font>
    <font>
      <sz val="8"/>
      <color indexed="8"/>
      <name val="Akzidenz Grotesk Light"/>
      <charset val="134"/>
    </font>
    <font>
      <sz val="10"/>
      <color indexed="23"/>
      <name val="MS Sans Serif"/>
      <charset val="134"/>
    </font>
    <font>
      <b/>
      <sz val="10"/>
      <color indexed="12"/>
      <name val="Arial"/>
      <charset val="134"/>
    </font>
    <font>
      <b/>
      <sz val="12"/>
      <name val="MS Sans Serif"/>
      <charset val="134"/>
    </font>
    <font>
      <sz val="14"/>
      <name val="MS Sans Serif"/>
      <charset val="134"/>
    </font>
    <font>
      <b/>
      <sz val="14"/>
      <name val="Bookman"/>
      <charset val="134"/>
    </font>
    <font>
      <sz val="12"/>
      <name val="Arial"/>
      <charset val="134"/>
    </font>
    <font>
      <i/>
      <sz val="10"/>
      <name val="Times New Roman"/>
      <charset val="134"/>
    </font>
    <font>
      <sz val="10"/>
      <name val="KPN Arial"/>
      <charset val="134"/>
    </font>
    <font>
      <strike/>
      <sz val="10"/>
      <name val="Arial"/>
      <charset val="134"/>
    </font>
    <font>
      <b/>
      <sz val="8"/>
      <name val="HelveticaNeue Condensed"/>
      <charset val="134"/>
    </font>
    <font>
      <sz val="8"/>
      <name val="HelveticaNeue LightCond"/>
      <charset val="134"/>
    </font>
    <font>
      <b/>
      <sz val="7"/>
      <name val="HelveticaNeue Condensed"/>
      <charset val="134"/>
    </font>
    <font>
      <b/>
      <sz val="9"/>
      <name val="Times New Roman"/>
      <charset val="134"/>
    </font>
    <font>
      <sz val="10"/>
      <color indexed="12"/>
      <name val="Palatino"/>
      <charset val="134"/>
    </font>
    <font>
      <b/>
      <sz val="10"/>
      <color indexed="18"/>
      <name val="Symbol"/>
      <charset val="2"/>
    </font>
    <font>
      <sz val="9"/>
      <name val="Helv"/>
      <charset val="134"/>
    </font>
    <font>
      <b/>
      <sz val="11"/>
      <name val="Times New Roman"/>
      <charset val="134"/>
    </font>
    <font>
      <b/>
      <sz val="9"/>
      <name val="Palatino"/>
      <charset val="134"/>
    </font>
    <font>
      <sz val="9"/>
      <color indexed="21"/>
      <name val="Helvetica-Black"/>
      <charset val="134"/>
    </font>
    <font>
      <b/>
      <sz val="8.5"/>
      <color indexed="8"/>
      <name val="Arial"/>
      <charset val="134"/>
    </font>
    <font>
      <sz val="9"/>
      <name val="Helvetica-Black"/>
      <charset val="134"/>
    </font>
    <font>
      <sz val="7"/>
      <name val="Palatino"/>
      <charset val="134"/>
    </font>
    <font>
      <sz val="8.5"/>
      <name val="Franklin Gothic Book"/>
      <charset val="134"/>
    </font>
    <font>
      <i/>
      <sz val="8"/>
      <name val="Tms Rmn"/>
      <charset val="134"/>
    </font>
    <font>
      <b/>
      <sz val="12"/>
      <name val="Helv"/>
      <charset val="134"/>
    </font>
    <font>
      <b/>
      <sz val="16"/>
      <color indexed="62"/>
      <name val="Arial"/>
      <charset val="134"/>
    </font>
    <font>
      <b/>
      <u/>
      <sz val="14"/>
      <name val="Book Antiqua"/>
      <charset val="134"/>
    </font>
    <font>
      <b/>
      <sz val="10"/>
      <name val="Book Antiqua"/>
      <charset val="134"/>
    </font>
    <font>
      <b/>
      <sz val="7"/>
      <name val="Arial"/>
      <charset val="134"/>
    </font>
    <font>
      <b/>
      <sz val="8"/>
      <name val="Tms Rmn"/>
      <charset val="134"/>
    </font>
    <font>
      <sz val="10"/>
      <color indexed="38"/>
      <name val="Arial"/>
      <charset val="134"/>
    </font>
    <font>
      <u/>
      <sz val="10"/>
      <name val="Helv"/>
      <charset val="134"/>
    </font>
    <font>
      <sz val="9"/>
      <name val="Univers (W1)"/>
      <charset val="134"/>
    </font>
    <font>
      <sz val="8"/>
      <color indexed="16"/>
      <name val="Helv"/>
      <charset val="134"/>
    </font>
    <font>
      <i/>
      <sz val="10"/>
      <name val="Arial"/>
      <charset val="134"/>
    </font>
    <font>
      <i/>
      <strike/>
      <sz val="12"/>
      <color indexed="48"/>
      <name val="Arial"/>
      <charset val="134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b/>
      <sz val="10"/>
      <name val="Times New Roman"/>
      <charset val="134"/>
    </font>
    <font>
      <b/>
      <sz val="8.5"/>
      <name val="Franklin Gothic Book"/>
      <charset val="134"/>
    </font>
    <font>
      <sz val="12"/>
      <name val="Osaka"/>
      <charset val="128"/>
    </font>
    <font>
      <sz val="10"/>
      <name val="ＭＳ Ｐゴシック"/>
      <charset val="128"/>
    </font>
    <font>
      <sz val="7.65"/>
      <name val="Tahoma"/>
      <charset val="134"/>
    </font>
    <font>
      <sz val="6.3"/>
      <name val="Tahoma"/>
      <charset val="134"/>
    </font>
    <font>
      <sz val="9"/>
      <name val="Tahoma"/>
      <charset val="134"/>
    </font>
    <font>
      <sz val="9"/>
      <name val="Calibri"/>
      <charset val="134"/>
    </font>
    <font>
      <b/>
      <sz val="8"/>
      <name val="Tahoma"/>
      <charset val="134"/>
    </font>
    <font>
      <b/>
      <sz val="9"/>
      <name val="Tahoma"/>
      <charset val="134"/>
    </font>
  </fonts>
  <fills count="6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55F"/>
        <bgColor rgb="FF000000"/>
      </patternFill>
    </fill>
    <fill>
      <patternFill patternType="solid">
        <fgColor rgb="FF004A8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5EC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4" tint="0.899990844447157"/>
        <bgColor rgb="FF000000"/>
      </patternFill>
    </fill>
    <fill>
      <patternFill patternType="solid">
        <fgColor theme="6" tint="0.799981688894314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gray0625">
        <fgColor indexed="10"/>
        <bgColor indexed="9"/>
      </patternFill>
    </fill>
    <fill>
      <patternFill patternType="solid">
        <fgColor rgb="FFFFC7CE"/>
        <bgColor indexed="64"/>
      </patternFill>
    </fill>
    <fill>
      <patternFill patternType="solid">
        <fgColor indexed="32"/>
        <bgColor indexed="64"/>
      </patternFill>
    </fill>
    <fill>
      <patternFill patternType="lightGray">
        <fgColor indexed="14"/>
        <bgColor indexed="9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gray0625">
        <fgColor indexed="13"/>
        <bgColor indexed="9"/>
      </patternFill>
    </fill>
    <fill>
      <patternFill patternType="lightGray">
        <fgColor indexed="12"/>
        <bgColor indexed="9"/>
      </patternFill>
    </fill>
    <fill>
      <patternFill patternType="solid">
        <fgColor indexed="3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11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gray125"/>
    </fill>
    <fill>
      <patternFill patternType="lightGray">
        <fgColor indexed="22"/>
        <bgColor indexed="9"/>
      </patternFill>
    </fill>
    <fill>
      <patternFill patternType="gray0625"/>
    </fill>
    <fill>
      <patternFill patternType="solid">
        <fgColor indexed="16"/>
        <bgColor indexed="64"/>
      </patternFill>
    </fill>
    <fill>
      <patternFill patternType="solid">
        <fgColor indexed="38"/>
        <bgColor indexed="17"/>
      </patternFill>
    </fill>
  </fills>
  <borders count="8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rgb="FFFFFFFF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4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34"/>
      </left>
      <right style="double">
        <color indexed="34"/>
      </right>
      <top style="double">
        <color indexed="34"/>
      </top>
      <bottom style="double">
        <color indexed="3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indexed="37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thick">
        <color indexed="9"/>
      </right>
      <top/>
      <bottom style="thick">
        <color indexed="9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24"/>
      </left>
      <right style="medium">
        <color indexed="24"/>
      </right>
      <top style="medium">
        <color indexed="24"/>
      </top>
      <bottom style="medium">
        <color indexed="2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9"/>
      </left>
      <right style="thick">
        <color indexed="9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medium">
        <color indexed="24"/>
      </left>
      <right/>
      <top style="thin">
        <color auto="1"/>
      </top>
      <bottom/>
      <diagonal/>
    </border>
  </borders>
  <cellStyleXfs count="511">
    <xf numFmtId="0" fontId="0" fillId="0" borderId="0" applyFill="0"/>
    <xf numFmtId="176" fontId="0" fillId="0" borderId="0" applyFont="0" applyFill="0" applyBorder="0" applyAlignment="0" applyProtection="0"/>
    <xf numFmtId="44" fontId="9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2" fontId="98" fillId="0" borderId="0" applyFont="0" applyFill="0" applyBorder="0" applyAlignment="0" applyProtection="0">
      <alignment vertical="center"/>
    </xf>
    <xf numFmtId="0" fontId="96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center"/>
    </xf>
    <xf numFmtId="0" fontId="0" fillId="22" borderId="52" applyNumberFormat="0" applyFont="0" applyAlignment="0" applyProtection="0"/>
    <xf numFmtId="0" fontId="100" fillId="0" borderId="0" applyNumberFormat="0" applyFill="0" applyBorder="0" applyAlignment="0" applyProtection="0"/>
    <xf numFmtId="177" fontId="101" fillId="0" borderId="53">
      <alignment horizontal="center" vertical="center" wrapText="1"/>
    </xf>
    <xf numFmtId="0" fontId="102" fillId="0" borderId="0" applyNumberFormat="0" applyFill="0" applyBorder="0" applyAlignment="0" applyProtection="0"/>
    <xf numFmtId="0" fontId="103" fillId="0" borderId="54" applyNumberFormat="0" applyFill="0" applyAlignment="0" applyProtection="0"/>
    <xf numFmtId="0" fontId="104" fillId="0" borderId="0" applyProtection="0">
      <alignment horizontal="left"/>
    </xf>
    <xf numFmtId="0" fontId="105" fillId="0" borderId="0" applyProtection="0">
      <alignment horizontal="left"/>
    </xf>
    <xf numFmtId="0" fontId="106" fillId="0" borderId="0" applyNumberFormat="0" applyFill="0" applyBorder="0" applyAlignment="0" applyProtection="0"/>
    <xf numFmtId="1" fontId="107" fillId="0" borderId="0" applyNumberFormat="0">
      <alignment horizontal="right"/>
    </xf>
    <xf numFmtId="0" fontId="108" fillId="26" borderId="55" applyNumberFormat="0" applyAlignment="0" applyProtection="0"/>
    <xf numFmtId="0" fontId="109" fillId="26" borderId="56" applyNumberFormat="0" applyAlignment="0" applyProtection="0"/>
    <xf numFmtId="0" fontId="47" fillId="32" borderId="57" applyNumberFormat="0" applyAlignment="0" applyProtection="0"/>
    <xf numFmtId="0" fontId="110" fillId="0" borderId="58" applyNumberFormat="0" applyFill="0" applyAlignment="0" applyProtection="0"/>
    <xf numFmtId="0" fontId="111" fillId="0" borderId="59" applyNumberFormat="0" applyFont="0" applyFill="0" applyAlignment="0" applyProtection="0"/>
    <xf numFmtId="0" fontId="112" fillId="33" borderId="0" applyNumberFormat="0" applyBorder="0" applyAlignment="0" applyProtection="0"/>
    <xf numFmtId="0" fontId="113" fillId="34" borderId="0" applyNumberFormat="0" applyBorder="0" applyAlignment="0" applyProtection="0"/>
    <xf numFmtId="0" fontId="114" fillId="22" borderId="0" applyNumberFormat="0" applyBorder="0" applyAlignment="0" applyProtection="0"/>
    <xf numFmtId="0" fontId="49" fillId="11" borderId="0" applyNumberFormat="0" applyBorder="0" applyAlignment="0" applyProtection="0"/>
    <xf numFmtId="0" fontId="115" fillId="20" borderId="0" applyNumberFormat="0" applyBorder="0" applyAlignment="0" applyProtection="0"/>
    <xf numFmtId="0" fontId="115" fillId="12" borderId="0" applyNumberFormat="0" applyBorder="0" applyAlignment="0" applyProtection="0"/>
    <xf numFmtId="0" fontId="49" fillId="35" borderId="0" applyNumberFormat="0" applyBorder="0" applyAlignment="0" applyProtection="0"/>
    <xf numFmtId="0" fontId="49" fillId="18" borderId="0" applyNumberFormat="0" applyBorder="0" applyAlignment="0" applyProtection="0"/>
    <xf numFmtId="0" fontId="115" fillId="36" borderId="0" applyNumberFormat="0" applyBorder="0" applyAlignment="0" applyProtection="0"/>
    <xf numFmtId="0" fontId="115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115" fillId="22" borderId="0" applyNumberFormat="0" applyBorder="0" applyAlignment="0" applyProtection="0"/>
    <xf numFmtId="0" fontId="115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38" borderId="0" applyNumberFormat="0" applyBorder="0" applyAlignment="0" applyProtection="0"/>
    <xf numFmtId="0" fontId="115" fillId="15" borderId="0" applyNumberFormat="0" applyBorder="0" applyAlignment="0" applyProtection="0"/>
    <xf numFmtId="0" fontId="115" fillId="12" borderId="0" applyNumberFormat="0" applyBorder="0" applyAlignment="0" applyProtection="0"/>
    <xf numFmtId="0" fontId="49" fillId="32" borderId="0" applyNumberFormat="0" applyBorder="0" applyAlignment="0" applyProtection="0"/>
    <xf numFmtId="0" fontId="49" fillId="39" borderId="0" applyNumberFormat="0" applyBorder="0" applyAlignment="0" applyProtection="0"/>
    <xf numFmtId="0" fontId="115" fillId="20" borderId="0" applyNumberFormat="0" applyBorder="0" applyAlignment="0" applyProtection="0"/>
    <xf numFmtId="0" fontId="115" fillId="12" borderId="0" applyNumberFormat="0" applyBorder="0" applyAlignment="0" applyProtection="0"/>
    <xf numFmtId="0" fontId="49" fillId="35" borderId="0" applyNumberFormat="0" applyBorder="0" applyAlignment="0" applyProtection="0"/>
    <xf numFmtId="0" fontId="49" fillId="40" borderId="0" applyNumberFormat="0" applyBorder="0" applyAlignment="0" applyProtection="0"/>
    <xf numFmtId="0" fontId="115" fillId="36" borderId="0" applyNumberFormat="0" applyBorder="0" applyAlignment="0" applyProtection="0"/>
    <xf numFmtId="0" fontId="115" fillId="36" borderId="0" applyNumberFormat="0" applyBorder="0" applyAlignment="0" applyProtection="0"/>
    <xf numFmtId="0" fontId="49" fillId="36" borderId="0" applyNumberFormat="0" applyBorder="0" applyAlignment="0" applyProtection="0"/>
    <xf numFmtId="178" fontId="116" fillId="0" borderId="0"/>
    <xf numFmtId="179" fontId="63" fillId="0" borderId="0"/>
    <xf numFmtId="180" fontId="117" fillId="0" borderId="0" applyFont="0" applyFill="0" applyBorder="0" applyAlignment="0" applyProtection="0"/>
    <xf numFmtId="181" fontId="117" fillId="0" borderId="0" applyFont="0" applyFill="0" applyBorder="0" applyAlignment="0" applyProtection="0"/>
    <xf numFmtId="182" fontId="117" fillId="0" borderId="0" applyFont="0" applyFill="0" applyBorder="0" applyAlignment="0" applyProtection="0"/>
    <xf numFmtId="183" fontId="118" fillId="0" borderId="0" applyFont="0" applyFill="0" applyBorder="0" applyAlignment="0" applyProtection="0"/>
    <xf numFmtId="184" fontId="0" fillId="0" borderId="0" applyFill="0" applyBorder="0" applyProtection="0"/>
    <xf numFmtId="37" fontId="119" fillId="0" borderId="0"/>
    <xf numFmtId="185" fontId="63" fillId="0" borderId="0"/>
    <xf numFmtId="0" fontId="120" fillId="0" borderId="0" applyNumberFormat="0" applyFont="0" applyFill="0" applyBorder="0" applyAlignment="0" applyProtection="0"/>
    <xf numFmtId="186" fontId="121" fillId="0" borderId="0" applyFont="0" applyFill="0" applyBorder="0" applyAlignment="0" applyProtection="0"/>
    <xf numFmtId="14" fontId="122" fillId="0" borderId="0"/>
    <xf numFmtId="187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0" fontId="119" fillId="0" borderId="0"/>
    <xf numFmtId="189" fontId="119" fillId="0" borderId="0"/>
    <xf numFmtId="190" fontId="119" fillId="0" borderId="0"/>
    <xf numFmtId="191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123" fillId="0" borderId="0" applyFont="0" applyFill="0" applyBorder="0" applyAlignment="0" applyProtection="0"/>
    <xf numFmtId="192" fontId="124" fillId="0" borderId="0" applyFont="0" applyFill="0" applyBorder="0" applyAlignment="0" applyProtection="0"/>
    <xf numFmtId="192" fontId="125" fillId="0" borderId="0" applyFont="0" applyFill="0" applyBorder="0" applyAlignment="0" applyProtection="0"/>
    <xf numFmtId="192" fontId="126" fillId="0" borderId="0" applyFont="0" applyFill="0" applyBorder="0" applyAlignment="0" applyProtection="0"/>
    <xf numFmtId="193" fontId="0" fillId="0" borderId="0" applyFont="0" applyFill="0" applyBorder="0" applyAlignment="0" applyProtection="0"/>
    <xf numFmtId="194" fontId="0" fillId="0" borderId="0" applyFont="0" applyFill="0" applyBorder="0" applyAlignment="0" applyProtection="0"/>
    <xf numFmtId="195" fontId="0" fillId="0" borderId="0" applyFont="0" applyFill="0" applyBorder="0" applyAlignment="0" applyProtection="0"/>
    <xf numFmtId="194" fontId="124" fillId="0" borderId="0" applyFont="0" applyFill="0" applyBorder="0" applyAlignment="0" applyProtection="0"/>
    <xf numFmtId="0" fontId="0" fillId="0" borderId="0" applyFont="0" applyFill="0" applyBorder="0" applyAlignment="0" applyProtection="0"/>
    <xf numFmtId="196" fontId="0" fillId="0" borderId="0" applyFont="0" applyFill="0" applyBorder="0" applyAlignment="0" applyProtection="0"/>
    <xf numFmtId="197" fontId="0" fillId="0" borderId="0" applyFont="0" applyFill="0" applyBorder="0" applyAlignment="0" applyProtection="0"/>
    <xf numFmtId="0" fontId="63" fillId="0" borderId="0" applyFont="0" applyFill="0" applyBorder="0" applyAlignment="0" applyProtection="0"/>
    <xf numFmtId="198" fontId="0" fillId="0" borderId="0" applyFont="0" applyFill="0" applyBorder="0" applyAlignment="0" applyProtection="0"/>
    <xf numFmtId="194" fontId="125" fillId="0" borderId="0" applyFont="0" applyFill="0" applyBorder="0" applyAlignment="0" applyProtection="0"/>
    <xf numFmtId="195" fontId="126" fillId="0" borderId="0" applyFont="0" applyFill="0" applyBorder="0" applyAlignment="0" applyProtection="0"/>
    <xf numFmtId="194" fontId="126" fillId="0" borderId="0" applyFont="0" applyFill="0" applyBorder="0" applyAlignment="0" applyProtection="0"/>
    <xf numFmtId="194" fontId="123" fillId="0" borderId="0" applyFont="0" applyFill="0" applyBorder="0" applyAlignment="0" applyProtection="0"/>
    <xf numFmtId="39" fontId="0" fillId="0" borderId="0" applyFont="0" applyFill="0" applyBorder="0" applyAlignment="0" applyProtection="0"/>
    <xf numFmtId="199" fontId="0" fillId="0" borderId="0" applyFont="0" applyFill="0" applyBorder="0" applyAlignment="0" applyProtection="0"/>
    <xf numFmtId="199" fontId="124" fillId="0" borderId="0" applyFont="0" applyFill="0" applyBorder="0" applyAlignment="0" applyProtection="0"/>
    <xf numFmtId="199" fontId="125" fillId="0" borderId="0" applyFont="0" applyFill="0" applyBorder="0" applyAlignment="0" applyProtection="0"/>
    <xf numFmtId="199" fontId="123" fillId="0" borderId="0" applyFont="0" applyFill="0" applyBorder="0" applyAlignment="0" applyProtection="0"/>
    <xf numFmtId="199" fontId="126" fillId="0" borderId="0" applyFont="0" applyFill="0" applyBorder="0" applyAlignment="0" applyProtection="0"/>
    <xf numFmtId="0" fontId="63" fillId="0" borderId="0"/>
    <xf numFmtId="200" fontId="0" fillId="0" borderId="0" applyFont="0" applyFill="0" applyBorder="0" applyAlignment="0" applyProtection="0"/>
    <xf numFmtId="201" fontId="119" fillId="0" borderId="0"/>
    <xf numFmtId="202" fontId="119" fillId="0" borderId="0"/>
    <xf numFmtId="3" fontId="63" fillId="0" borderId="0"/>
    <xf numFmtId="0" fontId="127" fillId="0" borderId="0" applyNumberFormat="0" applyFill="0" applyBorder="0" applyAlignment="0" applyProtection="0"/>
    <xf numFmtId="0" fontId="15" fillId="41" borderId="60">
      <alignment horizontal="center"/>
    </xf>
    <xf numFmtId="0" fontId="0" fillId="22" borderId="0" applyNumberFormat="0" applyFont="0" applyAlignment="0" applyProtection="0"/>
    <xf numFmtId="203" fontId="119" fillId="0" borderId="0"/>
    <xf numFmtId="204" fontId="0" fillId="0" borderId="0"/>
    <xf numFmtId="38" fontId="122" fillId="0" borderId="0" applyFont="0" applyFill="0" applyBorder="0" applyAlignment="0" applyProtection="0"/>
    <xf numFmtId="205" fontId="0" fillId="0" borderId="0" applyFont="0" applyFill="0" applyBorder="0" applyAlignment="0" applyProtection="0"/>
    <xf numFmtId="206" fontId="0" fillId="0" borderId="0" applyFont="0" applyFill="0" applyBorder="0" applyAlignment="0" applyProtection="0"/>
    <xf numFmtId="206" fontId="124" fillId="0" borderId="0" applyFont="0" applyFill="0" applyBorder="0" applyAlignment="0" applyProtection="0"/>
    <xf numFmtId="206" fontId="125" fillId="0" borderId="0" applyFont="0" applyFill="0" applyBorder="0" applyAlignment="0" applyProtection="0"/>
    <xf numFmtId="207" fontId="0" fillId="0" borderId="0" applyFont="0" applyFill="0" applyBorder="0" applyAlignment="0" applyProtection="0"/>
    <xf numFmtId="206" fontId="126" fillId="0" borderId="0" applyFont="0" applyFill="0" applyBorder="0" applyAlignment="0" applyProtection="0"/>
    <xf numFmtId="208" fontId="0" fillId="0" borderId="0" applyFont="0" applyFill="0" applyBorder="0" applyAlignment="0" applyProtection="0"/>
    <xf numFmtId="206" fontId="123" fillId="0" borderId="0" applyFont="0" applyFill="0" applyBorder="0" applyAlignment="0" applyProtection="0"/>
    <xf numFmtId="209" fontId="0" fillId="0" borderId="0" applyFont="0" applyFill="0" applyBorder="0" applyAlignment="0" applyProtection="0"/>
    <xf numFmtId="210" fontId="0" fillId="0" borderId="0" applyFont="0" applyFill="0" applyBorder="0" applyProtection="0">
      <alignment horizontal="right"/>
    </xf>
    <xf numFmtId="210" fontId="124" fillId="0" borderId="0" applyFont="0" applyFill="0" applyBorder="0" applyProtection="0">
      <alignment horizontal="right"/>
    </xf>
    <xf numFmtId="211" fontId="0" fillId="0" borderId="0" applyFont="0" applyFill="0" applyBorder="0" applyAlignment="0" applyProtection="0"/>
    <xf numFmtId="212" fontId="126" fillId="0" borderId="0" applyFont="0" applyFill="0" applyBorder="0" applyAlignment="0" applyProtection="0"/>
    <xf numFmtId="210" fontId="125" fillId="0" borderId="0" applyFont="0" applyFill="0" applyBorder="0" applyProtection="0">
      <alignment horizontal="right"/>
    </xf>
    <xf numFmtId="213" fontId="0" fillId="0" borderId="0" applyFont="0" applyFill="0" applyBorder="0" applyAlignment="0" applyProtection="0"/>
    <xf numFmtId="210" fontId="126" fillId="0" borderId="0" applyFont="0" applyFill="0" applyBorder="0" applyProtection="0">
      <alignment horizontal="right"/>
    </xf>
    <xf numFmtId="210" fontId="123" fillId="0" borderId="0" applyFont="0" applyFill="0" applyBorder="0" applyProtection="0">
      <alignment horizontal="right"/>
    </xf>
    <xf numFmtId="214" fontId="0" fillId="0" borderId="0" applyFont="0" applyFill="0" applyBorder="0" applyAlignment="0" applyProtection="0"/>
    <xf numFmtId="215" fontId="0" fillId="0" borderId="0" applyFont="0" applyFill="0" applyBorder="0" applyAlignment="0" applyProtection="0"/>
    <xf numFmtId="187" fontId="0" fillId="0" borderId="0" applyFont="0" applyFill="0" applyBorder="0" applyProtection="0">
      <alignment horizontal="right"/>
    </xf>
    <xf numFmtId="216" fontId="0" fillId="0" borderId="0" applyFont="0" applyFill="0" applyBorder="0" applyAlignment="0" applyProtection="0"/>
    <xf numFmtId="188" fontId="0" fillId="0" borderId="0" applyFont="0" applyFill="0" applyBorder="0" applyProtection="0">
      <alignment horizontal="right"/>
    </xf>
    <xf numFmtId="217" fontId="0" fillId="0" borderId="0" applyFont="0" applyFill="0" applyBorder="0" applyAlignment="0" applyProtection="0"/>
    <xf numFmtId="218" fontId="119" fillId="0" borderId="0"/>
    <xf numFmtId="219" fontId="119" fillId="0" borderId="0"/>
    <xf numFmtId="0" fontId="128" fillId="0" borderId="0" applyNumberFormat="0" applyFill="0" applyBorder="0" applyProtection="0">
      <alignment vertical="top"/>
    </xf>
    <xf numFmtId="0" fontId="128" fillId="0" borderId="0" applyNumberFormat="0" applyFill="0" applyBorder="0" applyAlignment="0" applyProtection="0">
      <alignment vertical="top"/>
    </xf>
    <xf numFmtId="0" fontId="129" fillId="0" borderId="61" applyNumberFormat="0" applyFill="0" applyAlignment="0" applyProtection="0"/>
    <xf numFmtId="0" fontId="129" fillId="0" borderId="62" applyNumberFormat="0" applyFill="0" applyAlignment="0" applyProtection="0"/>
    <xf numFmtId="0" fontId="130" fillId="0" borderId="63" applyNumberFormat="0" applyFill="0" applyProtection="0">
      <alignment horizontal="center"/>
    </xf>
    <xf numFmtId="0" fontId="0" fillId="0" borderId="64" applyNumberFormat="0" applyFont="0" applyFill="0" applyAlignment="0" applyProtection="0"/>
    <xf numFmtId="0" fontId="130" fillId="0" borderId="0" applyNumberFormat="0" applyFill="0" applyBorder="0" applyProtection="0">
      <alignment horizontal="left"/>
    </xf>
    <xf numFmtId="0" fontId="131" fillId="0" borderId="0" applyNumberFormat="0" applyFill="0" applyBorder="0" applyProtection="0">
      <alignment horizontal="centerContinuous"/>
    </xf>
    <xf numFmtId="0" fontId="131" fillId="0" borderId="0" applyNumberFormat="0" applyFill="0" applyProtection="0">
      <alignment horizontal="centerContinuous"/>
    </xf>
    <xf numFmtId="0" fontId="129" fillId="0" borderId="0" applyNumberFormat="0" applyFill="0" applyBorder="0" applyAlignment="0" applyProtection="0"/>
    <xf numFmtId="9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10" fontId="111" fillId="0" borderId="0" applyFont="0" applyFill="0" applyBorder="0" applyAlignment="0" applyProtection="0"/>
    <xf numFmtId="220" fontId="121" fillId="0" borderId="0" applyFont="0" applyFill="0" applyBorder="0" applyAlignment="0" applyProtection="0"/>
    <xf numFmtId="3" fontId="119" fillId="0" borderId="0"/>
    <xf numFmtId="221" fontId="63" fillId="0" borderId="0" applyBorder="0"/>
    <xf numFmtId="222" fontId="117" fillId="0" borderId="0" applyFont="0" applyFill="0" applyBorder="0" applyAlignment="0" applyProtection="0"/>
    <xf numFmtId="223" fontId="117" fillId="0" borderId="0" applyFont="0" applyFill="0" applyBorder="0" applyAlignment="0" applyProtection="0"/>
    <xf numFmtId="224" fontId="117" fillId="0" borderId="0" applyFont="0" applyFill="0" applyBorder="0" applyAlignment="0" applyProtection="0"/>
    <xf numFmtId="2" fontId="121" fillId="0" borderId="0" applyFont="0" applyFill="0" applyBorder="0" applyAlignment="0" applyProtection="0"/>
    <xf numFmtId="39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91" fontId="21" fillId="28" borderId="0" applyFont="0" applyBorder="0"/>
    <xf numFmtId="0" fontId="133" fillId="42" borderId="0"/>
    <xf numFmtId="191" fontId="21" fillId="43" borderId="0" applyNumberFormat="0" applyFont="0" applyBorder="0" applyAlignment="0" applyProtection="0"/>
    <xf numFmtId="191" fontId="132" fillId="33" borderId="0" applyNumberFormat="0" applyFont="0" applyBorder="0" applyAlignment="0" applyProtection="0"/>
    <xf numFmtId="191" fontId="134" fillId="44" borderId="0" applyBorder="0"/>
    <xf numFmtId="191" fontId="0" fillId="0" borderId="65" applyNumberFormat="0" applyBorder="0" applyAlignment="0" applyProtection="0"/>
    <xf numFmtId="225" fontId="135" fillId="0" borderId="0" applyBorder="0">
      <alignment horizontal="right"/>
    </xf>
    <xf numFmtId="225" fontId="134" fillId="0" borderId="65" applyBorder="0">
      <alignment horizontal="right"/>
    </xf>
    <xf numFmtId="184" fontId="136" fillId="0" borderId="0" applyBorder="0">
      <alignment horizontal="right"/>
    </xf>
    <xf numFmtId="184" fontId="137" fillId="0" borderId="65" applyBorder="0">
      <alignment horizontal="right"/>
    </xf>
    <xf numFmtId="191" fontId="138" fillId="0" borderId="0">
      <alignment horizontal="left" indent="1"/>
    </xf>
    <xf numFmtId="191" fontId="18" fillId="0" borderId="28" applyBorder="0"/>
    <xf numFmtId="191" fontId="21" fillId="22" borderId="65" applyNumberFormat="0" applyFont="0" applyBorder="0" applyAlignment="0" applyProtection="0"/>
    <xf numFmtId="225" fontId="91" fillId="19" borderId="28" applyBorder="0">
      <alignment horizontal="right"/>
    </xf>
    <xf numFmtId="225" fontId="91" fillId="0" borderId="28" applyBorder="0">
      <alignment horizontal="right"/>
    </xf>
    <xf numFmtId="191" fontId="63" fillId="0" borderId="65" applyNumberFormat="0" applyBorder="0" applyAlignment="0" applyProtection="0"/>
    <xf numFmtId="0" fontId="91" fillId="28" borderId="66" applyBorder="0">
      <alignment horizontal="center"/>
    </xf>
    <xf numFmtId="226" fontId="117" fillId="0" borderId="0" applyFont="0" applyFill="0" applyBorder="0" applyAlignment="0" applyProtection="0"/>
    <xf numFmtId="227" fontId="63" fillId="0" borderId="0" applyFont="0" applyFill="0" applyBorder="0" applyAlignment="0">
      <alignment vertical="center"/>
    </xf>
    <xf numFmtId="186" fontId="139" fillId="45" borderId="0" applyNumberFormat="0" applyFont="0" applyBorder="0" applyAlignment="0">
      <alignment horizontal="right"/>
    </xf>
    <xf numFmtId="228" fontId="140" fillId="45" borderId="30" applyFont="0">
      <alignment horizontal="right"/>
    </xf>
    <xf numFmtId="0" fontId="134" fillId="0" borderId="0" applyNumberFormat="0" applyFill="0" applyBorder="0" applyAlignment="0" applyProtection="0"/>
    <xf numFmtId="0" fontId="141" fillId="0" borderId="0"/>
    <xf numFmtId="2" fontId="142" fillId="0" borderId="0" applyNumberFormat="0" applyBorder="0" applyAlignment="0"/>
    <xf numFmtId="225" fontId="143" fillId="0" borderId="0"/>
    <xf numFmtId="0" fontId="126" fillId="0" borderId="30">
      <alignment horizontal="center" vertical="center"/>
    </xf>
    <xf numFmtId="229" fontId="117" fillId="0" borderId="0" applyFont="0" applyFill="0" applyBorder="0" applyAlignment="0" applyProtection="0"/>
    <xf numFmtId="0" fontId="144" fillId="0" borderId="67" applyNumberFormat="0" applyFill="0" applyBorder="0" applyAlignment="0" applyProtection="0"/>
    <xf numFmtId="0" fontId="145" fillId="0" borderId="67" applyNumberFormat="0" applyFill="0" applyBorder="0" applyAlignment="0" applyProtection="0"/>
    <xf numFmtId="0" fontId="146" fillId="0" borderId="67" applyNumberFormat="0" applyFill="0" applyBorder="0" applyAlignment="0" applyProtection="0"/>
    <xf numFmtId="0" fontId="134" fillId="0" borderId="67" applyNumberFormat="0" applyFill="0" applyAlignment="0" applyProtection="0"/>
    <xf numFmtId="177" fontId="135" fillId="0" borderId="0" applyNumberFormat="0" applyFill="0" applyBorder="0" applyAlignment="0" applyProtection="0"/>
    <xf numFmtId="191" fontId="147" fillId="0" borderId="0" applyNumberFormat="0" applyFill="0" applyBorder="0" applyAlignment="0" applyProtection="0"/>
    <xf numFmtId="10" fontId="148" fillId="0" borderId="0" applyNumberFormat="0" applyFill="0" applyBorder="0" applyAlignment="0" applyProtection="0">
      <alignment horizontal="right"/>
    </xf>
    <xf numFmtId="0" fontId="149" fillId="46" borderId="0" applyNumberFormat="0" applyBorder="0" applyAlignment="0" applyProtection="0"/>
    <xf numFmtId="230" fontId="119" fillId="15" borderId="50" applyNumberFormat="0" applyBorder="0" applyAlignment="0">
      <alignment horizontal="centerContinuous" vertical="center"/>
      <protection hidden="1"/>
    </xf>
    <xf numFmtId="1" fontId="0" fillId="47" borderId="27" applyNumberFormat="0" applyBorder="0" applyAlignment="0">
      <alignment horizontal="center" vertical="top" wrapText="1"/>
      <protection hidden="1"/>
    </xf>
    <xf numFmtId="0" fontId="15" fillId="42" borderId="68" applyNumberFormat="0" applyAlignment="0" applyProtection="0"/>
    <xf numFmtId="231" fontId="150" fillId="42" borderId="0" applyNumberFormat="0" applyBorder="0">
      <alignment horizontal="center" vertical="center"/>
    </xf>
    <xf numFmtId="0" fontId="0" fillId="0" borderId="0">
      <alignment horizontal="center"/>
    </xf>
    <xf numFmtId="0" fontId="151" fillId="0" borderId="0" applyNumberFormat="0" applyFill="0" applyBorder="0" applyAlignment="0"/>
    <xf numFmtId="0" fontId="0" fillId="0" borderId="33" applyNumberFormat="0" applyFill="0" applyBorder="0" applyAlignment="0"/>
    <xf numFmtId="232" fontId="152" fillId="0" borderId="0"/>
    <xf numFmtId="1" fontId="26" fillId="42" borderId="68">
      <alignment horizontal="center"/>
    </xf>
    <xf numFmtId="0" fontId="15" fillId="42" borderId="69">
      <alignment horizontal="center"/>
    </xf>
    <xf numFmtId="0" fontId="15" fillId="42" borderId="70" applyProtection="0">
      <alignment vertical="center"/>
    </xf>
    <xf numFmtId="0" fontId="153" fillId="0" borderId="0" applyNumberFormat="0" applyFill="0" applyBorder="0" applyAlignment="0" applyProtection="0"/>
    <xf numFmtId="177" fontId="154" fillId="0" borderId="29"/>
    <xf numFmtId="177" fontId="154" fillId="0" borderId="0" applyNumberFormat="0" applyAlignment="0">
      <alignment horizontal="left"/>
    </xf>
    <xf numFmtId="177" fontId="154" fillId="0" borderId="71"/>
    <xf numFmtId="233" fontId="63" fillId="0" borderId="68" applyNumberFormat="0" applyFont="0" applyFill="0" applyAlignment="0">
      <alignment vertical="center"/>
    </xf>
    <xf numFmtId="2" fontId="134" fillId="48" borderId="0" applyNumberFormat="0" applyFont="0" applyBorder="0" applyAlignment="0" applyProtection="0"/>
    <xf numFmtId="234" fontId="134" fillId="49" borderId="0" applyNumberFormat="0" applyFont="0" applyBorder="0" applyAlignment="0">
      <protection locked="0"/>
    </xf>
    <xf numFmtId="0" fontId="0" fillId="0" borderId="0" applyNumberFormat="0" applyFont="0" applyFill="0" applyBorder="0" applyProtection="0">
      <alignment horizontal="centerContinuous"/>
    </xf>
    <xf numFmtId="220" fontId="155" fillId="0" borderId="0"/>
    <xf numFmtId="235" fontId="0" fillId="0" borderId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234" fontId="158" fillId="0" borderId="0" applyNumberFormat="0" applyFill="0" applyBorder="0" applyProtection="0">
      <alignment horizontal="right"/>
    </xf>
    <xf numFmtId="0" fontId="122" fillId="0" borderId="0">
      <alignment horizontal="center" wrapText="1"/>
      <protection hidden="1"/>
    </xf>
    <xf numFmtId="220" fontId="145" fillId="0" borderId="0" applyBorder="0">
      <alignment horizontal="right"/>
    </xf>
    <xf numFmtId="220" fontId="145" fillId="0" borderId="47" applyAlignment="0">
      <alignment horizontal="right"/>
    </xf>
    <xf numFmtId="0" fontId="152" fillId="0" borderId="72"/>
    <xf numFmtId="38" fontId="159" fillId="0" borderId="0">
      <alignment horizontal="center"/>
      <protection locked="0"/>
    </xf>
    <xf numFmtId="0" fontId="160" fillId="0" borderId="0" applyFont="0" applyFill="0" applyBorder="0" applyAlignment="0" applyProtection="0">
      <alignment horizontal="right"/>
    </xf>
    <xf numFmtId="236" fontId="160" fillId="0" borderId="0" applyFont="0" applyFill="0" applyBorder="0" applyAlignment="0" applyProtection="0"/>
    <xf numFmtId="237" fontId="160" fillId="0" borderId="0" applyFont="0" applyFill="0" applyBorder="0" applyAlignment="0" applyProtection="0">
      <alignment horizontal="right"/>
    </xf>
    <xf numFmtId="238" fontId="160" fillId="0" borderId="0" applyFont="0" applyFill="0" applyBorder="0" applyAlignment="0" applyProtection="0">
      <alignment horizontal="right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38" fontId="161" fillId="0" borderId="0" applyFont="0" applyFill="0" applyBorder="0" applyAlignment="0" applyProtection="0"/>
    <xf numFmtId="191" fontId="161" fillId="0" borderId="0" applyFont="0" applyFill="0" applyBorder="0" applyAlignment="0" applyProtection="0"/>
    <xf numFmtId="39" fontId="161" fillId="0" borderId="0" applyFont="0" applyFill="0" applyBorder="0" applyAlignment="0" applyProtection="0"/>
    <xf numFmtId="0" fontId="162" fillId="50" borderId="0">
      <alignment horizontal="center" vertical="center" wrapText="1"/>
    </xf>
    <xf numFmtId="0" fontId="163" fillId="0" borderId="0" applyNumberFormat="0" applyFill="0" applyBorder="0">
      <alignment horizontal="right"/>
    </xf>
    <xf numFmtId="0" fontId="0" fillId="50" borderId="0">
      <alignment horizontal="center" vertical="center" wrapText="1"/>
    </xf>
    <xf numFmtId="38" fontId="164" fillId="0" borderId="0" applyNumberFormat="0" applyFill="0" applyBorder="0">
      <alignment vertical="center"/>
    </xf>
    <xf numFmtId="1" fontId="121" fillId="0" borderId="0" applyFont="0" applyFill="0" applyBorder="0" applyAlignment="0" applyProtection="0"/>
    <xf numFmtId="239" fontId="122" fillId="0" borderId="0" applyFill="0" applyBorder="0">
      <alignment horizontal="right"/>
      <protection locked="0"/>
    </xf>
    <xf numFmtId="240" fontId="165" fillId="0" borderId="73">
      <protection locked="0"/>
    </xf>
    <xf numFmtId="241" fontId="160" fillId="0" borderId="0" applyFont="0" applyFill="0" applyBorder="0" applyAlignment="0" applyProtection="0">
      <alignment horizontal="right"/>
    </xf>
    <xf numFmtId="242" fontId="160" fillId="0" borderId="0" applyFont="0" applyFill="0" applyBorder="0" applyAlignment="0" applyProtection="0">
      <alignment horizontal="right"/>
    </xf>
    <xf numFmtId="243" fontId="152" fillId="0" borderId="0" applyFill="0" applyBorder="0" applyAlignment="0" applyProtection="0"/>
    <xf numFmtId="244" fontId="134" fillId="0" borderId="0" applyFont="0" applyFill="0" applyBorder="0" applyAlignment="0" applyProtection="0"/>
    <xf numFmtId="245" fontId="134" fillId="0" borderId="0" applyFont="0" applyFill="0" applyBorder="0" applyAlignment="0" applyProtection="0"/>
    <xf numFmtId="0" fontId="122" fillId="0" borderId="0" applyFont="0" applyFill="0" applyBorder="0" applyAlignment="0">
      <protection locked="0"/>
    </xf>
    <xf numFmtId="0" fontId="166" fillId="0" borderId="0"/>
    <xf numFmtId="0" fontId="167" fillId="0" borderId="0" applyNumberFormat="0" applyAlignment="0"/>
    <xf numFmtId="14" fontId="152" fillId="0" borderId="0"/>
    <xf numFmtId="246" fontId="160" fillId="0" borderId="0" applyFont="0" applyFill="0" applyBorder="0" applyAlignment="0" applyProtection="0"/>
    <xf numFmtId="14" fontId="168" fillId="0" borderId="0" applyFont="0" applyFill="0" applyBorder="0" applyAlignment="0" applyProtection="0">
      <alignment horizontal="center"/>
    </xf>
    <xf numFmtId="191" fontId="123" fillId="0" borderId="74" applyFont="0" applyFill="0" applyBorder="0" applyProtection="0">
      <alignment horizontal="right"/>
    </xf>
    <xf numFmtId="247" fontId="0" fillId="0" borderId="0"/>
    <xf numFmtId="248" fontId="133" fillId="0" borderId="0" applyFont="0" applyFill="0" applyBorder="0" applyAlignment="0" applyProtection="0">
      <alignment horizontal="right"/>
    </xf>
    <xf numFmtId="220" fontId="126" fillId="0" borderId="0" applyBorder="0"/>
    <xf numFmtId="220" fontId="126" fillId="0" borderId="27"/>
    <xf numFmtId="2" fontId="0" fillId="0" borderId="0" applyFont="0" applyFill="0" applyBorder="0" applyAlignment="0" applyProtection="0"/>
    <xf numFmtId="0" fontId="160" fillId="0" borderId="75" applyNumberFormat="0" applyFont="0" applyFill="0" applyAlignment="0" applyProtection="0"/>
    <xf numFmtId="0" fontId="169" fillId="0" borderId="28" applyNumberFormat="0" applyBorder="0"/>
    <xf numFmtId="0" fontId="123" fillId="0" borderId="0"/>
    <xf numFmtId="219" fontId="170" fillId="44" borderId="0">
      <alignment horizontal="right"/>
    </xf>
    <xf numFmtId="0" fontId="142" fillId="0" borderId="0" applyNumberFormat="0" applyAlignment="0"/>
    <xf numFmtId="0" fontId="171" fillId="0" borderId="0"/>
    <xf numFmtId="0" fontId="172" fillId="51" borderId="76" applyNumberFormat="0" applyFont="0" applyAlignment="0">
      <protection locked="0"/>
    </xf>
    <xf numFmtId="249" fontId="63" fillId="0" borderId="0" applyFont="0" applyFill="0" applyBorder="0" applyAlignment="0">
      <alignment vertical="center"/>
    </xf>
    <xf numFmtId="250" fontId="134" fillId="52" borderId="28" applyNumberFormat="0" applyFont="0" applyBorder="0" applyAlignment="0" applyProtection="0">
      <alignment horizontal="right"/>
    </xf>
    <xf numFmtId="1" fontId="0" fillId="53" borderId="34" applyNumberFormat="0" applyBorder="0" applyAlignment="0">
      <alignment horizontal="centerContinuous" vertical="center"/>
      <protection locked="0"/>
    </xf>
    <xf numFmtId="40" fontId="0" fillId="0" borderId="0" applyNumberFormat="0">
      <alignment horizontal="right"/>
    </xf>
    <xf numFmtId="251" fontId="126" fillId="0" borderId="0" applyFont="0" applyFill="0" applyBorder="0" applyAlignment="0" applyProtection="0">
      <alignment horizontal="right"/>
    </xf>
    <xf numFmtId="184" fontId="173" fillId="0" borderId="0" applyNumberFormat="0" applyFont="0" applyAlignment="0">
      <alignment vertical="center"/>
    </xf>
    <xf numFmtId="38" fontId="134" fillId="0" borderId="0" applyFont="0" applyFill="0" applyBorder="0" applyAlignment="0" applyProtection="0">
      <alignment horizontal="center"/>
    </xf>
    <xf numFmtId="252" fontId="134" fillId="0" borderId="0" applyFont="0" applyFill="0" applyBorder="0" applyAlignment="0"/>
    <xf numFmtId="253" fontId="126" fillId="0" borderId="0">
      <alignment horizontal="left"/>
    </xf>
    <xf numFmtId="0" fontId="174" fillId="0" borderId="0" applyNumberFormat="0" applyFill="0" applyBorder="0" applyAlignment="0" applyProtection="0"/>
    <xf numFmtId="1" fontId="134" fillId="0" borderId="0" applyNumberFormat="0" applyBorder="0" applyAlignment="0" applyProtection="0"/>
    <xf numFmtId="254" fontId="145" fillId="0" borderId="0" applyBorder="0" applyProtection="0"/>
    <xf numFmtId="255" fontId="134" fillId="0" borderId="77" applyNumberFormat="0" applyFont="0" applyFill="0" applyAlignment="0" applyProtection="0">
      <alignment vertical="center" wrapText="1"/>
    </xf>
    <xf numFmtId="256" fontId="175" fillId="0" borderId="0">
      <alignment vertical="center"/>
    </xf>
    <xf numFmtId="231" fontId="145" fillId="28" borderId="0" applyNumberFormat="0" applyBorder="0">
      <alignment horizontal="center" vertical="center"/>
    </xf>
    <xf numFmtId="257" fontId="152" fillId="0" borderId="0"/>
    <xf numFmtId="0" fontId="0" fillId="0" borderId="0" applyNumberFormat="0" applyFill="0" applyBorder="0" applyAlignment="0" applyProtection="0"/>
    <xf numFmtId="0" fontId="176" fillId="54" borderId="0" applyNumberFormat="0" applyBorder="0" applyAlignment="0" applyProtection="0"/>
    <xf numFmtId="258" fontId="0" fillId="0" borderId="0"/>
    <xf numFmtId="1" fontId="21" fillId="28" borderId="68">
      <alignment horizontal="center" vertical="center"/>
    </xf>
    <xf numFmtId="0" fontId="0" fillId="0" borderId="0" applyNumberFormat="0" applyFont="0" applyBorder="0" applyAlignment="0"/>
    <xf numFmtId="49" fontId="174" fillId="0" borderId="0">
      <alignment horizontal="right"/>
    </xf>
    <xf numFmtId="49" fontId="177" fillId="0" borderId="0">
      <alignment horizontal="right"/>
    </xf>
    <xf numFmtId="49" fontId="0" fillId="0" borderId="0">
      <alignment horizontal="right"/>
    </xf>
    <xf numFmtId="256" fontId="178" fillId="0" borderId="0">
      <alignment vertical="center"/>
    </xf>
    <xf numFmtId="259" fontId="145" fillId="35" borderId="31" applyNumberFormat="0" applyFont="0" applyAlignment="0"/>
    <xf numFmtId="260" fontId="160" fillId="0" borderId="0" applyFont="0" applyFill="0" applyBorder="0" applyAlignment="0" applyProtection="0">
      <alignment horizontal="right"/>
    </xf>
    <xf numFmtId="255" fontId="134" fillId="35" borderId="0" applyNumberFormat="0" applyFont="0" applyBorder="0" applyAlignment="0" applyProtection="0">
      <alignment vertical="center" wrapText="1"/>
    </xf>
    <xf numFmtId="0" fontId="179" fillId="0" borderId="0" applyProtection="0">
      <alignment horizontal="right"/>
    </xf>
    <xf numFmtId="0" fontId="1" fillId="0" borderId="53" applyNumberFormat="0" applyAlignment="0" applyProtection="0">
      <alignment horizontal="left" vertical="center"/>
    </xf>
    <xf numFmtId="0" fontId="1" fillId="0" borderId="30">
      <alignment horizontal="left" vertical="center"/>
    </xf>
    <xf numFmtId="0" fontId="180" fillId="0" borderId="0" applyNumberFormat="0" applyFill="0" applyBorder="0" applyProtection="0"/>
    <xf numFmtId="0" fontId="181" fillId="0" borderId="0"/>
    <xf numFmtId="0" fontId="1" fillId="0" borderId="0"/>
    <xf numFmtId="0" fontId="0" fillId="0" borderId="0" applyNumberFormat="0" applyFont="0" applyFill="0" applyBorder="0" applyAlignment="0">
      <alignment horizontal="left"/>
    </xf>
    <xf numFmtId="0" fontId="182" fillId="0" borderId="0" applyNumberFormat="0" applyFill="0" applyBorder="0" applyAlignment="0" applyProtection="0">
      <alignment vertical="top"/>
      <protection locked="0"/>
    </xf>
    <xf numFmtId="38" fontId="0" fillId="0" borderId="0"/>
    <xf numFmtId="184" fontId="0" fillId="0" borderId="0"/>
    <xf numFmtId="0" fontId="122" fillId="55" borderId="0" applyNumberFormat="0" applyFont="0" applyBorder="0" applyAlignment="0" applyProtection="0"/>
    <xf numFmtId="0" fontId="183" fillId="0" borderId="0" applyNumberFormat="0" applyFill="0" applyBorder="0" applyAlignment="0">
      <protection locked="0"/>
    </xf>
    <xf numFmtId="261" fontId="117" fillId="0" borderId="0" applyFill="0" applyBorder="0" applyAlignment="0">
      <protection locked="0"/>
    </xf>
    <xf numFmtId="0" fontId="122" fillId="0" borderId="0" applyFill="0" applyBorder="0">
      <alignment horizontal="right"/>
      <protection locked="0"/>
    </xf>
    <xf numFmtId="0" fontId="184" fillId="0" borderId="0" applyNumberFormat="0" applyFill="0" applyBorder="0" applyAlignment="0" applyProtection="0">
      <alignment horizontal="right"/>
    </xf>
    <xf numFmtId="218" fontId="122" fillId="0" borderId="0" applyFill="0" applyBorder="0">
      <alignment horizontal="right"/>
      <protection locked="0"/>
    </xf>
    <xf numFmtId="262" fontId="0" fillId="0" borderId="0" applyNumberFormat="0" applyFill="0" applyBorder="0" applyAlignment="0" applyProtection="0"/>
    <xf numFmtId="0" fontId="125" fillId="30" borderId="78">
      <alignment horizontal="left" vertical="center" wrapText="1"/>
    </xf>
    <xf numFmtId="225" fontId="185" fillId="0" borderId="79">
      <alignment vertical="center"/>
    </xf>
    <xf numFmtId="263" fontId="0" fillId="0" borderId="0" applyFont="0" applyFill="0" applyBorder="0" applyAlignment="0" applyProtection="0"/>
    <xf numFmtId="255" fontId="134" fillId="20" borderId="0" applyNumberFormat="0" applyFont="0" applyBorder="0" applyAlignment="0" applyProtection="0">
      <alignment vertical="center" wrapText="1"/>
    </xf>
    <xf numFmtId="255" fontId="134" fillId="0" borderId="29" applyNumberFormat="0" applyFont="0" applyFill="0" applyAlignment="0" applyProtection="0">
      <alignment vertical="center" wrapText="1"/>
    </xf>
    <xf numFmtId="1" fontId="134" fillId="0" borderId="29" applyNumberFormat="0" applyFont="0" applyFill="0" applyAlignment="0" applyProtection="0">
      <alignment horizontal="center"/>
    </xf>
    <xf numFmtId="38" fontId="134" fillId="0" borderId="80" applyNumberFormat="0" applyFont="0" applyFill="0" applyAlignment="0" applyProtection="0"/>
    <xf numFmtId="3" fontId="186" fillId="0" borderId="0"/>
    <xf numFmtId="186" fontId="0" fillId="0" borderId="0" applyFont="0" applyFill="0" applyBorder="0" applyAlignment="0" applyProtection="0"/>
    <xf numFmtId="0" fontId="0" fillId="28" borderId="0"/>
    <xf numFmtId="264" fontId="63" fillId="0" borderId="0" applyFont="0" applyFill="0" applyBorder="0" applyAlignment="0">
      <alignment vertical="center"/>
    </xf>
    <xf numFmtId="265" fontId="152" fillId="0" borderId="0"/>
    <xf numFmtId="0" fontId="187" fillId="0" borderId="0" applyNumberFormat="0" applyAlignment="0"/>
    <xf numFmtId="177" fontId="188" fillId="0" borderId="71" applyNumberFormat="0" applyAlignment="0">
      <alignment horizontal="left"/>
    </xf>
    <xf numFmtId="9" fontId="188" fillId="0" borderId="81"/>
    <xf numFmtId="177" fontId="188" fillId="0" borderId="81" applyAlignment="0">
      <alignment horizontal="left"/>
    </xf>
    <xf numFmtId="0" fontId="94" fillId="0" borderId="0"/>
    <xf numFmtId="266" fontId="0" fillId="0" borderId="0"/>
    <xf numFmtId="38" fontId="189" fillId="0" borderId="0" applyNumberFormat="0" applyFill="0" applyBorder="0">
      <alignment horizontal="left" vertical="center"/>
    </xf>
    <xf numFmtId="40" fontId="122" fillId="0" borderId="0" applyFont="0" applyFill="0" applyBorder="0" applyAlignment="0" applyProtection="0"/>
    <xf numFmtId="267" fontId="121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34" fillId="0" borderId="0" applyFont="0" applyFill="0" applyBorder="0" applyAlignment="0" applyProtection="0"/>
    <xf numFmtId="184" fontId="190" fillId="0" borderId="0" applyFill="0" applyBorder="0">
      <alignment vertical="center"/>
    </xf>
    <xf numFmtId="268" fontId="117" fillId="0" borderId="0" applyFont="0" applyFill="0" applyBorder="0" applyAlignment="0" applyProtection="0"/>
    <xf numFmtId="269" fontId="134" fillId="0" borderId="0" applyFont="0" applyFill="0" applyBorder="0" applyAlignment="0" applyProtection="0"/>
    <xf numFmtId="270" fontId="0" fillId="0" borderId="0" applyFont="0" applyFill="0" applyBorder="0" applyAlignment="0" applyProtection="0"/>
    <xf numFmtId="0" fontId="167" fillId="56" borderId="0"/>
    <xf numFmtId="0" fontId="191" fillId="0" borderId="0" applyNumberFormat="0">
      <alignment horizontal="right"/>
    </xf>
    <xf numFmtId="271" fontId="0" fillId="0" borderId="0" applyFont="0" applyFill="0" applyBorder="0" applyAlignment="0" applyProtection="0"/>
    <xf numFmtId="272" fontId="0" fillId="0" borderId="34" applyFont="0" applyFill="0" applyBorder="0" applyAlignment="0" applyProtection="0">
      <alignment horizontal="center" vertical="center"/>
    </xf>
    <xf numFmtId="273" fontId="134" fillId="0" borderId="0" applyFont="0" applyFill="0" applyBorder="0" applyAlignment="0" applyProtection="0">
      <alignment vertical="center"/>
    </xf>
    <xf numFmtId="274" fontId="0" fillId="0" borderId="0" applyFill="0" applyBorder="0"/>
    <xf numFmtId="0" fontId="192" fillId="57" borderId="0" applyNumberFormat="0" applyBorder="0" applyAlignment="0" applyProtection="0"/>
    <xf numFmtId="37" fontId="0" fillId="0" borderId="0"/>
    <xf numFmtId="37" fontId="116" fillId="0" borderId="0"/>
    <xf numFmtId="37" fontId="193" fillId="0" borderId="0"/>
    <xf numFmtId="37" fontId="123" fillId="0" borderId="0" applyFont="0" applyFill="0" applyBorder="0" applyProtection="0">
      <alignment horizontal="right"/>
    </xf>
    <xf numFmtId="275" fontId="0" fillId="0" borderId="0"/>
    <xf numFmtId="0" fontId="0" fillId="0" borderId="0"/>
    <xf numFmtId="37" fontId="126" fillId="0" borderId="0" applyAlignment="0"/>
    <xf numFmtId="0" fontId="194" fillId="0" borderId="0"/>
    <xf numFmtId="0" fontId="9" fillId="0" borderId="0"/>
    <xf numFmtId="0" fontId="0" fillId="0" borderId="0"/>
    <xf numFmtId="0" fontId="126" fillId="0" borderId="0"/>
    <xf numFmtId="0" fontId="195" fillId="0" borderId="0"/>
    <xf numFmtId="37" fontId="172" fillId="0" borderId="0" applyNumberFormat="0" applyFill="0" applyAlignment="0"/>
    <xf numFmtId="2" fontId="122" fillId="0" borderId="0" applyBorder="0" applyProtection="0"/>
    <xf numFmtId="38" fontId="152" fillId="0" borderId="0"/>
    <xf numFmtId="0" fontId="0" fillId="0" borderId="0" applyFill="0"/>
    <xf numFmtId="0" fontId="0" fillId="0" borderId="0"/>
    <xf numFmtId="0" fontId="0" fillId="0" borderId="0"/>
    <xf numFmtId="0" fontId="0" fillId="0" borderId="0"/>
    <xf numFmtId="0" fontId="111" fillId="0" borderId="0"/>
    <xf numFmtId="219" fontId="152" fillId="0" borderId="0"/>
    <xf numFmtId="0" fontId="0" fillId="0" borderId="0"/>
    <xf numFmtId="0" fontId="0" fillId="0" borderId="0"/>
    <xf numFmtId="0" fontId="196" fillId="0" borderId="0"/>
    <xf numFmtId="0" fontId="197" fillId="0" borderId="0"/>
    <xf numFmtId="0" fontId="198" fillId="0" borderId="33"/>
    <xf numFmtId="229" fontId="199" fillId="0" borderId="0">
      <alignment horizontal="right"/>
    </xf>
    <xf numFmtId="2" fontId="134" fillId="35" borderId="0"/>
    <xf numFmtId="276" fontId="0" fillId="0" borderId="0"/>
    <xf numFmtId="0" fontId="145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277" fontId="200" fillId="0" borderId="0" applyFont="0" applyFill="0" applyBorder="0" applyAlignment="0" applyProtection="0"/>
    <xf numFmtId="0" fontId="201" fillId="0" borderId="0"/>
    <xf numFmtId="0" fontId="202" fillId="0" borderId="0">
      <alignment horizontal="left" vertical="top"/>
      <protection locked="0"/>
    </xf>
    <xf numFmtId="0" fontId="203" fillId="58" borderId="82" applyNumberFormat="0" applyAlignment="0" applyProtection="0"/>
    <xf numFmtId="278" fontId="63" fillId="0" borderId="0" applyFont="0" applyFill="0" applyBorder="0" applyAlignment="0">
      <alignment vertical="center"/>
    </xf>
    <xf numFmtId="279" fontId="0" fillId="0" borderId="0" applyFill="0">
      <alignment horizontal="center" vertical="center"/>
    </xf>
    <xf numFmtId="0" fontId="204" fillId="0" borderId="0" applyNumberFormat="0" applyFill="0" applyBorder="0">
      <alignment horizontal="left"/>
    </xf>
    <xf numFmtId="1" fontId="205" fillId="0" borderId="0" applyProtection="0">
      <alignment horizontal="right" vertical="center"/>
    </xf>
    <xf numFmtId="10" fontId="123" fillId="0" borderId="0" applyFont="0" applyFill="0" applyBorder="0" applyProtection="0">
      <alignment horizontal="right"/>
    </xf>
    <xf numFmtId="9" fontId="1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3" fillId="0" borderId="0" applyFont="0" applyFill="0" applyBorder="0" applyAlignment="0" applyProtection="0"/>
    <xf numFmtId="280" fontId="0" fillId="0" borderId="0" applyFont="0" applyFill="0" applyBorder="0" applyAlignment="0" applyProtection="0"/>
    <xf numFmtId="281" fontId="152" fillId="0" borderId="0" applyFill="0" applyBorder="0" applyAlignment="0" applyProtection="0"/>
    <xf numFmtId="282" fontId="117" fillId="0" borderId="0" applyFont="0" applyFill="0" applyBorder="0" applyAlignment="0" applyProtection="0"/>
    <xf numFmtId="283" fontId="117" fillId="0" borderId="0" applyFont="0" applyFill="0" applyBorder="0" applyAlignment="0" applyProtection="0"/>
    <xf numFmtId="9" fontId="63" fillId="0" borderId="51"/>
    <xf numFmtId="284" fontId="122" fillId="0" borderId="0" applyFill="0" applyBorder="0">
      <alignment horizontal="right"/>
      <protection locked="0"/>
    </xf>
    <xf numFmtId="285" fontId="117" fillId="0" borderId="0" applyFont="0" applyFill="0" applyBorder="0" applyAlignment="0" applyProtection="0">
      <protection locked="0"/>
    </xf>
    <xf numFmtId="286" fontId="117" fillId="0" borderId="0" applyFont="0" applyFill="0" applyBorder="0" applyAlignment="0" applyProtection="0"/>
    <xf numFmtId="287" fontId="117" fillId="0" borderId="0" applyFont="0" applyFill="0" applyBorder="0" applyAlignment="0" applyProtection="0"/>
    <xf numFmtId="288" fontId="117" fillId="0" borderId="0" applyFont="0" applyFill="0" applyBorder="0" applyAlignment="0" applyProtection="0"/>
    <xf numFmtId="0" fontId="206" fillId="0" borderId="0"/>
    <xf numFmtId="240" fontId="152" fillId="0" borderId="0"/>
    <xf numFmtId="255" fontId="134" fillId="0" borderId="74" applyNumberFormat="0" applyFont="0" applyFill="0" applyAlignment="0" applyProtection="0">
      <alignment vertical="center" wrapText="1"/>
    </xf>
    <xf numFmtId="184" fontId="121" fillId="0" borderId="0" applyFont="0" applyFill="0" applyBorder="0" applyAlignment="0" applyProtection="0"/>
    <xf numFmtId="9" fontId="122" fillId="0" borderId="0" applyFont="0" applyFill="0" applyBorder="0" applyAlignment="0" applyProtection="0"/>
    <xf numFmtId="0" fontId="172" fillId="0" borderId="0" applyFill="0" applyBorder="0" applyAlignment="0" applyProtection="0"/>
    <xf numFmtId="0" fontId="207" fillId="0" borderId="0"/>
    <xf numFmtId="38" fontId="208" fillId="0" borderId="0"/>
    <xf numFmtId="0" fontId="209" fillId="0" borderId="0" applyNumberFormat="0" applyAlignment="0"/>
    <xf numFmtId="230" fontId="119" fillId="28" borderId="0" applyBorder="0" applyAlignment="0">
      <protection hidden="1"/>
    </xf>
    <xf numFmtId="1" fontId="0" fillId="28" borderId="0">
      <alignment horizontal="center"/>
    </xf>
    <xf numFmtId="225" fontId="0" fillId="0" borderId="0" applyFill="0" applyBorder="0" applyAlignment="0" applyProtection="0"/>
    <xf numFmtId="3" fontId="172" fillId="0" borderId="0">
      <alignment horizontal="left"/>
    </xf>
    <xf numFmtId="0" fontId="210" fillId="0" borderId="0"/>
    <xf numFmtId="0" fontId="133" fillId="0" borderId="0"/>
    <xf numFmtId="289" fontId="122" fillId="0" borderId="0" applyFill="0" applyBorder="0">
      <alignment horizontal="right"/>
      <protection locked="0"/>
    </xf>
    <xf numFmtId="290" fontId="122" fillId="0" borderId="0">
      <alignment horizontal="right"/>
      <protection locked="0"/>
    </xf>
    <xf numFmtId="39" fontId="211" fillId="0" borderId="0" applyNumberFormat="0">
      <alignment horizontal="right"/>
    </xf>
    <xf numFmtId="291" fontId="152" fillId="0" borderId="0"/>
    <xf numFmtId="49" fontId="63" fillId="0" borderId="0">
      <alignment horizontal="right"/>
    </xf>
    <xf numFmtId="0" fontId="0" fillId="0" borderId="32" applyBorder="0">
      <alignment horizontal="right"/>
    </xf>
    <xf numFmtId="191" fontId="101" fillId="0" borderId="53" applyNumberFormat="0" applyAlignment="0" applyProtection="0">
      <alignment horizontal="right" vertical="center"/>
    </xf>
    <xf numFmtId="220" fontId="122" fillId="18" borderId="49" applyNumberFormat="0" applyFont="0" applyBorder="0" applyAlignment="0" applyProtection="0">
      <alignment horizontal="center"/>
    </xf>
    <xf numFmtId="0" fontId="212" fillId="0" borderId="0" applyNumberFormat="0" applyAlignment="0" applyProtection="0"/>
    <xf numFmtId="37" fontId="111" fillId="59" borderId="0">
      <alignment horizontal="right"/>
    </xf>
    <xf numFmtId="292" fontId="213" fillId="0" borderId="0" applyFill="0" applyBorder="0">
      <alignment horizontal="right"/>
      <protection hidden="1"/>
    </xf>
    <xf numFmtId="0" fontId="214" fillId="0" borderId="0" applyFill="0"/>
    <xf numFmtId="0" fontId="215" fillId="50" borderId="31">
      <alignment horizontal="center" vertical="center" wrapText="1"/>
      <protection hidden="1"/>
    </xf>
    <xf numFmtId="0" fontId="214" fillId="0" borderId="0"/>
    <xf numFmtId="0" fontId="126" fillId="0" borderId="29">
      <alignment horizontal="center" vertical="center"/>
    </xf>
    <xf numFmtId="0" fontId="0" fillId="0" borderId="31">
      <protection locked="0"/>
    </xf>
    <xf numFmtId="1" fontId="207" fillId="60" borderId="0" applyNumberFormat="0" applyFont="0" applyBorder="0" applyAlignment="0">
      <alignment horizontal="left"/>
    </xf>
    <xf numFmtId="0" fontId="216" fillId="61" borderId="0" applyNumberFormat="0" applyFont="0" applyBorder="0" applyAlignment="0"/>
    <xf numFmtId="225" fontId="126" fillId="0" borderId="29" applyFont="0" applyFill="0" applyBorder="0" applyAlignment="0" applyProtection="0">
      <alignment horizontal="right"/>
    </xf>
    <xf numFmtId="2" fontId="217" fillId="0" borderId="0"/>
    <xf numFmtId="1" fontId="0" fillId="0" borderId="0"/>
    <xf numFmtId="1" fontId="0" fillId="0" borderId="0" applyNumberFormat="0" applyFill="0" applyBorder="0" applyAlignment="0" applyProtection="0">
      <alignment horizontal="center"/>
    </xf>
    <xf numFmtId="1" fontId="218" fillId="0" borderId="0" applyNumberFormat="0" applyFill="0" applyBorder="0" applyAlignment="0" applyProtection="0">
      <alignment horizontal="center"/>
    </xf>
    <xf numFmtId="282" fontId="117" fillId="0" borderId="0" applyNumberFormat="0" applyFill="0" applyBorder="0" applyAlignment="0" applyProtection="0">
      <alignment horizontal="left"/>
    </xf>
    <xf numFmtId="293" fontId="0" fillId="0" borderId="0" applyFont="0" applyFill="0" applyBorder="0" applyAlignment="0" applyProtection="0"/>
    <xf numFmtId="0" fontId="219" fillId="0" borderId="29"/>
    <xf numFmtId="3" fontId="134" fillId="0" borderId="0"/>
    <xf numFmtId="191" fontId="132" fillId="0" borderId="0" applyFill="0" applyBorder="0" applyProtection="0">
      <alignment horizontal="right"/>
    </xf>
    <xf numFmtId="0" fontId="220" fillId="0" borderId="0"/>
    <xf numFmtId="294" fontId="122" fillId="0" borderId="0">
      <protection locked="0"/>
    </xf>
    <xf numFmtId="191" fontId="126" fillId="16" borderId="0"/>
    <xf numFmtId="0" fontId="221" fillId="0" borderId="0"/>
    <xf numFmtId="0" fontId="0" fillId="0" borderId="0">
      <alignment vertical="top"/>
    </xf>
    <xf numFmtId="295" fontId="222" fillId="0" borderId="0" applyNumberFormat="0" applyFill="0" applyBorder="0" applyAlignment="0" applyProtection="0">
      <alignment horizontal="right" vertical="center" wrapText="1"/>
    </xf>
    <xf numFmtId="0" fontId="223" fillId="0" borderId="0" applyNumberFormat="0" applyFill="0" applyBorder="0" applyAlignment="0" applyProtection="0"/>
    <xf numFmtId="0" fontId="224" fillId="0" borderId="0" applyNumberFormat="0" applyFill="0" applyBorder="0" applyAlignment="0" applyProtection="0">
      <protection locked="0"/>
    </xf>
    <xf numFmtId="0" fontId="225" fillId="0" borderId="28" applyNumberFormat="0" applyFill="0" applyProtection="0">
      <alignment horizontal="right"/>
    </xf>
    <xf numFmtId="191" fontId="122" fillId="28" borderId="30" applyAlignment="0"/>
    <xf numFmtId="296" fontId="189" fillId="0" borderId="83" applyFill="0">
      <alignment vertical="center"/>
    </xf>
    <xf numFmtId="297" fontId="134" fillId="0" borderId="0"/>
    <xf numFmtId="298" fontId="226" fillId="0" borderId="0"/>
    <xf numFmtId="0" fontId="227" fillId="0" borderId="67" applyNumberFormat="0" applyFill="0" applyBorder="0" applyAlignment="0" applyProtection="0"/>
    <xf numFmtId="39" fontId="17" fillId="0" borderId="30" applyNumberFormat="0" applyBorder="0">
      <alignment horizontal="right"/>
    </xf>
    <xf numFmtId="0" fontId="228" fillId="59" borderId="84" applyNumberFormat="0" applyBorder="0" applyAlignment="0"/>
    <xf numFmtId="0" fontId="0" fillId="0" borderId="85" applyAlignment="0"/>
    <xf numFmtId="0" fontId="225" fillId="0" borderId="86" applyNumberFormat="0" applyProtection="0">
      <alignment horizontal="right"/>
    </xf>
    <xf numFmtId="0" fontId="229" fillId="0" borderId="29" applyNumberFormat="0" applyFill="0" applyProtection="0"/>
    <xf numFmtId="0" fontId="230" fillId="0" borderId="29" applyBorder="0" applyProtection="0">
      <alignment horizontal="right" vertical="center"/>
    </xf>
    <xf numFmtId="0" fontId="231" fillId="62" borderId="0" applyBorder="0" applyProtection="0">
      <alignment horizontal="centerContinuous" vertical="center"/>
    </xf>
    <xf numFmtId="0" fontId="231" fillId="56" borderId="29" applyBorder="0" applyProtection="0">
      <alignment horizontal="centerContinuous" vertical="center"/>
    </xf>
    <xf numFmtId="3" fontId="91" fillId="0" borderId="0" applyNumberFormat="0"/>
    <xf numFmtId="0" fontId="232" fillId="0" borderId="0">
      <alignment vertical="center"/>
    </xf>
    <xf numFmtId="0" fontId="175" fillId="0" borderId="0">
      <alignment vertical="center"/>
    </xf>
    <xf numFmtId="0" fontId="178" fillId="0" borderId="0">
      <alignment vertical="center"/>
    </xf>
    <xf numFmtId="0" fontId="233" fillId="0" borderId="0" applyFill="0" applyBorder="0" applyProtection="0">
      <alignment horizontal="left"/>
    </xf>
    <xf numFmtId="0" fontId="234" fillId="0" borderId="27" applyFill="0" applyBorder="0" applyProtection="0">
      <alignment horizontal="left" vertical="top"/>
    </xf>
    <xf numFmtId="0" fontId="235" fillId="0" borderId="0">
      <alignment horizontal="left"/>
    </xf>
    <xf numFmtId="0" fontId="236" fillId="0" borderId="0"/>
    <xf numFmtId="299" fontId="117" fillId="0" borderId="0" applyFont="0" applyFill="0" applyBorder="0" applyAlignment="0" applyProtection="0">
      <alignment horizontal="center"/>
    </xf>
    <xf numFmtId="300" fontId="117" fillId="0" borderId="0" applyFont="0" applyFill="0" applyBorder="0" applyAlignment="0" applyProtection="0"/>
    <xf numFmtId="301" fontId="117" fillId="0" borderId="0" applyFont="0" applyFill="0" applyBorder="0" applyAlignment="0" applyProtection="0">
      <alignment horizontal="center"/>
    </xf>
    <xf numFmtId="302" fontId="117" fillId="0" borderId="0" applyFont="0" applyFill="0" applyBorder="0" applyAlignment="0" applyProtection="0">
      <alignment horizontal="center"/>
    </xf>
    <xf numFmtId="303" fontId="145" fillId="0" borderId="0" applyBorder="0" applyProtection="0">
      <alignment horizontal="right"/>
    </xf>
    <xf numFmtId="14" fontId="0" fillId="0" borderId="0" applyFill="0" applyBorder="0">
      <alignment vertical="center"/>
    </xf>
    <xf numFmtId="304" fontId="0" fillId="0" borderId="0"/>
    <xf numFmtId="0" fontId="237" fillId="0" borderId="0"/>
    <xf numFmtId="0" fontId="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3" fontId="238" fillId="0" borderId="0"/>
    <xf numFmtId="38" fontId="239" fillId="0" borderId="0" applyNumberFormat="0" applyFill="0" applyBorder="0">
      <alignment horizontal="left" vertical="center"/>
    </xf>
    <xf numFmtId="38" fontId="240" fillId="0" borderId="0" applyNumberFormat="0" applyFill="0" applyBorder="0">
      <alignment horizontal="centerContinuous" vertical="center"/>
    </xf>
    <xf numFmtId="0" fontId="122" fillId="0" borderId="0" applyBorder="0"/>
    <xf numFmtId="0" fontId="24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42" fillId="0" borderId="0"/>
    <xf numFmtId="177" fontId="154" fillId="0" borderId="71" applyAlignment="0">
      <alignment horizontal="left"/>
    </xf>
    <xf numFmtId="0" fontId="91" fillId="0" borderId="30">
      <alignment horizontal="right" wrapText="1"/>
    </xf>
    <xf numFmtId="191" fontId="0" fillId="0" borderId="28" applyNumberFormat="0" applyFont="0" applyFill="0" applyAlignment="0"/>
    <xf numFmtId="3" fontId="91" fillId="0" borderId="29" applyNumberFormat="0"/>
    <xf numFmtId="230" fontId="119" fillId="0" borderId="86"/>
    <xf numFmtId="305" fontId="134" fillId="0" borderId="0" applyBorder="0" applyProtection="0">
      <alignment horizontal="right"/>
    </xf>
    <xf numFmtId="40" fontId="152" fillId="0" borderId="0"/>
    <xf numFmtId="0" fontId="0" fillId="63" borderId="0"/>
    <xf numFmtId="0" fontId="243" fillId="0" borderId="0" applyFill="0"/>
    <xf numFmtId="219" fontId="244" fillId="0" borderId="0"/>
    <xf numFmtId="38" fontId="244" fillId="0" borderId="0"/>
    <xf numFmtId="0" fontId="245" fillId="0" borderId="0" applyNumberFormat="0" applyFill="0" applyBorder="0" applyAlignment="0" applyProtection="0"/>
    <xf numFmtId="220" fontId="142" fillId="0" borderId="0" applyNumberFormat="0" applyBorder="0" applyAlignment="0"/>
    <xf numFmtId="230" fontId="119" fillId="28" borderId="27" applyBorder="0">
      <alignment horizontal="right" vertical="center"/>
      <protection locked="0"/>
    </xf>
    <xf numFmtId="0" fontId="246" fillId="0" borderId="0" applyNumberFormat="0"/>
    <xf numFmtId="0" fontId="0" fillId="0" borderId="28" applyNumberFormat="0" applyFont="0" applyFill="0" applyAlignment="0" applyProtection="0"/>
    <xf numFmtId="0" fontId="247" fillId="26" borderId="87">
      <alignment horizontal="left"/>
    </xf>
    <xf numFmtId="0" fontId="122" fillId="0" borderId="0" applyFont="0" applyFill="0" applyBorder="0" applyAlignment="0" applyProtection="0"/>
    <xf numFmtId="0" fontId="248" fillId="0" borderId="0"/>
    <xf numFmtId="306" fontId="121" fillId="0" borderId="0" applyFont="0" applyFill="0" applyBorder="0" applyAlignment="0" applyProtection="0"/>
    <xf numFmtId="0" fontId="172" fillId="0" borderId="0"/>
    <xf numFmtId="0" fontId="249" fillId="0" borderId="67" applyNumberFormat="0" applyFill="0" applyBorder="0" applyAlignment="0" applyProtection="0"/>
    <xf numFmtId="0" fontId="250" fillId="0" borderId="67" applyNumberFormat="0" applyFill="0" applyBorder="0" applyAlignment="0" applyProtection="0"/>
    <xf numFmtId="0" fontId="251" fillId="0" borderId="67" applyNumberFormat="0" applyFill="0" applyBorder="0" applyAlignment="0" applyProtection="0"/>
    <xf numFmtId="38" fontId="63" fillId="0" borderId="0" applyNumberFormat="0" applyFont="0" applyFill="0" applyBorder="0" applyProtection="0">
      <alignment horizontal="center" vertical="center" wrapText="1"/>
    </xf>
    <xf numFmtId="184" fontId="134" fillId="0" borderId="74" applyBorder="0">
      <alignment horizontal="right" vertical="center"/>
    </xf>
    <xf numFmtId="307" fontId="0" fillId="0" borderId="88" applyFont="0" applyFill="0" applyBorder="0" applyAlignment="0" applyProtection="0">
      <alignment horizontal="center" vertical="center"/>
    </xf>
    <xf numFmtId="15" fontId="117" fillId="0" borderId="0" applyFont="0">
      <alignment horizontal="center"/>
    </xf>
    <xf numFmtId="1" fontId="252" fillId="0" borderId="30" applyFill="0" applyProtection="0">
      <alignment horizontal="right"/>
    </xf>
    <xf numFmtId="308" fontId="241" fillId="28" borderId="50" applyNumberFormat="0" applyBorder="0" applyAlignment="0"/>
    <xf numFmtId="1" fontId="134" fillId="35" borderId="0">
      <alignment horizontal="center"/>
    </xf>
    <xf numFmtId="255" fontId="134" fillId="22" borderId="29" applyNumberFormat="0" applyFont="0" applyBorder="0" applyAlignment="0" applyProtection="0">
      <alignment vertical="center" wrapText="1"/>
    </xf>
    <xf numFmtId="0" fontId="253" fillId="0" borderId="0">
      <alignment horizontal="left"/>
    </xf>
    <xf numFmtId="184" fontId="254" fillId="0" borderId="0" applyFont="0" applyFill="0" applyBorder="0" applyAlignment="0" applyProtection="0"/>
    <xf numFmtId="40" fontId="0" fillId="0" borderId="0" applyFont="0" applyFill="0" applyBorder="0" applyAlignment="0" applyProtection="0"/>
    <xf numFmtId="0" fontId="255" fillId="0" borderId="0"/>
  </cellStyleXfs>
  <cellXfs count="2125">
    <xf numFmtId="0" fontId="0" fillId="0" borderId="0" xfId="0"/>
    <xf numFmtId="0" fontId="1" fillId="0" borderId="0" xfId="0" applyFont="1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left"/>
    </xf>
    <xf numFmtId="0" fontId="2" fillId="3" borderId="7" xfId="0" applyFont="1" applyFill="1" applyBorder="1"/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/>
    </xf>
    <xf numFmtId="9" fontId="5" fillId="0" borderId="6" xfId="3" applyFont="1" applyBorder="1"/>
    <xf numFmtId="0" fontId="5" fillId="0" borderId="6" xfId="0" applyFont="1" applyBorder="1"/>
    <xf numFmtId="3" fontId="5" fillId="6" borderId="8" xfId="0" applyNumberFormat="1" applyFont="1" applyFill="1" applyBorder="1" applyAlignment="1">
      <alignment horizontal="center"/>
    </xf>
    <xf numFmtId="3" fontId="5" fillId="7" borderId="5" xfId="0" applyNumberFormat="1" applyFont="1" applyFill="1" applyBorder="1" applyAlignment="1">
      <alignment horizontal="center"/>
    </xf>
    <xf numFmtId="184" fontId="5" fillId="0" borderId="8" xfId="0" applyNumberFormat="1" applyFont="1" applyBorder="1" applyAlignment="1">
      <alignment horizontal="center"/>
    </xf>
    <xf numFmtId="184" fontId="5" fillId="0" borderId="6" xfId="0" applyNumberFormat="1" applyFont="1" applyBorder="1" applyAlignment="1">
      <alignment horizontal="center"/>
    </xf>
    <xf numFmtId="3" fontId="5" fillId="6" borderId="6" xfId="0" applyNumberFormat="1" applyFont="1" applyFill="1" applyBorder="1" applyAlignment="1">
      <alignment horizontal="center"/>
    </xf>
    <xf numFmtId="3" fontId="5" fillId="5" borderId="8" xfId="0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/>
    </xf>
    <xf numFmtId="184" fontId="5" fillId="2" borderId="8" xfId="0" applyNumberFormat="1" applyFont="1" applyFill="1" applyBorder="1" applyAlignment="1">
      <alignment horizontal="center"/>
    </xf>
    <xf numFmtId="184" fontId="5" fillId="2" borderId="6" xfId="0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/>
    </xf>
    <xf numFmtId="184" fontId="5" fillId="6" borderId="8" xfId="0" applyNumberFormat="1" applyFont="1" applyFill="1" applyBorder="1" applyAlignment="1">
      <alignment horizontal="center"/>
    </xf>
    <xf numFmtId="9" fontId="5" fillId="7" borderId="10" xfId="0" applyNumberFormat="1" applyFont="1" applyFill="1" applyBorder="1" applyAlignment="1">
      <alignment horizontal="center"/>
    </xf>
    <xf numFmtId="309" fontId="5" fillId="0" borderId="8" xfId="0" applyNumberFormat="1" applyFont="1" applyBorder="1" applyAlignment="1">
      <alignment horizontal="center"/>
    </xf>
    <xf numFmtId="309" fontId="5" fillId="0" borderId="6" xfId="0" applyNumberFormat="1" applyFont="1" applyBorder="1" applyAlignment="1">
      <alignment horizontal="center"/>
    </xf>
    <xf numFmtId="184" fontId="5" fillId="6" borderId="6" xfId="0" applyNumberFormat="1" applyFont="1" applyFill="1" applyBorder="1" applyAlignment="1">
      <alignment horizontal="center"/>
    </xf>
    <xf numFmtId="184" fontId="5" fillId="5" borderId="8" xfId="0" applyNumberFormat="1" applyFont="1" applyFill="1" applyBorder="1" applyAlignment="1">
      <alignment horizontal="center"/>
    </xf>
    <xf numFmtId="9" fontId="5" fillId="5" borderId="10" xfId="0" applyNumberFormat="1" applyFont="1" applyFill="1" applyBorder="1" applyAlignment="1">
      <alignment horizontal="center"/>
    </xf>
    <xf numFmtId="309" fontId="5" fillId="2" borderId="8" xfId="0" applyNumberFormat="1" applyFont="1" applyFill="1" applyBorder="1" applyAlignment="1">
      <alignment horizontal="center"/>
    </xf>
    <xf numFmtId="309" fontId="5" fillId="2" borderId="6" xfId="0" applyNumberFormat="1" applyFont="1" applyFill="1" applyBorder="1" applyAlignment="1">
      <alignment horizontal="center"/>
    </xf>
    <xf numFmtId="184" fontId="5" fillId="5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 indent="1"/>
    </xf>
    <xf numFmtId="0" fontId="2" fillId="0" borderId="6" xfId="0" applyFont="1" applyBorder="1"/>
    <xf numFmtId="184" fontId="7" fillId="8" borderId="8" xfId="0" applyNumberFormat="1" applyFont="1" applyFill="1" applyBorder="1" applyAlignment="1">
      <alignment horizontal="center"/>
    </xf>
    <xf numFmtId="184" fontId="2" fillId="7" borderId="10" xfId="0" applyNumberFormat="1" applyFont="1" applyFill="1" applyBorder="1" applyAlignment="1">
      <alignment horizontal="center"/>
    </xf>
    <xf numFmtId="309" fontId="2" fillId="0" borderId="8" xfId="0" applyNumberFormat="1" applyFont="1" applyBorder="1" applyAlignment="1">
      <alignment horizontal="center"/>
    </xf>
    <xf numFmtId="184" fontId="7" fillId="8" borderId="6" xfId="0" applyNumberFormat="1" applyFont="1" applyFill="1" applyBorder="1" applyAlignment="1">
      <alignment horizontal="center"/>
    </xf>
    <xf numFmtId="184" fontId="7" fillId="5" borderId="8" xfId="0" applyNumberFormat="1" applyFont="1" applyFill="1" applyBorder="1" applyAlignment="1">
      <alignment horizontal="center"/>
    </xf>
    <xf numFmtId="184" fontId="2" fillId="5" borderId="10" xfId="0" applyNumberFormat="1" applyFont="1" applyFill="1" applyBorder="1" applyAlignment="1">
      <alignment horizontal="center"/>
    </xf>
    <xf numFmtId="309" fontId="2" fillId="2" borderId="8" xfId="0" applyNumberFormat="1" applyFont="1" applyFill="1" applyBorder="1" applyAlignment="1">
      <alignment horizontal="center"/>
    </xf>
    <xf numFmtId="184" fontId="7" fillId="5" borderId="6" xfId="0" applyNumberFormat="1" applyFont="1" applyFill="1" applyBorder="1" applyAlignment="1">
      <alignment horizontal="center"/>
    </xf>
    <xf numFmtId="184" fontId="2" fillId="8" borderId="8" xfId="0" applyNumberFormat="1" applyFont="1" applyFill="1" applyBorder="1" applyAlignment="1">
      <alignment horizontal="center"/>
    </xf>
    <xf numFmtId="184" fontId="2" fillId="8" borderId="6" xfId="0" applyNumberFormat="1" applyFont="1" applyFill="1" applyBorder="1" applyAlignment="1">
      <alignment horizontal="center"/>
    </xf>
    <xf numFmtId="184" fontId="2" fillId="5" borderId="8" xfId="0" applyNumberFormat="1" applyFont="1" applyFill="1" applyBorder="1" applyAlignment="1">
      <alignment horizontal="center"/>
    </xf>
    <xf numFmtId="184" fontId="2" fillId="5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184" fontId="5" fillId="8" borderId="8" xfId="0" applyNumberFormat="1" applyFont="1" applyFill="1" applyBorder="1" applyAlignment="1">
      <alignment horizontal="center"/>
    </xf>
    <xf numFmtId="184" fontId="5" fillId="9" borderId="10" xfId="0" applyNumberFormat="1" applyFont="1" applyFill="1" applyBorder="1" applyAlignment="1">
      <alignment horizontal="center"/>
    </xf>
    <xf numFmtId="184" fontId="5" fillId="8" borderId="6" xfId="0" applyNumberFormat="1" applyFont="1" applyFill="1" applyBorder="1" applyAlignment="1">
      <alignment horizontal="center"/>
    </xf>
    <xf numFmtId="184" fontId="5" fillId="5" borderId="10" xfId="0" applyNumberFormat="1" applyFont="1" applyFill="1" applyBorder="1" applyAlignment="1">
      <alignment horizontal="center"/>
    </xf>
    <xf numFmtId="186" fontId="7" fillId="8" borderId="8" xfId="0" applyNumberFormat="1" applyFont="1" applyFill="1" applyBorder="1" applyAlignment="1">
      <alignment horizontal="center"/>
    </xf>
    <xf numFmtId="186" fontId="7" fillId="9" borderId="10" xfId="0" applyNumberFormat="1" applyFont="1" applyFill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84" fontId="2" fillId="0" borderId="6" xfId="0" applyNumberFormat="1" applyFont="1" applyBorder="1" applyAlignment="1">
      <alignment horizontal="center"/>
    </xf>
    <xf numFmtId="186" fontId="7" fillId="8" borderId="6" xfId="0" applyNumberFormat="1" applyFont="1" applyFill="1" applyBorder="1" applyAlignment="1">
      <alignment horizontal="center"/>
    </xf>
    <xf numFmtId="186" fontId="7" fillId="5" borderId="8" xfId="0" applyNumberFormat="1" applyFont="1" applyFill="1" applyBorder="1" applyAlignment="1">
      <alignment horizontal="center"/>
    </xf>
    <xf numFmtId="186" fontId="7" fillId="5" borderId="10" xfId="0" applyNumberFormat="1" applyFont="1" applyFill="1" applyBorder="1" applyAlignment="1">
      <alignment horizontal="center"/>
    </xf>
    <xf numFmtId="184" fontId="2" fillId="2" borderId="8" xfId="0" applyNumberFormat="1" applyFont="1" applyFill="1" applyBorder="1" applyAlignment="1">
      <alignment horizontal="center"/>
    </xf>
    <xf numFmtId="184" fontId="2" fillId="2" borderId="6" xfId="0" applyNumberFormat="1" applyFont="1" applyFill="1" applyBorder="1" applyAlignment="1">
      <alignment horizontal="center"/>
    </xf>
    <xf numFmtId="186" fontId="7" fillId="5" borderId="6" xfId="0" applyNumberFormat="1" applyFont="1" applyFill="1" applyBorder="1" applyAlignment="1">
      <alignment horizontal="center"/>
    </xf>
    <xf numFmtId="225" fontId="5" fillId="0" borderId="6" xfId="0" applyNumberFormat="1" applyFont="1" applyBorder="1"/>
    <xf numFmtId="184" fontId="5" fillId="9" borderId="10" xfId="3" applyNumberFormat="1" applyFont="1" applyFill="1" applyBorder="1" applyAlignment="1">
      <alignment horizontal="center"/>
    </xf>
    <xf numFmtId="184" fontId="5" fillId="5" borderId="10" xfId="3" applyNumberFormat="1" applyFont="1" applyFill="1" applyBorder="1" applyAlignment="1">
      <alignment horizontal="center"/>
    </xf>
    <xf numFmtId="225" fontId="2" fillId="0" borderId="6" xfId="0" applyNumberFormat="1" applyFont="1" applyBorder="1"/>
    <xf numFmtId="184" fontId="2" fillId="0" borderId="11" xfId="0" applyNumberFormat="1" applyFont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184" fontId="2" fillId="2" borderId="11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0" fontId="2" fillId="0" borderId="11" xfId="0" applyFont="1" applyBorder="1"/>
    <xf numFmtId="3" fontId="2" fillId="6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310" fontId="7" fillId="8" borderId="8" xfId="0" applyNumberFormat="1" applyFont="1" applyFill="1" applyBorder="1" applyAlignment="1">
      <alignment horizontal="center"/>
    </xf>
    <xf numFmtId="310" fontId="7" fillId="9" borderId="10" xfId="0" applyNumberFormat="1" applyFont="1" applyFill="1" applyBorder="1" applyAlignment="1">
      <alignment horizontal="center"/>
    </xf>
    <xf numFmtId="4" fontId="2" fillId="6" borderId="8" xfId="0" applyNumberFormat="1" applyFont="1" applyFill="1" applyBorder="1" applyAlignment="1">
      <alignment horizontal="center"/>
    </xf>
    <xf numFmtId="4" fontId="2" fillId="6" borderId="6" xfId="0" applyNumberFormat="1" applyFont="1" applyFill="1" applyBorder="1" applyAlignment="1">
      <alignment horizontal="center"/>
    </xf>
    <xf numFmtId="310" fontId="7" fillId="5" borderId="8" xfId="0" applyNumberFormat="1" applyFont="1" applyFill="1" applyBorder="1" applyAlignment="1">
      <alignment horizontal="center"/>
    </xf>
    <xf numFmtId="310" fontId="7" fillId="5" borderId="10" xfId="0" applyNumberFormat="1" applyFont="1" applyFill="1" applyBorder="1" applyAlignment="1">
      <alignment horizontal="center"/>
    </xf>
    <xf numFmtId="4" fontId="2" fillId="5" borderId="8" xfId="0" applyNumberFormat="1" applyFont="1" applyFill="1" applyBorder="1" applyAlignment="1">
      <alignment horizontal="center"/>
    </xf>
    <xf numFmtId="4" fontId="2" fillId="5" borderId="6" xfId="0" applyNumberFormat="1" applyFont="1" applyFill="1" applyBorder="1" applyAlignment="1">
      <alignment horizontal="center"/>
    </xf>
    <xf numFmtId="310" fontId="7" fillId="8" borderId="0" xfId="0" applyNumberFormat="1" applyFont="1" applyFill="1" applyAlignment="1">
      <alignment horizontal="center"/>
    </xf>
    <xf numFmtId="310" fontId="7" fillId="9" borderId="0" xfId="0" applyNumberFormat="1" applyFont="1" applyFill="1" applyAlignment="1">
      <alignment horizontal="center"/>
    </xf>
    <xf numFmtId="184" fontId="2" fillId="0" borderId="0" xfId="0" applyNumberFormat="1" applyFont="1" applyAlignment="1">
      <alignment horizontal="center"/>
    </xf>
    <xf numFmtId="310" fontId="7" fillId="5" borderId="0" xfId="0" applyNumberFormat="1" applyFont="1" applyFill="1" applyAlignment="1">
      <alignment horizontal="center"/>
    </xf>
    <xf numFmtId="184" fontId="2" fillId="2" borderId="0" xfId="0" applyNumberFormat="1" applyFont="1" applyFill="1" applyAlignment="1">
      <alignment horizontal="center"/>
    </xf>
    <xf numFmtId="0" fontId="8" fillId="0" borderId="0" xfId="0" applyFont="1"/>
    <xf numFmtId="184" fontId="5" fillId="7" borderId="10" xfId="0" applyNumberFormat="1" applyFont="1" applyFill="1" applyBorder="1" applyAlignment="1">
      <alignment horizontal="center"/>
    </xf>
    <xf numFmtId="0" fontId="2" fillId="0" borderId="0" xfId="0" applyFont="1" applyProtection="1">
      <protection locked="0"/>
    </xf>
    <xf numFmtId="310" fontId="7" fillId="8" borderId="8" xfId="0" applyNumberFormat="1" applyFont="1" applyFill="1" applyBorder="1" applyAlignment="1" applyProtection="1">
      <alignment horizontal="center"/>
      <protection locked="0"/>
    </xf>
    <xf numFmtId="4" fontId="2" fillId="6" borderId="11" xfId="0" applyNumberFormat="1" applyFont="1" applyFill="1" applyBorder="1" applyAlignment="1">
      <alignment horizontal="center"/>
    </xf>
    <xf numFmtId="219" fontId="2" fillId="0" borderId="0" xfId="0" applyNumberFormat="1" applyFont="1"/>
    <xf numFmtId="9" fontId="7" fillId="5" borderId="10" xfId="3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84" fontId="2" fillId="0" borderId="0" xfId="3" applyNumberFormat="1" applyFont="1"/>
    <xf numFmtId="38" fontId="5" fillId="7" borderId="6" xfId="0" applyNumberFormat="1" applyFont="1" applyFill="1" applyBorder="1" applyAlignment="1">
      <alignment horizontal="center"/>
    </xf>
    <xf numFmtId="3" fontId="5" fillId="0" borderId="8" xfId="0" applyNumberFormat="1" applyFont="1" applyFill="1" applyBorder="1" applyAlignment="1">
      <alignment horizontal="center"/>
    </xf>
    <xf numFmtId="184" fontId="5" fillId="0" borderId="8" xfId="0" applyNumberFormat="1" applyFont="1" applyFill="1" applyBorder="1" applyAlignment="1">
      <alignment horizontal="center"/>
    </xf>
    <xf numFmtId="184" fontId="7" fillId="0" borderId="8" xfId="0" applyNumberFormat="1" applyFont="1" applyFill="1" applyBorder="1" applyAlignment="1">
      <alignment horizontal="center"/>
    </xf>
    <xf numFmtId="184" fontId="2" fillId="0" borderId="8" xfId="0" applyNumberFormat="1" applyFont="1" applyFill="1" applyBorder="1" applyAlignment="1">
      <alignment horizontal="center"/>
    </xf>
    <xf numFmtId="186" fontId="7" fillId="0" borderId="8" xfId="0" applyNumberFormat="1" applyFont="1" applyFill="1" applyBorder="1" applyAlignment="1">
      <alignment horizontal="center"/>
    </xf>
    <xf numFmtId="38" fontId="5" fillId="7" borderId="11" xfId="0" applyNumberFormat="1" applyFont="1" applyFill="1" applyBorder="1" applyAlignment="1">
      <alignment horizontal="center"/>
    </xf>
    <xf numFmtId="310" fontId="7" fillId="0" borderId="8" xfId="0" applyNumberFormat="1" applyFont="1" applyFill="1" applyBorder="1" applyAlignment="1" applyProtection="1">
      <alignment horizontal="center"/>
      <protection locked="0"/>
    </xf>
    <xf numFmtId="310" fontId="7" fillId="0" borderId="8" xfId="0" applyNumberFormat="1" applyFont="1" applyFill="1" applyBorder="1" applyAlignment="1">
      <alignment horizontal="center"/>
    </xf>
    <xf numFmtId="0" fontId="10" fillId="0" borderId="0" xfId="0" applyFont="1"/>
    <xf numFmtId="9" fontId="10" fillId="0" borderId="0" xfId="3" applyFont="1"/>
    <xf numFmtId="14" fontId="10" fillId="0" borderId="0" xfId="0" applyNumberFormat="1" applyFont="1"/>
    <xf numFmtId="9" fontId="10" fillId="0" borderId="0" xfId="0" applyNumberFormat="1" applyFont="1"/>
    <xf numFmtId="0" fontId="10" fillId="0" borderId="0" xfId="354" applyFont="1"/>
    <xf numFmtId="0" fontId="11" fillId="0" borderId="0" xfId="354" applyFont="1"/>
    <xf numFmtId="15" fontId="12" fillId="10" borderId="0" xfId="352" applyNumberFormat="1" applyFont="1" applyFill="1" applyAlignment="1">
      <alignment horizontal="left"/>
    </xf>
    <xf numFmtId="0" fontId="12" fillId="10" borderId="0" xfId="0" applyFont="1" applyFill="1"/>
    <xf numFmtId="219" fontId="12" fillId="10" borderId="0" xfId="352" applyFont="1" applyFill="1"/>
    <xf numFmtId="0" fontId="12" fillId="11" borderId="0" xfId="0" applyFont="1" applyFill="1"/>
    <xf numFmtId="0" fontId="11" fillId="12" borderId="0" xfId="0" applyFont="1" applyFill="1"/>
    <xf numFmtId="3" fontId="11" fillId="12" borderId="0" xfId="348" applyNumberFormat="1" applyFont="1" applyFill="1"/>
    <xf numFmtId="3" fontId="10" fillId="0" borderId="0" xfId="348" applyNumberFormat="1" applyFont="1"/>
    <xf numFmtId="0" fontId="11" fillId="0" borderId="0" xfId="0" applyFont="1"/>
    <xf numFmtId="0" fontId="11" fillId="13" borderId="0" xfId="0" applyFont="1" applyFill="1"/>
    <xf numFmtId="3" fontId="10" fillId="13" borderId="0" xfId="348" applyNumberFormat="1" applyFont="1" applyFill="1"/>
    <xf numFmtId="0" fontId="10" fillId="13" borderId="0" xfId="0" applyFont="1" applyFill="1"/>
    <xf numFmtId="0" fontId="10" fillId="0" borderId="0" xfId="0" applyFont="1" applyAlignment="1">
      <alignment horizontal="left" indent="1"/>
    </xf>
    <xf numFmtId="219" fontId="10" fillId="0" borderId="0" xfId="352" applyFont="1" applyAlignment="1">
      <alignment horizontal="left" indent="1"/>
    </xf>
    <xf numFmtId="3" fontId="10" fillId="0" borderId="0" xfId="0" applyNumberFormat="1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indent="1"/>
    </xf>
    <xf numFmtId="184" fontId="10" fillId="0" borderId="0" xfId="3" applyNumberFormat="1" applyFont="1" applyBorder="1"/>
    <xf numFmtId="184" fontId="10" fillId="0" borderId="0" xfId="3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311" fontId="10" fillId="0" borderId="0" xfId="0" applyNumberFormat="1" applyFont="1"/>
    <xf numFmtId="1" fontId="10" fillId="0" borderId="0" xfId="0" applyNumberFormat="1" applyFont="1" applyAlignment="1">
      <alignment horizontal="center"/>
    </xf>
    <xf numFmtId="38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14" borderId="0" xfId="348" applyNumberFormat="1" applyFont="1" applyFill="1"/>
    <xf numFmtId="0" fontId="10" fillId="14" borderId="0" xfId="0" applyFont="1" applyFill="1"/>
    <xf numFmtId="0" fontId="11" fillId="15" borderId="0" xfId="354" applyFont="1" applyFill="1"/>
    <xf numFmtId="3" fontId="10" fillId="15" borderId="0" xfId="354" applyNumberFormat="1" applyFont="1" applyFill="1"/>
    <xf numFmtId="3" fontId="10" fillId="14" borderId="0" xfId="354" applyNumberFormat="1" applyFont="1" applyFill="1"/>
    <xf numFmtId="219" fontId="10" fillId="0" borderId="0" xfId="0" applyNumberFormat="1" applyFont="1" applyAlignment="1">
      <alignment horizontal="left" vertical="center" indent="1"/>
    </xf>
    <xf numFmtId="1" fontId="10" fillId="0" borderId="0" xfId="0" applyNumberFormat="1" applyFont="1"/>
    <xf numFmtId="4" fontId="10" fillId="0" borderId="0" xfId="348" applyNumberFormat="1" applyFont="1"/>
    <xf numFmtId="1" fontId="10" fillId="14" borderId="0" xfId="0" applyNumberFormat="1" applyFont="1" applyFill="1"/>
    <xf numFmtId="3" fontId="10" fillId="14" borderId="0" xfId="0" applyNumberFormat="1" applyFont="1" applyFill="1"/>
    <xf numFmtId="0" fontId="10" fillId="0" borderId="0" xfId="354" applyFont="1" applyAlignment="1">
      <alignment horizontal="left" indent="1"/>
    </xf>
    <xf numFmtId="3" fontId="10" fillId="0" borderId="0" xfId="352" applyNumberFormat="1" applyFont="1" applyAlignment="1">
      <alignment horizontal="right"/>
    </xf>
    <xf numFmtId="3" fontId="10" fillId="14" borderId="0" xfId="352" applyNumberFormat="1" applyFont="1" applyFill="1" applyAlignment="1">
      <alignment horizontal="right"/>
    </xf>
    <xf numFmtId="3" fontId="10" fillId="0" borderId="0" xfId="354" applyNumberFormat="1" applyFont="1"/>
    <xf numFmtId="0" fontId="10" fillId="0" borderId="0" xfId="354" applyFont="1" applyAlignment="1">
      <alignment horizontal="right"/>
    </xf>
    <xf numFmtId="3" fontId="10" fillId="0" borderId="0" xfId="354" applyNumberFormat="1" applyFont="1" applyAlignment="1">
      <alignment horizontal="right"/>
    </xf>
    <xf numFmtId="0" fontId="10" fillId="14" borderId="0" xfId="354" applyFont="1" applyFill="1"/>
    <xf numFmtId="184" fontId="10" fillId="14" borderId="0" xfId="3" applyNumberFormat="1" applyFont="1" applyFill="1" applyBorder="1"/>
    <xf numFmtId="184" fontId="10" fillId="0" borderId="0" xfId="348" applyNumberFormat="1" applyFont="1"/>
    <xf numFmtId="184" fontId="10" fillId="14" borderId="0" xfId="348" applyNumberFormat="1" applyFont="1" applyFill="1"/>
    <xf numFmtId="184" fontId="10" fillId="0" borderId="0" xfId="0" applyNumberFormat="1" applyFont="1"/>
    <xf numFmtId="184" fontId="10" fillId="14" borderId="0" xfId="0" applyNumberFormat="1" applyFont="1" applyFill="1"/>
    <xf numFmtId="184" fontId="10" fillId="13" borderId="0" xfId="348" applyNumberFormat="1" applyFont="1" applyFill="1"/>
    <xf numFmtId="184" fontId="10" fillId="13" borderId="0" xfId="0" applyNumberFormat="1" applyFont="1" applyFill="1"/>
    <xf numFmtId="184" fontId="10" fillId="16" borderId="0" xfId="3" applyNumberFormat="1" applyFont="1" applyFill="1" applyBorder="1"/>
    <xf numFmtId="184" fontId="10" fillId="15" borderId="0" xfId="3" applyNumberFormat="1" applyFont="1" applyFill="1" applyBorder="1"/>
    <xf numFmtId="0" fontId="10" fillId="15" borderId="0" xfId="354" applyFont="1" applyFill="1"/>
    <xf numFmtId="184" fontId="10" fillId="15" borderId="0" xfId="354" applyNumberFormat="1" applyFont="1" applyFill="1"/>
    <xf numFmtId="184" fontId="10" fillId="14" borderId="0" xfId="354" applyNumberFormat="1" applyFont="1" applyFill="1"/>
    <xf numFmtId="184" fontId="10" fillId="0" borderId="0" xfId="354" applyNumberFormat="1" applyFont="1"/>
    <xf numFmtId="184" fontId="10" fillId="0" borderId="0" xfId="352" applyNumberFormat="1" applyFont="1" applyAlignment="1">
      <alignment horizontal="right"/>
    </xf>
    <xf numFmtId="184" fontId="10" fillId="14" borderId="0" xfId="352" applyNumberFormat="1" applyFont="1" applyFill="1" applyAlignment="1">
      <alignment horizontal="right"/>
    </xf>
    <xf numFmtId="219" fontId="10" fillId="0" borderId="0" xfId="0" applyNumberFormat="1" applyFont="1" applyAlignment="1">
      <alignment horizontal="left" indent="1"/>
    </xf>
    <xf numFmtId="9" fontId="10" fillId="0" borderId="0" xfId="3" applyFont="1" applyBorder="1"/>
    <xf numFmtId="9" fontId="10" fillId="15" borderId="0" xfId="3" applyFont="1" applyFill="1" applyBorder="1"/>
    <xf numFmtId="9" fontId="10" fillId="14" borderId="0" xfId="3" applyFont="1" applyFill="1" applyBorder="1"/>
    <xf numFmtId="0" fontId="10" fillId="0" borderId="0" xfId="354" applyFont="1" applyAlignment="1">
      <alignment horizontal="left"/>
    </xf>
    <xf numFmtId="312" fontId="10" fillId="0" borderId="0" xfId="354" applyNumberFormat="1" applyFont="1"/>
    <xf numFmtId="313" fontId="10" fillId="0" borderId="0" xfId="354" applyNumberFormat="1" applyFont="1"/>
    <xf numFmtId="0" fontId="11" fillId="0" borderId="0" xfId="354" applyFont="1" applyAlignment="1">
      <alignment horizontal="left" indent="1"/>
    </xf>
    <xf numFmtId="3" fontId="11" fillId="0" borderId="0" xfId="348" applyNumberFormat="1" applyFont="1"/>
    <xf numFmtId="3" fontId="11" fillId="14" borderId="0" xfId="348" applyNumberFormat="1" applyFont="1" applyFill="1"/>
    <xf numFmtId="1" fontId="10" fillId="0" borderId="0" xfId="354" applyNumberFormat="1" applyFont="1"/>
    <xf numFmtId="3" fontId="11" fillId="0" borderId="0" xfId="354" applyNumberFormat="1" applyFont="1"/>
    <xf numFmtId="184" fontId="13" fillId="16" borderId="0" xfId="3" applyNumberFormat="1" applyFont="1" applyFill="1" applyBorder="1" applyAlignment="1">
      <alignment horizontal="center"/>
    </xf>
    <xf numFmtId="0" fontId="14" fillId="0" borderId="0" xfId="0" applyFont="1"/>
    <xf numFmtId="184" fontId="11" fillId="15" borderId="0" xfId="354" applyNumberFormat="1" applyFont="1" applyFill="1"/>
    <xf numFmtId="3" fontId="10" fillId="0" borderId="0" xfId="348" applyNumberFormat="1" applyFont="1" applyAlignment="1">
      <alignment horizontal="right"/>
    </xf>
    <xf numFmtId="184" fontId="10" fillId="0" borderId="0" xfId="354" applyNumberFormat="1" applyFont="1" applyAlignment="1">
      <alignment horizontal="right"/>
    </xf>
    <xf numFmtId="0" fontId="11" fillId="0" borderId="0" xfId="0" applyFont="1" applyFill="1"/>
    <xf numFmtId="0" fontId="10" fillId="0" borderId="0" xfId="0" applyFont="1" applyFill="1"/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84" fontId="10" fillId="0" borderId="0" xfId="3" applyNumberFormat="1" applyFont="1" applyFill="1"/>
    <xf numFmtId="0" fontId="15" fillId="11" borderId="20" xfId="0" applyFont="1" applyFill="1" applyBorder="1" applyAlignment="1">
      <alignment vertical="center"/>
    </xf>
    <xf numFmtId="0" fontId="15" fillId="11" borderId="0" xfId="0" applyFont="1" applyFill="1"/>
    <xf numFmtId="0" fontId="16" fillId="10" borderId="13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 wrapText="1"/>
    </xf>
    <xf numFmtId="0" fontId="16" fillId="10" borderId="22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0" fillId="0" borderId="0" xfId="0" applyFill="1"/>
    <xf numFmtId="0" fontId="15" fillId="11" borderId="25" xfId="0" applyFont="1" applyFill="1" applyBorder="1"/>
    <xf numFmtId="0" fontId="16" fillId="10" borderId="0" xfId="0" applyFont="1" applyFill="1"/>
    <xf numFmtId="0" fontId="16" fillId="10" borderId="13" xfId="0" applyFont="1" applyFill="1" applyBorder="1" applyAlignment="1">
      <alignment horizontal="center"/>
    </xf>
    <xf numFmtId="0" fontId="16" fillId="10" borderId="14" xfId="0" applyFont="1" applyFill="1" applyBorder="1" applyAlignment="1">
      <alignment horizontal="center"/>
    </xf>
    <xf numFmtId="0" fontId="16" fillId="10" borderId="12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1" fontId="17" fillId="0" borderId="0" xfId="0" applyNumberFormat="1" applyFont="1"/>
    <xf numFmtId="1" fontId="17" fillId="0" borderId="0" xfId="0" applyNumberFormat="1" applyFont="1" applyAlignment="1">
      <alignment horizontal="center"/>
    </xf>
    <xf numFmtId="1" fontId="17" fillId="0" borderId="5" xfId="0" applyNumberFormat="1" applyFont="1" applyBorder="1" applyAlignment="1">
      <alignment horizontal="center"/>
    </xf>
    <xf numFmtId="1" fontId="17" fillId="17" borderId="0" xfId="0" applyNumberFormat="1" applyFont="1" applyFill="1" applyAlignment="1">
      <alignment horizontal="center"/>
    </xf>
    <xf numFmtId="9" fontId="17" fillId="0" borderId="0" xfId="3" applyFont="1" applyAlignment="1">
      <alignment horizontal="center"/>
    </xf>
    <xf numFmtId="184" fontId="17" fillId="0" borderId="0" xfId="3" applyNumberFormat="1" applyFont="1" applyAlignment="1">
      <alignment horizontal="center"/>
    </xf>
    <xf numFmtId="0" fontId="11" fillId="0" borderId="0" xfId="0" applyFont="1" applyFill="1" applyAlignment="1">
      <alignment horizontal="center"/>
    </xf>
    <xf numFmtId="184" fontId="11" fillId="0" borderId="0" xfId="3" applyNumberFormat="1" applyFont="1" applyFill="1"/>
    <xf numFmtId="0" fontId="17" fillId="0" borderId="0" xfId="0" applyFont="1"/>
    <xf numFmtId="184" fontId="17" fillId="0" borderId="0" xfId="3" applyNumberFormat="1" applyFont="1"/>
    <xf numFmtId="0" fontId="10" fillId="0" borderId="0" xfId="0" applyFont="1" applyFill="1" applyAlignment="1">
      <alignment horizontal="left" indent="1"/>
    </xf>
    <xf numFmtId="184" fontId="0" fillId="0" borderId="0" xfId="3" applyNumberFormat="1" applyFont="1"/>
    <xf numFmtId="184" fontId="0" fillId="0" borderId="0" xfId="3" applyNumberFormat="1" applyFont="1" applyAlignment="1">
      <alignment horizontal="center"/>
    </xf>
    <xf numFmtId="184" fontId="0" fillId="0" borderId="10" xfId="3" applyNumberFormat="1" applyFont="1" applyBorder="1" applyAlignment="1">
      <alignment horizontal="center"/>
    </xf>
    <xf numFmtId="184" fontId="0" fillId="17" borderId="0" xfId="3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1" fontId="17" fillId="0" borderId="10" xfId="0" applyNumberFormat="1" applyFont="1" applyBorder="1" applyAlignment="1">
      <alignment horizontal="center"/>
    </xf>
    <xf numFmtId="1" fontId="0" fillId="0" borderId="0" xfId="0" applyNumberFormat="1"/>
    <xf numFmtId="9" fontId="11" fillId="0" borderId="0" xfId="0" applyNumberFormat="1" applyFont="1" applyFill="1"/>
    <xf numFmtId="0" fontId="11" fillId="0" borderId="0" xfId="3" applyNumberFormat="1" applyFont="1" applyFill="1"/>
    <xf numFmtId="184" fontId="10" fillId="0" borderId="0" xfId="0" applyNumberFormat="1" applyFont="1" applyFill="1"/>
    <xf numFmtId="0" fontId="10" fillId="0" borderId="14" xfId="0" applyFont="1" applyFill="1" applyBorder="1" applyAlignment="1">
      <alignment horizontal="left" indent="1"/>
    </xf>
    <xf numFmtId="184" fontId="0" fillId="0" borderId="14" xfId="3" applyNumberFormat="1" applyFont="1" applyBorder="1"/>
    <xf numFmtId="184" fontId="0" fillId="0" borderId="14" xfId="3" applyNumberFormat="1" applyFont="1" applyBorder="1" applyAlignment="1">
      <alignment horizontal="center"/>
    </xf>
    <xf numFmtId="184" fontId="0" fillId="0" borderId="15" xfId="3" applyNumberFormat="1" applyFont="1" applyBorder="1" applyAlignment="1">
      <alignment horizontal="center"/>
    </xf>
    <xf numFmtId="184" fontId="0" fillId="17" borderId="14" xfId="3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11" fillId="12" borderId="14" xfId="0" applyFont="1" applyFill="1" applyBorder="1"/>
    <xf numFmtId="1" fontId="17" fillId="12" borderId="14" xfId="0" applyNumberFormat="1" applyFont="1" applyFill="1" applyBorder="1"/>
    <xf numFmtId="1" fontId="17" fillId="12" borderId="14" xfId="0" applyNumberFormat="1" applyFont="1" applyFill="1" applyBorder="1" applyAlignment="1">
      <alignment horizontal="center"/>
    </xf>
    <xf numFmtId="1" fontId="17" fillId="12" borderId="3" xfId="0" applyNumberFormat="1" applyFont="1" applyFill="1" applyBorder="1" applyAlignment="1">
      <alignment horizontal="center"/>
    </xf>
    <xf numFmtId="1" fontId="17" fillId="12" borderId="12" xfId="0" applyNumberFormat="1" applyFont="1" applyFill="1" applyBorder="1" applyAlignment="1">
      <alignment horizontal="center"/>
    </xf>
    <xf numFmtId="9" fontId="17" fillId="12" borderId="2" xfId="3" applyFont="1" applyFill="1" applyBorder="1" applyAlignment="1">
      <alignment horizontal="center"/>
    </xf>
    <xf numFmtId="9" fontId="17" fillId="12" borderId="3" xfId="3" applyFont="1" applyFill="1" applyBorder="1" applyAlignment="1">
      <alignment horizontal="center"/>
    </xf>
    <xf numFmtId="1" fontId="17" fillId="12" borderId="2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4" xfId="0" applyFont="1" applyBorder="1"/>
    <xf numFmtId="0" fontId="10" fillId="0" borderId="14" xfId="0" applyFont="1" applyFill="1" applyBorder="1"/>
    <xf numFmtId="1" fontId="11" fillId="0" borderId="0" xfId="0" applyNumberFormat="1" applyFont="1" applyFill="1"/>
    <xf numFmtId="184" fontId="0" fillId="0" borderId="8" xfId="3" applyNumberFormat="1" applyFont="1" applyBorder="1" applyAlignment="1">
      <alignment horizontal="center"/>
    </xf>
    <xf numFmtId="9" fontId="0" fillId="0" borderId="10" xfId="3" applyFont="1" applyBorder="1" applyAlignment="1">
      <alignment horizontal="center"/>
    </xf>
    <xf numFmtId="9" fontId="0" fillId="0" borderId="8" xfId="3" applyFont="1" applyBorder="1" applyAlignment="1">
      <alignment horizontal="center"/>
    </xf>
    <xf numFmtId="1" fontId="10" fillId="0" borderId="0" xfId="0" applyNumberFormat="1" applyFont="1" applyFill="1"/>
    <xf numFmtId="1" fontId="17" fillId="0" borderId="8" xfId="0" applyNumberFormat="1" applyFont="1" applyBorder="1" applyAlignment="1">
      <alignment horizontal="center"/>
    </xf>
    <xf numFmtId="9" fontId="17" fillId="0" borderId="10" xfId="3" applyFont="1" applyBorder="1" applyAlignment="1">
      <alignment horizontal="center"/>
    </xf>
    <xf numFmtId="9" fontId="17" fillId="0" borderId="8" xfId="3" applyFont="1" applyBorder="1" applyAlignment="1">
      <alignment horizontal="center"/>
    </xf>
    <xf numFmtId="1" fontId="17" fillId="12" borderId="0" xfId="0" applyNumberFormat="1" applyFont="1" applyFill="1"/>
    <xf numFmtId="1" fontId="17" fillId="12" borderId="0" xfId="0" applyNumberFormat="1" applyFont="1" applyFill="1" applyAlignment="1">
      <alignment horizontal="center"/>
    </xf>
    <xf numFmtId="1" fontId="17" fillId="12" borderId="10" xfId="0" applyNumberFormat="1" applyFont="1" applyFill="1" applyBorder="1" applyAlignment="1">
      <alignment horizontal="center"/>
    </xf>
    <xf numFmtId="1" fontId="17" fillId="12" borderId="5" xfId="0" applyNumberFormat="1" applyFont="1" applyFill="1" applyBorder="1" applyAlignment="1">
      <alignment horizontal="center"/>
    </xf>
    <xf numFmtId="9" fontId="17" fillId="12" borderId="5" xfId="3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1" fontId="0" fillId="14" borderId="0" xfId="0" applyNumberFormat="1" applyFill="1"/>
    <xf numFmtId="1" fontId="0" fillId="14" borderId="0" xfId="0" applyNumberFormat="1" applyFill="1" applyAlignment="1">
      <alignment horizontal="center"/>
    </xf>
    <xf numFmtId="1" fontId="0" fillId="14" borderId="10" xfId="0" applyNumberFormat="1" applyFill="1" applyBorder="1" applyAlignment="1">
      <alignment horizontal="center"/>
    </xf>
    <xf numFmtId="1" fontId="0" fillId="14" borderId="8" xfId="0" applyNumberFormat="1" applyFill="1" applyBorder="1" applyAlignment="1">
      <alignment horizontal="center"/>
    </xf>
    <xf numFmtId="9" fontId="0" fillId="14" borderId="10" xfId="3" applyFont="1" applyFill="1" applyBorder="1" applyAlignment="1">
      <alignment horizontal="center"/>
    </xf>
    <xf numFmtId="9" fontId="0" fillId="14" borderId="8" xfId="3" applyFont="1" applyFill="1" applyBorder="1" applyAlignment="1">
      <alignment horizontal="center"/>
    </xf>
    <xf numFmtId="1" fontId="0" fillId="0" borderId="14" xfId="0" applyNumberFormat="1" applyBorder="1"/>
    <xf numFmtId="1" fontId="0" fillId="14" borderId="14" xfId="0" applyNumberFormat="1" applyFill="1" applyBorder="1"/>
    <xf numFmtId="1" fontId="0" fillId="0" borderId="14" xfId="0" applyNumberFormat="1" applyFill="1" applyBorder="1" applyAlignment="1">
      <alignment horizontal="center"/>
    </xf>
    <xf numFmtId="1" fontId="0" fillId="0" borderId="15" xfId="0" applyNumberFormat="1" applyFill="1" applyBorder="1" applyAlignment="1">
      <alignment horizontal="center"/>
    </xf>
    <xf numFmtId="1" fontId="0" fillId="0" borderId="13" xfId="0" applyNumberFormat="1" applyFill="1" applyBorder="1" applyAlignment="1">
      <alignment horizontal="center"/>
    </xf>
    <xf numFmtId="9" fontId="0" fillId="0" borderId="15" xfId="3" applyFont="1" applyFill="1" applyBorder="1" applyAlignment="1">
      <alignment horizontal="center"/>
    </xf>
    <xf numFmtId="9" fontId="0" fillId="0" borderId="13" xfId="3" applyFont="1" applyFill="1" applyBorder="1" applyAlignment="1">
      <alignment horizontal="center"/>
    </xf>
    <xf numFmtId="0" fontId="11" fillId="12" borderId="12" xfId="0" applyFont="1" applyFill="1" applyBorder="1"/>
    <xf numFmtId="1" fontId="17" fillId="12" borderId="12" xfId="0" applyNumberFormat="1" applyFont="1" applyFill="1" applyBorder="1"/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15" xfId="3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17" fillId="12" borderId="9" xfId="0" applyNumberFormat="1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9" fontId="0" fillId="17" borderId="6" xfId="3" applyFont="1" applyFill="1" applyBorder="1" applyAlignment="1">
      <alignment horizontal="center"/>
    </xf>
    <xf numFmtId="184" fontId="0" fillId="17" borderId="0" xfId="3" applyNumberFormat="1" applyFont="1" applyFill="1" applyAlignment="1">
      <alignment horizontal="center"/>
    </xf>
    <xf numFmtId="184" fontId="0" fillId="17" borderId="6" xfId="3" applyNumberFormat="1" applyFont="1" applyFill="1" applyBorder="1" applyAlignment="1">
      <alignment horizontal="center"/>
    </xf>
    <xf numFmtId="9" fontId="0" fillId="17" borderId="11" xfId="3" applyFont="1" applyFill="1" applyBorder="1" applyAlignment="1">
      <alignment horizontal="center"/>
    </xf>
    <xf numFmtId="184" fontId="0" fillId="17" borderId="11" xfId="3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8" fontId="18" fillId="0" borderId="0" xfId="352" applyNumberFormat="1" applyFont="1"/>
    <xf numFmtId="38" fontId="19" fillId="18" borderId="0" xfId="352" applyNumberFormat="1" applyFont="1" applyFill="1"/>
    <xf numFmtId="219" fontId="20" fillId="18" borderId="0" xfId="352" applyFont="1" applyFill="1"/>
    <xf numFmtId="38" fontId="21" fillId="0" borderId="0" xfId="352" applyNumberFormat="1" applyFont="1"/>
    <xf numFmtId="219" fontId="20" fillId="0" borderId="0" xfId="352" applyFont="1"/>
    <xf numFmtId="219" fontId="18" fillId="0" borderId="0" xfId="352" applyFont="1"/>
    <xf numFmtId="184" fontId="21" fillId="0" borderId="0" xfId="3" applyNumberFormat="1" applyFont="1" applyBorder="1"/>
    <xf numFmtId="219" fontId="22" fillId="0" borderId="0" xfId="484" applyFont="1"/>
    <xf numFmtId="40" fontId="21" fillId="0" borderId="0" xfId="352" applyNumberFormat="1" applyFont="1"/>
    <xf numFmtId="40" fontId="21" fillId="16" borderId="0" xfId="352" applyNumberFormat="1" applyFont="1" applyFill="1"/>
    <xf numFmtId="219" fontId="21" fillId="16" borderId="0" xfId="352" applyFont="1" applyFill="1"/>
    <xf numFmtId="219" fontId="23" fillId="0" borderId="0" xfId="352" applyFont="1"/>
    <xf numFmtId="219" fontId="21" fillId="0" borderId="0" xfId="352" applyFont="1"/>
    <xf numFmtId="219" fontId="21" fillId="0" borderId="0" xfId="352" applyFont="1" applyAlignment="1">
      <alignment horizontal="right"/>
    </xf>
    <xf numFmtId="219" fontId="21" fillId="0" borderId="0" xfId="352" applyFont="1" applyAlignment="1">
      <alignment horizontal="center"/>
    </xf>
    <xf numFmtId="219" fontId="21" fillId="0" borderId="26" xfId="352" applyFont="1" applyBorder="1" applyAlignment="1">
      <alignment horizontal="center"/>
    </xf>
    <xf numFmtId="219" fontId="24" fillId="0" borderId="0" xfId="352" applyFont="1" applyAlignment="1">
      <alignment horizontal="center"/>
    </xf>
    <xf numFmtId="219" fontId="25" fillId="0" borderId="0" xfId="352" applyFont="1" applyAlignment="1">
      <alignment horizontal="left"/>
    </xf>
    <xf numFmtId="15" fontId="26" fillId="11" borderId="0" xfId="352" applyNumberFormat="1" applyFont="1" applyFill="1" applyAlignment="1">
      <alignment horizontal="left"/>
    </xf>
    <xf numFmtId="219" fontId="26" fillId="11" borderId="0" xfId="352" applyFont="1" applyFill="1" applyAlignment="1">
      <alignment horizontal="right"/>
    </xf>
    <xf numFmtId="219" fontId="26" fillId="11" borderId="0" xfId="352" applyFont="1" applyFill="1" applyAlignment="1">
      <alignment horizontal="center"/>
    </xf>
    <xf numFmtId="219" fontId="26" fillId="11" borderId="26" xfId="352" applyFont="1" applyFill="1" applyBorder="1" applyAlignment="1">
      <alignment horizontal="center"/>
    </xf>
    <xf numFmtId="219" fontId="27" fillId="0" borderId="0" xfId="352" applyFont="1" applyAlignment="1">
      <alignment horizontal="center"/>
    </xf>
    <xf numFmtId="219" fontId="26" fillId="11" borderId="0" xfId="352" applyFont="1" applyFill="1"/>
    <xf numFmtId="219" fontId="28" fillId="11" borderId="0" xfId="352" applyFont="1" applyFill="1" applyAlignment="1">
      <alignment horizontal="center"/>
    </xf>
    <xf numFmtId="219" fontId="28" fillId="11" borderId="26" xfId="352" applyFont="1" applyFill="1" applyBorder="1" applyAlignment="1">
      <alignment horizontal="center"/>
    </xf>
    <xf numFmtId="0" fontId="27" fillId="0" borderId="0" xfId="352" applyNumberFormat="1" applyFont="1" applyAlignment="1">
      <alignment horizontal="center"/>
    </xf>
    <xf numFmtId="38" fontId="18" fillId="0" borderId="0" xfId="352" applyNumberFormat="1" applyFont="1" applyAlignment="1">
      <alignment horizontal="right"/>
    </xf>
    <xf numFmtId="38" fontId="18" fillId="0" borderId="0" xfId="352" applyNumberFormat="1" applyFont="1" applyAlignment="1">
      <alignment horizontal="center"/>
    </xf>
    <xf numFmtId="38" fontId="18" fillId="0" borderId="26" xfId="352" applyNumberFormat="1" applyFont="1" applyBorder="1" applyAlignment="1">
      <alignment horizontal="center"/>
    </xf>
    <xf numFmtId="38" fontId="29" fillId="0" borderId="0" xfId="352" applyNumberFormat="1" applyFont="1" applyAlignment="1">
      <alignment horizontal="center"/>
    </xf>
    <xf numFmtId="184" fontId="29" fillId="0" borderId="0" xfId="3" applyNumberFormat="1" applyFont="1" applyFill="1" applyBorder="1" applyAlignment="1">
      <alignment horizontal="center"/>
    </xf>
    <xf numFmtId="0" fontId="21" fillId="0" borderId="0" xfId="0" applyFont="1"/>
    <xf numFmtId="219" fontId="21" fillId="0" borderId="0" xfId="352" applyFont="1" applyAlignment="1">
      <alignment horizontal="left" indent="1"/>
    </xf>
    <xf numFmtId="184" fontId="21" fillId="0" borderId="0" xfId="3" applyNumberFormat="1" applyFont="1" applyBorder="1" applyAlignment="1">
      <alignment horizontal="center"/>
    </xf>
    <xf numFmtId="184" fontId="21" fillId="0" borderId="0" xfId="3" applyNumberFormat="1" applyFont="1" applyFill="1" applyBorder="1" applyAlignment="1">
      <alignment horizontal="center"/>
    </xf>
    <xf numFmtId="184" fontId="30" fillId="0" borderId="26" xfId="3" applyNumberFormat="1" applyFont="1" applyFill="1" applyBorder="1" applyAlignment="1">
      <alignment horizontal="center"/>
    </xf>
    <xf numFmtId="184" fontId="24" fillId="0" borderId="0" xfId="3" applyNumberFormat="1" applyFont="1" applyFill="1" applyBorder="1" applyAlignment="1">
      <alignment horizontal="center"/>
    </xf>
    <xf numFmtId="184" fontId="23" fillId="0" borderId="0" xfId="3" applyNumberFormat="1" applyFont="1" applyFill="1" applyBorder="1" applyAlignment="1">
      <alignment horizontal="center"/>
    </xf>
    <xf numFmtId="184" fontId="27" fillId="0" borderId="0" xfId="3" applyNumberFormat="1" applyFont="1" applyBorder="1" applyAlignment="1">
      <alignment horizontal="center"/>
    </xf>
    <xf numFmtId="184" fontId="30" fillId="0" borderId="26" xfId="3" applyNumberFormat="1" applyFont="1" applyBorder="1" applyAlignment="1">
      <alignment horizontal="center"/>
    </xf>
    <xf numFmtId="40" fontId="21" fillId="0" borderId="0" xfId="352" applyNumberFormat="1" applyFont="1" applyAlignment="1">
      <alignment horizontal="center"/>
    </xf>
    <xf numFmtId="38" fontId="31" fillId="0" borderId="26" xfId="352" applyNumberFormat="1" applyFont="1" applyBorder="1" applyAlignment="1">
      <alignment horizontal="center"/>
    </xf>
    <xf numFmtId="279" fontId="21" fillId="0" borderId="0" xfId="352" applyNumberFormat="1" applyFont="1" applyAlignment="1">
      <alignment horizontal="center"/>
    </xf>
    <xf numFmtId="184" fontId="27" fillId="0" borderId="0" xfId="3" applyNumberFormat="1" applyFont="1" applyBorder="1" applyAlignment="1">
      <alignment horizontal="left"/>
    </xf>
    <xf numFmtId="38" fontId="18" fillId="19" borderId="0" xfId="352" applyNumberFormat="1" applyFont="1" applyFill="1"/>
    <xf numFmtId="38" fontId="19" fillId="19" borderId="0" xfId="352" applyNumberFormat="1" applyFont="1" applyFill="1" applyAlignment="1">
      <alignment horizontal="center"/>
    </xf>
    <xf numFmtId="38" fontId="18" fillId="19" borderId="0" xfId="352" applyNumberFormat="1" applyFont="1" applyFill="1" applyAlignment="1">
      <alignment horizontal="center"/>
    </xf>
    <xf numFmtId="38" fontId="18" fillId="19" borderId="26" xfId="352" applyNumberFormat="1" applyFont="1" applyFill="1" applyBorder="1" applyAlignment="1">
      <alignment horizontal="center"/>
    </xf>
    <xf numFmtId="219" fontId="21" fillId="19" borderId="0" xfId="352" applyFont="1" applyFill="1" applyAlignment="1">
      <alignment horizontal="left" indent="1"/>
    </xf>
    <xf numFmtId="184" fontId="20" fillId="19" borderId="0" xfId="3" applyNumberFormat="1" applyFont="1" applyFill="1" applyBorder="1" applyAlignment="1">
      <alignment horizontal="center"/>
    </xf>
    <xf numFmtId="184" fontId="21" fillId="19" borderId="0" xfId="3" applyNumberFormat="1" applyFont="1" applyFill="1" applyBorder="1" applyAlignment="1">
      <alignment horizontal="center"/>
    </xf>
    <xf numFmtId="184" fontId="21" fillId="19" borderId="26" xfId="3" applyNumberFormat="1" applyFont="1" applyFill="1" applyBorder="1" applyAlignment="1">
      <alignment horizontal="center"/>
    </xf>
    <xf numFmtId="38" fontId="19" fillId="19" borderId="0" xfId="352" applyNumberFormat="1" applyFont="1" applyFill="1" applyAlignment="1">
      <alignment horizontal="right"/>
    </xf>
    <xf numFmtId="219" fontId="20" fillId="19" borderId="0" xfId="352" applyFont="1" applyFill="1" applyAlignment="1">
      <alignment horizontal="right"/>
    </xf>
    <xf numFmtId="184" fontId="21" fillId="0" borderId="26" xfId="3" applyNumberFormat="1" applyFont="1" applyFill="1" applyBorder="1" applyAlignment="1">
      <alignment horizontal="center"/>
    </xf>
    <xf numFmtId="184" fontId="21" fillId="0" borderId="26" xfId="3" applyNumberFormat="1" applyFont="1" applyBorder="1" applyAlignment="1">
      <alignment horizontal="center"/>
    </xf>
    <xf numFmtId="38" fontId="18" fillId="20" borderId="0" xfId="352" applyNumberFormat="1" applyFont="1" applyFill="1"/>
    <xf numFmtId="38" fontId="21" fillId="0" borderId="0" xfId="352" applyNumberFormat="1" applyFont="1" applyAlignment="1">
      <alignment horizontal="right"/>
    </xf>
    <xf numFmtId="38" fontId="18" fillId="20" borderId="0" xfId="352" applyNumberFormat="1" applyFont="1" applyFill="1" applyAlignment="1">
      <alignment horizontal="center"/>
    </xf>
    <xf numFmtId="38" fontId="18" fillId="20" borderId="26" xfId="352" applyNumberFormat="1" applyFont="1" applyFill="1" applyBorder="1" applyAlignment="1">
      <alignment horizontal="center"/>
    </xf>
    <xf numFmtId="219" fontId="20" fillId="0" borderId="0" xfId="352" applyFont="1" applyAlignment="1">
      <alignment horizontal="left" indent="1"/>
    </xf>
    <xf numFmtId="219" fontId="20" fillId="0" borderId="0" xfId="352" applyFont="1" applyAlignment="1">
      <alignment horizontal="right"/>
    </xf>
    <xf numFmtId="184" fontId="20" fillId="0" borderId="0" xfId="3" applyNumberFormat="1" applyFont="1" applyBorder="1" applyAlignment="1">
      <alignment horizontal="center"/>
    </xf>
    <xf numFmtId="176" fontId="21" fillId="0" borderId="0" xfId="1" applyFont="1" applyBorder="1" applyAlignment="1">
      <alignment horizontal="center"/>
    </xf>
    <xf numFmtId="184" fontId="18" fillId="0" borderId="26" xfId="3" applyNumberFormat="1" applyFont="1" applyFill="1" applyBorder="1" applyAlignment="1">
      <alignment horizontal="center"/>
    </xf>
    <xf numFmtId="10" fontId="18" fillId="0" borderId="0" xfId="3" applyNumberFormat="1" applyFont="1" applyFill="1" applyBorder="1" applyAlignment="1">
      <alignment horizontal="center"/>
    </xf>
    <xf numFmtId="38" fontId="21" fillId="0" borderId="0" xfId="352" applyNumberFormat="1" applyFont="1" applyAlignment="1">
      <alignment horizontal="center"/>
    </xf>
    <xf numFmtId="0" fontId="18" fillId="0" borderId="26" xfId="3" applyNumberFormat="1" applyFont="1" applyFill="1" applyBorder="1" applyAlignment="1">
      <alignment horizontal="center"/>
    </xf>
    <xf numFmtId="184" fontId="32" fillId="0" borderId="0" xfId="3" applyNumberFormat="1" applyFont="1" applyBorder="1" applyAlignment="1">
      <alignment horizontal="center"/>
    </xf>
    <xf numFmtId="40" fontId="32" fillId="0" borderId="0" xfId="352" applyNumberFormat="1" applyFont="1" applyAlignment="1">
      <alignment horizontal="center"/>
    </xf>
    <xf numFmtId="9" fontId="26" fillId="11" borderId="0" xfId="3" applyFont="1" applyFill="1" applyBorder="1" applyAlignment="1">
      <alignment horizontal="center"/>
    </xf>
    <xf numFmtId="0" fontId="18" fillId="0" borderId="0" xfId="352" applyNumberFormat="1" applyFont="1" applyAlignment="1">
      <alignment horizontal="right"/>
    </xf>
    <xf numFmtId="219" fontId="18" fillId="0" borderId="0" xfId="352" applyFont="1" applyAlignment="1">
      <alignment horizontal="right"/>
    </xf>
    <xf numFmtId="38" fontId="18" fillId="21" borderId="0" xfId="352" applyNumberFormat="1" applyFont="1" applyFill="1" applyAlignment="1">
      <alignment horizontal="center"/>
    </xf>
    <xf numFmtId="314" fontId="18" fillId="0" borderId="0" xfId="352" applyNumberFormat="1" applyFont="1"/>
    <xf numFmtId="9" fontId="29" fillId="0" borderId="0" xfId="3" applyFont="1" applyBorder="1" applyAlignment="1">
      <alignment horizontal="right"/>
    </xf>
    <xf numFmtId="10" fontId="21" fillId="0" borderId="0" xfId="3" applyNumberFormat="1" applyFont="1" applyBorder="1" applyAlignment="1">
      <alignment horizontal="right"/>
    </xf>
    <xf numFmtId="10" fontId="21" fillId="0" borderId="0" xfId="3" applyNumberFormat="1" applyFont="1" applyBorder="1"/>
    <xf numFmtId="184" fontId="21" fillId="16" borderId="0" xfId="3" applyNumberFormat="1" applyFont="1" applyFill="1" applyBorder="1" applyAlignment="1">
      <alignment horizontal="center"/>
    </xf>
    <xf numFmtId="184" fontId="21" fillId="16" borderId="26" xfId="3" applyNumberFormat="1" applyFont="1" applyFill="1" applyBorder="1" applyAlignment="1">
      <alignment horizontal="center"/>
    </xf>
    <xf numFmtId="184" fontId="23" fillId="21" borderId="0" xfId="3" applyNumberFormat="1" applyFont="1" applyFill="1" applyBorder="1" applyAlignment="1">
      <alignment horizontal="center"/>
    </xf>
    <xf numFmtId="219" fontId="24" fillId="0" borderId="0" xfId="352" applyFont="1" applyAlignment="1">
      <alignment horizontal="right"/>
    </xf>
    <xf numFmtId="184" fontId="21" fillId="0" borderId="0" xfId="3" applyNumberFormat="1" applyFont="1" applyBorder="1" applyAlignment="1">
      <alignment horizontal="right"/>
    </xf>
    <xf numFmtId="38" fontId="18" fillId="16" borderId="0" xfId="352" applyNumberFormat="1" applyFont="1" applyFill="1" applyAlignment="1">
      <alignment horizontal="center"/>
    </xf>
    <xf numFmtId="38" fontId="18" fillId="16" borderId="26" xfId="352" applyNumberFormat="1" applyFont="1" applyFill="1" applyBorder="1" applyAlignment="1">
      <alignment horizontal="center"/>
    </xf>
    <xf numFmtId="219" fontId="25" fillId="22" borderId="0" xfId="352" applyFont="1" applyFill="1" applyAlignment="1">
      <alignment horizontal="left" textRotation="255"/>
    </xf>
    <xf numFmtId="219" fontId="18" fillId="11" borderId="0" xfId="352" applyFont="1" applyFill="1" applyAlignment="1">
      <alignment horizontal="center"/>
    </xf>
    <xf numFmtId="2" fontId="18" fillId="0" borderId="0" xfId="352" applyNumberFormat="1" applyFont="1"/>
    <xf numFmtId="2" fontId="21" fillId="0" borderId="0" xfId="3" applyNumberFormat="1" applyFont="1" applyBorder="1" applyAlignment="1">
      <alignment horizontal="right"/>
    </xf>
    <xf numFmtId="2" fontId="21" fillId="0" borderId="0" xfId="3" applyNumberFormat="1" applyFont="1" applyBorder="1"/>
    <xf numFmtId="2" fontId="18" fillId="0" borderId="0" xfId="352" applyNumberFormat="1" applyFont="1" applyAlignment="1">
      <alignment horizontal="right"/>
    </xf>
    <xf numFmtId="38" fontId="29" fillId="20" borderId="0" xfId="352" applyNumberFormat="1" applyFont="1" applyFill="1" applyAlignment="1">
      <alignment horizontal="center"/>
    </xf>
    <xf numFmtId="38" fontId="25" fillId="0" borderId="0" xfId="352" applyNumberFormat="1" applyFont="1" applyAlignment="1">
      <alignment horizontal="left"/>
    </xf>
    <xf numFmtId="184" fontId="24" fillId="0" borderId="0" xfId="3" applyNumberFormat="1" applyFont="1" applyBorder="1" applyAlignment="1">
      <alignment horizontal="center"/>
    </xf>
    <xf numFmtId="9" fontId="24" fillId="0" borderId="0" xfId="3" applyFont="1" applyBorder="1" applyAlignment="1">
      <alignment horizontal="center"/>
    </xf>
    <xf numFmtId="2" fontId="21" fillId="23" borderId="0" xfId="3" applyNumberFormat="1" applyFont="1" applyFill="1" applyBorder="1" applyAlignment="1">
      <alignment horizontal="center"/>
    </xf>
    <xf numFmtId="2" fontId="21" fillId="23" borderId="26" xfId="3" applyNumberFormat="1" applyFont="1" applyFill="1" applyBorder="1" applyAlignment="1">
      <alignment horizontal="center"/>
    </xf>
    <xf numFmtId="38" fontId="24" fillId="0" borderId="0" xfId="352" applyNumberFormat="1" applyFont="1" applyAlignment="1">
      <alignment horizontal="center"/>
    </xf>
    <xf numFmtId="219" fontId="29" fillId="11" borderId="0" xfId="352" applyFont="1" applyFill="1" applyAlignment="1">
      <alignment horizontal="center"/>
    </xf>
    <xf numFmtId="219" fontId="21" fillId="0" borderId="26" xfId="352" applyFont="1" applyBorder="1" applyAlignment="1">
      <alignment horizontal="right"/>
    </xf>
    <xf numFmtId="219" fontId="21" fillId="0" borderId="27" xfId="352" applyFont="1" applyBorder="1" applyAlignment="1">
      <alignment horizontal="right"/>
    </xf>
    <xf numFmtId="9" fontId="21" fillId="0" borderId="0" xfId="3" applyFont="1" applyBorder="1" applyAlignment="1">
      <alignment horizontal="right"/>
    </xf>
    <xf numFmtId="219" fontId="21" fillId="0" borderId="0" xfId="352" applyFont="1" applyAlignment="1">
      <alignment horizontal="left"/>
    </xf>
    <xf numFmtId="38" fontId="21" fillId="0" borderId="26" xfId="352" applyNumberFormat="1" applyFont="1" applyBorder="1" applyAlignment="1">
      <alignment horizontal="center"/>
    </xf>
    <xf numFmtId="38" fontId="18" fillId="0" borderId="0" xfId="352" applyNumberFormat="1" applyFont="1" applyAlignment="1">
      <alignment horizontal="left" indent="1"/>
    </xf>
    <xf numFmtId="9" fontId="18" fillId="0" borderId="0" xfId="3" applyFont="1" applyBorder="1" applyAlignment="1">
      <alignment horizontal="center"/>
    </xf>
    <xf numFmtId="184" fontId="18" fillId="0" borderId="0" xfId="3" applyNumberFormat="1" applyFont="1" applyBorder="1" applyAlignment="1">
      <alignment horizontal="center"/>
    </xf>
    <xf numFmtId="184" fontId="18" fillId="16" borderId="0" xfId="3" applyNumberFormat="1" applyFont="1" applyFill="1" applyBorder="1" applyAlignment="1">
      <alignment horizontal="center"/>
    </xf>
    <xf numFmtId="184" fontId="18" fillId="16" borderId="26" xfId="3" applyNumberFormat="1" applyFont="1" applyFill="1" applyBorder="1" applyAlignment="1">
      <alignment horizontal="center"/>
    </xf>
    <xf numFmtId="184" fontId="33" fillId="0" borderId="0" xfId="3" applyNumberFormat="1" applyFont="1" applyFill="1" applyBorder="1" applyAlignment="1">
      <alignment horizontal="center"/>
    </xf>
    <xf numFmtId="184" fontId="18" fillId="0" borderId="0" xfId="3" applyNumberFormat="1" applyFont="1" applyBorder="1"/>
    <xf numFmtId="219" fontId="18" fillId="0" borderId="26" xfId="352" applyFont="1" applyBorder="1" applyAlignment="1">
      <alignment horizontal="right"/>
    </xf>
    <xf numFmtId="219" fontId="18" fillId="0" borderId="27" xfId="352" applyFont="1" applyBorder="1" applyAlignment="1">
      <alignment horizontal="right"/>
    </xf>
    <xf numFmtId="9" fontId="18" fillId="0" borderId="0" xfId="3" applyFont="1" applyBorder="1" applyAlignment="1">
      <alignment horizontal="right"/>
    </xf>
    <xf numFmtId="184" fontId="18" fillId="0" borderId="26" xfId="3" applyNumberFormat="1" applyFont="1" applyBorder="1" applyAlignment="1">
      <alignment horizontal="center"/>
    </xf>
    <xf numFmtId="219" fontId="18" fillId="0" borderId="0" xfId="352" applyFont="1" applyAlignment="1">
      <alignment horizontal="left"/>
    </xf>
    <xf numFmtId="38" fontId="21" fillId="0" borderId="0" xfId="352" applyNumberFormat="1" applyFont="1" applyAlignment="1">
      <alignment horizontal="left" indent="1"/>
    </xf>
    <xf numFmtId="219" fontId="21" fillId="16" borderId="0" xfId="352" applyFont="1" applyFill="1" applyAlignment="1">
      <alignment horizontal="center"/>
    </xf>
    <xf numFmtId="219" fontId="21" fillId="16" borderId="26" xfId="352" applyFont="1" applyFill="1" applyBorder="1" applyAlignment="1">
      <alignment horizontal="center"/>
    </xf>
    <xf numFmtId="219" fontId="29" fillId="0" borderId="0" xfId="352" applyFont="1" applyAlignment="1">
      <alignment horizontal="right"/>
    </xf>
    <xf numFmtId="1" fontId="21" fillId="0" borderId="0" xfId="3" applyNumberFormat="1" applyFont="1" applyBorder="1" applyAlignment="1">
      <alignment horizontal="center"/>
    </xf>
    <xf numFmtId="1" fontId="21" fillId="0" borderId="26" xfId="3" applyNumberFormat="1" applyFont="1" applyBorder="1" applyAlignment="1">
      <alignment horizontal="center"/>
    </xf>
    <xf numFmtId="184" fontId="18" fillId="0" borderId="0" xfId="3" applyNumberFormat="1" applyFont="1" applyFill="1" applyBorder="1" applyAlignment="1">
      <alignment horizontal="center"/>
    </xf>
    <xf numFmtId="184" fontId="29" fillId="0" borderId="0" xfId="3" applyNumberFormat="1" applyFont="1" applyBorder="1" applyAlignment="1">
      <alignment horizontal="right"/>
    </xf>
    <xf numFmtId="184" fontId="18" fillId="0" borderId="0" xfId="3" applyNumberFormat="1" applyFont="1" applyBorder="1" applyAlignment="1">
      <alignment horizontal="right"/>
    </xf>
    <xf numFmtId="184" fontId="24" fillId="0" borderId="0" xfId="3" applyNumberFormat="1" applyFont="1" applyBorder="1" applyAlignment="1">
      <alignment horizontal="right"/>
    </xf>
    <xf numFmtId="9" fontId="21" fillId="0" borderId="0" xfId="3" applyFont="1" applyBorder="1" applyAlignment="1">
      <alignment horizontal="center"/>
    </xf>
    <xf numFmtId="9" fontId="21" fillId="16" borderId="0" xfId="3" applyFont="1" applyFill="1" applyBorder="1" applyAlignment="1">
      <alignment horizontal="center"/>
    </xf>
    <xf numFmtId="9" fontId="21" fillId="16" borderId="26" xfId="3" applyFont="1" applyFill="1" applyBorder="1" applyAlignment="1">
      <alignment horizontal="center"/>
    </xf>
    <xf numFmtId="220" fontId="21" fillId="0" borderId="0" xfId="3" applyNumberFormat="1" applyFont="1" applyBorder="1" applyAlignment="1">
      <alignment horizontal="center"/>
    </xf>
    <xf numFmtId="313" fontId="21" fillId="0" borderId="26" xfId="3" applyNumberFormat="1" applyFont="1" applyBorder="1" applyAlignment="1">
      <alignment horizontal="center"/>
    </xf>
    <xf numFmtId="0" fontId="21" fillId="0" borderId="0" xfId="352" applyNumberFormat="1" applyFont="1"/>
    <xf numFmtId="219" fontId="18" fillId="0" borderId="0" xfId="352" applyFont="1" applyAlignment="1">
      <alignment horizontal="center"/>
    </xf>
    <xf numFmtId="219" fontId="18" fillId="0" borderId="26" xfId="352" applyFont="1" applyBorder="1" applyAlignment="1">
      <alignment horizontal="center"/>
    </xf>
    <xf numFmtId="0" fontId="18" fillId="0" borderId="0" xfId="352" applyNumberFormat="1" applyFont="1" applyAlignment="1">
      <alignment horizontal="center"/>
    </xf>
    <xf numFmtId="219" fontId="18" fillId="14" borderId="0" xfId="352" applyFont="1" applyFill="1" applyAlignment="1">
      <alignment horizontal="center"/>
    </xf>
    <xf numFmtId="184" fontId="21" fillId="14" borderId="0" xfId="3" applyNumberFormat="1" applyFont="1" applyFill="1" applyBorder="1" applyAlignment="1">
      <alignment horizontal="center"/>
    </xf>
    <xf numFmtId="219" fontId="29" fillId="0" borderId="0" xfId="352" applyFont="1" applyAlignment="1">
      <alignment horizontal="center"/>
    </xf>
    <xf numFmtId="184" fontId="29" fillId="0" borderId="0" xfId="3" applyNumberFormat="1" applyFont="1" applyBorder="1" applyAlignment="1">
      <alignment horizontal="center"/>
    </xf>
    <xf numFmtId="184" fontId="23" fillId="0" borderId="0" xfId="3" applyNumberFormat="1" applyFont="1" applyBorder="1" applyAlignment="1">
      <alignment horizontal="center"/>
    </xf>
    <xf numFmtId="184" fontId="23" fillId="14" borderId="0" xfId="3" applyNumberFormat="1" applyFont="1" applyFill="1" applyBorder="1" applyAlignment="1">
      <alignment horizontal="center"/>
    </xf>
    <xf numFmtId="40" fontId="18" fillId="0" borderId="0" xfId="352" applyNumberFormat="1" applyFont="1" applyAlignment="1">
      <alignment horizontal="center"/>
    </xf>
    <xf numFmtId="219" fontId="31" fillId="0" borderId="26" xfId="352" applyFont="1" applyBorder="1" applyAlignment="1">
      <alignment horizontal="center"/>
    </xf>
    <xf numFmtId="314" fontId="24" fillId="0" borderId="0" xfId="352" applyNumberFormat="1" applyFont="1" applyAlignment="1">
      <alignment horizontal="center"/>
    </xf>
    <xf numFmtId="9" fontId="18" fillId="0" borderId="0" xfId="3" applyFont="1" applyBorder="1"/>
    <xf numFmtId="9" fontId="23" fillId="0" borderId="0" xfId="3" applyFont="1" applyBorder="1" applyAlignment="1">
      <alignment horizontal="center"/>
    </xf>
    <xf numFmtId="219" fontId="34" fillId="0" borderId="0" xfId="352" applyFont="1" applyAlignment="1">
      <alignment horizontal="right"/>
    </xf>
    <xf numFmtId="219" fontId="35" fillId="0" borderId="0" xfId="352" applyFont="1" applyAlignment="1">
      <alignment horizontal="center"/>
    </xf>
    <xf numFmtId="38" fontId="31" fillId="16" borderId="26" xfId="352" applyNumberFormat="1" applyFont="1" applyFill="1" applyBorder="1" applyAlignment="1">
      <alignment horizontal="center"/>
    </xf>
    <xf numFmtId="38" fontId="18" fillId="2" borderId="0" xfId="352" applyNumberFormat="1" applyFont="1" applyFill="1" applyAlignment="1">
      <alignment horizontal="center"/>
    </xf>
    <xf numFmtId="38" fontId="34" fillId="0" borderId="0" xfId="352" applyNumberFormat="1" applyFont="1" applyAlignment="1">
      <alignment horizontal="center"/>
    </xf>
    <xf numFmtId="184" fontId="30" fillId="16" borderId="26" xfId="3" applyNumberFormat="1" applyFont="1" applyFill="1" applyBorder="1" applyAlignment="1">
      <alignment horizontal="center"/>
    </xf>
    <xf numFmtId="219" fontId="18" fillId="0" borderId="0" xfId="352" applyFont="1" applyAlignment="1">
      <alignment horizontal="left" indent="1"/>
    </xf>
    <xf numFmtId="0" fontId="21" fillId="0" borderId="0" xfId="3" applyNumberFormat="1" applyFont="1" applyBorder="1" applyAlignment="1">
      <alignment horizontal="center"/>
    </xf>
    <xf numFmtId="225" fontId="18" fillId="0" borderId="0" xfId="352" applyNumberFormat="1" applyFont="1"/>
    <xf numFmtId="219" fontId="18" fillId="20" borderId="0" xfId="352" applyFont="1" applyFill="1" applyAlignment="1">
      <alignment horizontal="center"/>
    </xf>
    <xf numFmtId="220" fontId="21" fillId="0" borderId="26" xfId="3" applyNumberFormat="1" applyFont="1" applyBorder="1" applyAlignment="1">
      <alignment horizontal="center"/>
    </xf>
    <xf numFmtId="219" fontId="18" fillId="20" borderId="0" xfId="352" applyFont="1" applyFill="1"/>
    <xf numFmtId="184" fontId="21" fillId="16" borderId="0" xfId="3" applyNumberFormat="1" applyFont="1" applyFill="1" applyBorder="1"/>
    <xf numFmtId="184" fontId="21" fillId="0" borderId="26" xfId="3" applyNumberFormat="1" applyFont="1" applyBorder="1"/>
    <xf numFmtId="219" fontId="36" fillId="10" borderId="0" xfId="352" applyFont="1" applyFill="1"/>
    <xf numFmtId="219" fontId="37" fillId="10" borderId="0" xfId="352" applyFont="1" applyFill="1" applyAlignment="1">
      <alignment horizontal="right"/>
    </xf>
    <xf numFmtId="184" fontId="37" fillId="10" borderId="0" xfId="3" applyNumberFormat="1" applyFont="1" applyFill="1" applyBorder="1" applyAlignment="1">
      <alignment horizontal="center"/>
    </xf>
    <xf numFmtId="219" fontId="37" fillId="10" borderId="0" xfId="484" applyFont="1" applyFill="1" applyAlignment="1">
      <alignment horizontal="center"/>
    </xf>
    <xf numFmtId="219" fontId="37" fillId="10" borderId="26" xfId="352" applyFont="1" applyFill="1" applyBorder="1" applyAlignment="1">
      <alignment horizontal="center"/>
    </xf>
    <xf numFmtId="219" fontId="37" fillId="10" borderId="0" xfId="352" applyFont="1" applyFill="1" applyAlignment="1">
      <alignment horizontal="center"/>
    </xf>
    <xf numFmtId="38" fontId="27" fillId="0" borderId="0" xfId="352" applyNumberFormat="1" applyFont="1" applyAlignment="1">
      <alignment horizontal="left"/>
    </xf>
    <xf numFmtId="219" fontId="21" fillId="0" borderId="0" xfId="484" applyFont="1" applyAlignment="1">
      <alignment horizontal="center"/>
    </xf>
    <xf numFmtId="219" fontId="31" fillId="0" borderId="0" xfId="352" applyFont="1" applyAlignment="1">
      <alignment horizontal="center"/>
    </xf>
    <xf numFmtId="184" fontId="30" fillId="0" borderId="0" xfId="3" applyNumberFormat="1" applyFont="1" applyBorder="1" applyAlignment="1">
      <alignment horizontal="center"/>
    </xf>
    <xf numFmtId="314" fontId="27" fillId="0" borderId="0" xfId="352" applyNumberFormat="1" applyFont="1" applyAlignment="1">
      <alignment horizontal="left"/>
    </xf>
    <xf numFmtId="184" fontId="38" fillId="0" borderId="0" xfId="3" applyNumberFormat="1" applyFont="1" applyBorder="1" applyAlignment="1">
      <alignment horizontal="center"/>
    </xf>
    <xf numFmtId="219" fontId="39" fillId="0" borderId="0" xfId="352" applyFont="1" applyAlignment="1">
      <alignment horizontal="center"/>
    </xf>
    <xf numFmtId="184" fontId="27" fillId="0" borderId="0" xfId="3" applyNumberFormat="1" applyFont="1" applyFill="1" applyBorder="1" applyAlignment="1">
      <alignment horizontal="left"/>
    </xf>
    <xf numFmtId="219" fontId="20" fillId="0" borderId="0" xfId="352" applyFont="1" applyAlignment="1">
      <alignment horizontal="center"/>
    </xf>
    <xf numFmtId="184" fontId="30" fillId="2" borderId="0" xfId="3" applyNumberFormat="1" applyFont="1" applyFill="1" applyBorder="1" applyAlignment="1">
      <alignment horizontal="center"/>
    </xf>
    <xf numFmtId="184" fontId="38" fillId="2" borderId="0" xfId="3" applyNumberFormat="1" applyFont="1" applyFill="1" applyBorder="1" applyAlignment="1">
      <alignment horizontal="center"/>
    </xf>
    <xf numFmtId="40" fontId="27" fillId="0" borderId="0" xfId="352" applyNumberFormat="1" applyFont="1" applyAlignment="1">
      <alignment horizontal="left"/>
    </xf>
    <xf numFmtId="184" fontId="23" fillId="2" borderId="0" xfId="3" applyNumberFormat="1" applyFont="1" applyFill="1" applyBorder="1" applyAlignment="1">
      <alignment horizontal="center"/>
    </xf>
    <xf numFmtId="0" fontId="31" fillId="0" borderId="0" xfId="352" applyNumberFormat="1" applyFont="1" applyAlignment="1">
      <alignment horizontal="center"/>
    </xf>
    <xf numFmtId="1" fontId="31" fillId="0" borderId="0" xfId="352" applyNumberFormat="1" applyFont="1" applyAlignment="1">
      <alignment horizontal="center"/>
    </xf>
    <xf numFmtId="219" fontId="40" fillId="0" borderId="0" xfId="352" applyFont="1" applyAlignment="1">
      <alignment horizontal="left"/>
    </xf>
    <xf numFmtId="219" fontId="30" fillId="0" borderId="0" xfId="352" applyFont="1"/>
    <xf numFmtId="219" fontId="30" fillId="0" borderId="0" xfId="352" applyFont="1" applyAlignment="1">
      <alignment horizontal="center"/>
    </xf>
    <xf numFmtId="219" fontId="31" fillId="0" borderId="0" xfId="352" applyFont="1" applyAlignment="1">
      <alignment horizontal="left"/>
    </xf>
    <xf numFmtId="279" fontId="24" fillId="0" borderId="0" xfId="352" applyNumberFormat="1" applyFont="1" applyAlignment="1">
      <alignment horizontal="center"/>
    </xf>
    <xf numFmtId="219" fontId="18" fillId="0" borderId="0" xfId="484" applyFont="1" applyAlignment="1">
      <alignment horizontal="center"/>
    </xf>
    <xf numFmtId="9" fontId="21" fillId="0" borderId="26" xfId="3" applyFont="1" applyFill="1" applyBorder="1" applyAlignment="1">
      <alignment horizontal="center"/>
    </xf>
    <xf numFmtId="9" fontId="38" fillId="0" borderId="0" xfId="3" applyFont="1" applyFill="1" applyBorder="1" applyAlignment="1">
      <alignment horizontal="center"/>
    </xf>
    <xf numFmtId="9" fontId="21" fillId="0" borderId="0" xfId="3" applyFont="1" applyFill="1" applyBorder="1" applyAlignment="1">
      <alignment horizontal="center"/>
    </xf>
    <xf numFmtId="40" fontId="21" fillId="0" borderId="0" xfId="484" applyNumberFormat="1" applyFont="1" applyAlignment="1">
      <alignment horizontal="center"/>
    </xf>
    <xf numFmtId="9" fontId="21" fillId="2" borderId="0" xfId="3" applyFont="1" applyFill="1" applyBorder="1" applyAlignment="1">
      <alignment horizontal="center"/>
    </xf>
    <xf numFmtId="184" fontId="21" fillId="2" borderId="0" xfId="3" applyNumberFormat="1" applyFont="1" applyFill="1" applyBorder="1" applyAlignment="1">
      <alignment horizontal="center"/>
    </xf>
    <xf numFmtId="9" fontId="21" fillId="0" borderId="26" xfId="3" applyFont="1" applyBorder="1" applyAlignment="1">
      <alignment horizontal="center"/>
    </xf>
    <xf numFmtId="38" fontId="21" fillId="2" borderId="0" xfId="352" applyNumberFormat="1" applyFont="1" applyFill="1" applyAlignment="1">
      <alignment horizontal="center"/>
    </xf>
    <xf numFmtId="219" fontId="27" fillId="0" borderId="0" xfId="352" applyFont="1" applyAlignment="1">
      <alignment horizontal="left"/>
    </xf>
    <xf numFmtId="219" fontId="41" fillId="0" borderId="0" xfId="352" applyFont="1"/>
    <xf numFmtId="279" fontId="41" fillId="0" borderId="0" xfId="352" applyNumberFormat="1" applyFont="1"/>
    <xf numFmtId="184" fontId="41" fillId="0" borderId="0" xfId="3" applyNumberFormat="1" applyFont="1" applyBorder="1" applyAlignment="1">
      <alignment horizontal="center"/>
    </xf>
    <xf numFmtId="220" fontId="41" fillId="0" borderId="0" xfId="3" applyNumberFormat="1" applyFont="1" applyBorder="1" applyAlignment="1">
      <alignment horizontal="center"/>
    </xf>
    <xf numFmtId="9" fontId="41" fillId="0" borderId="0" xfId="3" applyFont="1" applyBorder="1" applyAlignment="1">
      <alignment horizontal="center"/>
    </xf>
    <xf numFmtId="9" fontId="29" fillId="0" borderId="0" xfId="3" applyFont="1" applyBorder="1" applyAlignment="1">
      <alignment horizontal="center"/>
    </xf>
    <xf numFmtId="219" fontId="18" fillId="24" borderId="0" xfId="352" applyFont="1" applyFill="1" applyAlignment="1">
      <alignment horizontal="left"/>
    </xf>
    <xf numFmtId="9" fontId="21" fillId="24" borderId="0" xfId="3" applyFont="1" applyFill="1" applyBorder="1" applyAlignment="1">
      <alignment horizontal="center"/>
    </xf>
    <xf numFmtId="9" fontId="21" fillId="24" borderId="26" xfId="3" applyFont="1" applyFill="1" applyBorder="1" applyAlignment="1">
      <alignment horizontal="center"/>
    </xf>
    <xf numFmtId="9" fontId="30" fillId="0" borderId="0" xfId="3" applyFont="1" applyBorder="1" applyAlignment="1">
      <alignment horizontal="center"/>
    </xf>
    <xf numFmtId="1" fontId="30" fillId="0" borderId="0" xfId="3" applyNumberFormat="1" applyFont="1" applyBorder="1" applyAlignment="1">
      <alignment horizontal="center"/>
    </xf>
    <xf numFmtId="9" fontId="31" fillId="0" borderId="0" xfId="3" applyFont="1" applyBorder="1" applyAlignment="1">
      <alignment horizontal="center"/>
    </xf>
    <xf numFmtId="184" fontId="31" fillId="0" borderId="0" xfId="3" applyNumberFormat="1" applyFont="1" applyBorder="1" applyAlignment="1">
      <alignment horizontal="center"/>
    </xf>
    <xf numFmtId="40" fontId="24" fillId="0" borderId="0" xfId="352" applyNumberFormat="1" applyFont="1" applyAlignment="1">
      <alignment horizontal="center"/>
    </xf>
    <xf numFmtId="219" fontId="18" fillId="25" borderId="0" xfId="352" applyFont="1" applyFill="1" applyAlignment="1">
      <alignment horizontal="left"/>
    </xf>
    <xf numFmtId="38" fontId="18" fillId="25" borderId="0" xfId="352" applyNumberFormat="1" applyFont="1" applyFill="1" applyAlignment="1">
      <alignment horizontal="center"/>
    </xf>
    <xf numFmtId="38" fontId="18" fillId="25" borderId="26" xfId="352" applyNumberFormat="1" applyFont="1" applyFill="1" applyBorder="1" applyAlignment="1">
      <alignment horizontal="center"/>
    </xf>
    <xf numFmtId="38" fontId="18" fillId="14" borderId="0" xfId="352" applyNumberFormat="1" applyFont="1" applyFill="1" applyAlignment="1">
      <alignment horizontal="center"/>
    </xf>
    <xf numFmtId="219" fontId="26" fillId="11" borderId="0" xfId="484" applyFont="1" applyFill="1" applyAlignment="1">
      <alignment horizontal="right"/>
    </xf>
    <xf numFmtId="219" fontId="26" fillId="11" borderId="0" xfId="484" applyFont="1" applyFill="1" applyAlignment="1">
      <alignment horizontal="center"/>
    </xf>
    <xf numFmtId="219" fontId="26" fillId="11" borderId="26" xfId="484" applyFont="1" applyFill="1" applyBorder="1" applyAlignment="1">
      <alignment horizontal="center"/>
    </xf>
    <xf numFmtId="219" fontId="18" fillId="12" borderId="0" xfId="352" applyFont="1" applyFill="1" applyAlignment="1">
      <alignment horizontal="right"/>
    </xf>
    <xf numFmtId="225" fontId="18" fillId="20" borderId="0" xfId="352" applyNumberFormat="1" applyFont="1" applyFill="1" applyAlignment="1">
      <alignment horizontal="right"/>
    </xf>
    <xf numFmtId="225" fontId="18" fillId="20" borderId="0" xfId="352" applyNumberFormat="1" applyFont="1" applyFill="1" applyAlignment="1">
      <alignment horizontal="center"/>
    </xf>
    <xf numFmtId="225" fontId="18" fillId="20" borderId="26" xfId="352" applyNumberFormat="1" applyFont="1" applyFill="1" applyBorder="1" applyAlignment="1">
      <alignment horizontal="center"/>
    </xf>
    <xf numFmtId="180" fontId="18" fillId="20" borderId="0" xfId="352" applyNumberFormat="1" applyFont="1" applyFill="1" applyAlignment="1">
      <alignment horizontal="center"/>
    </xf>
    <xf numFmtId="219" fontId="21" fillId="0" borderId="0" xfId="484" applyFont="1" applyAlignment="1">
      <alignment horizontal="right"/>
    </xf>
    <xf numFmtId="219" fontId="21" fillId="0" borderId="26" xfId="484" applyFont="1" applyBorder="1" applyAlignment="1">
      <alignment horizontal="center"/>
    </xf>
    <xf numFmtId="225" fontId="27" fillId="20" borderId="0" xfId="352" applyNumberFormat="1" applyFont="1" applyFill="1" applyAlignment="1">
      <alignment horizontal="left"/>
    </xf>
    <xf numFmtId="184" fontId="27" fillId="16" borderId="0" xfId="3" applyNumberFormat="1" applyFont="1" applyFill="1" applyBorder="1" applyAlignment="1">
      <alignment horizontal="center"/>
    </xf>
    <xf numFmtId="225" fontId="18" fillId="0" borderId="0" xfId="352" applyNumberFormat="1" applyFont="1" applyAlignment="1">
      <alignment horizontal="right"/>
    </xf>
    <xf numFmtId="225" fontId="18" fillId="0" borderId="0" xfId="352" applyNumberFormat="1" applyFont="1" applyAlignment="1">
      <alignment horizontal="center"/>
    </xf>
    <xf numFmtId="225" fontId="18" fillId="0" borderId="26" xfId="352" applyNumberFormat="1" applyFont="1" applyBorder="1" applyAlignment="1">
      <alignment horizontal="center"/>
    </xf>
    <xf numFmtId="10" fontId="21" fillId="0" borderId="0" xfId="3" applyNumberFormat="1" applyFont="1" applyBorder="1" applyAlignment="1">
      <alignment horizontal="left"/>
    </xf>
    <xf numFmtId="184" fontId="21" fillId="0" borderId="0" xfId="3" applyNumberFormat="1" applyFont="1" applyFill="1" applyBorder="1"/>
    <xf numFmtId="184" fontId="21" fillId="0" borderId="0" xfId="3" applyNumberFormat="1" applyFont="1" applyBorder="1" applyAlignment="1">
      <alignment horizontal="left"/>
    </xf>
    <xf numFmtId="10" fontId="21" fillId="0" borderId="0" xfId="3" applyNumberFormat="1" applyFont="1" applyBorder="1" applyAlignment="1">
      <alignment horizontal="center"/>
    </xf>
    <xf numFmtId="184" fontId="25" fillId="0" borderId="0" xfId="3" applyNumberFormat="1" applyFont="1" applyBorder="1" applyAlignment="1">
      <alignment horizontal="left"/>
    </xf>
    <xf numFmtId="9" fontId="21" fillId="0" borderId="0" xfId="3" applyFont="1" applyFill="1" applyBorder="1"/>
    <xf numFmtId="225" fontId="18" fillId="15" borderId="0" xfId="352" applyNumberFormat="1" applyFont="1" applyFill="1"/>
    <xf numFmtId="225" fontId="18" fillId="15" borderId="0" xfId="352" applyNumberFormat="1" applyFont="1" applyFill="1" applyAlignment="1">
      <alignment horizontal="right"/>
    </xf>
    <xf numFmtId="225" fontId="18" fillId="15" borderId="0" xfId="352" applyNumberFormat="1" applyFont="1" applyFill="1" applyAlignment="1">
      <alignment horizontal="center"/>
    </xf>
    <xf numFmtId="225" fontId="18" fillId="15" borderId="26" xfId="352" applyNumberFormat="1" applyFont="1" applyFill="1" applyBorder="1" applyAlignment="1">
      <alignment horizontal="center"/>
    </xf>
    <xf numFmtId="225" fontId="31" fillId="15" borderId="0" xfId="352" applyNumberFormat="1" applyFont="1" applyFill="1" applyAlignment="1">
      <alignment horizontal="center"/>
    </xf>
    <xf numFmtId="225" fontId="25" fillId="0" borderId="0" xfId="352" applyNumberFormat="1" applyFont="1" applyAlignment="1">
      <alignment horizontal="left"/>
    </xf>
    <xf numFmtId="184" fontId="30" fillId="16" borderId="0" xfId="3" applyNumberFormat="1" applyFont="1" applyFill="1" applyBorder="1" applyAlignment="1">
      <alignment horizontal="center"/>
    </xf>
    <xf numFmtId="10" fontId="23" fillId="0" borderId="0" xfId="3" applyNumberFormat="1" applyFont="1" applyBorder="1" applyAlignment="1">
      <alignment horizontal="center"/>
    </xf>
    <xf numFmtId="219" fontId="18" fillId="16" borderId="0" xfId="352" applyFont="1" applyFill="1" applyAlignment="1">
      <alignment horizontal="center"/>
    </xf>
    <xf numFmtId="40" fontId="21" fillId="0" borderId="0" xfId="352" applyNumberFormat="1" applyFont="1" applyAlignment="1">
      <alignment horizontal="right"/>
    </xf>
    <xf numFmtId="184" fontId="30" fillId="0" borderId="0" xfId="3" applyNumberFormat="1" applyFont="1" applyFill="1" applyBorder="1" applyAlignment="1">
      <alignment horizontal="center"/>
    </xf>
    <xf numFmtId="0" fontId="27" fillId="0" borderId="0" xfId="0" applyFont="1"/>
    <xf numFmtId="184" fontId="21" fillId="0" borderId="0" xfId="352" applyNumberFormat="1" applyFont="1" applyAlignment="1">
      <alignment horizontal="right"/>
    </xf>
    <xf numFmtId="184" fontId="21" fillId="0" borderId="0" xfId="352" applyNumberFormat="1" applyFont="1" applyAlignment="1">
      <alignment horizontal="center"/>
    </xf>
    <xf numFmtId="184" fontId="21" fillId="0" borderId="0" xfId="3" applyNumberFormat="1" applyFont="1" applyFill="1" applyBorder="1" applyAlignment="1">
      <alignment horizontal="left"/>
    </xf>
    <xf numFmtId="219" fontId="18" fillId="2" borderId="26" xfId="352" applyFont="1" applyFill="1" applyBorder="1" applyAlignment="1">
      <alignment horizontal="center"/>
    </xf>
    <xf numFmtId="219" fontId="29" fillId="0" borderId="0" xfId="352" applyFont="1" applyAlignment="1">
      <alignment horizontal="left"/>
    </xf>
    <xf numFmtId="184" fontId="18" fillId="0" borderId="0" xfId="352" applyNumberFormat="1" applyFont="1" applyAlignment="1">
      <alignment horizontal="right"/>
    </xf>
    <xf numFmtId="184" fontId="18" fillId="0" borderId="0" xfId="3" applyNumberFormat="1" applyFont="1" applyFill="1" applyBorder="1" applyAlignment="1">
      <alignment horizontal="left" vertical="center" wrapText="1"/>
    </xf>
    <xf numFmtId="225" fontId="21" fillId="15" borderId="0" xfId="352" applyNumberFormat="1" applyFont="1" applyFill="1"/>
    <xf numFmtId="184" fontId="25" fillId="0" borderId="0" xfId="3" applyNumberFormat="1" applyFont="1" applyFill="1" applyBorder="1" applyAlignment="1">
      <alignment horizontal="left"/>
    </xf>
    <xf numFmtId="176" fontId="25" fillId="0" borderId="0" xfId="1" applyFont="1" applyFill="1" applyBorder="1" applyAlignment="1">
      <alignment horizontal="left"/>
    </xf>
    <xf numFmtId="176" fontId="21" fillId="0" borderId="0" xfId="1" applyFont="1" applyFill="1" applyBorder="1"/>
    <xf numFmtId="225" fontId="31" fillId="0" borderId="0" xfId="352" applyNumberFormat="1" applyFont="1" applyAlignment="1">
      <alignment horizontal="center"/>
    </xf>
    <xf numFmtId="184" fontId="18" fillId="0" borderId="0" xfId="3" applyNumberFormat="1" applyFont="1" applyFill="1" applyBorder="1" applyAlignment="1">
      <alignment vertical="center"/>
    </xf>
    <xf numFmtId="315" fontId="21" fillId="0" borderId="0" xfId="3" applyNumberFormat="1" applyFont="1" applyBorder="1" applyAlignment="1">
      <alignment horizontal="center"/>
    </xf>
    <xf numFmtId="315" fontId="21" fillId="0" borderId="26" xfId="3" applyNumberFormat="1" applyFont="1" applyBorder="1" applyAlignment="1">
      <alignment horizontal="center"/>
    </xf>
    <xf numFmtId="315" fontId="30" fillId="0" borderId="0" xfId="3" applyNumberFormat="1" applyFont="1" applyBorder="1" applyAlignment="1">
      <alignment horizontal="center"/>
    </xf>
    <xf numFmtId="225" fontId="31" fillId="20" borderId="0" xfId="352" applyNumberFormat="1" applyFont="1" applyFill="1" applyAlignment="1">
      <alignment horizontal="center"/>
    </xf>
    <xf numFmtId="316" fontId="21" fillId="0" borderId="0" xfId="3" applyNumberFormat="1" applyFont="1" applyBorder="1" applyAlignment="1">
      <alignment horizontal="right"/>
    </xf>
    <xf numFmtId="316" fontId="21" fillId="0" borderId="0" xfId="3" applyNumberFormat="1" applyFont="1" applyBorder="1" applyAlignment="1">
      <alignment horizontal="center"/>
    </xf>
    <xf numFmtId="316" fontId="21" fillId="0" borderId="26" xfId="3" applyNumberFormat="1" applyFont="1" applyBorder="1" applyAlignment="1">
      <alignment horizontal="center"/>
    </xf>
    <xf numFmtId="316" fontId="30" fillId="0" borderId="0" xfId="3" applyNumberFormat="1" applyFont="1" applyBorder="1" applyAlignment="1">
      <alignment horizontal="center"/>
    </xf>
    <xf numFmtId="3" fontId="18" fillId="20" borderId="0" xfId="352" applyNumberFormat="1" applyFont="1" applyFill="1" applyAlignment="1">
      <alignment horizontal="center"/>
    </xf>
    <xf numFmtId="220" fontId="18" fillId="15" borderId="0" xfId="3" applyNumberFormat="1" applyFont="1" applyFill="1" applyBorder="1" applyAlignment="1">
      <alignment horizontal="center"/>
    </xf>
    <xf numFmtId="225" fontId="18" fillId="0" borderId="0" xfId="352" applyNumberFormat="1" applyFont="1" applyAlignment="1">
      <alignment horizontal="left"/>
    </xf>
    <xf numFmtId="281" fontId="21" fillId="0" borderId="0" xfId="376" applyFont="1" applyBorder="1" applyAlignment="1">
      <alignment horizontal="right"/>
    </xf>
    <xf numFmtId="281" fontId="21" fillId="0" borderId="0" xfId="376" applyFont="1" applyBorder="1" applyAlignment="1">
      <alignment horizontal="center"/>
    </xf>
    <xf numFmtId="225" fontId="27" fillId="20" borderId="0" xfId="352" applyNumberFormat="1" applyFont="1" applyFill="1" applyAlignment="1">
      <alignment horizontal="center"/>
    </xf>
    <xf numFmtId="3" fontId="18" fillId="0" borderId="0" xfId="352" applyNumberFormat="1" applyFont="1" applyAlignment="1">
      <alignment horizontal="center"/>
    </xf>
    <xf numFmtId="1" fontId="18" fillId="16" borderId="26" xfId="1" applyNumberFormat="1" applyFont="1" applyFill="1" applyBorder="1" applyAlignment="1">
      <alignment horizontal="center"/>
    </xf>
    <xf numFmtId="1" fontId="31" fillId="16" borderId="0" xfId="1" applyNumberFormat="1" applyFont="1" applyFill="1" applyBorder="1" applyAlignment="1">
      <alignment horizontal="center"/>
    </xf>
    <xf numFmtId="3" fontId="33" fillId="0" borderId="0" xfId="352" applyNumberFormat="1" applyFont="1" applyAlignment="1">
      <alignment horizontal="center"/>
    </xf>
    <xf numFmtId="184" fontId="31" fillId="20" borderId="0" xfId="3" applyNumberFormat="1" applyFont="1" applyFill="1" applyBorder="1" applyAlignment="1">
      <alignment horizontal="center"/>
    </xf>
    <xf numFmtId="4" fontId="18" fillId="20" borderId="0" xfId="352" applyNumberFormat="1" applyFont="1" applyFill="1" applyAlignment="1">
      <alignment horizontal="center"/>
    </xf>
    <xf numFmtId="184" fontId="27" fillId="20" borderId="0" xfId="3" applyNumberFormat="1" applyFont="1" applyFill="1" applyBorder="1" applyAlignment="1">
      <alignment horizontal="center"/>
    </xf>
    <xf numFmtId="1" fontId="18" fillId="0" borderId="0" xfId="352" applyNumberFormat="1" applyFont="1"/>
    <xf numFmtId="1" fontId="18" fillId="0" borderId="0" xfId="3" applyNumberFormat="1" applyFont="1" applyFill="1" applyBorder="1"/>
    <xf numFmtId="225" fontId="29" fillId="20" borderId="0" xfId="352" applyNumberFormat="1" applyFont="1" applyFill="1" applyAlignment="1">
      <alignment horizontal="center"/>
    </xf>
    <xf numFmtId="184" fontId="18" fillId="20" borderId="0" xfId="3" applyNumberFormat="1" applyFont="1" applyFill="1" applyBorder="1" applyAlignment="1">
      <alignment horizontal="center"/>
    </xf>
    <xf numFmtId="40" fontId="18" fillId="20" borderId="0" xfId="352" applyNumberFormat="1" applyFont="1" applyFill="1"/>
    <xf numFmtId="40" fontId="18" fillId="20" borderId="0" xfId="352" applyNumberFormat="1" applyFont="1" applyFill="1" applyAlignment="1">
      <alignment horizontal="right"/>
    </xf>
    <xf numFmtId="40" fontId="18" fillId="20" borderId="0" xfId="352" applyNumberFormat="1" applyFont="1" applyFill="1" applyAlignment="1">
      <alignment horizontal="center"/>
    </xf>
    <xf numFmtId="40" fontId="18" fillId="20" borderId="26" xfId="352" applyNumberFormat="1" applyFont="1" applyFill="1" applyBorder="1" applyAlignment="1">
      <alignment horizontal="center"/>
    </xf>
    <xf numFmtId="40" fontId="31" fillId="20" borderId="0" xfId="352" applyNumberFormat="1" applyFont="1" applyFill="1" applyAlignment="1">
      <alignment horizontal="center"/>
    </xf>
    <xf numFmtId="40" fontId="18" fillId="0" borderId="0" xfId="352" applyNumberFormat="1" applyFont="1"/>
    <xf numFmtId="184" fontId="18" fillId="0" borderId="0" xfId="3" applyNumberFormat="1" applyFont="1" applyFill="1" applyBorder="1"/>
    <xf numFmtId="225" fontId="21" fillId="0" borderId="0" xfId="352" applyNumberFormat="1" applyFont="1" applyAlignment="1">
      <alignment horizontal="right"/>
    </xf>
    <xf numFmtId="225" fontId="21" fillId="0" borderId="0" xfId="352" applyNumberFormat="1" applyFont="1" applyAlignment="1">
      <alignment horizontal="center"/>
    </xf>
    <xf numFmtId="40" fontId="21" fillId="0" borderId="26" xfId="352" applyNumberFormat="1" applyFont="1" applyBorder="1" applyAlignment="1">
      <alignment horizontal="center"/>
    </xf>
    <xf numFmtId="184" fontId="21" fillId="0" borderId="0" xfId="352" applyNumberFormat="1" applyFont="1"/>
    <xf numFmtId="10" fontId="18" fillId="0" borderId="0" xfId="3" applyNumberFormat="1" applyFont="1" applyBorder="1" applyAlignment="1">
      <alignment horizontal="center"/>
    </xf>
    <xf numFmtId="317" fontId="18" fillId="0" borderId="26" xfId="3" applyNumberFormat="1" applyFont="1" applyBorder="1" applyAlignment="1">
      <alignment horizontal="center"/>
    </xf>
    <xf numFmtId="40" fontId="21" fillId="16" borderId="0" xfId="352" applyNumberFormat="1" applyFont="1" applyFill="1" applyAlignment="1">
      <alignment horizontal="left" indent="1"/>
    </xf>
    <xf numFmtId="40" fontId="21" fillId="16" borderId="0" xfId="352" applyNumberFormat="1" applyFont="1" applyFill="1" applyAlignment="1">
      <alignment horizontal="right"/>
    </xf>
    <xf numFmtId="184" fontId="21" fillId="16" borderId="0" xfId="3" applyNumberFormat="1" applyFont="1" applyFill="1" applyBorder="1" applyAlignment="1">
      <alignment horizontal="right"/>
    </xf>
    <xf numFmtId="184" fontId="27" fillId="16" borderId="0" xfId="3" applyNumberFormat="1" applyFont="1" applyFill="1" applyBorder="1" applyAlignment="1">
      <alignment horizontal="left"/>
    </xf>
    <xf numFmtId="40" fontId="18" fillId="16" borderId="0" xfId="352" applyNumberFormat="1" applyFont="1" applyFill="1" applyAlignment="1">
      <alignment horizontal="left"/>
    </xf>
    <xf numFmtId="40" fontId="18" fillId="16" borderId="0" xfId="352" applyNumberFormat="1" applyFont="1" applyFill="1" applyAlignment="1">
      <alignment horizontal="right"/>
    </xf>
    <xf numFmtId="318" fontId="18" fillId="16" borderId="0" xfId="1" applyNumberFormat="1" applyFont="1" applyFill="1" applyBorder="1" applyAlignment="1">
      <alignment horizontal="right"/>
    </xf>
    <xf numFmtId="318" fontId="18" fillId="16" borderId="0" xfId="1" applyNumberFormat="1" applyFont="1" applyFill="1" applyBorder="1" applyAlignment="1">
      <alignment horizontal="center"/>
    </xf>
    <xf numFmtId="318" fontId="18" fillId="16" borderId="26" xfId="1" applyNumberFormat="1" applyFont="1" applyFill="1" applyBorder="1" applyAlignment="1">
      <alignment horizontal="center"/>
    </xf>
    <xf numFmtId="40" fontId="21" fillId="16" borderId="0" xfId="352" applyNumberFormat="1" applyFont="1" applyFill="1" applyAlignment="1">
      <alignment horizontal="center"/>
    </xf>
    <xf numFmtId="219" fontId="18" fillId="20" borderId="28" xfId="352" applyFont="1" applyFill="1" applyBorder="1"/>
    <xf numFmtId="219" fontId="18" fillId="20" borderId="28" xfId="352" applyFont="1" applyFill="1" applyBorder="1" applyAlignment="1">
      <alignment horizontal="right"/>
    </xf>
    <xf numFmtId="40" fontId="18" fillId="20" borderId="28" xfId="352" applyNumberFormat="1" applyFont="1" applyFill="1" applyBorder="1" applyAlignment="1">
      <alignment horizontal="center"/>
    </xf>
    <xf numFmtId="219" fontId="21" fillId="16" borderId="29" xfId="352" applyFont="1" applyFill="1" applyBorder="1" applyAlignment="1">
      <alignment horizontal="left" indent="1"/>
    </xf>
    <xf numFmtId="219" fontId="21" fillId="16" borderId="29" xfId="352" applyFont="1" applyFill="1" applyBorder="1" applyAlignment="1">
      <alignment horizontal="right"/>
    </xf>
    <xf numFmtId="40" fontId="21" fillId="16" borderId="29" xfId="352" applyNumberFormat="1" applyFont="1" applyFill="1" applyBorder="1" applyAlignment="1">
      <alignment horizontal="center"/>
    </xf>
    <xf numFmtId="184" fontId="21" fillId="16" borderId="29" xfId="3" applyNumberFormat="1" applyFont="1" applyFill="1" applyBorder="1" applyAlignment="1">
      <alignment horizontal="center"/>
    </xf>
    <xf numFmtId="10" fontId="21" fillId="16" borderId="0" xfId="3" applyNumberFormat="1" applyFont="1" applyFill="1" applyBorder="1" applyAlignment="1">
      <alignment horizontal="center"/>
    </xf>
    <xf numFmtId="10" fontId="21" fillId="16" borderId="26" xfId="3" applyNumberFormat="1" applyFont="1" applyFill="1" applyBorder="1" applyAlignment="1">
      <alignment horizontal="center"/>
    </xf>
    <xf numFmtId="40" fontId="18" fillId="16" borderId="0" xfId="352" applyNumberFormat="1" applyFont="1" applyFill="1" applyAlignment="1">
      <alignment horizontal="center"/>
    </xf>
    <xf numFmtId="40" fontId="18" fillId="16" borderId="26" xfId="352" applyNumberFormat="1" applyFont="1" applyFill="1" applyBorder="1" applyAlignment="1">
      <alignment horizontal="center"/>
    </xf>
    <xf numFmtId="281" fontId="21" fillId="0" borderId="26" xfId="376" applyFont="1" applyBorder="1" applyAlignment="1">
      <alignment horizontal="center"/>
    </xf>
    <xf numFmtId="176" fontId="21" fillId="0" borderId="26" xfId="1" applyFont="1" applyBorder="1" applyAlignment="1">
      <alignment horizontal="center"/>
    </xf>
    <xf numFmtId="184" fontId="18" fillId="20" borderId="0" xfId="352" applyNumberFormat="1" applyFont="1" applyFill="1" applyAlignment="1">
      <alignment horizontal="center"/>
    </xf>
    <xf numFmtId="184" fontId="18" fillId="20" borderId="26" xfId="352" applyNumberFormat="1" applyFont="1" applyFill="1" applyBorder="1" applyAlignment="1">
      <alignment horizontal="center"/>
    </xf>
    <xf numFmtId="9" fontId="18" fillId="20" borderId="0" xfId="352" applyNumberFormat="1" applyFont="1" applyFill="1" applyAlignment="1">
      <alignment horizontal="center"/>
    </xf>
    <xf numFmtId="9" fontId="18" fillId="20" borderId="26" xfId="352" applyNumberFormat="1" applyFont="1" applyFill="1" applyBorder="1" applyAlignment="1">
      <alignment horizontal="center"/>
    </xf>
    <xf numFmtId="269" fontId="21" fillId="0" borderId="0" xfId="1" applyNumberFormat="1" applyFont="1" applyBorder="1" applyAlignment="1">
      <alignment horizontal="right"/>
    </xf>
    <xf numFmtId="318" fontId="21" fillId="0" borderId="0" xfId="1" applyNumberFormat="1" applyFont="1" applyBorder="1" applyAlignment="1">
      <alignment horizontal="center"/>
    </xf>
    <xf numFmtId="318" fontId="24" fillId="0" borderId="0" xfId="1" applyNumberFormat="1" applyFont="1" applyBorder="1" applyAlignment="1">
      <alignment horizontal="center"/>
    </xf>
    <xf numFmtId="279" fontId="21" fillId="0" borderId="26" xfId="352" applyNumberFormat="1" applyFont="1" applyBorder="1" applyAlignment="1">
      <alignment horizontal="center"/>
    </xf>
    <xf numFmtId="243" fontId="21" fillId="0" borderId="0" xfId="231" applyFont="1" applyBorder="1" applyAlignment="1">
      <alignment horizontal="right"/>
    </xf>
    <xf numFmtId="243" fontId="25" fillId="0" borderId="0" xfId="231" applyFont="1" applyBorder="1" applyAlignment="1">
      <alignment horizontal="left"/>
    </xf>
    <xf numFmtId="219" fontId="21" fillId="26" borderId="0" xfId="352" applyFont="1" applyFill="1"/>
    <xf numFmtId="219" fontId="21" fillId="26" borderId="0" xfId="484" applyFont="1" applyFill="1" applyAlignment="1">
      <alignment horizontal="right"/>
    </xf>
    <xf numFmtId="40" fontId="21" fillId="26" borderId="0" xfId="484" applyNumberFormat="1" applyFont="1" applyFill="1" applyAlignment="1">
      <alignment horizontal="center"/>
    </xf>
    <xf numFmtId="40" fontId="21" fillId="26" borderId="26" xfId="484" applyNumberFormat="1" applyFont="1" applyFill="1" applyBorder="1" applyAlignment="1">
      <alignment horizontal="center"/>
    </xf>
    <xf numFmtId="219" fontId="25" fillId="0" borderId="0" xfId="484" applyFont="1" applyAlignment="1">
      <alignment horizontal="left"/>
    </xf>
    <xf numFmtId="269" fontId="21" fillId="0" borderId="0" xfId="1" applyNumberFormat="1" applyFont="1" applyBorder="1" applyAlignment="1">
      <alignment horizontal="center"/>
    </xf>
    <xf numFmtId="1" fontId="21" fillId="0" borderId="0" xfId="1" applyNumberFormat="1" applyFont="1" applyBorder="1" applyAlignment="1">
      <alignment horizontal="center"/>
    </xf>
    <xf numFmtId="1" fontId="21" fillId="2" borderId="26" xfId="1" applyNumberFormat="1" applyFont="1" applyFill="1" applyBorder="1" applyAlignment="1">
      <alignment horizontal="center"/>
    </xf>
    <xf numFmtId="184" fontId="21" fillId="2" borderId="26" xfId="352" applyNumberFormat="1" applyFont="1" applyFill="1" applyBorder="1" applyAlignment="1">
      <alignment horizontal="center"/>
    </xf>
    <xf numFmtId="219" fontId="21" fillId="2" borderId="26" xfId="352" applyFont="1" applyFill="1" applyBorder="1" applyAlignment="1">
      <alignment horizontal="center"/>
    </xf>
    <xf numFmtId="219" fontId="23" fillId="0" borderId="0" xfId="352" applyFont="1" applyAlignment="1">
      <alignment horizontal="center"/>
    </xf>
    <xf numFmtId="9" fontId="21" fillId="0" borderId="0" xfId="352" applyNumberFormat="1" applyFont="1" applyAlignment="1">
      <alignment horizontal="right"/>
    </xf>
    <xf numFmtId="219" fontId="31" fillId="2" borderId="0" xfId="352" applyFont="1" applyFill="1"/>
    <xf numFmtId="219" fontId="26" fillId="2" borderId="0" xfId="484" applyFont="1" applyFill="1" applyAlignment="1">
      <alignment horizontal="right"/>
    </xf>
    <xf numFmtId="219" fontId="26" fillId="2" borderId="0" xfId="484" applyFont="1" applyFill="1" applyAlignment="1">
      <alignment horizontal="center"/>
    </xf>
    <xf numFmtId="219" fontId="26" fillId="2" borderId="26" xfId="484" applyFont="1" applyFill="1" applyBorder="1" applyAlignment="1">
      <alignment horizontal="center"/>
    </xf>
    <xf numFmtId="220" fontId="18" fillId="0" borderId="0" xfId="1" applyNumberFormat="1" applyFont="1" applyBorder="1" applyAlignment="1">
      <alignment horizontal="center"/>
    </xf>
    <xf numFmtId="220" fontId="18" fillId="0" borderId="26" xfId="1" applyNumberFormat="1" applyFont="1" applyBorder="1" applyAlignment="1">
      <alignment horizontal="center"/>
    </xf>
    <xf numFmtId="219" fontId="30" fillId="2" borderId="0" xfId="352" applyFont="1" applyFill="1"/>
    <xf numFmtId="220" fontId="21" fillId="0" borderId="0" xfId="1" applyNumberFormat="1" applyFont="1" applyBorder="1" applyAlignment="1">
      <alignment horizontal="center"/>
    </xf>
    <xf numFmtId="220" fontId="21" fillId="0" borderId="26" xfId="1" applyNumberFormat="1" applyFont="1" applyBorder="1" applyAlignment="1">
      <alignment horizontal="center"/>
    </xf>
    <xf numFmtId="219" fontId="26" fillId="2" borderId="0" xfId="352" applyFont="1" applyFill="1"/>
    <xf numFmtId="184" fontId="31" fillId="2" borderId="26" xfId="3" applyNumberFormat="1" applyFont="1" applyFill="1" applyBorder="1" applyAlignment="1">
      <alignment horizontal="center"/>
    </xf>
    <xf numFmtId="0" fontId="21" fillId="0" borderId="0" xfId="354" applyFont="1"/>
    <xf numFmtId="3" fontId="21" fillId="0" borderId="0" xfId="354" applyNumberFormat="1" applyFont="1" applyAlignment="1">
      <alignment horizontal="center"/>
    </xf>
    <xf numFmtId="0" fontId="21" fillId="2" borderId="26" xfId="354" applyFont="1" applyFill="1" applyBorder="1" applyAlignment="1">
      <alignment horizontal="center"/>
    </xf>
    <xf numFmtId="0" fontId="21" fillId="14" borderId="0" xfId="354" applyFont="1" applyFill="1" applyAlignment="1">
      <alignment horizontal="center"/>
    </xf>
    <xf numFmtId="0" fontId="21" fillId="0" borderId="0" xfId="354" applyFont="1" applyAlignment="1">
      <alignment horizontal="center"/>
    </xf>
    <xf numFmtId="3" fontId="21" fillId="2" borderId="26" xfId="354" applyNumberFormat="1" applyFont="1" applyFill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354" applyFont="1"/>
    <xf numFmtId="3" fontId="18" fillId="0" borderId="0" xfId="354" applyNumberFormat="1" applyFont="1" applyAlignment="1">
      <alignment horizontal="center"/>
    </xf>
    <xf numFmtId="3" fontId="18" fillId="0" borderId="26" xfId="354" applyNumberFormat="1" applyFont="1" applyBorder="1" applyAlignment="1">
      <alignment horizontal="center"/>
    </xf>
    <xf numFmtId="3" fontId="21" fillId="0" borderId="26" xfId="354" applyNumberFormat="1" applyFont="1" applyBorder="1" applyAlignment="1">
      <alignment horizontal="center"/>
    </xf>
    <xf numFmtId="1" fontId="21" fillId="0" borderId="0" xfId="354" applyNumberFormat="1" applyFont="1" applyAlignment="1">
      <alignment horizontal="center"/>
    </xf>
    <xf numFmtId="219" fontId="27" fillId="0" borderId="0" xfId="352" applyFont="1"/>
    <xf numFmtId="279" fontId="21" fillId="0" borderId="0" xfId="352" applyNumberFormat="1" applyFont="1"/>
    <xf numFmtId="1" fontId="21" fillId="0" borderId="26" xfId="354" applyNumberFormat="1" applyFont="1" applyBorder="1" applyAlignment="1">
      <alignment horizontal="center"/>
    </xf>
    <xf numFmtId="313" fontId="18" fillId="0" borderId="0" xfId="354" applyNumberFormat="1" applyFont="1" applyAlignment="1">
      <alignment horizontal="center"/>
    </xf>
    <xf numFmtId="313" fontId="18" fillId="0" borderId="26" xfId="354" applyNumberFormat="1" applyFont="1" applyBorder="1" applyAlignment="1">
      <alignment horizontal="center"/>
    </xf>
    <xf numFmtId="2" fontId="18" fillId="16" borderId="0" xfId="3" applyNumberFormat="1" applyFont="1" applyFill="1" applyBorder="1" applyAlignment="1">
      <alignment horizontal="center"/>
    </xf>
    <xf numFmtId="220" fontId="21" fillId="0" borderId="0" xfId="0" applyNumberFormat="1" applyFont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0" fontId="18" fillId="0" borderId="0" xfId="0" applyFont="1"/>
    <xf numFmtId="1" fontId="18" fillId="0" borderId="0" xfId="0" applyNumberFormat="1" applyFont="1" applyAlignment="1">
      <alignment horizontal="center"/>
    </xf>
    <xf numFmtId="1" fontId="18" fillId="0" borderId="26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  <xf numFmtId="2" fontId="21" fillId="0" borderId="26" xfId="0" applyNumberFormat="1" applyFont="1" applyBorder="1" applyAlignment="1">
      <alignment horizontal="center"/>
    </xf>
    <xf numFmtId="219" fontId="18" fillId="27" borderId="30" xfId="352" applyFont="1" applyFill="1" applyBorder="1"/>
    <xf numFmtId="219" fontId="18" fillId="27" borderId="30" xfId="352" applyFont="1" applyFill="1" applyBorder="1" applyAlignment="1">
      <alignment horizontal="right"/>
    </xf>
    <xf numFmtId="219" fontId="18" fillId="27" borderId="30" xfId="352" applyFont="1" applyFill="1" applyBorder="1" applyAlignment="1">
      <alignment horizontal="center"/>
    </xf>
    <xf numFmtId="219" fontId="18" fillId="27" borderId="0" xfId="352" applyFont="1" applyFill="1" applyAlignment="1">
      <alignment horizontal="center"/>
    </xf>
    <xf numFmtId="219" fontId="18" fillId="27" borderId="26" xfId="352" applyFont="1" applyFill="1" applyBorder="1" applyAlignment="1">
      <alignment horizontal="center"/>
    </xf>
    <xf numFmtId="219" fontId="12" fillId="10" borderId="0" xfId="352" applyFont="1" applyFill="1" applyAlignment="1">
      <alignment horizontal="center"/>
    </xf>
    <xf numFmtId="184" fontId="10" fillId="0" borderId="0" xfId="3" applyNumberFormat="1" applyFont="1"/>
    <xf numFmtId="0" fontId="10" fillId="10" borderId="0" xfId="0" applyFont="1" applyFill="1"/>
    <xf numFmtId="0" fontId="10" fillId="0" borderId="0" xfId="0" applyFont="1" applyAlignment="1">
      <alignment horizontal="right"/>
    </xf>
    <xf numFmtId="176" fontId="10" fillId="0" borderId="0" xfId="1" applyFont="1"/>
    <xf numFmtId="184" fontId="10" fillId="0" borderId="0" xfId="3" applyNumberFormat="1" applyFont="1" applyAlignment="1">
      <alignment wrapText="1"/>
    </xf>
    <xf numFmtId="269" fontId="10" fillId="0" borderId="0" xfId="1" applyNumberFormat="1" applyFont="1"/>
    <xf numFmtId="0" fontId="10" fillId="0" borderId="0" xfId="337" applyFont="1"/>
    <xf numFmtId="0" fontId="10" fillId="0" borderId="31" xfId="337" applyFont="1" applyBorder="1"/>
    <xf numFmtId="0" fontId="10" fillId="0" borderId="30" xfId="337" applyFont="1" applyBorder="1" applyAlignment="1">
      <alignment horizontal="right"/>
    </xf>
    <xf numFmtId="0" fontId="10" fillId="0" borderId="32" xfId="337" applyFont="1" applyBorder="1" applyAlignment="1">
      <alignment horizontal="right"/>
    </xf>
    <xf numFmtId="0" fontId="10" fillId="0" borderId="33" xfId="337" applyFont="1" applyBorder="1"/>
    <xf numFmtId="1" fontId="10" fillId="0" borderId="0" xfId="337" applyNumberFormat="1" applyFont="1"/>
    <xf numFmtId="2" fontId="10" fillId="0" borderId="0" xfId="337" applyNumberFormat="1" applyFont="1"/>
    <xf numFmtId="220" fontId="10" fillId="0" borderId="26" xfId="337" applyNumberFormat="1" applyFont="1" applyBorder="1"/>
    <xf numFmtId="220" fontId="10" fillId="0" borderId="0" xfId="337" applyNumberFormat="1" applyFont="1"/>
    <xf numFmtId="184" fontId="10" fillId="0" borderId="0" xfId="373" applyNumberFormat="1" applyFont="1" applyBorder="1"/>
    <xf numFmtId="319" fontId="10" fillId="0" borderId="26" xfId="337" applyNumberFormat="1" applyFont="1" applyBorder="1"/>
    <xf numFmtId="319" fontId="10" fillId="0" borderId="0" xfId="217" applyNumberFormat="1" applyFont="1"/>
    <xf numFmtId="318" fontId="10" fillId="0" borderId="0" xfId="1" applyNumberFormat="1" applyFont="1"/>
    <xf numFmtId="320" fontId="10" fillId="0" borderId="0" xfId="0" applyNumberFormat="1" applyFont="1"/>
    <xf numFmtId="0" fontId="10" fillId="0" borderId="33" xfId="337" applyFont="1" applyBorder="1" applyAlignment="1">
      <alignment horizontal="left"/>
    </xf>
    <xf numFmtId="0" fontId="10" fillId="0" borderId="33" xfId="337" applyFont="1" applyBorder="1" applyAlignment="1">
      <alignment horizontal="left" vertical="top"/>
    </xf>
    <xf numFmtId="0" fontId="10" fillId="0" borderId="27" xfId="337" applyFont="1" applyBorder="1"/>
    <xf numFmtId="0" fontId="10" fillId="0" borderId="34" xfId="337" applyFont="1" applyBorder="1"/>
    <xf numFmtId="9" fontId="10" fillId="0" borderId="28" xfId="337" applyNumberFormat="1" applyFont="1" applyBorder="1"/>
    <xf numFmtId="1" fontId="10" fillId="0" borderId="35" xfId="337" applyNumberFormat="1" applyFont="1" applyBorder="1"/>
    <xf numFmtId="0" fontId="10" fillId="0" borderId="28" xfId="337" applyFont="1" applyBorder="1"/>
    <xf numFmtId="0" fontId="10" fillId="0" borderId="35" xfId="337" applyFont="1" applyBorder="1"/>
    <xf numFmtId="0" fontId="10" fillId="0" borderId="36" xfId="337" applyFont="1" applyBorder="1"/>
    <xf numFmtId="321" fontId="10" fillId="0" borderId="29" xfId="337" applyNumberFormat="1" applyFont="1" applyBorder="1"/>
    <xf numFmtId="321" fontId="10" fillId="0" borderId="37" xfId="217" applyNumberFormat="1" applyFont="1" applyBorder="1"/>
    <xf numFmtId="0" fontId="10" fillId="0" borderId="29" xfId="337" applyFont="1" applyBorder="1"/>
    <xf numFmtId="0" fontId="10" fillId="0" borderId="37" xfId="337" applyFont="1" applyBorder="1"/>
    <xf numFmtId="322" fontId="10" fillId="0" borderId="0" xfId="337" applyNumberFormat="1" applyFont="1"/>
    <xf numFmtId="184" fontId="10" fillId="0" borderId="0" xfId="373" applyNumberFormat="1" applyFont="1"/>
    <xf numFmtId="184" fontId="10" fillId="0" borderId="0" xfId="337" applyNumberFormat="1" applyFont="1"/>
    <xf numFmtId="0" fontId="0" fillId="0" borderId="0" xfId="337"/>
    <xf numFmtId="184" fontId="0" fillId="0" borderId="0" xfId="3" applyNumberFormat="1"/>
    <xf numFmtId="0" fontId="7" fillId="0" borderId="0" xfId="337" applyFont="1"/>
    <xf numFmtId="0" fontId="42" fillId="0" borderId="0" xfId="337" applyFont="1"/>
    <xf numFmtId="3" fontId="7" fillId="0" borderId="0" xfId="337" applyNumberFormat="1" applyFont="1"/>
    <xf numFmtId="0" fontId="43" fillId="10" borderId="0" xfId="337" applyFont="1" applyFill="1"/>
    <xf numFmtId="0" fontId="43" fillId="10" borderId="0" xfId="337" applyFont="1" applyFill="1" applyAlignment="1">
      <alignment horizontal="right"/>
    </xf>
    <xf numFmtId="220" fontId="7" fillId="0" borderId="0" xfId="337" applyNumberFormat="1" applyFont="1"/>
    <xf numFmtId="220" fontId="7" fillId="0" borderId="29" xfId="337" applyNumberFormat="1" applyFont="1" applyBorder="1"/>
    <xf numFmtId="3" fontId="7" fillId="0" borderId="29" xfId="337" applyNumberFormat="1" applyFont="1" applyBorder="1"/>
    <xf numFmtId="220" fontId="42" fillId="0" borderId="0" xfId="337" applyNumberFormat="1" applyFont="1"/>
    <xf numFmtId="3" fontId="42" fillId="0" borderId="0" xfId="337" applyNumberFormat="1" applyFont="1"/>
    <xf numFmtId="184" fontId="7" fillId="0" borderId="0" xfId="3" applyNumberFormat="1" applyFont="1"/>
    <xf numFmtId="180" fontId="7" fillId="0" borderId="0" xfId="337" applyNumberFormat="1" applyFont="1"/>
    <xf numFmtId="9" fontId="7" fillId="0" borderId="0" xfId="3" applyFont="1"/>
    <xf numFmtId="0" fontId="42" fillId="0" borderId="38" xfId="337" applyFont="1" applyBorder="1"/>
    <xf numFmtId="0" fontId="7" fillId="0" borderId="39" xfId="337" applyFont="1" applyBorder="1"/>
    <xf numFmtId="0" fontId="7" fillId="0" borderId="40" xfId="337" applyFont="1" applyBorder="1"/>
    <xf numFmtId="3" fontId="7" fillId="0" borderId="41" xfId="337" applyNumberFormat="1" applyFont="1" applyBorder="1"/>
    <xf numFmtId="1" fontId="7" fillId="0" borderId="41" xfId="337" applyNumberFormat="1" applyFont="1" applyBorder="1"/>
    <xf numFmtId="0" fontId="7" fillId="0" borderId="42" xfId="337" applyFont="1" applyBorder="1"/>
    <xf numFmtId="3" fontId="7" fillId="0" borderId="43" xfId="337" applyNumberFormat="1" applyFont="1" applyBorder="1"/>
    <xf numFmtId="0" fontId="7" fillId="0" borderId="44" xfId="337" applyFont="1" applyBorder="1"/>
    <xf numFmtId="220" fontId="7" fillId="0" borderId="45" xfId="337" applyNumberFormat="1" applyFont="1" applyBorder="1"/>
    <xf numFmtId="0" fontId="7" fillId="0" borderId="29" xfId="337" applyFont="1" applyBorder="1"/>
    <xf numFmtId="1" fontId="7" fillId="0" borderId="29" xfId="337" applyNumberFormat="1" applyFont="1" applyBorder="1"/>
    <xf numFmtId="1" fontId="7" fillId="0" borderId="0" xfId="337" applyNumberFormat="1" applyFont="1"/>
    <xf numFmtId="0" fontId="16" fillId="10" borderId="0" xfId="0" applyFont="1" applyFill="1" applyAlignment="1">
      <alignment horizontal="right"/>
    </xf>
    <xf numFmtId="0" fontId="44" fillId="10" borderId="29" xfId="0" applyFont="1" applyFill="1" applyBorder="1" applyAlignment="1">
      <alignment horizontal="right"/>
    </xf>
    <xf numFmtId="318" fontId="7" fillId="0" borderId="0" xfId="1" applyNumberFormat="1" applyFont="1"/>
    <xf numFmtId="3" fontId="45" fillId="0" borderId="0" xfId="337" applyNumberFormat="1" applyFont="1"/>
    <xf numFmtId="0" fontId="45" fillId="0" borderId="0" xfId="337" applyFont="1"/>
    <xf numFmtId="184" fontId="45" fillId="0" borderId="0" xfId="337" applyNumberFormat="1" applyFont="1"/>
    <xf numFmtId="184" fontId="7" fillId="0" borderId="0" xfId="337" applyNumberFormat="1" applyFont="1"/>
    <xf numFmtId="3" fontId="45" fillId="0" borderId="28" xfId="337" applyNumberFormat="1" applyFont="1" applyBorder="1"/>
    <xf numFmtId="3" fontId="7" fillId="0" borderId="28" xfId="337" applyNumberFormat="1" applyFont="1" applyBorder="1"/>
    <xf numFmtId="184" fontId="45" fillId="0" borderId="0" xfId="3" applyNumberFormat="1" applyFont="1"/>
    <xf numFmtId="184" fontId="7" fillId="0" borderId="0" xfId="3" applyNumberFormat="1" applyFont="1" applyFill="1"/>
    <xf numFmtId="184" fontId="45" fillId="0" borderId="0" xfId="3" applyNumberFormat="1" applyFont="1" applyBorder="1"/>
    <xf numFmtId="184" fontId="7" fillId="0" borderId="0" xfId="3" applyNumberFormat="1" applyFont="1" applyFill="1" applyBorder="1"/>
    <xf numFmtId="3" fontId="45" fillId="0" borderId="46" xfId="337" applyNumberFormat="1" applyFont="1" applyBorder="1"/>
    <xf numFmtId="3" fontId="7" fillId="0" borderId="46" xfId="337" applyNumberFormat="1" applyFont="1" applyBorder="1"/>
    <xf numFmtId="225" fontId="7" fillId="0" borderId="0" xfId="337" applyNumberFormat="1" applyFont="1"/>
    <xf numFmtId="0" fontId="46" fillId="10" borderId="0" xfId="337" applyFont="1" applyFill="1"/>
    <xf numFmtId="0" fontId="7" fillId="0" borderId="47" xfId="337" applyFont="1" applyBorder="1"/>
    <xf numFmtId="3" fontId="7" fillId="0" borderId="47" xfId="337" applyNumberFormat="1" applyFont="1" applyBorder="1"/>
    <xf numFmtId="0" fontId="42" fillId="0" borderId="47" xfId="337" applyFont="1" applyBorder="1"/>
    <xf numFmtId="225" fontId="42" fillId="0" borderId="47" xfId="337" applyNumberFormat="1" applyFont="1" applyBorder="1"/>
    <xf numFmtId="0" fontId="10" fillId="0" borderId="31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right"/>
    </xf>
    <xf numFmtId="0" fontId="10" fillId="0" borderId="32" xfId="0" applyFont="1" applyBorder="1" applyAlignment="1">
      <alignment horizontal="right"/>
    </xf>
    <xf numFmtId="0" fontId="10" fillId="0" borderId="48" xfId="0" applyFont="1" applyBorder="1"/>
    <xf numFmtId="0" fontId="10" fillId="0" borderId="34" xfId="0" applyFont="1" applyBorder="1"/>
    <xf numFmtId="0" fontId="10" fillId="0" borderId="28" xfId="0" applyFont="1" applyBorder="1"/>
    <xf numFmtId="0" fontId="10" fillId="0" borderId="35" xfId="0" applyFont="1" applyBorder="1"/>
    <xf numFmtId="0" fontId="10" fillId="0" borderId="33" xfId="0" applyFont="1" applyBorder="1"/>
    <xf numFmtId="38" fontId="10" fillId="0" borderId="27" xfId="0" applyNumberFormat="1" applyFont="1" applyBorder="1"/>
    <xf numFmtId="38" fontId="10" fillId="0" borderId="0" xfId="0" applyNumberFormat="1" applyFont="1"/>
    <xf numFmtId="38" fontId="10" fillId="0" borderId="26" xfId="0" applyNumberFormat="1" applyFont="1" applyBorder="1"/>
    <xf numFmtId="0" fontId="10" fillId="0" borderId="27" xfId="0" applyFont="1" applyBorder="1"/>
    <xf numFmtId="0" fontId="10" fillId="0" borderId="26" xfId="0" applyFont="1" applyBorder="1"/>
    <xf numFmtId="184" fontId="10" fillId="0" borderId="26" xfId="3" applyNumberFormat="1" applyFont="1" applyBorder="1"/>
    <xf numFmtId="184" fontId="10" fillId="0" borderId="27" xfId="3" applyNumberFormat="1" applyFont="1" applyBorder="1"/>
    <xf numFmtId="0" fontId="10" fillId="0" borderId="49" xfId="0" applyFont="1" applyBorder="1"/>
    <xf numFmtId="184" fontId="10" fillId="0" borderId="36" xfId="3" applyNumberFormat="1" applyFont="1" applyBorder="1"/>
    <xf numFmtId="184" fontId="10" fillId="0" borderId="29" xfId="3" applyNumberFormat="1" applyFont="1" applyBorder="1"/>
    <xf numFmtId="184" fontId="10" fillId="0" borderId="37" xfId="3" applyNumberFormat="1" applyFont="1" applyBorder="1"/>
    <xf numFmtId="0" fontId="11" fillId="0" borderId="31" xfId="0" applyFont="1" applyBorder="1"/>
    <xf numFmtId="0" fontId="11" fillId="0" borderId="30" xfId="0" applyFont="1" applyBorder="1"/>
    <xf numFmtId="269" fontId="11" fillId="0" borderId="30" xfId="1" applyNumberFormat="1" applyFont="1" applyBorder="1"/>
    <xf numFmtId="269" fontId="11" fillId="0" borderId="32" xfId="1" applyNumberFormat="1" applyFont="1" applyBorder="1"/>
    <xf numFmtId="269" fontId="7" fillId="0" borderId="0" xfId="337" applyNumberFormat="1" applyFont="1"/>
    <xf numFmtId="269" fontId="10" fillId="0" borderId="0" xfId="0" applyNumberFormat="1" applyFont="1"/>
    <xf numFmtId="0" fontId="11" fillId="0" borderId="33" xfId="0" applyFont="1" applyBorder="1"/>
    <xf numFmtId="184" fontId="11" fillId="0" borderId="27" xfId="3" applyNumberFormat="1" applyFont="1" applyBorder="1"/>
    <xf numFmtId="184" fontId="11" fillId="0" borderId="0" xfId="3" applyNumberFormat="1" applyFont="1" applyBorder="1"/>
    <xf numFmtId="184" fontId="11" fillId="0" borderId="26" xfId="3" applyNumberFormat="1" applyFont="1" applyBorder="1"/>
    <xf numFmtId="0" fontId="11" fillId="0" borderId="48" xfId="0" applyFont="1" applyBorder="1"/>
    <xf numFmtId="0" fontId="11" fillId="0" borderId="49" xfId="0" applyFont="1" applyBorder="1"/>
    <xf numFmtId="184" fontId="11" fillId="0" borderId="36" xfId="3" applyNumberFormat="1" applyFont="1" applyBorder="1"/>
    <xf numFmtId="184" fontId="11" fillId="0" borderId="29" xfId="3" applyNumberFormat="1" applyFont="1" applyBorder="1"/>
    <xf numFmtId="184" fontId="11" fillId="0" borderId="37" xfId="3" applyNumberFormat="1" applyFont="1" applyBorder="1"/>
    <xf numFmtId="184" fontId="10" fillId="0" borderId="34" xfId="0" applyNumberFormat="1" applyFont="1" applyBorder="1"/>
    <xf numFmtId="38" fontId="10" fillId="0" borderId="28" xfId="0" applyNumberFormat="1" applyFont="1" applyBorder="1"/>
    <xf numFmtId="38" fontId="10" fillId="0" borderId="35" xfId="0" applyNumberFormat="1" applyFont="1" applyBorder="1"/>
    <xf numFmtId="10" fontId="7" fillId="0" borderId="0" xfId="337" applyNumberFormat="1" applyFont="1"/>
    <xf numFmtId="38" fontId="10" fillId="0" borderId="50" xfId="0" applyNumberFormat="1" applyFont="1" applyBorder="1"/>
    <xf numFmtId="38" fontId="10" fillId="0" borderId="30" xfId="0" applyNumberFormat="1" applyFont="1" applyBorder="1"/>
    <xf numFmtId="38" fontId="10" fillId="0" borderId="32" xfId="0" applyNumberFormat="1" applyFont="1" applyBorder="1"/>
    <xf numFmtId="38" fontId="10" fillId="0" borderId="29" xfId="0" applyNumberFormat="1" applyFont="1" applyBorder="1"/>
    <xf numFmtId="38" fontId="10" fillId="0" borderId="37" xfId="0" applyNumberFormat="1" applyFont="1" applyBorder="1"/>
    <xf numFmtId="0" fontId="10" fillId="0" borderId="36" xfId="0" applyFont="1" applyBorder="1"/>
    <xf numFmtId="0" fontId="7" fillId="0" borderId="31" xfId="337" applyFont="1" applyBorder="1"/>
    <xf numFmtId="0" fontId="7" fillId="0" borderId="28" xfId="337" applyFont="1" applyBorder="1"/>
    <xf numFmtId="0" fontId="7" fillId="0" borderId="33" xfId="337" applyFont="1" applyBorder="1"/>
    <xf numFmtId="184" fontId="7" fillId="0" borderId="26" xfId="337" applyNumberFormat="1" applyFont="1" applyBorder="1"/>
    <xf numFmtId="1" fontId="7" fillId="0" borderId="26" xfId="337" applyNumberFormat="1" applyFont="1" applyBorder="1"/>
    <xf numFmtId="0" fontId="7" fillId="0" borderId="49" xfId="337" applyFont="1" applyBorder="1"/>
    <xf numFmtId="1" fontId="7" fillId="0" borderId="37" xfId="337" applyNumberFormat="1" applyFont="1" applyBorder="1"/>
    <xf numFmtId="269" fontId="7" fillId="0" borderId="0" xfId="1" applyNumberFormat="1" applyFont="1"/>
    <xf numFmtId="38" fontId="7" fillId="0" borderId="0" xfId="337" applyNumberFormat="1" applyFont="1"/>
    <xf numFmtId="0" fontId="7" fillId="0" borderId="30" xfId="337" applyFont="1" applyBorder="1"/>
    <xf numFmtId="176" fontId="7" fillId="0" borderId="0" xfId="1" applyFont="1"/>
    <xf numFmtId="184" fontId="11" fillId="0" borderId="30" xfId="3" applyNumberFormat="1" applyFont="1" applyBorder="1"/>
    <xf numFmtId="0" fontId="42" fillId="16" borderId="0" xfId="349" applyFont="1" applyFill="1"/>
    <xf numFmtId="184" fontId="7" fillId="16" borderId="0" xfId="3" applyNumberFormat="1" applyFont="1" applyFill="1" applyBorder="1"/>
    <xf numFmtId="0" fontId="7" fillId="16" borderId="0" xfId="349" applyFont="1" applyFill="1"/>
    <xf numFmtId="0" fontId="7" fillId="16" borderId="0" xfId="349" applyFont="1" applyFill="1" applyAlignment="1">
      <alignment horizontal="right"/>
    </xf>
    <xf numFmtId="323" fontId="47" fillId="10" borderId="0" xfId="349" applyNumberFormat="1" applyFont="1" applyFill="1" applyAlignment="1">
      <alignment horizontal="left"/>
    </xf>
    <xf numFmtId="0" fontId="47" fillId="10" borderId="0" xfId="349" applyFont="1" applyFill="1" applyAlignment="1">
      <alignment horizontal="right"/>
    </xf>
    <xf numFmtId="0" fontId="48" fillId="16" borderId="0" xfId="349" applyFont="1" applyFill="1" applyAlignment="1">
      <alignment horizontal="center"/>
    </xf>
    <xf numFmtId="0" fontId="47" fillId="10" borderId="0" xfId="349" applyFont="1" applyFill="1"/>
    <xf numFmtId="0" fontId="49" fillId="10" borderId="0" xfId="349" applyFont="1" applyFill="1" applyAlignment="1">
      <alignment horizontal="right"/>
    </xf>
    <xf numFmtId="324" fontId="42" fillId="16" borderId="0" xfId="349" applyNumberFormat="1" applyFont="1" applyFill="1" applyAlignment="1">
      <alignment horizontal="right"/>
    </xf>
    <xf numFmtId="184" fontId="7" fillId="16" borderId="0" xfId="3" applyNumberFormat="1" applyFont="1" applyFill="1" applyBorder="1" applyAlignment="1">
      <alignment horizontal="right"/>
    </xf>
    <xf numFmtId="269" fontId="7" fillId="16" borderId="0" xfId="1" applyNumberFormat="1" applyFont="1" applyFill="1" applyBorder="1" applyAlignment="1">
      <alignment horizontal="right"/>
    </xf>
    <xf numFmtId="176" fontId="7" fillId="16" borderId="0" xfId="349" applyNumberFormat="1" applyFont="1" applyFill="1"/>
    <xf numFmtId="176" fontId="7" fillId="16" borderId="0" xfId="1" applyFont="1" applyFill="1" applyBorder="1" applyAlignment="1">
      <alignment horizontal="right"/>
    </xf>
    <xf numFmtId="0" fontId="47" fillId="10" borderId="0" xfId="349" applyFont="1" applyFill="1" applyAlignment="1">
      <alignment horizontal="left"/>
    </xf>
    <xf numFmtId="325" fontId="7" fillId="16" borderId="0" xfId="349" applyNumberFormat="1" applyFont="1" applyFill="1"/>
    <xf numFmtId="225" fontId="7" fillId="16" borderId="0" xfId="349" applyNumberFormat="1" applyFont="1" applyFill="1"/>
    <xf numFmtId="0" fontId="7" fillId="16" borderId="0" xfId="349" applyFont="1" applyFill="1" applyAlignment="1">
      <alignment horizontal="left" indent="1"/>
    </xf>
    <xf numFmtId="324" fontId="7" fillId="16" borderId="0" xfId="349" applyNumberFormat="1" applyFont="1" applyFill="1" applyAlignment="1">
      <alignment horizontal="right"/>
    </xf>
    <xf numFmtId="2" fontId="7" fillId="16" borderId="0" xfId="3" applyNumberFormat="1" applyFont="1" applyFill="1" applyBorder="1"/>
    <xf numFmtId="1" fontId="7" fillId="16" borderId="0" xfId="349" applyNumberFormat="1" applyFont="1" applyFill="1"/>
    <xf numFmtId="184" fontId="45" fillId="16" borderId="0" xfId="3" applyNumberFormat="1" applyFont="1" applyFill="1" applyBorder="1" applyAlignment="1">
      <alignment horizontal="right"/>
    </xf>
    <xf numFmtId="324" fontId="50" fillId="16" borderId="0" xfId="349" applyNumberFormat="1" applyFont="1" applyFill="1" applyAlignment="1">
      <alignment horizontal="right"/>
    </xf>
    <xf numFmtId="225" fontId="42" fillId="16" borderId="0" xfId="349" applyNumberFormat="1" applyFont="1" applyFill="1"/>
    <xf numFmtId="324" fontId="45" fillId="16" borderId="0" xfId="349" applyNumberFormat="1" applyFont="1" applyFill="1" applyAlignment="1">
      <alignment horizontal="right"/>
    </xf>
    <xf numFmtId="184" fontId="7" fillId="0" borderId="0" xfId="3" applyNumberFormat="1" applyFont="1" applyBorder="1"/>
    <xf numFmtId="0" fontId="42" fillId="20" borderId="0" xfId="349" applyFont="1" applyFill="1"/>
    <xf numFmtId="324" fontId="42" fillId="20" borderId="0" xfId="349" applyNumberFormat="1" applyFont="1" applyFill="1" applyAlignment="1">
      <alignment horizontal="right"/>
    </xf>
    <xf numFmtId="324" fontId="50" fillId="20" borderId="0" xfId="349" applyNumberFormat="1" applyFont="1" applyFill="1" applyAlignment="1">
      <alignment horizontal="right"/>
    </xf>
    <xf numFmtId="324" fontId="7" fillId="0" borderId="0" xfId="349" applyNumberFormat="1" applyFont="1" applyAlignment="1">
      <alignment horizontal="right"/>
    </xf>
    <xf numFmtId="0" fontId="51" fillId="16" borderId="0" xfId="349" applyFont="1" applyFill="1"/>
    <xf numFmtId="324" fontId="42" fillId="0" borderId="0" xfId="349" applyNumberFormat="1" applyFont="1" applyAlignment="1">
      <alignment horizontal="right"/>
    </xf>
    <xf numFmtId="326" fontId="7" fillId="16" borderId="0" xfId="349" applyNumberFormat="1" applyFont="1" applyFill="1" applyAlignment="1">
      <alignment horizontal="right"/>
    </xf>
    <xf numFmtId="0" fontId="7" fillId="0" borderId="0" xfId="0" applyFont="1"/>
    <xf numFmtId="326" fontId="45" fillId="16" borderId="0" xfId="349" applyNumberFormat="1" applyFont="1" applyFill="1" applyAlignment="1">
      <alignment horizontal="right"/>
    </xf>
    <xf numFmtId="9" fontId="45" fillId="16" borderId="0" xfId="3" applyFont="1" applyFill="1" applyBorder="1" applyAlignment="1">
      <alignment horizontal="right"/>
    </xf>
    <xf numFmtId="327" fontId="7" fillId="16" borderId="0" xfId="3" applyNumberFormat="1" applyFont="1" applyFill="1" applyBorder="1" applyAlignment="1">
      <alignment horizontal="right"/>
    </xf>
    <xf numFmtId="327" fontId="45" fillId="16" borderId="0" xfId="3" applyNumberFormat="1" applyFont="1" applyFill="1" applyBorder="1" applyAlignment="1">
      <alignment horizontal="right"/>
    </xf>
    <xf numFmtId="225" fontId="7" fillId="16" borderId="0" xfId="349" applyNumberFormat="1" applyFont="1" applyFill="1" applyAlignment="1">
      <alignment horizontal="right"/>
    </xf>
    <xf numFmtId="328" fontId="7" fillId="16" borderId="0" xfId="349" applyNumberFormat="1" applyFont="1" applyFill="1"/>
    <xf numFmtId="324" fontId="7" fillId="16" borderId="0" xfId="349" applyNumberFormat="1" applyFont="1" applyFill="1"/>
    <xf numFmtId="329" fontId="42" fillId="20" borderId="0" xfId="349" applyNumberFormat="1" applyFont="1" applyFill="1" applyAlignment="1">
      <alignment horizontal="right"/>
    </xf>
    <xf numFmtId="176" fontId="7" fillId="16" borderId="0" xfId="1" applyFont="1" applyFill="1" applyBorder="1"/>
    <xf numFmtId="220" fontId="7" fillId="16" borderId="0" xfId="349" applyNumberFormat="1" applyFont="1" applyFill="1" applyAlignment="1">
      <alignment horizontal="right"/>
    </xf>
    <xf numFmtId="220" fontId="52" fillId="16" borderId="0" xfId="349" applyNumberFormat="1" applyFont="1" applyFill="1" applyAlignment="1">
      <alignment horizontal="right"/>
    </xf>
    <xf numFmtId="330" fontId="7" fillId="16" borderId="0" xfId="349" applyNumberFormat="1" applyFont="1" applyFill="1" applyAlignment="1">
      <alignment horizontal="right"/>
    </xf>
    <xf numFmtId="184" fontId="42" fillId="16" borderId="0" xfId="3" applyNumberFormat="1" applyFont="1" applyFill="1" applyBorder="1" applyAlignment="1">
      <alignment horizontal="right"/>
    </xf>
    <xf numFmtId="329" fontId="42" fillId="16" borderId="0" xfId="349" applyNumberFormat="1" applyFont="1" applyFill="1" applyAlignment="1">
      <alignment horizontal="right"/>
    </xf>
    <xf numFmtId="0" fontId="7" fillId="10" borderId="0" xfId="349" applyFont="1" applyFill="1"/>
    <xf numFmtId="0" fontId="47" fillId="10" borderId="26" xfId="349" applyFont="1" applyFill="1" applyBorder="1" applyAlignment="1">
      <alignment horizontal="right"/>
    </xf>
    <xf numFmtId="324" fontId="42" fillId="2" borderId="0" xfId="349" applyNumberFormat="1" applyFont="1" applyFill="1" applyAlignment="1">
      <alignment horizontal="right"/>
    </xf>
    <xf numFmtId="184" fontId="7" fillId="2" borderId="0" xfId="3" applyNumberFormat="1" applyFont="1" applyFill="1" applyBorder="1" applyAlignment="1">
      <alignment horizontal="right"/>
    </xf>
    <xf numFmtId="184" fontId="7" fillId="2" borderId="0" xfId="3" applyNumberFormat="1" applyFont="1" applyFill="1" applyBorder="1"/>
    <xf numFmtId="324" fontId="45" fillId="2" borderId="0" xfId="349" applyNumberFormat="1" applyFont="1" applyFill="1" applyAlignment="1">
      <alignment horizontal="right"/>
    </xf>
    <xf numFmtId="324" fontId="50" fillId="2" borderId="0" xfId="349" applyNumberFormat="1" applyFont="1" applyFill="1" applyAlignment="1">
      <alignment horizontal="right"/>
    </xf>
    <xf numFmtId="318" fontId="7" fillId="16" borderId="0" xfId="3" applyNumberFormat="1" applyFont="1" applyFill="1" applyBorder="1" applyAlignment="1">
      <alignment horizontal="right"/>
    </xf>
    <xf numFmtId="318" fontId="45" fillId="2" borderId="0" xfId="3" applyNumberFormat="1" applyFont="1" applyFill="1" applyBorder="1" applyAlignment="1">
      <alignment horizontal="right"/>
    </xf>
    <xf numFmtId="331" fontId="48" fillId="16" borderId="0" xfId="349" applyNumberFormat="1" applyFont="1" applyFill="1"/>
    <xf numFmtId="324" fontId="7" fillId="2" borderId="0" xfId="349" applyNumberFormat="1" applyFont="1" applyFill="1" applyAlignment="1">
      <alignment horizontal="right"/>
    </xf>
    <xf numFmtId="9" fontId="7" fillId="16" borderId="0" xfId="3" applyFont="1" applyFill="1" applyBorder="1" applyAlignment="1">
      <alignment horizontal="right"/>
    </xf>
    <xf numFmtId="318" fontId="7" fillId="16" borderId="0" xfId="1" applyNumberFormat="1" applyFont="1" applyFill="1" applyBorder="1" applyAlignment="1">
      <alignment horizontal="right"/>
    </xf>
    <xf numFmtId="313" fontId="7" fillId="16" borderId="0" xfId="349" applyNumberFormat="1" applyFont="1" applyFill="1" applyAlignment="1">
      <alignment horizontal="right"/>
    </xf>
    <xf numFmtId="318" fontId="7" fillId="16" borderId="0" xfId="349" applyNumberFormat="1" applyFont="1" applyFill="1" applyAlignment="1">
      <alignment horizontal="right"/>
    </xf>
    <xf numFmtId="3" fontId="7" fillId="16" borderId="0" xfId="349" applyNumberFormat="1" applyFont="1" applyFill="1" applyAlignment="1">
      <alignment horizontal="right"/>
    </xf>
    <xf numFmtId="269" fontId="7" fillId="16" borderId="0" xfId="1" applyNumberFormat="1" applyFont="1" applyFill="1" applyAlignment="1">
      <alignment horizontal="right"/>
    </xf>
    <xf numFmtId="322" fontId="7" fillId="16" borderId="0" xfId="349" applyNumberFormat="1" applyFont="1" applyFill="1" applyAlignment="1">
      <alignment horizontal="right"/>
    </xf>
    <xf numFmtId="318" fontId="42" fillId="16" borderId="0" xfId="1" applyNumberFormat="1" applyFont="1" applyFill="1" applyBorder="1" applyAlignment="1">
      <alignment horizontal="right"/>
    </xf>
    <xf numFmtId="320" fontId="7" fillId="16" borderId="0" xfId="349" applyNumberFormat="1" applyFont="1" applyFill="1"/>
    <xf numFmtId="9" fontId="7" fillId="16" borderId="0" xfId="3" applyFont="1" applyFill="1" applyBorder="1"/>
    <xf numFmtId="316" fontId="7" fillId="16" borderId="0" xfId="3" applyNumberFormat="1" applyFont="1" applyFill="1" applyBorder="1" applyAlignment="1">
      <alignment horizontal="right"/>
    </xf>
    <xf numFmtId="184" fontId="7" fillId="16" borderId="0" xfId="1" applyNumberFormat="1" applyFont="1" applyFill="1" applyBorder="1" applyAlignment="1">
      <alignment horizontal="right"/>
    </xf>
    <xf numFmtId="9" fontId="48" fillId="16" borderId="0" xfId="3" applyFont="1" applyFill="1" applyBorder="1"/>
    <xf numFmtId="9" fontId="7" fillId="16" borderId="0" xfId="349" applyNumberFormat="1" applyFont="1" applyFill="1"/>
    <xf numFmtId="269" fontId="7" fillId="16" borderId="0" xfId="349" applyNumberFormat="1" applyFont="1" applyFill="1"/>
    <xf numFmtId="332" fontId="7" fillId="0" borderId="0" xfId="0" applyNumberFormat="1" applyFont="1"/>
    <xf numFmtId="191" fontId="7" fillId="16" borderId="0" xfId="349" applyNumberFormat="1" applyFont="1" applyFill="1"/>
    <xf numFmtId="184" fontId="7" fillId="16" borderId="0" xfId="349" applyNumberFormat="1" applyFont="1" applyFill="1" applyAlignment="1">
      <alignment horizontal="right"/>
    </xf>
    <xf numFmtId="333" fontId="7" fillId="16" borderId="0" xfId="349" applyNumberFormat="1" applyFont="1" applyFill="1"/>
    <xf numFmtId="331" fontId="7" fillId="16" borderId="0" xfId="349" applyNumberFormat="1" applyFont="1" applyFill="1"/>
    <xf numFmtId="220" fontId="42" fillId="20" borderId="0" xfId="349" applyNumberFormat="1" applyFont="1" applyFill="1" applyAlignment="1">
      <alignment horizontal="right"/>
    </xf>
    <xf numFmtId="0" fontId="42" fillId="16" borderId="0" xfId="349" applyFont="1" applyFill="1" applyAlignment="1">
      <alignment horizontal="center"/>
    </xf>
    <xf numFmtId="332" fontId="7" fillId="16" borderId="0" xfId="349" applyNumberFormat="1" applyFont="1" applyFill="1" applyAlignment="1">
      <alignment horizontal="center"/>
    </xf>
    <xf numFmtId="0" fontId="7" fillId="16" borderId="0" xfId="349" applyFont="1" applyFill="1" applyAlignment="1">
      <alignment horizontal="center"/>
    </xf>
    <xf numFmtId="334" fontId="7" fillId="16" borderId="0" xfId="349" applyNumberFormat="1" applyFont="1" applyFill="1"/>
    <xf numFmtId="0" fontId="7" fillId="0" borderId="0" xfId="349" applyFont="1"/>
    <xf numFmtId="1" fontId="7" fillId="16" borderId="0" xfId="349" applyNumberFormat="1" applyFont="1" applyFill="1" applyAlignment="1">
      <alignment horizontal="right"/>
    </xf>
    <xf numFmtId="0" fontId="47" fillId="11" borderId="0" xfId="349" applyFont="1" applyFill="1" applyAlignment="1">
      <alignment horizontal="left"/>
    </xf>
    <xf numFmtId="0" fontId="47" fillId="11" borderId="0" xfId="349" applyFont="1" applyFill="1" applyAlignment="1">
      <alignment horizontal="right"/>
    </xf>
    <xf numFmtId="0" fontId="7" fillId="16" borderId="0" xfId="0" applyFont="1" applyFill="1"/>
    <xf numFmtId="220" fontId="7" fillId="16" borderId="0" xfId="0" applyNumberFormat="1" applyFont="1" applyFill="1"/>
    <xf numFmtId="0" fontId="42" fillId="20" borderId="0" xfId="0" applyFont="1" applyFill="1"/>
    <xf numFmtId="220" fontId="42" fillId="20" borderId="0" xfId="0" applyNumberFormat="1" applyFont="1" applyFill="1"/>
    <xf numFmtId="0" fontId="42" fillId="0" borderId="0" xfId="0" applyFont="1" applyFill="1"/>
    <xf numFmtId="220" fontId="42" fillId="0" borderId="0" xfId="0" applyNumberFormat="1" applyFont="1" applyFill="1"/>
    <xf numFmtId="330" fontId="53" fillId="16" borderId="0" xfId="349" applyNumberFormat="1" applyFont="1" applyFill="1" applyAlignment="1">
      <alignment horizontal="right"/>
    </xf>
    <xf numFmtId="330" fontId="7" fillId="16" borderId="0" xfId="349" applyNumberFormat="1" applyFont="1" applyFill="1" applyAlignment="1">
      <alignment horizontal="left"/>
    </xf>
    <xf numFmtId="330" fontId="42" fillId="16" borderId="0" xfId="349" applyNumberFormat="1" applyFont="1" applyFill="1" applyAlignment="1">
      <alignment horizontal="right"/>
    </xf>
    <xf numFmtId="329" fontId="7" fillId="16" borderId="0" xfId="349" applyNumberFormat="1" applyFont="1" applyFill="1" applyAlignment="1">
      <alignment horizontal="right"/>
    </xf>
    <xf numFmtId="0" fontId="42" fillId="16" borderId="0" xfId="349" applyFont="1" applyFill="1" applyAlignment="1">
      <alignment horizontal="right"/>
    </xf>
    <xf numFmtId="315" fontId="42" fillId="16" borderId="0" xfId="349" applyNumberFormat="1" applyFont="1" applyFill="1" applyAlignment="1">
      <alignment horizontal="right"/>
    </xf>
    <xf numFmtId="219" fontId="12" fillId="10" borderId="26" xfId="352" applyFont="1" applyFill="1" applyBorder="1" applyAlignment="1">
      <alignment horizontal="center"/>
    </xf>
    <xf numFmtId="219" fontId="12" fillId="11" borderId="26" xfId="352" applyFont="1" applyFill="1" applyBorder="1" applyAlignment="1">
      <alignment horizontal="center"/>
    </xf>
    <xf numFmtId="219" fontId="10" fillId="0" borderId="0" xfId="352" applyFont="1"/>
    <xf numFmtId="219" fontId="11" fillId="0" borderId="0" xfId="352" applyFont="1"/>
    <xf numFmtId="0" fontId="54" fillId="10" borderId="0" xfId="0" applyFont="1" applyFill="1"/>
    <xf numFmtId="1" fontId="10" fillId="0" borderId="0" xfId="1" applyNumberFormat="1" applyFont="1" applyFill="1" applyBorder="1" applyAlignment="1">
      <alignment horizontal="center"/>
    </xf>
    <xf numFmtId="1" fontId="10" fillId="0" borderId="0" xfId="3" applyNumberFormat="1" applyFont="1" applyFill="1" applyBorder="1" applyAlignment="1">
      <alignment horizontal="center"/>
    </xf>
    <xf numFmtId="10" fontId="10" fillId="0" borderId="0" xfId="3" applyNumberFormat="1" applyFont="1" applyFill="1" applyBorder="1" applyAlignment="1">
      <alignment horizontal="center"/>
    </xf>
    <xf numFmtId="0" fontId="54" fillId="10" borderId="0" xfId="0" applyFont="1" applyFill="1" applyAlignment="1">
      <alignment horizontal="right"/>
    </xf>
    <xf numFmtId="219" fontId="7" fillId="0" borderId="0" xfId="352" applyFont="1" applyAlignment="1">
      <alignment horizontal="left" indent="1"/>
    </xf>
    <xf numFmtId="219" fontId="43" fillId="10" borderId="0" xfId="352" applyFont="1" applyFill="1" applyAlignment="1">
      <alignment horizontal="left" indent="1"/>
    </xf>
    <xf numFmtId="219" fontId="42" fillId="0" borderId="0" xfId="352" applyFont="1"/>
    <xf numFmtId="2" fontId="10" fillId="0" borderId="0" xfId="3" applyNumberFormat="1" applyFont="1"/>
    <xf numFmtId="318" fontId="10" fillId="0" borderId="0" xfId="0" applyNumberFormat="1" applyFont="1"/>
    <xf numFmtId="184" fontId="11" fillId="0" borderId="0" xfId="3" applyNumberFormat="1" applyFont="1"/>
    <xf numFmtId="184" fontId="11" fillId="0" borderId="0" xfId="0" applyNumberFormat="1" applyFont="1"/>
    <xf numFmtId="0" fontId="10" fillId="0" borderId="34" xfId="0" applyFont="1" applyBorder="1" applyAlignment="1">
      <alignment horizontal="right"/>
    </xf>
    <xf numFmtId="0" fontId="10" fillId="0" borderId="28" xfId="0" applyFont="1" applyBorder="1" applyAlignment="1">
      <alignment horizontal="right"/>
    </xf>
    <xf numFmtId="0" fontId="10" fillId="0" borderId="35" xfId="0" applyFont="1" applyBorder="1" applyAlignment="1">
      <alignment horizontal="right"/>
    </xf>
    <xf numFmtId="0" fontId="10" fillId="0" borderId="36" xfId="0" applyFont="1" applyBorder="1" applyAlignment="1">
      <alignment horizontal="right"/>
    </xf>
    <xf numFmtId="0" fontId="10" fillId="0" borderId="29" xfId="0" applyFont="1" applyBorder="1" applyAlignment="1">
      <alignment horizontal="right"/>
    </xf>
    <xf numFmtId="0" fontId="10" fillId="0" borderId="37" xfId="0" applyFont="1" applyBorder="1" applyAlignment="1">
      <alignment horizontal="right"/>
    </xf>
    <xf numFmtId="220" fontId="10" fillId="0" borderId="34" xfId="0" applyNumberFormat="1" applyFont="1" applyBorder="1"/>
    <xf numFmtId="220" fontId="10" fillId="0" borderId="28" xfId="0" applyNumberFormat="1" applyFont="1" applyBorder="1"/>
    <xf numFmtId="220" fontId="10" fillId="0" borderId="35" xfId="0" applyNumberFormat="1" applyFont="1" applyBorder="1"/>
    <xf numFmtId="184" fontId="10" fillId="0" borderId="35" xfId="3" applyNumberFormat="1" applyFont="1" applyBorder="1"/>
    <xf numFmtId="10" fontId="10" fillId="0" borderId="0" xfId="0" applyNumberFormat="1" applyFont="1"/>
    <xf numFmtId="9" fontId="10" fillId="0" borderId="27" xfId="3" applyFont="1" applyBorder="1"/>
    <xf numFmtId="9" fontId="11" fillId="0" borderId="0" xfId="3" applyFont="1" applyBorder="1"/>
    <xf numFmtId="9" fontId="10" fillId="0" borderId="26" xfId="0" applyNumberFormat="1" applyFont="1" applyBorder="1"/>
    <xf numFmtId="9" fontId="10" fillId="0" borderId="26" xfId="3" applyFont="1" applyBorder="1"/>
    <xf numFmtId="184" fontId="10" fillId="0" borderId="26" xfId="0" applyNumberFormat="1" applyFont="1" applyBorder="1"/>
    <xf numFmtId="184" fontId="10" fillId="0" borderId="35" xfId="0" applyNumberFormat="1" applyFont="1" applyBorder="1"/>
    <xf numFmtId="220" fontId="10" fillId="0" borderId="27" xfId="0" applyNumberFormat="1" applyFont="1" applyBorder="1"/>
    <xf numFmtId="220" fontId="10" fillId="0" borderId="0" xfId="0" applyNumberFormat="1" applyFont="1"/>
    <xf numFmtId="220" fontId="10" fillId="0" borderId="26" xfId="0" applyNumberFormat="1" applyFont="1" applyBorder="1"/>
    <xf numFmtId="9" fontId="10" fillId="0" borderId="36" xfId="3" applyFont="1" applyBorder="1"/>
    <xf numFmtId="9" fontId="10" fillId="0" borderId="29" xfId="3" applyFont="1" applyBorder="1"/>
    <xf numFmtId="9" fontId="10" fillId="0" borderId="37" xfId="3" applyFont="1" applyBorder="1"/>
    <xf numFmtId="0" fontId="10" fillId="0" borderId="29" xfId="0" applyFont="1" applyBorder="1"/>
    <xf numFmtId="184" fontId="10" fillId="0" borderId="37" xfId="0" applyNumberFormat="1" applyFont="1" applyBorder="1"/>
    <xf numFmtId="184" fontId="10" fillId="0" borderId="27" xfId="0" applyNumberFormat="1" applyFont="1" applyBorder="1"/>
    <xf numFmtId="220" fontId="10" fillId="0" borderId="36" xfId="0" applyNumberFormat="1" applyFont="1" applyBorder="1"/>
    <xf numFmtId="220" fontId="10" fillId="0" borderId="29" xfId="0" applyNumberFormat="1" applyFont="1" applyBorder="1"/>
    <xf numFmtId="220" fontId="10" fillId="0" borderId="37" xfId="0" applyNumberFormat="1" applyFont="1" applyBorder="1"/>
    <xf numFmtId="335" fontId="10" fillId="0" borderId="0" xfId="3" applyNumberFormat="1" applyFont="1"/>
    <xf numFmtId="269" fontId="10" fillId="0" borderId="0" xfId="3" applyNumberFormat="1" applyFont="1"/>
    <xf numFmtId="319" fontId="10" fillId="0" borderId="0" xfId="0" applyNumberFormat="1" applyFont="1"/>
    <xf numFmtId="322" fontId="10" fillId="0" borderId="0" xfId="0" applyNumberFormat="1" applyFont="1"/>
    <xf numFmtId="0" fontId="0" fillId="0" borderId="0" xfId="0" applyAlignment="1">
      <alignment horizontal="right"/>
    </xf>
    <xf numFmtId="269" fontId="0" fillId="0" borderId="0" xfId="1" applyNumberFormat="1" applyFont="1"/>
    <xf numFmtId="9" fontId="0" fillId="0" borderId="0" xfId="3" applyFont="1"/>
    <xf numFmtId="219" fontId="55" fillId="10" borderId="0" xfId="484" applyFont="1" applyFill="1" applyAlignment="1">
      <alignment horizontal="center"/>
    </xf>
    <xf numFmtId="1" fontId="55" fillId="10" borderId="0" xfId="484" applyNumberFormat="1" applyFont="1" applyFill="1" applyAlignment="1">
      <alignment horizontal="right"/>
    </xf>
    <xf numFmtId="219" fontId="55" fillId="10" borderId="0" xfId="484" applyFont="1" applyFill="1" applyAlignment="1">
      <alignment horizontal="right"/>
    </xf>
    <xf numFmtId="0" fontId="10" fillId="0" borderId="50" xfId="0" applyFont="1" applyBorder="1"/>
    <xf numFmtId="269" fontId="10" fillId="0" borderId="30" xfId="1" applyNumberFormat="1" applyFont="1" applyBorder="1"/>
    <xf numFmtId="269" fontId="10" fillId="0" borderId="32" xfId="1" applyNumberFormat="1" applyFont="1" applyBorder="1"/>
    <xf numFmtId="269" fontId="10" fillId="0" borderId="0" xfId="1" applyNumberFormat="1" applyFont="1" applyBorder="1"/>
    <xf numFmtId="269" fontId="10" fillId="0" borderId="26" xfId="1" applyNumberFormat="1" applyFont="1" applyBorder="1"/>
    <xf numFmtId="184" fontId="10" fillId="0" borderId="30" xfId="3" applyNumberFormat="1" applyFont="1" applyBorder="1"/>
    <xf numFmtId="184" fontId="10" fillId="0" borderId="32" xfId="3" applyNumberFormat="1" applyFont="1" applyBorder="1"/>
    <xf numFmtId="9" fontId="10" fillId="0" borderId="50" xfId="3" applyFont="1" applyBorder="1"/>
    <xf numFmtId="9" fontId="10" fillId="0" borderId="30" xfId="3" applyFont="1" applyBorder="1"/>
    <xf numFmtId="9" fontId="10" fillId="0" borderId="32" xfId="3" applyFont="1" applyBorder="1"/>
    <xf numFmtId="9" fontId="11" fillId="0" borderId="0" xfId="3" applyFont="1"/>
    <xf numFmtId="219" fontId="7" fillId="16" borderId="0" xfId="352" applyFont="1" applyFill="1"/>
    <xf numFmtId="38" fontId="42" fillId="0" borderId="0" xfId="352" applyNumberFormat="1" applyFont="1"/>
    <xf numFmtId="219" fontId="7" fillId="24" borderId="0" xfId="352" applyFont="1" applyFill="1"/>
    <xf numFmtId="219" fontId="56" fillId="0" borderId="0" xfId="484" applyFont="1"/>
    <xf numFmtId="40" fontId="7" fillId="0" borderId="0" xfId="352" applyNumberFormat="1" applyFont="1"/>
    <xf numFmtId="219" fontId="42" fillId="28" borderId="30" xfId="352" applyFont="1" applyFill="1" applyBorder="1"/>
    <xf numFmtId="176" fontId="7" fillId="0" borderId="0" xfId="218" applyFont="1" applyBorder="1"/>
    <xf numFmtId="184" fontId="7" fillId="0" borderId="0" xfId="352" applyNumberFormat="1" applyFont="1"/>
    <xf numFmtId="219" fontId="46" fillId="10" borderId="0" xfId="352" applyFont="1" applyFill="1"/>
    <xf numFmtId="219" fontId="53" fillId="0" borderId="0" xfId="352" applyFont="1"/>
    <xf numFmtId="219" fontId="56" fillId="0" borderId="0" xfId="352" applyFont="1"/>
    <xf numFmtId="219" fontId="7" fillId="0" borderId="0" xfId="352" applyFont="1"/>
    <xf numFmtId="219" fontId="7" fillId="0" borderId="0" xfId="352" applyFont="1" applyAlignment="1">
      <alignment horizontal="right"/>
    </xf>
    <xf numFmtId="219" fontId="7" fillId="0" borderId="0" xfId="352" applyFont="1" applyAlignment="1">
      <alignment horizontal="center"/>
    </xf>
    <xf numFmtId="219" fontId="7" fillId="0" borderId="26" xfId="352" applyFont="1" applyBorder="1" applyAlignment="1">
      <alignment horizontal="center"/>
    </xf>
    <xf numFmtId="0" fontId="7" fillId="0" borderId="26" xfId="0" applyFont="1" applyBorder="1"/>
    <xf numFmtId="0" fontId="7" fillId="0" borderId="27" xfId="0" applyFont="1" applyBorder="1"/>
    <xf numFmtId="219" fontId="7" fillId="0" borderId="0" xfId="352" applyFont="1" applyAlignment="1">
      <alignment horizontal="left"/>
    </xf>
    <xf numFmtId="336" fontId="47" fillId="10" borderId="0" xfId="352" applyNumberFormat="1" applyFont="1" applyFill="1" applyAlignment="1">
      <alignment horizontal="left"/>
    </xf>
    <xf numFmtId="1" fontId="47" fillId="10" borderId="0" xfId="352" applyNumberFormat="1" applyFont="1" applyFill="1" applyAlignment="1">
      <alignment horizontal="right"/>
    </xf>
    <xf numFmtId="1" fontId="47" fillId="10" borderId="27" xfId="352" applyNumberFormat="1" applyFont="1" applyFill="1" applyBorder="1" applyAlignment="1">
      <alignment horizontal="center"/>
    </xf>
    <xf numFmtId="1" fontId="47" fillId="10" borderId="0" xfId="352" applyNumberFormat="1" applyFont="1" applyFill="1" applyAlignment="1">
      <alignment horizontal="center"/>
    </xf>
    <xf numFmtId="1" fontId="47" fillId="10" borderId="26" xfId="352" applyNumberFormat="1" applyFont="1" applyFill="1" applyBorder="1" applyAlignment="1">
      <alignment horizontal="center"/>
    </xf>
    <xf numFmtId="219" fontId="47" fillId="10" borderId="0" xfId="352" applyFont="1" applyFill="1" applyAlignment="1">
      <alignment horizontal="center"/>
    </xf>
    <xf numFmtId="219" fontId="47" fillId="10" borderId="26" xfId="352" applyFont="1" applyFill="1" applyBorder="1" applyAlignment="1">
      <alignment horizontal="center"/>
    </xf>
    <xf numFmtId="38" fontId="42" fillId="0" borderId="0" xfId="352" applyNumberFormat="1" applyFont="1" applyAlignment="1">
      <alignment horizontal="left"/>
    </xf>
    <xf numFmtId="1" fontId="47" fillId="0" borderId="0" xfId="352" applyNumberFormat="1" applyFont="1" applyAlignment="1">
      <alignment horizontal="center"/>
    </xf>
    <xf numFmtId="219" fontId="47" fillId="10" borderId="0" xfId="352" applyFont="1" applyFill="1"/>
    <xf numFmtId="219" fontId="47" fillId="10" borderId="0" xfId="352" applyFont="1" applyFill="1" applyAlignment="1">
      <alignment horizontal="right"/>
    </xf>
    <xf numFmtId="219" fontId="47" fillId="10" borderId="27" xfId="352" applyFont="1" applyFill="1" applyBorder="1" applyAlignment="1">
      <alignment horizontal="right"/>
    </xf>
    <xf numFmtId="219" fontId="47" fillId="10" borderId="26" xfId="352" applyFont="1" applyFill="1" applyBorder="1" applyAlignment="1">
      <alignment horizontal="right"/>
    </xf>
    <xf numFmtId="219" fontId="47" fillId="10" borderId="27" xfId="352" applyFont="1" applyFill="1" applyBorder="1" applyAlignment="1">
      <alignment horizontal="center"/>
    </xf>
    <xf numFmtId="38" fontId="48" fillId="0" borderId="0" xfId="352" applyNumberFormat="1" applyFont="1" applyAlignment="1">
      <alignment horizontal="left"/>
    </xf>
    <xf numFmtId="219" fontId="42" fillId="0" borderId="0" xfId="352" applyFont="1" applyAlignment="1">
      <alignment horizontal="right"/>
    </xf>
    <xf numFmtId="184" fontId="42" fillId="0" borderId="0" xfId="3" applyNumberFormat="1" applyFont="1" applyBorder="1" applyAlignment="1">
      <alignment vertical="center"/>
    </xf>
    <xf numFmtId="219" fontId="7" fillId="0" borderId="27" xfId="352" applyFont="1" applyBorder="1" applyAlignment="1">
      <alignment horizontal="right"/>
    </xf>
    <xf numFmtId="219" fontId="7" fillId="0" borderId="26" xfId="352" applyFont="1" applyBorder="1" applyAlignment="1">
      <alignment horizontal="right"/>
    </xf>
    <xf numFmtId="9" fontId="7" fillId="0" borderId="0" xfId="3" applyFont="1" applyBorder="1" applyAlignment="1">
      <alignment horizontal="right"/>
    </xf>
    <xf numFmtId="184" fontId="49" fillId="0" borderId="0" xfId="3" applyNumberFormat="1" applyFont="1" applyFill="1" applyBorder="1" applyAlignment="1">
      <alignment horizontal="right"/>
    </xf>
    <xf numFmtId="219" fontId="7" fillId="0" borderId="27" xfId="352" applyFont="1" applyBorder="1" applyAlignment="1">
      <alignment horizontal="center"/>
    </xf>
    <xf numFmtId="184" fontId="49" fillId="0" borderId="0" xfId="3" applyNumberFormat="1" applyFont="1" applyFill="1" applyBorder="1" applyAlignment="1">
      <alignment horizontal="center"/>
    </xf>
    <xf numFmtId="279" fontId="7" fillId="0" borderId="0" xfId="352" applyNumberFormat="1" applyFont="1" applyAlignment="1">
      <alignment horizontal="center"/>
    </xf>
    <xf numFmtId="219" fontId="7" fillId="10" borderId="0" xfId="352" applyFont="1" applyFill="1" applyAlignment="1">
      <alignment horizontal="right"/>
    </xf>
    <xf numFmtId="219" fontId="7" fillId="10" borderId="27" xfId="352" applyFont="1" applyFill="1" applyBorder="1" applyAlignment="1">
      <alignment horizontal="right"/>
    </xf>
    <xf numFmtId="219" fontId="7" fillId="10" borderId="26" xfId="352" applyFont="1" applyFill="1" applyBorder="1" applyAlignment="1">
      <alignment horizontal="right"/>
    </xf>
    <xf numFmtId="9" fontId="7" fillId="10" borderId="0" xfId="3" applyFont="1" applyFill="1" applyBorder="1" applyAlignment="1">
      <alignment horizontal="right"/>
    </xf>
    <xf numFmtId="219" fontId="47" fillId="11" borderId="0" xfId="352" applyFont="1" applyFill="1" applyAlignment="1">
      <alignment horizontal="center"/>
    </xf>
    <xf numFmtId="38" fontId="42" fillId="0" borderId="0" xfId="352" applyNumberFormat="1" applyFont="1" applyAlignment="1">
      <alignment horizontal="center"/>
    </xf>
    <xf numFmtId="38" fontId="42" fillId="0" borderId="26" xfId="352" applyNumberFormat="1" applyFont="1" applyBorder="1" applyAlignment="1">
      <alignment horizontal="center"/>
    </xf>
    <xf numFmtId="38" fontId="42" fillId="16" borderId="0" xfId="352" applyNumberFormat="1" applyFont="1" applyFill="1" applyAlignment="1">
      <alignment horizontal="center"/>
    </xf>
    <xf numFmtId="38" fontId="42" fillId="16" borderId="26" xfId="352" applyNumberFormat="1" applyFont="1" applyFill="1" applyBorder="1" applyAlignment="1">
      <alignment horizontal="center"/>
    </xf>
    <xf numFmtId="38" fontId="42" fillId="2" borderId="27" xfId="352" applyNumberFormat="1" applyFont="1" applyFill="1" applyBorder="1" applyAlignment="1">
      <alignment horizontal="center"/>
    </xf>
    <xf numFmtId="38" fontId="42" fillId="2" borderId="0" xfId="352" applyNumberFormat="1" applyFont="1" applyFill="1" applyAlignment="1">
      <alignment horizontal="center"/>
    </xf>
    <xf numFmtId="38" fontId="42" fillId="2" borderId="26" xfId="352" applyNumberFormat="1" applyFont="1" applyFill="1" applyBorder="1" applyAlignment="1">
      <alignment horizontal="center"/>
    </xf>
    <xf numFmtId="9" fontId="42" fillId="0" borderId="0" xfId="3" applyFont="1" applyBorder="1" applyAlignment="1">
      <alignment horizontal="left"/>
    </xf>
    <xf numFmtId="219" fontId="42" fillId="0" borderId="0" xfId="352" applyFont="1" applyAlignment="1">
      <alignment horizontal="center"/>
    </xf>
    <xf numFmtId="9" fontId="7" fillId="0" borderId="0" xfId="3" applyFont="1" applyBorder="1" applyAlignment="1">
      <alignment horizontal="center"/>
    </xf>
    <xf numFmtId="9" fontId="7" fillId="0" borderId="26" xfId="3" applyFont="1" applyBorder="1" applyAlignment="1">
      <alignment horizontal="center"/>
    </xf>
    <xf numFmtId="184" fontId="7" fillId="0" borderId="0" xfId="3" applyNumberFormat="1" applyFont="1" applyBorder="1" applyAlignment="1">
      <alignment horizontal="center"/>
    </xf>
    <xf numFmtId="184" fontId="7" fillId="16" borderId="0" xfId="3" applyNumberFormat="1" applyFont="1" applyFill="1" applyBorder="1" applyAlignment="1">
      <alignment horizontal="center"/>
    </xf>
    <xf numFmtId="184" fontId="7" fillId="16" borderId="26" xfId="3" applyNumberFormat="1" applyFont="1" applyFill="1" applyBorder="1" applyAlignment="1">
      <alignment horizontal="center"/>
    </xf>
    <xf numFmtId="184" fontId="7" fillId="0" borderId="26" xfId="3" applyNumberFormat="1" applyFont="1" applyBorder="1" applyAlignment="1">
      <alignment horizontal="center"/>
    </xf>
    <xf numFmtId="184" fontId="7" fillId="2" borderId="27" xfId="3" applyNumberFormat="1" applyFont="1" applyFill="1" applyBorder="1" applyAlignment="1">
      <alignment horizontal="center"/>
    </xf>
    <xf numFmtId="184" fontId="7" fillId="2" borderId="0" xfId="3" applyNumberFormat="1" applyFont="1" applyFill="1" applyBorder="1" applyAlignment="1">
      <alignment horizontal="center"/>
    </xf>
    <xf numFmtId="184" fontId="7" fillId="2" borderId="26" xfId="3" applyNumberFormat="1" applyFont="1" applyFill="1" applyBorder="1" applyAlignment="1">
      <alignment horizontal="center"/>
    </xf>
    <xf numFmtId="9" fontId="42" fillId="0" borderId="0" xfId="3" applyFont="1" applyBorder="1" applyAlignment="1">
      <alignment horizontal="center"/>
    </xf>
    <xf numFmtId="9" fontId="7" fillId="0" borderId="0" xfId="3" applyFont="1" applyBorder="1" applyAlignment="1">
      <alignment horizontal="left" indent="1"/>
    </xf>
    <xf numFmtId="184" fontId="45" fillId="0" borderId="0" xfId="3" applyNumberFormat="1" applyFont="1" applyBorder="1" applyAlignment="1">
      <alignment horizontal="center"/>
    </xf>
    <xf numFmtId="184" fontId="42" fillId="0" borderId="0" xfId="3" applyNumberFormat="1" applyFont="1" applyBorder="1" applyAlignment="1">
      <alignment horizontal="left"/>
    </xf>
    <xf numFmtId="184" fontId="7" fillId="0" borderId="26" xfId="3" applyNumberFormat="1" applyFont="1" applyFill="1" applyBorder="1" applyAlignment="1">
      <alignment horizontal="center"/>
    </xf>
    <xf numFmtId="184" fontId="7" fillId="0" borderId="0" xfId="3" applyNumberFormat="1" applyFont="1" applyFill="1" applyBorder="1" applyAlignment="1">
      <alignment horizontal="center"/>
    </xf>
    <xf numFmtId="184" fontId="45" fillId="16" borderId="0" xfId="3" applyNumberFormat="1" applyFont="1" applyFill="1" applyBorder="1" applyAlignment="1">
      <alignment horizontal="center"/>
    </xf>
    <xf numFmtId="184" fontId="53" fillId="16" borderId="0" xfId="3" applyNumberFormat="1" applyFont="1" applyFill="1" applyBorder="1" applyAlignment="1">
      <alignment horizontal="center"/>
    </xf>
    <xf numFmtId="184" fontId="48" fillId="16" borderId="0" xfId="3" applyNumberFormat="1" applyFont="1" applyFill="1" applyBorder="1" applyAlignment="1">
      <alignment horizontal="left"/>
    </xf>
    <xf numFmtId="38" fontId="50" fillId="0" borderId="0" xfId="352" applyNumberFormat="1" applyFont="1" applyAlignment="1">
      <alignment horizontal="center"/>
    </xf>
    <xf numFmtId="184" fontId="57" fillId="16" borderId="0" xfId="3" applyNumberFormat="1" applyFont="1" applyFill="1" applyBorder="1" applyAlignment="1">
      <alignment horizontal="center"/>
    </xf>
    <xf numFmtId="219" fontId="7" fillId="0" borderId="0" xfId="352" applyFont="1" applyAlignment="1">
      <alignment horizontal="left" indent="2"/>
    </xf>
    <xf numFmtId="184" fontId="58" fillId="0" borderId="0" xfId="3" applyNumberFormat="1" applyFont="1" applyBorder="1" applyAlignment="1">
      <alignment horizontal="center"/>
    </xf>
    <xf numFmtId="184" fontId="50" fillId="16" borderId="0" xfId="3" applyNumberFormat="1" applyFont="1" applyFill="1" applyBorder="1" applyAlignment="1">
      <alignment horizontal="left"/>
    </xf>
    <xf numFmtId="219" fontId="42" fillId="0" borderId="0" xfId="352" applyFont="1" applyAlignment="1">
      <alignment horizontal="left"/>
    </xf>
    <xf numFmtId="184" fontId="42" fillId="0" borderId="0" xfId="3" applyNumberFormat="1" applyFont="1" applyFill="1" applyBorder="1" applyAlignment="1">
      <alignment horizontal="left"/>
    </xf>
    <xf numFmtId="38" fontId="42" fillId="20" borderId="0" xfId="352" applyNumberFormat="1" applyFont="1" applyFill="1"/>
    <xf numFmtId="38" fontId="42" fillId="20" borderId="0" xfId="352" applyNumberFormat="1" applyFont="1" applyFill="1" applyAlignment="1">
      <alignment horizontal="center"/>
    </xf>
    <xf numFmtId="38" fontId="42" fillId="20" borderId="26" xfId="352" applyNumberFormat="1" applyFont="1" applyFill="1" applyBorder="1" applyAlignment="1">
      <alignment horizontal="center"/>
    </xf>
    <xf numFmtId="38" fontId="42" fillId="20" borderId="27" xfId="352" applyNumberFormat="1" applyFont="1" applyFill="1" applyBorder="1" applyAlignment="1">
      <alignment horizontal="center"/>
    </xf>
    <xf numFmtId="184" fontId="7" fillId="0" borderId="27" xfId="3" applyNumberFormat="1" applyFont="1" applyBorder="1" applyAlignment="1">
      <alignment horizontal="center"/>
    </xf>
    <xf numFmtId="219" fontId="47" fillId="0" borderId="0" xfId="352" applyFont="1"/>
    <xf numFmtId="176" fontId="7" fillId="0" borderId="0" xfId="1" applyFont="1" applyBorder="1" applyAlignment="1">
      <alignment horizontal="center"/>
    </xf>
    <xf numFmtId="184" fontId="7" fillId="0" borderId="0" xfId="3" applyNumberFormat="1" applyFont="1" applyFill="1" applyBorder="1" applyAlignment="1">
      <alignment horizontal="left"/>
    </xf>
    <xf numFmtId="38" fontId="7" fillId="0" borderId="0" xfId="352" applyNumberFormat="1" applyFont="1" applyAlignment="1">
      <alignment horizontal="left" indent="1"/>
    </xf>
    <xf numFmtId="9" fontId="7" fillId="16" borderId="0" xfId="3" applyFont="1" applyFill="1" applyBorder="1" applyAlignment="1">
      <alignment horizontal="center"/>
    </xf>
    <xf numFmtId="184" fontId="7" fillId="16" borderId="27" xfId="3" applyNumberFormat="1" applyFont="1" applyFill="1" applyBorder="1" applyAlignment="1">
      <alignment horizontal="center"/>
    </xf>
    <xf numFmtId="0" fontId="7" fillId="2" borderId="0" xfId="3" applyNumberFormat="1" applyFont="1" applyFill="1" applyBorder="1" applyAlignment="1">
      <alignment horizontal="center"/>
    </xf>
    <xf numFmtId="38" fontId="7" fillId="0" borderId="0" xfId="352" applyNumberFormat="1" applyFont="1"/>
    <xf numFmtId="9" fontId="42" fillId="0" borderId="0" xfId="3" applyFont="1" applyFill="1" applyBorder="1" applyAlignment="1">
      <alignment horizontal="left"/>
    </xf>
    <xf numFmtId="219" fontId="42" fillId="16" borderId="0" xfId="352" applyFont="1" applyFill="1" applyAlignment="1">
      <alignment horizontal="center"/>
    </xf>
    <xf numFmtId="279" fontId="42" fillId="0" borderId="0" xfId="352" applyNumberFormat="1" applyFont="1" applyAlignment="1">
      <alignment horizontal="left"/>
    </xf>
    <xf numFmtId="219" fontId="7" fillId="16" borderId="0" xfId="352" applyFont="1" applyFill="1" applyAlignment="1">
      <alignment horizontal="right"/>
    </xf>
    <xf numFmtId="219" fontId="7" fillId="16" borderId="27" xfId="352" applyFont="1" applyFill="1" applyBorder="1" applyAlignment="1">
      <alignment horizontal="right"/>
    </xf>
    <xf numFmtId="219" fontId="7" fillId="16" borderId="26" xfId="352" applyFont="1" applyFill="1" applyBorder="1" applyAlignment="1">
      <alignment horizontal="right"/>
    </xf>
    <xf numFmtId="38" fontId="42" fillId="16" borderId="0" xfId="352" applyNumberFormat="1" applyFont="1" applyFill="1"/>
    <xf numFmtId="219" fontId="7" fillId="16" borderId="0" xfId="352" applyFont="1" applyFill="1" applyAlignment="1">
      <alignment horizontal="left"/>
    </xf>
    <xf numFmtId="219" fontId="7" fillId="16" borderId="0" xfId="352" applyFont="1" applyFill="1" applyAlignment="1">
      <alignment horizontal="center"/>
    </xf>
    <xf numFmtId="219" fontId="7" fillId="16" borderId="0" xfId="352" applyFont="1" applyFill="1" applyAlignment="1">
      <alignment horizontal="left" indent="1"/>
    </xf>
    <xf numFmtId="184" fontId="7" fillId="18" borderId="0" xfId="3" applyNumberFormat="1" applyFont="1" applyFill="1" applyBorder="1" applyAlignment="1">
      <alignment horizontal="center"/>
    </xf>
    <xf numFmtId="1" fontId="7" fillId="16" borderId="0" xfId="3" applyNumberFormat="1" applyFont="1" applyFill="1" applyBorder="1" applyAlignment="1">
      <alignment horizontal="center"/>
    </xf>
    <xf numFmtId="1" fontId="7" fillId="16" borderId="27" xfId="3" applyNumberFormat="1" applyFont="1" applyFill="1" applyBorder="1" applyAlignment="1">
      <alignment horizontal="center"/>
    </xf>
    <xf numFmtId="1" fontId="7" fillId="16" borderId="26" xfId="3" applyNumberFormat="1" applyFont="1" applyFill="1" applyBorder="1" applyAlignment="1">
      <alignment horizontal="center"/>
    </xf>
    <xf numFmtId="1" fontId="7" fillId="0" borderId="0" xfId="3" applyNumberFormat="1" applyFont="1" applyFill="1" applyBorder="1" applyAlignment="1">
      <alignment horizontal="center"/>
    </xf>
    <xf numFmtId="38" fontId="7" fillId="16" borderId="0" xfId="3" applyNumberFormat="1" applyFont="1" applyFill="1" applyBorder="1" applyAlignment="1">
      <alignment horizontal="center"/>
    </xf>
    <xf numFmtId="38" fontId="7" fillId="16" borderId="27" xfId="3" applyNumberFormat="1" applyFont="1" applyFill="1" applyBorder="1" applyAlignment="1">
      <alignment horizontal="center"/>
    </xf>
    <xf numFmtId="38" fontId="7" fillId="16" borderId="26" xfId="3" applyNumberFormat="1" applyFont="1" applyFill="1" applyBorder="1" applyAlignment="1">
      <alignment horizontal="center"/>
    </xf>
    <xf numFmtId="38" fontId="7" fillId="14" borderId="0" xfId="3" applyNumberFormat="1" applyFont="1" applyFill="1" applyBorder="1" applyAlignment="1">
      <alignment horizontal="center"/>
    </xf>
    <xf numFmtId="38" fontId="7" fillId="14" borderId="26" xfId="3" applyNumberFormat="1" applyFont="1" applyFill="1" applyBorder="1" applyAlignment="1">
      <alignment horizontal="center"/>
    </xf>
    <xf numFmtId="38" fontId="7" fillId="2" borderId="27" xfId="3" applyNumberFormat="1" applyFont="1" applyFill="1" applyBorder="1" applyAlignment="1">
      <alignment horizontal="center"/>
    </xf>
    <xf numFmtId="38" fontId="7" fillId="2" borderId="0" xfId="3" applyNumberFormat="1" applyFont="1" applyFill="1" applyBorder="1" applyAlignment="1">
      <alignment horizontal="center"/>
    </xf>
    <xf numFmtId="38" fontId="7" fillId="2" borderId="26" xfId="3" applyNumberFormat="1" applyFont="1" applyFill="1" applyBorder="1" applyAlignment="1">
      <alignment horizontal="center"/>
    </xf>
    <xf numFmtId="38" fontId="7" fillId="0" borderId="0" xfId="3" applyNumberFormat="1" applyFont="1" applyFill="1" applyBorder="1" applyAlignment="1">
      <alignment horizontal="center"/>
    </xf>
    <xf numFmtId="38" fontId="42" fillId="16" borderId="0" xfId="3" applyNumberFormat="1" applyFont="1" applyFill="1" applyBorder="1" applyAlignment="1">
      <alignment horizontal="center"/>
    </xf>
    <xf numFmtId="38" fontId="42" fillId="16" borderId="26" xfId="3" applyNumberFormat="1" applyFont="1" applyFill="1" applyBorder="1" applyAlignment="1">
      <alignment horizontal="center"/>
    </xf>
    <xf numFmtId="269" fontId="42" fillId="16" borderId="0" xfId="1" applyNumberFormat="1" applyFont="1" applyFill="1" applyBorder="1" applyAlignment="1">
      <alignment horizontal="center"/>
    </xf>
    <xf numFmtId="269" fontId="42" fillId="16" borderId="26" xfId="1" applyNumberFormat="1" applyFont="1" applyFill="1" applyBorder="1" applyAlignment="1">
      <alignment horizontal="center"/>
    </xf>
    <xf numFmtId="269" fontId="42" fillId="16" borderId="27" xfId="1" applyNumberFormat="1" applyFont="1" applyFill="1" applyBorder="1" applyAlignment="1">
      <alignment horizontal="center"/>
    </xf>
    <xf numFmtId="269" fontId="7" fillId="16" borderId="0" xfId="1" applyNumberFormat="1" applyFont="1" applyFill="1" applyBorder="1" applyAlignment="1">
      <alignment horizontal="center"/>
    </xf>
    <xf numFmtId="38" fontId="7" fillId="0" borderId="0" xfId="352" applyNumberFormat="1" applyFont="1" applyAlignment="1">
      <alignment horizontal="center"/>
    </xf>
    <xf numFmtId="38" fontId="7" fillId="0" borderId="26" xfId="352" applyNumberFormat="1" applyFont="1" applyBorder="1" applyAlignment="1">
      <alignment horizontal="center"/>
    </xf>
    <xf numFmtId="9" fontId="7" fillId="0" borderId="27" xfId="3" applyFont="1" applyBorder="1" applyAlignment="1">
      <alignment horizontal="center"/>
    </xf>
    <xf numFmtId="38" fontId="7" fillId="0" borderId="27" xfId="352" applyNumberFormat="1" applyFont="1" applyBorder="1" applyAlignment="1">
      <alignment horizontal="center"/>
    </xf>
    <xf numFmtId="38" fontId="42" fillId="0" borderId="0" xfId="352" applyNumberFormat="1" applyFont="1" applyAlignment="1">
      <alignment horizontal="left" indent="1"/>
    </xf>
    <xf numFmtId="219" fontId="42" fillId="0" borderId="27" xfId="352" applyFont="1" applyBorder="1" applyAlignment="1">
      <alignment horizontal="right"/>
    </xf>
    <xf numFmtId="219" fontId="42" fillId="0" borderId="26" xfId="352" applyFont="1" applyBorder="1" applyAlignment="1">
      <alignment horizontal="right"/>
    </xf>
    <xf numFmtId="9" fontId="42" fillId="0" borderId="0" xfId="3" applyFont="1" applyBorder="1" applyAlignment="1">
      <alignment horizontal="right"/>
    </xf>
    <xf numFmtId="184" fontId="42" fillId="0" borderId="0" xfId="3" applyNumberFormat="1" applyFont="1" applyBorder="1" applyAlignment="1">
      <alignment horizontal="center"/>
    </xf>
    <xf numFmtId="184" fontId="42" fillId="0" borderId="26" xfId="3" applyNumberFormat="1" applyFont="1" applyBorder="1" applyAlignment="1">
      <alignment horizontal="center"/>
    </xf>
    <xf numFmtId="184" fontId="42" fillId="16" borderId="0" xfId="3" applyNumberFormat="1" applyFont="1" applyFill="1" applyBorder="1" applyAlignment="1">
      <alignment horizontal="center"/>
    </xf>
    <xf numFmtId="184" fontId="42" fillId="2" borderId="0" xfId="3" applyNumberFormat="1" applyFont="1" applyFill="1" applyBorder="1" applyAlignment="1">
      <alignment horizontal="center"/>
    </xf>
    <xf numFmtId="184" fontId="42" fillId="14" borderId="0" xfId="3" applyNumberFormat="1" applyFont="1" applyFill="1" applyBorder="1" applyAlignment="1">
      <alignment horizontal="center"/>
    </xf>
    <xf numFmtId="184" fontId="42" fillId="14" borderId="26" xfId="3" applyNumberFormat="1" applyFont="1" applyFill="1" applyBorder="1" applyAlignment="1">
      <alignment horizontal="center"/>
    </xf>
    <xf numFmtId="184" fontId="42" fillId="0" borderId="27" xfId="3" applyNumberFormat="1" applyFont="1" applyBorder="1" applyAlignment="1">
      <alignment horizontal="center"/>
    </xf>
    <xf numFmtId="1" fontId="7" fillId="0" borderId="0" xfId="3" applyNumberFormat="1" applyFont="1" applyBorder="1" applyAlignment="1">
      <alignment horizontal="center"/>
    </xf>
    <xf numFmtId="1" fontId="7" fillId="0" borderId="26" xfId="3" applyNumberFormat="1" applyFont="1" applyBorder="1" applyAlignment="1">
      <alignment horizontal="center"/>
    </xf>
    <xf numFmtId="1" fontId="7" fillId="14" borderId="0" xfId="3" applyNumberFormat="1" applyFont="1" applyFill="1" applyBorder="1" applyAlignment="1">
      <alignment horizontal="center"/>
    </xf>
    <xf numFmtId="1" fontId="7" fillId="14" borderId="26" xfId="3" applyNumberFormat="1" applyFont="1" applyFill="1" applyBorder="1" applyAlignment="1">
      <alignment horizontal="center"/>
    </xf>
    <xf numFmtId="1" fontId="7" fillId="0" borderId="27" xfId="3" applyNumberFormat="1" applyFont="1" applyBorder="1" applyAlignment="1">
      <alignment horizontal="center"/>
    </xf>
    <xf numFmtId="184" fontId="7" fillId="14" borderId="0" xfId="3" applyNumberFormat="1" applyFont="1" applyFill="1" applyBorder="1" applyAlignment="1">
      <alignment horizontal="center"/>
    </xf>
    <xf numFmtId="184" fontId="7" fillId="14" borderId="26" xfId="3" applyNumberFormat="1" applyFont="1" applyFill="1" applyBorder="1" applyAlignment="1">
      <alignment horizontal="center"/>
    </xf>
    <xf numFmtId="38" fontId="42" fillId="0" borderId="0" xfId="352" applyNumberFormat="1" applyFont="1" applyAlignment="1">
      <alignment horizontal="right"/>
    </xf>
    <xf numFmtId="38" fontId="42" fillId="0" borderId="27" xfId="352" applyNumberFormat="1" applyFont="1" applyBorder="1" applyAlignment="1">
      <alignment horizontal="right"/>
    </xf>
    <xf numFmtId="38" fontId="42" fillId="0" borderId="26" xfId="352" applyNumberFormat="1" applyFont="1" applyBorder="1" applyAlignment="1">
      <alignment horizontal="right"/>
    </xf>
    <xf numFmtId="38" fontId="42" fillId="0" borderId="0" xfId="3" applyNumberFormat="1" applyFont="1" applyBorder="1" applyAlignment="1">
      <alignment horizontal="right"/>
    </xf>
    <xf numFmtId="219" fontId="42" fillId="0" borderId="26" xfId="352" applyFont="1" applyBorder="1" applyAlignment="1">
      <alignment horizontal="center"/>
    </xf>
    <xf numFmtId="38" fontId="42" fillId="14" borderId="0" xfId="352" applyNumberFormat="1" applyFont="1" applyFill="1" applyAlignment="1">
      <alignment horizontal="center"/>
    </xf>
    <xf numFmtId="38" fontId="42" fillId="14" borderId="26" xfId="352" applyNumberFormat="1" applyFont="1" applyFill="1" applyBorder="1" applyAlignment="1">
      <alignment horizontal="center"/>
    </xf>
    <xf numFmtId="38" fontId="42" fillId="0" borderId="27" xfId="352" applyNumberFormat="1" applyFont="1" applyBorder="1" applyAlignment="1">
      <alignment horizontal="center"/>
    </xf>
    <xf numFmtId="38" fontId="42" fillId="16" borderId="0" xfId="352" applyNumberFormat="1" applyFont="1" applyFill="1" applyAlignment="1">
      <alignment horizontal="left"/>
    </xf>
    <xf numFmtId="219" fontId="59" fillId="0" borderId="0" xfId="352" applyFont="1" applyAlignment="1">
      <alignment horizontal="left" indent="1"/>
    </xf>
    <xf numFmtId="219" fontId="42" fillId="0" borderId="0" xfId="352" applyFont="1" applyAlignment="1">
      <alignment horizontal="left" indent="1"/>
    </xf>
    <xf numFmtId="9" fontId="7" fillId="0" borderId="0" xfId="3" applyFont="1" applyFill="1" applyBorder="1" applyAlignment="1">
      <alignment horizontal="center"/>
    </xf>
    <xf numFmtId="9" fontId="7" fillId="0" borderId="26" xfId="3" applyFont="1" applyFill="1" applyBorder="1" applyAlignment="1">
      <alignment horizontal="center"/>
    </xf>
    <xf numFmtId="0" fontId="7" fillId="0" borderId="0" xfId="0" applyFont="1" applyFill="1"/>
    <xf numFmtId="184" fontId="48" fillId="0" borderId="0" xfId="3" applyNumberFormat="1" applyFont="1" applyFill="1" applyBorder="1" applyAlignment="1">
      <alignment horizontal="center"/>
    </xf>
    <xf numFmtId="9" fontId="45" fillId="0" borderId="0" xfId="3" applyFont="1" applyFill="1" applyBorder="1" applyAlignment="1">
      <alignment horizontal="center"/>
    </xf>
    <xf numFmtId="9" fontId="7" fillId="0" borderId="27" xfId="3" applyFont="1" applyFill="1" applyBorder="1" applyAlignment="1">
      <alignment horizontal="center"/>
    </xf>
    <xf numFmtId="40" fontId="7" fillId="0" borderId="0" xfId="352" applyNumberFormat="1" applyFont="1" applyAlignment="1">
      <alignment horizontal="center"/>
    </xf>
    <xf numFmtId="311" fontId="48" fillId="0" borderId="0" xfId="3" applyNumberFormat="1" applyFont="1" applyFill="1" applyBorder="1" applyAlignment="1">
      <alignment horizontal="center"/>
    </xf>
    <xf numFmtId="219" fontId="47" fillId="0" borderId="0" xfId="352" applyFont="1" applyAlignment="1">
      <alignment horizontal="center"/>
    </xf>
    <xf numFmtId="220" fontId="42" fillId="0" borderId="0" xfId="352" applyNumberFormat="1" applyFont="1" applyAlignment="1">
      <alignment horizontal="center"/>
    </xf>
    <xf numFmtId="219" fontId="42" fillId="20" borderId="0" xfId="352" applyFont="1" applyFill="1"/>
    <xf numFmtId="219" fontId="42" fillId="20" borderId="26" xfId="352" applyFont="1" applyFill="1" applyBorder="1"/>
    <xf numFmtId="219" fontId="42" fillId="20" borderId="27" xfId="352" applyFont="1" applyFill="1" applyBorder="1"/>
    <xf numFmtId="9" fontId="49" fillId="0" borderId="0" xfId="3" applyFont="1" applyFill="1" applyBorder="1" applyAlignment="1">
      <alignment horizontal="center"/>
    </xf>
    <xf numFmtId="219" fontId="42" fillId="2" borderId="0" xfId="352" applyFont="1" applyFill="1"/>
    <xf numFmtId="10" fontId="7" fillId="0" borderId="0" xfId="3" applyNumberFormat="1" applyFont="1" applyBorder="1" applyAlignment="1">
      <alignment horizontal="center"/>
    </xf>
    <xf numFmtId="219" fontId="47" fillId="10" borderId="0" xfId="484" applyFont="1" applyFill="1" applyAlignment="1">
      <alignment horizontal="right"/>
    </xf>
    <xf numFmtId="219" fontId="47" fillId="10" borderId="27" xfId="484" applyFont="1" applyFill="1" applyBorder="1" applyAlignment="1">
      <alignment horizontal="right"/>
    </xf>
    <xf numFmtId="219" fontId="47" fillId="10" borderId="26" xfId="484" applyFont="1" applyFill="1" applyBorder="1" applyAlignment="1">
      <alignment horizontal="right"/>
    </xf>
    <xf numFmtId="219" fontId="47" fillId="10" borderId="27" xfId="484" applyFont="1" applyFill="1" applyBorder="1" applyAlignment="1">
      <alignment horizontal="center"/>
    </xf>
    <xf numFmtId="219" fontId="47" fillId="10" borderId="0" xfId="484" applyFont="1" applyFill="1" applyAlignment="1">
      <alignment horizontal="center"/>
    </xf>
    <xf numFmtId="219" fontId="47" fillId="10" borderId="26" xfId="484" applyFont="1" applyFill="1" applyBorder="1" applyAlignment="1">
      <alignment horizontal="center"/>
    </xf>
    <xf numFmtId="38" fontId="7" fillId="16" borderId="0" xfId="352" applyNumberFormat="1" applyFont="1" applyFill="1"/>
    <xf numFmtId="219" fontId="42" fillId="16" borderId="0" xfId="352" applyFont="1" applyFill="1"/>
    <xf numFmtId="184" fontId="49" fillId="16" borderId="0" xfId="3" applyNumberFormat="1" applyFont="1" applyFill="1" applyBorder="1" applyAlignment="1">
      <alignment horizontal="right"/>
    </xf>
    <xf numFmtId="9" fontId="49" fillId="16" borderId="0" xfId="3" applyFont="1" applyFill="1" applyBorder="1" applyAlignment="1">
      <alignment horizontal="center"/>
    </xf>
    <xf numFmtId="9" fontId="7" fillId="16" borderId="26" xfId="3" applyFont="1" applyFill="1" applyBorder="1" applyAlignment="1">
      <alignment horizontal="center"/>
    </xf>
    <xf numFmtId="1" fontId="42" fillId="0" borderId="0" xfId="3" applyNumberFormat="1" applyFont="1" applyBorder="1" applyAlignment="1">
      <alignment horizontal="center"/>
    </xf>
    <xf numFmtId="1" fontId="42" fillId="14" borderId="26" xfId="3" applyNumberFormat="1" applyFont="1" applyFill="1" applyBorder="1" applyAlignment="1">
      <alignment horizontal="center"/>
    </xf>
    <xf numFmtId="1" fontId="42" fillId="14" borderId="0" xfId="3" applyNumberFormat="1" applyFont="1" applyFill="1" applyBorder="1" applyAlignment="1">
      <alignment horizontal="center"/>
    </xf>
    <xf numFmtId="1" fontId="42" fillId="2" borderId="0" xfId="3" applyNumberFormat="1" applyFont="1" applyFill="1" applyBorder="1" applyAlignment="1">
      <alignment horizontal="center"/>
    </xf>
    <xf numFmtId="1" fontId="42" fillId="0" borderId="26" xfId="3" applyNumberFormat="1" applyFont="1" applyBorder="1" applyAlignment="1">
      <alignment horizontal="center"/>
    </xf>
    <xf numFmtId="1" fontId="42" fillId="2" borderId="26" xfId="3" applyNumberFormat="1" applyFont="1" applyFill="1" applyBorder="1" applyAlignment="1">
      <alignment horizontal="center"/>
    </xf>
    <xf numFmtId="1" fontId="42" fillId="2" borderId="27" xfId="3" applyNumberFormat="1" applyFont="1" applyFill="1" applyBorder="1" applyAlignment="1">
      <alignment horizontal="center"/>
    </xf>
    <xf numFmtId="337" fontId="42" fillId="16" borderId="0" xfId="352" applyNumberFormat="1" applyFont="1" applyFill="1" applyAlignment="1">
      <alignment horizontal="left"/>
    </xf>
    <xf numFmtId="9" fontId="7" fillId="14" borderId="26" xfId="3" applyFont="1" applyFill="1" applyBorder="1" applyAlignment="1">
      <alignment horizontal="center"/>
    </xf>
    <xf numFmtId="9" fontId="7" fillId="14" borderId="0" xfId="3" applyFont="1" applyFill="1" applyBorder="1" applyAlignment="1">
      <alignment horizontal="center"/>
    </xf>
    <xf numFmtId="9" fontId="7" fillId="2" borderId="0" xfId="3" applyFont="1" applyFill="1" applyBorder="1" applyAlignment="1">
      <alignment horizontal="center"/>
    </xf>
    <xf numFmtId="9" fontId="7" fillId="2" borderId="26" xfId="3" applyFont="1" applyFill="1" applyBorder="1" applyAlignment="1">
      <alignment horizontal="center"/>
    </xf>
    <xf numFmtId="9" fontId="7" fillId="2" borderId="27" xfId="3" applyFont="1" applyFill="1" applyBorder="1" applyAlignment="1">
      <alignment horizontal="center"/>
    </xf>
    <xf numFmtId="279" fontId="7" fillId="16" borderId="0" xfId="352" applyNumberFormat="1" applyFont="1" applyFill="1"/>
    <xf numFmtId="184" fontId="42" fillId="16" borderId="0" xfId="3" applyNumberFormat="1" applyFont="1" applyFill="1" applyBorder="1"/>
    <xf numFmtId="0" fontId="42" fillId="2" borderId="0" xfId="3" applyNumberFormat="1" applyFont="1" applyFill="1" applyBorder="1" applyAlignment="1">
      <alignment horizontal="center"/>
    </xf>
    <xf numFmtId="184" fontId="7" fillId="16" borderId="0" xfId="3" applyNumberFormat="1" applyFont="1" applyFill="1" applyBorder="1" applyAlignment="1">
      <alignment horizontal="left" vertical="top"/>
    </xf>
    <xf numFmtId="184" fontId="7" fillId="16" borderId="0" xfId="3" applyNumberFormat="1" applyFont="1" applyFill="1"/>
    <xf numFmtId="184" fontId="7" fillId="16" borderId="26" xfId="3" applyNumberFormat="1" applyFont="1" applyFill="1" applyBorder="1"/>
    <xf numFmtId="219" fontId="51" fillId="0" borderId="0" xfId="352" applyFont="1" applyAlignment="1">
      <alignment horizontal="left"/>
    </xf>
    <xf numFmtId="184" fontId="7" fillId="0" borderId="0" xfId="3" applyNumberFormat="1" applyFont="1" applyAlignment="1">
      <alignment horizontal="center"/>
    </xf>
    <xf numFmtId="38" fontId="7" fillId="0" borderId="0" xfId="352" applyNumberFormat="1" applyFont="1" applyAlignment="1">
      <alignment horizontal="left"/>
    </xf>
    <xf numFmtId="184" fontId="45" fillId="0" borderId="0" xfId="3" applyNumberFormat="1" applyFont="1" applyFill="1" applyBorder="1" applyAlignment="1">
      <alignment horizontal="center"/>
    </xf>
    <xf numFmtId="219" fontId="42" fillId="0" borderId="28" xfId="352" applyFont="1" applyBorder="1"/>
    <xf numFmtId="219" fontId="7" fillId="0" borderId="28" xfId="352" applyFont="1" applyBorder="1" applyAlignment="1">
      <alignment horizontal="right"/>
    </xf>
    <xf numFmtId="219" fontId="7" fillId="0" borderId="34" xfId="352" applyFont="1" applyBorder="1" applyAlignment="1">
      <alignment horizontal="right"/>
    </xf>
    <xf numFmtId="219" fontId="7" fillId="0" borderId="35" xfId="352" applyFont="1" applyBorder="1" applyAlignment="1">
      <alignment horizontal="right"/>
    </xf>
    <xf numFmtId="9" fontId="7" fillId="0" borderId="28" xfId="3" applyFont="1" applyBorder="1" applyAlignment="1">
      <alignment horizontal="right"/>
    </xf>
    <xf numFmtId="184" fontId="49" fillId="0" borderId="28" xfId="3" applyNumberFormat="1" applyFont="1" applyFill="1" applyBorder="1" applyAlignment="1">
      <alignment horizontal="right"/>
    </xf>
    <xf numFmtId="219" fontId="7" fillId="0" borderId="28" xfId="352" applyFont="1" applyBorder="1" applyAlignment="1">
      <alignment horizontal="center"/>
    </xf>
    <xf numFmtId="184" fontId="49" fillId="0" borderId="28" xfId="3" applyNumberFormat="1" applyFont="1" applyFill="1" applyBorder="1" applyAlignment="1">
      <alignment horizontal="center"/>
    </xf>
    <xf numFmtId="219" fontId="7" fillId="0" borderId="35" xfId="352" applyFont="1" applyBorder="1" applyAlignment="1">
      <alignment horizontal="center"/>
    </xf>
    <xf numFmtId="279" fontId="7" fillId="0" borderId="28" xfId="352" applyNumberFormat="1" applyFont="1" applyBorder="1" applyAlignment="1">
      <alignment horizontal="center"/>
    </xf>
    <xf numFmtId="38" fontId="42" fillId="0" borderId="28" xfId="352" applyNumberFormat="1" applyFont="1" applyBorder="1" applyAlignment="1">
      <alignment horizontal="center"/>
    </xf>
    <xf numFmtId="38" fontId="42" fillId="0" borderId="35" xfId="352" applyNumberFormat="1" applyFont="1" applyBorder="1" applyAlignment="1">
      <alignment horizontal="center"/>
    </xf>
    <xf numFmtId="38" fontId="50" fillId="0" borderId="28" xfId="352" applyNumberFormat="1" applyFont="1" applyBorder="1" applyAlignment="1">
      <alignment horizontal="center"/>
    </xf>
    <xf numFmtId="38" fontId="42" fillId="2" borderId="28" xfId="352" applyNumberFormat="1" applyFont="1" applyFill="1" applyBorder="1" applyAlignment="1">
      <alignment horizontal="center"/>
    </xf>
    <xf numFmtId="38" fontId="42" fillId="2" borderId="34" xfId="352" applyNumberFormat="1" applyFont="1" applyFill="1" applyBorder="1" applyAlignment="1">
      <alignment horizontal="center"/>
    </xf>
    <xf numFmtId="184" fontId="60" fillId="0" borderId="0" xfId="3" applyNumberFormat="1" applyFont="1" applyBorder="1" applyAlignment="1">
      <alignment horizontal="center"/>
    </xf>
    <xf numFmtId="337" fontId="42" fillId="0" borderId="0" xfId="352" applyNumberFormat="1" applyFont="1" applyAlignment="1">
      <alignment horizontal="left"/>
    </xf>
    <xf numFmtId="9" fontId="42" fillId="0" borderId="0" xfId="3" applyFont="1" applyAlignment="1">
      <alignment horizontal="left"/>
    </xf>
    <xf numFmtId="184" fontId="45" fillId="0" borderId="27" xfId="3" applyNumberFormat="1" applyFont="1" applyBorder="1" applyAlignment="1">
      <alignment horizontal="center"/>
    </xf>
    <xf numFmtId="1" fontId="7" fillId="0" borderId="0" xfId="352" applyNumberFormat="1" applyFont="1"/>
    <xf numFmtId="184" fontId="45" fillId="0" borderId="26" xfId="3" applyNumberFormat="1" applyFont="1" applyBorder="1" applyAlignment="1">
      <alignment horizontal="center"/>
    </xf>
    <xf numFmtId="184" fontId="7" fillId="0" borderId="28" xfId="3" applyNumberFormat="1" applyFont="1" applyFill="1" applyBorder="1" applyAlignment="1">
      <alignment horizontal="center"/>
    </xf>
    <xf numFmtId="38" fontId="42" fillId="2" borderId="35" xfId="352" applyNumberFormat="1" applyFont="1" applyFill="1" applyBorder="1" applyAlignment="1">
      <alignment horizontal="center"/>
    </xf>
    <xf numFmtId="219" fontId="42" fillId="29" borderId="0" xfId="352" applyFont="1" applyFill="1"/>
    <xf numFmtId="219" fontId="7" fillId="29" borderId="0" xfId="352" applyFont="1" applyFill="1" applyAlignment="1">
      <alignment horizontal="right"/>
    </xf>
    <xf numFmtId="219" fontId="7" fillId="29" borderId="27" xfId="352" applyFont="1" applyFill="1" applyBorder="1" applyAlignment="1">
      <alignment horizontal="right"/>
    </xf>
    <xf numFmtId="219" fontId="7" fillId="29" borderId="26" xfId="352" applyFont="1" applyFill="1" applyBorder="1" applyAlignment="1">
      <alignment horizontal="right"/>
    </xf>
    <xf numFmtId="9" fontId="7" fillId="29" borderId="0" xfId="3" applyFont="1" applyFill="1" applyBorder="1" applyAlignment="1">
      <alignment horizontal="right"/>
    </xf>
    <xf numFmtId="184" fontId="49" fillId="29" borderId="0" xfId="3" applyNumberFormat="1" applyFont="1" applyFill="1" applyBorder="1" applyAlignment="1">
      <alignment horizontal="right"/>
    </xf>
    <xf numFmtId="219" fontId="7" fillId="29" borderId="0" xfId="352" applyFont="1" applyFill="1" applyAlignment="1">
      <alignment horizontal="center"/>
    </xf>
    <xf numFmtId="184" fontId="49" fillId="29" borderId="0" xfId="3" applyNumberFormat="1" applyFont="1" applyFill="1" applyBorder="1" applyAlignment="1">
      <alignment horizontal="center"/>
    </xf>
    <xf numFmtId="219" fontId="7" fillId="29" borderId="26" xfId="352" applyFont="1" applyFill="1" applyBorder="1" applyAlignment="1">
      <alignment horizontal="center"/>
    </xf>
    <xf numFmtId="38" fontId="42" fillId="29" borderId="0" xfId="352" applyNumberFormat="1" applyFont="1" applyFill="1" applyAlignment="1">
      <alignment horizontal="center"/>
    </xf>
    <xf numFmtId="38" fontId="42" fillId="29" borderId="26" xfId="352" applyNumberFormat="1" applyFont="1" applyFill="1" applyBorder="1" applyAlignment="1">
      <alignment horizontal="center"/>
    </xf>
    <xf numFmtId="38" fontId="50" fillId="29" borderId="0" xfId="352" applyNumberFormat="1" applyFont="1" applyFill="1" applyAlignment="1">
      <alignment horizontal="center"/>
    </xf>
    <xf numFmtId="38" fontId="50" fillId="29" borderId="27" xfId="352" applyNumberFormat="1" applyFont="1" applyFill="1" applyBorder="1" applyAlignment="1">
      <alignment horizontal="center"/>
    </xf>
    <xf numFmtId="38" fontId="50" fillId="29" borderId="26" xfId="352" applyNumberFormat="1" applyFont="1" applyFill="1" applyBorder="1" applyAlignment="1">
      <alignment horizontal="center"/>
    </xf>
    <xf numFmtId="314" fontId="50" fillId="29" borderId="26" xfId="352" applyNumberFormat="1" applyFont="1" applyFill="1" applyBorder="1" applyAlignment="1">
      <alignment horizontal="center"/>
    </xf>
    <xf numFmtId="314" fontId="42" fillId="0" borderId="0" xfId="352" applyNumberFormat="1" applyFont="1" applyAlignment="1">
      <alignment horizontal="left"/>
    </xf>
    <xf numFmtId="219" fontId="7" fillId="24" borderId="0" xfId="352" applyFont="1" applyFill="1" applyAlignment="1">
      <alignment horizontal="center"/>
    </xf>
    <xf numFmtId="184" fontId="45" fillId="2" borderId="27" xfId="3" applyNumberFormat="1" applyFont="1" applyFill="1" applyBorder="1" applyAlignment="1">
      <alignment horizontal="center"/>
    </xf>
    <xf numFmtId="184" fontId="45" fillId="2" borderId="0" xfId="3" applyNumberFormat="1" applyFont="1" applyFill="1" applyBorder="1" applyAlignment="1">
      <alignment horizontal="center"/>
    </xf>
    <xf numFmtId="184" fontId="45" fillId="2" borderId="26" xfId="3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>
      <alignment horizontal="center"/>
    </xf>
    <xf numFmtId="184" fontId="7" fillId="0" borderId="27" xfId="3" applyNumberFormat="1" applyFont="1" applyFill="1" applyBorder="1" applyAlignment="1">
      <alignment horizontal="center"/>
    </xf>
    <xf numFmtId="269" fontId="7" fillId="0" borderId="0" xfId="1" applyNumberFormat="1" applyFont="1" applyFill="1" applyBorder="1" applyAlignment="1">
      <alignment horizontal="center"/>
    </xf>
    <xf numFmtId="9" fontId="42" fillId="0" borderId="0" xfId="3" applyFont="1" applyFill="1" applyBorder="1" applyAlignment="1">
      <alignment horizontal="center"/>
    </xf>
    <xf numFmtId="38" fontId="7" fillId="2" borderId="27" xfId="352" applyNumberFormat="1" applyFont="1" applyFill="1" applyBorder="1" applyAlignment="1">
      <alignment horizontal="center"/>
    </xf>
    <xf numFmtId="38" fontId="7" fillId="2" borderId="0" xfId="352" applyNumberFormat="1" applyFont="1" applyFill="1" applyAlignment="1">
      <alignment horizontal="center"/>
    </xf>
    <xf numFmtId="1" fontId="42" fillId="0" borderId="0" xfId="352" applyNumberFormat="1" applyFont="1"/>
    <xf numFmtId="219" fontId="42" fillId="29" borderId="0" xfId="352" applyFont="1" applyFill="1" applyAlignment="1">
      <alignment horizontal="left"/>
    </xf>
    <xf numFmtId="9" fontId="7" fillId="29" borderId="0" xfId="3" applyFont="1" applyFill="1" applyBorder="1" applyAlignment="1">
      <alignment horizontal="center"/>
    </xf>
    <xf numFmtId="9" fontId="7" fillId="29" borderId="26" xfId="3" applyFont="1" applyFill="1" applyBorder="1" applyAlignment="1">
      <alignment horizontal="center"/>
    </xf>
    <xf numFmtId="184" fontId="7" fillId="29" borderId="0" xfId="3" applyNumberFormat="1" applyFont="1" applyFill="1" applyBorder="1" applyAlignment="1">
      <alignment horizontal="center"/>
    </xf>
    <xf numFmtId="9" fontId="7" fillId="29" borderId="27" xfId="3" applyFont="1" applyFill="1" applyBorder="1" applyAlignment="1">
      <alignment horizontal="center"/>
    </xf>
    <xf numFmtId="38" fontId="42" fillId="29" borderId="27" xfId="352" applyNumberFormat="1" applyFont="1" applyFill="1" applyBorder="1" applyAlignment="1">
      <alignment horizontal="center"/>
    </xf>
    <xf numFmtId="335" fontId="7" fillId="0" borderId="0" xfId="3" applyNumberFormat="1" applyFont="1" applyFill="1" applyBorder="1" applyAlignment="1">
      <alignment horizontal="center"/>
    </xf>
    <xf numFmtId="10" fontId="7" fillId="0" borderId="0" xfId="3" applyNumberFormat="1" applyFont="1" applyBorder="1"/>
    <xf numFmtId="269" fontId="7" fillId="0" borderId="26" xfId="1" applyNumberFormat="1" applyFont="1" applyFill="1" applyBorder="1" applyAlignment="1">
      <alignment horizontal="center"/>
    </xf>
    <xf numFmtId="38" fontId="7" fillId="0" borderId="27" xfId="0" applyNumberFormat="1" applyFont="1" applyBorder="1"/>
    <xf numFmtId="38" fontId="7" fillId="0" borderId="0" xfId="0" applyNumberFormat="1" applyFont="1"/>
    <xf numFmtId="225" fontId="42" fillId="29" borderId="0" xfId="352" applyNumberFormat="1" applyFont="1" applyFill="1" applyAlignment="1">
      <alignment horizontal="right"/>
    </xf>
    <xf numFmtId="225" fontId="42" fillId="29" borderId="27" xfId="352" applyNumberFormat="1" applyFont="1" applyFill="1" applyBorder="1" applyAlignment="1">
      <alignment horizontal="right"/>
    </xf>
    <xf numFmtId="225" fontId="42" fillId="29" borderId="26" xfId="352" applyNumberFormat="1" applyFont="1" applyFill="1" applyBorder="1" applyAlignment="1">
      <alignment horizontal="right"/>
    </xf>
    <xf numFmtId="38" fontId="42" fillId="29" borderId="0" xfId="352" applyNumberFormat="1" applyFont="1" applyFill="1"/>
    <xf numFmtId="225" fontId="42" fillId="29" borderId="27" xfId="352" applyNumberFormat="1" applyFont="1" applyFill="1" applyBorder="1" applyAlignment="1">
      <alignment horizontal="center"/>
    </xf>
    <xf numFmtId="38" fontId="42" fillId="29" borderId="26" xfId="352" applyNumberFormat="1" applyFont="1" applyFill="1" applyBorder="1"/>
    <xf numFmtId="314" fontId="42" fillId="29" borderId="0" xfId="352" applyNumberFormat="1" applyFont="1" applyFill="1" applyAlignment="1">
      <alignment horizontal="center"/>
    </xf>
    <xf numFmtId="314" fontId="42" fillId="29" borderId="27" xfId="352" applyNumberFormat="1" applyFont="1" applyFill="1" applyBorder="1" applyAlignment="1">
      <alignment horizontal="center"/>
    </xf>
    <xf numFmtId="314" fontId="42" fillId="29" borderId="26" xfId="352" applyNumberFormat="1" applyFont="1" applyFill="1" applyBorder="1" applyAlignment="1">
      <alignment horizontal="center"/>
    </xf>
    <xf numFmtId="337" fontId="42" fillId="2" borderId="0" xfId="352" applyNumberFormat="1" applyFont="1" applyFill="1"/>
    <xf numFmtId="184" fontId="7" fillId="0" borderId="0" xfId="3" applyNumberFormat="1" applyFont="1" applyBorder="1" applyAlignment="1">
      <alignment horizontal="right"/>
    </xf>
    <xf numFmtId="184" fontId="7" fillId="0" borderId="27" xfId="3" applyNumberFormat="1" applyFont="1" applyBorder="1" applyAlignment="1">
      <alignment horizontal="right"/>
    </xf>
    <xf numFmtId="184" fontId="7" fillId="0" borderId="26" xfId="3" applyNumberFormat="1" applyFont="1" applyBorder="1" applyAlignment="1">
      <alignment horizontal="right"/>
    </xf>
    <xf numFmtId="184" fontId="48" fillId="0" borderId="0" xfId="3" applyNumberFormat="1" applyFont="1" applyBorder="1"/>
    <xf numFmtId="225" fontId="42" fillId="0" borderId="0" xfId="352" applyNumberFormat="1" applyFont="1"/>
    <xf numFmtId="225" fontId="42" fillId="0" borderId="0" xfId="352" applyNumberFormat="1" applyFont="1" applyAlignment="1">
      <alignment horizontal="right"/>
    </xf>
    <xf numFmtId="225" fontId="42" fillId="0" borderId="27" xfId="352" applyNumberFormat="1" applyFont="1" applyBorder="1" applyAlignment="1">
      <alignment horizontal="right"/>
    </xf>
    <xf numFmtId="225" fontId="42" fillId="0" borderId="26" xfId="352" applyNumberFormat="1" applyFont="1" applyBorder="1" applyAlignment="1">
      <alignment horizontal="right"/>
    </xf>
    <xf numFmtId="3" fontId="42" fillId="0" borderId="27" xfId="352" applyNumberFormat="1" applyFont="1" applyBorder="1" applyAlignment="1">
      <alignment horizontal="center"/>
    </xf>
    <xf numFmtId="225" fontId="42" fillId="0" borderId="0" xfId="352" applyNumberFormat="1" applyFont="1" applyAlignment="1">
      <alignment horizontal="center"/>
    </xf>
    <xf numFmtId="225" fontId="42" fillId="0" borderId="26" xfId="352" applyNumberFormat="1" applyFont="1" applyBorder="1" applyAlignment="1">
      <alignment horizontal="center"/>
    </xf>
    <xf numFmtId="225" fontId="42" fillId="2" borderId="27" xfId="352" applyNumberFormat="1" applyFont="1" applyFill="1" applyBorder="1" applyAlignment="1">
      <alignment horizontal="center"/>
    </xf>
    <xf numFmtId="225" fontId="42" fillId="2" borderId="0" xfId="352" applyNumberFormat="1" applyFont="1" applyFill="1" applyAlignment="1">
      <alignment horizontal="center"/>
    </xf>
    <xf numFmtId="3" fontId="42" fillId="29" borderId="27" xfId="352" applyNumberFormat="1" applyFont="1" applyFill="1" applyBorder="1" applyAlignment="1">
      <alignment horizontal="center"/>
    </xf>
    <xf numFmtId="225" fontId="42" fillId="29" borderId="0" xfId="352" applyNumberFormat="1" applyFont="1" applyFill="1" applyAlignment="1">
      <alignment horizontal="center"/>
    </xf>
    <xf numFmtId="225" fontId="42" fillId="29" borderId="26" xfId="352" applyNumberFormat="1" applyFont="1" applyFill="1" applyBorder="1" applyAlignment="1">
      <alignment horizontal="center"/>
    </xf>
    <xf numFmtId="184" fontId="42" fillId="2" borderId="0" xfId="3" applyNumberFormat="1" applyFont="1" applyFill="1" applyAlignment="1">
      <alignment horizontal="center"/>
    </xf>
    <xf numFmtId="184" fontId="42" fillId="0" borderId="0" xfId="3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3" applyNumberFormat="1" applyFont="1" applyBorder="1"/>
    <xf numFmtId="184" fontId="48" fillId="2" borderId="0" xfId="3" applyNumberFormat="1" applyFont="1" applyFill="1" applyBorder="1" applyAlignment="1">
      <alignment horizontal="left"/>
    </xf>
    <xf numFmtId="309" fontId="7" fillId="16" borderId="0" xfId="3" applyNumberFormat="1" applyFont="1" applyFill="1" applyBorder="1" applyAlignment="1">
      <alignment horizontal="center"/>
    </xf>
    <xf numFmtId="309" fontId="7" fillId="16" borderId="26" xfId="3" applyNumberFormat="1" applyFont="1" applyFill="1" applyBorder="1" applyAlignment="1">
      <alignment horizontal="center"/>
    </xf>
    <xf numFmtId="309" fontId="7" fillId="2" borderId="0" xfId="3" applyNumberFormat="1" applyFont="1" applyFill="1" applyBorder="1" applyAlignment="1">
      <alignment horizontal="center"/>
    </xf>
    <xf numFmtId="309" fontId="7" fillId="2" borderId="27" xfId="3" applyNumberFormat="1" applyFont="1" applyFill="1" applyBorder="1" applyAlignment="1">
      <alignment horizontal="center"/>
    </xf>
    <xf numFmtId="309" fontId="7" fillId="2" borderId="26" xfId="3" applyNumberFormat="1" applyFont="1" applyFill="1" applyBorder="1" applyAlignment="1">
      <alignment horizontal="center"/>
    </xf>
    <xf numFmtId="225" fontId="42" fillId="2" borderId="26" xfId="352" applyNumberFormat="1" applyFont="1" applyFill="1" applyBorder="1" applyAlignment="1">
      <alignment horizontal="center"/>
    </xf>
    <xf numFmtId="184" fontId="53" fillId="2" borderId="0" xfId="3" applyNumberFormat="1" applyFont="1" applyFill="1" applyBorder="1" applyAlignment="1">
      <alignment horizontal="center"/>
    </xf>
    <xf numFmtId="9" fontId="7" fillId="0" borderId="0" xfId="3" applyFont="1" applyFill="1" applyBorder="1" applyAlignment="1">
      <alignment horizontal="left"/>
    </xf>
    <xf numFmtId="184" fontId="61" fillId="2" borderId="0" xfId="3" applyNumberFormat="1" applyFont="1" applyFill="1" applyBorder="1" applyAlignment="1">
      <alignment horizontal="center"/>
    </xf>
    <xf numFmtId="225" fontId="42" fillId="0" borderId="27" xfId="352" applyNumberFormat="1" applyFont="1" applyBorder="1" applyAlignment="1">
      <alignment horizontal="center"/>
    </xf>
    <xf numFmtId="219" fontId="7" fillId="0" borderId="27" xfId="352" applyFont="1" applyBorder="1"/>
    <xf numFmtId="9" fontId="56" fillId="0" borderId="0" xfId="3" applyFont="1" applyFill="1" applyBorder="1" applyAlignment="1">
      <alignment horizontal="center"/>
    </xf>
    <xf numFmtId="225" fontId="42" fillId="30" borderId="26" xfId="352" applyNumberFormat="1" applyFont="1" applyFill="1" applyBorder="1" applyAlignment="1">
      <alignment horizontal="center"/>
    </xf>
    <xf numFmtId="9" fontId="42" fillId="0" borderId="0" xfId="3" applyFont="1" applyAlignment="1">
      <alignment horizontal="center"/>
    </xf>
    <xf numFmtId="176" fontId="48" fillId="2" borderId="0" xfId="1" applyFont="1" applyFill="1" applyBorder="1" applyAlignment="1">
      <alignment horizontal="left"/>
    </xf>
    <xf numFmtId="184" fontId="7" fillId="0" borderId="0" xfId="0" applyNumberFormat="1" applyFont="1" applyAlignment="1">
      <alignment horizontal="center"/>
    </xf>
    <xf numFmtId="225" fontId="7" fillId="0" borderId="0" xfId="352" applyNumberFormat="1" applyFont="1"/>
    <xf numFmtId="3" fontId="7" fillId="0" borderId="0" xfId="352" applyNumberFormat="1" applyFont="1" applyAlignment="1">
      <alignment horizontal="center"/>
    </xf>
    <xf numFmtId="3" fontId="7" fillId="0" borderId="26" xfId="352" applyNumberFormat="1" applyFont="1" applyBorder="1" applyAlignment="1">
      <alignment horizontal="center"/>
    </xf>
    <xf numFmtId="0" fontId="7" fillId="16" borderId="0" xfId="1" applyNumberFormat="1" applyFont="1" applyFill="1" applyBorder="1" applyAlignment="1">
      <alignment horizontal="center"/>
    </xf>
    <xf numFmtId="0" fontId="45" fillId="14" borderId="0" xfId="1" applyNumberFormat="1" applyFont="1" applyFill="1" applyBorder="1" applyAlignment="1">
      <alignment horizontal="center"/>
    </xf>
    <xf numFmtId="3" fontId="7" fillId="2" borderId="0" xfId="352" applyNumberFormat="1" applyFont="1" applyFill="1" applyAlignment="1">
      <alignment horizontal="center"/>
    </xf>
    <xf numFmtId="3" fontId="7" fillId="2" borderId="26" xfId="352" applyNumberFormat="1" applyFont="1" applyFill="1" applyBorder="1" applyAlignment="1">
      <alignment horizontal="center"/>
    </xf>
    <xf numFmtId="3" fontId="7" fillId="2" borderId="27" xfId="352" applyNumberFormat="1" applyFont="1" applyFill="1" applyBorder="1" applyAlignment="1">
      <alignment horizontal="center"/>
    </xf>
    <xf numFmtId="225" fontId="7" fillId="2" borderId="0" xfId="352" applyNumberFormat="1" applyFont="1" applyFill="1" applyAlignment="1">
      <alignment horizontal="center"/>
    </xf>
    <xf numFmtId="38" fontId="62" fillId="0" borderId="0" xfId="352" applyNumberFormat="1" applyFont="1" applyAlignment="1">
      <alignment horizontal="left"/>
    </xf>
    <xf numFmtId="10" fontId="7" fillId="0" borderId="26" xfId="3" applyNumberFormat="1" applyFont="1" applyFill="1" applyBorder="1" applyAlignment="1">
      <alignment horizontal="center"/>
    </xf>
    <xf numFmtId="184" fontId="48" fillId="2" borderId="0" xfId="3" applyNumberFormat="1" applyFont="1" applyFill="1" applyBorder="1" applyAlignment="1">
      <alignment horizontal="center"/>
    </xf>
    <xf numFmtId="309" fontId="7" fillId="0" borderId="0" xfId="3" applyNumberFormat="1" applyFont="1" applyFill="1" applyBorder="1" applyAlignment="1">
      <alignment horizontal="center"/>
    </xf>
    <xf numFmtId="9" fontId="42" fillId="2" borderId="0" xfId="3" applyFont="1" applyFill="1" applyAlignment="1">
      <alignment horizontal="center"/>
    </xf>
    <xf numFmtId="3" fontId="42" fillId="0" borderId="0" xfId="352" applyNumberFormat="1" applyFont="1" applyAlignment="1">
      <alignment horizontal="center"/>
    </xf>
    <xf numFmtId="225" fontId="42" fillId="16" borderId="0" xfId="352" applyNumberFormat="1" applyFont="1" applyFill="1" applyAlignment="1">
      <alignment horizontal="center"/>
    </xf>
    <xf numFmtId="225" fontId="42" fillId="16" borderId="26" xfId="352" applyNumberFormat="1" applyFont="1" applyFill="1" applyBorder="1" applyAlignment="1">
      <alignment horizontal="center"/>
    </xf>
    <xf numFmtId="3" fontId="42" fillId="0" borderId="27" xfId="352" applyNumberFormat="1" applyFont="1" applyBorder="1" applyAlignment="1">
      <alignment horizontal="right"/>
    </xf>
    <xf numFmtId="3" fontId="42" fillId="0" borderId="0" xfId="352" applyNumberFormat="1" applyFont="1" applyAlignment="1">
      <alignment horizontal="right"/>
    </xf>
    <xf numFmtId="281" fontId="7" fillId="0" borderId="0" xfId="376" applyFont="1" applyBorder="1" applyAlignment="1">
      <alignment horizontal="right"/>
    </xf>
    <xf numFmtId="281" fontId="7" fillId="0" borderId="27" xfId="376" applyFont="1" applyBorder="1" applyAlignment="1">
      <alignment horizontal="right"/>
    </xf>
    <xf numFmtId="281" fontId="7" fillId="0" borderId="26" xfId="376" applyFont="1" applyBorder="1" applyAlignment="1">
      <alignment horizontal="right"/>
    </xf>
    <xf numFmtId="281" fontId="7" fillId="0" borderId="27" xfId="376" applyFont="1" applyBorder="1" applyAlignment="1">
      <alignment horizontal="center"/>
    </xf>
    <xf numFmtId="281" fontId="7" fillId="0" borderId="0" xfId="376" applyFont="1" applyBorder="1" applyAlignment="1">
      <alignment horizontal="center"/>
    </xf>
    <xf numFmtId="281" fontId="7" fillId="0" borderId="26" xfId="376" applyFont="1" applyBorder="1" applyAlignment="1">
      <alignment horizontal="center"/>
    </xf>
    <xf numFmtId="40" fontId="42" fillId="20" borderId="0" xfId="352" applyNumberFormat="1" applyFont="1" applyFill="1"/>
    <xf numFmtId="40" fontId="42" fillId="20" borderId="0" xfId="352" applyNumberFormat="1" applyFont="1" applyFill="1" applyAlignment="1">
      <alignment horizontal="right"/>
    </xf>
    <xf numFmtId="40" fontId="42" fillId="20" borderId="27" xfId="352" applyNumberFormat="1" applyFont="1" applyFill="1" applyBorder="1" applyAlignment="1">
      <alignment horizontal="right"/>
    </xf>
    <xf numFmtId="40" fontId="42" fillId="20" borderId="26" xfId="352" applyNumberFormat="1" applyFont="1" applyFill="1" applyBorder="1" applyAlignment="1">
      <alignment horizontal="right"/>
    </xf>
    <xf numFmtId="4" fontId="42" fillId="20" borderId="0" xfId="352" applyNumberFormat="1" applyFont="1" applyFill="1" applyAlignment="1">
      <alignment horizontal="right"/>
    </xf>
    <xf numFmtId="40" fontId="42" fillId="20" borderId="27" xfId="352" applyNumberFormat="1" applyFont="1" applyFill="1" applyBorder="1" applyAlignment="1">
      <alignment horizontal="center"/>
    </xf>
    <xf numFmtId="40" fontId="42" fillId="20" borderId="0" xfId="352" applyNumberFormat="1" applyFont="1" applyFill="1" applyAlignment="1">
      <alignment horizontal="center"/>
    </xf>
    <xf numFmtId="40" fontId="42" fillId="20" borderId="26" xfId="352" applyNumberFormat="1" applyFont="1" applyFill="1" applyBorder="1" applyAlignment="1">
      <alignment horizontal="center"/>
    </xf>
    <xf numFmtId="225" fontId="42" fillId="20" borderId="0" xfId="352" applyNumberFormat="1" applyFont="1" applyFill="1" applyAlignment="1">
      <alignment horizontal="center"/>
    </xf>
    <xf numFmtId="4" fontId="42" fillId="20" borderId="26" xfId="352" applyNumberFormat="1" applyFont="1" applyFill="1" applyBorder="1" applyAlignment="1">
      <alignment horizontal="center"/>
    </xf>
    <xf numFmtId="180" fontId="42" fillId="20" borderId="26" xfId="352" applyNumberFormat="1" applyFont="1" applyFill="1" applyBorder="1" applyAlignment="1">
      <alignment horizontal="center"/>
    </xf>
    <xf numFmtId="4" fontId="42" fillId="20" borderId="0" xfId="352" applyNumberFormat="1" applyFont="1" applyFill="1" applyAlignment="1">
      <alignment horizontal="center"/>
    </xf>
    <xf numFmtId="4" fontId="42" fillId="20" borderId="27" xfId="352" applyNumberFormat="1" applyFont="1" applyFill="1" applyBorder="1" applyAlignment="1">
      <alignment horizontal="center"/>
    </xf>
    <xf numFmtId="4" fontId="42" fillId="2" borderId="0" xfId="352" applyNumberFormat="1" applyFont="1" applyFill="1" applyAlignment="1">
      <alignment horizontal="center"/>
    </xf>
    <xf numFmtId="40" fontId="42" fillId="0" borderId="0" xfId="352" applyNumberFormat="1" applyFont="1" applyAlignment="1">
      <alignment horizontal="left"/>
    </xf>
    <xf numFmtId="176" fontId="42" fillId="20" borderId="0" xfId="1" applyFont="1" applyFill="1" applyBorder="1" applyAlignment="1">
      <alignment horizontal="right"/>
    </xf>
    <xf numFmtId="40" fontId="42" fillId="29" borderId="0" xfId="352" applyNumberFormat="1" applyFont="1" applyFill="1"/>
    <xf numFmtId="40" fontId="42" fillId="29" borderId="0" xfId="352" applyNumberFormat="1" applyFont="1" applyFill="1" applyAlignment="1">
      <alignment horizontal="right"/>
    </xf>
    <xf numFmtId="40" fontId="42" fillId="29" borderId="27" xfId="352" applyNumberFormat="1" applyFont="1" applyFill="1" applyBorder="1" applyAlignment="1">
      <alignment horizontal="right"/>
    </xf>
    <xf numFmtId="40" fontId="42" fillId="29" borderId="26" xfId="352" applyNumberFormat="1" applyFont="1" applyFill="1" applyBorder="1" applyAlignment="1">
      <alignment horizontal="right"/>
    </xf>
    <xf numFmtId="4" fontId="42" fillId="29" borderId="0" xfId="352" applyNumberFormat="1" applyFont="1" applyFill="1" applyAlignment="1">
      <alignment horizontal="right"/>
    </xf>
    <xf numFmtId="40" fontId="42" fillId="29" borderId="27" xfId="352" applyNumberFormat="1" applyFont="1" applyFill="1" applyBorder="1" applyAlignment="1">
      <alignment horizontal="center"/>
    </xf>
    <xf numFmtId="40" fontId="42" fillId="29" borderId="0" xfId="352" applyNumberFormat="1" applyFont="1" applyFill="1" applyAlignment="1">
      <alignment horizontal="center"/>
    </xf>
    <xf numFmtId="40" fontId="42" fillId="29" borderId="26" xfId="352" applyNumberFormat="1" applyFont="1" applyFill="1" applyBorder="1" applyAlignment="1">
      <alignment horizontal="center"/>
    </xf>
    <xf numFmtId="4" fontId="42" fillId="29" borderId="26" xfId="352" applyNumberFormat="1" applyFont="1" applyFill="1" applyBorder="1" applyAlignment="1">
      <alignment horizontal="center"/>
    </xf>
    <xf numFmtId="180" fontId="42" fillId="29" borderId="26" xfId="352" applyNumberFormat="1" applyFont="1" applyFill="1" applyBorder="1" applyAlignment="1">
      <alignment horizontal="center"/>
    </xf>
    <xf numFmtId="4" fontId="42" fillId="29" borderId="0" xfId="352" applyNumberFormat="1" applyFont="1" applyFill="1" applyAlignment="1">
      <alignment horizontal="center"/>
    </xf>
    <xf numFmtId="176" fontId="42" fillId="29" borderId="0" xfId="1" applyFont="1" applyFill="1" applyBorder="1" applyAlignment="1">
      <alignment horizontal="right"/>
    </xf>
    <xf numFmtId="4" fontId="42" fillId="29" borderId="27" xfId="352" applyNumberFormat="1" applyFont="1" applyFill="1" applyBorder="1" applyAlignment="1">
      <alignment horizontal="center"/>
    </xf>
    <xf numFmtId="38" fontId="42" fillId="2" borderId="0" xfId="352" applyNumberFormat="1" applyFont="1" applyFill="1" applyAlignment="1">
      <alignment horizontal="left"/>
    </xf>
    <xf numFmtId="219" fontId="42" fillId="0" borderId="27" xfId="352" applyFont="1" applyBorder="1" applyAlignment="1">
      <alignment horizontal="center"/>
    </xf>
    <xf numFmtId="219" fontId="61" fillId="0" borderId="0" xfId="352" applyFont="1" applyAlignment="1">
      <alignment horizontal="center"/>
    </xf>
    <xf numFmtId="219" fontId="42" fillId="2" borderId="0" xfId="352" applyFont="1" applyFill="1" applyAlignment="1">
      <alignment horizontal="center"/>
    </xf>
    <xf numFmtId="219" fontId="42" fillId="2" borderId="26" xfId="352" applyFont="1" applyFill="1" applyBorder="1" applyAlignment="1">
      <alignment horizontal="center"/>
    </xf>
    <xf numFmtId="219" fontId="42" fillId="2" borderId="27" xfId="352" applyFont="1" applyFill="1" applyBorder="1" applyAlignment="1">
      <alignment horizontal="center"/>
    </xf>
    <xf numFmtId="318" fontId="42" fillId="2" borderId="0" xfId="1" applyNumberFormat="1" applyFont="1" applyFill="1" applyBorder="1" applyAlignment="1">
      <alignment horizontal="center"/>
    </xf>
    <xf numFmtId="219" fontId="42" fillId="2" borderId="0" xfId="352" applyFont="1" applyFill="1" applyAlignment="1">
      <alignment horizontal="left" vertical="center"/>
    </xf>
    <xf numFmtId="219" fontId="61" fillId="0" borderId="27" xfId="352" applyFont="1" applyBorder="1" applyAlignment="1">
      <alignment horizontal="center"/>
    </xf>
    <xf numFmtId="219" fontId="61" fillId="0" borderId="26" xfId="352" applyFont="1" applyBorder="1" applyAlignment="1">
      <alignment horizontal="center"/>
    </xf>
    <xf numFmtId="40" fontId="7" fillId="0" borderId="0" xfId="352" applyNumberFormat="1" applyFont="1" applyAlignment="1">
      <alignment horizontal="right"/>
    </xf>
    <xf numFmtId="219" fontId="49" fillId="0" borderId="0" xfId="484" applyFont="1" applyAlignment="1">
      <alignment horizontal="left"/>
    </xf>
    <xf numFmtId="184" fontId="7" fillId="0" borderId="0" xfId="352" applyNumberFormat="1" applyFont="1" applyAlignment="1">
      <alignment horizontal="right"/>
    </xf>
    <xf numFmtId="184" fontId="7" fillId="0" borderId="27" xfId="352" applyNumberFormat="1" applyFont="1" applyBorder="1" applyAlignment="1">
      <alignment horizontal="right"/>
    </xf>
    <xf numFmtId="184" fontId="7" fillId="0" borderId="26" xfId="352" applyNumberFormat="1" applyFont="1" applyBorder="1" applyAlignment="1">
      <alignment horizontal="right"/>
    </xf>
    <xf numFmtId="225" fontId="7" fillId="0" borderId="27" xfId="352" applyNumberFormat="1" applyFont="1" applyBorder="1" applyAlignment="1">
      <alignment horizontal="right"/>
    </xf>
    <xf numFmtId="225" fontId="7" fillId="0" borderId="0" xfId="352" applyNumberFormat="1" applyFont="1" applyAlignment="1">
      <alignment horizontal="right"/>
    </xf>
    <xf numFmtId="225" fontId="7" fillId="0" borderId="26" xfId="352" applyNumberFormat="1" applyFont="1" applyBorder="1" applyAlignment="1">
      <alignment horizontal="right"/>
    </xf>
    <xf numFmtId="225" fontId="7" fillId="0" borderId="27" xfId="352" applyNumberFormat="1" applyFont="1" applyBorder="1" applyAlignment="1">
      <alignment horizontal="center"/>
    </xf>
    <xf numFmtId="225" fontId="7" fillId="0" borderId="0" xfId="352" applyNumberFormat="1" applyFont="1" applyAlignment="1">
      <alignment horizontal="center"/>
    </xf>
    <xf numFmtId="225" fontId="7" fillId="0" borderId="26" xfId="352" applyNumberFormat="1" applyFont="1" applyBorder="1" applyAlignment="1">
      <alignment horizontal="center"/>
    </xf>
    <xf numFmtId="225" fontId="7" fillId="16" borderId="0" xfId="352" applyNumberFormat="1" applyFont="1" applyFill="1" applyAlignment="1">
      <alignment horizontal="center"/>
    </xf>
    <xf numFmtId="225" fontId="7" fillId="2" borderId="26" xfId="352" applyNumberFormat="1" applyFont="1" applyFill="1" applyBorder="1" applyAlignment="1">
      <alignment horizontal="center"/>
    </xf>
    <xf numFmtId="9" fontId="7" fillId="0" borderId="0" xfId="3" applyFont="1" applyAlignment="1">
      <alignment horizontal="center"/>
    </xf>
    <xf numFmtId="184" fontId="42" fillId="0" borderId="0" xfId="352" applyNumberFormat="1" applyFont="1" applyAlignment="1">
      <alignment horizontal="right"/>
    </xf>
    <xf numFmtId="184" fontId="42" fillId="0" borderId="27" xfId="352" applyNumberFormat="1" applyFont="1" applyBorder="1" applyAlignment="1">
      <alignment horizontal="right"/>
    </xf>
    <xf numFmtId="184" fontId="42" fillId="0" borderId="26" xfId="352" applyNumberFormat="1" applyFont="1" applyBorder="1" applyAlignment="1">
      <alignment horizontal="right"/>
    </xf>
    <xf numFmtId="184" fontId="42" fillId="0" borderId="27" xfId="3" applyNumberFormat="1" applyFont="1" applyBorder="1" applyAlignment="1">
      <alignment horizontal="right"/>
    </xf>
    <xf numFmtId="184" fontId="42" fillId="0" borderId="0" xfId="3" applyNumberFormat="1" applyFont="1" applyBorder="1" applyAlignment="1">
      <alignment horizontal="right"/>
    </xf>
    <xf numFmtId="184" fontId="42" fillId="0" borderId="26" xfId="3" applyNumberFormat="1" applyFont="1" applyBorder="1" applyAlignment="1">
      <alignment horizontal="right"/>
    </xf>
    <xf numFmtId="220" fontId="7" fillId="0" borderId="0" xfId="0" applyNumberFormat="1" applyFont="1" applyFill="1" applyAlignment="1">
      <alignment horizontal="right"/>
    </xf>
    <xf numFmtId="220" fontId="7" fillId="0" borderId="26" xfId="352" applyNumberFormat="1" applyFont="1" applyBorder="1" applyAlignment="1">
      <alignment horizontal="right"/>
    </xf>
    <xf numFmtId="220" fontId="7" fillId="0" borderId="26" xfId="0" applyNumberFormat="1" applyFont="1" applyFill="1" applyBorder="1" applyAlignment="1">
      <alignment horizontal="right"/>
    </xf>
    <xf numFmtId="184" fontId="7" fillId="0" borderId="0" xfId="352" applyNumberFormat="1" applyFont="1" applyAlignment="1">
      <alignment horizontal="center"/>
    </xf>
    <xf numFmtId="225" fontId="7" fillId="14" borderId="0" xfId="352" applyNumberFormat="1" applyFont="1" applyFill="1" applyAlignment="1">
      <alignment horizontal="center"/>
    </xf>
    <xf numFmtId="225" fontId="7" fillId="14" borderId="26" xfId="352" applyNumberFormat="1" applyFont="1" applyFill="1" applyBorder="1" applyAlignment="1">
      <alignment horizontal="center"/>
    </xf>
    <xf numFmtId="184" fontId="7" fillId="16" borderId="0" xfId="352" applyNumberFormat="1" applyFont="1" applyFill="1" applyAlignment="1">
      <alignment horizontal="center"/>
    </xf>
    <xf numFmtId="225" fontId="7" fillId="2" borderId="27" xfId="352" applyNumberFormat="1" applyFont="1" applyFill="1" applyBorder="1" applyAlignment="1">
      <alignment horizontal="center"/>
    </xf>
    <xf numFmtId="315" fontId="7" fillId="0" borderId="27" xfId="352" applyNumberFormat="1" applyFont="1" applyBorder="1" applyAlignment="1">
      <alignment horizontal="right"/>
    </xf>
    <xf numFmtId="315" fontId="7" fillId="0" borderId="0" xfId="352" applyNumberFormat="1" applyFont="1" applyAlignment="1">
      <alignment horizontal="right"/>
    </xf>
    <xf numFmtId="315" fontId="7" fillId="0" borderId="26" xfId="352" applyNumberFormat="1" applyFont="1" applyBorder="1" applyAlignment="1">
      <alignment horizontal="right"/>
    </xf>
    <xf numFmtId="315" fontId="7" fillId="0" borderId="27" xfId="352" applyNumberFormat="1" applyFont="1" applyBorder="1" applyAlignment="1">
      <alignment horizontal="center"/>
    </xf>
    <xf numFmtId="315" fontId="7" fillId="0" borderId="0" xfId="352" applyNumberFormat="1" applyFont="1" applyAlignment="1">
      <alignment horizontal="center"/>
    </xf>
    <xf numFmtId="315" fontId="7" fillId="0" borderId="26" xfId="352" applyNumberFormat="1" applyFont="1" applyBorder="1" applyAlignment="1">
      <alignment horizontal="center"/>
    </xf>
    <xf numFmtId="315" fontId="7" fillId="16" borderId="0" xfId="352" applyNumberFormat="1" applyFont="1" applyFill="1" applyAlignment="1">
      <alignment horizontal="center"/>
    </xf>
    <xf numFmtId="315" fontId="7" fillId="2" borderId="0" xfId="352" applyNumberFormat="1" applyFont="1" applyFill="1" applyAlignment="1">
      <alignment horizontal="center"/>
    </xf>
    <xf numFmtId="315" fontId="7" fillId="2" borderId="26" xfId="352" applyNumberFormat="1" applyFont="1" applyFill="1" applyBorder="1" applyAlignment="1">
      <alignment horizontal="center"/>
    </xf>
    <xf numFmtId="315" fontId="7" fillId="2" borderId="27" xfId="352" applyNumberFormat="1" applyFont="1" applyFill="1" applyBorder="1" applyAlignment="1">
      <alignment horizontal="center"/>
    </xf>
    <xf numFmtId="184" fontId="42" fillId="2" borderId="26" xfId="3" applyNumberFormat="1" applyFont="1" applyFill="1" applyBorder="1" applyAlignment="1">
      <alignment horizontal="center"/>
    </xf>
    <xf numFmtId="184" fontId="42" fillId="2" borderId="27" xfId="3" applyNumberFormat="1" applyFont="1" applyFill="1" applyBorder="1" applyAlignment="1">
      <alignment horizontal="center"/>
    </xf>
    <xf numFmtId="184" fontId="7" fillId="0" borderId="27" xfId="352" applyNumberFormat="1" applyFont="1" applyBorder="1" applyAlignment="1">
      <alignment horizontal="center"/>
    </xf>
    <xf numFmtId="184" fontId="7" fillId="0" borderId="26" xfId="352" applyNumberFormat="1" applyFont="1" applyBorder="1" applyAlignment="1">
      <alignment horizontal="center"/>
    </xf>
    <xf numFmtId="184" fontId="7" fillId="2" borderId="0" xfId="352" applyNumberFormat="1" applyFont="1" applyFill="1" applyAlignment="1">
      <alignment horizontal="center"/>
    </xf>
    <xf numFmtId="184" fontId="7" fillId="2" borderId="26" xfId="352" applyNumberFormat="1" applyFont="1" applyFill="1" applyBorder="1" applyAlignment="1">
      <alignment horizontal="center"/>
    </xf>
    <xf numFmtId="184" fontId="7" fillId="2" borderId="27" xfId="352" applyNumberFormat="1" applyFont="1" applyFill="1" applyBorder="1" applyAlignment="1">
      <alignment horizontal="center"/>
    </xf>
    <xf numFmtId="225" fontId="7" fillId="0" borderId="26" xfId="352" applyNumberFormat="1" applyFont="1" applyBorder="1"/>
    <xf numFmtId="184" fontId="7" fillId="14" borderId="0" xfId="352" applyNumberFormat="1" applyFont="1" applyFill="1" applyAlignment="1">
      <alignment horizontal="center"/>
    </xf>
    <xf numFmtId="184" fontId="7" fillId="14" borderId="26" xfId="352" applyNumberFormat="1" applyFont="1" applyFill="1" applyBorder="1" applyAlignment="1">
      <alignment horizontal="center"/>
    </xf>
    <xf numFmtId="315" fontId="7" fillId="14" borderId="0" xfId="352" applyNumberFormat="1" applyFont="1" applyFill="1" applyAlignment="1">
      <alignment horizontal="center"/>
    </xf>
    <xf numFmtId="315" fontId="7" fillId="14" borderId="26" xfId="352" applyNumberFormat="1" applyFont="1" applyFill="1" applyBorder="1" applyAlignment="1">
      <alignment horizontal="center"/>
    </xf>
    <xf numFmtId="0" fontId="7" fillId="0" borderId="26" xfId="3" applyNumberFormat="1" applyFont="1" applyBorder="1" applyAlignment="1">
      <alignment horizontal="center"/>
    </xf>
    <xf numFmtId="219" fontId="47" fillId="10" borderId="26" xfId="352" applyFont="1" applyFill="1" applyBorder="1"/>
    <xf numFmtId="184" fontId="53" fillId="0" borderId="0" xfId="352" applyNumberFormat="1" applyFont="1" applyAlignment="1">
      <alignment horizontal="center"/>
    </xf>
    <xf numFmtId="184" fontId="7" fillId="0" borderId="0" xfId="231" applyNumberFormat="1" applyFont="1" applyBorder="1" applyAlignment="1">
      <alignment horizontal="right"/>
    </xf>
    <xf numFmtId="184" fontId="7" fillId="0" borderId="26" xfId="231" applyNumberFormat="1" applyFont="1" applyBorder="1" applyAlignment="1">
      <alignment horizontal="right"/>
    </xf>
    <xf numFmtId="184" fontId="7" fillId="0" borderId="0" xfId="352" applyNumberFormat="1" applyFont="1" applyAlignment="1">
      <alignment horizontal="left"/>
    </xf>
    <xf numFmtId="0" fontId="7" fillId="0" borderId="33" xfId="347" applyFont="1" applyBorder="1"/>
    <xf numFmtId="184" fontId="7" fillId="19" borderId="0" xfId="3" applyNumberFormat="1" applyFont="1" applyFill="1" applyBorder="1" applyAlignment="1">
      <alignment horizontal="center"/>
    </xf>
    <xf numFmtId="176" fontId="7" fillId="2" borderId="0" xfId="1" applyFont="1" applyFill="1" applyBorder="1" applyAlignment="1">
      <alignment horizontal="right"/>
    </xf>
    <xf numFmtId="176" fontId="7" fillId="2" borderId="26" xfId="1" applyFont="1" applyFill="1" applyBorder="1" applyAlignment="1">
      <alignment horizontal="right"/>
    </xf>
    <xf numFmtId="338" fontId="7" fillId="2" borderId="26" xfId="1" applyNumberFormat="1" applyFont="1" applyFill="1" applyBorder="1" applyAlignment="1">
      <alignment horizontal="right"/>
    </xf>
    <xf numFmtId="40" fontId="63" fillId="0" borderId="0" xfId="352" applyNumberFormat="1" applyFont="1"/>
    <xf numFmtId="2" fontId="64" fillId="0" borderId="0" xfId="0" applyNumberFormat="1" applyFont="1"/>
    <xf numFmtId="338" fontId="7" fillId="2" borderId="0" xfId="1" applyNumberFormat="1" applyFont="1" applyFill="1" applyBorder="1" applyAlignment="1">
      <alignment horizontal="right"/>
    </xf>
    <xf numFmtId="269" fontId="7" fillId="2" borderId="0" xfId="1" applyNumberFormat="1" applyFont="1" applyFill="1" applyBorder="1" applyAlignment="1">
      <alignment horizontal="right"/>
    </xf>
    <xf numFmtId="176" fontId="7" fillId="16" borderId="0" xfId="1" applyFont="1" applyFill="1" applyBorder="1" applyAlignment="1">
      <alignment horizontal="center"/>
    </xf>
    <xf numFmtId="225" fontId="7" fillId="0" borderId="0" xfId="352" applyNumberFormat="1" applyFont="1" applyAlignment="1">
      <alignment horizontal="left"/>
    </xf>
    <xf numFmtId="219" fontId="65" fillId="0" borderId="0" xfId="484" applyFont="1" applyAlignment="1">
      <alignment horizontal="right"/>
    </xf>
    <xf numFmtId="219" fontId="65" fillId="0" borderId="0" xfId="484" applyFont="1" applyAlignment="1">
      <alignment horizontal="center"/>
    </xf>
    <xf numFmtId="219" fontId="65" fillId="0" borderId="26" xfId="484" applyFont="1" applyBorder="1" applyAlignment="1">
      <alignment horizontal="center"/>
    </xf>
    <xf numFmtId="219" fontId="56" fillId="0" borderId="0" xfId="484" applyFont="1" applyAlignment="1">
      <alignment horizontal="left"/>
    </xf>
    <xf numFmtId="243" fontId="42" fillId="28" borderId="30" xfId="231" applyFont="1" applyFill="1" applyBorder="1" applyAlignment="1">
      <alignment horizontal="right"/>
    </xf>
    <xf numFmtId="243" fontId="42" fillId="28" borderId="30" xfId="231" applyFont="1" applyFill="1" applyBorder="1" applyAlignment="1">
      <alignment horizontal="center"/>
    </xf>
    <xf numFmtId="243" fontId="42" fillId="28" borderId="32" xfId="231" applyFont="1" applyFill="1" applyBorder="1" applyAlignment="1">
      <alignment horizontal="center"/>
    </xf>
    <xf numFmtId="243" fontId="42" fillId="28" borderId="0" xfId="231" applyFont="1" applyFill="1" applyBorder="1" applyAlignment="1">
      <alignment horizontal="center"/>
    </xf>
    <xf numFmtId="243" fontId="42" fillId="28" borderId="26" xfId="231" applyFont="1" applyFill="1" applyBorder="1" applyAlignment="1">
      <alignment horizontal="center"/>
    </xf>
    <xf numFmtId="243" fontId="42" fillId="0" borderId="30" xfId="231" applyFont="1" applyFill="1" applyBorder="1" applyAlignment="1">
      <alignment horizontal="left"/>
    </xf>
    <xf numFmtId="219" fontId="42" fillId="0" borderId="30" xfId="352" applyFont="1" applyBorder="1" applyAlignment="1">
      <alignment horizontal="center"/>
    </xf>
    <xf numFmtId="219" fontId="42" fillId="0" borderId="30" xfId="352" applyFont="1" applyBorder="1"/>
    <xf numFmtId="219" fontId="47" fillId="11" borderId="0" xfId="484" applyFont="1" applyFill="1" applyAlignment="1">
      <alignment horizontal="right"/>
    </xf>
    <xf numFmtId="219" fontId="47" fillId="11" borderId="27" xfId="484" applyFont="1" applyFill="1" applyBorder="1" applyAlignment="1">
      <alignment horizontal="right"/>
    </xf>
    <xf numFmtId="219" fontId="47" fillId="11" borderId="26" xfId="484" applyFont="1" applyFill="1" applyBorder="1" applyAlignment="1">
      <alignment horizontal="right"/>
    </xf>
    <xf numFmtId="219" fontId="47" fillId="11" borderId="27" xfId="484" applyFont="1" applyFill="1" applyBorder="1" applyAlignment="1">
      <alignment horizontal="center"/>
    </xf>
    <xf numFmtId="219" fontId="47" fillId="11" borderId="0" xfId="484" applyFont="1" applyFill="1" applyAlignment="1">
      <alignment horizontal="center"/>
    </xf>
    <xf numFmtId="219" fontId="47" fillId="11" borderId="26" xfId="484" applyFont="1" applyFill="1" applyBorder="1" applyAlignment="1">
      <alignment horizontal="center"/>
    </xf>
    <xf numFmtId="184" fontId="53" fillId="0" borderId="0" xfId="3" applyNumberFormat="1" applyFont="1" applyBorder="1" applyAlignment="1">
      <alignment horizontal="center"/>
    </xf>
    <xf numFmtId="219" fontId="42" fillId="0" borderId="0" xfId="352" applyFont="1" applyAlignment="1">
      <alignment horizontal="left" indent="2"/>
    </xf>
    <xf numFmtId="219" fontId="7" fillId="0" borderId="0" xfId="352" applyFont="1" applyAlignment="1">
      <alignment horizontal="left" indent="3"/>
    </xf>
    <xf numFmtId="38" fontId="66" fillId="0" borderId="0" xfId="352" applyNumberFormat="1" applyFont="1"/>
    <xf numFmtId="269" fontId="42" fillId="0" borderId="27" xfId="218" applyNumberFormat="1" applyFont="1" applyBorder="1" applyAlignment="1">
      <alignment horizontal="right"/>
    </xf>
    <xf numFmtId="269" fontId="42" fillId="0" borderId="0" xfId="218" applyNumberFormat="1" applyFont="1" applyBorder="1" applyAlignment="1">
      <alignment horizontal="right"/>
    </xf>
    <xf numFmtId="269" fontId="42" fillId="0" borderId="26" xfId="218" applyNumberFormat="1" applyFont="1" applyBorder="1" applyAlignment="1">
      <alignment horizontal="right"/>
    </xf>
    <xf numFmtId="269" fontId="42" fillId="0" borderId="27" xfId="218" applyNumberFormat="1" applyFont="1" applyBorder="1" applyAlignment="1">
      <alignment horizontal="center"/>
    </xf>
    <xf numFmtId="269" fontId="42" fillId="0" borderId="0" xfId="218" applyNumberFormat="1" applyFont="1" applyBorder="1" applyAlignment="1">
      <alignment horizontal="center"/>
    </xf>
    <xf numFmtId="269" fontId="42" fillId="0" borderId="26" xfId="218" applyNumberFormat="1" applyFont="1" applyBorder="1" applyAlignment="1">
      <alignment horizontal="center"/>
    </xf>
    <xf numFmtId="269" fontId="61" fillId="0" borderId="0" xfId="218" applyNumberFormat="1" applyFont="1" applyBorder="1" applyAlignment="1">
      <alignment horizontal="center"/>
    </xf>
    <xf numFmtId="225" fontId="42" fillId="20" borderId="0" xfId="352" applyNumberFormat="1" applyFont="1" applyFill="1" applyAlignment="1">
      <alignment horizontal="right"/>
    </xf>
    <xf numFmtId="225" fontId="42" fillId="20" borderId="27" xfId="352" applyNumberFormat="1" applyFont="1" applyFill="1" applyBorder="1" applyAlignment="1">
      <alignment horizontal="right"/>
    </xf>
    <xf numFmtId="225" fontId="42" fillId="20" borderId="26" xfId="352" applyNumberFormat="1" applyFont="1" applyFill="1" applyBorder="1" applyAlignment="1">
      <alignment horizontal="right"/>
    </xf>
    <xf numFmtId="225" fontId="42" fillId="20" borderId="27" xfId="352" applyNumberFormat="1" applyFont="1" applyFill="1" applyBorder="1" applyAlignment="1">
      <alignment horizontal="center"/>
    </xf>
    <xf numFmtId="225" fontId="42" fillId="20" borderId="26" xfId="352" applyNumberFormat="1" applyFont="1" applyFill="1" applyBorder="1" applyAlignment="1">
      <alignment horizontal="center"/>
    </xf>
    <xf numFmtId="176" fontId="7" fillId="0" borderId="0" xfId="1" applyFont="1" applyFill="1" applyBorder="1" applyAlignment="1">
      <alignment horizontal="left"/>
    </xf>
    <xf numFmtId="176" fontId="7" fillId="0" borderId="0" xfId="218" applyFont="1" applyBorder="1" applyAlignment="1">
      <alignment horizontal="right"/>
    </xf>
    <xf numFmtId="176" fontId="7" fillId="0" borderId="27" xfId="218" applyFont="1" applyBorder="1" applyAlignment="1">
      <alignment horizontal="right"/>
    </xf>
    <xf numFmtId="176" fontId="7" fillId="0" borderId="26" xfId="218" applyFont="1" applyBorder="1" applyAlignment="1">
      <alignment horizontal="right"/>
    </xf>
    <xf numFmtId="176" fontId="7" fillId="0" borderId="27" xfId="218" applyFont="1" applyBorder="1" applyAlignment="1">
      <alignment horizontal="center"/>
    </xf>
    <xf numFmtId="176" fontId="7" fillId="0" borderId="0" xfId="218" applyFont="1" applyBorder="1" applyAlignment="1">
      <alignment horizontal="center"/>
    </xf>
    <xf numFmtId="176" fontId="7" fillId="0" borderId="26" xfId="218" applyFont="1" applyBorder="1" applyAlignment="1">
      <alignment horizontal="center"/>
    </xf>
    <xf numFmtId="176" fontId="7" fillId="0" borderId="0" xfId="218" applyFont="1" applyFill="1" applyBorder="1" applyAlignment="1">
      <alignment horizontal="left"/>
    </xf>
    <xf numFmtId="3" fontId="42" fillId="20" borderId="0" xfId="352" applyNumberFormat="1" applyFont="1" applyFill="1" applyAlignment="1">
      <alignment horizontal="right"/>
    </xf>
    <xf numFmtId="3" fontId="42" fillId="20" borderId="26" xfId="352" applyNumberFormat="1" applyFont="1" applyFill="1" applyBorder="1" applyAlignment="1">
      <alignment horizontal="right"/>
    </xf>
    <xf numFmtId="3" fontId="42" fillId="20" borderId="27" xfId="352" applyNumberFormat="1" applyFont="1" applyFill="1" applyBorder="1" applyAlignment="1">
      <alignment horizontal="center"/>
    </xf>
    <xf numFmtId="3" fontId="42" fillId="20" borderId="0" xfId="352" applyNumberFormat="1" applyFont="1" applyFill="1" applyAlignment="1">
      <alignment horizontal="center"/>
    </xf>
    <xf numFmtId="3" fontId="42" fillId="20" borderId="26" xfId="352" applyNumberFormat="1" applyFont="1" applyFill="1" applyBorder="1" applyAlignment="1">
      <alignment horizontal="center"/>
    </xf>
    <xf numFmtId="269" fontId="7" fillId="0" borderId="26" xfId="218" applyNumberFormat="1" applyFont="1" applyBorder="1" applyAlignment="1">
      <alignment horizontal="right"/>
    </xf>
    <xf numFmtId="225" fontId="7" fillId="16" borderId="0" xfId="352" applyNumberFormat="1" applyFont="1" applyFill="1" applyAlignment="1">
      <alignment horizontal="left"/>
    </xf>
    <xf numFmtId="269" fontId="7" fillId="0" borderId="0" xfId="1" applyNumberFormat="1" applyFont="1" applyBorder="1" applyAlignment="1">
      <alignment horizontal="center"/>
    </xf>
    <xf numFmtId="269" fontId="7" fillId="0" borderId="26" xfId="1" applyNumberFormat="1" applyFont="1" applyBorder="1" applyAlignment="1">
      <alignment horizontal="center"/>
    </xf>
    <xf numFmtId="184" fontId="7" fillId="16" borderId="0" xfId="3" applyNumberFormat="1" applyFont="1" applyFill="1" applyBorder="1" applyAlignment="1">
      <alignment horizontal="left"/>
    </xf>
    <xf numFmtId="219" fontId="49" fillId="16" borderId="0" xfId="484" applyFont="1" applyFill="1" applyAlignment="1">
      <alignment horizontal="left"/>
    </xf>
    <xf numFmtId="219" fontId="47" fillId="16" borderId="0" xfId="484" applyFont="1" applyFill="1" applyAlignment="1">
      <alignment horizontal="center"/>
    </xf>
    <xf numFmtId="9" fontId="7" fillId="16" borderId="0" xfId="352" applyNumberFormat="1" applyFont="1" applyFill="1" applyAlignment="1">
      <alignment horizontal="center"/>
    </xf>
    <xf numFmtId="9" fontId="42" fillId="16" borderId="0" xfId="352" applyNumberFormat="1" applyFont="1" applyFill="1" applyAlignment="1">
      <alignment horizontal="center"/>
    </xf>
    <xf numFmtId="9" fontId="7" fillId="0" borderId="27" xfId="3" applyFont="1" applyBorder="1" applyAlignment="1">
      <alignment horizontal="right"/>
    </xf>
    <xf numFmtId="9" fontId="7" fillId="0" borderId="26" xfId="3" applyFont="1" applyBorder="1" applyAlignment="1">
      <alignment horizontal="right"/>
    </xf>
    <xf numFmtId="225" fontId="42" fillId="20" borderId="0" xfId="352" applyNumberFormat="1" applyFont="1" applyFill="1"/>
    <xf numFmtId="9" fontId="42" fillId="20" borderId="27" xfId="3" applyFont="1" applyFill="1" applyBorder="1" applyAlignment="1">
      <alignment horizontal="right"/>
    </xf>
    <xf numFmtId="9" fontId="42" fillId="20" borderId="0" xfId="3" applyFont="1" applyFill="1" applyBorder="1" applyAlignment="1">
      <alignment horizontal="right"/>
    </xf>
    <xf numFmtId="9" fontId="42" fillId="20" borderId="26" xfId="3" applyFont="1" applyFill="1" applyBorder="1" applyAlignment="1">
      <alignment horizontal="right"/>
    </xf>
    <xf numFmtId="184" fontId="42" fillId="20" borderId="27" xfId="3" applyNumberFormat="1" applyFont="1" applyFill="1" applyBorder="1" applyAlignment="1">
      <alignment horizontal="right"/>
    </xf>
    <xf numFmtId="184" fontId="42" fillId="20" borderId="0" xfId="3" applyNumberFormat="1" applyFont="1" applyFill="1" applyBorder="1" applyAlignment="1">
      <alignment horizontal="right"/>
    </xf>
    <xf numFmtId="184" fontId="42" fillId="20" borderId="26" xfId="3" applyNumberFormat="1" applyFont="1" applyFill="1" applyBorder="1" applyAlignment="1">
      <alignment horizontal="right"/>
    </xf>
    <xf numFmtId="184" fontId="42" fillId="20" borderId="27" xfId="3" applyNumberFormat="1" applyFont="1" applyFill="1" applyBorder="1" applyAlignment="1">
      <alignment horizontal="center"/>
    </xf>
    <xf numFmtId="184" fontId="42" fillId="20" borderId="0" xfId="3" applyNumberFormat="1" applyFont="1" applyFill="1" applyBorder="1" applyAlignment="1">
      <alignment horizontal="center"/>
    </xf>
    <xf numFmtId="184" fontId="61" fillId="20" borderId="0" xfId="3" applyNumberFormat="1" applyFont="1" applyFill="1" applyBorder="1" applyAlignment="1">
      <alignment horizontal="center"/>
    </xf>
    <xf numFmtId="184" fontId="42" fillId="20" borderId="26" xfId="3" applyNumberFormat="1" applyFont="1" applyFill="1" applyBorder="1" applyAlignment="1">
      <alignment horizontal="center"/>
    </xf>
    <xf numFmtId="9" fontId="42" fillId="0" borderId="27" xfId="3" applyFont="1" applyBorder="1" applyAlignment="1">
      <alignment horizontal="right"/>
    </xf>
    <xf numFmtId="9" fontId="42" fillId="0" borderId="26" xfId="3" applyFont="1" applyBorder="1" applyAlignment="1">
      <alignment horizontal="right"/>
    </xf>
    <xf numFmtId="184" fontId="61" fillId="0" borderId="0" xfId="3" applyNumberFormat="1" applyFont="1" applyBorder="1" applyAlignment="1">
      <alignment horizontal="center"/>
    </xf>
    <xf numFmtId="219" fontId="7" fillId="0" borderId="26" xfId="352" applyFont="1" applyBorder="1"/>
    <xf numFmtId="225" fontId="42" fillId="16" borderId="0" xfId="352" applyNumberFormat="1" applyFont="1" applyFill="1" applyAlignment="1">
      <alignment horizontal="right"/>
    </xf>
    <xf numFmtId="225" fontId="42" fillId="16" borderId="27" xfId="352" applyNumberFormat="1" applyFont="1" applyFill="1" applyBorder="1" applyAlignment="1">
      <alignment horizontal="right"/>
    </xf>
    <xf numFmtId="225" fontId="42" fillId="16" borderId="26" xfId="352" applyNumberFormat="1" applyFont="1" applyFill="1" applyBorder="1" applyAlignment="1">
      <alignment horizontal="right"/>
    </xf>
    <xf numFmtId="225" fontId="42" fillId="16" borderId="27" xfId="352" applyNumberFormat="1" applyFont="1" applyFill="1" applyBorder="1" applyAlignment="1">
      <alignment horizontal="center"/>
    </xf>
    <xf numFmtId="9" fontId="42" fillId="20" borderId="27" xfId="218" applyNumberFormat="1" applyFont="1" applyFill="1" applyBorder="1" applyAlignment="1">
      <alignment horizontal="right"/>
    </xf>
    <xf numFmtId="9" fontId="42" fillId="20" borderId="0" xfId="218" applyNumberFormat="1" applyFont="1" applyFill="1" applyBorder="1" applyAlignment="1">
      <alignment horizontal="right"/>
    </xf>
    <xf numFmtId="9" fontId="42" fillId="20" borderId="26" xfId="218" applyNumberFormat="1" applyFont="1" applyFill="1" applyBorder="1" applyAlignment="1">
      <alignment horizontal="right"/>
    </xf>
    <xf numFmtId="9" fontId="42" fillId="20" borderId="27" xfId="218" applyNumberFormat="1" applyFont="1" applyFill="1" applyBorder="1" applyAlignment="1">
      <alignment horizontal="center"/>
    </xf>
    <xf numFmtId="9" fontId="42" fillId="20" borderId="0" xfId="218" applyNumberFormat="1" applyFont="1" applyFill="1" applyBorder="1" applyAlignment="1">
      <alignment horizontal="center"/>
    </xf>
    <xf numFmtId="9" fontId="42" fillId="20" borderId="26" xfId="218" applyNumberFormat="1" applyFont="1" applyFill="1" applyBorder="1" applyAlignment="1">
      <alignment horizontal="center"/>
    </xf>
    <xf numFmtId="9" fontId="42" fillId="16" borderId="0" xfId="218" applyNumberFormat="1" applyFont="1" applyFill="1" applyBorder="1" applyAlignment="1">
      <alignment horizontal="center"/>
    </xf>
    <xf numFmtId="9" fontId="7" fillId="16" borderId="0" xfId="218" applyNumberFormat="1" applyFont="1" applyFill="1" applyBorder="1" applyAlignment="1">
      <alignment horizontal="left"/>
    </xf>
    <xf numFmtId="9" fontId="42" fillId="0" borderId="27" xfId="352" applyNumberFormat="1" applyFont="1" applyBorder="1" applyAlignment="1">
      <alignment horizontal="right"/>
    </xf>
    <xf numFmtId="9" fontId="42" fillId="0" borderId="0" xfId="352" applyNumberFormat="1" applyFont="1" applyAlignment="1">
      <alignment horizontal="right"/>
    </xf>
    <xf numFmtId="9" fontId="42" fillId="0" borderId="26" xfId="352" applyNumberFormat="1" applyFont="1" applyBorder="1" applyAlignment="1">
      <alignment horizontal="right"/>
    </xf>
    <xf numFmtId="9" fontId="42" fillId="0" borderId="27" xfId="352" applyNumberFormat="1" applyFont="1" applyBorder="1" applyAlignment="1">
      <alignment horizontal="center"/>
    </xf>
    <xf numFmtId="9" fontId="42" fillId="0" borderId="0" xfId="352" applyNumberFormat="1" applyFont="1" applyAlignment="1">
      <alignment horizontal="center"/>
    </xf>
    <xf numFmtId="9" fontId="42" fillId="0" borderId="26" xfId="352" applyNumberFormat="1" applyFont="1" applyBorder="1" applyAlignment="1">
      <alignment horizontal="center"/>
    </xf>
    <xf numFmtId="9" fontId="7" fillId="16" borderId="0" xfId="352" applyNumberFormat="1" applyFont="1" applyFill="1" applyAlignment="1">
      <alignment horizontal="left"/>
    </xf>
    <xf numFmtId="9" fontId="7" fillId="0" borderId="27" xfId="218" applyNumberFormat="1" applyFont="1" applyBorder="1" applyAlignment="1">
      <alignment horizontal="right"/>
    </xf>
    <xf numFmtId="9" fontId="7" fillId="0" borderId="0" xfId="218" applyNumberFormat="1" applyFont="1" applyBorder="1" applyAlignment="1">
      <alignment horizontal="right"/>
    </xf>
    <xf numFmtId="9" fontId="7" fillId="0" borderId="26" xfId="218" applyNumberFormat="1" applyFont="1" applyBorder="1" applyAlignment="1">
      <alignment horizontal="right"/>
    </xf>
    <xf numFmtId="9" fontId="7" fillId="0" borderId="27" xfId="218" applyNumberFormat="1" applyFont="1" applyBorder="1" applyAlignment="1">
      <alignment horizontal="center"/>
    </xf>
    <xf numFmtId="9" fontId="7" fillId="0" borderId="0" xfId="218" applyNumberFormat="1" applyFont="1" applyBorder="1" applyAlignment="1">
      <alignment horizontal="center"/>
    </xf>
    <xf numFmtId="9" fontId="7" fillId="0" borderId="26" xfId="218" applyNumberFormat="1" applyFont="1" applyBorder="1" applyAlignment="1">
      <alignment horizontal="center"/>
    </xf>
    <xf numFmtId="9" fontId="7" fillId="16" borderId="0" xfId="218" applyNumberFormat="1" applyFont="1" applyFill="1" applyBorder="1" applyAlignment="1">
      <alignment horizontal="center"/>
    </xf>
    <xf numFmtId="9" fontId="42" fillId="20" borderId="27" xfId="352" applyNumberFormat="1" applyFont="1" applyFill="1" applyBorder="1" applyAlignment="1">
      <alignment horizontal="right"/>
    </xf>
    <xf numFmtId="9" fontId="42" fillId="20" borderId="0" xfId="352" applyNumberFormat="1" applyFont="1" applyFill="1" applyAlignment="1">
      <alignment horizontal="right"/>
    </xf>
    <xf numFmtId="9" fontId="42" fillId="20" borderId="26" xfId="352" applyNumberFormat="1" applyFont="1" applyFill="1" applyBorder="1" applyAlignment="1">
      <alignment horizontal="right"/>
    </xf>
    <xf numFmtId="9" fontId="42" fillId="20" borderId="27" xfId="352" applyNumberFormat="1" applyFont="1" applyFill="1" applyBorder="1" applyAlignment="1">
      <alignment horizontal="center"/>
    </xf>
    <xf numFmtId="9" fontId="42" fillId="20" borderId="0" xfId="352" applyNumberFormat="1" applyFont="1" applyFill="1" applyAlignment="1">
      <alignment horizontal="center"/>
    </xf>
    <xf numFmtId="9" fontId="42" fillId="20" borderId="26" xfId="352" applyNumberFormat="1" applyFont="1" applyFill="1" applyBorder="1" applyAlignment="1">
      <alignment horizontal="center"/>
    </xf>
    <xf numFmtId="318" fontId="7" fillId="0" borderId="27" xfId="218" applyNumberFormat="1" applyFont="1" applyBorder="1" applyAlignment="1">
      <alignment horizontal="right"/>
    </xf>
    <xf numFmtId="318" fontId="7" fillId="0" borderId="0" xfId="218" applyNumberFormat="1" applyFont="1" applyBorder="1" applyAlignment="1">
      <alignment horizontal="right"/>
    </xf>
    <xf numFmtId="318" fontId="7" fillId="0" borderId="26" xfId="218" applyNumberFormat="1" applyFont="1" applyBorder="1" applyAlignment="1">
      <alignment horizontal="right"/>
    </xf>
    <xf numFmtId="9" fontId="7" fillId="0" borderId="0" xfId="352" applyNumberFormat="1" applyFont="1" applyAlignment="1">
      <alignment horizontal="right"/>
    </xf>
    <xf numFmtId="318" fontId="7" fillId="0" borderId="0" xfId="218" applyNumberFormat="1" applyFont="1" applyBorder="1" applyAlignment="1">
      <alignment horizontal="center"/>
    </xf>
    <xf numFmtId="318" fontId="7" fillId="0" borderId="26" xfId="218" applyNumberFormat="1" applyFont="1" applyBorder="1" applyAlignment="1">
      <alignment horizontal="center"/>
    </xf>
    <xf numFmtId="318" fontId="7" fillId="16" borderId="0" xfId="218" applyNumberFormat="1" applyFont="1" applyFill="1" applyBorder="1" applyAlignment="1">
      <alignment horizontal="center"/>
    </xf>
    <xf numFmtId="318" fontId="7" fillId="16" borderId="0" xfId="218" applyNumberFormat="1" applyFont="1" applyFill="1" applyBorder="1" applyAlignment="1">
      <alignment horizontal="left"/>
    </xf>
    <xf numFmtId="9" fontId="49" fillId="0" borderId="27" xfId="3" applyFont="1" applyBorder="1" applyAlignment="1">
      <alignment horizontal="right"/>
    </xf>
    <xf numFmtId="9" fontId="49" fillId="0" borderId="0" xfId="3" applyFont="1" applyBorder="1" applyAlignment="1">
      <alignment horizontal="right"/>
    </xf>
    <xf numFmtId="225" fontId="49" fillId="0" borderId="0" xfId="352" applyNumberFormat="1" applyFont="1" applyAlignment="1">
      <alignment horizontal="right"/>
    </xf>
    <xf numFmtId="225" fontId="49" fillId="0" borderId="26" xfId="352" applyNumberFormat="1" applyFont="1" applyBorder="1" applyAlignment="1">
      <alignment horizontal="right"/>
    </xf>
    <xf numFmtId="225" fontId="7" fillId="0" borderId="0" xfId="352" applyNumberFormat="1" applyFont="1" applyAlignment="1">
      <alignment horizontal="left" indent="1"/>
    </xf>
    <xf numFmtId="269" fontId="7" fillId="0" borderId="27" xfId="218" applyNumberFormat="1" applyFont="1" applyBorder="1" applyAlignment="1">
      <alignment horizontal="right"/>
    </xf>
    <xf numFmtId="269" fontId="7" fillId="0" borderId="0" xfId="218" applyNumberFormat="1" applyFont="1" applyBorder="1" applyAlignment="1">
      <alignment horizontal="right"/>
    </xf>
    <xf numFmtId="184" fontId="7" fillId="0" borderId="26" xfId="3" applyNumberFormat="1" applyFont="1" applyFill="1" applyBorder="1"/>
    <xf numFmtId="176" fontId="7" fillId="0" borderId="0" xfId="218" applyFont="1" applyFill="1" applyBorder="1" applyAlignment="1">
      <alignment horizontal="center"/>
    </xf>
    <xf numFmtId="176" fontId="7" fillId="0" borderId="26" xfId="218" applyFont="1" applyFill="1" applyBorder="1" applyAlignment="1">
      <alignment horizontal="center"/>
    </xf>
    <xf numFmtId="176" fontId="7" fillId="16" borderId="0" xfId="218" applyFont="1" applyFill="1" applyBorder="1" applyAlignment="1">
      <alignment horizontal="left"/>
    </xf>
    <xf numFmtId="219" fontId="7" fillId="0" borderId="0" xfId="484" applyFont="1" applyAlignment="1">
      <alignment horizontal="right"/>
    </xf>
    <xf numFmtId="219" fontId="7" fillId="0" borderId="27" xfId="484" applyFont="1" applyBorder="1" applyAlignment="1">
      <alignment horizontal="right"/>
    </xf>
    <xf numFmtId="219" fontId="7" fillId="0" borderId="26" xfId="484" applyFont="1" applyBorder="1" applyAlignment="1">
      <alignment horizontal="right"/>
    </xf>
    <xf numFmtId="219" fontId="7" fillId="0" borderId="27" xfId="484" applyFont="1" applyBorder="1" applyAlignment="1">
      <alignment horizontal="center"/>
    </xf>
    <xf numFmtId="219" fontId="7" fillId="0" borderId="0" xfId="484" applyFont="1" applyAlignment="1">
      <alignment horizontal="center"/>
    </xf>
    <xf numFmtId="219" fontId="7" fillId="0" borderId="26" xfId="484" applyFont="1" applyBorder="1" applyAlignment="1">
      <alignment horizontal="center"/>
    </xf>
    <xf numFmtId="219" fontId="7" fillId="16" borderId="0" xfId="484" applyFont="1" applyFill="1" applyAlignment="1">
      <alignment horizontal="center"/>
    </xf>
    <xf numFmtId="219" fontId="7" fillId="16" borderId="0" xfId="484" applyFont="1" applyFill="1" applyAlignment="1">
      <alignment horizontal="left"/>
    </xf>
    <xf numFmtId="279" fontId="7" fillId="0" borderId="0" xfId="484" applyNumberFormat="1" applyFont="1" applyAlignment="1">
      <alignment horizontal="center"/>
    </xf>
    <xf numFmtId="184" fontId="7" fillId="0" borderId="0" xfId="0" applyNumberFormat="1" applyFont="1"/>
    <xf numFmtId="219" fontId="47" fillId="11" borderId="0" xfId="352" applyFont="1" applyFill="1"/>
    <xf numFmtId="219" fontId="47" fillId="11" borderId="26" xfId="352" applyFont="1" applyFill="1" applyBorder="1" applyAlignment="1">
      <alignment horizontal="center"/>
    </xf>
    <xf numFmtId="219" fontId="47" fillId="11" borderId="27" xfId="352" applyFont="1" applyFill="1" applyBorder="1" applyAlignment="1">
      <alignment horizontal="center"/>
    </xf>
    <xf numFmtId="219" fontId="42" fillId="20" borderId="0" xfId="352" applyFont="1" applyFill="1" applyAlignment="1">
      <alignment horizontal="left" indent="1"/>
    </xf>
    <xf numFmtId="40" fontId="42" fillId="0" borderId="26" xfId="352" applyNumberFormat="1" applyFont="1" applyBorder="1" applyAlignment="1">
      <alignment horizontal="center"/>
    </xf>
    <xf numFmtId="219" fontId="42" fillId="20" borderId="0" xfId="352" applyFont="1" applyFill="1" applyAlignment="1">
      <alignment horizontal="left"/>
    </xf>
    <xf numFmtId="38" fontId="67" fillId="0" borderId="0" xfId="352" applyNumberFormat="1" applyFont="1" applyAlignment="1">
      <alignment horizontal="center"/>
    </xf>
    <xf numFmtId="38" fontId="67" fillId="0" borderId="26" xfId="352" applyNumberFormat="1" applyFont="1" applyBorder="1" applyAlignment="1">
      <alignment horizontal="center"/>
    </xf>
    <xf numFmtId="38" fontId="42" fillId="0" borderId="0" xfId="3" applyNumberFormat="1" applyFont="1" applyBorder="1" applyAlignment="1">
      <alignment horizontal="center"/>
    </xf>
    <xf numFmtId="9" fontId="7" fillId="16" borderId="27" xfId="3" applyFont="1" applyFill="1" applyBorder="1" applyAlignment="1">
      <alignment horizontal="center"/>
    </xf>
    <xf numFmtId="38" fontId="42" fillId="14" borderId="27" xfId="352" applyNumberFormat="1" applyFont="1" applyFill="1" applyBorder="1" applyAlignment="1">
      <alignment horizontal="center"/>
    </xf>
    <xf numFmtId="9" fontId="7" fillId="14" borderId="27" xfId="3" applyFont="1" applyFill="1" applyBorder="1" applyAlignment="1">
      <alignment horizontal="center"/>
    </xf>
    <xf numFmtId="184" fontId="7" fillId="14" borderId="27" xfId="3" applyNumberFormat="1" applyFont="1" applyFill="1" applyBorder="1" applyAlignment="1">
      <alignment horizontal="center"/>
    </xf>
    <xf numFmtId="219" fontId="43" fillId="10" borderId="0" xfId="352" applyFont="1" applyFill="1"/>
    <xf numFmtId="219" fontId="46" fillId="10" borderId="0" xfId="352" applyFont="1" applyFill="1" applyAlignment="1">
      <alignment horizontal="right"/>
    </xf>
    <xf numFmtId="9" fontId="46" fillId="10" borderId="0" xfId="3" applyFont="1" applyFill="1" applyBorder="1" applyAlignment="1">
      <alignment horizontal="right"/>
    </xf>
    <xf numFmtId="184" fontId="46" fillId="10" borderId="0" xfId="3" applyNumberFormat="1" applyFont="1" applyFill="1" applyBorder="1" applyAlignment="1">
      <alignment horizontal="right"/>
    </xf>
    <xf numFmtId="9" fontId="46" fillId="10" borderId="0" xfId="3" applyFont="1" applyFill="1" applyBorder="1" applyAlignment="1">
      <alignment horizontal="center"/>
    </xf>
    <xf numFmtId="9" fontId="46" fillId="10" borderId="26" xfId="3" applyFont="1" applyFill="1" applyBorder="1" applyAlignment="1">
      <alignment horizontal="center"/>
    </xf>
    <xf numFmtId="9" fontId="46" fillId="10" borderId="27" xfId="3" applyFont="1" applyFill="1" applyBorder="1" applyAlignment="1">
      <alignment horizontal="center"/>
    </xf>
    <xf numFmtId="38" fontId="43" fillId="10" borderId="0" xfId="352" applyNumberFormat="1" applyFont="1" applyFill="1" applyAlignment="1">
      <alignment horizontal="left"/>
    </xf>
    <xf numFmtId="219" fontId="46" fillId="10" borderId="0" xfId="352" applyFont="1" applyFill="1" applyAlignment="1">
      <alignment horizontal="left"/>
    </xf>
    <xf numFmtId="219" fontId="46" fillId="10" borderId="0" xfId="352" applyFont="1" applyFill="1" applyAlignment="1">
      <alignment horizontal="center"/>
    </xf>
    <xf numFmtId="38" fontId="46" fillId="10" borderId="0" xfId="352" applyNumberFormat="1" applyFont="1" applyFill="1"/>
    <xf numFmtId="219" fontId="46" fillId="10" borderId="0" xfId="352" applyFont="1" applyFill="1" applyAlignment="1">
      <alignment horizontal="left" indent="1"/>
    </xf>
    <xf numFmtId="219" fontId="50" fillId="2" borderId="0" xfId="352" applyFont="1" applyFill="1"/>
    <xf numFmtId="219" fontId="46" fillId="2" borderId="0" xfId="352" applyFont="1" applyFill="1" applyAlignment="1">
      <alignment horizontal="right"/>
    </xf>
    <xf numFmtId="9" fontId="46" fillId="2" borderId="0" xfId="3" applyFont="1" applyFill="1" applyBorder="1" applyAlignment="1">
      <alignment horizontal="right"/>
    </xf>
    <xf numFmtId="184" fontId="46" fillId="2" borderId="0" xfId="3" applyNumberFormat="1" applyFont="1" applyFill="1" applyBorder="1" applyAlignment="1">
      <alignment horizontal="right"/>
    </xf>
    <xf numFmtId="9" fontId="46" fillId="2" borderId="0" xfId="3" applyFont="1" applyFill="1" applyBorder="1" applyAlignment="1">
      <alignment horizontal="center"/>
    </xf>
    <xf numFmtId="9" fontId="46" fillId="2" borderId="26" xfId="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27" xfId="0" applyNumberFormat="1" applyFont="1" applyBorder="1" applyAlignment="1">
      <alignment horizontal="center"/>
    </xf>
    <xf numFmtId="219" fontId="45" fillId="2" borderId="0" xfId="352" applyFont="1" applyFill="1"/>
    <xf numFmtId="1" fontId="7" fillId="0" borderId="26" xfId="0" applyNumberFormat="1" applyFont="1" applyBorder="1" applyAlignment="1">
      <alignment horizontal="center"/>
    </xf>
    <xf numFmtId="1" fontId="46" fillId="10" borderId="0" xfId="3" applyNumberFormat="1" applyFont="1" applyFill="1" applyBorder="1" applyAlignment="1">
      <alignment horizontal="center"/>
    </xf>
    <xf numFmtId="9" fontId="46" fillId="2" borderId="27" xfId="3" applyFont="1" applyFill="1" applyBorder="1" applyAlignment="1">
      <alignment horizontal="center"/>
    </xf>
    <xf numFmtId="219" fontId="45" fillId="16" borderId="0" xfId="352" applyFont="1" applyFill="1"/>
    <xf numFmtId="184" fontId="42" fillId="16" borderId="26" xfId="3" applyNumberFormat="1" applyFont="1" applyFill="1" applyBorder="1" applyAlignment="1">
      <alignment horizontal="center"/>
    </xf>
    <xf numFmtId="184" fontId="42" fillId="16" borderId="27" xfId="3" applyNumberFormat="1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" fontId="7" fillId="0" borderId="0" xfId="0" applyNumberFormat="1" applyFont="1"/>
    <xf numFmtId="2" fontId="7" fillId="0" borderId="0" xfId="0" applyNumberFormat="1" applyFont="1"/>
    <xf numFmtId="219" fontId="56" fillId="0" borderId="0" xfId="484" applyFont="1" applyAlignment="1">
      <alignment horizontal="right"/>
    </xf>
    <xf numFmtId="219" fontId="56" fillId="0" borderId="0" xfId="484" applyFont="1" applyAlignment="1">
      <alignment horizontal="center"/>
    </xf>
    <xf numFmtId="219" fontId="56" fillId="0" borderId="26" xfId="484" applyFont="1" applyBorder="1" applyAlignment="1">
      <alignment horizontal="center"/>
    </xf>
    <xf numFmtId="257" fontId="7" fillId="0" borderId="0" xfId="268" applyFont="1" applyAlignment="1">
      <alignment horizontal="right"/>
    </xf>
    <xf numFmtId="257" fontId="7" fillId="0" borderId="0" xfId="268" applyFont="1" applyAlignment="1">
      <alignment horizontal="center"/>
    </xf>
    <xf numFmtId="257" fontId="7" fillId="0" borderId="26" xfId="268" applyFont="1" applyBorder="1" applyAlignment="1">
      <alignment horizontal="center"/>
    </xf>
    <xf numFmtId="243" fontId="7" fillId="0" borderId="0" xfId="231" applyFont="1" applyBorder="1" applyAlignment="1">
      <alignment horizontal="right"/>
    </xf>
    <xf numFmtId="243" fontId="7" fillId="0" borderId="0" xfId="231" applyFont="1" applyBorder="1" applyAlignment="1">
      <alignment horizontal="center"/>
    </xf>
    <xf numFmtId="243" fontId="7" fillId="0" borderId="26" xfId="231" applyFont="1" applyBorder="1" applyAlignment="1">
      <alignment horizontal="center"/>
    </xf>
    <xf numFmtId="219" fontId="56" fillId="0" borderId="0" xfId="352" applyFont="1" applyAlignment="1">
      <alignment horizontal="right"/>
    </xf>
    <xf numFmtId="219" fontId="56" fillId="0" borderId="0" xfId="352" applyFont="1" applyAlignment="1">
      <alignment horizontal="center"/>
    </xf>
    <xf numFmtId="219" fontId="56" fillId="0" borderId="26" xfId="352" applyFont="1" applyBorder="1" applyAlignment="1">
      <alignment horizontal="center"/>
    </xf>
    <xf numFmtId="281" fontId="7" fillId="0" borderId="0" xfId="376" applyFont="1" applyFill="1" applyBorder="1" applyAlignment="1">
      <alignment horizontal="left"/>
    </xf>
    <xf numFmtId="219" fontId="56" fillId="0" borderId="0" xfId="352" applyFont="1" applyAlignment="1">
      <alignment horizontal="left"/>
    </xf>
    <xf numFmtId="257" fontId="7" fillId="0" borderId="0" xfId="268" applyFont="1" applyAlignment="1">
      <alignment horizontal="left"/>
    </xf>
    <xf numFmtId="281" fontId="56" fillId="0" borderId="0" xfId="376" applyFont="1" applyBorder="1" applyAlignment="1">
      <alignment horizontal="right"/>
    </xf>
    <xf numFmtId="281" fontId="56" fillId="0" borderId="0" xfId="376" applyFont="1" applyBorder="1" applyAlignment="1">
      <alignment horizontal="center"/>
    </xf>
    <xf numFmtId="281" fontId="56" fillId="0" borderId="26" xfId="376" applyFont="1" applyBorder="1" applyAlignment="1">
      <alignment horizontal="center"/>
    </xf>
    <xf numFmtId="281" fontId="56" fillId="0" borderId="0" xfId="376" applyFont="1" applyFill="1" applyBorder="1" applyAlignment="1">
      <alignment horizontal="left"/>
    </xf>
    <xf numFmtId="0" fontId="7" fillId="0" borderId="0" xfId="347" applyFont="1" applyAlignment="1">
      <alignment horizontal="right"/>
    </xf>
    <xf numFmtId="0" fontId="7" fillId="0" borderId="0" xfId="347" applyFont="1" applyAlignment="1">
      <alignment horizontal="center"/>
    </xf>
    <xf numFmtId="0" fontId="7" fillId="0" borderId="26" xfId="347" applyFont="1" applyBorder="1" applyAlignment="1">
      <alignment horizontal="center"/>
    </xf>
    <xf numFmtId="0" fontId="7" fillId="0" borderId="0" xfId="347" applyFont="1" applyFill="1" applyAlignment="1">
      <alignment horizontal="left"/>
    </xf>
    <xf numFmtId="0" fontId="65" fillId="0" borderId="0" xfId="347" applyFont="1"/>
    <xf numFmtId="0" fontId="7" fillId="0" borderId="0" xfId="347" applyFont="1"/>
    <xf numFmtId="38" fontId="68" fillId="0" borderId="0" xfId="352" applyNumberFormat="1" applyFont="1"/>
    <xf numFmtId="38" fontId="69" fillId="18" borderId="0" xfId="352" applyNumberFormat="1" applyFont="1" applyFill="1"/>
    <xf numFmtId="219" fontId="70" fillId="18" borderId="0" xfId="352" applyFont="1" applyFill="1"/>
    <xf numFmtId="38" fontId="60" fillId="0" borderId="0" xfId="352" applyNumberFormat="1" applyFont="1"/>
    <xf numFmtId="219" fontId="70" fillId="0" borderId="0" xfId="352" applyFont="1"/>
    <xf numFmtId="219" fontId="68" fillId="0" borderId="0" xfId="352" applyFont="1"/>
    <xf numFmtId="184" fontId="60" fillId="0" borderId="0" xfId="3" applyNumberFormat="1" applyFont="1" applyBorder="1"/>
    <xf numFmtId="219" fontId="71" fillId="0" borderId="0" xfId="484" applyFont="1"/>
    <xf numFmtId="40" fontId="60" fillId="0" borderId="0" xfId="352" applyNumberFormat="1" applyFont="1"/>
    <xf numFmtId="40" fontId="60" fillId="16" borderId="0" xfId="352" applyNumberFormat="1" applyFont="1" applyFill="1"/>
    <xf numFmtId="219" fontId="60" fillId="16" borderId="0" xfId="352" applyFont="1" applyFill="1"/>
    <xf numFmtId="219" fontId="60" fillId="14" borderId="0" xfId="352" applyFont="1" applyFill="1"/>
    <xf numFmtId="219" fontId="72" fillId="0" borderId="0" xfId="352" applyFont="1"/>
    <xf numFmtId="219" fontId="60" fillId="0" borderId="0" xfId="352" applyFont="1"/>
    <xf numFmtId="219" fontId="60" fillId="0" borderId="0" xfId="352" applyFont="1" applyAlignment="1">
      <alignment horizontal="right"/>
    </xf>
    <xf numFmtId="219" fontId="60" fillId="0" borderId="0" xfId="352" applyFont="1" applyAlignment="1">
      <alignment horizontal="center"/>
    </xf>
    <xf numFmtId="219" fontId="60" fillId="0" borderId="26" xfId="352" applyFont="1" applyBorder="1" applyAlignment="1">
      <alignment horizontal="center"/>
    </xf>
    <xf numFmtId="219" fontId="73" fillId="0" borderId="0" xfId="352" applyFont="1" applyAlignment="1">
      <alignment horizontal="center"/>
    </xf>
    <xf numFmtId="219" fontId="74" fillId="0" borderId="0" xfId="352" applyFont="1" applyAlignment="1">
      <alignment horizontal="left"/>
    </xf>
    <xf numFmtId="15" fontId="75" fillId="10" borderId="0" xfId="352" applyNumberFormat="1" applyFont="1" applyFill="1" applyAlignment="1">
      <alignment horizontal="left"/>
    </xf>
    <xf numFmtId="219" fontId="75" fillId="10" borderId="0" xfId="352" applyFont="1" applyFill="1" applyAlignment="1">
      <alignment horizontal="right"/>
    </xf>
    <xf numFmtId="219" fontId="75" fillId="10" borderId="0" xfId="352" applyFont="1" applyFill="1" applyAlignment="1">
      <alignment horizontal="center"/>
    </xf>
    <xf numFmtId="219" fontId="75" fillId="10" borderId="26" xfId="352" applyFont="1" applyFill="1" applyBorder="1" applyAlignment="1">
      <alignment horizontal="center"/>
    </xf>
    <xf numFmtId="219" fontId="76" fillId="0" borderId="0" xfId="352" applyFont="1" applyAlignment="1">
      <alignment horizontal="center"/>
    </xf>
    <xf numFmtId="219" fontId="75" fillId="10" borderId="0" xfId="352" applyFont="1" applyFill="1"/>
    <xf numFmtId="219" fontId="77" fillId="10" borderId="0" xfId="352" applyFont="1" applyFill="1" applyAlignment="1">
      <alignment horizontal="center"/>
    </xf>
    <xf numFmtId="219" fontId="77" fillId="10" borderId="26" xfId="352" applyFont="1" applyFill="1" applyBorder="1" applyAlignment="1">
      <alignment horizontal="center"/>
    </xf>
    <xf numFmtId="0" fontId="76" fillId="0" borderId="0" xfId="352" applyNumberFormat="1" applyFont="1" applyAlignment="1">
      <alignment horizontal="center"/>
    </xf>
    <xf numFmtId="219" fontId="60" fillId="10" borderId="0" xfId="352" applyFont="1" applyFill="1" applyAlignment="1">
      <alignment horizontal="right"/>
    </xf>
    <xf numFmtId="38" fontId="68" fillId="0" borderId="0" xfId="352" applyNumberFormat="1" applyFont="1" applyAlignment="1">
      <alignment horizontal="right"/>
    </xf>
    <xf numFmtId="38" fontId="68" fillId="0" borderId="0" xfId="352" applyNumberFormat="1" applyFont="1" applyAlignment="1">
      <alignment horizontal="center"/>
    </xf>
    <xf numFmtId="38" fontId="68" fillId="0" borderId="26" xfId="352" applyNumberFormat="1" applyFont="1" applyBorder="1" applyAlignment="1">
      <alignment horizontal="center"/>
    </xf>
    <xf numFmtId="38" fontId="78" fillId="0" borderId="0" xfId="352" applyNumberFormat="1" applyFont="1" applyAlignment="1">
      <alignment horizontal="center"/>
    </xf>
    <xf numFmtId="184" fontId="78" fillId="0" borderId="0" xfId="3" applyNumberFormat="1" applyFont="1" applyFill="1" applyBorder="1" applyAlignment="1">
      <alignment horizontal="center"/>
    </xf>
    <xf numFmtId="0" fontId="60" fillId="0" borderId="0" xfId="0" applyFont="1" applyFill="1"/>
    <xf numFmtId="219" fontId="60" fillId="0" borderId="0" xfId="352" applyFont="1" applyAlignment="1">
      <alignment horizontal="left" indent="1"/>
    </xf>
    <xf numFmtId="184" fontId="60" fillId="0" borderId="0" xfId="3" applyNumberFormat="1" applyFont="1" applyFill="1" applyBorder="1" applyAlignment="1">
      <alignment horizontal="center"/>
    </xf>
    <xf numFmtId="184" fontId="79" fillId="0" borderId="0" xfId="3" applyNumberFormat="1" applyFont="1" applyFill="1" applyBorder="1" applyAlignment="1">
      <alignment horizontal="center"/>
    </xf>
    <xf numFmtId="184" fontId="60" fillId="0" borderId="26" xfId="3" applyNumberFormat="1" applyFont="1" applyFill="1" applyBorder="1" applyAlignment="1">
      <alignment horizontal="center"/>
    </xf>
    <xf numFmtId="184" fontId="73" fillId="0" borderId="0" xfId="3" applyNumberFormat="1" applyFont="1" applyFill="1" applyBorder="1" applyAlignment="1">
      <alignment horizontal="center"/>
    </xf>
    <xf numFmtId="184" fontId="72" fillId="0" borderId="0" xfId="3" applyNumberFormat="1" applyFont="1" applyFill="1" applyBorder="1" applyAlignment="1">
      <alignment horizontal="center"/>
    </xf>
    <xf numFmtId="184" fontId="76" fillId="0" borderId="0" xfId="3" applyNumberFormat="1" applyFont="1" applyBorder="1" applyAlignment="1">
      <alignment horizontal="center"/>
    </xf>
    <xf numFmtId="40" fontId="60" fillId="0" borderId="0" xfId="352" applyNumberFormat="1" applyFont="1" applyAlignment="1">
      <alignment horizontal="center"/>
    </xf>
    <xf numFmtId="184" fontId="79" fillId="0" borderId="0" xfId="3" applyNumberFormat="1" applyFont="1" applyBorder="1" applyAlignment="1">
      <alignment horizontal="center"/>
    </xf>
    <xf numFmtId="184" fontId="60" fillId="0" borderId="26" xfId="3" applyNumberFormat="1" applyFont="1" applyBorder="1" applyAlignment="1">
      <alignment horizontal="center"/>
    </xf>
    <xf numFmtId="38" fontId="80" fillId="0" borderId="0" xfId="352" applyNumberFormat="1" applyFont="1" applyAlignment="1">
      <alignment horizontal="center"/>
    </xf>
    <xf numFmtId="279" fontId="60" fillId="0" borderId="0" xfId="352" applyNumberFormat="1" applyFont="1" applyAlignment="1">
      <alignment horizontal="center"/>
    </xf>
    <xf numFmtId="184" fontId="76" fillId="0" borderId="0" xfId="3" applyNumberFormat="1" applyFont="1" applyBorder="1" applyAlignment="1">
      <alignment horizontal="left"/>
    </xf>
    <xf numFmtId="38" fontId="68" fillId="19" borderId="0" xfId="352" applyNumberFormat="1" applyFont="1" applyFill="1"/>
    <xf numFmtId="38" fontId="69" fillId="19" borderId="0" xfId="352" applyNumberFormat="1" applyFont="1" applyFill="1" applyAlignment="1">
      <alignment horizontal="center"/>
    </xf>
    <xf numFmtId="38" fontId="68" fillId="19" borderId="0" xfId="352" applyNumberFormat="1" applyFont="1" applyFill="1" applyAlignment="1">
      <alignment horizontal="center"/>
    </xf>
    <xf numFmtId="38" fontId="68" fillId="19" borderId="26" xfId="352" applyNumberFormat="1" applyFont="1" applyFill="1" applyBorder="1" applyAlignment="1">
      <alignment horizontal="center"/>
    </xf>
    <xf numFmtId="219" fontId="60" fillId="19" borderId="0" xfId="352" applyFont="1" applyFill="1" applyAlignment="1">
      <alignment horizontal="left" indent="1"/>
    </xf>
    <xf numFmtId="184" fontId="70" fillId="19" borderId="0" xfId="3" applyNumberFormat="1" applyFont="1" applyFill="1" applyBorder="1" applyAlignment="1">
      <alignment horizontal="center"/>
    </xf>
    <xf numFmtId="184" fontId="60" fillId="19" borderId="0" xfId="3" applyNumberFormat="1" applyFont="1" applyFill="1" applyBorder="1" applyAlignment="1">
      <alignment horizontal="center"/>
    </xf>
    <xf numFmtId="184" fontId="60" fillId="19" borderId="26" xfId="3" applyNumberFormat="1" applyFont="1" applyFill="1" applyBorder="1" applyAlignment="1">
      <alignment horizontal="center"/>
    </xf>
    <xf numFmtId="38" fontId="69" fillId="19" borderId="0" xfId="352" applyNumberFormat="1" applyFont="1" applyFill="1" applyAlignment="1">
      <alignment horizontal="right"/>
    </xf>
    <xf numFmtId="38" fontId="69" fillId="0" borderId="0" xfId="352" applyNumberFormat="1" applyFont="1"/>
    <xf numFmtId="219" fontId="70" fillId="19" borderId="0" xfId="352" applyFont="1" applyFill="1" applyAlignment="1">
      <alignment horizontal="right"/>
    </xf>
    <xf numFmtId="38" fontId="68" fillId="20" borderId="0" xfId="352" applyNumberFormat="1" applyFont="1" applyFill="1"/>
    <xf numFmtId="38" fontId="60" fillId="0" borderId="0" xfId="352" applyNumberFormat="1" applyFont="1" applyAlignment="1">
      <alignment horizontal="right"/>
    </xf>
    <xf numFmtId="38" fontId="68" fillId="20" borderId="0" xfId="352" applyNumberFormat="1" applyFont="1" applyFill="1" applyAlignment="1">
      <alignment horizontal="center"/>
    </xf>
    <xf numFmtId="38" fontId="68" fillId="20" borderId="26" xfId="352" applyNumberFormat="1" applyFont="1" applyFill="1" applyBorder="1" applyAlignment="1">
      <alignment horizontal="center"/>
    </xf>
    <xf numFmtId="9" fontId="60" fillId="0" borderId="0" xfId="3" applyFont="1" applyBorder="1" applyAlignment="1">
      <alignment horizontal="center"/>
    </xf>
    <xf numFmtId="0" fontId="60" fillId="0" borderId="0" xfId="0" applyFont="1"/>
    <xf numFmtId="219" fontId="70" fillId="0" borderId="0" xfId="352" applyFont="1" applyAlignment="1">
      <alignment horizontal="left" indent="1"/>
    </xf>
    <xf numFmtId="219" fontId="70" fillId="0" borderId="0" xfId="352" applyFont="1" applyAlignment="1">
      <alignment horizontal="right"/>
    </xf>
    <xf numFmtId="184" fontId="70" fillId="0" borderId="0" xfId="3" applyNumberFormat="1" applyFont="1" applyBorder="1" applyAlignment="1">
      <alignment horizontal="center"/>
    </xf>
    <xf numFmtId="176" fontId="60" fillId="0" borderId="0" xfId="1" applyFont="1" applyBorder="1" applyAlignment="1">
      <alignment horizontal="center"/>
    </xf>
    <xf numFmtId="184" fontId="68" fillId="0" borderId="0" xfId="3" applyNumberFormat="1" applyFont="1" applyFill="1" applyBorder="1" applyAlignment="1">
      <alignment horizontal="center"/>
    </xf>
    <xf numFmtId="10" fontId="68" fillId="0" borderId="0" xfId="3" applyNumberFormat="1" applyFont="1" applyFill="1" applyBorder="1" applyAlignment="1">
      <alignment horizontal="center"/>
    </xf>
    <xf numFmtId="10" fontId="68" fillId="0" borderId="26" xfId="3" applyNumberFormat="1" applyFont="1" applyFill="1" applyBorder="1" applyAlignment="1">
      <alignment horizontal="center"/>
    </xf>
    <xf numFmtId="38" fontId="60" fillId="0" borderId="0" xfId="352" applyNumberFormat="1" applyFont="1" applyAlignment="1">
      <alignment horizontal="center"/>
    </xf>
    <xf numFmtId="0" fontId="68" fillId="0" borderId="0" xfId="3" applyNumberFormat="1" applyFont="1" applyFill="1" applyBorder="1" applyAlignment="1">
      <alignment horizontal="center"/>
    </xf>
    <xf numFmtId="184" fontId="81" fillId="0" borderId="0" xfId="3" applyNumberFormat="1" applyFont="1" applyBorder="1" applyAlignment="1">
      <alignment horizontal="center"/>
    </xf>
    <xf numFmtId="40" fontId="81" fillId="0" borderId="0" xfId="352" applyNumberFormat="1" applyFont="1" applyAlignment="1">
      <alignment horizontal="center"/>
    </xf>
    <xf numFmtId="40" fontId="81" fillId="0" borderId="26" xfId="352" applyNumberFormat="1" applyFont="1" applyBorder="1" applyAlignment="1">
      <alignment horizontal="center"/>
    </xf>
    <xf numFmtId="184" fontId="60" fillId="0" borderId="0" xfId="3" applyNumberFormat="1" applyFont="1" applyFill="1" applyBorder="1"/>
    <xf numFmtId="219" fontId="75" fillId="11" borderId="0" xfId="352" applyFont="1" applyFill="1"/>
    <xf numFmtId="219" fontId="75" fillId="11" borderId="0" xfId="352" applyFont="1" applyFill="1" applyAlignment="1">
      <alignment horizontal="center"/>
    </xf>
    <xf numFmtId="9" fontId="75" fillId="11" borderId="0" xfId="3" applyFont="1" applyFill="1" applyBorder="1" applyAlignment="1">
      <alignment horizontal="center"/>
    </xf>
    <xf numFmtId="219" fontId="75" fillId="11" borderId="26" xfId="352" applyFont="1" applyFill="1" applyBorder="1" applyAlignment="1">
      <alignment horizontal="center"/>
    </xf>
    <xf numFmtId="0" fontId="68" fillId="0" borderId="0" xfId="352" applyNumberFormat="1" applyFont="1" applyAlignment="1">
      <alignment horizontal="right"/>
    </xf>
    <xf numFmtId="219" fontId="68" fillId="0" borderId="0" xfId="352" applyFont="1" applyAlignment="1">
      <alignment horizontal="right"/>
    </xf>
    <xf numFmtId="38" fontId="68" fillId="21" borderId="0" xfId="352" applyNumberFormat="1" applyFont="1" applyFill="1" applyAlignment="1">
      <alignment horizontal="center"/>
    </xf>
    <xf numFmtId="38" fontId="68" fillId="21" borderId="26" xfId="352" applyNumberFormat="1" applyFont="1" applyFill="1" applyBorder="1" applyAlignment="1">
      <alignment horizontal="center"/>
    </xf>
    <xf numFmtId="314" fontId="68" fillId="0" borderId="0" xfId="352" applyNumberFormat="1" applyFont="1"/>
    <xf numFmtId="9" fontId="78" fillId="0" borderId="0" xfId="3" applyFont="1" applyFill="1" applyBorder="1" applyAlignment="1">
      <alignment horizontal="right"/>
    </xf>
    <xf numFmtId="10" fontId="60" fillId="0" borderId="0" xfId="3" applyNumberFormat="1" applyFont="1" applyFill="1" applyBorder="1" applyAlignment="1">
      <alignment horizontal="right"/>
    </xf>
    <xf numFmtId="10" fontId="60" fillId="0" borderId="0" xfId="3" applyNumberFormat="1" applyFont="1" applyBorder="1" applyAlignment="1">
      <alignment horizontal="right"/>
    </xf>
    <xf numFmtId="10" fontId="60" fillId="0" borderId="0" xfId="3" applyNumberFormat="1" applyFont="1" applyBorder="1"/>
    <xf numFmtId="184" fontId="60" fillId="16" borderId="0" xfId="3" applyNumberFormat="1" applyFont="1" applyFill="1" applyBorder="1" applyAlignment="1">
      <alignment horizontal="center"/>
    </xf>
    <xf numFmtId="184" fontId="72" fillId="21" borderId="0" xfId="3" applyNumberFormat="1" applyFont="1" applyFill="1" applyBorder="1" applyAlignment="1">
      <alignment horizontal="center"/>
    </xf>
    <xf numFmtId="184" fontId="72" fillId="21" borderId="26" xfId="3" applyNumberFormat="1" applyFont="1" applyFill="1" applyBorder="1" applyAlignment="1">
      <alignment horizontal="center"/>
    </xf>
    <xf numFmtId="219" fontId="73" fillId="0" borderId="0" xfId="352" applyFont="1" applyAlignment="1">
      <alignment horizontal="right"/>
    </xf>
    <xf numFmtId="184" fontId="60" fillId="0" borderId="0" xfId="3" applyNumberFormat="1" applyFont="1" applyFill="1" applyBorder="1" applyAlignment="1">
      <alignment horizontal="right"/>
    </xf>
    <xf numFmtId="184" fontId="60" fillId="0" borderId="0" xfId="3" applyNumberFormat="1" applyFont="1" applyBorder="1" applyAlignment="1">
      <alignment horizontal="right"/>
    </xf>
    <xf numFmtId="38" fontId="68" fillId="16" borderId="0" xfId="352" applyNumberFormat="1" applyFont="1" applyFill="1" applyAlignment="1">
      <alignment horizontal="center"/>
    </xf>
    <xf numFmtId="219" fontId="74" fillId="0" borderId="0" xfId="352" applyFont="1" applyAlignment="1">
      <alignment horizontal="left" textRotation="255"/>
    </xf>
    <xf numFmtId="219" fontId="68" fillId="0" borderId="0" xfId="352" applyFont="1" applyAlignment="1">
      <alignment horizontal="center"/>
    </xf>
    <xf numFmtId="2" fontId="68" fillId="0" borderId="0" xfId="352" applyNumberFormat="1" applyFont="1"/>
    <xf numFmtId="2" fontId="60" fillId="0" borderId="0" xfId="3" applyNumberFormat="1" applyFont="1" applyFill="1" applyBorder="1" applyAlignment="1">
      <alignment horizontal="right"/>
    </xf>
    <xf numFmtId="2" fontId="60" fillId="0" borderId="0" xfId="3" applyNumberFormat="1" applyFont="1" applyBorder="1" applyAlignment="1">
      <alignment horizontal="right"/>
    </xf>
    <xf numFmtId="2" fontId="60" fillId="0" borderId="0" xfId="3" applyNumberFormat="1" applyFont="1" applyBorder="1"/>
    <xf numFmtId="2" fontId="68" fillId="0" borderId="0" xfId="352" applyNumberFormat="1" applyFont="1" applyAlignment="1">
      <alignment horizontal="right"/>
    </xf>
    <xf numFmtId="38" fontId="74" fillId="0" borderId="0" xfId="352" applyNumberFormat="1" applyFont="1" applyAlignment="1">
      <alignment horizontal="left"/>
    </xf>
    <xf numFmtId="2" fontId="60" fillId="0" borderId="0" xfId="3" applyNumberFormat="1" applyFont="1" applyFill="1" applyBorder="1"/>
    <xf numFmtId="9" fontId="73" fillId="0" borderId="0" xfId="3" applyFont="1" applyFill="1" applyBorder="1" applyAlignment="1">
      <alignment horizontal="center"/>
    </xf>
    <xf numFmtId="2" fontId="60" fillId="23" borderId="0" xfId="3" applyNumberFormat="1" applyFont="1" applyFill="1" applyBorder="1" applyAlignment="1">
      <alignment horizontal="center"/>
    </xf>
    <xf numFmtId="2" fontId="60" fillId="23" borderId="26" xfId="3" applyNumberFormat="1" applyFont="1" applyFill="1" applyBorder="1" applyAlignment="1">
      <alignment horizontal="center"/>
    </xf>
    <xf numFmtId="38" fontId="73" fillId="0" borderId="0" xfId="352" applyNumberFormat="1" applyFont="1" applyAlignment="1">
      <alignment horizontal="center"/>
    </xf>
    <xf numFmtId="219" fontId="75" fillId="11" borderId="0" xfId="352" applyFont="1" applyFill="1" applyAlignment="1">
      <alignment horizontal="right"/>
    </xf>
    <xf numFmtId="219" fontId="78" fillId="0" borderId="0" xfId="352" applyFont="1" applyAlignment="1">
      <alignment horizontal="center"/>
    </xf>
    <xf numFmtId="219" fontId="60" fillId="0" borderId="26" xfId="352" applyFont="1" applyBorder="1" applyAlignment="1">
      <alignment horizontal="right"/>
    </xf>
    <xf numFmtId="219" fontId="60" fillId="0" borderId="27" xfId="352" applyFont="1" applyBorder="1" applyAlignment="1">
      <alignment horizontal="right"/>
    </xf>
    <xf numFmtId="9" fontId="60" fillId="0" borderId="0" xfId="3" applyFont="1" applyBorder="1" applyAlignment="1">
      <alignment horizontal="right"/>
    </xf>
    <xf numFmtId="219" fontId="60" fillId="0" borderId="0" xfId="352" applyFont="1" applyAlignment="1">
      <alignment horizontal="left"/>
    </xf>
    <xf numFmtId="38" fontId="60" fillId="0" borderId="26" xfId="352" applyNumberFormat="1" applyFont="1" applyBorder="1" applyAlignment="1">
      <alignment horizontal="center"/>
    </xf>
    <xf numFmtId="38" fontId="68" fillId="0" borderId="0" xfId="352" applyNumberFormat="1" applyFont="1" applyAlignment="1">
      <alignment horizontal="left" indent="1"/>
    </xf>
    <xf numFmtId="9" fontId="68" fillId="0" borderId="0" xfId="3" applyFont="1" applyBorder="1" applyAlignment="1">
      <alignment horizontal="center"/>
    </xf>
    <xf numFmtId="184" fontId="68" fillId="0" borderId="0" xfId="3" applyNumberFormat="1" applyFont="1" applyBorder="1" applyAlignment="1">
      <alignment horizontal="center"/>
    </xf>
    <xf numFmtId="184" fontId="68" fillId="16" borderId="0" xfId="3" applyNumberFormat="1" applyFont="1" applyFill="1" applyBorder="1" applyAlignment="1">
      <alignment horizontal="center"/>
    </xf>
    <xf numFmtId="184" fontId="82" fillId="0" borderId="0" xfId="3" applyNumberFormat="1" applyFont="1" applyFill="1" applyBorder="1" applyAlignment="1">
      <alignment horizontal="center"/>
    </xf>
    <xf numFmtId="184" fontId="82" fillId="0" borderId="26" xfId="3" applyNumberFormat="1" applyFont="1" applyFill="1" applyBorder="1" applyAlignment="1">
      <alignment horizontal="center"/>
    </xf>
    <xf numFmtId="184" fontId="68" fillId="0" borderId="0" xfId="3" applyNumberFormat="1" applyFont="1" applyFill="1" applyBorder="1"/>
    <xf numFmtId="219" fontId="68" fillId="0" borderId="26" xfId="352" applyFont="1" applyBorder="1" applyAlignment="1">
      <alignment horizontal="right"/>
    </xf>
    <xf numFmtId="219" fontId="68" fillId="0" borderId="27" xfId="352" applyFont="1" applyBorder="1" applyAlignment="1">
      <alignment horizontal="right"/>
    </xf>
    <xf numFmtId="9" fontId="68" fillId="0" borderId="0" xfId="3" applyFont="1" applyBorder="1" applyAlignment="1">
      <alignment horizontal="right"/>
    </xf>
    <xf numFmtId="184" fontId="68" fillId="0" borderId="26" xfId="3" applyNumberFormat="1" applyFont="1" applyBorder="1" applyAlignment="1">
      <alignment horizontal="center"/>
    </xf>
    <xf numFmtId="219" fontId="68" fillId="0" borderId="0" xfId="352" applyFont="1" applyAlignment="1">
      <alignment horizontal="left"/>
    </xf>
    <xf numFmtId="38" fontId="60" fillId="0" borderId="0" xfId="352" applyNumberFormat="1" applyFont="1" applyAlignment="1">
      <alignment horizontal="left" indent="1"/>
    </xf>
    <xf numFmtId="219" fontId="60" fillId="16" borderId="0" xfId="352" applyFont="1" applyFill="1" applyAlignment="1">
      <alignment horizontal="center"/>
    </xf>
    <xf numFmtId="219" fontId="60" fillId="16" borderId="26" xfId="352" applyFont="1" applyFill="1" applyBorder="1" applyAlignment="1">
      <alignment horizontal="center"/>
    </xf>
    <xf numFmtId="219" fontId="78" fillId="0" borderId="0" xfId="352" applyFont="1" applyAlignment="1">
      <alignment horizontal="right"/>
    </xf>
    <xf numFmtId="1" fontId="60" fillId="0" borderId="0" xfId="3" applyNumberFormat="1" applyFont="1" applyBorder="1" applyAlignment="1">
      <alignment horizontal="center"/>
    </xf>
    <xf numFmtId="1" fontId="60" fillId="0" borderId="26" xfId="3" applyNumberFormat="1" applyFont="1" applyBorder="1" applyAlignment="1">
      <alignment horizontal="center"/>
    </xf>
    <xf numFmtId="184" fontId="68" fillId="0" borderId="26" xfId="3" applyNumberFormat="1" applyFont="1" applyFill="1" applyBorder="1" applyAlignment="1">
      <alignment horizontal="center"/>
    </xf>
    <xf numFmtId="184" fontId="78" fillId="0" borderId="0" xfId="3" applyNumberFormat="1" applyFont="1" applyFill="1" applyBorder="1" applyAlignment="1">
      <alignment horizontal="right"/>
    </xf>
    <xf numFmtId="184" fontId="68" fillId="0" borderId="0" xfId="3" applyNumberFormat="1" applyFont="1" applyFill="1" applyBorder="1" applyAlignment="1">
      <alignment horizontal="right"/>
    </xf>
    <xf numFmtId="184" fontId="73" fillId="0" borderId="0" xfId="3" applyNumberFormat="1" applyFont="1" applyFill="1" applyBorder="1" applyAlignment="1">
      <alignment horizontal="right"/>
    </xf>
    <xf numFmtId="9" fontId="60" fillId="16" borderId="0" xfId="3" applyFont="1" applyFill="1" applyBorder="1" applyAlignment="1">
      <alignment horizontal="center"/>
    </xf>
    <xf numFmtId="0" fontId="60" fillId="0" borderId="26" xfId="0" applyFont="1" applyBorder="1"/>
    <xf numFmtId="184" fontId="68" fillId="16" borderId="26" xfId="3" applyNumberFormat="1" applyFont="1" applyFill="1" applyBorder="1" applyAlignment="1">
      <alignment horizontal="center"/>
    </xf>
    <xf numFmtId="220" fontId="60" fillId="0" borderId="0" xfId="3" applyNumberFormat="1" applyFont="1" applyBorder="1" applyAlignment="1">
      <alignment horizontal="center"/>
    </xf>
    <xf numFmtId="313" fontId="60" fillId="0" borderId="0" xfId="3" applyNumberFormat="1" applyFont="1" applyBorder="1" applyAlignment="1">
      <alignment horizontal="center"/>
    </xf>
    <xf numFmtId="220" fontId="60" fillId="0" borderId="26" xfId="3" applyNumberFormat="1" applyFont="1" applyBorder="1" applyAlignment="1">
      <alignment horizontal="center"/>
    </xf>
    <xf numFmtId="0" fontId="60" fillId="0" borderId="0" xfId="352" applyNumberFormat="1" applyFont="1"/>
    <xf numFmtId="219" fontId="68" fillId="0" borderId="26" xfId="352" applyFont="1" applyBorder="1" applyAlignment="1">
      <alignment horizontal="center"/>
    </xf>
    <xf numFmtId="0" fontId="68" fillId="0" borderId="0" xfId="352" applyNumberFormat="1" applyFont="1" applyAlignment="1">
      <alignment horizontal="center"/>
    </xf>
    <xf numFmtId="219" fontId="68" fillId="14" borderId="0" xfId="352" applyFont="1" applyFill="1" applyAlignment="1">
      <alignment horizontal="center"/>
    </xf>
    <xf numFmtId="219" fontId="68" fillId="14" borderId="26" xfId="352" applyFont="1" applyFill="1" applyBorder="1" applyAlignment="1">
      <alignment horizontal="center"/>
    </xf>
    <xf numFmtId="184" fontId="60" fillId="14" borderId="0" xfId="3" applyNumberFormat="1" applyFont="1" applyFill="1" applyBorder="1" applyAlignment="1">
      <alignment horizontal="center"/>
    </xf>
    <xf numFmtId="184" fontId="60" fillId="14" borderId="26" xfId="3" applyNumberFormat="1" applyFont="1" applyFill="1" applyBorder="1" applyAlignment="1">
      <alignment horizontal="center"/>
    </xf>
    <xf numFmtId="184" fontId="73" fillId="0" borderId="0" xfId="3" applyNumberFormat="1" applyFont="1" applyBorder="1" applyAlignment="1">
      <alignment horizontal="center"/>
    </xf>
    <xf numFmtId="184" fontId="68" fillId="0" borderId="0" xfId="3" applyNumberFormat="1" applyFont="1" applyBorder="1"/>
    <xf numFmtId="184" fontId="78" fillId="0" borderId="0" xfId="3" applyNumberFormat="1" applyFont="1" applyBorder="1" applyAlignment="1">
      <alignment horizontal="center"/>
    </xf>
    <xf numFmtId="184" fontId="72" fillId="0" borderId="0" xfId="3" applyNumberFormat="1" applyFont="1" applyBorder="1" applyAlignment="1">
      <alignment horizontal="center"/>
    </xf>
    <xf numFmtId="184" fontId="72" fillId="14" borderId="0" xfId="3" applyNumberFormat="1" applyFont="1" applyFill="1" applyBorder="1" applyAlignment="1">
      <alignment horizontal="center"/>
    </xf>
    <xf numFmtId="184" fontId="72" fillId="14" borderId="26" xfId="3" applyNumberFormat="1" applyFont="1" applyFill="1" applyBorder="1" applyAlignment="1">
      <alignment horizontal="center"/>
    </xf>
    <xf numFmtId="40" fontId="68" fillId="0" borderId="0" xfId="352" applyNumberFormat="1" applyFont="1" applyAlignment="1">
      <alignment horizontal="center"/>
    </xf>
    <xf numFmtId="219" fontId="80" fillId="0" borderId="0" xfId="352" applyFont="1" applyAlignment="1">
      <alignment horizontal="center"/>
    </xf>
    <xf numFmtId="314" fontId="73" fillId="0" borderId="0" xfId="352" applyNumberFormat="1" applyFont="1" applyAlignment="1">
      <alignment horizontal="center"/>
    </xf>
    <xf numFmtId="9" fontId="68" fillId="0" borderId="0" xfId="3" applyFont="1" applyBorder="1"/>
    <xf numFmtId="9" fontId="72" fillId="0" borderId="0" xfId="3" applyFont="1" applyBorder="1" applyAlignment="1">
      <alignment horizontal="center"/>
    </xf>
    <xf numFmtId="9" fontId="72" fillId="0" borderId="26" xfId="3" applyFont="1" applyBorder="1" applyAlignment="1">
      <alignment horizontal="center"/>
    </xf>
    <xf numFmtId="219" fontId="83" fillId="0" borderId="0" xfId="352" applyFont="1" applyAlignment="1">
      <alignment horizontal="right"/>
    </xf>
    <xf numFmtId="219" fontId="84" fillId="0" borderId="0" xfId="352" applyFont="1" applyAlignment="1">
      <alignment horizontal="center"/>
    </xf>
    <xf numFmtId="38" fontId="80" fillId="16" borderId="0" xfId="352" applyNumberFormat="1" applyFont="1" applyFill="1" applyAlignment="1">
      <alignment horizontal="center"/>
    </xf>
    <xf numFmtId="38" fontId="68" fillId="2" borderId="0" xfId="352" applyNumberFormat="1" applyFont="1" applyFill="1" applyAlignment="1">
      <alignment horizontal="center"/>
    </xf>
    <xf numFmtId="38" fontId="68" fillId="2" borderId="26" xfId="352" applyNumberFormat="1" applyFont="1" applyFill="1" applyBorder="1" applyAlignment="1">
      <alignment horizontal="center"/>
    </xf>
    <xf numFmtId="38" fontId="83" fillId="0" borderId="0" xfId="352" applyNumberFormat="1" applyFont="1" applyAlignment="1">
      <alignment horizontal="center"/>
    </xf>
    <xf numFmtId="184" fontId="79" fillId="16" borderId="0" xfId="3" applyNumberFormat="1" applyFont="1" applyFill="1" applyBorder="1" applyAlignment="1">
      <alignment horizontal="center"/>
    </xf>
    <xf numFmtId="184" fontId="60" fillId="16" borderId="26" xfId="3" applyNumberFormat="1" applyFont="1" applyFill="1" applyBorder="1" applyAlignment="1">
      <alignment horizontal="center"/>
    </xf>
    <xf numFmtId="219" fontId="68" fillId="0" borderId="0" xfId="352" applyFont="1" applyAlignment="1">
      <alignment horizontal="left" indent="1"/>
    </xf>
    <xf numFmtId="184" fontId="72" fillId="0" borderId="26" xfId="3" applyNumberFormat="1" applyFont="1" applyBorder="1" applyAlignment="1">
      <alignment horizontal="center"/>
    </xf>
    <xf numFmtId="0" fontId="60" fillId="0" borderId="0" xfId="3" applyNumberFormat="1" applyFont="1" applyBorder="1" applyAlignment="1">
      <alignment horizontal="center"/>
    </xf>
    <xf numFmtId="225" fontId="68" fillId="0" borderId="0" xfId="352" applyNumberFormat="1" applyFont="1"/>
    <xf numFmtId="219" fontId="68" fillId="20" borderId="0" xfId="352" applyFont="1" applyFill="1" applyAlignment="1">
      <alignment horizontal="center"/>
    </xf>
    <xf numFmtId="184" fontId="60" fillId="16" borderId="0" xfId="3" applyNumberFormat="1" applyFont="1" applyFill="1" applyBorder="1"/>
    <xf numFmtId="219" fontId="85" fillId="10" borderId="0" xfId="352" applyFont="1" applyFill="1"/>
    <xf numFmtId="219" fontId="55" fillId="10" borderId="0" xfId="352" applyFont="1" applyFill="1" applyAlignment="1">
      <alignment horizontal="right"/>
    </xf>
    <xf numFmtId="184" fontId="55" fillId="10" borderId="0" xfId="3" applyNumberFormat="1" applyFont="1" applyFill="1" applyBorder="1" applyAlignment="1">
      <alignment horizontal="center"/>
    </xf>
    <xf numFmtId="219" fontId="55" fillId="10" borderId="0" xfId="352" applyFont="1" applyFill="1" applyAlignment="1">
      <alignment horizontal="center"/>
    </xf>
    <xf numFmtId="219" fontId="55" fillId="10" borderId="26" xfId="352" applyFont="1" applyFill="1" applyBorder="1" applyAlignment="1">
      <alignment horizontal="center"/>
    </xf>
    <xf numFmtId="38" fontId="76" fillId="0" borderId="0" xfId="352" applyNumberFormat="1" applyFont="1" applyAlignment="1">
      <alignment horizontal="left"/>
    </xf>
    <xf numFmtId="219" fontId="55" fillId="10" borderId="26" xfId="484" applyFont="1" applyFill="1" applyBorder="1" applyAlignment="1">
      <alignment horizontal="center"/>
    </xf>
    <xf numFmtId="219" fontId="60" fillId="0" borderId="0" xfId="484" applyFont="1" applyAlignment="1">
      <alignment horizontal="center"/>
    </xf>
    <xf numFmtId="314" fontId="76" fillId="0" borderId="0" xfId="352" applyNumberFormat="1" applyFont="1" applyAlignment="1">
      <alignment horizontal="left"/>
    </xf>
    <xf numFmtId="184" fontId="86" fillId="0" borderId="0" xfId="3" applyNumberFormat="1" applyFont="1" applyBorder="1" applyAlignment="1">
      <alignment horizontal="center"/>
    </xf>
    <xf numFmtId="219" fontId="87" fillId="0" borderId="0" xfId="352" applyFont="1" applyAlignment="1">
      <alignment horizontal="center"/>
    </xf>
    <xf numFmtId="184" fontId="76" fillId="0" borderId="0" xfId="3" applyNumberFormat="1" applyFont="1" applyFill="1" applyBorder="1" applyAlignment="1">
      <alignment horizontal="left"/>
    </xf>
    <xf numFmtId="219" fontId="70" fillId="0" borderId="0" xfId="352" applyFont="1" applyAlignment="1">
      <alignment horizontal="center"/>
    </xf>
    <xf numFmtId="184" fontId="79" fillId="2" borderId="0" xfId="3" applyNumberFormat="1" applyFont="1" applyFill="1" applyBorder="1" applyAlignment="1">
      <alignment horizontal="center"/>
    </xf>
    <xf numFmtId="184" fontId="60" fillId="2" borderId="0" xfId="3" applyNumberFormat="1" applyFont="1" applyFill="1" applyBorder="1" applyAlignment="1">
      <alignment horizontal="center"/>
    </xf>
    <xf numFmtId="184" fontId="86" fillId="2" borderId="0" xfId="3" applyNumberFormat="1" applyFont="1" applyFill="1" applyBorder="1" applyAlignment="1">
      <alignment horizontal="center"/>
    </xf>
    <xf numFmtId="219" fontId="60" fillId="0" borderId="0" xfId="352" applyFont="1" applyAlignment="1">
      <alignment horizontal="left" vertical="top"/>
    </xf>
    <xf numFmtId="40" fontId="76" fillId="0" borderId="0" xfId="352" applyNumberFormat="1" applyFont="1" applyAlignment="1">
      <alignment horizontal="left"/>
    </xf>
    <xf numFmtId="184" fontId="72" fillId="2" borderId="0" xfId="3" applyNumberFormat="1" applyFont="1" applyFill="1" applyBorder="1" applyAlignment="1">
      <alignment horizontal="center"/>
    </xf>
    <xf numFmtId="184" fontId="86" fillId="0" borderId="26" xfId="3" applyNumberFormat="1" applyFont="1" applyBorder="1" applyAlignment="1">
      <alignment horizontal="center"/>
    </xf>
    <xf numFmtId="184" fontId="72" fillId="2" borderId="26" xfId="3" applyNumberFormat="1" applyFont="1" applyFill="1" applyBorder="1" applyAlignment="1">
      <alignment horizontal="center"/>
    </xf>
    <xf numFmtId="0" fontId="80" fillId="0" borderId="0" xfId="352" applyNumberFormat="1" applyFont="1" applyAlignment="1">
      <alignment horizontal="center"/>
    </xf>
    <xf numFmtId="1" fontId="80" fillId="0" borderId="0" xfId="352" applyNumberFormat="1" applyFont="1" applyAlignment="1">
      <alignment horizontal="center"/>
    </xf>
    <xf numFmtId="219" fontId="88" fillId="0" borderId="0" xfId="352" applyFont="1" applyAlignment="1">
      <alignment horizontal="left"/>
    </xf>
    <xf numFmtId="219" fontId="79" fillId="0" borderId="0" xfId="352" applyFont="1"/>
    <xf numFmtId="219" fontId="79" fillId="0" borderId="0" xfId="352" applyFont="1" applyAlignment="1">
      <alignment horizontal="center"/>
    </xf>
    <xf numFmtId="219" fontId="80" fillId="0" borderId="0" xfId="352" applyFont="1" applyAlignment="1">
      <alignment horizontal="left"/>
    </xf>
    <xf numFmtId="279" fontId="73" fillId="0" borderId="0" xfId="352" applyNumberFormat="1" applyFont="1" applyAlignment="1">
      <alignment horizontal="center"/>
    </xf>
    <xf numFmtId="219" fontId="68" fillId="0" borderId="0" xfId="484" applyFont="1" applyAlignment="1">
      <alignment horizontal="center"/>
    </xf>
    <xf numFmtId="9" fontId="60" fillId="0" borderId="0" xfId="3" applyFont="1" applyFill="1" applyBorder="1" applyAlignment="1">
      <alignment horizontal="center"/>
    </xf>
    <xf numFmtId="9" fontId="86" fillId="0" borderId="0" xfId="3" applyFont="1" applyFill="1" applyBorder="1" applyAlignment="1">
      <alignment horizontal="center"/>
    </xf>
    <xf numFmtId="9" fontId="86" fillId="0" borderId="26" xfId="3" applyFont="1" applyFill="1" applyBorder="1" applyAlignment="1">
      <alignment horizontal="center"/>
    </xf>
    <xf numFmtId="9" fontId="60" fillId="0" borderId="26" xfId="3" applyFont="1" applyFill="1" applyBorder="1" applyAlignment="1">
      <alignment horizontal="center"/>
    </xf>
    <xf numFmtId="40" fontId="60" fillId="0" borderId="0" xfId="484" applyNumberFormat="1" applyFont="1" applyAlignment="1">
      <alignment horizontal="center"/>
    </xf>
    <xf numFmtId="9" fontId="60" fillId="2" borderId="0" xfId="3" applyFont="1" applyFill="1" applyBorder="1" applyAlignment="1">
      <alignment horizontal="center"/>
    </xf>
    <xf numFmtId="9" fontId="60" fillId="2" borderId="26" xfId="3" applyFont="1" applyFill="1" applyBorder="1" applyAlignment="1">
      <alignment horizontal="center"/>
    </xf>
    <xf numFmtId="184" fontId="60" fillId="2" borderId="26" xfId="3" applyNumberFormat="1" applyFont="1" applyFill="1" applyBorder="1" applyAlignment="1">
      <alignment horizontal="center"/>
    </xf>
    <xf numFmtId="38" fontId="60" fillId="2" borderId="0" xfId="352" applyNumberFormat="1" applyFont="1" applyFill="1" applyAlignment="1">
      <alignment horizontal="center"/>
    </xf>
    <xf numFmtId="38" fontId="60" fillId="2" borderId="26" xfId="352" applyNumberFormat="1" applyFont="1" applyFill="1" applyBorder="1" applyAlignment="1">
      <alignment horizontal="center"/>
    </xf>
    <xf numFmtId="219" fontId="76" fillId="0" borderId="0" xfId="352" applyFont="1" applyAlignment="1">
      <alignment horizontal="left"/>
    </xf>
    <xf numFmtId="219" fontId="89" fillId="0" borderId="0" xfId="352" applyFont="1"/>
    <xf numFmtId="279" fontId="89" fillId="0" borderId="0" xfId="352" applyNumberFormat="1" applyFont="1"/>
    <xf numFmtId="184" fontId="89" fillId="0" borderId="0" xfId="3" applyNumberFormat="1" applyFont="1" applyBorder="1" applyAlignment="1">
      <alignment horizontal="center"/>
    </xf>
    <xf numFmtId="220" fontId="89" fillId="0" borderId="0" xfId="3" applyNumberFormat="1" applyFont="1" applyBorder="1" applyAlignment="1">
      <alignment horizontal="center"/>
    </xf>
    <xf numFmtId="176" fontId="89" fillId="0" borderId="0" xfId="1" applyFont="1" applyBorder="1" applyAlignment="1">
      <alignment horizontal="center"/>
    </xf>
    <xf numFmtId="9" fontId="89" fillId="0" borderId="0" xfId="3" applyFont="1" applyBorder="1" applyAlignment="1">
      <alignment horizontal="center"/>
    </xf>
    <xf numFmtId="9" fontId="89" fillId="0" borderId="26" xfId="3" applyFont="1" applyBorder="1" applyAlignment="1">
      <alignment horizontal="center"/>
    </xf>
    <xf numFmtId="9" fontId="78" fillId="0" borderId="0" xfId="3" applyFont="1" applyFill="1" applyBorder="1" applyAlignment="1">
      <alignment horizontal="center"/>
    </xf>
    <xf numFmtId="219" fontId="68" fillId="24" borderId="0" xfId="352" applyFont="1" applyFill="1" applyAlignment="1">
      <alignment horizontal="left"/>
    </xf>
    <xf numFmtId="9" fontId="60" fillId="24" borderId="0" xfId="3" applyFont="1" applyFill="1" applyBorder="1" applyAlignment="1">
      <alignment horizontal="center"/>
    </xf>
    <xf numFmtId="9" fontId="60" fillId="24" borderId="26" xfId="3" applyFont="1" applyFill="1" applyBorder="1" applyAlignment="1">
      <alignment horizontal="center"/>
    </xf>
    <xf numFmtId="9" fontId="79" fillId="0" borderId="0" xfId="3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9" fillId="0" borderId="0" xfId="3" applyNumberFormat="1" applyFont="1" applyBorder="1" applyAlignment="1">
      <alignment horizontal="center"/>
    </xf>
    <xf numFmtId="9" fontId="80" fillId="0" borderId="0" xfId="3" applyFont="1" applyFill="1" applyBorder="1" applyAlignment="1">
      <alignment horizontal="center"/>
    </xf>
    <xf numFmtId="184" fontId="80" fillId="0" borderId="0" xfId="3" applyNumberFormat="1" applyFont="1" applyBorder="1" applyAlignment="1">
      <alignment horizontal="center"/>
    </xf>
    <xf numFmtId="40" fontId="73" fillId="0" borderId="0" xfId="352" applyNumberFormat="1" applyFont="1" applyAlignment="1">
      <alignment horizontal="center"/>
    </xf>
    <xf numFmtId="184" fontId="80" fillId="0" borderId="0" xfId="3" applyNumberFormat="1" applyFont="1" applyFill="1" applyBorder="1" applyAlignment="1">
      <alignment horizontal="center"/>
    </xf>
    <xf numFmtId="219" fontId="68" fillId="25" borderId="0" xfId="352" applyFont="1" applyFill="1" applyAlignment="1">
      <alignment horizontal="left"/>
    </xf>
    <xf numFmtId="38" fontId="68" fillId="25" borderId="0" xfId="352" applyNumberFormat="1" applyFont="1" applyFill="1" applyAlignment="1">
      <alignment horizontal="center"/>
    </xf>
    <xf numFmtId="38" fontId="68" fillId="25" borderId="26" xfId="352" applyNumberFormat="1" applyFont="1" applyFill="1" applyBorder="1" applyAlignment="1">
      <alignment horizontal="center"/>
    </xf>
    <xf numFmtId="9" fontId="89" fillId="0" borderId="0" xfId="3" applyFont="1" applyBorder="1" applyAlignment="1">
      <alignment horizontal="right"/>
    </xf>
    <xf numFmtId="219" fontId="75" fillId="10" borderId="0" xfId="484" applyFont="1" applyFill="1" applyAlignment="1">
      <alignment horizontal="right"/>
    </xf>
    <xf numFmtId="219" fontId="75" fillId="10" borderId="0" xfId="484" applyFont="1" applyFill="1" applyAlignment="1">
      <alignment horizontal="center"/>
    </xf>
    <xf numFmtId="219" fontId="75" fillId="10" borderId="26" xfId="484" applyFont="1" applyFill="1" applyBorder="1" applyAlignment="1">
      <alignment horizontal="center"/>
    </xf>
    <xf numFmtId="219" fontId="68" fillId="20" borderId="0" xfId="352" applyFont="1" applyFill="1"/>
    <xf numFmtId="225" fontId="68" fillId="20" borderId="0" xfId="352" applyNumberFormat="1" applyFont="1" applyFill="1" applyAlignment="1">
      <alignment horizontal="right"/>
    </xf>
    <xf numFmtId="225" fontId="68" fillId="20" borderId="0" xfId="352" applyNumberFormat="1" applyFont="1" applyFill="1" applyAlignment="1">
      <alignment horizontal="center"/>
    </xf>
    <xf numFmtId="225" fontId="68" fillId="20" borderId="26" xfId="352" applyNumberFormat="1" applyFont="1" applyFill="1" applyBorder="1" applyAlignment="1">
      <alignment horizontal="center"/>
    </xf>
    <xf numFmtId="219" fontId="60" fillId="0" borderId="0" xfId="484" applyFont="1" applyAlignment="1">
      <alignment horizontal="right"/>
    </xf>
    <xf numFmtId="219" fontId="60" fillId="0" borderId="26" xfId="484" applyFont="1" applyBorder="1" applyAlignment="1">
      <alignment horizontal="center"/>
    </xf>
    <xf numFmtId="9" fontId="68" fillId="20" borderId="0" xfId="3" applyFont="1" applyFill="1" applyBorder="1" applyAlignment="1">
      <alignment horizontal="center"/>
    </xf>
    <xf numFmtId="225" fontId="68" fillId="0" borderId="0" xfId="352" applyNumberFormat="1" applyFont="1" applyAlignment="1">
      <alignment horizontal="right"/>
    </xf>
    <xf numFmtId="225" fontId="68" fillId="0" borderId="0" xfId="352" applyNumberFormat="1" applyFont="1" applyAlignment="1">
      <alignment horizontal="center"/>
    </xf>
    <xf numFmtId="225" fontId="68" fillId="0" borderId="26" xfId="352" applyNumberFormat="1" applyFont="1" applyBorder="1" applyAlignment="1">
      <alignment horizontal="center"/>
    </xf>
    <xf numFmtId="219" fontId="68" fillId="20" borderId="28" xfId="352" applyFont="1" applyFill="1" applyBorder="1"/>
    <xf numFmtId="225" fontId="68" fillId="20" borderId="28" xfId="352" applyNumberFormat="1" applyFont="1" applyFill="1" applyBorder="1" applyAlignment="1">
      <alignment horizontal="right"/>
    </xf>
    <xf numFmtId="225" fontId="68" fillId="20" borderId="28" xfId="352" applyNumberFormat="1" applyFont="1" applyFill="1" applyBorder="1" applyAlignment="1">
      <alignment horizontal="center"/>
    </xf>
    <xf numFmtId="225" fontId="68" fillId="20" borderId="35" xfId="352" applyNumberFormat="1" applyFont="1" applyFill="1" applyBorder="1" applyAlignment="1">
      <alignment horizontal="center"/>
    </xf>
    <xf numFmtId="184" fontId="68" fillId="20" borderId="0" xfId="3" applyNumberFormat="1" applyFont="1" applyFill="1" applyAlignment="1">
      <alignment horizontal="center"/>
    </xf>
    <xf numFmtId="184" fontId="79" fillId="2" borderId="26" xfId="3" applyNumberFormat="1" applyFont="1" applyFill="1" applyBorder="1" applyAlignment="1">
      <alignment horizontal="center"/>
    </xf>
    <xf numFmtId="184" fontId="74" fillId="0" borderId="0" xfId="3" applyNumberFormat="1" applyFont="1" applyBorder="1" applyAlignment="1">
      <alignment horizontal="left"/>
    </xf>
    <xf numFmtId="9" fontId="60" fillId="0" borderId="0" xfId="3" applyFont="1" applyFill="1" applyBorder="1"/>
    <xf numFmtId="225" fontId="68" fillId="15" borderId="0" xfId="352" applyNumberFormat="1" applyFont="1" applyFill="1"/>
    <xf numFmtId="225" fontId="68" fillId="15" borderId="0" xfId="352" applyNumberFormat="1" applyFont="1" applyFill="1" applyAlignment="1">
      <alignment horizontal="right"/>
    </xf>
    <xf numFmtId="225" fontId="68" fillId="15" borderId="0" xfId="352" applyNumberFormat="1" applyFont="1" applyFill="1" applyAlignment="1">
      <alignment horizontal="center"/>
    </xf>
    <xf numFmtId="225" fontId="80" fillId="15" borderId="0" xfId="352" applyNumberFormat="1" applyFont="1" applyFill="1" applyAlignment="1">
      <alignment horizontal="center"/>
    </xf>
    <xf numFmtId="225" fontId="80" fillId="15" borderId="26" xfId="352" applyNumberFormat="1" applyFont="1" applyFill="1" applyBorder="1" applyAlignment="1">
      <alignment horizontal="center"/>
    </xf>
    <xf numFmtId="225" fontId="74" fillId="0" borderId="0" xfId="352" applyNumberFormat="1" applyFont="1" applyAlignment="1">
      <alignment horizontal="left"/>
    </xf>
    <xf numFmtId="184" fontId="79" fillId="0" borderId="26" xfId="3" applyNumberFormat="1" applyFont="1" applyBorder="1" applyAlignment="1">
      <alignment horizontal="center"/>
    </xf>
    <xf numFmtId="184" fontId="79" fillId="16" borderId="26" xfId="3" applyNumberFormat="1" applyFont="1" applyFill="1" applyBorder="1" applyAlignment="1">
      <alignment horizontal="center"/>
    </xf>
    <xf numFmtId="176" fontId="79" fillId="0" borderId="0" xfId="1" applyFont="1" applyBorder="1" applyAlignment="1">
      <alignment horizontal="center"/>
    </xf>
    <xf numFmtId="219" fontId="68" fillId="16" borderId="0" xfId="352" applyFont="1" applyFill="1" applyAlignment="1">
      <alignment horizontal="center"/>
    </xf>
    <xf numFmtId="219" fontId="80" fillId="0" borderId="26" xfId="352" applyFont="1" applyBorder="1" applyAlignment="1">
      <alignment horizontal="center"/>
    </xf>
    <xf numFmtId="40" fontId="60" fillId="0" borderId="0" xfId="352" applyNumberFormat="1" applyFont="1" applyAlignment="1">
      <alignment horizontal="right"/>
    </xf>
    <xf numFmtId="184" fontId="79" fillId="0" borderId="26" xfId="3" applyNumberFormat="1" applyFont="1" applyFill="1" applyBorder="1" applyAlignment="1">
      <alignment horizontal="center"/>
    </xf>
    <xf numFmtId="184" fontId="60" fillId="0" borderId="0" xfId="352" applyNumberFormat="1" applyFont="1" applyAlignment="1">
      <alignment horizontal="right"/>
    </xf>
    <xf numFmtId="184" fontId="60" fillId="0" borderId="0" xfId="352" applyNumberFormat="1" applyFont="1" applyAlignment="1">
      <alignment horizontal="center"/>
    </xf>
    <xf numFmtId="339" fontId="76" fillId="0" borderId="0" xfId="352" applyNumberFormat="1" applyFont="1" applyAlignment="1">
      <alignment horizontal="center"/>
    </xf>
    <xf numFmtId="184" fontId="68" fillId="0" borderId="0" xfId="352" applyNumberFormat="1" applyFont="1" applyAlignment="1">
      <alignment horizontal="right"/>
    </xf>
    <xf numFmtId="225" fontId="68" fillId="15" borderId="26" xfId="352" applyNumberFormat="1" applyFont="1" applyFill="1" applyBorder="1" applyAlignment="1">
      <alignment horizontal="center"/>
    </xf>
    <xf numFmtId="225" fontId="60" fillId="15" borderId="0" xfId="352" applyNumberFormat="1" applyFont="1" applyFill="1"/>
    <xf numFmtId="184" fontId="74" fillId="0" borderId="0" xfId="3" applyNumberFormat="1" applyFont="1" applyFill="1" applyBorder="1" applyAlignment="1">
      <alignment horizontal="left"/>
    </xf>
    <xf numFmtId="176" fontId="74" fillId="0" borderId="0" xfId="1" applyFont="1" applyFill="1" applyBorder="1" applyAlignment="1">
      <alignment horizontal="left"/>
    </xf>
    <xf numFmtId="176" fontId="60" fillId="0" borderId="0" xfId="1" applyFont="1" applyFill="1" applyBorder="1"/>
    <xf numFmtId="225" fontId="80" fillId="0" borderId="0" xfId="352" applyNumberFormat="1" applyFont="1" applyAlignment="1">
      <alignment horizontal="center"/>
    </xf>
    <xf numFmtId="225" fontId="80" fillId="0" borderId="26" xfId="352" applyNumberFormat="1" applyFont="1" applyBorder="1" applyAlignment="1">
      <alignment horizontal="center"/>
    </xf>
    <xf numFmtId="315" fontId="60" fillId="0" borderId="0" xfId="3" applyNumberFormat="1" applyFont="1" applyBorder="1" applyAlignment="1">
      <alignment horizontal="center"/>
    </xf>
    <xf numFmtId="315" fontId="79" fillId="0" borderId="0" xfId="3" applyNumberFormat="1" applyFont="1" applyBorder="1" applyAlignment="1">
      <alignment horizontal="center"/>
    </xf>
    <xf numFmtId="315" fontId="79" fillId="0" borderId="26" xfId="3" applyNumberFormat="1" applyFont="1" applyBorder="1" applyAlignment="1">
      <alignment horizontal="center"/>
    </xf>
    <xf numFmtId="225" fontId="80" fillId="20" borderId="0" xfId="352" applyNumberFormat="1" applyFont="1" applyFill="1" applyAlignment="1">
      <alignment horizontal="center"/>
    </xf>
    <xf numFmtId="225" fontId="80" fillId="20" borderId="26" xfId="352" applyNumberFormat="1" applyFont="1" applyFill="1" applyBorder="1" applyAlignment="1">
      <alignment horizontal="center"/>
    </xf>
    <xf numFmtId="184" fontId="79" fillId="0" borderId="0" xfId="3" applyNumberFormat="1" applyFont="1" applyBorder="1" applyAlignment="1">
      <alignment horizontal="left"/>
    </xf>
    <xf numFmtId="316" fontId="60" fillId="0" borderId="0" xfId="3" applyNumberFormat="1" applyFont="1" applyBorder="1" applyAlignment="1">
      <alignment horizontal="right"/>
    </xf>
    <xf numFmtId="316" fontId="60" fillId="0" borderId="0" xfId="3" applyNumberFormat="1" applyFont="1" applyBorder="1" applyAlignment="1">
      <alignment horizontal="center"/>
    </xf>
    <xf numFmtId="316" fontId="79" fillId="0" borderId="0" xfId="3" applyNumberFormat="1" applyFont="1" applyBorder="1" applyAlignment="1">
      <alignment horizontal="center"/>
    </xf>
    <xf numFmtId="316" fontId="79" fillId="0" borderId="26" xfId="3" applyNumberFormat="1" applyFont="1" applyBorder="1" applyAlignment="1">
      <alignment horizontal="center"/>
    </xf>
    <xf numFmtId="316" fontId="79" fillId="0" borderId="0" xfId="3" applyNumberFormat="1" applyFont="1" applyBorder="1" applyAlignment="1">
      <alignment horizontal="left"/>
    </xf>
    <xf numFmtId="225" fontId="80" fillId="20" borderId="28" xfId="352" applyNumberFormat="1" applyFont="1" applyFill="1" applyBorder="1" applyAlignment="1">
      <alignment horizontal="center"/>
    </xf>
    <xf numFmtId="1" fontId="79" fillId="0" borderId="26" xfId="3" applyNumberFormat="1" applyFont="1" applyBorder="1" applyAlignment="1">
      <alignment horizontal="center"/>
    </xf>
    <xf numFmtId="184" fontId="60" fillId="0" borderId="28" xfId="3" applyNumberFormat="1" applyFont="1" applyBorder="1" applyAlignment="1">
      <alignment horizontal="right"/>
    </xf>
    <xf numFmtId="225" fontId="80" fillId="20" borderId="35" xfId="352" applyNumberFormat="1" applyFont="1" applyFill="1" applyBorder="1" applyAlignment="1">
      <alignment horizontal="center"/>
    </xf>
    <xf numFmtId="184" fontId="80" fillId="20" borderId="0" xfId="3" applyNumberFormat="1" applyFont="1" applyFill="1" applyBorder="1" applyAlignment="1">
      <alignment horizontal="center"/>
    </xf>
    <xf numFmtId="316" fontId="60" fillId="0" borderId="26" xfId="3" applyNumberFormat="1" applyFont="1" applyBorder="1" applyAlignment="1">
      <alignment horizontal="center"/>
    </xf>
    <xf numFmtId="9" fontId="80" fillId="20" borderId="0" xfId="3" applyFont="1" applyFill="1" applyBorder="1" applyAlignment="1">
      <alignment horizontal="center"/>
    </xf>
    <xf numFmtId="281" fontId="60" fillId="0" borderId="0" xfId="376" applyFont="1" applyBorder="1" applyAlignment="1">
      <alignment horizontal="right"/>
    </xf>
    <xf numFmtId="281" fontId="60" fillId="0" borderId="0" xfId="376" applyFont="1" applyBorder="1" applyAlignment="1">
      <alignment horizontal="center"/>
    </xf>
    <xf numFmtId="3" fontId="68" fillId="0" borderId="0" xfId="352" applyNumberFormat="1" applyFont="1" applyAlignment="1">
      <alignment horizontal="center"/>
    </xf>
    <xf numFmtId="1" fontId="68" fillId="16" borderId="0" xfId="1" applyNumberFormat="1" applyFont="1" applyFill="1" applyBorder="1" applyAlignment="1">
      <alignment horizontal="center"/>
    </xf>
    <xf numFmtId="1" fontId="80" fillId="16" borderId="0" xfId="1" applyNumberFormat="1" applyFont="1" applyFill="1" applyBorder="1" applyAlignment="1">
      <alignment horizontal="center"/>
    </xf>
    <xf numFmtId="1" fontId="80" fillId="16" borderId="26" xfId="1" applyNumberFormat="1" applyFont="1" applyFill="1" applyBorder="1" applyAlignment="1">
      <alignment horizontal="center"/>
    </xf>
    <xf numFmtId="3" fontId="68" fillId="20" borderId="0" xfId="352" applyNumberFormat="1" applyFont="1" applyFill="1" applyAlignment="1">
      <alignment horizontal="center"/>
    </xf>
    <xf numFmtId="1" fontId="68" fillId="0" borderId="0" xfId="352" applyNumberFormat="1" applyFont="1"/>
    <xf numFmtId="1" fontId="68" fillId="0" borderId="0" xfId="3" applyNumberFormat="1" applyFont="1" applyFill="1" applyBorder="1"/>
    <xf numFmtId="3" fontId="68" fillId="20" borderId="28" xfId="352" applyNumberFormat="1" applyFont="1" applyFill="1" applyBorder="1" applyAlignment="1">
      <alignment horizontal="center"/>
    </xf>
    <xf numFmtId="40" fontId="68" fillId="20" borderId="0" xfId="352" applyNumberFormat="1" applyFont="1" applyFill="1"/>
    <xf numFmtId="40" fontId="68" fillId="20" borderId="0" xfId="352" applyNumberFormat="1" applyFont="1" applyFill="1" applyAlignment="1">
      <alignment horizontal="right"/>
    </xf>
    <xf numFmtId="40" fontId="68" fillId="20" borderId="0" xfId="352" applyNumberFormat="1" applyFont="1" applyFill="1" applyAlignment="1">
      <alignment horizontal="center"/>
    </xf>
    <xf numFmtId="40" fontId="80" fillId="20" borderId="0" xfId="352" applyNumberFormat="1" applyFont="1" applyFill="1" applyAlignment="1">
      <alignment horizontal="center"/>
    </xf>
    <xf numFmtId="40" fontId="80" fillId="20" borderId="26" xfId="352" applyNumberFormat="1" applyFont="1" applyFill="1" applyBorder="1" applyAlignment="1">
      <alignment horizontal="center"/>
    </xf>
    <xf numFmtId="40" fontId="68" fillId="0" borderId="0" xfId="352" applyNumberFormat="1" applyFont="1"/>
    <xf numFmtId="40" fontId="68" fillId="20" borderId="28" xfId="352" applyNumberFormat="1" applyFont="1" applyFill="1" applyBorder="1"/>
    <xf numFmtId="40" fontId="68" fillId="20" borderId="28" xfId="352" applyNumberFormat="1" applyFont="1" applyFill="1" applyBorder="1" applyAlignment="1">
      <alignment horizontal="right"/>
    </xf>
    <xf numFmtId="40" fontId="68" fillId="20" borderId="28" xfId="352" applyNumberFormat="1" applyFont="1" applyFill="1" applyBorder="1" applyAlignment="1">
      <alignment horizontal="center"/>
    </xf>
    <xf numFmtId="40" fontId="80" fillId="20" borderId="28" xfId="352" applyNumberFormat="1" applyFont="1" applyFill="1" applyBorder="1" applyAlignment="1">
      <alignment horizontal="center"/>
    </xf>
    <xf numFmtId="40" fontId="80" fillId="20" borderId="35" xfId="352" applyNumberFormat="1" applyFont="1" applyFill="1" applyBorder="1" applyAlignment="1">
      <alignment horizontal="center"/>
    </xf>
    <xf numFmtId="225" fontId="60" fillId="0" borderId="0" xfId="352" applyNumberFormat="1" applyFont="1" applyAlignment="1">
      <alignment horizontal="right"/>
    </xf>
    <xf numFmtId="225" fontId="60" fillId="0" borderId="0" xfId="352" applyNumberFormat="1" applyFont="1" applyAlignment="1">
      <alignment horizontal="center"/>
    </xf>
    <xf numFmtId="184" fontId="60" fillId="0" borderId="0" xfId="352" applyNumberFormat="1" applyFont="1"/>
    <xf numFmtId="10" fontId="68" fillId="0" borderId="0" xfId="3" applyNumberFormat="1" applyFont="1" applyBorder="1" applyAlignment="1">
      <alignment horizontal="center"/>
    </xf>
    <xf numFmtId="317" fontId="68" fillId="0" borderId="0" xfId="3" applyNumberFormat="1" applyFont="1" applyBorder="1" applyAlignment="1">
      <alignment horizontal="center"/>
    </xf>
    <xf numFmtId="10" fontId="68" fillId="0" borderId="26" xfId="3" applyNumberFormat="1" applyFont="1" applyBorder="1" applyAlignment="1">
      <alignment horizontal="center"/>
    </xf>
    <xf numFmtId="40" fontId="68" fillId="20" borderId="26" xfId="352" applyNumberFormat="1" applyFont="1" applyFill="1" applyBorder="1" applyAlignment="1">
      <alignment horizontal="center"/>
    </xf>
    <xf numFmtId="40" fontId="60" fillId="16" borderId="0" xfId="352" applyNumberFormat="1" applyFont="1" applyFill="1" applyAlignment="1">
      <alignment horizontal="left" indent="1"/>
    </xf>
    <xf numFmtId="40" fontId="60" fillId="16" borderId="0" xfId="352" applyNumberFormat="1" applyFont="1" applyFill="1" applyAlignment="1">
      <alignment horizontal="right"/>
    </xf>
    <xf numFmtId="184" fontId="60" fillId="16" borderId="0" xfId="3" applyNumberFormat="1" applyFont="1" applyFill="1" applyBorder="1" applyAlignment="1">
      <alignment horizontal="right"/>
    </xf>
    <xf numFmtId="40" fontId="68" fillId="16" borderId="0" xfId="352" applyNumberFormat="1" applyFont="1" applyFill="1" applyAlignment="1">
      <alignment horizontal="left"/>
    </xf>
    <xf numFmtId="40" fontId="68" fillId="16" borderId="0" xfId="352" applyNumberFormat="1" applyFont="1" applyFill="1" applyAlignment="1">
      <alignment horizontal="right"/>
    </xf>
    <xf numFmtId="318" fontId="68" fillId="16" borderId="0" xfId="1" applyNumberFormat="1" applyFont="1" applyFill="1" applyBorder="1" applyAlignment="1">
      <alignment horizontal="right"/>
    </xf>
    <xf numFmtId="318" fontId="68" fillId="16" borderId="0" xfId="1" applyNumberFormat="1" applyFont="1" applyFill="1" applyBorder="1" applyAlignment="1">
      <alignment horizontal="center"/>
    </xf>
    <xf numFmtId="219" fontId="68" fillId="16" borderId="26" xfId="352" applyFont="1" applyFill="1" applyBorder="1" applyAlignment="1">
      <alignment horizontal="center"/>
    </xf>
    <xf numFmtId="10" fontId="60" fillId="16" borderId="0" xfId="3" applyNumberFormat="1" applyFont="1" applyFill="1" applyBorder="1" applyAlignment="1">
      <alignment horizontal="center"/>
    </xf>
    <xf numFmtId="9" fontId="68" fillId="16" borderId="0" xfId="3" applyFont="1" applyFill="1" applyBorder="1" applyAlignment="1">
      <alignment horizontal="center"/>
    </xf>
    <xf numFmtId="40" fontId="60" fillId="16" borderId="0" xfId="352" applyNumberFormat="1" applyFont="1" applyFill="1" applyAlignment="1">
      <alignment horizontal="center"/>
    </xf>
    <xf numFmtId="269" fontId="60" fillId="16" borderId="0" xfId="1" applyNumberFormat="1" applyFont="1" applyFill="1" applyBorder="1" applyAlignment="1">
      <alignment horizontal="center"/>
    </xf>
    <xf numFmtId="269" fontId="60" fillId="16" borderId="26" xfId="1" applyNumberFormat="1" applyFont="1" applyFill="1" applyBorder="1" applyAlignment="1">
      <alignment horizontal="center"/>
    </xf>
    <xf numFmtId="219" fontId="68" fillId="20" borderId="28" xfId="352" applyFont="1" applyFill="1" applyBorder="1" applyAlignment="1">
      <alignment horizontal="right"/>
    </xf>
    <xf numFmtId="219" fontId="60" fillId="16" borderId="29" xfId="352" applyFont="1" applyFill="1" applyBorder="1" applyAlignment="1">
      <alignment horizontal="left" indent="1"/>
    </xf>
    <xf numFmtId="219" fontId="60" fillId="16" borderId="29" xfId="352" applyFont="1" applyFill="1" applyBorder="1" applyAlignment="1">
      <alignment horizontal="right"/>
    </xf>
    <xf numFmtId="40" fontId="60" fillId="16" borderId="29" xfId="352" applyNumberFormat="1" applyFont="1" applyFill="1" applyBorder="1" applyAlignment="1">
      <alignment horizontal="center"/>
    </xf>
    <xf numFmtId="184" fontId="60" fillId="16" borderId="29" xfId="3" applyNumberFormat="1" applyFont="1" applyFill="1" applyBorder="1" applyAlignment="1">
      <alignment horizontal="center"/>
    </xf>
    <xf numFmtId="10" fontId="60" fillId="16" borderId="26" xfId="3" applyNumberFormat="1" applyFont="1" applyFill="1" applyBorder="1" applyAlignment="1">
      <alignment horizontal="center"/>
    </xf>
    <xf numFmtId="219" fontId="60" fillId="16" borderId="0" xfId="352" applyFont="1" applyFill="1" applyAlignment="1">
      <alignment horizontal="left" indent="1"/>
    </xf>
    <xf numFmtId="219" fontId="60" fillId="16" borderId="0" xfId="352" applyFont="1" applyFill="1" applyAlignment="1">
      <alignment horizontal="right"/>
    </xf>
    <xf numFmtId="176" fontId="60" fillId="16" borderId="0" xfId="1" applyFont="1" applyFill="1" applyBorder="1" applyAlignment="1">
      <alignment horizontal="center"/>
    </xf>
    <xf numFmtId="176" fontId="60" fillId="16" borderId="26" xfId="1" applyFont="1" applyFill="1" applyBorder="1" applyAlignment="1">
      <alignment horizontal="center"/>
    </xf>
    <xf numFmtId="40" fontId="68" fillId="16" borderId="0" xfId="352" applyNumberFormat="1" applyFont="1" applyFill="1" applyAlignment="1">
      <alignment horizontal="center"/>
    </xf>
    <xf numFmtId="40" fontId="68" fillId="16" borderId="26" xfId="352" applyNumberFormat="1" applyFont="1" applyFill="1" applyBorder="1" applyAlignment="1">
      <alignment horizontal="center"/>
    </xf>
    <xf numFmtId="281" fontId="60" fillId="0" borderId="26" xfId="376" applyFont="1" applyBorder="1" applyAlignment="1">
      <alignment horizontal="center"/>
    </xf>
    <xf numFmtId="219" fontId="60" fillId="14" borderId="0" xfId="352" applyFont="1" applyFill="1" applyAlignment="1">
      <alignment horizontal="right"/>
    </xf>
    <xf numFmtId="184" fontId="60" fillId="14" borderId="0" xfId="3" applyNumberFormat="1" applyFont="1" applyFill="1" applyBorder="1" applyAlignment="1">
      <alignment horizontal="right"/>
    </xf>
    <xf numFmtId="219" fontId="60" fillId="14" borderId="0" xfId="352" applyFont="1" applyFill="1" applyAlignment="1">
      <alignment horizontal="center"/>
    </xf>
    <xf numFmtId="219" fontId="73" fillId="14" borderId="0" xfId="352" applyFont="1" applyFill="1" applyAlignment="1">
      <alignment horizontal="center"/>
    </xf>
    <xf numFmtId="184" fontId="73" fillId="14" borderId="0" xfId="3" applyNumberFormat="1" applyFont="1" applyFill="1" applyBorder="1" applyAlignment="1">
      <alignment horizontal="center"/>
    </xf>
    <xf numFmtId="184" fontId="74" fillId="14" borderId="0" xfId="3" applyNumberFormat="1" applyFont="1" applyFill="1" applyBorder="1" applyAlignment="1">
      <alignment horizontal="left"/>
    </xf>
    <xf numFmtId="176" fontId="60" fillId="0" borderId="26" xfId="1" applyFont="1" applyBorder="1" applyAlignment="1">
      <alignment horizontal="center"/>
    </xf>
    <xf numFmtId="184" fontId="68" fillId="20" borderId="0" xfId="352" applyNumberFormat="1" applyFont="1" applyFill="1" applyAlignment="1">
      <alignment horizontal="center"/>
    </xf>
    <xf numFmtId="184" fontId="68" fillId="20" borderId="26" xfId="352" applyNumberFormat="1" applyFont="1" applyFill="1" applyBorder="1" applyAlignment="1">
      <alignment horizontal="center"/>
    </xf>
    <xf numFmtId="9" fontId="68" fillId="20" borderId="0" xfId="352" applyNumberFormat="1" applyFont="1" applyFill="1" applyAlignment="1">
      <alignment horizontal="center"/>
    </xf>
    <xf numFmtId="9" fontId="68" fillId="20" borderId="26" xfId="352" applyNumberFormat="1" applyFont="1" applyFill="1" applyBorder="1" applyAlignment="1">
      <alignment horizontal="center"/>
    </xf>
    <xf numFmtId="269" fontId="60" fillId="0" borderId="0" xfId="1" applyNumberFormat="1" applyFont="1" applyBorder="1" applyAlignment="1">
      <alignment horizontal="right"/>
    </xf>
    <xf numFmtId="318" fontId="60" fillId="0" borderId="0" xfId="1" applyNumberFormat="1" applyFont="1" applyBorder="1" applyAlignment="1">
      <alignment horizontal="center"/>
    </xf>
    <xf numFmtId="318" fontId="73" fillId="0" borderId="0" xfId="1" applyNumberFormat="1" applyFont="1" applyBorder="1" applyAlignment="1">
      <alignment horizontal="center"/>
    </xf>
    <xf numFmtId="243" fontId="60" fillId="0" borderId="0" xfId="231" applyFont="1" applyBorder="1" applyAlignment="1">
      <alignment horizontal="right"/>
    </xf>
    <xf numFmtId="243" fontId="74" fillId="0" borderId="0" xfId="231" applyFont="1" applyBorder="1" applyAlignment="1">
      <alignment horizontal="left"/>
    </xf>
    <xf numFmtId="219" fontId="60" fillId="26" borderId="0" xfId="352" applyFont="1" applyFill="1"/>
    <xf numFmtId="219" fontId="60" fillId="26" borderId="0" xfId="484" applyFont="1" applyFill="1" applyAlignment="1">
      <alignment horizontal="right"/>
    </xf>
    <xf numFmtId="40" fontId="60" fillId="26" borderId="0" xfId="484" applyNumberFormat="1" applyFont="1" applyFill="1" applyAlignment="1">
      <alignment horizontal="center"/>
    </xf>
    <xf numFmtId="40" fontId="60" fillId="26" borderId="26" xfId="484" applyNumberFormat="1" applyFont="1" applyFill="1" applyBorder="1" applyAlignment="1">
      <alignment horizontal="center"/>
    </xf>
    <xf numFmtId="219" fontId="74" fillId="0" borderId="0" xfId="484" applyFont="1" applyAlignment="1">
      <alignment horizontal="left"/>
    </xf>
    <xf numFmtId="269" fontId="60" fillId="0" borderId="0" xfId="1" applyNumberFormat="1" applyFont="1" applyBorder="1" applyAlignment="1">
      <alignment horizontal="center"/>
    </xf>
    <xf numFmtId="1" fontId="60" fillId="0" borderId="0" xfId="1" applyNumberFormat="1" applyFont="1" applyBorder="1" applyAlignment="1">
      <alignment horizontal="center"/>
    </xf>
    <xf numFmtId="1" fontId="60" fillId="2" borderId="0" xfId="1" applyNumberFormat="1" applyFont="1" applyFill="1" applyBorder="1" applyAlignment="1">
      <alignment horizontal="center"/>
    </xf>
    <xf numFmtId="1" fontId="60" fillId="0" borderId="26" xfId="1" applyNumberFormat="1" applyFont="1" applyBorder="1" applyAlignment="1">
      <alignment horizontal="center"/>
    </xf>
    <xf numFmtId="184" fontId="60" fillId="2" borderId="0" xfId="352" applyNumberFormat="1" applyFont="1" applyFill="1" applyAlignment="1">
      <alignment horizontal="center"/>
    </xf>
    <xf numFmtId="184" fontId="60" fillId="0" borderId="26" xfId="352" applyNumberFormat="1" applyFont="1" applyBorder="1" applyAlignment="1">
      <alignment horizontal="center"/>
    </xf>
    <xf numFmtId="219" fontId="60" fillId="2" borderId="0" xfId="352" applyFont="1" applyFill="1" applyAlignment="1">
      <alignment horizontal="center"/>
    </xf>
    <xf numFmtId="219" fontId="72" fillId="0" borderId="0" xfId="352" applyFont="1" applyAlignment="1">
      <alignment horizontal="center"/>
    </xf>
    <xf numFmtId="219" fontId="72" fillId="0" borderId="26" xfId="352" applyFont="1" applyBorder="1" applyAlignment="1">
      <alignment horizontal="center"/>
    </xf>
    <xf numFmtId="9" fontId="60" fillId="0" borderId="0" xfId="352" applyNumberFormat="1" applyFont="1" applyAlignment="1">
      <alignment horizontal="right"/>
    </xf>
    <xf numFmtId="219" fontId="80" fillId="2" borderId="0" xfId="352" applyFont="1" applyFill="1"/>
    <xf numFmtId="219" fontId="75" fillId="2" borderId="0" xfId="484" applyFont="1" applyFill="1" applyAlignment="1">
      <alignment horizontal="right"/>
    </xf>
    <xf numFmtId="219" fontId="75" fillId="2" borderId="0" xfId="484" applyFont="1" applyFill="1" applyAlignment="1">
      <alignment horizontal="center"/>
    </xf>
    <xf numFmtId="219" fontId="75" fillId="2" borderId="26" xfId="484" applyFont="1" applyFill="1" applyBorder="1" applyAlignment="1">
      <alignment horizontal="center"/>
    </xf>
    <xf numFmtId="220" fontId="68" fillId="0" borderId="0" xfId="1" applyNumberFormat="1" applyFont="1" applyBorder="1" applyAlignment="1">
      <alignment horizontal="center"/>
    </xf>
    <xf numFmtId="220" fontId="68" fillId="0" borderId="26" xfId="1" applyNumberFormat="1" applyFont="1" applyBorder="1" applyAlignment="1">
      <alignment horizontal="center"/>
    </xf>
    <xf numFmtId="219" fontId="79" fillId="2" borderId="0" xfId="352" applyFont="1" applyFill="1"/>
    <xf numFmtId="220" fontId="60" fillId="0" borderId="0" xfId="1" applyNumberFormat="1" applyFont="1" applyBorder="1" applyAlignment="1">
      <alignment horizontal="center"/>
    </xf>
    <xf numFmtId="220" fontId="60" fillId="0" borderId="26" xfId="1" applyNumberFormat="1" applyFont="1" applyBorder="1" applyAlignment="1">
      <alignment horizontal="center"/>
    </xf>
    <xf numFmtId="219" fontId="75" fillId="2" borderId="0" xfId="352" applyFont="1" applyFill="1"/>
    <xf numFmtId="184" fontId="80" fillId="2" borderId="0" xfId="3" applyNumberFormat="1" applyFont="1" applyFill="1" applyBorder="1" applyAlignment="1">
      <alignment horizontal="center"/>
    </xf>
    <xf numFmtId="0" fontId="60" fillId="0" borderId="0" xfId="354" applyFont="1"/>
    <xf numFmtId="3" fontId="60" fillId="0" borderId="0" xfId="354" applyNumberFormat="1" applyFont="1" applyAlignment="1">
      <alignment horizontal="center"/>
    </xf>
    <xf numFmtId="0" fontId="60" fillId="2" borderId="0" xfId="354" applyFont="1" applyFill="1" applyAlignment="1">
      <alignment horizontal="center"/>
    </xf>
    <xf numFmtId="0" fontId="60" fillId="14" borderId="0" xfId="354" applyFont="1" applyFill="1" applyAlignment="1">
      <alignment horizontal="center"/>
    </xf>
    <xf numFmtId="0" fontId="60" fillId="14" borderId="26" xfId="354" applyFont="1" applyFill="1" applyBorder="1" applyAlignment="1">
      <alignment horizontal="center"/>
    </xf>
    <xf numFmtId="0" fontId="60" fillId="0" borderId="0" xfId="354" applyFont="1" applyAlignment="1">
      <alignment horizontal="center"/>
    </xf>
    <xf numFmtId="0" fontId="60" fillId="0" borderId="26" xfId="354" applyFont="1" applyBorder="1" applyAlignment="1">
      <alignment horizontal="center"/>
    </xf>
    <xf numFmtId="3" fontId="60" fillId="2" borderId="0" xfId="354" applyNumberFormat="1" applyFont="1" applyFill="1" applyAlignment="1">
      <alignment horizontal="center"/>
    </xf>
    <xf numFmtId="3" fontId="60" fillId="0" borderId="0" xfId="0" applyNumberFormat="1" applyFont="1" applyAlignment="1">
      <alignment horizontal="center"/>
    </xf>
    <xf numFmtId="0" fontId="60" fillId="0" borderId="0" xfId="0" applyFont="1" applyAlignment="1">
      <alignment horizontal="center"/>
    </xf>
    <xf numFmtId="0" fontId="60" fillId="0" borderId="26" xfId="0" applyFont="1" applyBorder="1" applyAlignment="1">
      <alignment horizontal="center"/>
    </xf>
    <xf numFmtId="0" fontId="68" fillId="0" borderId="0" xfId="354" applyFont="1"/>
    <xf numFmtId="3" fontId="68" fillId="0" borderId="0" xfId="354" applyNumberFormat="1" applyFont="1" applyAlignment="1">
      <alignment horizontal="center"/>
    </xf>
    <xf numFmtId="3" fontId="68" fillId="0" borderId="26" xfId="354" applyNumberFormat="1" applyFont="1" applyBorder="1" applyAlignment="1">
      <alignment horizontal="center"/>
    </xf>
    <xf numFmtId="1" fontId="60" fillId="0" borderId="0" xfId="354" applyNumberFormat="1" applyFont="1" applyAlignment="1">
      <alignment horizontal="center"/>
    </xf>
    <xf numFmtId="1" fontId="60" fillId="0" borderId="26" xfId="354" applyNumberFormat="1" applyFont="1" applyBorder="1" applyAlignment="1">
      <alignment horizontal="center"/>
    </xf>
    <xf numFmtId="279" fontId="60" fillId="0" borderId="0" xfId="352" applyNumberFormat="1" applyFont="1"/>
    <xf numFmtId="313" fontId="68" fillId="0" borderId="0" xfId="354" applyNumberFormat="1" applyFont="1" applyAlignment="1">
      <alignment horizontal="center"/>
    </xf>
    <xf numFmtId="2" fontId="68" fillId="16" borderId="0" xfId="3" applyNumberFormat="1" applyFont="1" applyFill="1" applyBorder="1" applyAlignment="1">
      <alignment horizontal="center"/>
    </xf>
    <xf numFmtId="2" fontId="68" fillId="16" borderId="26" xfId="3" applyNumberFormat="1" applyFont="1" applyFill="1" applyBorder="1" applyAlignment="1">
      <alignment horizontal="center"/>
    </xf>
    <xf numFmtId="220" fontId="60" fillId="0" borderId="0" xfId="0" applyNumberFormat="1" applyFont="1" applyAlignment="1">
      <alignment horizontal="center"/>
    </xf>
    <xf numFmtId="1" fontId="60" fillId="0" borderId="0" xfId="0" applyNumberFormat="1" applyFont="1" applyAlignment="1">
      <alignment horizontal="center"/>
    </xf>
    <xf numFmtId="1" fontId="60" fillId="0" borderId="26" xfId="0" applyNumberFormat="1" applyFont="1" applyBorder="1" applyAlignment="1">
      <alignment horizontal="center"/>
    </xf>
    <xf numFmtId="0" fontId="68" fillId="0" borderId="0" xfId="0" applyFont="1"/>
    <xf numFmtId="1" fontId="68" fillId="0" borderId="0" xfId="0" applyNumberFormat="1" applyFont="1" applyAlignment="1">
      <alignment horizontal="center"/>
    </xf>
    <xf numFmtId="1" fontId="68" fillId="0" borderId="26" xfId="0" applyNumberFormat="1" applyFont="1" applyBorder="1" applyAlignment="1">
      <alignment horizontal="center"/>
    </xf>
    <xf numFmtId="2" fontId="60" fillId="0" borderId="0" xfId="0" applyNumberFormat="1" applyFont="1" applyAlignment="1">
      <alignment horizontal="center"/>
    </xf>
    <xf numFmtId="2" fontId="60" fillId="0" borderId="26" xfId="0" applyNumberFormat="1" applyFont="1" applyBorder="1" applyAlignment="1">
      <alignment horizontal="center"/>
    </xf>
    <xf numFmtId="184" fontId="60" fillId="0" borderId="26" xfId="3" applyNumberFormat="1" applyFont="1" applyBorder="1"/>
    <xf numFmtId="219" fontId="68" fillId="27" borderId="30" xfId="352" applyFont="1" applyFill="1" applyBorder="1"/>
    <xf numFmtId="219" fontId="68" fillId="27" borderId="30" xfId="352" applyFont="1" applyFill="1" applyBorder="1" applyAlignment="1">
      <alignment horizontal="right"/>
    </xf>
    <xf numFmtId="219" fontId="68" fillId="27" borderId="30" xfId="352" applyFont="1" applyFill="1" applyBorder="1" applyAlignment="1">
      <alignment horizontal="center"/>
    </xf>
    <xf numFmtId="219" fontId="68" fillId="27" borderId="0" xfId="352" applyFont="1" applyFill="1" applyAlignment="1">
      <alignment horizontal="center"/>
    </xf>
    <xf numFmtId="219" fontId="68" fillId="27" borderId="26" xfId="352" applyFont="1" applyFill="1" applyBorder="1" applyAlignment="1">
      <alignment horizontal="center"/>
    </xf>
    <xf numFmtId="340" fontId="0" fillId="0" borderId="51" xfId="350" applyNumberFormat="1" applyFont="1" applyBorder="1"/>
    <xf numFmtId="0" fontId="0" fillId="0" borderId="51" xfId="350" applyFont="1" applyBorder="1"/>
    <xf numFmtId="0" fontId="90" fillId="0" borderId="51" xfId="350" applyFont="1" applyBorder="1"/>
    <xf numFmtId="0" fontId="91" fillId="31" borderId="0" xfId="341" applyFont="1" applyFill="1"/>
    <xf numFmtId="0" fontId="91" fillId="29" borderId="0" xfId="341" applyFont="1" applyFill="1"/>
    <xf numFmtId="0" fontId="63" fillId="2" borderId="0" xfId="341" applyFont="1" applyFill="1"/>
    <xf numFmtId="341" fontId="92" fillId="2" borderId="0" xfId="341" applyNumberFormat="1" applyFont="1" applyFill="1" applyAlignment="1">
      <alignment horizontal="left"/>
    </xf>
    <xf numFmtId="0" fontId="93" fillId="31" borderId="0" xfId="341" applyFont="1" applyFill="1"/>
    <xf numFmtId="0" fontId="94" fillId="31" borderId="0" xfId="341" applyFont="1" applyFill="1"/>
    <xf numFmtId="0" fontId="92" fillId="2" borderId="0" xfId="351" applyFont="1" applyFill="1"/>
    <xf numFmtId="0" fontId="91" fillId="2" borderId="0" xfId="351" applyFont="1" applyFill="1"/>
    <xf numFmtId="0" fontId="95" fillId="2" borderId="0" xfId="351" applyFont="1" applyFill="1"/>
    <xf numFmtId="0" fontId="96" fillId="2" borderId="0" xfId="6" applyFill="1" applyAlignment="1" applyProtection="1"/>
    <xf numFmtId="0" fontId="0" fillId="2" borderId="0" xfId="351" applyFont="1" applyFill="1"/>
    <xf numFmtId="0" fontId="97" fillId="2" borderId="0" xfId="353" applyFont="1" applyFill="1" applyAlignment="1">
      <alignment horizontal="left" vertical="center" indent="2"/>
    </xf>
    <xf numFmtId="0" fontId="63" fillId="2" borderId="0" xfId="340" applyFont="1" applyFill="1"/>
    <xf numFmtId="0" fontId="97" fillId="2" borderId="0" xfId="353" applyFont="1" applyFill="1" applyAlignment="1">
      <alignment horizontal="left" vertical="center" indent="1"/>
    </xf>
    <xf numFmtId="0" fontId="63" fillId="2" borderId="0" xfId="351" applyFont="1" applyFill="1"/>
    <xf numFmtId="0" fontId="0" fillId="2" borderId="0" xfId="351" applyFont="1" applyFill="1" quotePrefix="1"/>
    <xf numFmtId="0" fontId="63" fillId="2" borderId="0" xfId="351" applyFont="1" applyFill="1" quotePrefix="1"/>
    <xf numFmtId="0" fontId="7" fillId="0" borderId="0" xfId="0" applyFont="1" quotePrefix="1"/>
    <xf numFmtId="0" fontId="10" fillId="0" borderId="0" xfId="0" applyFont="1" quotePrefix="1"/>
    <xf numFmtId="0" fontId="10" fillId="0" borderId="33" xfId="0" applyFont="1" applyBorder="1" quotePrefix="1"/>
    <xf numFmtId="0" fontId="10" fillId="0" borderId="48" xfId="0" applyFont="1" applyBorder="1" quotePrefix="1"/>
    <xf numFmtId="0" fontId="10" fillId="0" borderId="49" xfId="0" applyFont="1" applyBorder="1" quotePrefix="1"/>
    <xf numFmtId="0" fontId="47" fillId="10" borderId="0" xfId="349" applyFont="1" applyFill="1" applyAlignment="1" quotePrefix="1">
      <alignment horizontal="right"/>
    </xf>
    <xf numFmtId="0" fontId="47" fillId="11" borderId="0" xfId="349" applyFont="1" applyFill="1" applyAlignment="1" quotePrefix="1">
      <alignment horizontal="right"/>
    </xf>
    <xf numFmtId="0" fontId="7" fillId="0" borderId="29" xfId="337" applyFont="1" applyBorder="1" quotePrefix="1"/>
    <xf numFmtId="0" fontId="45" fillId="0" borderId="0" xfId="337" applyFont="1" quotePrefix="1"/>
    <xf numFmtId="0" fontId="11" fillId="0" borderId="31" xfId="0" applyFont="1" applyBorder="1" quotePrefix="1"/>
    <xf numFmtId="0" fontId="11" fillId="0" borderId="33" xfId="0" applyFont="1" applyBorder="1" quotePrefix="1"/>
    <xf numFmtId="0" fontId="7" fillId="0" borderId="33" xfId="337" applyFont="1" applyBorder="1" quotePrefix="1"/>
    <xf numFmtId="0" fontId="7" fillId="0" borderId="49" xfId="337" applyFont="1" applyBorder="1" quotePrefix="1"/>
    <xf numFmtId="0" fontId="10" fillId="0" borderId="27" xfId="337" applyFont="1" applyBorder="1" quotePrefix="1"/>
    <xf numFmtId="184" fontId="27" fillId="16" borderId="0" xfId="3" applyNumberFormat="1" applyFont="1" applyFill="1" applyBorder="1" applyAlignment="1" quotePrefix="1">
      <alignment horizontal="center"/>
    </xf>
    <xf numFmtId="184" fontId="27" fillId="0" borderId="0" xfId="3" applyNumberFormat="1" applyFont="1" applyBorder="1" applyAlignment="1" quotePrefix="1">
      <alignment horizontal="center"/>
    </xf>
    <xf numFmtId="0" fontId="2" fillId="0" borderId="6" xfId="0" applyFont="1" applyBorder="1" applyAlignment="1" quotePrefix="1">
      <alignment horizontal="left" indent="1"/>
    </xf>
    <xf numFmtId="0" fontId="5" fillId="0" borderId="6" xfId="0" applyFont="1" applyBorder="1" applyAlignment="1" quotePrefix="1">
      <alignment horizontal="left"/>
    </xf>
  </cellXfs>
  <cellStyles count="5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'" xfId="49"/>
    <cellStyle name="—" xfId="50"/>
    <cellStyle name="$000s1Place" xfId="51"/>
    <cellStyle name="$MMs1Place" xfId="52"/>
    <cellStyle name="$MMs2Places" xfId="53"/>
    <cellStyle name="%" xfId="54"/>
    <cellStyle name="% inc" xfId="55"/>
    <cellStyle name="(1,000)" xfId="56"/>
    <cellStyle name="(1,000)x" xfId="57"/>
    <cellStyle name="******************************************" xfId="58"/>
    <cellStyle name="***.*; (***.*)" xfId="59"/>
    <cellStyle name="@NOW" xfId="60"/>
    <cellStyle name="_%(SignOnly)" xfId="61"/>
    <cellStyle name="_%(SignSpaceOnly)" xfId="62"/>
    <cellStyle name="—_Book2" xfId="63"/>
    <cellStyle name="—_Book2_Book7" xfId="64"/>
    <cellStyle name="—_Book7" xfId="65"/>
    <cellStyle name="_Comma" xfId="66"/>
    <cellStyle name="_Comma_01 adj for merger plan" xfId="67"/>
    <cellStyle name="_Comma_AFL" xfId="68"/>
    <cellStyle name="_Comma_AMP" xfId="69"/>
    <cellStyle name="_Comma_fmbi counties" xfId="70"/>
    <cellStyle name="_Comma_Inditex New Model" xfId="71"/>
    <cellStyle name="_Currency" xfId="72"/>
    <cellStyle name="_Currency_01 adj for merger plan" xfId="73"/>
    <cellStyle name="_Currency_AF1" xfId="74"/>
    <cellStyle name="_Currency_AMP" xfId="75"/>
    <cellStyle name="_Currency_BA-DCF" xfId="76"/>
    <cellStyle name="_Currency_Book1_Douglas Model" xfId="77"/>
    <cellStyle name="_Currency_Book2" xfId="78"/>
    <cellStyle name="_Currency_Carpetright WIP" xfId="79"/>
    <cellStyle name="_Currency_Euston DCF" xfId="80"/>
    <cellStyle name="_Currency_fmbi counties" xfId="81"/>
    <cellStyle name="_Currency_HeidelbergCement" xfId="82"/>
    <cellStyle name="_Currency_Holcim" xfId="83"/>
    <cellStyle name="_Currency_MET04" xfId="84"/>
    <cellStyle name="_CurrencySpace" xfId="85"/>
    <cellStyle name="_CurrencySpace_01 adj for merger plan" xfId="86"/>
    <cellStyle name="_CurrencySpace_AMP" xfId="87"/>
    <cellStyle name="_CurrencySpace_fmbi counties" xfId="88"/>
    <cellStyle name="_CurrencySpace_MET04" xfId="89"/>
    <cellStyle name="_CurrencySpace_QP_PUMG.DE" xfId="90"/>
    <cellStyle name="—_EM_FETone" xfId="91"/>
    <cellStyle name="_Euro" xfId="92"/>
    <cellStyle name="—_GS Assumptions-F_Book7" xfId="93"/>
    <cellStyle name="—_GS Assumptions-F_DoCoMo table 10July2000" xfId="94"/>
    <cellStyle name="_GS_Valuation_Sheet_060707" xfId="95"/>
    <cellStyle name="_Heading" xfId="96"/>
    <cellStyle name="_HeadingBlue" xfId="97"/>
    <cellStyle name="_Highlight" xfId="98"/>
    <cellStyle name="—_I&amp;O Report Tables_Book7" xfId="99"/>
    <cellStyle name="—_I&amp;O Report Tables_candicetables_Book7" xfId="100"/>
    <cellStyle name="_KPN Fixed" xfId="101"/>
    <cellStyle name="_Multiple" xfId="102"/>
    <cellStyle name="_Multiple_01 adj for merger plan" xfId="103"/>
    <cellStyle name="_Multiple_AMP" xfId="104"/>
    <cellStyle name="_Multiple_fmbi counties" xfId="105"/>
    <cellStyle name="_Multiple_FMBI MBHI Graphs" xfId="106"/>
    <cellStyle name="_Multiple_Inditex New Model" xfId="107"/>
    <cellStyle name="_Multiple_ISP_cleared" xfId="108"/>
    <cellStyle name="_Multiple_MET04" xfId="109"/>
    <cellStyle name="_MultipleSpace" xfId="110"/>
    <cellStyle name="_MultipleSpace_01 adj for merger plan" xfId="111"/>
    <cellStyle name="_MultipleSpace_AMP" xfId="112"/>
    <cellStyle name="_MultipleSpace_Analysis of Generali Offer" xfId="113"/>
    <cellStyle name="_MultipleSpace_Bulgari Model " xfId="114"/>
    <cellStyle name="_MultipleSpace_fmbi counties" xfId="115"/>
    <cellStyle name="_MultipleSpace_FMBI MBHI Graphs" xfId="116"/>
    <cellStyle name="_MultipleSpace_Inditex New Model" xfId="117"/>
    <cellStyle name="_MultipleSpace_MET04" xfId="118"/>
    <cellStyle name="_Percent" xfId="119"/>
    <cellStyle name="_Percent_Analysis of Generali Offer" xfId="120"/>
    <cellStyle name="_Percent_DCF Alexander Forbes" xfId="121"/>
    <cellStyle name="_PercentSpace" xfId="122"/>
    <cellStyle name="_PercentSpace_01 adj for merger plan" xfId="123"/>
    <cellStyle name="_PercentSpace_Analysis of Generali Offer" xfId="124"/>
    <cellStyle name="—_report1198tables_anne_Book7" xfId="125"/>
    <cellStyle name="—_report1198tables_Book7" xfId="126"/>
    <cellStyle name="_SubHeading" xfId="127"/>
    <cellStyle name="_SubHeading_BankUnited Model" xfId="128"/>
    <cellStyle name="_Table" xfId="129"/>
    <cellStyle name="_Table_BankUnited Model" xfId="130"/>
    <cellStyle name="_TableHead" xfId="131"/>
    <cellStyle name="_TableRowBorder" xfId="132"/>
    <cellStyle name="_TableRowHead" xfId="133"/>
    <cellStyle name="_TableSuperHead" xfId="134"/>
    <cellStyle name="_TableSuperHead_BankUnited Model" xfId="135"/>
    <cellStyle name="_TableText" xfId="136"/>
    <cellStyle name="0%" xfId="137"/>
    <cellStyle name="0.0%" xfId="138"/>
    <cellStyle name="0.00%" xfId="139"/>
    <cellStyle name="1 decimales" xfId="140"/>
    <cellStyle name="1,000" xfId="141"/>
    <cellStyle name="1,000x" xfId="142"/>
    <cellStyle name="1000s1Place" xfId="143"/>
    <cellStyle name="1MMs1Place" xfId="144"/>
    <cellStyle name="1MMs2Places" xfId="145"/>
    <cellStyle name="2 decimales" xfId="146"/>
    <cellStyle name="2 Decimals" xfId="147"/>
    <cellStyle name="3 Decimals" xfId="148"/>
    <cellStyle name="A_Block Space" xfId="149"/>
    <cellStyle name="A_BlueLine" xfId="150"/>
    <cellStyle name="A_Do not Change" xfId="151"/>
    <cellStyle name="A_Estimate" xfId="152"/>
    <cellStyle name="A_Memo" xfId="153"/>
    <cellStyle name="A_Normal" xfId="154"/>
    <cellStyle name="A_Normal Forecast" xfId="155"/>
    <cellStyle name="A_Normal Historical" xfId="156"/>
    <cellStyle name="A_Rate_Data" xfId="157"/>
    <cellStyle name="A_Rate_Data Historical" xfId="158"/>
    <cellStyle name="A_Rate_Title" xfId="159"/>
    <cellStyle name="A_Simple Title" xfId="160"/>
    <cellStyle name="A_Sum" xfId="161"/>
    <cellStyle name="A_SUM_Row Major" xfId="162"/>
    <cellStyle name="A_SUM_Row Minor" xfId="163"/>
    <cellStyle name="A_Title" xfId="164"/>
    <cellStyle name="A_YearHeadings" xfId="165"/>
    <cellStyle name="AcctgDollrDash0" xfId="166"/>
    <cellStyle name="act" xfId="167"/>
    <cellStyle name="Actual data" xfId="168"/>
    <cellStyle name="Actual year" xfId="169"/>
    <cellStyle name="Actuals Cells" xfId="170"/>
    <cellStyle name="AFE" xfId="171"/>
    <cellStyle name="afl" xfId="172"/>
    <cellStyle name="Andre's Title" xfId="173"/>
    <cellStyle name="annee semestre" xfId="174"/>
    <cellStyle name="Ann'l_Incr" xfId="175"/>
    <cellStyle name="Arial6Bold" xfId="176"/>
    <cellStyle name="Arial8Bold" xfId="177"/>
    <cellStyle name="Arial8Italic" xfId="178"/>
    <cellStyle name="ArialNormal" xfId="179"/>
    <cellStyle name="As_Reported" xfId="180"/>
    <cellStyle name="b" xfId="181"/>
    <cellStyle name="B_Benetton_new" xfId="182"/>
    <cellStyle name="Bad 2" xfId="183"/>
    <cellStyle name="Band 1" xfId="184"/>
    <cellStyle name="Band 2" xfId="185"/>
    <cellStyle name="Banner" xfId="186"/>
    <cellStyle name="bbox" xfId="187"/>
    <cellStyle name="bhard" xfId="188"/>
    <cellStyle name="Blank" xfId="189"/>
    <cellStyle name="Blight" xfId="190"/>
    <cellStyle name="blue" xfId="191"/>
    <cellStyle name="Blue Shading" xfId="192"/>
    <cellStyle name="Blue Title" xfId="193"/>
    <cellStyle name="bluehead" xfId="194"/>
    <cellStyle name="Body" xfId="195"/>
    <cellStyle name="Bold Bottom" xfId="196"/>
    <cellStyle name="Bold Text" xfId="197"/>
    <cellStyle name="Bold Text + Line" xfId="198"/>
    <cellStyle name="bord" xfId="199"/>
    <cellStyle name="Calc Cells" xfId="200"/>
    <cellStyle name="Case" xfId="201"/>
    <cellStyle name="Center" xfId="202"/>
    <cellStyle name="check" xfId="203"/>
    <cellStyle name="claire" xfId="204"/>
    <cellStyle name="Co. Names - Bold" xfId="205"/>
    <cellStyle name="Code" xfId="206"/>
    <cellStyle name="Col Head" xfId="207"/>
    <cellStyle name="ColHeading" xfId="208"/>
    <cellStyle name="ColumnHeadings" xfId="209"/>
    <cellStyle name="ColumnHeadings2" xfId="210"/>
    <cellStyle name="Comma  - Style1" xfId="211"/>
    <cellStyle name="Comma [1]" xfId="212"/>
    <cellStyle name="Comma 0" xfId="213"/>
    <cellStyle name="Comma 0*" xfId="214"/>
    <cellStyle name="Comma 0_GS_Valuation_Sheet_060707" xfId="215"/>
    <cellStyle name="Comma 2" xfId="216"/>
    <cellStyle name="Comma 3 2" xfId="217"/>
    <cellStyle name="Comma_Adidas Model_Book1" xfId="218"/>
    <cellStyle name="Comma0" xfId="219"/>
    <cellStyle name="Comma1" xfId="220"/>
    <cellStyle name="Comma2" xfId="221"/>
    <cellStyle name="Company" xfId="222"/>
    <cellStyle name="Company name" xfId="223"/>
    <cellStyle name="Company_Allied" xfId="224"/>
    <cellStyle name="CompanyTitle" xfId="225"/>
    <cellStyle name="Completo" xfId="226"/>
    <cellStyle name="CurRatio" xfId="227"/>
    <cellStyle name="Currency [2]" xfId="228"/>
    <cellStyle name="Currency 0" xfId="229"/>
    <cellStyle name="Currency 2" xfId="230"/>
    <cellStyle name="Currency_OPERINC" xfId="231"/>
    <cellStyle name="Currency0" xfId="232"/>
    <cellStyle name="Currency2" xfId="233"/>
    <cellStyle name="CUS.Work.Area" xfId="234"/>
    <cellStyle name="DataBases" xfId="235"/>
    <cellStyle name="DataToHide" xfId="236"/>
    <cellStyle name="date" xfId="237"/>
    <cellStyle name="Date Aligned" xfId="238"/>
    <cellStyle name="Dates" xfId="239"/>
    <cellStyle name="Dec" xfId="240"/>
    <cellStyle name="default" xfId="241"/>
    <cellStyle name="Dollar" xfId="242"/>
    <cellStyle name="données" xfId="243"/>
    <cellStyle name="donnéesbord" xfId="244"/>
    <cellStyle name="Dos decimales" xfId="245"/>
    <cellStyle name="Dotted Line" xfId="246"/>
    <cellStyle name="Download" xfId="247"/>
    <cellStyle name="ec" xfId="248"/>
    <cellStyle name="Eingabe" xfId="249"/>
    <cellStyle name="emp" xfId="250"/>
    <cellStyle name="Entities" xfId="251"/>
    <cellStyle name="Entry" xfId="252"/>
    <cellStyle name="exp" xfId="253"/>
    <cellStyle name="External File Cells" xfId="254"/>
    <cellStyle name="FieldName" xfId="255"/>
    <cellStyle name="Final_Data" xfId="256"/>
    <cellStyle name="Financial" xfId="257"/>
    <cellStyle name="Fit" xfId="258"/>
    <cellStyle name="Fixed" xfId="259"/>
    <cellStyle name="Fixed0" xfId="260"/>
    <cellStyle name="Footnote" xfId="261"/>
    <cellStyle name="Footnotes" xfId="262"/>
    <cellStyle name="Forecast Cells" xfId="263"/>
    <cellStyle name="fourdecplace" xfId="264"/>
    <cellStyle name="frame" xfId="265"/>
    <cellStyle name="G1_1999 figures" xfId="266"/>
    <cellStyle name="gbox" xfId="267"/>
    <cellStyle name="General" xfId="268"/>
    <cellStyle name="Global" xfId="269"/>
    <cellStyle name="Good 2" xfId="270"/>
    <cellStyle name="green" xfId="271"/>
    <cellStyle name="Grey Heading" xfId="272"/>
    <cellStyle name="guy" xfId="273"/>
    <cellStyle name="H_1998_col_head" xfId="274"/>
    <cellStyle name="H_1999_col_head" xfId="275"/>
    <cellStyle name="H_1999_col_head_GQ_1" xfId="276"/>
    <cellStyle name="H1_1998 figures" xfId="277"/>
    <cellStyle name="hard no." xfId="278"/>
    <cellStyle name="Hard Percent" xfId="279"/>
    <cellStyle name="hblue" xfId="280"/>
    <cellStyle name="Header" xfId="281"/>
    <cellStyle name="Header1" xfId="282"/>
    <cellStyle name="Header2" xfId="283"/>
    <cellStyle name="Heading" xfId="284"/>
    <cellStyle name="Heading SS" xfId="285"/>
    <cellStyle name="Heading1" xfId="286"/>
    <cellStyle name="Helv" xfId="287"/>
    <cellStyle name="Hyperlink 3" xfId="288"/>
    <cellStyle name="iannumber" xfId="289"/>
    <cellStyle name="ianpercent" xfId="290"/>
    <cellStyle name="Input Cells" xfId="291"/>
    <cellStyle name="InputBlueFont" xfId="292"/>
    <cellStyle name="Input-Text Only" xfId="293"/>
    <cellStyle name="Integer" xfId="294"/>
    <cellStyle name="Italic" xfId="295"/>
    <cellStyle name="Item" xfId="296"/>
    <cellStyle name="Item Descriptions" xfId="297"/>
    <cellStyle name="ItemTypeClass" xfId="298"/>
    <cellStyle name="jaune" xfId="299"/>
    <cellStyle name="Komma_p&amp;l (2)" xfId="300"/>
    <cellStyle name="lblues" xfId="301"/>
    <cellStyle name="line" xfId="302"/>
    <cellStyle name="LineBottom" xfId="303"/>
    <cellStyle name="LineTop" xfId="304"/>
    <cellStyle name="linked" xfId="305"/>
    <cellStyle name="LN" xfId="306"/>
    <cellStyle name="LookUpText" xfId="307"/>
    <cellStyle name="m" xfId="308"/>
    <cellStyle name="mag" xfId="309"/>
    <cellStyle name="Main Text" xfId="310"/>
    <cellStyle name="Main Text + Line" xfId="311"/>
    <cellStyle name="Main Text Bot%" xfId="312"/>
    <cellStyle name="Main Text Bottom" xfId="313"/>
    <cellStyle name="Mainhead" xfId="314"/>
    <cellStyle name="margin" xfId="315"/>
    <cellStyle name="Merrill" xfId="316"/>
    <cellStyle name="Migliaia_ADMI" xfId="317"/>
    <cellStyle name="Mil" xfId="318"/>
    <cellStyle name="Millares Vir" xfId="319"/>
    <cellStyle name="Milliers [0]_laroux" xfId="320"/>
    <cellStyle name="Mix" xfId="321"/>
    <cellStyle name="mo" xfId="322"/>
    <cellStyle name="Monétaire [0]_laroux" xfId="323"/>
    <cellStyle name="Monétaire_laroux" xfId="324"/>
    <cellStyle name="Monitor" xfId="325"/>
    <cellStyle name="MS_Arabic" xfId="326"/>
    <cellStyle name="Multiple" xfId="327"/>
    <cellStyle name="n" xfId="328"/>
    <cellStyle name="nb" xfId="329"/>
    <cellStyle name="ncurrency" xfId="330"/>
    <cellStyle name="Neutral 2" xfId="331"/>
    <cellStyle name="ninput" xfId="332"/>
    <cellStyle name="nnnn" xfId="333"/>
    <cellStyle name="no dec" xfId="334"/>
    <cellStyle name="Nodec" xfId="335"/>
    <cellStyle name="nonmultiple" xfId="336"/>
    <cellStyle name="Normal - Style1" xfId="337"/>
    <cellStyle name="Normal 10" xfId="338"/>
    <cellStyle name="Normal 2" xfId="339"/>
    <cellStyle name="Normal 2 2" xfId="340"/>
    <cellStyle name="Normal 2 3" xfId="341"/>
    <cellStyle name="Normal 4 2" xfId="342"/>
    <cellStyle name="Normal 5" xfId="343"/>
    <cellStyle name="Normal 9" xfId="344"/>
    <cellStyle name="Normal Cells" xfId="345"/>
    <cellStyle name="Normal(0)" xfId="346"/>
    <cellStyle name="Normal_Adidas Model" xfId="347"/>
    <cellStyle name="Normal_adidas_Group_key_figures(1)" xfId="348"/>
    <cellStyle name="Normal_ANF" xfId="349"/>
    <cellStyle name="Normal_Industrial template" xfId="350"/>
    <cellStyle name="Normal_JCP (cleared)" xfId="351"/>
    <cellStyle name="Normal_OPERINC" xfId="352"/>
    <cellStyle name="Normal_Sector_Summary_Pack_Eur" xfId="353"/>
    <cellStyle name="Normal_Sporting Goods master file" xfId="354"/>
    <cellStyle name="Normale_ADMI" xfId="355"/>
    <cellStyle name="Normalny_SAQ_NEW" xfId="356"/>
    <cellStyle name="Notes" xfId="357"/>
    <cellStyle name="npercent" xfId="358"/>
    <cellStyle name="NPI" xfId="359"/>
    <cellStyle name="Number" xfId="360"/>
    <cellStyle name="Numbers - Bold" xfId="361"/>
    <cellStyle name="Numbers - Large" xfId="362"/>
    <cellStyle name="NumberX" xfId="363"/>
    <cellStyle name="OScommands" xfId="364"/>
    <cellStyle name="OSW_ColumnLabels" xfId="365"/>
    <cellStyle name="Output 2" xfId="366"/>
    <cellStyle name="p" xfId="367"/>
    <cellStyle name="Page" xfId="368"/>
    <cellStyle name="Page header" xfId="369"/>
    <cellStyle name="Page Number" xfId="370"/>
    <cellStyle name="Per" xfId="371"/>
    <cellStyle name="Percent 2" xfId="372"/>
    <cellStyle name="Percent 2 2" xfId="373"/>
    <cellStyle name="Percent 5" xfId="374"/>
    <cellStyle name="Percent Vir" xfId="375"/>
    <cellStyle name="Percent_OPERINC" xfId="376"/>
    <cellStyle name="Percent1" xfId="377"/>
    <cellStyle name="Percent2" xfId="378"/>
    <cellStyle name="Percentage" xfId="379"/>
    <cellStyle name="PercentChange" xfId="380"/>
    <cellStyle name="PercentDash0" xfId="381"/>
    <cellStyle name="PercentNoDash" xfId="382"/>
    <cellStyle name="PercentText1" xfId="383"/>
    <cellStyle name="PercentText2" xfId="384"/>
    <cellStyle name="Periods" xfId="385"/>
    <cellStyle name="Pershare" xfId="386"/>
    <cellStyle name="point" xfId="387"/>
    <cellStyle name="Porcentual 1 dec" xfId="388"/>
    <cellStyle name="Porcentual_UPDATE" xfId="389"/>
    <cellStyle name="Presentation" xfId="390"/>
    <cellStyle name="Price" xfId="391"/>
    <cellStyle name="projection" xfId="392"/>
    <cellStyle name="prot" xfId="393"/>
    <cellStyle name="Protected" xfId="394"/>
    <cellStyle name="ProtectedDates" xfId="395"/>
    <cellStyle name="Punto" xfId="396"/>
    <cellStyle name="r" xfId="397"/>
    <cellStyle name="R_BUSINESS AREA" xfId="398"/>
    <cellStyle name="r_LAYOUTS bank" xfId="399"/>
    <cellStyle name="Ratio" xfId="400"/>
    <cellStyle name="RatioX" xfId="401"/>
    <cellStyle name="ReadInData" xfId="402"/>
    <cellStyle name="red" xfId="403"/>
    <cellStyle name="Ref Numbers" xfId="404"/>
    <cellStyle name="ReportNums" xfId="405"/>
    <cellStyle name="Result" xfId="406"/>
    <cellStyle name="Reuters Cells" xfId="407"/>
    <cellStyle name="row_no_line" xfId="408"/>
    <cellStyle name="s" xfId="409"/>
    <cellStyle name="ScripFactor" xfId="410"/>
    <cellStyle name="SDHeader" xfId="411"/>
    <cellStyle name="SectionHeading" xfId="412"/>
    <cellStyle name="SEHeader" xfId="413"/>
    <cellStyle name="semestre" xfId="414"/>
    <cellStyle name="SEPEntry" xfId="415"/>
    <cellStyle name="ShadedCells_Database" xfId="416"/>
    <cellStyle name="Shading" xfId="417"/>
    <cellStyle name="Share" xfId="418"/>
    <cellStyle name="Sheet Title" xfId="419"/>
    <cellStyle name="ShOut" xfId="420"/>
    <cellStyle name="Size10Pt" xfId="421"/>
    <cellStyle name="Size12Pt" xfId="422"/>
    <cellStyle name="Size8Pt" xfId="423"/>
    <cellStyle name="SN" xfId="424"/>
    <cellStyle name="Source" xfId="425"/>
    <cellStyle name="Source Line" xfId="426"/>
    <cellStyle name="SS1000" xfId="427"/>
    <cellStyle name="Standaard_Map2" xfId="428"/>
    <cellStyle name="Standard" xfId="429"/>
    <cellStyle name="std" xfId="430"/>
    <cellStyle name="Strikethru" xfId="431"/>
    <cellStyle name="Style 2" xfId="432"/>
    <cellStyle name="Style D green" xfId="433"/>
    <cellStyle name="Style E" xfId="434"/>
    <cellStyle name="Style H" xfId="435"/>
    <cellStyle name="Sub total" xfId="436"/>
    <cellStyle name="SubTotal" xfId="437"/>
    <cellStyle name="Sum" xfId="438"/>
    <cellStyle name="Swiss" xfId="439"/>
    <cellStyle name="swisses" xfId="440"/>
    <cellStyle name="SymbolBlue" xfId="441"/>
    <cellStyle name="t" xfId="442"/>
    <cellStyle name="t%" xfId="443"/>
    <cellStyle name="Table" xfId="444"/>
    <cellStyle name="Table end" xfId="445"/>
    <cellStyle name="Table head" xfId="446"/>
    <cellStyle name="Table Head Aligned" xfId="447"/>
    <cellStyle name="Table Head Blue" xfId="448"/>
    <cellStyle name="Table Head Green" xfId="449"/>
    <cellStyle name="Table Heading" xfId="450"/>
    <cellStyle name="table text bold" xfId="451"/>
    <cellStyle name="table text bold green" xfId="452"/>
    <cellStyle name="table text light" xfId="453"/>
    <cellStyle name="Table Title" xfId="454"/>
    <cellStyle name="Table Units" xfId="455"/>
    <cellStyle name="Teksti" xfId="456"/>
    <cellStyle name="tête chapitre" xfId="457"/>
    <cellStyle name="TextDys0" xfId="458"/>
    <cellStyle name="TextDys1" xfId="459"/>
    <cellStyle name="TextYrs0" xfId="460"/>
    <cellStyle name="TextYrs1" xfId="461"/>
    <cellStyle name="threedecplace" xfId="462"/>
    <cellStyle name="Time" xfId="463"/>
    <cellStyle name="times" xfId="464"/>
    <cellStyle name="titel" xfId="465"/>
    <cellStyle name="Title - PROJECT" xfId="466"/>
    <cellStyle name="Title - Underline" xfId="467"/>
    <cellStyle name="Title Line" xfId="468"/>
    <cellStyle name="Title1" xfId="469"/>
    <cellStyle name="Title2" xfId="470"/>
    <cellStyle name="Titles" xfId="471"/>
    <cellStyle name="Titles - Col. Headings" xfId="472"/>
    <cellStyle name="Titles - Other" xfId="473"/>
    <cellStyle name="titre" xfId="474"/>
    <cellStyle name="Top Line" xfId="475"/>
    <cellStyle name="Top Row" xfId="476"/>
    <cellStyle name="Topline" xfId="477"/>
    <cellStyle name="Total Row" xfId="478"/>
    <cellStyle name="Totals" xfId="479"/>
    <cellStyle name="twodecplace" xfId="480"/>
    <cellStyle name="Twodig" xfId="481"/>
    <cellStyle name="UI Background" xfId="482"/>
    <cellStyle name="UIScreenText" xfId="483"/>
    <cellStyle name="Underline" xfId="484"/>
    <cellStyle name="Underline(0)" xfId="485"/>
    <cellStyle name="Uniwers 9" xfId="486"/>
    <cellStyle name="unm" xfId="487"/>
    <cellStyle name="UnProtectedCalc" xfId="488"/>
    <cellStyle name="Upload Only" xfId="489"/>
    <cellStyle name="Upper Line" xfId="490"/>
    <cellStyle name="Validation" xfId="491"/>
    <cellStyle name="Valuta (0)_ADMI" xfId="492"/>
    <cellStyle name="Variables" xfId="493"/>
    <cellStyle name="Vir" xfId="494"/>
    <cellStyle name="weden" xfId="495"/>
    <cellStyle name="WingdingsBlack" xfId="496"/>
    <cellStyle name="WingdingsRed" xfId="497"/>
    <cellStyle name="WingdingsWhite" xfId="498"/>
    <cellStyle name="Wrap" xfId="499"/>
    <cellStyle name="x" xfId="500"/>
    <cellStyle name="x_BRBY.L" xfId="501"/>
    <cellStyle name="YAxisData" xfId="502"/>
    <cellStyle name="Year" xfId="503"/>
    <cellStyle name="Year2" xfId="504"/>
    <cellStyle name="Years" xfId="505"/>
    <cellStyle name="yellow" xfId="506"/>
    <cellStyle name="yläots" xfId="507"/>
    <cellStyle name="パーセント_QTBLNEW" xfId="508"/>
    <cellStyle name="桁区切り [0.00]_GQ Industrial Contribution Sheet_format" xfId="509"/>
    <cellStyle name="標準_Billions NTT and DCM USGAAP 0210281" xfId="5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E76AA"/>
      <rgbColor rgb="00CFD6E6"/>
      <rgbColor rgb="009EADCC"/>
      <rgbColor rgb="00EFF1F6"/>
      <rgbColor rgb="00BFC8DD"/>
      <rgbColor rgb="008E9FC4"/>
      <rgbColor rgb="00DFE4EE"/>
      <rgbColor rgb="00AEBAD5"/>
      <rgbColor rgb="00000000"/>
      <rgbColor rgb="00AAAAAA"/>
      <rgbColor rgb="00444444"/>
      <rgbColor rgb="00CCCCCC"/>
      <rgbColor rgb="00888888"/>
      <rgbColor rgb="00666666"/>
      <rgbColor rgb="00EEEEEE"/>
      <rgbColor rgb="00222222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1.xml"/><Relationship Id="rId98" Type="http://schemas.openxmlformats.org/officeDocument/2006/relationships/externalLink" Target="externalLinks/externalLink80.xml"/><Relationship Id="rId97" Type="http://schemas.openxmlformats.org/officeDocument/2006/relationships/externalLink" Target="externalLinks/externalLink79.xml"/><Relationship Id="rId96" Type="http://schemas.openxmlformats.org/officeDocument/2006/relationships/externalLink" Target="externalLinks/externalLink78.xml"/><Relationship Id="rId95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76.xml"/><Relationship Id="rId93" Type="http://schemas.openxmlformats.org/officeDocument/2006/relationships/externalLink" Target="externalLinks/externalLink75.xml"/><Relationship Id="rId92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73.xml"/><Relationship Id="rId90" Type="http://schemas.openxmlformats.org/officeDocument/2006/relationships/externalLink" Target="externalLinks/externalLink72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0.xml"/><Relationship Id="rId87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66.xml"/><Relationship Id="rId83" Type="http://schemas.openxmlformats.org/officeDocument/2006/relationships/externalLink" Target="externalLinks/externalLink65.xml"/><Relationship Id="rId82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3.xml"/><Relationship Id="rId80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0.xml"/><Relationship Id="rId77" Type="http://schemas.openxmlformats.org/officeDocument/2006/relationships/externalLink" Target="externalLinks/externalLink59.xml"/><Relationship Id="rId76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55.xml"/><Relationship Id="rId72" Type="http://schemas.openxmlformats.org/officeDocument/2006/relationships/externalLink" Target="externalLinks/externalLink54.xml"/><Relationship Id="rId71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52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49.xml"/><Relationship Id="rId66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44.xml"/><Relationship Id="rId61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42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34.xml"/><Relationship Id="rId51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32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24.xml"/><Relationship Id="rId41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9.xml"/><Relationship Id="rId26" Type="http://schemas.openxmlformats.org/officeDocument/2006/relationships/externalLink" Target="externalLinks/externalLink8.xml"/><Relationship Id="rId25" Type="http://schemas.openxmlformats.org/officeDocument/2006/relationships/externalLink" Target="externalLinks/externalLink7.xml"/><Relationship Id="rId24" Type="http://schemas.openxmlformats.org/officeDocument/2006/relationships/externalLink" Target="externalLinks/externalLink6.xml"/><Relationship Id="rId23" Type="http://schemas.openxmlformats.org/officeDocument/2006/relationships/externalLink" Target="externalLinks/externalLink5.xml"/><Relationship Id="rId22" Type="http://schemas.openxmlformats.org/officeDocument/2006/relationships/externalLink" Target="externalLinks/externalLink4.xml"/><Relationship Id="rId21" Type="http://schemas.openxmlformats.org/officeDocument/2006/relationships/externalLink" Target="externalLinks/externalLink3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1" Type="http://schemas.openxmlformats.org/officeDocument/2006/relationships/styles" Target="styles.xml"/><Relationship Id="rId16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59" Type="http://schemas.openxmlformats.org/officeDocument/2006/relationships/theme" Target="theme/theme1.xml"/><Relationship Id="rId158" Type="http://schemas.openxmlformats.org/officeDocument/2006/relationships/externalLink" Target="externalLinks/externalLink140.xml"/><Relationship Id="rId157" Type="http://schemas.openxmlformats.org/officeDocument/2006/relationships/externalLink" Target="externalLinks/externalLink139.xml"/><Relationship Id="rId156" Type="http://schemas.openxmlformats.org/officeDocument/2006/relationships/externalLink" Target="externalLinks/externalLink138.xml"/><Relationship Id="rId155" Type="http://schemas.openxmlformats.org/officeDocument/2006/relationships/externalLink" Target="externalLinks/externalLink137.xml"/><Relationship Id="rId154" Type="http://schemas.openxmlformats.org/officeDocument/2006/relationships/externalLink" Target="externalLinks/externalLink136.xml"/><Relationship Id="rId153" Type="http://schemas.openxmlformats.org/officeDocument/2006/relationships/externalLink" Target="externalLinks/externalLink135.xml"/><Relationship Id="rId152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33.xml"/><Relationship Id="rId150" Type="http://schemas.openxmlformats.org/officeDocument/2006/relationships/externalLink" Target="externalLinks/externalLink132.xml"/><Relationship Id="rId15" Type="http://schemas.openxmlformats.org/officeDocument/2006/relationships/worksheet" Target="worksheets/sheet15.xml"/><Relationship Id="rId149" Type="http://schemas.openxmlformats.org/officeDocument/2006/relationships/externalLink" Target="externalLinks/externalLink131.xml"/><Relationship Id="rId148" Type="http://schemas.openxmlformats.org/officeDocument/2006/relationships/externalLink" Target="externalLinks/externalLink130.xml"/><Relationship Id="rId147" Type="http://schemas.openxmlformats.org/officeDocument/2006/relationships/externalLink" Target="externalLinks/externalLink129.xml"/><Relationship Id="rId146" Type="http://schemas.openxmlformats.org/officeDocument/2006/relationships/externalLink" Target="externalLinks/externalLink128.xml"/><Relationship Id="rId145" Type="http://schemas.openxmlformats.org/officeDocument/2006/relationships/externalLink" Target="externalLinks/externalLink127.xml"/><Relationship Id="rId144" Type="http://schemas.openxmlformats.org/officeDocument/2006/relationships/externalLink" Target="externalLinks/externalLink126.xml"/><Relationship Id="rId143" Type="http://schemas.openxmlformats.org/officeDocument/2006/relationships/externalLink" Target="externalLinks/externalLink125.xml"/><Relationship Id="rId142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23.xml"/><Relationship Id="rId140" Type="http://schemas.openxmlformats.org/officeDocument/2006/relationships/externalLink" Target="externalLinks/externalLink122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121.xml"/><Relationship Id="rId138" Type="http://schemas.openxmlformats.org/officeDocument/2006/relationships/externalLink" Target="externalLinks/externalLink120.xml"/><Relationship Id="rId137" Type="http://schemas.openxmlformats.org/officeDocument/2006/relationships/externalLink" Target="externalLinks/externalLink119.xml"/><Relationship Id="rId136" Type="http://schemas.openxmlformats.org/officeDocument/2006/relationships/externalLink" Target="externalLinks/externalLink118.xml"/><Relationship Id="rId135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16.xml"/><Relationship Id="rId133" Type="http://schemas.openxmlformats.org/officeDocument/2006/relationships/externalLink" Target="externalLinks/externalLink115.xml"/><Relationship Id="rId132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13.xml"/><Relationship Id="rId130" Type="http://schemas.openxmlformats.org/officeDocument/2006/relationships/externalLink" Target="externalLinks/externalLink112.xml"/><Relationship Id="rId13" Type="http://schemas.openxmlformats.org/officeDocument/2006/relationships/worksheet" Target="worksheets/sheet13.xml"/><Relationship Id="rId129" Type="http://schemas.openxmlformats.org/officeDocument/2006/relationships/externalLink" Target="externalLinks/externalLink111.xml"/><Relationship Id="rId128" Type="http://schemas.openxmlformats.org/officeDocument/2006/relationships/externalLink" Target="externalLinks/externalLink110.xml"/><Relationship Id="rId127" Type="http://schemas.openxmlformats.org/officeDocument/2006/relationships/externalLink" Target="externalLinks/externalLink109.xml"/><Relationship Id="rId126" Type="http://schemas.openxmlformats.org/officeDocument/2006/relationships/externalLink" Target="externalLinks/externalLink108.xml"/><Relationship Id="rId125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06.xml"/><Relationship Id="rId123" Type="http://schemas.openxmlformats.org/officeDocument/2006/relationships/externalLink" Target="externalLinks/externalLink105.xml"/><Relationship Id="rId122" Type="http://schemas.openxmlformats.org/officeDocument/2006/relationships/externalLink" Target="externalLinks/externalLink104.xml"/><Relationship Id="rId121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02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101.xml"/><Relationship Id="rId118" Type="http://schemas.openxmlformats.org/officeDocument/2006/relationships/externalLink" Target="externalLinks/externalLink100.xml"/><Relationship Id="rId117" Type="http://schemas.openxmlformats.org/officeDocument/2006/relationships/externalLink" Target="externalLinks/externalLink99.xml"/><Relationship Id="rId116" Type="http://schemas.openxmlformats.org/officeDocument/2006/relationships/externalLink" Target="externalLinks/externalLink98.xml"/><Relationship Id="rId115" Type="http://schemas.openxmlformats.org/officeDocument/2006/relationships/externalLink" Target="externalLinks/externalLink97.xml"/><Relationship Id="rId114" Type="http://schemas.openxmlformats.org/officeDocument/2006/relationships/externalLink" Target="externalLinks/externalLink96.xml"/><Relationship Id="rId113" Type="http://schemas.openxmlformats.org/officeDocument/2006/relationships/externalLink" Target="externalLinks/externalLink95.xml"/><Relationship Id="rId112" Type="http://schemas.openxmlformats.org/officeDocument/2006/relationships/externalLink" Target="externalLinks/externalLink94.xml"/><Relationship Id="rId111" Type="http://schemas.openxmlformats.org/officeDocument/2006/relationships/externalLink" Target="externalLinks/externalLink93.xml"/><Relationship Id="rId110" Type="http://schemas.openxmlformats.org/officeDocument/2006/relationships/externalLink" Target="externalLinks/externalLink92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1.xml"/><Relationship Id="rId108" Type="http://schemas.openxmlformats.org/officeDocument/2006/relationships/externalLink" Target="externalLinks/externalLink90.xml"/><Relationship Id="rId107" Type="http://schemas.openxmlformats.org/officeDocument/2006/relationships/externalLink" Target="externalLinks/externalLink89.xml"/><Relationship Id="rId106" Type="http://schemas.openxmlformats.org/officeDocument/2006/relationships/externalLink" Target="externalLinks/externalLink88.xml"/><Relationship Id="rId105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86.xml"/><Relationship Id="rId103" Type="http://schemas.openxmlformats.org/officeDocument/2006/relationships/externalLink" Target="externalLinks/externalLink85.xml"/><Relationship Id="rId102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3.xml"/><Relationship Id="rId100" Type="http://schemas.openxmlformats.org/officeDocument/2006/relationships/externalLink" Target="externalLinks/externalLink82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75" b="1" i="0" u="none" strike="noStrike" kern="1200" baseline="0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  <a:r>
              <a:rPr lang="en-GB"/>
              <a:t>Sales by brands (2008)</a:t>
            </a:r>
            <a:endParaRPr lang="en-GB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"Sales by brands (2007)"</c:f>
              <c:strCache>
                <c:ptCount val="1"/>
                <c:pt idx="0">
                  <c:v>Sales by brands (2007)</c:v>
                </c:pt>
              </c:strCache>
            </c:strRef>
          </c:tx>
          <c:spPr>
            <a:solidFill>
              <a:srgbClr val="5E76AA"/>
            </a:solidFill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5E76AA"/>
              </a:solidFill>
              <a:ln w="25400">
                <a:noFill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50" b="0" i="0" u="none" strike="noStrike" kern="1200" baseline="0">
                    <a:solidFill>
                      <a:srgbClr val="000000"/>
                    </a:solidFill>
                    <a:latin typeface="Arial" panose="020B0604020202090204"/>
                    <a:ea typeface="Arial" panose="020B0604020202090204"/>
                    <a:cs typeface="Arial" panose="020B0604020202090204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('Profit and Loss'!#REF!,'Profit and Loss'!#REF!,'Profit and Loss'!#REF!,'Profit and Loss'!#REF!)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('Profit and Loss'!#REF!,'Profit and Loss'!#REF!,'Profit and Loss'!#REF!,'Profit and Loss'!#REF!)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e49a334-832a-4347-9837-76df0a6442d7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50" b="0" i="0" u="none" strike="noStrike" baseline="0">
          <a:solidFill>
            <a:srgbClr val="000000"/>
          </a:solidFill>
          <a:latin typeface="Arial" panose="020B0604020202090204"/>
          <a:ea typeface="Arial" panose="020B0604020202090204"/>
          <a:cs typeface="Arial" panose="020B060402020209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75" b="1" i="0" u="none" strike="noStrike" kern="1200" baseline="0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  <a:r>
              <a:rPr lang="en-GB"/>
              <a:t>Sales by regions (2008)</a:t>
            </a:r>
            <a:endParaRPr lang="en-GB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"Sales by regions  (2007)"</c:f>
              <c:strCache>
                <c:ptCount val="1"/>
                <c:pt idx="0">
                  <c:v>Sales by regions  (2007)</c:v>
                </c:pt>
              </c:strCache>
            </c:strRef>
          </c:tx>
          <c:spPr>
            <a:solidFill>
              <a:srgbClr val="5E76AA"/>
            </a:solidFill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5E76AA"/>
              </a:solidFill>
              <a:ln w="25400">
                <a:noFill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50" b="0" i="0" u="none" strike="noStrike" kern="1200" baseline="0">
                    <a:solidFill>
                      <a:srgbClr val="000000"/>
                    </a:solidFill>
                    <a:latin typeface="Arial" panose="020B0604020202090204"/>
                    <a:ea typeface="Arial" panose="020B0604020202090204"/>
                    <a:cs typeface="Arial" panose="020B0604020202090204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('Profit and Loss'!#REF!,'Profit and Loss'!#REF!,'Profit and Loss'!#REF!,'Profit and Loss'!#REF!,'Profit and Loss'!#REF!)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('Profit and Loss'!#REF!,'Profit and Loss'!#REF!,'Profit and Loss'!#REF!,'Profit and Loss'!#REF!,'Profit and Loss'!#REF!)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be846a2a-f06e-44b0-95ae-26f5d37f10d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50" b="0" i="0" u="none" strike="noStrike" baseline="0">
          <a:solidFill>
            <a:srgbClr val="000000"/>
          </a:solidFill>
          <a:latin typeface="Arial" panose="020B0604020202090204"/>
          <a:ea typeface="Arial" panose="020B0604020202090204"/>
          <a:cs typeface="Arial" panose="020B060402020209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Loss'!$A$368</c:f>
              <c:strCache>
                <c:ptCount val="1"/>
                <c:pt idx="0">
                  <c:v>Operating Income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Loss'!$L$324:$AA$324</c:f>
              <c:numCache>
                <c:ptCount val="0"/>
              </c:numCache>
            </c:numRef>
          </c:cat>
          <c:val>
            <c:numRef>
              <c:f>'Profit and Loss'!$L$368:$AA$368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78480000"/>
        <c:axId val="878485888"/>
      </c:bar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'Profit and Loss'!$K$324:$AA$324</c:f>
              <c:numCache>
                <c:ptCount val="0"/>
              </c:numCache>
            </c:numRef>
          </c:cat>
          <c:val>
            <c:numRef>
              <c:f>'Profit and Loss'!$L$370:$AA$370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487424"/>
        <c:axId val="878488960"/>
      </c:lineChart>
      <c:catAx>
        <c:axId val="87848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485888"/>
        <c:crosses val="autoZero"/>
        <c:auto val="1"/>
        <c:lblAlgn val="ctr"/>
        <c:lblOffset val="100"/>
        <c:noMultiLvlLbl val="0"/>
      </c:catAx>
      <c:valAx>
        <c:axId val="878485888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480000"/>
        <c:crosses val="autoZero"/>
        <c:crossBetween val="between"/>
      </c:valAx>
      <c:catAx>
        <c:axId val="87848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488960"/>
        <c:crosses val="autoZero"/>
        <c:auto val="1"/>
        <c:lblAlgn val="ctr"/>
        <c:lblOffset val="100"/>
        <c:noMultiLvlLbl val="0"/>
      </c:catAx>
      <c:valAx>
        <c:axId val="8784889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487424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Calibri" panose="020F0502020204030204" pitchFamily="34" charset="0"/>
              <a:ea typeface="Univers LT Std 55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ae4df0-38bf-4d20-965e-9cb8f5e4699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Loss'!$A$325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Loss'!$L$324:$AA$324</c:f>
              <c:numCache>
                <c:ptCount val="0"/>
              </c:numCache>
            </c:numRef>
          </c:cat>
          <c:val>
            <c:numRef>
              <c:f>'Profit and Loss'!$L$325:$AA$325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78511616"/>
        <c:axId val="878513152"/>
      </c:barChart>
      <c:lineChart>
        <c:grouping val="standard"/>
        <c:varyColors val="0"/>
        <c:ser>
          <c:idx val="1"/>
          <c:order val="1"/>
          <c:tx>
            <c:strRef>
              <c:f>"Growth (cFX)"</c:f>
              <c:strCache>
                <c:ptCount val="1"/>
                <c:pt idx="0">
                  <c:v>Growth (cFX)</c:v>
                </c:pt>
              </c:strCache>
            </c:strRef>
          </c:tx>
          <c:marker>
            <c:symbol val="none"/>
          </c:marker>
          <c:dLbls>
            <c:delete val="1"/>
          </c:dLbls>
          <c:val>
            <c:numRef>
              <c:f>'Profit and Loss'!$L$35:$AA$35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531328"/>
        <c:axId val="878532864"/>
      </c:lineChart>
      <c:catAx>
        <c:axId val="87851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513152"/>
        <c:crosses val="autoZero"/>
        <c:auto val="1"/>
        <c:lblAlgn val="ctr"/>
        <c:lblOffset val="100"/>
        <c:noMultiLvlLbl val="0"/>
      </c:catAx>
      <c:valAx>
        <c:axId val="878513152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511616"/>
        <c:crosses val="autoZero"/>
        <c:crossBetween val="between"/>
      </c:valAx>
      <c:catAx>
        <c:axId val="878531328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532864"/>
        <c:crosses val="autoZero"/>
        <c:auto val="1"/>
        <c:lblAlgn val="ctr"/>
        <c:lblOffset val="100"/>
        <c:noMultiLvlLbl val="0"/>
      </c:catAx>
      <c:valAx>
        <c:axId val="8785328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78531328"/>
        <c:crosses val="max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Calibri" panose="020F0502020204030204" pitchFamily="34" charset="0"/>
              <a:ea typeface="Univers LT Std 55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7e9f2b-5061-4084-9ec9-d582c6cffa3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Loss'!$A$231</c:f>
              <c:strCache>
                <c:ptCount val="1"/>
                <c:pt idx="0">
                  <c:v>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Loss'!$A$227,'Profit and Loss'!$A$238,'Profit and Loss'!$A$249,'Profit and Loss'!$A$260,'Profit and Loss'!$A$271,'Profit and Loss'!$A$282,'Profit and Loss'!$A$293,'Profit and Loss'!$A$304,'Profit and Loss'!$A$307,'Profit and Loss'!$A$312)</c:f>
              <c:numCache>
                <c:ptCount val="0"/>
              </c:numCache>
            </c:numRef>
          </c:cat>
          <c:val>
            <c:numRef>
              <c:f>('Profit and Loss'!$U$231,'Profit and Loss'!$U$242,'Profit and Loss'!$U$253,'Profit and Loss'!$U$264,'Profit and Loss'!$U$275,'Profit and Loss'!$U$286,'Profit and Loss'!$U$297)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549248"/>
        <c:axId val="878567424"/>
      </c:barChart>
      <c:catAx>
        <c:axId val="87854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78567424"/>
        <c:crosses val="autoZero"/>
        <c:auto val="1"/>
        <c:lblAlgn val="ctr"/>
        <c:lblOffset val="100"/>
        <c:noMultiLvlLbl val="0"/>
      </c:catAx>
      <c:valAx>
        <c:axId val="87856742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7854924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e85a4d-1f75-4851-a7d7-26d7f616c95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Loss'!$A$231</c:f>
              <c:strCache>
                <c:ptCount val="1"/>
                <c:pt idx="0">
                  <c:v>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Loss'!$A$227,'Profit and Loss'!$A$238,'Profit and Loss'!$A$249,'Profit and Loss'!$A$260,'Profit and Loss'!$A$271,'Profit and Loss'!$A$282,'Profit and Loss'!$A$293,'Profit and Loss'!$A$304,'Profit and Loss'!$A$307,'Profit and Loss'!$A$312)</c:f>
              <c:numCache>
                <c:ptCount val="0"/>
              </c:numCache>
            </c:numRef>
          </c:cat>
          <c:val>
            <c:numRef>
              <c:f>('Profit and Loss'!$U$231,'Profit and Loss'!$U$242,'Profit and Loss'!$U$253,'Profit and Loss'!$U$264,'Profit and Loss'!$U$275,'Profit and Loss'!$U$286,'Profit and Loss'!$U$297,'Profit and Loss'!$U$306,'Profit and Loss'!$U$309,'Profit and Loss'!$U$316)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531904"/>
        <c:axId val="881541888"/>
      </c:barChart>
      <c:catAx>
        <c:axId val="88153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1541888"/>
        <c:crosses val="autoZero"/>
        <c:auto val="1"/>
        <c:lblAlgn val="ctr"/>
        <c:lblOffset val="100"/>
        <c:noMultiLvlLbl val="0"/>
      </c:catAx>
      <c:valAx>
        <c:axId val="88154188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153190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c57355-d435-4c7a-bab1-0053ad91ba8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Loss'!$A$410</c:f>
              <c:strCache>
                <c:ptCount val="1"/>
                <c:pt idx="0">
                  <c:v>EPS (basic - adj)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Loss'!$L$1:$AA$1</c:f>
              <c:numCache>
                <c:ptCount val="0"/>
              </c:numCache>
            </c:numRef>
          </c:cat>
          <c:val>
            <c:numRef>
              <c:f>'Profit and Loss'!$L$410:$AA$410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881576192"/>
        <c:axId val="881582080"/>
      </c:barChart>
      <c:lineChart>
        <c:grouping val="standard"/>
        <c:varyColors val="0"/>
        <c:ser>
          <c:idx val="1"/>
          <c:order val="1"/>
          <c:tx>
            <c:strRef>
              <c:f>'Profit and Loss'!$A$402</c:f>
              <c:strCache>
                <c:ptCount val="1"/>
                <c:pt idx="0">
                  <c:v> 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'Profit and Loss'!$L$1:$AA$1</c:f>
              <c:numCache>
                <c:ptCount val="0"/>
              </c:numCache>
            </c:numRef>
          </c:cat>
          <c:val>
            <c:numRef>
              <c:f>'Profit and Loss'!$L$402:$AA$402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1585152"/>
        <c:axId val="881583616"/>
      </c:lineChart>
      <c:catAx>
        <c:axId val="881576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1582080"/>
        <c:crosses val="autoZero"/>
        <c:auto val="1"/>
        <c:lblAlgn val="ctr"/>
        <c:lblOffset val="100"/>
        <c:noMultiLvlLbl val="0"/>
      </c:catAx>
      <c:valAx>
        <c:axId val="881582080"/>
        <c:scaling>
          <c:orientation val="minMax"/>
        </c:scaling>
        <c:delete val="0"/>
        <c:axPos val="l"/>
        <c:numFmt formatCode="#,##0.00_);[Red]\(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1576192"/>
        <c:crosses val="autoZero"/>
        <c:crossBetween val="between"/>
      </c:valAx>
      <c:catAx>
        <c:axId val="88158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1583616"/>
        <c:crosses val="autoZero"/>
        <c:auto val="1"/>
        <c:lblAlgn val="ctr"/>
        <c:lblOffset val="100"/>
        <c:noMultiLvlLbl val="0"/>
      </c:catAx>
      <c:valAx>
        <c:axId val="88158361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1585152"/>
        <c:crosses val="max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a6abfd-a080-48c9-95f7-c99c09d90915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"Wholesale gross margin"</c:f>
              <c:strCache>
                <c:ptCount val="1"/>
                <c:pt idx="0">
                  <c:v>Wholesale 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Loss'!$O$1:$U$1</c:f>
              <c:numCache>
                <c:ptCount val="0"/>
              </c:numCache>
            </c:numRef>
          </c:cat>
          <c:val>
            <c:numRef>
              <c:f>'Profit and Loss'!$O$40:$U$40</c:f>
            </c:numRef>
          </c:val>
        </c:ser>
        <c:ser>
          <c:idx val="1"/>
          <c:order val="1"/>
          <c:tx>
            <c:strRef>
              <c:f>"Retail gross margin"</c:f>
              <c:strCache>
                <c:ptCount val="1"/>
                <c:pt idx="0">
                  <c:v>Retail 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Loss'!$O$1:$U$1</c:f>
              <c:numCache>
                <c:ptCount val="0"/>
              </c:numCache>
            </c:numRef>
          </c:cat>
          <c:val>
            <c:numRef>
              <c:f>'Profit and Loss'!$O$42:$U$42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982272"/>
        <c:axId val="882988160"/>
      </c:barChart>
      <c:catAx>
        <c:axId val="8829822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2988160"/>
        <c:crosses val="autoZero"/>
        <c:auto val="1"/>
        <c:lblAlgn val="ctr"/>
        <c:lblOffset val="100"/>
        <c:noMultiLvlLbl val="0"/>
      </c:catAx>
      <c:valAx>
        <c:axId val="88298816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298227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967e2d-7b65-4c66-a5b8-461bdec2f1a6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'Profit and Loss'!$A$5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Loss'!$N$1:$AA$1</c:f>
              <c:numCache>
                <c:ptCount val="0"/>
              </c:numCache>
            </c:numRef>
          </c:cat>
          <c:val>
            <c:numRef>
              <c:f>'Profit and Loss'!$N$9:$AA$9</c:f>
            </c:numRef>
          </c:val>
        </c:ser>
        <c:ser>
          <c:idx val="1"/>
          <c:order val="1"/>
          <c:tx>
            <c:strRef>
              <c:f>'Profit and Loss'!$A$10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Loss'!$N$1:$AA$1</c:f>
              <c:numCache>
                <c:ptCount val="0"/>
              </c:numCache>
            </c:numRef>
          </c:cat>
          <c:val>
            <c:numRef>
              <c:f>'Profit and Loss'!$N$14:$AA$14</c:f>
            </c:numRef>
          </c:val>
        </c:ser>
        <c:ser>
          <c:idx val="2"/>
          <c:order val="2"/>
          <c:tx>
            <c:strRef>
              <c:f>'Profit and Loss'!$A$27</c:f>
              <c:strCache>
                <c:ptCount val="1"/>
                <c:pt idx="0">
                  <c:v>Other Businesses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Loss'!$N$1:$AA$1</c:f>
              <c:numCache>
                <c:ptCount val="0"/>
              </c:numCache>
            </c:numRef>
          </c:cat>
          <c:val>
            <c:numRef>
              <c:f>'Profit and Loss'!$N$31:$AA$31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83009792"/>
        <c:axId val="883015680"/>
      </c:barChart>
      <c:catAx>
        <c:axId val="883009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015680"/>
        <c:crosses val="autoZero"/>
        <c:auto val="1"/>
        <c:lblAlgn val="ctr"/>
        <c:lblOffset val="100"/>
        <c:noMultiLvlLbl val="0"/>
      </c:catAx>
      <c:valAx>
        <c:axId val="88301568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00979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3aea3a-007b-44a6-8de6-303e8a7d6e5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Loss'!$AO$234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Loss'!$AP$234,'Profit and Loss'!$AU$234)</c:f>
            </c:numRef>
          </c:val>
        </c:ser>
        <c:ser>
          <c:idx val="1"/>
          <c:order val="1"/>
          <c:tx>
            <c:strRef>
              <c:f>'Profit and Loss'!$AO$244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Loss'!$AP$244,'Profit and Loss'!$AU$244)</c:f>
            </c:numRef>
          </c:val>
        </c:ser>
        <c:ser>
          <c:idx val="2"/>
          <c:order val="2"/>
          <c:tx>
            <c:strRef>
              <c:f>'Profit and Loss'!$AO$254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Loss'!$AP$254,'Profit and Loss'!$AU$254)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3111040"/>
        <c:axId val="883112576"/>
      </c:barChart>
      <c:catAx>
        <c:axId val="88311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3112576"/>
        <c:crosses val="autoZero"/>
        <c:auto val="1"/>
        <c:lblAlgn val="ctr"/>
        <c:lblOffset val="100"/>
        <c:noMultiLvlLbl val="0"/>
      </c:catAx>
      <c:valAx>
        <c:axId val="883112576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311104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b8b763-d0b8-45dd-972b-59de164a4e2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'Profit and Loss'!$A$97</c:f>
              <c:strCache>
                <c:ptCount val="1"/>
                <c:pt idx="0">
                  <c:v>Western Europe/EMEA from 2020/Europe from 2022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Loss'!$U$101:$AA$101</c:f>
            </c:numRef>
          </c:val>
        </c:ser>
        <c:ser>
          <c:idx val="1"/>
          <c:order val="1"/>
          <c:tx>
            <c:strRef>
              <c:f>'Profit and Loss'!$A$102</c:f>
              <c:strCache>
                <c:ptCount val="1"/>
                <c:pt idx="0">
                  <c:v>North America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Loss'!$U$106:$AA$106</c:f>
            </c:numRef>
          </c:val>
        </c:ser>
        <c:ser>
          <c:idx val="2"/>
          <c:order val="2"/>
          <c:tx>
            <c:strRef>
              <c:f>'Profit and Loss'!$A$107</c:f>
              <c:strCache>
                <c:ptCount val="1"/>
                <c:pt idx="0">
                  <c:v>Latin America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Loss'!$U$111:$AA$111</c:f>
            </c:numRef>
          </c:val>
        </c:ser>
        <c:ser>
          <c:idx val="3"/>
          <c:order val="3"/>
          <c:tx>
            <c:strRef>
              <c:f>'Profit and Loss'!$A$112</c:f>
              <c:strCache>
                <c:ptCount val="1"/>
                <c:pt idx="0">
                  <c:v>Gt ChIna from 2020 (Asia-Pacific 2018-20; Greater China pre 2018)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Loss'!$U$116:$AA$116</c:f>
            </c:numRef>
          </c:val>
        </c:ser>
        <c:ser>
          <c:idx val="4"/>
          <c:order val="4"/>
          <c:tx>
            <c:strRef>
              <c:f>'Profit and Loss'!$A$117</c:f>
              <c:strCache>
                <c:ptCount val="1"/>
                <c:pt idx="0">
                  <c:v>Japan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Loss'!$U$121:$AA$121</c:f>
            </c:numRef>
          </c:val>
        </c:ser>
        <c:ser>
          <c:idx val="5"/>
          <c:order val="5"/>
          <c:tx>
            <c:strRef>
              <c:f>'Profit and Loss'!$A$122</c:f>
              <c:strCache>
                <c:ptCount val="1"/>
                <c:pt idx="0">
                  <c:v>Russia/ CIS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Loss'!$U$126:$AA$126</c:f>
            </c:numRef>
          </c:val>
        </c:ser>
        <c:ser>
          <c:idx val="6"/>
          <c:order val="6"/>
          <c:tx>
            <c:strRef>
              <c:f>'Profit and Loss'!$A$127</c:f>
              <c:strCache>
                <c:ptCount val="1"/>
                <c:pt idx="0">
                  <c:v>Japan/South Korea (from 2022)</c:v>
                </c:pt>
              </c:strCache>
            </c:strRef>
          </c:tx>
          <c:invertIfNegative val="0"/>
          <c:dLbls>
            <c:delete val="1"/>
          </c:dLbls>
          <c:cat>
            <c:numRef>
              <c:f>'Profit and Loss'!$U$1:$AA$1</c:f>
              <c:numCache>
                <c:ptCount val="0"/>
              </c:numCache>
            </c:numRef>
          </c:cat>
          <c:val>
            <c:numRef>
              <c:f>'Profit and Loss'!$U$131:$AA$131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83170304"/>
        <c:axId val="883184384"/>
      </c:barChart>
      <c:catAx>
        <c:axId val="883170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184384"/>
        <c:crosses val="autoZero"/>
        <c:auto val="1"/>
        <c:lblAlgn val="ctr"/>
        <c:lblOffset val="100"/>
        <c:noMultiLvlLbl val="0"/>
      </c:catAx>
      <c:valAx>
        <c:axId val="88318438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17030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34d9cd-3592-444f-8823-79b4e445e6c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"Wholesale cFX growth"</c:f>
              <c:strCache>
                <c:ptCount val="1"/>
                <c:pt idx="0">
                  <c:v>Wholesale cFX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Loss'!$S$1:$AD$1</c:f>
              <c:strCache>
                <c:ptCount val="3"/>
                <c:pt idx="0" c:formatCode="#,##0.0_);[Red]\(#,##0.0\)">
                  <c:v>FY 21</c:v>
                </c:pt>
                <c:pt idx="1" c:formatCode="#,##0.0_);[Red]\(#,##0.0\)">
                  <c:v>FY 22</c:v>
                </c:pt>
                <c:pt idx="2" c:formatCode="#,##0.0_);[Red]\(#,##0.0\)">
                  <c:v>FY 23</c:v>
                </c:pt>
              </c:strCache>
            </c:strRef>
          </c:cat>
          <c:val>
            <c:numRef>
              <c:f>'Profit and Loss'!$S$8:$AD$8</c:f>
              <c:numCache>
                <c:formatCode>0.0%</c:formatCode>
                <c:ptCount val="3"/>
                <c:pt idx="0">
                  <c:v>0.231418751288459</c:v>
                </c:pt>
                <c:pt idx="1">
                  <c:v>0.00501812356529337</c:v>
                </c:pt>
                <c:pt idx="2">
                  <c:v>-0.0969215629071439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"Retail cFX growth"</c:f>
              <c:strCache>
                <c:ptCount val="1"/>
                <c:pt idx="0">
                  <c:v>Retail cFX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Loss'!$S$1:$AD$1</c:f>
              <c:strCache>
                <c:ptCount val="3"/>
                <c:pt idx="0" c:formatCode="#,##0.0_);[Red]\(#,##0.0\)">
                  <c:v>FY 21</c:v>
                </c:pt>
                <c:pt idx="1" c:formatCode="#,##0.0_);[Red]\(#,##0.0\)">
                  <c:v>FY 22</c:v>
                </c:pt>
                <c:pt idx="2" c:formatCode="#,##0.0_);[Red]\(#,##0.0\)">
                  <c:v>FY 23</c:v>
                </c:pt>
              </c:strCache>
            </c:strRef>
          </c:cat>
          <c:val>
            <c:numRef>
              <c:f>'Profit and Loss'!$S$13:$AD$13</c:f>
              <c:numCache>
                <c:formatCode>0.0%</c:formatCode>
                <c:ptCount val="3"/>
                <c:pt idx="0">
                  <c:v>0.11</c:v>
                </c:pt>
                <c:pt idx="1">
                  <c:v>0.02</c:v>
                </c:pt>
                <c:pt idx="2">
                  <c:v>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3223936"/>
        <c:axId val="884552832"/>
      </c:lineChart>
      <c:catAx>
        <c:axId val="883223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4552832"/>
        <c:crosses val="autoZero"/>
        <c:auto val="1"/>
        <c:lblAlgn val="ctr"/>
        <c:lblOffset val="100"/>
        <c:noMultiLvlLbl val="0"/>
      </c:catAx>
      <c:valAx>
        <c:axId val="88455283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22393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6f2c17-9030-4e1e-aaaa-f076e3331fb5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977116141732"/>
          <c:y val="0.0794741815167841"/>
          <c:w val="0.844377050524934"/>
          <c:h val="0.8228489017820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'Profit and Loss'!$AN$5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Loss'!$AS$4:$BB$4</c:f>
              <c:strCache>
                <c:ptCount val="10"/>
                <c:pt idx="0" c:formatCode="#,##0.0_);[Red]\(#,##0.0\)">
                  <c:v>FY 16</c:v>
                </c:pt>
                <c:pt idx="1" c:formatCode="#,##0.0_);[Red]\(#,##0.0\)">
                  <c:v>FY 17E</c:v>
                </c:pt>
                <c:pt idx="2" c:formatCode="#,##0.0_);[Red]\(#,##0.0\)">
                  <c:v>FY 18E</c:v>
                </c:pt>
                <c:pt idx="3" c:formatCode="#,##0.0_);[Red]\(#,##0.0\)">
                  <c:v>FY 19E</c:v>
                </c:pt>
                <c:pt idx="4" c:formatCode="#,##0.0_);[Red]\(#,##0.0\)">
                  <c:v>FY 20</c:v>
                </c:pt>
                <c:pt idx="5" c:formatCode="#,##0.0_);[Red]\(#,##0.0\)">
                  <c:v>FY 21</c:v>
                </c:pt>
                <c:pt idx="6" c:formatCode="#,##0.0_);[Red]\(#,##0.0\)">
                  <c:v>FY 22E</c:v>
                </c:pt>
                <c:pt idx="7" c:formatCode="#,##0.0_);[Red]\(#,##0.0\)">
                  <c:v>FY 23E</c:v>
                </c:pt>
                <c:pt idx="8" c:formatCode="#,##0.0_);[Red]\(#,##0.0\)">
                  <c:v>FY 24E</c:v>
                </c:pt>
                <c:pt idx="9" c:formatCode="#,##0.0_);[Red]\(#,##0.0\)">
                  <c:v>FY 25E</c:v>
                </c:pt>
              </c:strCache>
            </c:strRef>
          </c:cat>
          <c:val>
            <c:numRef>
              <c:f>'Profit and Loss'!$AS$5:$BB$5</c:f>
              <c:numCache>
                <c:formatCode>#,##0.0_);[Red]\(#,##0.0\)</c:formatCode>
                <c:ptCount val="10"/>
                <c:pt idx="0">
                  <c:v>12812</c:v>
                </c:pt>
                <c:pt idx="1">
                  <c:v>14617</c:v>
                </c:pt>
                <c:pt idx="2">
                  <c:v>14596</c:v>
                </c:pt>
                <c:pt idx="3">
                  <c:v>15222</c:v>
                </c:pt>
                <c:pt idx="4">
                  <c:v>11237</c:v>
                </c:pt>
                <c:pt idx="5">
                  <c:v>12796.0030336626</c:v>
                </c:pt>
                <c:pt idx="6">
                  <c:v>13523</c:v>
                </c:pt>
                <c:pt idx="7">
                  <c:v>11792</c:v>
                </c:pt>
                <c:pt idx="8">
                  <c:v>13439</c:v>
                </c:pt>
                <c:pt idx="9">
                  <c:v>14808</c:v>
                </c:pt>
              </c:numCache>
            </c:numRef>
          </c:val>
        </c:ser>
        <c:ser>
          <c:idx val="1"/>
          <c:order val="1"/>
          <c:tx>
            <c:strRef>
              <c:f>'Profit and Loss'!$AN$6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Loss'!$AS$4:$BB$4</c:f>
              <c:strCache>
                <c:ptCount val="10"/>
                <c:pt idx="0" c:formatCode="#,##0.0_);[Red]\(#,##0.0\)">
                  <c:v>FY 16</c:v>
                </c:pt>
                <c:pt idx="1" c:formatCode="#,##0.0_);[Red]\(#,##0.0\)">
                  <c:v>FY 17E</c:v>
                </c:pt>
                <c:pt idx="2" c:formatCode="#,##0.0_);[Red]\(#,##0.0\)">
                  <c:v>FY 18E</c:v>
                </c:pt>
                <c:pt idx="3" c:formatCode="#,##0.0_);[Red]\(#,##0.0\)">
                  <c:v>FY 19E</c:v>
                </c:pt>
                <c:pt idx="4" c:formatCode="#,##0.0_);[Red]\(#,##0.0\)">
                  <c:v>FY 20</c:v>
                </c:pt>
                <c:pt idx="5" c:formatCode="#,##0.0_);[Red]\(#,##0.0\)">
                  <c:v>FY 21</c:v>
                </c:pt>
                <c:pt idx="6" c:formatCode="#,##0.0_);[Red]\(#,##0.0\)">
                  <c:v>FY 22E</c:v>
                </c:pt>
                <c:pt idx="7" c:formatCode="#,##0.0_);[Red]\(#,##0.0\)">
                  <c:v>FY 23E</c:v>
                </c:pt>
                <c:pt idx="8" c:formatCode="#,##0.0_);[Red]\(#,##0.0\)">
                  <c:v>FY 24E</c:v>
                </c:pt>
                <c:pt idx="9" c:formatCode="#,##0.0_);[Red]\(#,##0.0\)">
                  <c:v>FY 25E</c:v>
                </c:pt>
              </c:strCache>
            </c:strRef>
          </c:cat>
          <c:val>
            <c:numRef>
              <c:f>'Profit and Loss'!$AS$6:$BB$6</c:f>
              <c:numCache>
                <c:formatCode>#,##0.0_);[Red]\(#,##0.0\)</c:formatCode>
                <c:ptCount val="10"/>
                <c:pt idx="0">
                  <c:v>5003</c:v>
                </c:pt>
                <c:pt idx="1">
                  <c:v>5860</c:v>
                </c:pt>
                <c:pt idx="2">
                  <c:v>6488</c:v>
                </c:pt>
                <c:pt idx="3">
                  <c:v>7814</c:v>
                </c:pt>
                <c:pt idx="4">
                  <c:v>8131.00000000001</c:v>
                </c:pt>
                <c:pt idx="5">
                  <c:v>8293.99696633744</c:v>
                </c:pt>
                <c:pt idx="6">
                  <c:v>8838</c:v>
                </c:pt>
                <c:pt idx="7">
                  <c:v>8687</c:v>
                </c:pt>
                <c:pt idx="8">
                  <c:v>9490</c:v>
                </c:pt>
                <c:pt idx="9">
                  <c:v>9931</c:v>
                </c:pt>
              </c:numCache>
            </c:numRef>
          </c:val>
        </c:ser>
        <c:ser>
          <c:idx val="2"/>
          <c:order val="2"/>
          <c:tx>
            <c:strRef>
              <c:f>'Profit and Loss'!$AN$7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Loss'!$AS$4:$BB$4</c:f>
              <c:strCache>
                <c:ptCount val="10"/>
                <c:pt idx="0" c:formatCode="#,##0.0_);[Red]\(#,##0.0\)">
                  <c:v>FY 16</c:v>
                </c:pt>
                <c:pt idx="1" c:formatCode="#,##0.0_);[Red]\(#,##0.0\)">
                  <c:v>FY 17E</c:v>
                </c:pt>
                <c:pt idx="2" c:formatCode="#,##0.0_);[Red]\(#,##0.0\)">
                  <c:v>FY 18E</c:v>
                </c:pt>
                <c:pt idx="3" c:formatCode="#,##0.0_);[Red]\(#,##0.0\)">
                  <c:v>FY 19E</c:v>
                </c:pt>
                <c:pt idx="4" c:formatCode="#,##0.0_);[Red]\(#,##0.0\)">
                  <c:v>FY 20</c:v>
                </c:pt>
                <c:pt idx="5" c:formatCode="#,##0.0_);[Red]\(#,##0.0\)">
                  <c:v>FY 21</c:v>
                </c:pt>
                <c:pt idx="6" c:formatCode="#,##0.0_);[Red]\(#,##0.0\)">
                  <c:v>FY 22E</c:v>
                </c:pt>
                <c:pt idx="7" c:formatCode="#,##0.0_);[Red]\(#,##0.0\)">
                  <c:v>FY 23E</c:v>
                </c:pt>
                <c:pt idx="8" c:formatCode="#,##0.0_);[Red]\(#,##0.0\)">
                  <c:v>FY 24E</c:v>
                </c:pt>
                <c:pt idx="9" c:formatCode="#,##0.0_);[Red]\(#,##0.0\)">
                  <c:v>FY 25E</c:v>
                </c:pt>
              </c:strCache>
            </c:strRef>
          </c:cat>
          <c:val>
            <c:numRef>
              <c:f>'Profit and Loss'!$AS$7:$BB$7</c:f>
              <c:numCache>
                <c:formatCode>#,##0.0_);[Red]\(#,##0.0\)</c:formatCode>
                <c:ptCount val="10"/>
                <c:pt idx="0">
                  <c:v>1475</c:v>
                </c:pt>
                <c:pt idx="1">
                  <c:v>741</c:v>
                </c:pt>
                <c:pt idx="2">
                  <c:v>831</c:v>
                </c:pt>
                <c:pt idx="3">
                  <c:v>605</c:v>
                </c:pt>
                <c:pt idx="4">
                  <c:v>476</c:v>
                </c:pt>
                <c:pt idx="5">
                  <c:v>144.000000000002</c:v>
                </c:pt>
                <c:pt idx="6">
                  <c:v>150</c:v>
                </c:pt>
                <c:pt idx="7">
                  <c:v>199</c:v>
                </c:pt>
                <c:pt idx="8">
                  <c:v>104</c:v>
                </c:pt>
                <c:pt idx="9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3210112"/>
        <c:axId val="883211648"/>
      </c:barChart>
      <c:catAx>
        <c:axId val="883210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211648"/>
        <c:crosses val="autoZero"/>
        <c:auto val="1"/>
        <c:lblAlgn val="ctr"/>
        <c:lblOffset val="100"/>
        <c:noMultiLvlLbl val="0"/>
      </c:catAx>
      <c:valAx>
        <c:axId val="883211648"/>
        <c:scaling>
          <c:orientation val="minMax"/>
        </c:scaling>
        <c:delete val="0"/>
        <c:axPos val="l"/>
        <c:numFmt formatCode="#,##0.0_);[Red]\(#,##0.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3210112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5fe668-f4b9-4902-a0a1-1a51714f031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Interim!$A$95</c:f>
              <c:strCache>
                <c:ptCount val="1"/>
                <c:pt idx="0">
                  <c:v>Western Europe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Interim!$DR$98:$EM$98</c:f>
            </c:numRef>
          </c:val>
          <c:smooth val="0"/>
        </c:ser>
        <c:ser>
          <c:idx val="1"/>
          <c:order val="1"/>
          <c:tx>
            <c:strRef>
              <c:f>Interim!$A$100</c:f>
              <c:strCache>
                <c:ptCount val="1"/>
                <c:pt idx="0">
                  <c:v>European Ems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Interim!$DR$103:$EM$103</c:f>
            </c:numRef>
          </c:val>
          <c:smooth val="0"/>
        </c:ser>
        <c:ser>
          <c:idx val="2"/>
          <c:order val="2"/>
          <c:tx>
            <c:strRef>
              <c:f>Interim!$A$105</c:f>
              <c:strCache>
                <c:ptCount val="1"/>
                <c:pt idx="0">
                  <c:v>North America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Interim!$DR$108:$EM$108</c:f>
            </c:numRef>
          </c:val>
          <c:smooth val="0"/>
        </c:ser>
        <c:ser>
          <c:idx val="3"/>
          <c:order val="3"/>
          <c:tx>
            <c:strRef>
              <c:f>Interim!$A$110</c:f>
              <c:strCache>
                <c:ptCount val="1"/>
                <c:pt idx="0">
                  <c:v>Greater China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Interim!$DR$113:$EM$113</c:f>
            </c:numRef>
          </c:val>
          <c:smooth val="0"/>
        </c:ser>
        <c:ser>
          <c:idx val="4"/>
          <c:order val="4"/>
          <c:tx>
            <c:strRef>
              <c:f>Interim!$A$115</c:f>
              <c:strCache>
                <c:ptCount val="1"/>
                <c:pt idx="0">
                  <c:v>Other Asian Markets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Interim!$DR$118:$EM$118</c:f>
            </c:numRef>
          </c:val>
          <c:smooth val="0"/>
        </c:ser>
        <c:ser>
          <c:idx val="5"/>
          <c:order val="5"/>
          <c:tx>
            <c:strRef>
              <c:f>Interim!$A$120</c:f>
              <c:strCache>
                <c:ptCount val="1"/>
                <c:pt idx="0">
                  <c:v>Latin America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Interim!$DR$94:$EM$94</c:f>
              <c:numCache>
                <c:ptCount val="0"/>
              </c:numCache>
            </c:numRef>
          </c:cat>
          <c:val>
            <c:numRef>
              <c:f>Interim!$DR$123:$EM$123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234112"/>
        <c:axId val="815276800"/>
      </c:lineChart>
      <c:catAx>
        <c:axId val="88623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815276800"/>
        <c:crosses val="autoZero"/>
        <c:auto val="1"/>
        <c:lblAlgn val="ctr"/>
        <c:lblOffset val="100"/>
        <c:noMultiLvlLbl val="0"/>
      </c:catAx>
      <c:valAx>
        <c:axId val="815276800"/>
        <c:scaling>
          <c:orientation val="minMax"/>
          <c:max val="0.45"/>
          <c:min val="-0.2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886234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45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78525a-d268-4fe5-9bc7-eb7bc88232d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Interim!$IZ$404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Interim!$JB$404:$JR$404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Interim!$JB$403:$JH$403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Interim!$IZ$405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Interim!$JB$405:$JR$405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Interim!$JB$403:$JH$403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strRef>
              <c:f>Interim!$IZ$406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Interim!$JB$406:$JR$406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Interim!$JB$403:$JH$403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5302528"/>
        <c:axId val="815304064"/>
      </c:lineChart>
      <c:catAx>
        <c:axId val="815302528"/>
        <c:scaling>
          <c:orientation val="minMax"/>
        </c:scaling>
        <c:delete val="0"/>
        <c:axPos val="b"/>
        <c:numFmt formatCode="#,##0_);[Red]\(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04064"/>
        <c:crosses val="autoZero"/>
        <c:auto val="1"/>
        <c:lblAlgn val="ctr"/>
        <c:lblOffset val="100"/>
        <c:noMultiLvlLbl val="0"/>
      </c:catAx>
      <c:valAx>
        <c:axId val="815304064"/>
        <c:scaling>
          <c:orientation val="minMax"/>
          <c:min val="0.23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0252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174ebf-59ae-4c35-affd-2ecab2c05c3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Interim!$A$472</c:f>
              <c:strCache>
                <c:ptCount val="1"/>
                <c:pt idx="0">
                  <c:v>Inventory as % retail 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Interim!$DJ$2:$FU$2</c:f>
              <c:numCache>
                <c:ptCount val="0"/>
              </c:numCache>
            </c:numRef>
          </c:cat>
          <c:val>
            <c:numRef>
              <c:f>Interim!$DJ$472:$FN$472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5338624"/>
        <c:axId val="815340160"/>
      </c:lineChart>
      <c:lineChart>
        <c:grouping val="standard"/>
        <c:varyColors val="0"/>
        <c:ser>
          <c:idx val="1"/>
          <c:order val="1"/>
          <c:tx>
            <c:strRef>
              <c:f>"Retail cFX revenue growth"</c:f>
              <c:strCache>
                <c:ptCount val="1"/>
                <c:pt idx="0">
                  <c:v>Retail cFX revenue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Interim!$DJ$2:$FU$2</c:f>
              <c:numCache>
                <c:ptCount val="0"/>
              </c:numCache>
            </c:numRef>
          </c:cat>
          <c:val>
            <c:numRef>
              <c:f>Interim!$DJ$13:$FN$13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5343488"/>
        <c:axId val="815341952"/>
      </c:lineChart>
      <c:catAx>
        <c:axId val="81533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40160"/>
        <c:crosses val="autoZero"/>
        <c:auto val="1"/>
        <c:lblAlgn val="ctr"/>
        <c:lblOffset val="100"/>
        <c:noMultiLvlLbl val="0"/>
      </c:catAx>
      <c:valAx>
        <c:axId val="815340160"/>
        <c:scaling>
          <c:orientation val="minMax"/>
          <c:min val="0.125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38624"/>
        <c:crosses val="autoZero"/>
        <c:crossBetween val="between"/>
      </c:valAx>
      <c:catAx>
        <c:axId val="815343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41952"/>
        <c:crosses val="autoZero"/>
        <c:auto val="1"/>
        <c:lblAlgn val="ctr"/>
        <c:lblOffset val="100"/>
        <c:noMultiLvlLbl val="0"/>
      </c:catAx>
      <c:valAx>
        <c:axId val="8153419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43488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8895cf-1739-4d84-8fd3-7387b52be16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Interim!$A$209</c:f>
              <c:strCache>
                <c:ptCount val="1"/>
                <c:pt idx="0">
                  <c:v>Other Businesses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Interim!$FF$2:$FQ$2</c:f>
              <c:numCache>
                <c:ptCount val="0"/>
              </c:numCache>
            </c:numRef>
          </c:cat>
          <c:val>
            <c:numRef>
              <c:f>Interim!$FF$213:$FQ$213</c:f>
            </c:numRef>
          </c:val>
          <c:smooth val="1"/>
        </c:ser>
        <c:ser>
          <c:idx val="1"/>
          <c:order val="1"/>
          <c:tx>
            <c:strRef>
              <c:f>Interim!$A$271</c:f>
              <c:strCache>
                <c:ptCount val="1"/>
                <c:pt idx="0">
                  <c:v>adidas brand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Interim!$FF$2:$FQ$2</c:f>
              <c:numCache>
                <c:ptCount val="0"/>
              </c:numCache>
            </c:numRef>
          </c:cat>
          <c:val>
            <c:numRef>
              <c:f>Interim!$FF$273:$FQ$273</c:f>
            </c:numRef>
          </c:val>
          <c:smooth val="1"/>
        </c:ser>
        <c:ser>
          <c:idx val="2"/>
          <c:order val="2"/>
          <c:tx>
            <c:strRef>
              <c:f>Interim!$A$275</c:f>
              <c:strCache>
                <c:ptCount val="1"/>
                <c:pt idx="0">
                  <c:v>Reebok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Interim!$FF$2:$FQ$2</c:f>
              <c:numCache>
                <c:ptCount val="0"/>
              </c:numCache>
            </c:numRef>
          </c:cat>
          <c:val>
            <c:numRef>
              <c:f>Interim!$FF$277:$FQ$277</c:f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15369600"/>
        <c:axId val="815383680"/>
      </c:lineChart>
      <c:catAx>
        <c:axId val="81536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83680"/>
        <c:crosses val="autoZero"/>
        <c:auto val="1"/>
        <c:lblAlgn val="ctr"/>
        <c:lblOffset val="100"/>
        <c:noMultiLvlLbl val="0"/>
      </c:catAx>
      <c:valAx>
        <c:axId val="81538368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536960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52008d-fbef-4248-acf6-8b4f74e97dd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Apparel</a:t>
            </a:r>
            <a:endParaRPr lang="en-GB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Interim!$JA$154</c:f>
              <c:strCache>
                <c:ptCount val="1"/>
                <c:pt idx="0">
                  <c:v>2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Interim!$JB$154:$JV$154</c:f>
              <c:numCache>
                <c:formatCode>0.0%</c:formatCode>
                <c:ptCount val="21"/>
                <c:pt idx="0">
                  <c:v>0.0304000000000002</c:v>
                </c:pt>
                <c:pt idx="1">
                  <c:v>-0.00738152866242037</c:v>
                </c:pt>
                <c:pt idx="2">
                  <c:v>-0.00503809112023557</c:v>
                </c:pt>
                <c:pt idx="3">
                  <c:v>0.255056372282759</c:v>
                </c:pt>
                <c:pt idx="5">
                  <c:v>0.0212000000000001</c:v>
                </c:pt>
                <c:pt idx="7">
                  <c:v>0.0980453543307087</c:v>
                </c:pt>
                <c:pt idx="9">
                  <c:v>0.0937623600223965</c:v>
                </c:pt>
                <c:pt idx="10">
                  <c:v>0.393953323113968</c:v>
                </c:pt>
                <c:pt idx="12">
                  <c:v>0.1544</c:v>
                </c:pt>
                <c:pt idx="14">
                  <c:v>0.183818639219887</c:v>
                </c:pt>
                <c:pt idx="15">
                  <c:v>0.209504936897334</c:v>
                </c:pt>
                <c:pt idx="16">
                  <c:v>0.149754767518009</c:v>
                </c:pt>
                <c:pt idx="17">
                  <c:v>0.196</c:v>
                </c:pt>
                <c:pt idx="18">
                  <c:v>0.160903849150694</c:v>
                </c:pt>
                <c:pt idx="19">
                  <c:v>0.183942541123086</c:v>
                </c:pt>
                <c:pt idx="20">
                  <c:v>0.120297487448449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Interim!$JA$155</c:f>
              <c:strCache>
                <c:ptCount val="1"/>
                <c:pt idx="0">
                  <c:v>3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Interim!$JB$155:$JV$155</c:f>
              <c:numCache>
                <c:formatCode>0.0%</c:formatCode>
                <c:ptCount val="21"/>
                <c:pt idx="0">
                  <c:v>0.164352</c:v>
                </c:pt>
                <c:pt idx="1">
                  <c:v>0.0275882155813743</c:v>
                </c:pt>
                <c:pt idx="2">
                  <c:v>0.0999126805885897</c:v>
                </c:pt>
                <c:pt idx="3">
                  <c:v>0.321218630245025</c:v>
                </c:pt>
                <c:pt idx="5">
                  <c:v>0.143744</c:v>
                </c:pt>
                <c:pt idx="7">
                  <c:v>0.184717501168564</c:v>
                </c:pt>
                <c:pt idx="9">
                  <c:v>0.118088445103635</c:v>
                </c:pt>
                <c:pt idx="10">
                  <c:v>0.335241899250609</c:v>
                </c:pt>
                <c:pt idx="12">
                  <c:v>0.0620480000000001</c:v>
                </c:pt>
                <c:pt idx="14">
                  <c:v>0.0891131480822962</c:v>
                </c:pt>
                <c:pt idx="15">
                  <c:v>0.177228898099727</c:v>
                </c:pt>
                <c:pt idx="16">
                  <c:v>0.506456972566958</c:v>
                </c:pt>
                <c:pt idx="17">
                  <c:v>0.32756</c:v>
                </c:pt>
                <c:pt idx="18">
                  <c:v>0.385570737374518</c:v>
                </c:pt>
                <c:pt idx="19">
                  <c:v>0.330455430587068</c:v>
                </c:pt>
                <c:pt idx="20">
                  <c:v>0.191873271911757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335744"/>
        <c:axId val="886341632"/>
      </c:lineChart>
      <c:catAx>
        <c:axId val="886335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41632"/>
        <c:crosses val="autoZero"/>
        <c:auto val="1"/>
        <c:lblAlgn val="ctr"/>
        <c:lblOffset val="100"/>
        <c:noMultiLvlLbl val="0"/>
      </c:catAx>
      <c:valAx>
        <c:axId val="886341632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3574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a6068e-a62e-4592-8f3c-15866c0471a6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Footwear</a:t>
            </a:r>
            <a:endParaRPr lang="en-GB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Interim!$JA$149</c:f>
              <c:strCache>
                <c:ptCount val="1"/>
                <c:pt idx="0">
                  <c:v>2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Interim!$JB$149:$JV$149</c:f>
              <c:numCache>
                <c:formatCode>0.0%</c:formatCode>
                <c:ptCount val="21"/>
                <c:pt idx="0">
                  <c:v>0.1536</c:v>
                </c:pt>
                <c:pt idx="1">
                  <c:v>0.0889833273885261</c:v>
                </c:pt>
                <c:pt idx="2">
                  <c:v>0.0382687183762884</c:v>
                </c:pt>
                <c:pt idx="3">
                  <c:v>0.140748098732488</c:v>
                </c:pt>
                <c:pt idx="5">
                  <c:v>-0.000900000000000012</c:v>
                </c:pt>
                <c:pt idx="7">
                  <c:v>0.133613677367723</c:v>
                </c:pt>
                <c:pt idx="9">
                  <c:v>0.0921650835036292</c:v>
                </c:pt>
                <c:pt idx="10">
                  <c:v>0.176716689796442</c:v>
                </c:pt>
                <c:pt idx="12">
                  <c:v>0.1446</c:v>
                </c:pt>
                <c:pt idx="14">
                  <c:v>0.239574517395195</c:v>
                </c:pt>
                <c:pt idx="15">
                  <c:v>0.293815530024515</c:v>
                </c:pt>
                <c:pt idx="16">
                  <c:v>0.351586369233945</c:v>
                </c:pt>
                <c:pt idx="17">
                  <c:v>0.5222</c:v>
                </c:pt>
                <c:pt idx="18">
                  <c:v>0.46578150908538</c:v>
                </c:pt>
                <c:pt idx="19">
                  <c:v>0.486365015075377</c:v>
                </c:pt>
                <c:pt idx="20">
                  <c:v>0.53189279712067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Interim!$JA$150</c:f>
              <c:strCache>
                <c:ptCount val="1"/>
                <c:pt idx="0">
                  <c:v>3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Interim!$JB$150:$JV$150</c:f>
              <c:numCache>
                <c:formatCode>0.0%</c:formatCode>
                <c:ptCount val="21"/>
                <c:pt idx="0">
                  <c:v>0.418928</c:v>
                </c:pt>
                <c:pt idx="1">
                  <c:v>0.296375640245601</c:v>
                </c:pt>
                <c:pt idx="2">
                  <c:v>0.202229732319377</c:v>
                </c:pt>
                <c:pt idx="3">
                  <c:v>0.306768360395379</c:v>
                </c:pt>
                <c:pt idx="5">
                  <c:v>0.118992</c:v>
                </c:pt>
                <c:pt idx="7">
                  <c:v>0.149983774671647</c:v>
                </c:pt>
                <c:pt idx="9">
                  <c:v>0.138746879112509</c:v>
                </c:pt>
                <c:pt idx="10">
                  <c:v>0.247319691184228</c:v>
                </c:pt>
                <c:pt idx="12">
                  <c:v>0.178938</c:v>
                </c:pt>
                <c:pt idx="14">
                  <c:v>0.330660406011414</c:v>
                </c:pt>
                <c:pt idx="15">
                  <c:v>0.28837775460847</c:v>
                </c:pt>
                <c:pt idx="16">
                  <c:v>0.454546774506009</c:v>
                </c:pt>
                <c:pt idx="17">
                  <c:v>0.476534</c:v>
                </c:pt>
                <c:pt idx="18">
                  <c:v>0.54788866851082</c:v>
                </c:pt>
                <c:pt idx="19">
                  <c:v>0.630207567830888</c:v>
                </c:pt>
                <c:pt idx="20">
                  <c:v>0.67500612339831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371072"/>
        <c:axId val="886372608"/>
      </c:lineChart>
      <c:catAx>
        <c:axId val="88637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72608"/>
        <c:crosses val="autoZero"/>
        <c:auto val="1"/>
        <c:lblAlgn val="ctr"/>
        <c:lblOffset val="100"/>
        <c:noMultiLvlLbl val="0"/>
      </c:catAx>
      <c:valAx>
        <c:axId val="88637260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7107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c2bcf7-a18d-498a-b65e-7762d872ceb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Equipment</a:t>
            </a:r>
            <a:endParaRPr lang="en-GB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Interim!$JA$159</c:f>
              <c:strCache>
                <c:ptCount val="1"/>
                <c:pt idx="0">
                  <c:v>2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Interim!$JB$159:$JV$159</c:f>
              <c:numCache>
                <c:formatCode>0.0%</c:formatCode>
                <c:ptCount val="21"/>
                <c:pt idx="0">
                  <c:v>0.4803</c:v>
                </c:pt>
                <c:pt idx="1">
                  <c:v>0.310840222919721</c:v>
                </c:pt>
                <c:pt idx="2">
                  <c:v>0.144752098214286</c:v>
                </c:pt>
                <c:pt idx="3">
                  <c:v>0.481784981562186</c:v>
                </c:pt>
                <c:pt idx="5">
                  <c:v>-0.0169000000000001</c:v>
                </c:pt>
                <c:pt idx="7">
                  <c:v>-0.0136308925953079</c:v>
                </c:pt>
                <c:pt idx="9">
                  <c:v>0.0480812500000001</c:v>
                </c:pt>
                <c:pt idx="10">
                  <c:v>0.214547417267065</c:v>
                </c:pt>
                <c:pt idx="12">
                  <c:v>-0.217</c:v>
                </c:pt>
                <c:pt idx="14">
                  <c:v>-0.183792993285124</c:v>
                </c:pt>
                <c:pt idx="15">
                  <c:v>0.00343092896174868</c:v>
                </c:pt>
                <c:pt idx="16">
                  <c:v>-0.236228110070567</c:v>
                </c:pt>
                <c:pt idx="17">
                  <c:v>-0.00099999999999989</c:v>
                </c:pt>
                <c:pt idx="18">
                  <c:v>-0.0340717702628697</c:v>
                </c:pt>
                <c:pt idx="19">
                  <c:v>0.145220081967213</c:v>
                </c:pt>
                <c:pt idx="20">
                  <c:v>-0.0911419923967767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Interim!$JA$160</c:f>
              <c:strCache>
                <c:ptCount val="1"/>
                <c:pt idx="0">
                  <c:v>3 year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Interim!$JB$148:$JV$148</c:f>
              <c:strCache>
                <c:ptCount val="21"/>
                <c:pt idx="0" c:formatCode="#,##0;[Red]\-#,##0">
                  <c:v>1Q13</c:v>
                </c:pt>
                <c:pt idx="1" c:formatCode="#,##0;[Red]\-#,##0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5" c:formatCode="#,##0.0_);[Red]\(#,##0.0\)">
                  <c:v>1Q14</c:v>
                </c:pt>
                <c:pt idx="7" c:formatCode="#,##0.0_);[Red]\(#,##0.0\)">
                  <c:v>2Q14</c:v>
                </c:pt>
                <c:pt idx="9" c:formatCode="#,##0.0_);[Red]\(#,##0.0\)">
                  <c:v>3Q14</c:v>
                </c:pt>
                <c:pt idx="10" c:formatCode="#,##0.0_);[Red]\(#,##0.0\)">
                  <c:v>4Q14</c:v>
                </c:pt>
                <c:pt idx="12" c:formatCode="#,##0.0_);[Red]\(#,##0.0\)">
                  <c:v>1Q15</c:v>
                </c:pt>
                <c:pt idx="14" c:formatCode="#,##0.0_);[Red]\(#,##0.0\)">
                  <c:v>2Q15</c:v>
                </c:pt>
                <c:pt idx="15" c:formatCode="#,##0.0_);[Red]\(#,##0.0\)">
                  <c:v>3Q15</c:v>
                </c:pt>
                <c:pt idx="16" c:formatCode="#,##0.0_);[Red]\(#,##0.0\)">
                  <c:v>4Q15</c:v>
                </c:pt>
                <c:pt idx="17" c:formatCode="#,##0.0_);[Red]\(#,##0.0\)">
                  <c:v>1Q16</c:v>
                </c:pt>
                <c:pt idx="18" c:formatCode="#,##0.0_);[Red]\(#,##0.0\)">
                  <c:v>2Q16</c:v>
                </c:pt>
                <c:pt idx="19" c:formatCode="#,##0.0_);[Red]\(#,##0.0\)">
                  <c:v>3Q16</c:v>
                </c:pt>
                <c:pt idx="20" c:formatCode="#,##0.0_);[Red]\(#,##0.0\)">
                  <c:v>4Q16</c:v>
                </c:pt>
              </c:strCache>
            </c:strRef>
          </c:cat>
          <c:val>
            <c:numRef>
              <c:f>Interim!$JB$160:$JV$160</c:f>
              <c:numCache>
                <c:formatCode>0.0%</c:formatCode>
                <c:ptCount val="21"/>
                <c:pt idx="0">
                  <c:v>0.731951</c:v>
                </c:pt>
                <c:pt idx="1">
                  <c:v>0.34801164113906</c:v>
                </c:pt>
                <c:pt idx="2">
                  <c:v>0.315391707854353</c:v>
                </c:pt>
                <c:pt idx="3">
                  <c:v>0.579228450458395</c:v>
                </c:pt>
                <c:pt idx="5">
                  <c:v>0.287861</c:v>
                </c:pt>
                <c:pt idx="7">
                  <c:v>0.273004607394538</c:v>
                </c:pt>
                <c:pt idx="9">
                  <c:v>0.053171930357143</c:v>
                </c:pt>
                <c:pt idx="10">
                  <c:v>0.301151610491937</c:v>
                </c:pt>
                <c:pt idx="12">
                  <c:v>-0.11521</c:v>
                </c:pt>
                <c:pt idx="14">
                  <c:v>-0.170990391445927</c:v>
                </c:pt>
                <c:pt idx="15">
                  <c:v>0.143127328603142</c:v>
                </c:pt>
                <c:pt idx="16">
                  <c:v>0.0564171193339731</c:v>
                </c:pt>
                <c:pt idx="17">
                  <c:v>-0.13087</c:v>
                </c:pt>
                <c:pt idx="18">
                  <c:v>-0.0619519714393731</c:v>
                </c:pt>
                <c:pt idx="19">
                  <c:v>0.0536024754098361</c:v>
                </c:pt>
                <c:pt idx="20">
                  <c:v>-0.201934103114812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381568"/>
        <c:axId val="886391552"/>
      </c:lineChart>
      <c:catAx>
        <c:axId val="886381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91552"/>
        <c:crosses val="autoZero"/>
        <c:auto val="1"/>
        <c:lblAlgn val="ctr"/>
        <c:lblOffset val="100"/>
        <c:noMultiLvlLbl val="0"/>
      </c:catAx>
      <c:valAx>
        <c:axId val="886391552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38156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7a1367-c079-4968-86c2-c5105c4991a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"GM"</c:f>
              <c:strCache>
                <c:ptCount val="1"/>
                <c:pt idx="0">
                  <c:v>GM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(Interim!$FN$2,Interim!$FO$2,Interim!$FQ$2,Interim!$FS$2,Interim!$FV$2,Interim!$FW$2,Interim!$FY$2,Interim!$GA$2)</c:f>
              <c:numCache>
                <c:ptCount val="0"/>
              </c:numCache>
            </c:numRef>
          </c:cat>
          <c:val>
            <c:numRef>
              <c:f>(Interim!$FN$952,Interim!$FO$952,Interim!$FQ$952,Interim!$FS$952,Interim!$FV$952,Interim!$FW$952,Interim!$FY$952,Interim!$GA$952)</c:f>
            </c:numRef>
          </c:val>
        </c:ser>
        <c:ser>
          <c:idx val="1"/>
          <c:order val="1"/>
          <c:tx>
            <c:strRef>
              <c:f>"EBIT "</c:f>
              <c:strCache>
                <c:ptCount val="1"/>
                <c:pt idx="0">
                  <c:v>EBIT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(Interim!$FN$959,Interim!$FO$959,Interim!$FQ$959,Interim!$FS$959,Interim!$FV$959,Interim!$FW$959,Interim!$FY$959,Interim!$GA$959)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86429568"/>
        <c:axId val="886431104"/>
      </c:barChart>
      <c:catAx>
        <c:axId val="8864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431104"/>
        <c:crosses val="autoZero"/>
        <c:auto val="1"/>
        <c:lblAlgn val="ctr"/>
        <c:lblOffset val="100"/>
        <c:noMultiLvlLbl val="0"/>
      </c:catAx>
      <c:valAx>
        <c:axId val="8864311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642956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4e876f-e804-4788-833a-63749d06fab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(Interim!$FF$2,Interim!$FG$2,Interim!$FI$2,Interim!$FK$2,Interim!$FN$2,Interim!$FO$2,Interim!$FQ$2,Interim!$FS$2,Interim!$FV$2,Interim!$FW$2,Interim!$FY$2,Interim!$GA$2)</c:f>
              <c:numCache>
                <c:ptCount val="0"/>
              </c:numCache>
            </c:numRef>
          </c:cat>
          <c:val>
            <c:numRef>
              <c:f>(Interim!$FF$946,Interim!$FG$946,Interim!$FI$946,Interim!$FK$946,Interim!$FN$946,Interim!$FO$946,Interim!$FQ$946,Interim!$FS$946,Interim!$FV$946,Interim!$FW$946,Interim!$FY$946,Interim!$GA$946)</c:f>
            </c:numRef>
          </c:val>
          <c:smooth val="1"/>
        </c:ser>
        <c:ser>
          <c:idx val="0"/>
          <c:order val="0"/>
          <c:tx>
            <c:strRef>
              <c:f>"Opex growth"</c:f>
              <c:strCache>
                <c:ptCount val="1"/>
                <c:pt idx="0">
                  <c:v>Opex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(Interim!$FF$2,Interim!$FG$2,Interim!$FI$2,Interim!$FK$2,Interim!$FN$2,Interim!$FO$2,Interim!$FQ$2,Interim!$FS$2,Interim!$FV$2,Interim!$FW$2,Interim!$FY$2,Interim!$GA$2)</c:f>
              <c:numCache>
                <c:ptCount val="0"/>
              </c:numCache>
            </c:numRef>
          </c:cat>
          <c:val>
            <c:numRef>
              <c:f>(Interim!$FF$955,Interim!$FG$955,Interim!$FI$955,Interim!$FK$955,Interim!$FN$955,Interim!$FO$955,Interim!$FQ$955,Interim!$FS$955,Interim!$FV$955,Interim!$FW$955,Interim!$FY$955,Interim!$GA$955)</c:f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89357056"/>
        <c:axId val="889358592"/>
      </c:lineChart>
      <c:catAx>
        <c:axId val="8893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9358592"/>
        <c:crosses val="autoZero"/>
        <c:auto val="1"/>
        <c:lblAlgn val="ctr"/>
        <c:lblOffset val="100"/>
        <c:noMultiLvlLbl val="0"/>
      </c:catAx>
      <c:valAx>
        <c:axId val="8893585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9357056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43f184-0b73-41cb-b868-5c927d81117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Worksheet!$B$3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Worksheet!$C$2:$CL$2</c:f>
              <c:strCache>
                <c:ptCount val="61"/>
                <c:pt idx="0" c:formatCode="#,##0.0_);[Red]\(#,##0.0\)">
                  <c:v>Q1 08</c:v>
                </c:pt>
                <c:pt idx="1" c:formatCode="#,##0.0_);[Red]\(#,##0.0\)">
                  <c:v>Q2 08</c:v>
                </c:pt>
                <c:pt idx="2" c:formatCode="#,##0.0_);[Red]\(#,##0.0\)">
                  <c:v>H1 08</c:v>
                </c:pt>
                <c:pt idx="3" c:formatCode="#,##0.0_);[Red]\(#,##0.0\)">
                  <c:v>Q3 08</c:v>
                </c:pt>
                <c:pt idx="4" c:formatCode="#,##0.0_);[Red]\(#,##0.0\)">
                  <c:v>9M 08</c:v>
                </c:pt>
                <c:pt idx="5" c:formatCode="#,##0.0_);[Red]\(#,##0.0\)">
                  <c:v>Q4 08</c:v>
                </c:pt>
                <c:pt idx="6" c:formatCode="#,##0.0_);[Red]\(#,##0.0\)">
                  <c:v>H2 08</c:v>
                </c:pt>
                <c:pt idx="7" c:formatCode="#,##0.0_);[Red]\(#,##0.0\)">
                  <c:v>FY 08</c:v>
                </c:pt>
                <c:pt idx="8" c:formatCode="#,##0.0_);[Red]\(#,##0.0\)">
                  <c:v>Q1 09</c:v>
                </c:pt>
                <c:pt idx="9" c:formatCode="#,##0.0_);[Red]\(#,##0.0\)">
                  <c:v>Q2 09</c:v>
                </c:pt>
                <c:pt idx="10" c:formatCode="#,##0.0_);[Red]\(#,##0.0\)">
                  <c:v>H1 09</c:v>
                </c:pt>
                <c:pt idx="11" c:formatCode="#,##0.0_);[Red]\(#,##0.0\)">
                  <c:v>Q3 09</c:v>
                </c:pt>
                <c:pt idx="12" c:formatCode="#,##0.0_);[Red]\(#,##0.0\)">
                  <c:v>9M 09</c:v>
                </c:pt>
                <c:pt idx="13" c:formatCode="#,##0.0_);[Red]\(#,##0.0\)">
                  <c:v>Q4 09</c:v>
                </c:pt>
                <c:pt idx="14" c:formatCode="#,##0.0_);[Red]\(#,##0.0\)">
                  <c:v>H2 09</c:v>
                </c:pt>
                <c:pt idx="15" c:formatCode="#,##0.0_);[Red]\(#,##0.0\)">
                  <c:v>FY 09</c:v>
                </c:pt>
                <c:pt idx="16" c:formatCode="#,##0.0_);[Red]\(#,##0.0\)">
                  <c:v>Q1 10</c:v>
                </c:pt>
                <c:pt idx="17" c:formatCode="#,##0.0_);[Red]\(#,##0.0\)">
                  <c:v>Q2 10</c:v>
                </c:pt>
                <c:pt idx="18" c:formatCode="#,##0.0_);[Red]\(#,##0.0\)">
                  <c:v>H1 10</c:v>
                </c:pt>
                <c:pt idx="19" c:formatCode="#,##0.0_);[Red]\(#,##0.0\)">
                  <c:v>Q3 10</c:v>
                </c:pt>
                <c:pt idx="20" c:formatCode="#,##0.0_);[Red]\(#,##0.0\)">
                  <c:v>9M 10</c:v>
                </c:pt>
                <c:pt idx="21" c:formatCode="#,##0.0_);[Red]\(#,##0.0\)">
                  <c:v>Q4 10</c:v>
                </c:pt>
                <c:pt idx="22" c:formatCode="#,##0.0_);[Red]\(#,##0.0\)">
                  <c:v>H2 10</c:v>
                </c:pt>
                <c:pt idx="23" c:formatCode="#,##0.0_);[Red]\(#,##0.0\)">
                  <c:v>FY 10</c:v>
                </c:pt>
                <c:pt idx="24" c:formatCode="#,##0.0_);[Red]\(#,##0.0\)">
                  <c:v>Q1 11</c:v>
                </c:pt>
                <c:pt idx="25" c:formatCode="#,##0.0_);[Red]\(#,##0.0\)">
                  <c:v>Q2 11</c:v>
                </c:pt>
                <c:pt idx="26" c:formatCode="#,##0.0_);[Red]\(#,##0.0\)">
                  <c:v>H1 11</c:v>
                </c:pt>
                <c:pt idx="27" c:formatCode="#,##0.0_);[Red]\(#,##0.0\)">
                  <c:v>Q3 11</c:v>
                </c:pt>
                <c:pt idx="28" c:formatCode="#,##0.0_);[Red]\(#,##0.0\)">
                  <c:v>9M 11</c:v>
                </c:pt>
                <c:pt idx="29" c:formatCode="#,##0.0_);[Red]\(#,##0.0\)">
                  <c:v>Q4 11</c:v>
                </c:pt>
                <c:pt idx="30" c:formatCode="#,##0.0_);[Red]\(#,##0.0\)">
                  <c:v>Q1 12</c:v>
                </c:pt>
                <c:pt idx="31" c:formatCode="#,##0.0_);[Red]\(#,##0.0\)">
                  <c:v>Q2 12</c:v>
                </c:pt>
                <c:pt idx="32" c:formatCode="#,##0.0_);[Red]\(#,##0.0\)">
                  <c:v>Q3 12</c:v>
                </c:pt>
                <c:pt idx="33" c:formatCode="#,##0.0_);[Red]\(#,##0.0\)">
                  <c:v>Q4 12</c:v>
                </c:pt>
                <c:pt idx="34" c:formatCode="#,##0.0_);[Red]\(#,##0.0\)">
                  <c:v>1Q13</c:v>
                </c:pt>
                <c:pt idx="35" c:formatCode="#,##0.0_);[Red]\(#,##0.0\)">
                  <c:v>2Q13</c:v>
                </c:pt>
                <c:pt idx="36" c:formatCode="#,##0.0_);[Red]\(#,##0.0\)">
                  <c:v>3Q13</c:v>
                </c:pt>
                <c:pt idx="37" c:formatCode="#,##0.0_);[Red]\(#,##0.0\)">
                  <c:v>4Q13</c:v>
                </c:pt>
                <c:pt idx="38" c:formatCode="#,##0.0_);[Red]\(#,##0.0\)">
                  <c:v>1Q14</c:v>
                </c:pt>
                <c:pt idx="39" c:formatCode="#,##0.0_);[Red]\(#,##0.0\)">
                  <c:v>2Q14</c:v>
                </c:pt>
                <c:pt idx="40" c:formatCode="#,##0.0_);[Red]\(#,##0.0\)">
                  <c:v>3Q14</c:v>
                </c:pt>
                <c:pt idx="41" c:formatCode="#,##0.0_);[Red]\(#,##0.0\)">
                  <c:v>4Q14</c:v>
                </c:pt>
                <c:pt idx="42" c:formatCode="#,##0.0_);[Red]\(#,##0.0\)">
                  <c:v>1Q15</c:v>
                </c:pt>
                <c:pt idx="43" c:formatCode="#,##0.0_);[Red]\(#,##0.0\)">
                  <c:v>2Q15</c:v>
                </c:pt>
                <c:pt idx="44" c:formatCode="#,##0.0_);[Red]\(#,##0.0\)">
                  <c:v>3Q15</c:v>
                </c:pt>
                <c:pt idx="45" c:formatCode="#,##0.0_);[Red]\(#,##0.0\)">
                  <c:v>4Q15</c:v>
                </c:pt>
                <c:pt idx="46" c:formatCode="#,##0.0_);[Red]\(#,##0.0\)">
                  <c:v>1Q16</c:v>
                </c:pt>
                <c:pt idx="47" c:formatCode="#,##0.0_);[Red]\(#,##0.0\)">
                  <c:v>2Q16</c:v>
                </c:pt>
                <c:pt idx="48" c:formatCode="#,##0.0_);[Red]\(#,##0.0\)">
                  <c:v>3Q16</c:v>
                </c:pt>
                <c:pt idx="49" c:formatCode="#,##0.0_);[Red]\(#,##0.0\)">
                  <c:v>4Q16</c:v>
                </c:pt>
                <c:pt idx="50" c:formatCode="#,##0.0_);[Red]\(#,##0.0\)">
                  <c:v>1Q17</c:v>
                </c:pt>
                <c:pt idx="51" c:formatCode="#,##0.0_);[Red]\(#,##0.0\)">
                  <c:v>2Q17</c:v>
                </c:pt>
                <c:pt idx="52" c:formatCode="#,##0.0_);[Red]\(#,##0.0\)">
                  <c:v>3Q17</c:v>
                </c:pt>
                <c:pt idx="53" c:formatCode="#,##0.0_);[Red]\(#,##0.0\)">
                  <c:v>4Q17</c:v>
                </c:pt>
                <c:pt idx="54" c:formatCode="#,##0.0_);[Red]\(#,##0.0\)">
                  <c:v>1Q18</c:v>
                </c:pt>
                <c:pt idx="55" c:formatCode="#,##0.0_);[Red]\(#,##0.0\)">
                  <c:v>2Q18</c:v>
                </c:pt>
                <c:pt idx="56" c:formatCode="#,##0.0_);[Red]\(#,##0.0\)">
                  <c:v>3Q18</c:v>
                </c:pt>
                <c:pt idx="57" c:formatCode="#,##0.0_);[Red]\(#,##0.0\)">
                  <c:v>4Q18</c:v>
                </c:pt>
                <c:pt idx="58" c:formatCode="#,##0.0_);[Red]\(#,##0.0\)">
                  <c:v>1Q19</c:v>
                </c:pt>
                <c:pt idx="59" c:formatCode="#,##0.0_);[Red]\(#,##0.0\)">
                  <c:v>2Q19</c:v>
                </c:pt>
                <c:pt idx="60" c:formatCode="#,##0.0_);[Red]\(#,##0.0\)">
                  <c:v>3Q19</c:v>
                </c:pt>
              </c:strCache>
            </c:strRef>
          </c:cat>
          <c:val>
            <c:numRef>
              <c:f>Worksheet!$C$3:$CL$3</c:f>
              <c:numCache>
                <c:formatCode>#,##0;[Red]\-#,##0</c:formatCode>
                <c:ptCount val="61"/>
                <c:pt idx="0">
                  <c:v>1968</c:v>
                </c:pt>
                <c:pt idx="1">
                  <c:v>1755</c:v>
                </c:pt>
                <c:pt idx="3">
                  <c:v>2241</c:v>
                </c:pt>
                <c:pt idx="5">
                  <c:v>1794</c:v>
                </c:pt>
                <c:pt idx="8">
                  <c:v>1874</c:v>
                </c:pt>
                <c:pt idx="9">
                  <c:v>1605</c:v>
                </c:pt>
                <c:pt idx="11">
                  <c:v>2036</c:v>
                </c:pt>
                <c:pt idx="13">
                  <c:v>1650</c:v>
                </c:pt>
                <c:pt idx="16">
                  <c:v>1898</c:v>
                </c:pt>
                <c:pt idx="17">
                  <c:v>1928</c:v>
                </c:pt>
                <c:pt idx="19">
                  <c:v>2421</c:v>
                </c:pt>
                <c:pt idx="21">
                  <c:v>1934</c:v>
                </c:pt>
                <c:pt idx="24">
                  <c:v>2320</c:v>
                </c:pt>
                <c:pt idx="25">
                  <c:v>1973</c:v>
                </c:pt>
                <c:pt idx="27">
                  <c:v>2576</c:v>
                </c:pt>
                <c:pt idx="29">
                  <c:v>2081</c:v>
                </c:pt>
                <c:pt idx="30">
                  <c:v>2614</c:v>
                </c:pt>
                <c:pt idx="31">
                  <c:v>2113</c:v>
                </c:pt>
                <c:pt idx="32">
                  <c:v>2743</c:v>
                </c:pt>
                <c:pt idx="33">
                  <c:v>2063</c:v>
                </c:pt>
                <c:pt idx="34">
                  <c:v>2481</c:v>
                </c:pt>
                <c:pt idx="35">
                  <c:v>2014</c:v>
                </c:pt>
                <c:pt idx="36">
                  <c:v>2553</c:v>
                </c:pt>
                <c:pt idx="37">
                  <c:v>2052</c:v>
                </c:pt>
                <c:pt idx="38">
                  <c:v>2357</c:v>
                </c:pt>
                <c:pt idx="39">
                  <c:v>2085</c:v>
                </c:pt>
                <c:pt idx="40">
                  <c:v>2717</c:v>
                </c:pt>
                <c:pt idx="41">
                  <c:v>2038.227403184</c:v>
                </c:pt>
                <c:pt idx="42">
                  <c:v>2811</c:v>
                </c:pt>
                <c:pt idx="43">
                  <c:v>2485</c:v>
                </c:pt>
                <c:pt idx="44">
                  <c:v>3311</c:v>
                </c:pt>
                <c:pt idx="45">
                  <c:v>2620</c:v>
                </c:pt>
                <c:pt idx="46">
                  <c:v>3339</c:v>
                </c:pt>
                <c:pt idx="47">
                  <c:v>2869</c:v>
                </c:pt>
                <c:pt idx="48">
                  <c:v>3716</c:v>
                </c:pt>
                <c:pt idx="49">
                  <c:v>2888</c:v>
                </c:pt>
                <c:pt idx="50">
                  <c:v>3959</c:v>
                </c:pt>
                <c:pt idx="51">
                  <c:v>3373</c:v>
                </c:pt>
                <c:pt idx="52">
                  <c:v>4069</c:v>
                </c:pt>
                <c:pt idx="53">
                  <c:v>3216</c:v>
                </c:pt>
                <c:pt idx="54">
                  <c:v>4027</c:v>
                </c:pt>
                <c:pt idx="55">
                  <c:v>3501</c:v>
                </c:pt>
                <c:pt idx="56">
                  <c:v>3945</c:v>
                </c:pt>
                <c:pt idx="57">
                  <c:v>3125</c:v>
                </c:pt>
                <c:pt idx="58">
                  <c:v>4093</c:v>
                </c:pt>
                <c:pt idx="59">
                  <c:v>3512</c:v>
                </c:pt>
                <c:pt idx="60">
                  <c:v>4288</c:v>
                </c:pt>
              </c:numCache>
            </c:numRef>
          </c:val>
        </c:ser>
        <c:ser>
          <c:idx val="1"/>
          <c:order val="1"/>
          <c:tx>
            <c:strRef>
              <c:f>Worksheet!$B$4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Worksheet!$C$2:$CL$2</c:f>
              <c:strCache>
                <c:ptCount val="61"/>
                <c:pt idx="0" c:formatCode="#,##0.0_);[Red]\(#,##0.0\)">
                  <c:v>Q1 08</c:v>
                </c:pt>
                <c:pt idx="1" c:formatCode="#,##0.0_);[Red]\(#,##0.0\)">
                  <c:v>Q2 08</c:v>
                </c:pt>
                <c:pt idx="2" c:formatCode="#,##0.0_);[Red]\(#,##0.0\)">
                  <c:v>H1 08</c:v>
                </c:pt>
                <c:pt idx="3" c:formatCode="#,##0.0_);[Red]\(#,##0.0\)">
                  <c:v>Q3 08</c:v>
                </c:pt>
                <c:pt idx="4" c:formatCode="#,##0.0_);[Red]\(#,##0.0\)">
                  <c:v>9M 08</c:v>
                </c:pt>
                <c:pt idx="5" c:formatCode="#,##0.0_);[Red]\(#,##0.0\)">
                  <c:v>Q4 08</c:v>
                </c:pt>
                <c:pt idx="6" c:formatCode="#,##0.0_);[Red]\(#,##0.0\)">
                  <c:v>H2 08</c:v>
                </c:pt>
                <c:pt idx="7" c:formatCode="#,##0.0_);[Red]\(#,##0.0\)">
                  <c:v>FY 08</c:v>
                </c:pt>
                <c:pt idx="8" c:formatCode="#,##0.0_);[Red]\(#,##0.0\)">
                  <c:v>Q1 09</c:v>
                </c:pt>
                <c:pt idx="9" c:formatCode="#,##0.0_);[Red]\(#,##0.0\)">
                  <c:v>Q2 09</c:v>
                </c:pt>
                <c:pt idx="10" c:formatCode="#,##0.0_);[Red]\(#,##0.0\)">
                  <c:v>H1 09</c:v>
                </c:pt>
                <c:pt idx="11" c:formatCode="#,##0.0_);[Red]\(#,##0.0\)">
                  <c:v>Q3 09</c:v>
                </c:pt>
                <c:pt idx="12" c:formatCode="#,##0.0_);[Red]\(#,##0.0\)">
                  <c:v>9M 09</c:v>
                </c:pt>
                <c:pt idx="13" c:formatCode="#,##0.0_);[Red]\(#,##0.0\)">
                  <c:v>Q4 09</c:v>
                </c:pt>
                <c:pt idx="14" c:formatCode="#,##0.0_);[Red]\(#,##0.0\)">
                  <c:v>H2 09</c:v>
                </c:pt>
                <c:pt idx="15" c:formatCode="#,##0.0_);[Red]\(#,##0.0\)">
                  <c:v>FY 09</c:v>
                </c:pt>
                <c:pt idx="16" c:formatCode="#,##0.0_);[Red]\(#,##0.0\)">
                  <c:v>Q1 10</c:v>
                </c:pt>
                <c:pt idx="17" c:formatCode="#,##0.0_);[Red]\(#,##0.0\)">
                  <c:v>Q2 10</c:v>
                </c:pt>
                <c:pt idx="18" c:formatCode="#,##0.0_);[Red]\(#,##0.0\)">
                  <c:v>H1 10</c:v>
                </c:pt>
                <c:pt idx="19" c:formatCode="#,##0.0_);[Red]\(#,##0.0\)">
                  <c:v>Q3 10</c:v>
                </c:pt>
                <c:pt idx="20" c:formatCode="#,##0.0_);[Red]\(#,##0.0\)">
                  <c:v>9M 10</c:v>
                </c:pt>
                <c:pt idx="21" c:formatCode="#,##0.0_);[Red]\(#,##0.0\)">
                  <c:v>Q4 10</c:v>
                </c:pt>
                <c:pt idx="22" c:formatCode="#,##0.0_);[Red]\(#,##0.0\)">
                  <c:v>H2 10</c:v>
                </c:pt>
                <c:pt idx="23" c:formatCode="#,##0.0_);[Red]\(#,##0.0\)">
                  <c:v>FY 10</c:v>
                </c:pt>
                <c:pt idx="24" c:formatCode="#,##0.0_);[Red]\(#,##0.0\)">
                  <c:v>Q1 11</c:v>
                </c:pt>
                <c:pt idx="25" c:formatCode="#,##0.0_);[Red]\(#,##0.0\)">
                  <c:v>Q2 11</c:v>
                </c:pt>
                <c:pt idx="26" c:formatCode="#,##0.0_);[Red]\(#,##0.0\)">
                  <c:v>H1 11</c:v>
                </c:pt>
                <c:pt idx="27" c:formatCode="#,##0.0_);[Red]\(#,##0.0\)">
                  <c:v>Q3 11</c:v>
                </c:pt>
                <c:pt idx="28" c:formatCode="#,##0.0_);[Red]\(#,##0.0\)">
                  <c:v>9M 11</c:v>
                </c:pt>
                <c:pt idx="29" c:formatCode="#,##0.0_);[Red]\(#,##0.0\)">
                  <c:v>Q4 11</c:v>
                </c:pt>
                <c:pt idx="30" c:formatCode="#,##0.0_);[Red]\(#,##0.0\)">
                  <c:v>Q1 12</c:v>
                </c:pt>
                <c:pt idx="31" c:formatCode="#,##0.0_);[Red]\(#,##0.0\)">
                  <c:v>Q2 12</c:v>
                </c:pt>
                <c:pt idx="32" c:formatCode="#,##0.0_);[Red]\(#,##0.0\)">
                  <c:v>Q3 12</c:v>
                </c:pt>
                <c:pt idx="33" c:formatCode="#,##0.0_);[Red]\(#,##0.0\)">
                  <c:v>Q4 12</c:v>
                </c:pt>
                <c:pt idx="34" c:formatCode="#,##0.0_);[Red]\(#,##0.0\)">
                  <c:v>1Q13</c:v>
                </c:pt>
                <c:pt idx="35" c:formatCode="#,##0.0_);[Red]\(#,##0.0\)">
                  <c:v>2Q13</c:v>
                </c:pt>
                <c:pt idx="36" c:formatCode="#,##0.0_);[Red]\(#,##0.0\)">
                  <c:v>3Q13</c:v>
                </c:pt>
                <c:pt idx="37" c:formatCode="#,##0.0_);[Red]\(#,##0.0\)">
                  <c:v>4Q13</c:v>
                </c:pt>
                <c:pt idx="38" c:formatCode="#,##0.0_);[Red]\(#,##0.0\)">
                  <c:v>1Q14</c:v>
                </c:pt>
                <c:pt idx="39" c:formatCode="#,##0.0_);[Red]\(#,##0.0\)">
                  <c:v>2Q14</c:v>
                </c:pt>
                <c:pt idx="40" c:formatCode="#,##0.0_);[Red]\(#,##0.0\)">
                  <c:v>3Q14</c:v>
                </c:pt>
                <c:pt idx="41" c:formatCode="#,##0.0_);[Red]\(#,##0.0\)">
                  <c:v>4Q14</c:v>
                </c:pt>
                <c:pt idx="42" c:formatCode="#,##0.0_);[Red]\(#,##0.0\)">
                  <c:v>1Q15</c:v>
                </c:pt>
                <c:pt idx="43" c:formatCode="#,##0.0_);[Red]\(#,##0.0\)">
                  <c:v>2Q15</c:v>
                </c:pt>
                <c:pt idx="44" c:formatCode="#,##0.0_);[Red]\(#,##0.0\)">
                  <c:v>3Q15</c:v>
                </c:pt>
                <c:pt idx="45" c:formatCode="#,##0.0_);[Red]\(#,##0.0\)">
                  <c:v>4Q15</c:v>
                </c:pt>
                <c:pt idx="46" c:formatCode="#,##0.0_);[Red]\(#,##0.0\)">
                  <c:v>1Q16</c:v>
                </c:pt>
                <c:pt idx="47" c:formatCode="#,##0.0_);[Red]\(#,##0.0\)">
                  <c:v>2Q16</c:v>
                </c:pt>
                <c:pt idx="48" c:formatCode="#,##0.0_);[Red]\(#,##0.0\)">
                  <c:v>3Q16</c:v>
                </c:pt>
                <c:pt idx="49" c:formatCode="#,##0.0_);[Red]\(#,##0.0\)">
                  <c:v>4Q16</c:v>
                </c:pt>
                <c:pt idx="50" c:formatCode="#,##0.0_);[Red]\(#,##0.0\)">
                  <c:v>1Q17</c:v>
                </c:pt>
                <c:pt idx="51" c:formatCode="#,##0.0_);[Red]\(#,##0.0\)">
                  <c:v>2Q17</c:v>
                </c:pt>
                <c:pt idx="52" c:formatCode="#,##0.0_);[Red]\(#,##0.0\)">
                  <c:v>3Q17</c:v>
                </c:pt>
                <c:pt idx="53" c:formatCode="#,##0.0_);[Red]\(#,##0.0\)">
                  <c:v>4Q17</c:v>
                </c:pt>
                <c:pt idx="54" c:formatCode="#,##0.0_);[Red]\(#,##0.0\)">
                  <c:v>1Q18</c:v>
                </c:pt>
                <c:pt idx="55" c:formatCode="#,##0.0_);[Red]\(#,##0.0\)">
                  <c:v>2Q18</c:v>
                </c:pt>
                <c:pt idx="56" c:formatCode="#,##0.0_);[Red]\(#,##0.0\)">
                  <c:v>3Q18</c:v>
                </c:pt>
                <c:pt idx="57" c:formatCode="#,##0.0_);[Red]\(#,##0.0\)">
                  <c:v>4Q18</c:v>
                </c:pt>
                <c:pt idx="58" c:formatCode="#,##0.0_);[Red]\(#,##0.0\)">
                  <c:v>1Q19</c:v>
                </c:pt>
                <c:pt idx="59" c:formatCode="#,##0.0_);[Red]\(#,##0.0\)">
                  <c:v>2Q19</c:v>
                </c:pt>
                <c:pt idx="60" c:formatCode="#,##0.0_);[Red]\(#,##0.0\)">
                  <c:v>3Q19</c:v>
                </c:pt>
              </c:strCache>
            </c:strRef>
          </c:cat>
          <c:val>
            <c:numRef>
              <c:f>Worksheet!$C$4:$CL$4</c:f>
              <c:numCache>
                <c:formatCode>#,##0;[Red]\-#,##0</c:formatCode>
                <c:ptCount val="61"/>
                <c:pt idx="0">
                  <c:v>360</c:v>
                </c:pt>
                <c:pt idx="1">
                  <c:v>423</c:v>
                </c:pt>
                <c:pt idx="3">
                  <c:v>491</c:v>
                </c:pt>
                <c:pt idx="5">
                  <c:v>464</c:v>
                </c:pt>
                <c:pt idx="8">
                  <c:v>400</c:v>
                </c:pt>
                <c:pt idx="9">
                  <c:v>486</c:v>
                </c:pt>
                <c:pt idx="11">
                  <c:v>524</c:v>
                </c:pt>
                <c:pt idx="13">
                  <c:v>497</c:v>
                </c:pt>
                <c:pt idx="16">
                  <c:v>459</c:v>
                </c:pt>
                <c:pt idx="17">
                  <c:v>602</c:v>
                </c:pt>
                <c:pt idx="19">
                  <c:v>665</c:v>
                </c:pt>
                <c:pt idx="21">
                  <c:v>663</c:v>
                </c:pt>
                <c:pt idx="24">
                  <c:v>577</c:v>
                </c:pt>
                <c:pt idx="25">
                  <c:v>681</c:v>
                </c:pt>
                <c:pt idx="27">
                  <c:v>757</c:v>
                </c:pt>
                <c:pt idx="29">
                  <c:v>778</c:v>
                </c:pt>
                <c:pt idx="30">
                  <c:v>693</c:v>
                </c:pt>
                <c:pt idx="31">
                  <c:v>854</c:v>
                </c:pt>
                <c:pt idx="32">
                  <c:v>944</c:v>
                </c:pt>
                <c:pt idx="33">
                  <c:v>882</c:v>
                </c:pt>
                <c:pt idx="34">
                  <c:v>722</c:v>
                </c:pt>
                <c:pt idx="35">
                  <c:v>867</c:v>
                </c:pt>
                <c:pt idx="36">
                  <c:v>923</c:v>
                </c:pt>
                <c:pt idx="37">
                  <c:v>934</c:v>
                </c:pt>
                <c:pt idx="38">
                  <c:v>794</c:v>
                </c:pt>
                <c:pt idx="39">
                  <c:v>958</c:v>
                </c:pt>
                <c:pt idx="40">
                  <c:v>1047</c:v>
                </c:pt>
                <c:pt idx="41">
                  <c:v>1021.56519251861</c:v>
                </c:pt>
                <c:pt idx="42">
                  <c:v>895</c:v>
                </c:pt>
                <c:pt idx="43">
                  <c:v>1057</c:v>
                </c:pt>
                <c:pt idx="44">
                  <c:v>1104</c:v>
                </c:pt>
                <c:pt idx="45">
                  <c:v>1165</c:v>
                </c:pt>
                <c:pt idx="46">
                  <c:v>1034</c:v>
                </c:pt>
                <c:pt idx="47">
                  <c:v>1177</c:v>
                </c:pt>
                <c:pt idx="48">
                  <c:v>1330</c:v>
                </c:pt>
                <c:pt idx="49">
                  <c:v>1462</c:v>
                </c:pt>
                <c:pt idx="50">
                  <c:v>1290</c:v>
                </c:pt>
                <c:pt idx="51">
                  <c:v>1467</c:v>
                </c:pt>
                <c:pt idx="52">
                  <c:v>1417</c:v>
                </c:pt>
                <c:pt idx="53">
                  <c:v>1686</c:v>
                </c:pt>
                <c:pt idx="54">
                  <c:v>1331</c:v>
                </c:pt>
                <c:pt idx="55">
                  <c:v>1571</c:v>
                </c:pt>
                <c:pt idx="56">
                  <c:v>1698</c:v>
                </c:pt>
                <c:pt idx="57">
                  <c:v>1888</c:v>
                </c:pt>
                <c:pt idx="58">
                  <c:v>1595</c:v>
                </c:pt>
                <c:pt idx="59">
                  <c:v>1850</c:v>
                </c:pt>
                <c:pt idx="60">
                  <c:v>1960</c:v>
                </c:pt>
              </c:numCache>
            </c:numRef>
          </c:val>
        </c:ser>
        <c:ser>
          <c:idx val="2"/>
          <c:order val="2"/>
          <c:tx>
            <c:strRef>
              <c:f>Worksheet!$B$5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Worksheet!$C$2:$CL$2</c:f>
              <c:strCache>
                <c:ptCount val="61"/>
                <c:pt idx="0" c:formatCode="#,##0.0_);[Red]\(#,##0.0\)">
                  <c:v>Q1 08</c:v>
                </c:pt>
                <c:pt idx="1" c:formatCode="#,##0.0_);[Red]\(#,##0.0\)">
                  <c:v>Q2 08</c:v>
                </c:pt>
                <c:pt idx="2" c:formatCode="#,##0.0_);[Red]\(#,##0.0\)">
                  <c:v>H1 08</c:v>
                </c:pt>
                <c:pt idx="3" c:formatCode="#,##0.0_);[Red]\(#,##0.0\)">
                  <c:v>Q3 08</c:v>
                </c:pt>
                <c:pt idx="4" c:formatCode="#,##0.0_);[Red]\(#,##0.0\)">
                  <c:v>9M 08</c:v>
                </c:pt>
                <c:pt idx="5" c:formatCode="#,##0.0_);[Red]\(#,##0.0\)">
                  <c:v>Q4 08</c:v>
                </c:pt>
                <c:pt idx="6" c:formatCode="#,##0.0_);[Red]\(#,##0.0\)">
                  <c:v>H2 08</c:v>
                </c:pt>
                <c:pt idx="7" c:formatCode="#,##0.0_);[Red]\(#,##0.0\)">
                  <c:v>FY 08</c:v>
                </c:pt>
                <c:pt idx="8" c:formatCode="#,##0.0_);[Red]\(#,##0.0\)">
                  <c:v>Q1 09</c:v>
                </c:pt>
                <c:pt idx="9" c:formatCode="#,##0.0_);[Red]\(#,##0.0\)">
                  <c:v>Q2 09</c:v>
                </c:pt>
                <c:pt idx="10" c:formatCode="#,##0.0_);[Red]\(#,##0.0\)">
                  <c:v>H1 09</c:v>
                </c:pt>
                <c:pt idx="11" c:formatCode="#,##0.0_);[Red]\(#,##0.0\)">
                  <c:v>Q3 09</c:v>
                </c:pt>
                <c:pt idx="12" c:formatCode="#,##0.0_);[Red]\(#,##0.0\)">
                  <c:v>9M 09</c:v>
                </c:pt>
                <c:pt idx="13" c:formatCode="#,##0.0_);[Red]\(#,##0.0\)">
                  <c:v>Q4 09</c:v>
                </c:pt>
                <c:pt idx="14" c:formatCode="#,##0.0_);[Red]\(#,##0.0\)">
                  <c:v>H2 09</c:v>
                </c:pt>
                <c:pt idx="15" c:formatCode="#,##0.0_);[Red]\(#,##0.0\)">
                  <c:v>FY 09</c:v>
                </c:pt>
                <c:pt idx="16" c:formatCode="#,##0.0_);[Red]\(#,##0.0\)">
                  <c:v>Q1 10</c:v>
                </c:pt>
                <c:pt idx="17" c:formatCode="#,##0.0_);[Red]\(#,##0.0\)">
                  <c:v>Q2 10</c:v>
                </c:pt>
                <c:pt idx="18" c:formatCode="#,##0.0_);[Red]\(#,##0.0\)">
                  <c:v>H1 10</c:v>
                </c:pt>
                <c:pt idx="19" c:formatCode="#,##0.0_);[Red]\(#,##0.0\)">
                  <c:v>Q3 10</c:v>
                </c:pt>
                <c:pt idx="20" c:formatCode="#,##0.0_);[Red]\(#,##0.0\)">
                  <c:v>9M 10</c:v>
                </c:pt>
                <c:pt idx="21" c:formatCode="#,##0.0_);[Red]\(#,##0.0\)">
                  <c:v>Q4 10</c:v>
                </c:pt>
                <c:pt idx="22" c:formatCode="#,##0.0_);[Red]\(#,##0.0\)">
                  <c:v>H2 10</c:v>
                </c:pt>
                <c:pt idx="23" c:formatCode="#,##0.0_);[Red]\(#,##0.0\)">
                  <c:v>FY 10</c:v>
                </c:pt>
                <c:pt idx="24" c:formatCode="#,##0.0_);[Red]\(#,##0.0\)">
                  <c:v>Q1 11</c:v>
                </c:pt>
                <c:pt idx="25" c:formatCode="#,##0.0_);[Red]\(#,##0.0\)">
                  <c:v>Q2 11</c:v>
                </c:pt>
                <c:pt idx="26" c:formatCode="#,##0.0_);[Red]\(#,##0.0\)">
                  <c:v>H1 11</c:v>
                </c:pt>
                <c:pt idx="27" c:formatCode="#,##0.0_);[Red]\(#,##0.0\)">
                  <c:v>Q3 11</c:v>
                </c:pt>
                <c:pt idx="28" c:formatCode="#,##0.0_);[Red]\(#,##0.0\)">
                  <c:v>9M 11</c:v>
                </c:pt>
                <c:pt idx="29" c:formatCode="#,##0.0_);[Red]\(#,##0.0\)">
                  <c:v>Q4 11</c:v>
                </c:pt>
                <c:pt idx="30" c:formatCode="#,##0.0_);[Red]\(#,##0.0\)">
                  <c:v>Q1 12</c:v>
                </c:pt>
                <c:pt idx="31" c:formatCode="#,##0.0_);[Red]\(#,##0.0\)">
                  <c:v>Q2 12</c:v>
                </c:pt>
                <c:pt idx="32" c:formatCode="#,##0.0_);[Red]\(#,##0.0\)">
                  <c:v>Q3 12</c:v>
                </c:pt>
                <c:pt idx="33" c:formatCode="#,##0.0_);[Red]\(#,##0.0\)">
                  <c:v>Q4 12</c:v>
                </c:pt>
                <c:pt idx="34" c:formatCode="#,##0.0_);[Red]\(#,##0.0\)">
                  <c:v>1Q13</c:v>
                </c:pt>
                <c:pt idx="35" c:formatCode="#,##0.0_);[Red]\(#,##0.0\)">
                  <c:v>2Q13</c:v>
                </c:pt>
                <c:pt idx="36" c:formatCode="#,##0.0_);[Red]\(#,##0.0\)">
                  <c:v>3Q13</c:v>
                </c:pt>
                <c:pt idx="37" c:formatCode="#,##0.0_);[Red]\(#,##0.0\)">
                  <c:v>4Q13</c:v>
                </c:pt>
                <c:pt idx="38" c:formatCode="#,##0.0_);[Red]\(#,##0.0\)">
                  <c:v>1Q14</c:v>
                </c:pt>
                <c:pt idx="39" c:formatCode="#,##0.0_);[Red]\(#,##0.0\)">
                  <c:v>2Q14</c:v>
                </c:pt>
                <c:pt idx="40" c:formatCode="#,##0.0_);[Red]\(#,##0.0\)">
                  <c:v>3Q14</c:v>
                </c:pt>
                <c:pt idx="41" c:formatCode="#,##0.0_);[Red]\(#,##0.0\)">
                  <c:v>4Q14</c:v>
                </c:pt>
                <c:pt idx="42" c:formatCode="#,##0.0_);[Red]\(#,##0.0\)">
                  <c:v>1Q15</c:v>
                </c:pt>
                <c:pt idx="43" c:formatCode="#,##0.0_);[Red]\(#,##0.0\)">
                  <c:v>2Q15</c:v>
                </c:pt>
                <c:pt idx="44" c:formatCode="#,##0.0_);[Red]\(#,##0.0\)">
                  <c:v>3Q15</c:v>
                </c:pt>
                <c:pt idx="45" c:formatCode="#,##0.0_);[Red]\(#,##0.0\)">
                  <c:v>4Q15</c:v>
                </c:pt>
                <c:pt idx="46" c:formatCode="#,##0.0_);[Red]\(#,##0.0\)">
                  <c:v>1Q16</c:v>
                </c:pt>
                <c:pt idx="47" c:formatCode="#,##0.0_);[Red]\(#,##0.0\)">
                  <c:v>2Q16</c:v>
                </c:pt>
                <c:pt idx="48" c:formatCode="#,##0.0_);[Red]\(#,##0.0\)">
                  <c:v>3Q16</c:v>
                </c:pt>
                <c:pt idx="49" c:formatCode="#,##0.0_);[Red]\(#,##0.0\)">
                  <c:v>4Q16</c:v>
                </c:pt>
                <c:pt idx="50" c:formatCode="#,##0.0_);[Red]\(#,##0.0\)">
                  <c:v>1Q17</c:v>
                </c:pt>
                <c:pt idx="51" c:formatCode="#,##0.0_);[Red]\(#,##0.0\)">
                  <c:v>2Q17</c:v>
                </c:pt>
                <c:pt idx="52" c:formatCode="#,##0.0_);[Red]\(#,##0.0\)">
                  <c:v>3Q17</c:v>
                </c:pt>
                <c:pt idx="53" c:formatCode="#,##0.0_);[Red]\(#,##0.0\)">
                  <c:v>4Q17</c:v>
                </c:pt>
                <c:pt idx="54" c:formatCode="#,##0.0_);[Red]\(#,##0.0\)">
                  <c:v>1Q18</c:v>
                </c:pt>
                <c:pt idx="55" c:formatCode="#,##0.0_);[Red]\(#,##0.0\)">
                  <c:v>2Q18</c:v>
                </c:pt>
                <c:pt idx="56" c:formatCode="#,##0.0_);[Red]\(#,##0.0\)">
                  <c:v>3Q18</c:v>
                </c:pt>
                <c:pt idx="57" c:formatCode="#,##0.0_);[Red]\(#,##0.0\)">
                  <c:v>4Q18</c:v>
                </c:pt>
                <c:pt idx="58" c:formatCode="#,##0.0_);[Red]\(#,##0.0\)">
                  <c:v>1Q19</c:v>
                </c:pt>
                <c:pt idx="59" c:formatCode="#,##0.0_);[Red]\(#,##0.0\)">
                  <c:v>2Q19</c:v>
                </c:pt>
                <c:pt idx="60" c:formatCode="#,##0.0_);[Red]\(#,##0.0\)">
                  <c:v>3Q19</c:v>
                </c:pt>
              </c:strCache>
            </c:strRef>
          </c:cat>
          <c:val>
            <c:numRef>
              <c:f>Worksheet!$C$5:$CL$5</c:f>
              <c:numCache>
                <c:formatCode>#,##0;[Red]\-#,##0</c:formatCode>
                <c:ptCount val="61"/>
                <c:pt idx="0">
                  <c:v>285</c:v>
                </c:pt>
                <c:pt idx="1">
                  <c:v>336</c:v>
                </c:pt>
                <c:pt idx="3">
                  <c:v>347</c:v>
                </c:pt>
                <c:pt idx="5">
                  <c:v>318</c:v>
                </c:pt>
                <c:pt idx="8">
                  <c:v>295</c:v>
                </c:pt>
                <c:pt idx="9">
                  <c:v>362</c:v>
                </c:pt>
                <c:pt idx="11">
                  <c:v>326</c:v>
                </c:pt>
                <c:pt idx="13">
                  <c:v>308</c:v>
                </c:pt>
                <c:pt idx="16">
                  <c:v>316</c:v>
                </c:pt>
                <c:pt idx="17">
                  <c:v>387</c:v>
                </c:pt>
                <c:pt idx="19">
                  <c:v>382</c:v>
                </c:pt>
                <c:pt idx="21">
                  <c:v>335</c:v>
                </c:pt>
                <c:pt idx="24">
                  <c:v>376</c:v>
                </c:pt>
                <c:pt idx="25">
                  <c:v>410</c:v>
                </c:pt>
                <c:pt idx="27">
                  <c:v>411</c:v>
                </c:pt>
                <c:pt idx="29">
                  <c:v>382</c:v>
                </c:pt>
                <c:pt idx="30">
                  <c:v>517</c:v>
                </c:pt>
                <c:pt idx="31">
                  <c:v>550</c:v>
                </c:pt>
                <c:pt idx="32">
                  <c:v>486</c:v>
                </c:pt>
                <c:pt idx="33">
                  <c:v>424</c:v>
                </c:pt>
                <c:pt idx="34">
                  <c:v>548</c:v>
                </c:pt>
                <c:pt idx="35">
                  <c:v>502</c:v>
                </c:pt>
                <c:pt idx="36">
                  <c:v>403</c:v>
                </c:pt>
                <c:pt idx="37">
                  <c:v>493</c:v>
                </c:pt>
                <c:pt idx="38">
                  <c:v>382</c:v>
                </c:pt>
                <c:pt idx="39">
                  <c:v>422</c:v>
                </c:pt>
                <c:pt idx="40">
                  <c:v>354</c:v>
                </c:pt>
                <c:pt idx="41">
                  <c:v>366</c:v>
                </c:pt>
                <c:pt idx="42">
                  <c:v>377</c:v>
                </c:pt>
                <c:pt idx="43">
                  <c:v>365</c:v>
                </c:pt>
                <c:pt idx="44">
                  <c:v>342</c:v>
                </c:pt>
                <c:pt idx="45">
                  <c:v>383</c:v>
                </c:pt>
                <c:pt idx="46">
                  <c:v>396</c:v>
                </c:pt>
                <c:pt idx="47">
                  <c:v>377</c:v>
                </c:pt>
                <c:pt idx="48">
                  <c:v>366</c:v>
                </c:pt>
                <c:pt idx="49">
                  <c:v>336</c:v>
                </c:pt>
                <c:pt idx="50">
                  <c:v>197</c:v>
                </c:pt>
                <c:pt idx="51">
                  <c:v>198</c:v>
                </c:pt>
                <c:pt idx="52">
                  <c:v>192</c:v>
                </c:pt>
                <c:pt idx="53">
                  <c:v>154</c:v>
                </c:pt>
                <c:pt idx="54">
                  <c:v>190</c:v>
                </c:pt>
                <c:pt idx="55">
                  <c:v>189</c:v>
                </c:pt>
                <c:pt idx="56">
                  <c:v>230</c:v>
                </c:pt>
                <c:pt idx="57">
                  <c:v>220</c:v>
                </c:pt>
                <c:pt idx="58">
                  <c:v>195</c:v>
                </c:pt>
                <c:pt idx="59">
                  <c:v>147</c:v>
                </c:pt>
                <c:pt idx="60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960704"/>
        <c:axId val="885962240"/>
      </c:barChart>
      <c:catAx>
        <c:axId val="885960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962240"/>
        <c:crosses val="autoZero"/>
        <c:auto val="1"/>
        <c:lblAlgn val="ctr"/>
        <c:lblOffset val="100"/>
        <c:noMultiLvlLbl val="0"/>
      </c:catAx>
      <c:valAx>
        <c:axId val="885962240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960704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f9c47b-13cb-4e1e-9671-91bfb35c3356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16878749531309"/>
          <c:y val="0.0336842105263158"/>
          <c:w val="0.930454982189726"/>
          <c:h val="0.811927724823871"/>
        </c:manualLayout>
      </c:layout>
      <c:lineChart>
        <c:grouping val="standard"/>
        <c:varyColors val="0"/>
        <c:ser>
          <c:idx val="3"/>
          <c:order val="0"/>
          <c:tx>
            <c:strRef>
              <c:f>Worksheet!$B$6</c:f>
              <c:strCache>
                <c:ptCount val="1"/>
                <c:pt idx="0">
                  <c:v>Wholesale cFX growth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Worksheet!$K$2:$CL$2</c:f>
              <c:strCache>
                <c:ptCount val="53"/>
                <c:pt idx="0" c:formatCode="#,##0.0_);[Red]\(#,##0.0\)">
                  <c:v>Q1 09</c:v>
                </c:pt>
                <c:pt idx="1" c:formatCode="#,##0.0_);[Red]\(#,##0.0\)">
                  <c:v>Q2 09</c:v>
                </c:pt>
                <c:pt idx="2" c:formatCode="#,##0.0_);[Red]\(#,##0.0\)">
                  <c:v>H1 09</c:v>
                </c:pt>
                <c:pt idx="3" c:formatCode="#,##0.0_);[Red]\(#,##0.0\)">
                  <c:v>Q3 09</c:v>
                </c:pt>
                <c:pt idx="4" c:formatCode="#,##0.0_);[Red]\(#,##0.0\)">
                  <c:v>9M 09</c:v>
                </c:pt>
                <c:pt idx="5" c:formatCode="#,##0.0_);[Red]\(#,##0.0\)">
                  <c:v>Q4 09</c:v>
                </c:pt>
                <c:pt idx="6" c:formatCode="#,##0.0_);[Red]\(#,##0.0\)">
                  <c:v>H2 09</c:v>
                </c:pt>
                <c:pt idx="7" c:formatCode="#,##0.0_);[Red]\(#,##0.0\)">
                  <c:v>FY 09</c:v>
                </c:pt>
                <c:pt idx="8" c:formatCode="#,##0.0_);[Red]\(#,##0.0\)">
                  <c:v>Q1 10</c:v>
                </c:pt>
                <c:pt idx="9" c:formatCode="#,##0.0_);[Red]\(#,##0.0\)">
                  <c:v>Q2 10</c:v>
                </c:pt>
                <c:pt idx="10" c:formatCode="#,##0.0_);[Red]\(#,##0.0\)">
                  <c:v>H1 10</c:v>
                </c:pt>
                <c:pt idx="11" c:formatCode="#,##0.0_);[Red]\(#,##0.0\)">
                  <c:v>Q3 10</c:v>
                </c:pt>
                <c:pt idx="12" c:formatCode="#,##0.0_);[Red]\(#,##0.0\)">
                  <c:v>9M 10</c:v>
                </c:pt>
                <c:pt idx="13" c:formatCode="#,##0.0_);[Red]\(#,##0.0\)">
                  <c:v>Q4 10</c:v>
                </c:pt>
                <c:pt idx="14" c:formatCode="#,##0.0_);[Red]\(#,##0.0\)">
                  <c:v>H2 10</c:v>
                </c:pt>
                <c:pt idx="15" c:formatCode="#,##0.0_);[Red]\(#,##0.0\)">
                  <c:v>FY 10</c:v>
                </c:pt>
                <c:pt idx="16" c:formatCode="#,##0.0_);[Red]\(#,##0.0\)">
                  <c:v>Q1 11</c:v>
                </c:pt>
                <c:pt idx="17" c:formatCode="#,##0.0_);[Red]\(#,##0.0\)">
                  <c:v>Q2 11</c:v>
                </c:pt>
                <c:pt idx="18" c:formatCode="#,##0.0_);[Red]\(#,##0.0\)">
                  <c:v>H1 11</c:v>
                </c:pt>
                <c:pt idx="19" c:formatCode="#,##0.0_);[Red]\(#,##0.0\)">
                  <c:v>Q3 11</c:v>
                </c:pt>
                <c:pt idx="20" c:formatCode="#,##0.0_);[Red]\(#,##0.0\)">
                  <c:v>9M 11</c:v>
                </c:pt>
                <c:pt idx="21" c:formatCode="#,##0.0_);[Red]\(#,##0.0\)">
                  <c:v>Q4 11</c:v>
                </c:pt>
                <c:pt idx="22" c:formatCode="#,##0.0_);[Red]\(#,##0.0\)">
                  <c:v>Q1 12</c:v>
                </c:pt>
                <c:pt idx="23" c:formatCode="#,##0.0_);[Red]\(#,##0.0\)">
                  <c:v>Q2 12</c:v>
                </c:pt>
                <c:pt idx="24" c:formatCode="#,##0.0_);[Red]\(#,##0.0\)">
                  <c:v>Q3 12</c:v>
                </c:pt>
                <c:pt idx="25" c:formatCode="#,##0.0_);[Red]\(#,##0.0\)">
                  <c:v>Q4 12</c:v>
                </c:pt>
                <c:pt idx="26" c:formatCode="#,##0.0_);[Red]\(#,##0.0\)">
                  <c:v>1Q13</c:v>
                </c:pt>
                <c:pt idx="27" c:formatCode="#,##0.0_);[Red]\(#,##0.0\)">
                  <c:v>2Q13</c:v>
                </c:pt>
                <c:pt idx="28" c:formatCode="#,##0.0_);[Red]\(#,##0.0\)">
                  <c:v>3Q13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Worksheet!$K$6:$CL$6</c:f>
              <c:numCache>
                <c:formatCode>0%</c:formatCode>
                <c:ptCount val="53"/>
                <c:pt idx="0">
                  <c:v>-0.08</c:v>
                </c:pt>
                <c:pt idx="1">
                  <c:v>-0.13</c:v>
                </c:pt>
                <c:pt idx="3">
                  <c:v>-0.09</c:v>
                </c:pt>
                <c:pt idx="5">
                  <c:v>-0.04</c:v>
                </c:pt>
                <c:pt idx="8">
                  <c:v>0.01</c:v>
                </c:pt>
                <c:pt idx="9">
                  <c:v>0.121</c:v>
                </c:pt>
                <c:pt idx="11">
                  <c:v>0.096</c:v>
                </c:pt>
                <c:pt idx="13">
                  <c:v>0.076</c:v>
                </c:pt>
                <c:pt idx="16">
                  <c:v>0.18</c:v>
                </c:pt>
                <c:pt idx="17">
                  <c:v>0.06</c:v>
                </c:pt>
                <c:pt idx="19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0.01</c:v>
                </c:pt>
                <c:pt idx="24">
                  <c:v>0.004</c:v>
                </c:pt>
                <c:pt idx="25">
                  <c:v>-0.036</c:v>
                </c:pt>
                <c:pt idx="26">
                  <c:v>-0.032</c:v>
                </c:pt>
                <c:pt idx="27">
                  <c:v>-0.01</c:v>
                </c:pt>
                <c:pt idx="28">
                  <c:v>-0.008</c:v>
                </c:pt>
                <c:pt idx="29">
                  <c:v>0.079</c:v>
                </c:pt>
                <c:pt idx="30">
                  <c:v>0.006</c:v>
                </c:pt>
                <c:pt idx="31">
                  <c:v>0.101</c:v>
                </c:pt>
                <c:pt idx="32">
                  <c:v>0.085</c:v>
                </c:pt>
                <c:pt idx="33">
                  <c:v>0.05</c:v>
                </c:pt>
                <c:pt idx="34">
                  <c:v>0.0853279587827344</c:v>
                </c:pt>
                <c:pt idx="35">
                  <c:v>0.0700776182350177</c:v>
                </c:pt>
                <c:pt idx="36">
                  <c:v>0.140246479196268</c:v>
                </c:pt>
                <c:pt idx="37">
                  <c:v>0.142284206301323</c:v>
                </c:pt>
                <c:pt idx="38">
                  <c:v>0.232453930985414</c:v>
                </c:pt>
                <c:pt idx="39">
                  <c:v>0.227762575452716</c:v>
                </c:pt>
                <c:pt idx="40">
                  <c:v>0.160805496828753</c:v>
                </c:pt>
                <c:pt idx="41">
                  <c:v>0.12782786259542</c:v>
                </c:pt>
                <c:pt idx="42">
                  <c:v>0.174028451632225</c:v>
                </c:pt>
                <c:pt idx="43">
                  <c:v>0.178712443360056</c:v>
                </c:pt>
                <c:pt idx="44">
                  <c:v>0.134276032404413</c:v>
                </c:pt>
                <c:pt idx="45">
                  <c:v>0.154144736842105</c:v>
                </c:pt>
                <c:pt idx="46">
                  <c:v>0.102419802980551</c:v>
                </c:pt>
                <c:pt idx="47">
                  <c:v>0.105625259412985</c:v>
                </c:pt>
                <c:pt idx="48">
                  <c:v>0.0222541164905387</c:v>
                </c:pt>
                <c:pt idx="49">
                  <c:v>-0.0181062215612329</c:v>
                </c:pt>
                <c:pt idx="50">
                  <c:v>0.00159423888750898</c:v>
                </c:pt>
                <c:pt idx="51">
                  <c:v>-0.00195315624107399</c:v>
                </c:pt>
                <c:pt idx="52">
                  <c:v>0.0592955640050697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Worksheet!$B$7</c:f>
              <c:strCache>
                <c:ptCount val="1"/>
                <c:pt idx="0">
                  <c:v>Retail cFX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Worksheet!$K$2:$CL$2</c:f>
              <c:strCache>
                <c:ptCount val="53"/>
                <c:pt idx="0" c:formatCode="#,##0.0_);[Red]\(#,##0.0\)">
                  <c:v>Q1 09</c:v>
                </c:pt>
                <c:pt idx="1" c:formatCode="#,##0.0_);[Red]\(#,##0.0\)">
                  <c:v>Q2 09</c:v>
                </c:pt>
                <c:pt idx="2" c:formatCode="#,##0.0_);[Red]\(#,##0.0\)">
                  <c:v>H1 09</c:v>
                </c:pt>
                <c:pt idx="3" c:formatCode="#,##0.0_);[Red]\(#,##0.0\)">
                  <c:v>Q3 09</c:v>
                </c:pt>
                <c:pt idx="4" c:formatCode="#,##0.0_);[Red]\(#,##0.0\)">
                  <c:v>9M 09</c:v>
                </c:pt>
                <c:pt idx="5" c:formatCode="#,##0.0_);[Red]\(#,##0.0\)">
                  <c:v>Q4 09</c:v>
                </c:pt>
                <c:pt idx="6" c:formatCode="#,##0.0_);[Red]\(#,##0.0\)">
                  <c:v>H2 09</c:v>
                </c:pt>
                <c:pt idx="7" c:formatCode="#,##0.0_);[Red]\(#,##0.0\)">
                  <c:v>FY 09</c:v>
                </c:pt>
                <c:pt idx="8" c:formatCode="#,##0.0_);[Red]\(#,##0.0\)">
                  <c:v>Q1 10</c:v>
                </c:pt>
                <c:pt idx="9" c:formatCode="#,##0.0_);[Red]\(#,##0.0\)">
                  <c:v>Q2 10</c:v>
                </c:pt>
                <c:pt idx="10" c:formatCode="#,##0.0_);[Red]\(#,##0.0\)">
                  <c:v>H1 10</c:v>
                </c:pt>
                <c:pt idx="11" c:formatCode="#,##0.0_);[Red]\(#,##0.0\)">
                  <c:v>Q3 10</c:v>
                </c:pt>
                <c:pt idx="12" c:formatCode="#,##0.0_);[Red]\(#,##0.0\)">
                  <c:v>9M 10</c:v>
                </c:pt>
                <c:pt idx="13" c:formatCode="#,##0.0_);[Red]\(#,##0.0\)">
                  <c:v>Q4 10</c:v>
                </c:pt>
                <c:pt idx="14" c:formatCode="#,##0.0_);[Red]\(#,##0.0\)">
                  <c:v>H2 10</c:v>
                </c:pt>
                <c:pt idx="15" c:formatCode="#,##0.0_);[Red]\(#,##0.0\)">
                  <c:v>FY 10</c:v>
                </c:pt>
                <c:pt idx="16" c:formatCode="#,##0.0_);[Red]\(#,##0.0\)">
                  <c:v>Q1 11</c:v>
                </c:pt>
                <c:pt idx="17" c:formatCode="#,##0.0_);[Red]\(#,##0.0\)">
                  <c:v>Q2 11</c:v>
                </c:pt>
                <c:pt idx="18" c:formatCode="#,##0.0_);[Red]\(#,##0.0\)">
                  <c:v>H1 11</c:v>
                </c:pt>
                <c:pt idx="19" c:formatCode="#,##0.0_);[Red]\(#,##0.0\)">
                  <c:v>Q3 11</c:v>
                </c:pt>
                <c:pt idx="20" c:formatCode="#,##0.0_);[Red]\(#,##0.0\)">
                  <c:v>9M 11</c:v>
                </c:pt>
                <c:pt idx="21" c:formatCode="#,##0.0_);[Red]\(#,##0.0\)">
                  <c:v>Q4 11</c:v>
                </c:pt>
                <c:pt idx="22" c:formatCode="#,##0.0_);[Red]\(#,##0.0\)">
                  <c:v>Q1 12</c:v>
                </c:pt>
                <c:pt idx="23" c:formatCode="#,##0.0_);[Red]\(#,##0.0\)">
                  <c:v>Q2 12</c:v>
                </c:pt>
                <c:pt idx="24" c:formatCode="#,##0.0_);[Red]\(#,##0.0\)">
                  <c:v>Q3 12</c:v>
                </c:pt>
                <c:pt idx="25" c:formatCode="#,##0.0_);[Red]\(#,##0.0\)">
                  <c:v>Q4 12</c:v>
                </c:pt>
                <c:pt idx="26" c:formatCode="#,##0.0_);[Red]\(#,##0.0\)">
                  <c:v>1Q13</c:v>
                </c:pt>
                <c:pt idx="27" c:formatCode="#,##0.0_);[Red]\(#,##0.0\)">
                  <c:v>2Q13</c:v>
                </c:pt>
                <c:pt idx="28" c:formatCode="#,##0.0_);[Red]\(#,##0.0\)">
                  <c:v>3Q13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Worksheet!$K$7:$CL$7</c:f>
              <c:numCache>
                <c:formatCode>0%</c:formatCode>
                <c:ptCount val="53"/>
                <c:pt idx="0">
                  <c:v>0.04</c:v>
                </c:pt>
                <c:pt idx="1">
                  <c:v>0.07</c:v>
                </c:pt>
                <c:pt idx="3">
                  <c:v>0.04</c:v>
                </c:pt>
                <c:pt idx="5">
                  <c:v>0.14</c:v>
                </c:pt>
                <c:pt idx="8">
                  <c:v>0.16</c:v>
                </c:pt>
                <c:pt idx="9">
                  <c:v>0.167</c:v>
                </c:pt>
                <c:pt idx="11">
                  <c:v>0.155</c:v>
                </c:pt>
                <c:pt idx="13">
                  <c:v>0.226</c:v>
                </c:pt>
                <c:pt idx="16">
                  <c:v>0.22</c:v>
                </c:pt>
                <c:pt idx="17">
                  <c:v>0.2</c:v>
                </c:pt>
                <c:pt idx="19">
                  <c:v>0.21</c:v>
                </c:pt>
                <c:pt idx="21">
                  <c:v>0.18</c:v>
                </c:pt>
                <c:pt idx="22">
                  <c:v>0.16</c:v>
                </c:pt>
                <c:pt idx="23">
                  <c:v>0.161</c:v>
                </c:pt>
                <c:pt idx="24">
                  <c:v>0.146</c:v>
                </c:pt>
                <c:pt idx="25">
                  <c:v>0.092</c:v>
                </c:pt>
                <c:pt idx="26">
                  <c:v>0.065</c:v>
                </c:pt>
                <c:pt idx="27">
                  <c:v>0.053</c:v>
                </c:pt>
                <c:pt idx="28">
                  <c:v>0.056</c:v>
                </c:pt>
                <c:pt idx="29">
                  <c:v>0.148</c:v>
                </c:pt>
                <c:pt idx="30">
                  <c:v>0.216</c:v>
                </c:pt>
                <c:pt idx="31">
                  <c:v>0.221</c:v>
                </c:pt>
                <c:pt idx="32">
                  <c:v>0.198</c:v>
                </c:pt>
                <c:pt idx="33">
                  <c:v>0.125</c:v>
                </c:pt>
                <c:pt idx="34">
                  <c:v>0.14</c:v>
                </c:pt>
                <c:pt idx="35">
                  <c:v>0.0851356993736952</c:v>
                </c:pt>
                <c:pt idx="36">
                  <c:v>0.09</c:v>
                </c:pt>
                <c:pt idx="37">
                  <c:v>0.137399132434213</c:v>
                </c:pt>
                <c:pt idx="38">
                  <c:v>0.22</c:v>
                </c:pt>
                <c:pt idx="39">
                  <c:v>0.201532639545885</c:v>
                </c:pt>
                <c:pt idx="40">
                  <c:v>0.23768115942029</c:v>
                </c:pt>
                <c:pt idx="41">
                  <c:v>0.256231759656652</c:v>
                </c:pt>
                <c:pt idx="42">
                  <c:v>0.18</c:v>
                </c:pt>
                <c:pt idx="43">
                  <c:v>0.21</c:v>
                </c:pt>
                <c:pt idx="44">
                  <c:v>0.0900000000000002</c:v>
                </c:pt>
                <c:pt idx="45">
                  <c:v>0.21</c:v>
                </c:pt>
                <c:pt idx="46">
                  <c:v>0.11</c:v>
                </c:pt>
                <c:pt idx="47">
                  <c:v>0.12</c:v>
                </c:pt>
                <c:pt idx="48">
                  <c:v>0.24</c:v>
                </c:pt>
                <c:pt idx="49">
                  <c:v>0.13</c:v>
                </c:pt>
                <c:pt idx="50">
                  <c:v>0.18</c:v>
                </c:pt>
                <c:pt idx="51">
                  <c:v>0.16</c:v>
                </c:pt>
                <c:pt idx="52">
                  <c:v>0.11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000256"/>
        <c:axId val="886018432"/>
      </c:lineChart>
      <c:catAx>
        <c:axId val="886000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18432"/>
        <c:crosses val="autoZero"/>
        <c:auto val="1"/>
        <c:lblAlgn val="ctr"/>
        <c:lblOffset val="100"/>
        <c:noMultiLvlLbl val="0"/>
      </c:catAx>
      <c:valAx>
        <c:axId val="88601843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0025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8526ae-7efc-4f91-a399-c3ef4ca9f3c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Worksheet!$B$55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Worksheet!$C$54:$BZ$54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Worksheet!$C$55:$BZ$55</c:f>
              <c:numCache>
                <c:formatCode>0</c:formatCode>
                <c:ptCount val="53"/>
                <c:pt idx="0">
                  <c:v>1272</c:v>
                </c:pt>
                <c:pt idx="1">
                  <c:v>1301</c:v>
                </c:pt>
                <c:pt idx="2">
                  <c:v>2573</c:v>
                </c:pt>
                <c:pt idx="3">
                  <c:v>1604</c:v>
                </c:pt>
                <c:pt idx="4">
                  <c:v>4177</c:v>
                </c:pt>
                <c:pt idx="5">
                  <c:v>1212</c:v>
                </c:pt>
                <c:pt idx="6">
                  <c:v>2816</c:v>
                </c:pt>
                <c:pt idx="7">
                  <c:v>5389</c:v>
                </c:pt>
                <c:pt idx="8">
                  <c:v>1619</c:v>
                </c:pt>
                <c:pt idx="9">
                  <c:v>1457</c:v>
                </c:pt>
                <c:pt idx="10">
                  <c:v>3076</c:v>
                </c:pt>
                <c:pt idx="11">
                  <c:v>1773</c:v>
                </c:pt>
                <c:pt idx="12">
                  <c:v>4849</c:v>
                </c:pt>
                <c:pt idx="13">
                  <c:v>1393</c:v>
                </c:pt>
                <c:pt idx="14">
                  <c:v>3166</c:v>
                </c:pt>
                <c:pt idx="15">
                  <c:v>6242</c:v>
                </c:pt>
                <c:pt idx="16">
                  <c:v>1848</c:v>
                </c:pt>
                <c:pt idx="17">
                  <c:v>1574</c:v>
                </c:pt>
                <c:pt idx="18">
                  <c:v>3422</c:v>
                </c:pt>
                <c:pt idx="19">
                  <c:v>2001</c:v>
                </c:pt>
                <c:pt idx="20">
                  <c:v>5423</c:v>
                </c:pt>
                <c:pt idx="21">
                  <c:v>1499</c:v>
                </c:pt>
                <c:pt idx="22">
                  <c:v>3500</c:v>
                </c:pt>
                <c:pt idx="23">
                  <c:v>6922</c:v>
                </c:pt>
                <c:pt idx="24">
                  <c:v>1874</c:v>
                </c:pt>
                <c:pt idx="25">
                  <c:v>1629</c:v>
                </c:pt>
                <c:pt idx="26">
                  <c:v>3503</c:v>
                </c:pt>
                <c:pt idx="27">
                  <c:v>1851</c:v>
                </c:pt>
                <c:pt idx="28">
                  <c:v>5354</c:v>
                </c:pt>
                <c:pt idx="29">
                  <c:v>1233</c:v>
                </c:pt>
                <c:pt idx="30">
                  <c:v>1694</c:v>
                </c:pt>
                <c:pt idx="31">
                  <c:v>1599</c:v>
                </c:pt>
                <c:pt idx="32">
                  <c:v>1990</c:v>
                </c:pt>
                <c:pt idx="33">
                  <c:v>1375</c:v>
                </c:pt>
                <c:pt idx="34">
                  <c:v>2087</c:v>
                </c:pt>
                <c:pt idx="35">
                  <c:v>1962</c:v>
                </c:pt>
                <c:pt idx="36">
                  <c:v>2356</c:v>
                </c:pt>
                <c:pt idx="37">
                  <c:v>1955</c:v>
                </c:pt>
                <c:pt idx="38">
                  <c:v>2569</c:v>
                </c:pt>
                <c:pt idx="39">
                  <c:v>2291</c:v>
                </c:pt>
                <c:pt idx="40">
                  <c:v>2859</c:v>
                </c:pt>
                <c:pt idx="41">
                  <c:v>2416</c:v>
                </c:pt>
                <c:pt idx="42">
                  <c:v>3301</c:v>
                </c:pt>
                <c:pt idx="43">
                  <c:v>3028</c:v>
                </c:pt>
                <c:pt idx="44">
                  <c:v>3266</c:v>
                </c:pt>
                <c:pt idx="45">
                  <c:v>2832</c:v>
                </c:pt>
                <c:pt idx="46">
                  <c:v>3204</c:v>
                </c:pt>
                <c:pt idx="47">
                  <c:v>3102</c:v>
                </c:pt>
                <c:pt idx="48">
                  <c:v>3363</c:v>
                </c:pt>
                <c:pt idx="49">
                  <c:v>3113</c:v>
                </c:pt>
                <c:pt idx="50">
                  <c:v>3456</c:v>
                </c:pt>
                <c:pt idx="51">
                  <c:v>3283</c:v>
                </c:pt>
                <c:pt idx="52">
                  <c:v>3490</c:v>
                </c:pt>
              </c:numCache>
            </c:numRef>
          </c:val>
        </c:ser>
        <c:ser>
          <c:idx val="1"/>
          <c:order val="1"/>
          <c:tx>
            <c:strRef>
              <c:f>Worksheet!$B$56</c:f>
              <c:strCache>
                <c:ptCount val="1"/>
                <c:pt idx="0">
                  <c:v>Apparel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Worksheet!$C$54:$BZ$54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Worksheet!$C$56:$BZ$56</c:f>
              <c:numCache>
                <c:formatCode>0</c:formatCode>
                <c:ptCount val="53"/>
                <c:pt idx="0">
                  <c:v>1130</c:v>
                </c:pt>
                <c:pt idx="1">
                  <c:v>1262</c:v>
                </c:pt>
                <c:pt idx="2">
                  <c:v>2392</c:v>
                </c:pt>
                <c:pt idx="3">
                  <c:v>1545</c:v>
                </c:pt>
                <c:pt idx="4">
                  <c:v>3937</c:v>
                </c:pt>
                <c:pt idx="5">
                  <c:v>1443</c:v>
                </c:pt>
                <c:pt idx="6">
                  <c:v>2988</c:v>
                </c:pt>
                <c:pt idx="7">
                  <c:v>5380</c:v>
                </c:pt>
                <c:pt idx="8">
                  <c:v>1323</c:v>
                </c:pt>
                <c:pt idx="9">
                  <c:v>1256</c:v>
                </c:pt>
                <c:pt idx="10">
                  <c:v>2579</c:v>
                </c:pt>
                <c:pt idx="11">
                  <c:v>1620</c:v>
                </c:pt>
                <c:pt idx="12">
                  <c:v>4199</c:v>
                </c:pt>
                <c:pt idx="13">
                  <c:v>1534</c:v>
                </c:pt>
                <c:pt idx="14">
                  <c:v>3154</c:v>
                </c:pt>
                <c:pt idx="15">
                  <c:v>5733</c:v>
                </c:pt>
                <c:pt idx="16">
                  <c:v>1527</c:v>
                </c:pt>
                <c:pt idx="17">
                  <c:v>1448</c:v>
                </c:pt>
                <c:pt idx="18">
                  <c:v>2975</c:v>
                </c:pt>
                <c:pt idx="19">
                  <c:v>1786</c:v>
                </c:pt>
                <c:pt idx="20">
                  <c:v>4761</c:v>
                </c:pt>
                <c:pt idx="21">
                  <c:v>1529</c:v>
                </c:pt>
                <c:pt idx="22">
                  <c:v>3315</c:v>
                </c:pt>
                <c:pt idx="23">
                  <c:v>6290</c:v>
                </c:pt>
                <c:pt idx="24">
                  <c:v>1382</c:v>
                </c:pt>
                <c:pt idx="25">
                  <c:v>1270</c:v>
                </c:pt>
                <c:pt idx="26">
                  <c:v>2652</c:v>
                </c:pt>
                <c:pt idx="27">
                  <c:v>1632</c:v>
                </c:pt>
                <c:pt idx="28">
                  <c:v>4284</c:v>
                </c:pt>
                <c:pt idx="29">
                  <c:v>1527</c:v>
                </c:pt>
                <c:pt idx="30">
                  <c:v>1434</c:v>
                </c:pt>
                <c:pt idx="31">
                  <c:v>1426</c:v>
                </c:pt>
                <c:pt idx="32">
                  <c:v>1763</c:v>
                </c:pt>
                <c:pt idx="33">
                  <c:v>1656</c:v>
                </c:pt>
                <c:pt idx="34">
                  <c:v>1595</c:v>
                </c:pt>
                <c:pt idx="35">
                  <c:v>1530</c:v>
                </c:pt>
                <c:pt idx="36">
                  <c:v>1986</c:v>
                </c:pt>
                <c:pt idx="37">
                  <c:v>1859</c:v>
                </c:pt>
                <c:pt idx="38">
                  <c:v>1770</c:v>
                </c:pt>
                <c:pt idx="39">
                  <c:v>1674</c:v>
                </c:pt>
                <c:pt idx="40">
                  <c:v>2124</c:v>
                </c:pt>
                <c:pt idx="41">
                  <c:v>1908</c:v>
                </c:pt>
                <c:pt idx="42">
                  <c:v>1895</c:v>
                </c:pt>
                <c:pt idx="43">
                  <c:v>1748</c:v>
                </c:pt>
                <c:pt idx="44">
                  <c:v>2144</c:v>
                </c:pt>
                <c:pt idx="45">
                  <c:v>1960</c:v>
                </c:pt>
                <c:pt idx="46">
                  <c:v>2019</c:v>
                </c:pt>
                <c:pt idx="47">
                  <c:v>1895</c:v>
                </c:pt>
                <c:pt idx="48">
                  <c:v>2249</c:v>
                </c:pt>
                <c:pt idx="49">
                  <c:v>2060</c:v>
                </c:pt>
                <c:pt idx="50">
                  <c:v>2170</c:v>
                </c:pt>
                <c:pt idx="51">
                  <c:v>1927</c:v>
                </c:pt>
                <c:pt idx="52">
                  <c:v>2625</c:v>
                </c:pt>
              </c:numCache>
            </c:numRef>
          </c:val>
        </c:ser>
        <c:ser>
          <c:idx val="2"/>
          <c:order val="2"/>
          <c:tx>
            <c:strRef>
              <c:f>Worksheet!$B$57</c:f>
              <c:strCache>
                <c:ptCount val="1"/>
                <c:pt idx="0">
                  <c:v>Hardware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Worksheet!$C$54:$BZ$54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Worksheet!$C$57:$BZ$57</c:f>
              <c:numCache>
                <c:formatCode>0</c:formatCode>
                <c:ptCount val="53"/>
                <c:pt idx="0">
                  <c:v>272</c:v>
                </c:pt>
                <c:pt idx="1">
                  <c:v>353</c:v>
                </c:pt>
                <c:pt idx="2">
                  <c:v>625</c:v>
                </c:pt>
                <c:pt idx="3">
                  <c:v>320</c:v>
                </c:pt>
                <c:pt idx="4">
                  <c:v>945</c:v>
                </c:pt>
                <c:pt idx="5">
                  <c:v>276</c:v>
                </c:pt>
                <c:pt idx="6">
                  <c:v>596</c:v>
                </c:pt>
                <c:pt idx="7">
                  <c:v>1221</c:v>
                </c:pt>
                <c:pt idx="8">
                  <c:v>331</c:v>
                </c:pt>
                <c:pt idx="9">
                  <c:v>352</c:v>
                </c:pt>
                <c:pt idx="10">
                  <c:v>683</c:v>
                </c:pt>
                <c:pt idx="11">
                  <c:v>350</c:v>
                </c:pt>
                <c:pt idx="12">
                  <c:v>1033</c:v>
                </c:pt>
                <c:pt idx="13">
                  <c:v>314</c:v>
                </c:pt>
                <c:pt idx="14">
                  <c:v>664</c:v>
                </c:pt>
                <c:pt idx="15">
                  <c:v>1347</c:v>
                </c:pt>
                <c:pt idx="16">
                  <c:v>449</c:v>
                </c:pt>
                <c:pt idx="17">
                  <c:v>496</c:v>
                </c:pt>
                <c:pt idx="18">
                  <c:v>945</c:v>
                </c:pt>
                <c:pt idx="19">
                  <c:v>384</c:v>
                </c:pt>
                <c:pt idx="20">
                  <c:v>1329</c:v>
                </c:pt>
                <c:pt idx="21">
                  <c:v>342</c:v>
                </c:pt>
                <c:pt idx="22">
                  <c:v>726</c:v>
                </c:pt>
                <c:pt idx="23">
                  <c:v>1671</c:v>
                </c:pt>
                <c:pt idx="24">
                  <c:v>495</c:v>
                </c:pt>
                <c:pt idx="25">
                  <c:v>484</c:v>
                </c:pt>
                <c:pt idx="26">
                  <c:v>979</c:v>
                </c:pt>
                <c:pt idx="27">
                  <c:v>396</c:v>
                </c:pt>
                <c:pt idx="28">
                  <c:v>1375</c:v>
                </c:pt>
                <c:pt idx="29">
                  <c:v>431</c:v>
                </c:pt>
                <c:pt idx="30">
                  <c:v>405</c:v>
                </c:pt>
                <c:pt idx="31">
                  <c:v>440</c:v>
                </c:pt>
                <c:pt idx="32">
                  <c:v>366</c:v>
                </c:pt>
                <c:pt idx="33">
                  <c:v>386</c:v>
                </c:pt>
                <c:pt idx="34">
                  <c:v>400</c:v>
                </c:pt>
                <c:pt idx="35">
                  <c:v>415</c:v>
                </c:pt>
                <c:pt idx="36">
                  <c:v>417</c:v>
                </c:pt>
                <c:pt idx="37">
                  <c:v>353</c:v>
                </c:pt>
                <c:pt idx="38">
                  <c:v>430</c:v>
                </c:pt>
                <c:pt idx="39">
                  <c:v>457</c:v>
                </c:pt>
                <c:pt idx="40">
                  <c:v>429</c:v>
                </c:pt>
                <c:pt idx="41">
                  <c:v>365</c:v>
                </c:pt>
                <c:pt idx="42">
                  <c:v>251</c:v>
                </c:pt>
                <c:pt idx="43">
                  <c:v>262</c:v>
                </c:pt>
                <c:pt idx="44">
                  <c:v>267</c:v>
                </c:pt>
                <c:pt idx="45">
                  <c:v>264</c:v>
                </c:pt>
                <c:pt idx="46">
                  <c:v>324</c:v>
                </c:pt>
                <c:pt idx="47">
                  <c:v>264</c:v>
                </c:pt>
                <c:pt idx="48">
                  <c:v>261</c:v>
                </c:pt>
                <c:pt idx="49">
                  <c:v>61</c:v>
                </c:pt>
                <c:pt idx="50">
                  <c:v>258</c:v>
                </c:pt>
                <c:pt idx="51">
                  <c:v>299</c:v>
                </c:pt>
                <c:pt idx="52">
                  <c:v>295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044160"/>
        <c:axId val="886045696"/>
      </c:barChart>
      <c:catAx>
        <c:axId val="886044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45696"/>
        <c:crosses val="autoZero"/>
        <c:auto val="1"/>
        <c:lblAlgn val="ctr"/>
        <c:lblOffset val="100"/>
        <c:noMultiLvlLbl val="0"/>
      </c:catAx>
      <c:valAx>
        <c:axId val="886045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44160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5888ce-acdc-4254-8b02-bdb332853da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Worksheet!$B$59</c:f>
              <c:strCache>
                <c:ptCount val="1"/>
                <c:pt idx="0">
                  <c:v>Footwear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Worksheet!$C$58:$BR$58</c:f>
              <c:strCache>
                <c:ptCount val="49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11</c:v>
                </c:pt>
                <c:pt idx="7" c:formatCode="#,##0.0_);[Red]\(#,##0.0\)">
                  <c:v>FY 11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2H13</c:v>
                </c:pt>
                <c:pt idx="23" c:formatCode="#,##0.0_);[Red]\(#,##0.0\)">
                  <c:v>FY13</c:v>
                </c:pt>
                <c:pt idx="24" c:formatCode="#,##0.0_);[Red]\(#,##0.0\)">
                  <c:v>1Q14</c:v>
                </c:pt>
                <c:pt idx="25" c:formatCode="#,##0.0_);[Red]\(#,##0.0\)">
                  <c:v>2Q14</c:v>
                </c:pt>
                <c:pt idx="26" c:formatCode="#,##0.0_);[Red]\(#,##0.0\)">
                  <c:v>1H14</c:v>
                </c:pt>
                <c:pt idx="27" c:formatCode="#,##0.0_);[Red]\(#,##0.0\)">
                  <c:v>3Q14</c:v>
                </c:pt>
                <c:pt idx="28" c:formatCode="#,##0.0_);[Red]\(#,##0.0\)">
                  <c:v>9M14</c:v>
                </c:pt>
                <c:pt idx="29" c:formatCode="#,##0.0_);[Red]\(#,##0.0\)">
                  <c:v>4Q14</c:v>
                </c:pt>
                <c:pt idx="30" c:formatCode="#,##0.0_);[Red]\(#,##0.0\)">
                  <c:v>1Q15</c:v>
                </c:pt>
                <c:pt idx="31" c:formatCode="#,##0.0_);[Red]\(#,##0.0\)">
                  <c:v>2Q15</c:v>
                </c:pt>
                <c:pt idx="32" c:formatCode="#,##0.0_);[Red]\(#,##0.0\)">
                  <c:v>3Q15</c:v>
                </c:pt>
                <c:pt idx="33" c:formatCode="#,##0.0_);[Red]\(#,##0.0\)">
                  <c:v>4Q15</c:v>
                </c:pt>
                <c:pt idx="34" c:formatCode="#,##0.0_);[Red]\(#,##0.0\)">
                  <c:v>1Q16</c:v>
                </c:pt>
                <c:pt idx="35" c:formatCode="#,##0.0_);[Red]\(#,##0.0\)">
                  <c:v>2Q16</c:v>
                </c:pt>
                <c:pt idx="36" c:formatCode="#,##0.0_);[Red]\(#,##0.0\)">
                  <c:v>3Q16</c:v>
                </c:pt>
                <c:pt idx="37" c:formatCode="#,##0.0_);[Red]\(#,##0.0\)">
                  <c:v>4Q16</c:v>
                </c:pt>
                <c:pt idx="38" c:formatCode="#,##0.0_);[Red]\(#,##0.0\)">
                  <c:v>1Q17</c:v>
                </c:pt>
                <c:pt idx="39" c:formatCode="#,##0.0_);[Red]\(#,##0.0\)">
                  <c:v>2Q17</c:v>
                </c:pt>
                <c:pt idx="40" c:formatCode="#,##0.0_);[Red]\(#,##0.0\)">
                  <c:v>3Q17</c:v>
                </c:pt>
                <c:pt idx="41" c:formatCode="#,##0.0_);[Red]\(#,##0.0\)">
                  <c:v>4Q17</c:v>
                </c:pt>
                <c:pt idx="42" c:formatCode="#,##0.0_);[Red]\(#,##0.0\)">
                  <c:v>1Q18</c:v>
                </c:pt>
                <c:pt idx="43" c:formatCode="#,##0.0_);[Red]\(#,##0.0\)">
                  <c:v>2Q18</c:v>
                </c:pt>
                <c:pt idx="44" c:formatCode="#,##0.0_);[Red]\(#,##0.0\)">
                  <c:v>3Q18</c:v>
                </c:pt>
                <c:pt idx="45" c:formatCode="#,##0.0_);[Red]\(#,##0.0\)">
                  <c:v>4Q18</c:v>
                </c:pt>
                <c:pt idx="46" c:formatCode="#,##0.0_);[Red]\(#,##0.0\)">
                  <c:v>1Q19</c:v>
                </c:pt>
                <c:pt idx="47" c:formatCode="#,##0.0_);[Red]\(#,##0.0\)">
                  <c:v>2Q19</c:v>
                </c:pt>
                <c:pt idx="48" c:formatCode="#,##0.0_);[Red]\(#,##0.0\)">
                  <c:v>3Q19</c:v>
                </c:pt>
              </c:strCache>
            </c:strRef>
          </c:cat>
          <c:val>
            <c:numRef>
              <c:f>Worksheet!$C$59:$BR$59</c:f>
              <c:numCache>
                <c:formatCode>0.0%</c:formatCode>
                <c:ptCount val="49"/>
                <c:pt idx="0">
                  <c:v>0.272798742138365</c:v>
                </c:pt>
                <c:pt idx="1">
                  <c:v>0.119907763259032</c:v>
                </c:pt>
                <c:pt idx="2">
                  <c:v>0.195491643995336</c:v>
                </c:pt>
                <c:pt idx="3">
                  <c:v>0.105361596009975</c:v>
                </c:pt>
                <c:pt idx="4">
                  <c:v>0.160881015082595</c:v>
                </c:pt>
                <c:pt idx="5">
                  <c:v>0.149339933993399</c:v>
                </c:pt>
                <c:pt idx="6">
                  <c:v>0.124289772727273</c:v>
                </c:pt>
                <c:pt idx="7">
                  <c:v>0.158285396177398</c:v>
                </c:pt>
                <c:pt idx="8">
                  <c:v>0.141445336627548</c:v>
                </c:pt>
                <c:pt idx="9">
                  <c:v>0.0803019903912148</c:v>
                </c:pt>
                <c:pt idx="10">
                  <c:v>0.112483745123537</c:v>
                </c:pt>
                <c:pt idx="11">
                  <c:v>0.128595600676819</c:v>
                </c:pt>
                <c:pt idx="12">
                  <c:v>0.118374922664467</c:v>
                </c:pt>
                <c:pt idx="13">
                  <c:v>0.0760947595118449</c:v>
                </c:pt>
                <c:pt idx="14">
                  <c:v>0.105495893872394</c:v>
                </c:pt>
                <c:pt idx="15">
                  <c:v>0.108939442486383</c:v>
                </c:pt>
                <c:pt idx="16">
                  <c:v>0.0140692640692641</c:v>
                </c:pt>
                <c:pt idx="17">
                  <c:v>0.0349428208386278</c:v>
                </c:pt>
                <c:pt idx="18">
                  <c:v>0.0236703682057275</c:v>
                </c:pt>
                <c:pt idx="19">
                  <c:v>-0.0749625187406296</c:v>
                </c:pt>
                <c:pt idx="20">
                  <c:v>-0.0127235847316983</c:v>
                </c:pt>
                <c:pt idx="21">
                  <c:v>-0.177451634422949</c:v>
                </c:pt>
                <c:pt idx="22">
                  <c:v>-0.118857142857143</c:v>
                </c:pt>
                <c:pt idx="23">
                  <c:v>-0.0483964172204565</c:v>
                </c:pt>
                <c:pt idx="24">
                  <c:v>-0.0960512273212379</c:v>
                </c:pt>
                <c:pt idx="25">
                  <c:v>-0.0184162062615101</c:v>
                </c:pt>
                <c:pt idx="26">
                  <c:v>-0.0599486154724522</c:v>
                </c:pt>
                <c:pt idx="27">
                  <c:v>0.0750945434900054</c:v>
                </c:pt>
                <c:pt idx="28">
                  <c:v>-0.0132611131864027</c:v>
                </c:pt>
                <c:pt idx="29">
                  <c:v>0.115166261151663</c:v>
                </c:pt>
                <c:pt idx="30">
                  <c:v>0.231995277449823</c:v>
                </c:pt>
                <c:pt idx="31">
                  <c:v>0.227016885553471</c:v>
                </c:pt>
                <c:pt idx="32">
                  <c:v>0.18391959798995</c:v>
                </c:pt>
                <c:pt idx="33">
                  <c:v>0.421818181818182</c:v>
                </c:pt>
                <c:pt idx="34">
                  <c:v>0.230953521801629</c:v>
                </c:pt>
                <c:pt idx="35">
                  <c:v>0.167686034658512</c:v>
                </c:pt>
                <c:pt idx="36">
                  <c:v>0.213497453310696</c:v>
                </c:pt>
                <c:pt idx="37">
                  <c:v>0.235805626598465</c:v>
                </c:pt>
                <c:pt idx="38">
                  <c:v>0.284935772674192</c:v>
                </c:pt>
                <c:pt idx="39">
                  <c:v>0.321693583587953</c:v>
                </c:pt>
                <c:pt idx="40">
                  <c:v>0.14235746764603</c:v>
                </c:pt>
                <c:pt idx="41">
                  <c:v>0.172185430463576</c:v>
                </c:pt>
                <c:pt idx="42">
                  <c:v>-0.0293850348379279</c:v>
                </c:pt>
                <c:pt idx="43">
                  <c:v>0.02443857331572</c:v>
                </c:pt>
                <c:pt idx="44">
                  <c:v>0.0296999387630128</c:v>
                </c:pt>
                <c:pt idx="45">
                  <c:v>0.099223163841808</c:v>
                </c:pt>
                <c:pt idx="46">
                  <c:v>0.0786516853932584</c:v>
                </c:pt>
                <c:pt idx="47">
                  <c:v>0.0583494519664733</c:v>
                </c:pt>
                <c:pt idx="48">
                  <c:v>0.0377639012786202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Worksheet!$B$60</c:f>
              <c:strCache>
                <c:ptCount val="1"/>
                <c:pt idx="0">
                  <c:v>Apparel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Worksheet!$C$58:$BR$58</c:f>
              <c:strCache>
                <c:ptCount val="49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11</c:v>
                </c:pt>
                <c:pt idx="7" c:formatCode="#,##0.0_);[Red]\(#,##0.0\)">
                  <c:v>FY 11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2H13</c:v>
                </c:pt>
                <c:pt idx="23" c:formatCode="#,##0.0_);[Red]\(#,##0.0\)">
                  <c:v>FY13</c:v>
                </c:pt>
                <c:pt idx="24" c:formatCode="#,##0.0_);[Red]\(#,##0.0\)">
                  <c:v>1Q14</c:v>
                </c:pt>
                <c:pt idx="25" c:formatCode="#,##0.0_);[Red]\(#,##0.0\)">
                  <c:v>2Q14</c:v>
                </c:pt>
                <c:pt idx="26" c:formatCode="#,##0.0_);[Red]\(#,##0.0\)">
                  <c:v>1H14</c:v>
                </c:pt>
                <c:pt idx="27" c:formatCode="#,##0.0_);[Red]\(#,##0.0\)">
                  <c:v>3Q14</c:v>
                </c:pt>
                <c:pt idx="28" c:formatCode="#,##0.0_);[Red]\(#,##0.0\)">
                  <c:v>9M14</c:v>
                </c:pt>
                <c:pt idx="29" c:formatCode="#,##0.0_);[Red]\(#,##0.0\)">
                  <c:v>4Q14</c:v>
                </c:pt>
                <c:pt idx="30" c:formatCode="#,##0.0_);[Red]\(#,##0.0\)">
                  <c:v>1Q15</c:v>
                </c:pt>
                <c:pt idx="31" c:formatCode="#,##0.0_);[Red]\(#,##0.0\)">
                  <c:v>2Q15</c:v>
                </c:pt>
                <c:pt idx="32" c:formatCode="#,##0.0_);[Red]\(#,##0.0\)">
                  <c:v>3Q15</c:v>
                </c:pt>
                <c:pt idx="33" c:formatCode="#,##0.0_);[Red]\(#,##0.0\)">
                  <c:v>4Q15</c:v>
                </c:pt>
                <c:pt idx="34" c:formatCode="#,##0.0_);[Red]\(#,##0.0\)">
                  <c:v>1Q16</c:v>
                </c:pt>
                <c:pt idx="35" c:formatCode="#,##0.0_);[Red]\(#,##0.0\)">
                  <c:v>2Q16</c:v>
                </c:pt>
                <c:pt idx="36" c:formatCode="#,##0.0_);[Red]\(#,##0.0\)">
                  <c:v>3Q16</c:v>
                </c:pt>
                <c:pt idx="37" c:formatCode="#,##0.0_);[Red]\(#,##0.0\)">
                  <c:v>4Q16</c:v>
                </c:pt>
                <c:pt idx="38" c:formatCode="#,##0.0_);[Red]\(#,##0.0\)">
                  <c:v>1Q17</c:v>
                </c:pt>
                <c:pt idx="39" c:formatCode="#,##0.0_);[Red]\(#,##0.0\)">
                  <c:v>2Q17</c:v>
                </c:pt>
                <c:pt idx="40" c:formatCode="#,##0.0_);[Red]\(#,##0.0\)">
                  <c:v>3Q17</c:v>
                </c:pt>
                <c:pt idx="41" c:formatCode="#,##0.0_);[Red]\(#,##0.0\)">
                  <c:v>4Q17</c:v>
                </c:pt>
                <c:pt idx="42" c:formatCode="#,##0.0_);[Red]\(#,##0.0\)">
                  <c:v>1Q18</c:v>
                </c:pt>
                <c:pt idx="43" c:formatCode="#,##0.0_);[Red]\(#,##0.0\)">
                  <c:v>2Q18</c:v>
                </c:pt>
                <c:pt idx="44" c:formatCode="#,##0.0_);[Red]\(#,##0.0\)">
                  <c:v>3Q18</c:v>
                </c:pt>
                <c:pt idx="45" c:formatCode="#,##0.0_);[Red]\(#,##0.0\)">
                  <c:v>4Q18</c:v>
                </c:pt>
                <c:pt idx="46" c:formatCode="#,##0.0_);[Red]\(#,##0.0\)">
                  <c:v>1Q19</c:v>
                </c:pt>
                <c:pt idx="47" c:formatCode="#,##0.0_);[Red]\(#,##0.0\)">
                  <c:v>2Q19</c:v>
                </c:pt>
                <c:pt idx="48" c:formatCode="#,##0.0_);[Red]\(#,##0.0\)">
                  <c:v>3Q19</c:v>
                </c:pt>
              </c:strCache>
            </c:strRef>
          </c:cat>
          <c:val>
            <c:numRef>
              <c:f>Worksheet!$C$60:$BR$60</c:f>
              <c:numCache>
                <c:formatCode>0.0%</c:formatCode>
                <c:ptCount val="49"/>
                <c:pt idx="0">
                  <c:v>0.170796460176991</c:v>
                </c:pt>
                <c:pt idx="1">
                  <c:v>-0.00475435816164815</c:v>
                </c:pt>
                <c:pt idx="2">
                  <c:v>0.0781772575250836</c:v>
                </c:pt>
                <c:pt idx="3">
                  <c:v>0.0485436893203883</c:v>
                </c:pt>
                <c:pt idx="4">
                  <c:v>0.0665481330962663</c:v>
                </c:pt>
                <c:pt idx="5">
                  <c:v>0.0630630630630631</c:v>
                </c:pt>
                <c:pt idx="6">
                  <c:v>0.0555555555555556</c:v>
                </c:pt>
                <c:pt idx="7">
                  <c:v>0.0656133828996281</c:v>
                </c:pt>
                <c:pt idx="8">
                  <c:v>0.154195011337869</c:v>
                </c:pt>
                <c:pt idx="9">
                  <c:v>0.152866242038217</c:v>
                </c:pt>
                <c:pt idx="10">
                  <c:v>0.153547886777821</c:v>
                </c:pt>
                <c:pt idx="11">
                  <c:v>0.102469135802469</c:v>
                </c:pt>
                <c:pt idx="12">
                  <c:v>0.133841390807335</c:v>
                </c:pt>
                <c:pt idx="13">
                  <c:v>-0.00325945241199477</c:v>
                </c:pt>
                <c:pt idx="14">
                  <c:v>0.0510462904248574</c:v>
                </c:pt>
                <c:pt idx="15">
                  <c:v>0.0971568114425256</c:v>
                </c:pt>
                <c:pt idx="16">
                  <c:v>-0.0949574328749181</c:v>
                </c:pt>
                <c:pt idx="17">
                  <c:v>-0.12292817679558</c:v>
                </c:pt>
                <c:pt idx="18">
                  <c:v>-0.108571428571429</c:v>
                </c:pt>
                <c:pt idx="19">
                  <c:v>-0.0862262038073908</c:v>
                </c:pt>
                <c:pt idx="20">
                  <c:v>-0.100189035916824</c:v>
                </c:pt>
                <c:pt idx="21">
                  <c:v>-0.00130804447351207</c:v>
                </c:pt>
                <c:pt idx="22">
                  <c:v>-0.0470588235294118</c:v>
                </c:pt>
                <c:pt idx="23">
                  <c:v>-0.0761526232114468</c:v>
                </c:pt>
                <c:pt idx="24">
                  <c:v>0.0376266280752533</c:v>
                </c:pt>
                <c:pt idx="25">
                  <c:v>0.122834645669291</c:v>
                </c:pt>
                <c:pt idx="26">
                  <c:v>0.0784313725490196</c:v>
                </c:pt>
                <c:pt idx="27">
                  <c:v>0.0802696078431373</c:v>
                </c:pt>
                <c:pt idx="28">
                  <c:v>0.0791316526610644</c:v>
                </c:pt>
                <c:pt idx="29">
                  <c:v>0.0844793713163066</c:v>
                </c:pt>
                <c:pt idx="30">
                  <c:v>0.112273361227336</c:v>
                </c:pt>
                <c:pt idx="31">
                  <c:v>0.0729312762973353</c:v>
                </c:pt>
                <c:pt idx="32">
                  <c:v>0.126488939307998</c:v>
                </c:pt>
                <c:pt idx="33">
                  <c:v>0.122584541062802</c:v>
                </c:pt>
                <c:pt idx="34">
                  <c:v>0.109717868338558</c:v>
                </c:pt>
                <c:pt idx="35">
                  <c:v>0.0941176470588236</c:v>
                </c:pt>
                <c:pt idx="36">
                  <c:v>0.0694864048338368</c:v>
                </c:pt>
                <c:pt idx="37">
                  <c:v>0.0263582571274878</c:v>
                </c:pt>
                <c:pt idx="38">
                  <c:v>0.0706214689265536</c:v>
                </c:pt>
                <c:pt idx="39">
                  <c:v>0.0442054958183991</c:v>
                </c:pt>
                <c:pt idx="40">
                  <c:v>0.00941619585687392</c:v>
                </c:pt>
                <c:pt idx="41">
                  <c:v>0.0272536687631026</c:v>
                </c:pt>
                <c:pt idx="42">
                  <c:v>0.0654353562005276</c:v>
                </c:pt>
                <c:pt idx="43">
                  <c:v>0.084096109839817</c:v>
                </c:pt>
                <c:pt idx="44">
                  <c:v>0.048973880597015</c:v>
                </c:pt>
                <c:pt idx="45">
                  <c:v>0.0510204081632653</c:v>
                </c:pt>
                <c:pt idx="46">
                  <c:v>0.0747894997523526</c:v>
                </c:pt>
                <c:pt idx="47">
                  <c:v>0.01688654353562</c:v>
                </c:pt>
                <c:pt idx="48">
                  <c:v>0.167185415740329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6062464"/>
        <c:axId val="886076544"/>
      </c:lineChart>
      <c:catAx>
        <c:axId val="886062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76544"/>
        <c:crosses val="autoZero"/>
        <c:auto val="1"/>
        <c:lblAlgn val="ctr"/>
        <c:lblOffset val="100"/>
        <c:noMultiLvlLbl val="0"/>
      </c:catAx>
      <c:valAx>
        <c:axId val="8860765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062464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328b90-dfc8-4c7a-86b7-1b6b6735188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Worksheet!$AY$14:$CL$14</c:f>
              <c:strCache>
                <c:ptCount val="23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3Q14</c:v>
                </c:pt>
                <c:pt idx="3" c:formatCode="#,##0.0_);[Red]\(#,##0.0\)">
                  <c:v>4Q14</c:v>
                </c:pt>
                <c:pt idx="4" c:formatCode="#,##0.0_);[Red]\(#,##0.0\)">
                  <c:v>1Q15</c:v>
                </c:pt>
                <c:pt idx="5" c:formatCode="#,##0.0_);[Red]\(#,##0.0\)">
                  <c:v>2Q15</c:v>
                </c:pt>
                <c:pt idx="6" c:formatCode="#,##0.0_);[Red]\(#,##0.0\)">
                  <c:v>3Q15</c:v>
                </c:pt>
                <c:pt idx="7" c:formatCode="#,##0.0_);[Red]\(#,##0.0\)">
                  <c:v>4Q15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3Q16</c:v>
                </c:pt>
                <c:pt idx="11" c:formatCode="#,##0.0_);[Red]\(#,##0.0\)">
                  <c:v>4Q16</c:v>
                </c:pt>
                <c:pt idx="12" c:formatCode="#,##0.0_);[Red]\(#,##0.0\)">
                  <c:v>1Q17</c:v>
                </c:pt>
                <c:pt idx="13" c:formatCode="#,##0.0_);[Red]\(#,##0.0\)">
                  <c:v>2Q17</c:v>
                </c:pt>
                <c:pt idx="14" c:formatCode="#,##0.0_);[Red]\(#,##0.0\)">
                  <c:v>3Q17</c:v>
                </c:pt>
                <c:pt idx="15" c:formatCode="#,##0.0_);[Red]\(#,##0.0\)">
                  <c:v>4Q17</c:v>
                </c:pt>
                <c:pt idx="16" c:formatCode="#,##0.0_);[Red]\(#,##0.0\)">
                  <c:v>1Q18</c:v>
                </c:pt>
                <c:pt idx="17" c:formatCode="#,##0.0_);[Red]\(#,##0.0\)">
                  <c:v>2Q18</c:v>
                </c:pt>
                <c:pt idx="18" c:formatCode="#,##0.0_);[Red]\(#,##0.0\)">
                  <c:v>3Q18</c:v>
                </c:pt>
                <c:pt idx="19" c:formatCode="#,##0.0_);[Red]\(#,##0.0\)">
                  <c:v>4Q18</c:v>
                </c:pt>
                <c:pt idx="20" c:formatCode="#,##0.0_);[Red]\(#,##0.0\)">
                  <c:v>1Q19</c:v>
                </c:pt>
                <c:pt idx="21" c:formatCode="#,##0.0_);[Red]\(#,##0.0\)">
                  <c:v>2Q19</c:v>
                </c:pt>
                <c:pt idx="22" c:formatCode="#,##0.0_);[Red]\(#,##0.0\)">
                  <c:v>3Q19</c:v>
                </c:pt>
              </c:strCache>
            </c:strRef>
          </c:cat>
          <c:val>
            <c:numRef>
              <c:f>Worksheet!$AY$15:$CL$15</c:f>
              <c:numCache>
                <c:formatCode>0%</c:formatCode>
                <c:ptCount val="23"/>
                <c:pt idx="0">
                  <c:v>0.667138409283895</c:v>
                </c:pt>
                <c:pt idx="1">
                  <c:v>0.601731601731602</c:v>
                </c:pt>
                <c:pt idx="2">
                  <c:v>0.659786304031083</c:v>
                </c:pt>
                <c:pt idx="3">
                  <c:v>0.59496520768385</c:v>
                </c:pt>
                <c:pt idx="4">
                  <c:v>0.688464364437913</c:v>
                </c:pt>
                <c:pt idx="5">
                  <c:v>0.6360378807269</c:v>
                </c:pt>
                <c:pt idx="6">
                  <c:v>0.696026907714946</c:v>
                </c:pt>
                <c:pt idx="7">
                  <c:v>0.628598848368522</c:v>
                </c:pt>
                <c:pt idx="8">
                  <c:v>0.700146781295869</c:v>
                </c:pt>
                <c:pt idx="9">
                  <c:v>0.648654759213204</c:v>
                </c:pt>
                <c:pt idx="10">
                  <c:v>0.686622320768662</c:v>
                </c:pt>
                <c:pt idx="11">
                  <c:v>0.616303883909518</c:v>
                </c:pt>
                <c:pt idx="12">
                  <c:v>0.726955563716489</c:v>
                </c:pt>
                <c:pt idx="13">
                  <c:v>0.669511710996427</c:v>
                </c:pt>
                <c:pt idx="14">
                  <c:v>0.716625572384643</c:v>
                </c:pt>
                <c:pt idx="15">
                  <c:v>0.636075949367089</c:v>
                </c:pt>
                <c:pt idx="16">
                  <c:v>0.725847152126893</c:v>
                </c:pt>
                <c:pt idx="17">
                  <c:v>0.665462839764303</c:v>
                </c:pt>
                <c:pt idx="18">
                  <c:v>0.671718031670356</c:v>
                </c:pt>
                <c:pt idx="19">
                  <c:v>0.597171794381808</c:v>
                </c:pt>
                <c:pt idx="20">
                  <c:v>0.695733469318375</c:v>
                </c:pt>
                <c:pt idx="21">
                  <c:v>0.63750226901434</c:v>
                </c:pt>
                <c:pt idx="22">
                  <c:v>0.668954758190328</c:v>
                </c:pt>
              </c:numCache>
            </c:numRef>
          </c:val>
        </c:ser>
        <c:ser>
          <c:idx val="1"/>
          <c:order val="1"/>
          <c:tx>
            <c:strRef>
              <c:f>Worksheet!$B$16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Worksheet!$AY$14:$CL$14</c:f>
              <c:strCache>
                <c:ptCount val="23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3Q14</c:v>
                </c:pt>
                <c:pt idx="3" c:formatCode="#,##0.0_);[Red]\(#,##0.0\)">
                  <c:v>4Q14</c:v>
                </c:pt>
                <c:pt idx="4" c:formatCode="#,##0.0_);[Red]\(#,##0.0\)">
                  <c:v>1Q15</c:v>
                </c:pt>
                <c:pt idx="5" c:formatCode="#,##0.0_);[Red]\(#,##0.0\)">
                  <c:v>2Q15</c:v>
                </c:pt>
                <c:pt idx="6" c:formatCode="#,##0.0_);[Red]\(#,##0.0\)">
                  <c:v>3Q15</c:v>
                </c:pt>
                <c:pt idx="7" c:formatCode="#,##0.0_);[Red]\(#,##0.0\)">
                  <c:v>4Q15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3Q16</c:v>
                </c:pt>
                <c:pt idx="11" c:formatCode="#,##0.0_);[Red]\(#,##0.0\)">
                  <c:v>4Q16</c:v>
                </c:pt>
                <c:pt idx="12" c:formatCode="#,##0.0_);[Red]\(#,##0.0\)">
                  <c:v>1Q17</c:v>
                </c:pt>
                <c:pt idx="13" c:formatCode="#,##0.0_);[Red]\(#,##0.0\)">
                  <c:v>2Q17</c:v>
                </c:pt>
                <c:pt idx="14" c:formatCode="#,##0.0_);[Red]\(#,##0.0\)">
                  <c:v>3Q17</c:v>
                </c:pt>
                <c:pt idx="15" c:formatCode="#,##0.0_);[Red]\(#,##0.0\)">
                  <c:v>4Q17</c:v>
                </c:pt>
                <c:pt idx="16" c:formatCode="#,##0.0_);[Red]\(#,##0.0\)">
                  <c:v>1Q18</c:v>
                </c:pt>
                <c:pt idx="17" c:formatCode="#,##0.0_);[Red]\(#,##0.0\)">
                  <c:v>2Q18</c:v>
                </c:pt>
                <c:pt idx="18" c:formatCode="#,##0.0_);[Red]\(#,##0.0\)">
                  <c:v>3Q18</c:v>
                </c:pt>
                <c:pt idx="19" c:formatCode="#,##0.0_);[Red]\(#,##0.0\)">
                  <c:v>4Q18</c:v>
                </c:pt>
                <c:pt idx="20" c:formatCode="#,##0.0_);[Red]\(#,##0.0\)">
                  <c:v>1Q19</c:v>
                </c:pt>
                <c:pt idx="21" c:formatCode="#,##0.0_);[Red]\(#,##0.0\)">
                  <c:v>2Q19</c:v>
                </c:pt>
                <c:pt idx="22" c:formatCode="#,##0.0_);[Red]\(#,##0.0\)">
                  <c:v>3Q19</c:v>
                </c:pt>
              </c:strCache>
            </c:strRef>
          </c:cat>
          <c:val>
            <c:numRef>
              <c:f>Worksheet!$AY$16:$CL$16</c:f>
              <c:numCache>
                <c:formatCode>0%</c:formatCode>
                <c:ptCount val="23"/>
                <c:pt idx="0">
                  <c:v>0.224738182847438</c:v>
                </c:pt>
                <c:pt idx="1">
                  <c:v>0.276479076479076</c:v>
                </c:pt>
                <c:pt idx="2">
                  <c:v>0.254249635745508</c:v>
                </c:pt>
                <c:pt idx="3">
                  <c:v>0.298198202016107</c:v>
                </c:pt>
                <c:pt idx="4">
                  <c:v>0.219201567474896</c:v>
                </c:pt>
                <c:pt idx="5">
                  <c:v>0.270540056309189</c:v>
                </c:pt>
                <c:pt idx="6">
                  <c:v>0.232079041412655</c:v>
                </c:pt>
                <c:pt idx="7">
                  <c:v>0.279510556621881</c:v>
                </c:pt>
                <c:pt idx="8">
                  <c:v>0.216816942755295</c:v>
                </c:pt>
                <c:pt idx="9">
                  <c:v>0.266108975808275</c:v>
                </c:pt>
                <c:pt idx="10">
                  <c:v>0.245750184774575</c:v>
                </c:pt>
                <c:pt idx="11">
                  <c:v>0.311993171148101</c:v>
                </c:pt>
                <c:pt idx="12">
                  <c:v>0.236871098053617</c:v>
                </c:pt>
                <c:pt idx="13">
                  <c:v>0.291186978959905</c:v>
                </c:pt>
                <c:pt idx="14">
                  <c:v>0.249559704121169</c:v>
                </c:pt>
                <c:pt idx="15">
                  <c:v>0.333465189873418</c:v>
                </c:pt>
                <c:pt idx="16">
                  <c:v>0.239906272530642</c:v>
                </c:pt>
                <c:pt idx="17">
                  <c:v>0.29861243109675</c:v>
                </c:pt>
                <c:pt idx="18">
                  <c:v>0.289119700323514</c:v>
                </c:pt>
                <c:pt idx="19">
                  <c:v>0.360787311293713</c:v>
                </c:pt>
                <c:pt idx="20">
                  <c:v>0.271120176780554</c:v>
                </c:pt>
                <c:pt idx="21">
                  <c:v>0.335814122345253</c:v>
                </c:pt>
                <c:pt idx="22">
                  <c:v>0.305772230889235</c:v>
                </c:pt>
              </c:numCache>
            </c:numRef>
          </c:val>
        </c:ser>
        <c:ser>
          <c:idx val="2"/>
          <c:order val="2"/>
          <c:tx>
            <c:strRef>
              <c:f>Worksheet!$B$17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Worksheet!$AY$14:$CL$14</c:f>
              <c:strCache>
                <c:ptCount val="23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3Q14</c:v>
                </c:pt>
                <c:pt idx="3" c:formatCode="#,##0.0_);[Red]\(#,##0.0\)">
                  <c:v>4Q14</c:v>
                </c:pt>
                <c:pt idx="4" c:formatCode="#,##0.0_);[Red]\(#,##0.0\)">
                  <c:v>1Q15</c:v>
                </c:pt>
                <c:pt idx="5" c:formatCode="#,##0.0_);[Red]\(#,##0.0\)">
                  <c:v>2Q15</c:v>
                </c:pt>
                <c:pt idx="6" c:formatCode="#,##0.0_);[Red]\(#,##0.0\)">
                  <c:v>3Q15</c:v>
                </c:pt>
                <c:pt idx="7" c:formatCode="#,##0.0_);[Red]\(#,##0.0\)">
                  <c:v>4Q15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3Q16</c:v>
                </c:pt>
                <c:pt idx="11" c:formatCode="#,##0.0_);[Red]\(#,##0.0\)">
                  <c:v>4Q16</c:v>
                </c:pt>
                <c:pt idx="12" c:formatCode="#,##0.0_);[Red]\(#,##0.0\)">
                  <c:v>1Q17</c:v>
                </c:pt>
                <c:pt idx="13" c:formatCode="#,##0.0_);[Red]\(#,##0.0\)">
                  <c:v>2Q17</c:v>
                </c:pt>
                <c:pt idx="14" c:formatCode="#,##0.0_);[Red]\(#,##0.0\)">
                  <c:v>3Q17</c:v>
                </c:pt>
                <c:pt idx="15" c:formatCode="#,##0.0_);[Red]\(#,##0.0\)">
                  <c:v>4Q17</c:v>
                </c:pt>
                <c:pt idx="16" c:formatCode="#,##0.0_);[Red]\(#,##0.0\)">
                  <c:v>1Q18</c:v>
                </c:pt>
                <c:pt idx="17" c:formatCode="#,##0.0_);[Red]\(#,##0.0\)">
                  <c:v>2Q18</c:v>
                </c:pt>
                <c:pt idx="18" c:formatCode="#,##0.0_);[Red]\(#,##0.0\)">
                  <c:v>3Q18</c:v>
                </c:pt>
                <c:pt idx="19" c:formatCode="#,##0.0_);[Red]\(#,##0.0\)">
                  <c:v>4Q18</c:v>
                </c:pt>
                <c:pt idx="20" c:formatCode="#,##0.0_);[Red]\(#,##0.0\)">
                  <c:v>1Q19</c:v>
                </c:pt>
                <c:pt idx="21" c:formatCode="#,##0.0_);[Red]\(#,##0.0\)">
                  <c:v>2Q19</c:v>
                </c:pt>
                <c:pt idx="22" c:formatCode="#,##0.0_);[Red]\(#,##0.0\)">
                  <c:v>3Q19</c:v>
                </c:pt>
              </c:strCache>
            </c:strRef>
          </c:cat>
          <c:val>
            <c:numRef>
              <c:f>Worksheet!$AY$17:$CL$17</c:f>
              <c:numCache>
                <c:formatCode>0%</c:formatCode>
                <c:ptCount val="23"/>
                <c:pt idx="0">
                  <c:v>0.108123407868667</c:v>
                </c:pt>
                <c:pt idx="1">
                  <c:v>0.121789321789322</c:v>
                </c:pt>
                <c:pt idx="2">
                  <c:v>0.0859640602234094</c:v>
                </c:pt>
                <c:pt idx="3">
                  <c:v>0.106836590300043</c:v>
                </c:pt>
                <c:pt idx="4">
                  <c:v>0.0923340680871908</c:v>
                </c:pt>
                <c:pt idx="5">
                  <c:v>0.0934220629639109</c:v>
                </c:pt>
                <c:pt idx="6">
                  <c:v>0.0718940508723986</c:v>
                </c:pt>
                <c:pt idx="7">
                  <c:v>0.091890595009597</c:v>
                </c:pt>
                <c:pt idx="8">
                  <c:v>0.0830362759488362</c:v>
                </c:pt>
                <c:pt idx="9">
                  <c:v>0.0852362649785214</c:v>
                </c:pt>
                <c:pt idx="10">
                  <c:v>0.0676274944567627</c:v>
                </c:pt>
                <c:pt idx="11">
                  <c:v>0.0717029449423815</c:v>
                </c:pt>
                <c:pt idx="12">
                  <c:v>0.0361733382298935</c:v>
                </c:pt>
                <c:pt idx="13">
                  <c:v>0.0393013100436682</c:v>
                </c:pt>
                <c:pt idx="14">
                  <c:v>0.033814723494188</c:v>
                </c:pt>
                <c:pt idx="15">
                  <c:v>0.0304588607594937</c:v>
                </c:pt>
                <c:pt idx="16">
                  <c:v>0.0342465753424658</c:v>
                </c:pt>
                <c:pt idx="17">
                  <c:v>0.035924729138947</c:v>
                </c:pt>
                <c:pt idx="18">
                  <c:v>0.0391622680061298</c:v>
                </c:pt>
                <c:pt idx="19">
                  <c:v>0.0420408943244792</c:v>
                </c:pt>
                <c:pt idx="20">
                  <c:v>0.0331463539010709</c:v>
                </c:pt>
                <c:pt idx="21">
                  <c:v>0.0266836086404066</c:v>
                </c:pt>
                <c:pt idx="22">
                  <c:v>0.0252730109204368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115712"/>
        <c:axId val="886121600"/>
      </c:barChart>
      <c:catAx>
        <c:axId val="88611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121600"/>
        <c:crosses val="autoZero"/>
        <c:auto val="1"/>
        <c:lblAlgn val="ctr"/>
        <c:lblOffset val="100"/>
        <c:noMultiLvlLbl val="0"/>
      </c:catAx>
      <c:valAx>
        <c:axId val="88612160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1157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204d68-25d4-4a66-90e7-ab5ad062bcf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Worksheet!$B$64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Worksheet!$C$63:$BZ$63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Worksheet!$C$64:$BZ$64</c:f>
              <c:numCache>
                <c:formatCode>0%</c:formatCode>
                <c:ptCount val="53"/>
                <c:pt idx="0">
                  <c:v>0.475691847419596</c:v>
                </c:pt>
                <c:pt idx="1">
                  <c:v>0.446159122085048</c:v>
                </c:pt>
                <c:pt idx="2">
                  <c:v>0.460286225402504</c:v>
                </c:pt>
                <c:pt idx="3">
                  <c:v>0.462381089651196</c:v>
                </c:pt>
                <c:pt idx="4">
                  <c:v>0.461088420355448</c:v>
                </c:pt>
                <c:pt idx="5">
                  <c:v>0.413510747185261</c:v>
                </c:pt>
                <c:pt idx="6">
                  <c:v>0.44</c:v>
                </c:pt>
                <c:pt idx="7">
                  <c:v>0.449457881567973</c:v>
                </c:pt>
                <c:pt idx="8">
                  <c:v>0.494653223342499</c:v>
                </c:pt>
                <c:pt idx="9">
                  <c:v>0.47536704730832</c:v>
                </c:pt>
                <c:pt idx="10">
                  <c:v>0.485326601451562</c:v>
                </c:pt>
                <c:pt idx="11">
                  <c:v>0.473684210526316</c:v>
                </c:pt>
                <c:pt idx="12">
                  <c:v>0.481003868663823</c:v>
                </c:pt>
                <c:pt idx="13">
                  <c:v>0.429805615550756</c:v>
                </c:pt>
                <c:pt idx="14">
                  <c:v>0.453321878579611</c:v>
                </c:pt>
                <c:pt idx="15">
                  <c:v>0.468548266026122</c:v>
                </c:pt>
                <c:pt idx="16">
                  <c:v>0.48326359832636</c:v>
                </c:pt>
                <c:pt idx="17">
                  <c:v>0.447413303013076</c:v>
                </c:pt>
                <c:pt idx="18">
                  <c:v>0.466085535276491</c:v>
                </c:pt>
                <c:pt idx="19">
                  <c:v>0.479741069287941</c:v>
                </c:pt>
                <c:pt idx="20">
                  <c:v>0.47103274559194</c:v>
                </c:pt>
                <c:pt idx="21">
                  <c:v>0.444807121661721</c:v>
                </c:pt>
                <c:pt idx="22">
                  <c:v>0.464129425805596</c:v>
                </c:pt>
                <c:pt idx="23">
                  <c:v>0.465094403010146</c:v>
                </c:pt>
                <c:pt idx="24">
                  <c:v>0.49960010663823</c:v>
                </c:pt>
                <c:pt idx="25">
                  <c:v>0.481525273425953</c:v>
                </c:pt>
                <c:pt idx="26">
                  <c:v>0.491028875805999</c:v>
                </c:pt>
                <c:pt idx="27">
                  <c:v>0.477184841453983</c:v>
                </c:pt>
                <c:pt idx="28">
                  <c:v>0.48615272859348</c:v>
                </c:pt>
                <c:pt idx="29">
                  <c:v>0.386399247884676</c:v>
                </c:pt>
                <c:pt idx="30">
                  <c:v>0.47947919615058</c:v>
                </c:pt>
                <c:pt idx="31">
                  <c:v>0.461471861471861</c:v>
                </c:pt>
                <c:pt idx="32">
                  <c:v>0.483126972566157</c:v>
                </c:pt>
                <c:pt idx="33">
                  <c:v>0.4023997658765</c:v>
                </c:pt>
                <c:pt idx="34">
                  <c:v>0.511268985791279</c:v>
                </c:pt>
                <c:pt idx="35">
                  <c:v>0.502175582288201</c:v>
                </c:pt>
                <c:pt idx="36">
                  <c:v>0.495061987812566</c:v>
                </c:pt>
                <c:pt idx="37">
                  <c:v>0.46916246700264</c:v>
                </c:pt>
                <c:pt idx="38">
                  <c:v>0.538687355839799</c:v>
                </c:pt>
                <c:pt idx="39">
                  <c:v>0.518091361374943</c:v>
                </c:pt>
                <c:pt idx="40">
                  <c:v>0.528270509977827</c:v>
                </c:pt>
                <c:pt idx="41">
                  <c:v>0.515248453828108</c:v>
                </c:pt>
                <c:pt idx="42">
                  <c:v>0.6060216633009</c:v>
                </c:pt>
                <c:pt idx="43">
                  <c:v>0.601032155617308</c:v>
                </c:pt>
                <c:pt idx="44">
                  <c:v>0.575303857671305</c:v>
                </c:pt>
                <c:pt idx="45">
                  <c:v>0.560126582278481</c:v>
                </c:pt>
                <c:pt idx="46">
                  <c:v>0.577609518658734</c:v>
                </c:pt>
                <c:pt idx="47">
                  <c:v>0.589621744915415</c:v>
                </c:pt>
                <c:pt idx="48">
                  <c:v>0.572620466541801</c:v>
                </c:pt>
                <c:pt idx="49">
                  <c:v>0.594764998089415</c:v>
                </c:pt>
                <c:pt idx="50">
                  <c:v>0.587355540448674</c:v>
                </c:pt>
                <c:pt idx="51">
                  <c:v>0.595933926302414</c:v>
                </c:pt>
                <c:pt idx="52">
                  <c:v>0.544461778471139</c:v>
                </c:pt>
              </c:numCache>
            </c:numRef>
          </c:val>
        </c:ser>
        <c:ser>
          <c:idx val="1"/>
          <c:order val="1"/>
          <c:tx>
            <c:strRef>
              <c:f>Worksheet!$B$65</c:f>
              <c:strCache>
                <c:ptCount val="1"/>
                <c:pt idx="0">
                  <c:v>Apparel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Worksheet!$C$63:$BZ$63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Worksheet!$C$65:$BZ$65</c:f>
              <c:numCache>
                <c:formatCode>0%</c:formatCode>
                <c:ptCount val="53"/>
                <c:pt idx="0">
                  <c:v>0.422587883320868</c:v>
                </c:pt>
                <c:pt idx="1">
                  <c:v>0.43278463648834</c:v>
                </c:pt>
                <c:pt idx="2">
                  <c:v>0.427906976744186</c:v>
                </c:pt>
                <c:pt idx="3">
                  <c:v>0.445373306428366</c:v>
                </c:pt>
                <c:pt idx="4">
                  <c:v>0.434595429959157</c:v>
                </c:pt>
                <c:pt idx="5">
                  <c:v>0.492323439099283</c:v>
                </c:pt>
                <c:pt idx="6">
                  <c:v>0.466875</c:v>
                </c:pt>
                <c:pt idx="7">
                  <c:v>0.448707256046706</c:v>
                </c:pt>
                <c:pt idx="8">
                  <c:v>0.404216315307058</c:v>
                </c:pt>
                <c:pt idx="9">
                  <c:v>0.40978792822186</c:v>
                </c:pt>
                <c:pt idx="10">
                  <c:v>0.406910697380877</c:v>
                </c:pt>
                <c:pt idx="11">
                  <c:v>0.432807908095111</c:v>
                </c:pt>
                <c:pt idx="12">
                  <c:v>0.416526138279933</c:v>
                </c:pt>
                <c:pt idx="13">
                  <c:v>0.473310706572046</c:v>
                </c:pt>
                <c:pt idx="14">
                  <c:v>0.451603665521191</c:v>
                </c:pt>
                <c:pt idx="15">
                  <c:v>0.430340789671221</c:v>
                </c:pt>
                <c:pt idx="16">
                  <c:v>0.399320083682008</c:v>
                </c:pt>
                <c:pt idx="17">
                  <c:v>0.411597498578738</c:v>
                </c:pt>
                <c:pt idx="18">
                  <c:v>0.405202941977663</c:v>
                </c:pt>
                <c:pt idx="19">
                  <c:v>0.428194677535363</c:v>
                </c:pt>
                <c:pt idx="20">
                  <c:v>0.413532528446104</c:v>
                </c:pt>
                <c:pt idx="21">
                  <c:v>0.453709198813056</c:v>
                </c:pt>
                <c:pt idx="22">
                  <c:v>0.439596870441586</c:v>
                </c:pt>
                <c:pt idx="23">
                  <c:v>0.422629846133172</c:v>
                </c:pt>
                <c:pt idx="24">
                  <c:v>0.368435083977606</c:v>
                </c:pt>
                <c:pt idx="25">
                  <c:v>0.375406443984629</c:v>
                </c:pt>
                <c:pt idx="26">
                  <c:v>0.371740958788898</c:v>
                </c:pt>
                <c:pt idx="27">
                  <c:v>0.420726991492653</c:v>
                </c:pt>
                <c:pt idx="28">
                  <c:v>0.388994824298556</c:v>
                </c:pt>
                <c:pt idx="29">
                  <c:v>0.478533375117518</c:v>
                </c:pt>
                <c:pt idx="30">
                  <c:v>0.405887347863006</c:v>
                </c:pt>
                <c:pt idx="31">
                  <c:v>0.411544011544012</c:v>
                </c:pt>
                <c:pt idx="32">
                  <c:v>0.428016508861374</c:v>
                </c:pt>
                <c:pt idx="33">
                  <c:v>0.484635645302897</c:v>
                </c:pt>
                <c:pt idx="34">
                  <c:v>0.390739833414993</c:v>
                </c:pt>
                <c:pt idx="35">
                  <c:v>0.39160481187612</c:v>
                </c:pt>
                <c:pt idx="36">
                  <c:v>0.417314561882748</c:v>
                </c:pt>
                <c:pt idx="37">
                  <c:v>0.446124310055196</c:v>
                </c:pt>
                <c:pt idx="38">
                  <c:v>0.371146990983435</c:v>
                </c:pt>
                <c:pt idx="39">
                  <c:v>0.378561736770692</c:v>
                </c:pt>
                <c:pt idx="40">
                  <c:v>0.392461197339246</c:v>
                </c:pt>
                <c:pt idx="41">
                  <c:v>0.406909788867562</c:v>
                </c:pt>
                <c:pt idx="42">
                  <c:v>0.347897925463558</c:v>
                </c:pt>
                <c:pt idx="43">
                  <c:v>0.346963080587535</c:v>
                </c:pt>
                <c:pt idx="44">
                  <c:v>0.37766425929188</c:v>
                </c:pt>
                <c:pt idx="45">
                  <c:v>0.387658227848101</c:v>
                </c:pt>
                <c:pt idx="46">
                  <c:v>0.363980530016225</c:v>
                </c:pt>
                <c:pt idx="47">
                  <c:v>0.36019768104923</c:v>
                </c:pt>
                <c:pt idx="48">
                  <c:v>0.382938872807764</c:v>
                </c:pt>
                <c:pt idx="49">
                  <c:v>0.393580435613298</c:v>
                </c:pt>
                <c:pt idx="50">
                  <c:v>0.368796736913664</c:v>
                </c:pt>
                <c:pt idx="51">
                  <c:v>0.349791250680704</c:v>
                </c:pt>
                <c:pt idx="52">
                  <c:v>0.409516380655226</c:v>
                </c:pt>
              </c:numCache>
            </c:numRef>
          </c:val>
        </c:ser>
        <c:ser>
          <c:idx val="2"/>
          <c:order val="2"/>
          <c:tx>
            <c:strRef>
              <c:f>Worksheet!$B$66</c:f>
              <c:strCache>
                <c:ptCount val="1"/>
                <c:pt idx="0">
                  <c:v>Hardware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Worksheet!$C$63:$BZ$63</c:f>
              <c:strCache>
                <c:ptCount val="53"/>
                <c:pt idx="0" c:formatCode="#,##0.0_);[Red]\(#,##0.0\)">
                  <c:v>1Q 10</c:v>
                </c:pt>
                <c:pt idx="1" c:formatCode="#,##0.0_);[Red]\(#,##0.0\)">
                  <c:v>2Q 10</c:v>
                </c:pt>
                <c:pt idx="2" c:formatCode="#,##0.0_);[Red]\(#,##0.0\)">
                  <c:v>H1 10</c:v>
                </c:pt>
                <c:pt idx="3" c:formatCode="#,##0.0_);[Red]\(#,##0.0\)">
                  <c:v>3Q 10</c:v>
                </c:pt>
                <c:pt idx="4" c:formatCode="#,##0.0_);[Red]\(#,##0.0\)">
                  <c:v>9M 10</c:v>
                </c:pt>
                <c:pt idx="5" c:formatCode="#,##0.0_);[Red]\(#,##0.0\)">
                  <c:v>4Q 10</c:v>
                </c:pt>
                <c:pt idx="6" c:formatCode="#,##0.0_);[Red]\(#,##0.0\)">
                  <c:v>H2 10</c:v>
                </c:pt>
                <c:pt idx="7" c:formatCode="#,##0.0_);[Red]\(#,##0.0\)">
                  <c:v>FY 10</c:v>
                </c:pt>
                <c:pt idx="8" c:formatCode="#,##0.0_);[Red]\(#,##0.0\)">
                  <c:v>1Q 11</c:v>
                </c:pt>
                <c:pt idx="9" c:formatCode="#,##0.0_);[Red]\(#,##0.0\)">
                  <c:v>2Q 11</c:v>
                </c:pt>
                <c:pt idx="10" c:formatCode="#,##0.0_);[Red]\(#,##0.0\)">
                  <c:v>H1 11</c:v>
                </c:pt>
                <c:pt idx="11" c:formatCode="#,##0.0_);[Red]\(#,##0.0\)">
                  <c:v>3Q 11</c:v>
                </c:pt>
                <c:pt idx="12" c:formatCode="#,##0.0_);[Red]\(#,##0.0\)">
                  <c:v>9M 11</c:v>
                </c:pt>
                <c:pt idx="13" c:formatCode="#,##0.0_);[Red]\(#,##0.0\)">
                  <c:v>4Q 11</c:v>
                </c:pt>
                <c:pt idx="14" c:formatCode="#,##0.0_);[Red]\(#,##0.0\)">
                  <c:v>H2 11</c:v>
                </c:pt>
                <c:pt idx="15" c:formatCode="#,##0.0_);[Red]\(#,##0.0\)">
                  <c:v>FY 11</c:v>
                </c:pt>
                <c:pt idx="16" c:formatCode="#,##0.0_);[Red]\(#,##0.0\)">
                  <c:v>1Q 12</c:v>
                </c:pt>
                <c:pt idx="17" c:formatCode="#,##0.0_);[Red]\(#,##0.0\)">
                  <c:v>2Q 12</c:v>
                </c:pt>
                <c:pt idx="18" c:formatCode="#,##0.0_);[Red]\(#,##0.0\)">
                  <c:v>H1 12</c:v>
                </c:pt>
                <c:pt idx="19" c:formatCode="#,##0.0_);[Red]\(#,##0.0\)">
                  <c:v>3Q 12</c:v>
                </c:pt>
                <c:pt idx="20" c:formatCode="#,##0.0_);[Red]\(#,##0.0\)">
                  <c:v>9M 12</c:v>
                </c:pt>
                <c:pt idx="21" c:formatCode="#,##0.0_);[Red]\(#,##0.0\)">
                  <c:v>4Q 12</c:v>
                </c:pt>
                <c:pt idx="22" c:formatCode="#,##0.0_);[Red]\(#,##0.0\)">
                  <c:v>H2 12</c:v>
                </c:pt>
                <c:pt idx="23" c:formatCode="#,##0.0_);[Red]\(#,##0.0\)">
                  <c:v>FY 12</c:v>
                </c:pt>
                <c:pt idx="24" c:formatCode="#,##0.0_);[Red]\(#,##0.0\)">
                  <c:v>1Q13</c:v>
                </c:pt>
                <c:pt idx="25" c:formatCode="#,##0.0_);[Red]\(#,##0.0\)">
                  <c:v>2Q13</c:v>
                </c:pt>
                <c:pt idx="26" c:formatCode="#,##0.0_);[Red]\(#,##0.0\)">
                  <c:v>1H13</c:v>
                </c:pt>
                <c:pt idx="27" c:formatCode="#,##0.0_);[Red]\(#,##0.0\)">
                  <c:v>3Q13</c:v>
                </c:pt>
                <c:pt idx="28" c:formatCode="#,##0.0_);[Red]\(#,##0.0\)">
                  <c:v>9M13</c:v>
                </c:pt>
                <c:pt idx="29" c:formatCode="#,##0.0_);[Red]\(#,##0.0\)">
                  <c:v>4Q13</c:v>
                </c:pt>
                <c:pt idx="30" c:formatCode="#,##0.0_);[Red]\(#,##0.0\)">
                  <c:v>1Q14</c:v>
                </c:pt>
                <c:pt idx="31" c:formatCode="#,##0.0_);[Red]\(#,##0.0\)">
                  <c:v>2Q14</c:v>
                </c:pt>
                <c:pt idx="32" c:formatCode="#,##0.0_);[Red]\(#,##0.0\)">
                  <c:v>3Q14</c:v>
                </c:pt>
                <c:pt idx="33" c:formatCode="#,##0.0_);[Red]\(#,##0.0\)">
                  <c:v>4Q14</c:v>
                </c:pt>
                <c:pt idx="34" c:formatCode="#,##0.0_);[Red]\(#,##0.0\)">
                  <c:v>1Q15</c:v>
                </c:pt>
                <c:pt idx="35" c:formatCode="#,##0.0_);[Red]\(#,##0.0\)">
                  <c:v>2Q15</c:v>
                </c:pt>
                <c:pt idx="36" c:formatCode="#,##0.0_);[Red]\(#,##0.0\)">
                  <c:v>3Q15</c:v>
                </c:pt>
                <c:pt idx="37" c:formatCode="#,##0.0_);[Red]\(#,##0.0\)">
                  <c:v>4Q15</c:v>
                </c:pt>
                <c:pt idx="38" c:formatCode="#,##0.0_);[Red]\(#,##0.0\)">
                  <c:v>1Q16</c:v>
                </c:pt>
                <c:pt idx="39" c:formatCode="#,##0.0_);[Red]\(#,##0.0\)">
                  <c:v>2Q16</c:v>
                </c:pt>
                <c:pt idx="40" c:formatCode="#,##0.0_);[Red]\(#,##0.0\)">
                  <c:v>3Q16</c:v>
                </c:pt>
                <c:pt idx="41" c:formatCode="#,##0.0_);[Red]\(#,##0.0\)">
                  <c:v>4Q16</c:v>
                </c:pt>
                <c:pt idx="42" c:formatCode="#,##0.0_);[Red]\(#,##0.0\)">
                  <c:v>1Q17</c:v>
                </c:pt>
                <c:pt idx="43" c:formatCode="#,##0.0_);[Red]\(#,##0.0\)">
                  <c:v>2Q17</c:v>
                </c:pt>
                <c:pt idx="44" c:formatCode="#,##0.0_);[Red]\(#,##0.0\)">
                  <c:v>3Q17</c:v>
                </c:pt>
                <c:pt idx="45" c:formatCode="#,##0.0_);[Red]\(#,##0.0\)">
                  <c:v>4Q17</c:v>
                </c:pt>
                <c:pt idx="46" c:formatCode="#,##0.0_);[Red]\(#,##0.0\)">
                  <c:v>1Q18</c:v>
                </c:pt>
                <c:pt idx="47" c:formatCode="#,##0.0_);[Red]\(#,##0.0\)">
                  <c:v>2Q18</c:v>
                </c:pt>
                <c:pt idx="48" c:formatCode="#,##0.0_);[Red]\(#,##0.0\)">
                  <c:v>3Q18</c:v>
                </c:pt>
                <c:pt idx="49" c:formatCode="#,##0.0_);[Red]\(#,##0.0\)">
                  <c:v>4Q18</c:v>
                </c:pt>
                <c:pt idx="50" c:formatCode="#,##0.0_);[Red]\(#,##0.0\)">
                  <c:v>1Q19</c:v>
                </c:pt>
                <c:pt idx="51" c:formatCode="#,##0.0_);[Red]\(#,##0.0\)">
                  <c:v>2Q19</c:v>
                </c:pt>
                <c:pt idx="52" c:formatCode="#,##0.0_);[Red]\(#,##0.0\)">
                  <c:v>3Q19</c:v>
                </c:pt>
              </c:strCache>
            </c:strRef>
          </c:cat>
          <c:val>
            <c:numRef>
              <c:f>Worksheet!$C$66:$BZ$66</c:f>
              <c:numCache>
                <c:formatCode>0%</c:formatCode>
                <c:ptCount val="53"/>
                <c:pt idx="0">
                  <c:v>0.101720269259536</c:v>
                </c:pt>
                <c:pt idx="1">
                  <c:v>0.121056241426612</c:v>
                </c:pt>
                <c:pt idx="2">
                  <c:v>0.111806797853309</c:v>
                </c:pt>
                <c:pt idx="3">
                  <c:v>0.0922456039204381</c:v>
                </c:pt>
                <c:pt idx="4">
                  <c:v>0.104316149685396</c:v>
                </c:pt>
                <c:pt idx="5">
                  <c:v>0.0941658137154556</c:v>
                </c:pt>
                <c:pt idx="6">
                  <c:v>0.0931250000000001</c:v>
                </c:pt>
                <c:pt idx="7">
                  <c:v>0.101834862385321</c:v>
                </c:pt>
                <c:pt idx="8">
                  <c:v>0.101130461350443</c:v>
                </c:pt>
                <c:pt idx="9">
                  <c:v>0.114845024469821</c:v>
                </c:pt>
                <c:pt idx="10">
                  <c:v>0.107762701167561</c:v>
                </c:pt>
                <c:pt idx="11">
                  <c:v>0.0935078813785734</c:v>
                </c:pt>
                <c:pt idx="12">
                  <c:v>0.102469993056244</c:v>
                </c:pt>
                <c:pt idx="13">
                  <c:v>0.0968836778771984</c:v>
                </c:pt>
                <c:pt idx="14">
                  <c:v>0.0950744558991982</c:v>
                </c:pt>
                <c:pt idx="15">
                  <c:v>0.101110944302657</c:v>
                </c:pt>
                <c:pt idx="16">
                  <c:v>0.117416317991632</c:v>
                </c:pt>
                <c:pt idx="17">
                  <c:v>0.140989198408187</c:v>
                </c:pt>
                <c:pt idx="18">
                  <c:v>0.128711522745846</c:v>
                </c:pt>
                <c:pt idx="19">
                  <c:v>0.0920642531766963</c:v>
                </c:pt>
                <c:pt idx="20">
                  <c:v>0.115434725961956</c:v>
                </c:pt>
                <c:pt idx="21">
                  <c:v>0.101483679525223</c:v>
                </c:pt>
                <c:pt idx="22">
                  <c:v>0.0962737037528179</c:v>
                </c:pt>
                <c:pt idx="23">
                  <c:v>0.112275750856682</c:v>
                </c:pt>
                <c:pt idx="24">
                  <c:v>0.131964809384164</c:v>
                </c:pt>
                <c:pt idx="25">
                  <c:v>0.143068282589418</c:v>
                </c:pt>
                <c:pt idx="26">
                  <c:v>0.137230165405102</c:v>
                </c:pt>
                <c:pt idx="27">
                  <c:v>0.102088167053364</c:v>
                </c:pt>
                <c:pt idx="28">
                  <c:v>0.124852447107963</c:v>
                </c:pt>
                <c:pt idx="29">
                  <c:v>0.135067376997806</c:v>
                </c:pt>
                <c:pt idx="30">
                  <c:v>0.114633455986414</c:v>
                </c:pt>
                <c:pt idx="31">
                  <c:v>0.126984126984127</c:v>
                </c:pt>
                <c:pt idx="32">
                  <c:v>0.0888565185724691</c:v>
                </c:pt>
                <c:pt idx="33">
                  <c:v>0.112964588820603</c:v>
                </c:pt>
                <c:pt idx="34">
                  <c:v>0.0979911807937286</c:v>
                </c:pt>
                <c:pt idx="35">
                  <c:v>0.10621960583568</c:v>
                </c:pt>
                <c:pt idx="36">
                  <c:v>0.0876234503046858</c:v>
                </c:pt>
                <c:pt idx="37">
                  <c:v>0.0847132229421646</c:v>
                </c:pt>
                <c:pt idx="38">
                  <c:v>0.0901656531767667</c:v>
                </c:pt>
                <c:pt idx="39">
                  <c:v>0.103346901854365</c:v>
                </c:pt>
                <c:pt idx="40">
                  <c:v>0.0792682926829268</c:v>
                </c:pt>
                <c:pt idx="41">
                  <c:v>0.0778417573043293</c:v>
                </c:pt>
                <c:pt idx="42">
                  <c:v>0.0460804112355425</c:v>
                </c:pt>
                <c:pt idx="43">
                  <c:v>0.0520047637951567</c:v>
                </c:pt>
                <c:pt idx="44">
                  <c:v>0.0470318830368152</c:v>
                </c:pt>
                <c:pt idx="45">
                  <c:v>0.0522151898734177</c:v>
                </c:pt>
                <c:pt idx="46">
                  <c:v>0.0584099513250406</c:v>
                </c:pt>
                <c:pt idx="47">
                  <c:v>0.0501805740353545</c:v>
                </c:pt>
                <c:pt idx="48">
                  <c:v>0.0444406606504343</c:v>
                </c:pt>
                <c:pt idx="49">
                  <c:v>0.0116545662972869</c:v>
                </c:pt>
                <c:pt idx="50">
                  <c:v>0.0438477226376615</c:v>
                </c:pt>
                <c:pt idx="51">
                  <c:v>0.0542748230168814</c:v>
                </c:pt>
                <c:pt idx="52">
                  <c:v>0.0460218408736349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155520"/>
        <c:axId val="886165504"/>
      </c:barChart>
      <c:catAx>
        <c:axId val="88615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165504"/>
        <c:crosses val="autoZero"/>
        <c:auto val="1"/>
        <c:lblAlgn val="ctr"/>
        <c:lblOffset val="100"/>
        <c:noMultiLvlLbl val="0"/>
      </c:catAx>
      <c:valAx>
        <c:axId val="88616550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615552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ea6942-72d9-4270-99b4-13c56eb5663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Worksheet!$B$103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Worksheet!$C$103:$AT$103</c:f>
              <c:numCache>
                <c:formatCode>#,##0;[Red]\-#,##0</c:formatCode>
                <c:ptCount val="37"/>
                <c:pt idx="0">
                  <c:v>1011</c:v>
                </c:pt>
                <c:pt idx="1">
                  <c:v>837</c:v>
                </c:pt>
                <c:pt idx="2">
                  <c:v>1848</c:v>
                </c:pt>
                <c:pt idx="3">
                  <c:v>1169</c:v>
                </c:pt>
                <c:pt idx="4">
                  <c:v>3017</c:v>
                </c:pt>
                <c:pt idx="5">
                  <c:v>776</c:v>
                </c:pt>
                <c:pt idx="6">
                  <c:v>1945</c:v>
                </c:pt>
                <c:pt idx="7">
                  <c:v>3793</c:v>
                </c:pt>
                <c:pt idx="8">
                  <c:v>1143</c:v>
                </c:pt>
                <c:pt idx="9">
                  <c:v>961</c:v>
                </c:pt>
                <c:pt idx="10">
                  <c:v>2104</c:v>
                </c:pt>
                <c:pt idx="11">
                  <c:v>1404</c:v>
                </c:pt>
                <c:pt idx="12">
                  <c:v>3508</c:v>
                </c:pt>
                <c:pt idx="13">
                  <c:v>1031</c:v>
                </c:pt>
                <c:pt idx="14">
                  <c:v>2435</c:v>
                </c:pt>
                <c:pt idx="15">
                  <c:v>4539</c:v>
                </c:pt>
                <c:pt idx="16">
                  <c:v>1414</c:v>
                </c:pt>
                <c:pt idx="17">
                  <c:v>1214</c:v>
                </c:pt>
                <c:pt idx="18">
                  <c:v>2628</c:v>
                </c:pt>
                <c:pt idx="19">
                  <c:v>1557</c:v>
                </c:pt>
                <c:pt idx="20">
                  <c:v>4185</c:v>
                </c:pt>
                <c:pt idx="21">
                  <c:v>1106</c:v>
                </c:pt>
                <c:pt idx="22">
                  <c:v>2663</c:v>
                </c:pt>
                <c:pt idx="23">
                  <c:v>5291</c:v>
                </c:pt>
                <c:pt idx="24">
                  <c:v>1523</c:v>
                </c:pt>
                <c:pt idx="25">
                  <c:v>1421</c:v>
                </c:pt>
                <c:pt idx="26">
                  <c:v>2944</c:v>
                </c:pt>
                <c:pt idx="27">
                  <c:v>1656</c:v>
                </c:pt>
                <c:pt idx="28">
                  <c:v>4600</c:v>
                </c:pt>
                <c:pt idx="29">
                  <c:v>1283</c:v>
                </c:pt>
                <c:pt idx="30">
                  <c:v>1603</c:v>
                </c:pt>
                <c:pt idx="31">
                  <c:v>1420</c:v>
                </c:pt>
                <c:pt idx="32">
                  <c:v>1645</c:v>
                </c:pt>
                <c:pt idx="33">
                  <c:v>1216</c:v>
                </c:pt>
                <c:pt idx="34">
                  <c:v>1551</c:v>
                </c:pt>
                <c:pt idx="35">
                  <c:v>1421.42</c:v>
                </c:pt>
                <c:pt idx="36">
                  <c:v>1698</c:v>
                </c:pt>
              </c:numCache>
            </c:numRef>
          </c:val>
        </c:ser>
        <c:ser>
          <c:idx val="1"/>
          <c:order val="1"/>
          <c:tx>
            <c:strRef>
              <c:f>Worksheet!$B$104</c:f>
              <c:strCache>
                <c:ptCount val="1"/>
                <c:pt idx="0">
                  <c:v>North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Worksheet!$C$104:$AT$104</c:f>
              <c:numCache>
                <c:formatCode>#,##0;[Red]\-#,##0</c:formatCode>
                <c:ptCount val="37"/>
                <c:pt idx="0">
                  <c:v>462</c:v>
                </c:pt>
                <c:pt idx="1">
                  <c:v>528</c:v>
                </c:pt>
                <c:pt idx="2">
                  <c:v>990</c:v>
                </c:pt>
                <c:pt idx="3">
                  <c:v>619</c:v>
                </c:pt>
                <c:pt idx="4">
                  <c:v>1609</c:v>
                </c:pt>
                <c:pt idx="5">
                  <c:v>608</c:v>
                </c:pt>
                <c:pt idx="6">
                  <c:v>1227</c:v>
                </c:pt>
                <c:pt idx="7">
                  <c:v>2217</c:v>
                </c:pt>
                <c:pt idx="8">
                  <c:v>591</c:v>
                </c:pt>
                <c:pt idx="9">
                  <c:v>643</c:v>
                </c:pt>
                <c:pt idx="10">
                  <c:v>1234</c:v>
                </c:pt>
                <c:pt idx="11">
                  <c:v>776</c:v>
                </c:pt>
                <c:pt idx="12">
                  <c:v>2010</c:v>
                </c:pt>
                <c:pt idx="13">
                  <c:v>744</c:v>
                </c:pt>
                <c:pt idx="14">
                  <c:v>1520</c:v>
                </c:pt>
                <c:pt idx="15">
                  <c:v>2754</c:v>
                </c:pt>
                <c:pt idx="16">
                  <c:v>728</c:v>
                </c:pt>
                <c:pt idx="17">
                  <c:v>788</c:v>
                </c:pt>
                <c:pt idx="18">
                  <c:v>1516</c:v>
                </c:pt>
                <c:pt idx="19">
                  <c:v>927</c:v>
                </c:pt>
                <c:pt idx="20">
                  <c:v>2443</c:v>
                </c:pt>
                <c:pt idx="21">
                  <c:v>969</c:v>
                </c:pt>
                <c:pt idx="22">
                  <c:v>1896</c:v>
                </c:pt>
                <c:pt idx="23">
                  <c:v>3412</c:v>
                </c:pt>
                <c:pt idx="24">
                  <c:v>988</c:v>
                </c:pt>
                <c:pt idx="25">
                  <c:v>1014</c:v>
                </c:pt>
                <c:pt idx="26">
                  <c:v>2002</c:v>
                </c:pt>
                <c:pt idx="27">
                  <c:v>1099</c:v>
                </c:pt>
                <c:pt idx="28">
                  <c:v>3101</c:v>
                </c:pt>
                <c:pt idx="29">
                  <c:v>1174</c:v>
                </c:pt>
                <c:pt idx="30">
                  <c:v>1040</c:v>
                </c:pt>
                <c:pt idx="31">
                  <c:v>1082</c:v>
                </c:pt>
                <c:pt idx="32">
                  <c:v>1269</c:v>
                </c:pt>
                <c:pt idx="33">
                  <c:v>1297</c:v>
                </c:pt>
                <c:pt idx="34">
                  <c:v>1157</c:v>
                </c:pt>
                <c:pt idx="35">
                  <c:v>1213</c:v>
                </c:pt>
                <c:pt idx="36">
                  <c:v>1468</c:v>
                </c:pt>
              </c:numCache>
            </c:numRef>
          </c:val>
        </c:ser>
        <c:ser>
          <c:idx val="2"/>
          <c:order val="2"/>
          <c:tx>
            <c:strRef>
              <c:f>Worksheet!$B$105</c:f>
              <c:strCache>
                <c:ptCount val="1"/>
                <c:pt idx="0">
                  <c:v>Latin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Worksheet!$C$105:$AT$105</c:f>
              <c:numCache>
                <c:formatCode>#,##0;[Red]\-#,##0</c:formatCode>
                <c:ptCount val="37"/>
                <c:pt idx="0">
                  <c:v>374</c:v>
                </c:pt>
                <c:pt idx="1">
                  <c:v>400</c:v>
                </c:pt>
                <c:pt idx="2">
                  <c:v>774</c:v>
                </c:pt>
                <c:pt idx="3">
                  <c:v>426</c:v>
                </c:pt>
                <c:pt idx="4">
                  <c:v>1200</c:v>
                </c:pt>
                <c:pt idx="5">
                  <c:v>412</c:v>
                </c:pt>
                <c:pt idx="6">
                  <c:v>838</c:v>
                </c:pt>
                <c:pt idx="7">
                  <c:v>1612</c:v>
                </c:pt>
                <c:pt idx="8">
                  <c:v>423</c:v>
                </c:pt>
                <c:pt idx="9">
                  <c:v>456</c:v>
                </c:pt>
                <c:pt idx="10">
                  <c:v>879</c:v>
                </c:pt>
                <c:pt idx="11">
                  <c:v>489</c:v>
                </c:pt>
                <c:pt idx="12">
                  <c:v>1368</c:v>
                </c:pt>
                <c:pt idx="13">
                  <c:v>415</c:v>
                </c:pt>
                <c:pt idx="14">
                  <c:v>904</c:v>
                </c:pt>
                <c:pt idx="15">
                  <c:v>1783</c:v>
                </c:pt>
                <c:pt idx="16">
                  <c:v>394</c:v>
                </c:pt>
                <c:pt idx="17">
                  <c:v>379</c:v>
                </c:pt>
                <c:pt idx="18">
                  <c:v>773</c:v>
                </c:pt>
                <c:pt idx="19">
                  <c:v>487</c:v>
                </c:pt>
                <c:pt idx="20">
                  <c:v>1260</c:v>
                </c:pt>
                <c:pt idx="21">
                  <c:v>471</c:v>
                </c:pt>
                <c:pt idx="22">
                  <c:v>958</c:v>
                </c:pt>
                <c:pt idx="23">
                  <c:v>1731</c:v>
                </c:pt>
                <c:pt idx="24">
                  <c:v>454</c:v>
                </c:pt>
                <c:pt idx="25">
                  <c:v>441</c:v>
                </c:pt>
                <c:pt idx="26">
                  <c:v>895</c:v>
                </c:pt>
                <c:pt idx="27">
                  <c:v>502</c:v>
                </c:pt>
                <c:pt idx="28">
                  <c:v>1397</c:v>
                </c:pt>
                <c:pt idx="29">
                  <c:v>510</c:v>
                </c:pt>
                <c:pt idx="30">
                  <c:v>430</c:v>
                </c:pt>
                <c:pt idx="31">
                  <c:v>416</c:v>
                </c:pt>
                <c:pt idx="32">
                  <c:v>340</c:v>
                </c:pt>
                <c:pt idx="33">
                  <c:v>447</c:v>
                </c:pt>
                <c:pt idx="34">
                  <c:v>376</c:v>
                </c:pt>
                <c:pt idx="35">
                  <c:v>403</c:v>
                </c:pt>
                <c:pt idx="36">
                  <c:v>405</c:v>
                </c:pt>
              </c:numCache>
            </c:numRef>
          </c:val>
        </c:ser>
        <c:ser>
          <c:idx val="3"/>
          <c:order val="3"/>
          <c:tx>
            <c:strRef>
              <c:f>Worksheet!$B$106</c:f>
              <c:strCache>
                <c:ptCount val="1"/>
                <c:pt idx="0">
                  <c:v>Asia-Pac (Gt China pre 2018)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Worksheet!$C$106:$AT$106</c:f>
              <c:numCache>
                <c:formatCode>#,##0;[Red]\-#,##0</c:formatCode>
                <c:ptCount val="37"/>
                <c:pt idx="0">
                  <c:v>414</c:v>
                </c:pt>
                <c:pt idx="1">
                  <c:v>380</c:v>
                </c:pt>
                <c:pt idx="2">
                  <c:v>794</c:v>
                </c:pt>
                <c:pt idx="3">
                  <c:v>510</c:v>
                </c:pt>
                <c:pt idx="4">
                  <c:v>1304</c:v>
                </c:pt>
                <c:pt idx="5">
                  <c:v>482</c:v>
                </c:pt>
                <c:pt idx="6">
                  <c:v>992</c:v>
                </c:pt>
                <c:pt idx="7">
                  <c:v>1786</c:v>
                </c:pt>
                <c:pt idx="8">
                  <c:v>597</c:v>
                </c:pt>
                <c:pt idx="9">
                  <c:v>564</c:v>
                </c:pt>
                <c:pt idx="10">
                  <c:v>1161</c:v>
                </c:pt>
                <c:pt idx="11">
                  <c:v>691</c:v>
                </c:pt>
                <c:pt idx="12">
                  <c:v>1852</c:v>
                </c:pt>
                <c:pt idx="13">
                  <c:v>617</c:v>
                </c:pt>
                <c:pt idx="14">
                  <c:v>1308</c:v>
                </c:pt>
                <c:pt idx="15">
                  <c:v>2469</c:v>
                </c:pt>
                <c:pt idx="16">
                  <c:v>762</c:v>
                </c:pt>
                <c:pt idx="17">
                  <c:v>685</c:v>
                </c:pt>
                <c:pt idx="18">
                  <c:v>1447</c:v>
                </c:pt>
                <c:pt idx="19">
                  <c:v>822</c:v>
                </c:pt>
                <c:pt idx="20">
                  <c:v>2269</c:v>
                </c:pt>
                <c:pt idx="21">
                  <c:v>741</c:v>
                </c:pt>
                <c:pt idx="22">
                  <c:v>1563</c:v>
                </c:pt>
                <c:pt idx="23">
                  <c:v>3010</c:v>
                </c:pt>
                <c:pt idx="24">
                  <c:v>990</c:v>
                </c:pt>
                <c:pt idx="25">
                  <c:v>865</c:v>
                </c:pt>
                <c:pt idx="26">
                  <c:v>1855</c:v>
                </c:pt>
                <c:pt idx="27">
                  <c:v>1012</c:v>
                </c:pt>
                <c:pt idx="28">
                  <c:v>2867</c:v>
                </c:pt>
                <c:pt idx="29">
                  <c:v>922</c:v>
                </c:pt>
                <c:pt idx="30">
                  <c:v>1856</c:v>
                </c:pt>
                <c:pt idx="31">
                  <c:v>1726</c:v>
                </c:pt>
                <c:pt idx="32">
                  <c:v>1894</c:v>
                </c:pt>
                <c:pt idx="33">
                  <c:v>1665</c:v>
                </c:pt>
                <c:pt idx="34">
                  <c:v>2138</c:v>
                </c:pt>
                <c:pt idx="35">
                  <c:v>1872.58</c:v>
                </c:pt>
                <c:pt idx="36">
                  <c:v>2090</c:v>
                </c:pt>
              </c:numCache>
            </c:numRef>
          </c:val>
        </c:ser>
        <c:ser>
          <c:idx val="4"/>
          <c:order val="4"/>
          <c:tx>
            <c:strRef>
              <c:f>Worksheet!$B$107</c:f>
              <c:strCache>
                <c:ptCount val="1"/>
                <c:pt idx="0">
                  <c:v>Japan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Worksheet!$C$107:$AT$107</c:f>
              <c:numCache>
                <c:formatCode>#,##0;[Red]\-#,##0</c:formatCode>
                <c:ptCount val="37"/>
                <c:pt idx="0">
                  <c:v>139</c:v>
                </c:pt>
                <c:pt idx="1">
                  <c:v>181</c:v>
                </c:pt>
                <c:pt idx="2">
                  <c:v>320</c:v>
                </c:pt>
                <c:pt idx="3">
                  <c:v>173</c:v>
                </c:pt>
                <c:pt idx="4">
                  <c:v>493</c:v>
                </c:pt>
                <c:pt idx="5">
                  <c:v>251</c:v>
                </c:pt>
                <c:pt idx="6">
                  <c:v>424</c:v>
                </c:pt>
                <c:pt idx="7">
                  <c:v>744</c:v>
                </c:pt>
                <c:pt idx="8">
                  <c:v>155</c:v>
                </c:pt>
                <c:pt idx="9">
                  <c:v>178</c:v>
                </c:pt>
                <c:pt idx="10">
                  <c:v>333</c:v>
                </c:pt>
                <c:pt idx="11">
                  <c:v>186</c:v>
                </c:pt>
                <c:pt idx="12">
                  <c:v>519</c:v>
                </c:pt>
                <c:pt idx="13">
                  <c:v>257</c:v>
                </c:pt>
                <c:pt idx="14">
                  <c:v>443</c:v>
                </c:pt>
                <c:pt idx="15">
                  <c:v>776</c:v>
                </c:pt>
                <c:pt idx="16">
                  <c:v>236</c:v>
                </c:pt>
                <c:pt idx="17">
                  <c:v>236</c:v>
                </c:pt>
                <c:pt idx="18">
                  <c:v>472</c:v>
                </c:pt>
                <c:pt idx="19">
                  <c:v>264</c:v>
                </c:pt>
                <c:pt idx="20">
                  <c:v>736</c:v>
                </c:pt>
                <c:pt idx="21">
                  <c:v>271</c:v>
                </c:pt>
                <c:pt idx="22">
                  <c:v>535</c:v>
                </c:pt>
                <c:pt idx="23">
                  <c:v>1007</c:v>
                </c:pt>
                <c:pt idx="24">
                  <c:v>301</c:v>
                </c:pt>
                <c:pt idx="25">
                  <c:v>261</c:v>
                </c:pt>
                <c:pt idx="26">
                  <c:v>562</c:v>
                </c:pt>
                <c:pt idx="27">
                  <c:v>243</c:v>
                </c:pt>
                <c:pt idx="28">
                  <c:v>805</c:v>
                </c:pt>
                <c:pt idx="29">
                  <c:v>251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ser>
          <c:idx val="5"/>
          <c:order val="5"/>
          <c:tx>
            <c:strRef>
              <c:f>Worksheet!$B$108</c:f>
              <c:strCache>
                <c:ptCount val="1"/>
                <c:pt idx="0">
                  <c:v>Russia/ CIS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Worksheet!$C$108:$AT$108</c:f>
              <c:numCache>
                <c:formatCode>#,##0;[Red]\-#,##0</c:formatCode>
                <c:ptCount val="37"/>
                <c:pt idx="0">
                  <c:v>245</c:v>
                </c:pt>
                <c:pt idx="1">
                  <c:v>294</c:v>
                </c:pt>
                <c:pt idx="2">
                  <c:v>539</c:v>
                </c:pt>
                <c:pt idx="3">
                  <c:v>296</c:v>
                </c:pt>
                <c:pt idx="4">
                  <c:v>835</c:v>
                </c:pt>
                <c:pt idx="5">
                  <c:v>263</c:v>
                </c:pt>
                <c:pt idx="6">
                  <c:v>559</c:v>
                </c:pt>
                <c:pt idx="7">
                  <c:v>1098</c:v>
                </c:pt>
                <c:pt idx="8">
                  <c:v>162</c:v>
                </c:pt>
                <c:pt idx="9">
                  <c:v>204</c:v>
                </c:pt>
                <c:pt idx="10">
                  <c:v>366</c:v>
                </c:pt>
                <c:pt idx="11">
                  <c:v>195</c:v>
                </c:pt>
                <c:pt idx="12">
                  <c:v>561</c:v>
                </c:pt>
                <c:pt idx="13">
                  <c:v>178</c:v>
                </c:pt>
                <c:pt idx="14">
                  <c:v>373</c:v>
                </c:pt>
                <c:pt idx="15">
                  <c:v>739</c:v>
                </c:pt>
                <c:pt idx="16">
                  <c:v>138</c:v>
                </c:pt>
                <c:pt idx="17">
                  <c:v>172</c:v>
                </c:pt>
                <c:pt idx="18">
                  <c:v>310</c:v>
                </c:pt>
                <c:pt idx="19">
                  <c:v>195</c:v>
                </c:pt>
                <c:pt idx="20">
                  <c:v>505</c:v>
                </c:pt>
                <c:pt idx="21">
                  <c:v>174</c:v>
                </c:pt>
                <c:pt idx="22">
                  <c:v>369</c:v>
                </c:pt>
                <c:pt idx="23">
                  <c:v>679</c:v>
                </c:pt>
                <c:pt idx="24">
                  <c:v>160</c:v>
                </c:pt>
                <c:pt idx="25">
                  <c:v>181</c:v>
                </c:pt>
                <c:pt idx="26">
                  <c:v>341</c:v>
                </c:pt>
                <c:pt idx="27">
                  <c:v>173</c:v>
                </c:pt>
                <c:pt idx="28">
                  <c:v>514</c:v>
                </c:pt>
                <c:pt idx="29">
                  <c:v>146</c:v>
                </c:pt>
                <c:pt idx="30">
                  <c:v>119</c:v>
                </c:pt>
                <c:pt idx="31">
                  <c:v>177</c:v>
                </c:pt>
                <c:pt idx="32">
                  <c:v>166</c:v>
                </c:pt>
                <c:pt idx="33">
                  <c:v>132</c:v>
                </c:pt>
                <c:pt idx="34">
                  <c:v>136</c:v>
                </c:pt>
                <c:pt idx="35">
                  <c:v>171</c:v>
                </c:pt>
                <c:pt idx="36">
                  <c:v>199</c:v>
                </c:pt>
              </c:numCache>
            </c:numRef>
          </c:val>
        </c:ser>
        <c:ser>
          <c:idx val="6"/>
          <c:order val="6"/>
          <c:tx>
            <c:strRef>
              <c:f>Worksheet!$B$109</c:f>
              <c:strCache>
                <c:ptCount val="1"/>
                <c:pt idx="0">
                  <c:v>EM (MEAA pre 2018)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Worksheet!$C$109:$AT$109</c:f>
              <c:numCache>
                <c:formatCode>#,##0;[Red]\-#,##0</c:formatCode>
                <c:ptCount val="37"/>
                <c:pt idx="0">
                  <c:v>503</c:v>
                </c:pt>
                <c:pt idx="1">
                  <c:v>409</c:v>
                </c:pt>
                <c:pt idx="2">
                  <c:v>912</c:v>
                </c:pt>
                <c:pt idx="3">
                  <c:v>561</c:v>
                </c:pt>
                <c:pt idx="4">
                  <c:v>1473</c:v>
                </c:pt>
                <c:pt idx="5">
                  <c:v>452</c:v>
                </c:pt>
                <c:pt idx="6">
                  <c:v>1013</c:v>
                </c:pt>
                <c:pt idx="7">
                  <c:v>1925</c:v>
                </c:pt>
                <c:pt idx="8">
                  <c:v>635</c:v>
                </c:pt>
                <c:pt idx="9">
                  <c:v>536</c:v>
                </c:pt>
                <c:pt idx="10">
                  <c:v>1171</c:v>
                </c:pt>
                <c:pt idx="11">
                  <c:v>674</c:v>
                </c:pt>
                <c:pt idx="12">
                  <c:v>1845</c:v>
                </c:pt>
                <c:pt idx="13">
                  <c:v>543</c:v>
                </c:pt>
                <c:pt idx="14">
                  <c:v>1217</c:v>
                </c:pt>
                <c:pt idx="15">
                  <c:v>2388</c:v>
                </c:pt>
                <c:pt idx="16">
                  <c:v>701</c:v>
                </c:pt>
                <c:pt idx="17">
                  <c:v>572</c:v>
                </c:pt>
                <c:pt idx="18">
                  <c:v>1273</c:v>
                </c:pt>
                <c:pt idx="19">
                  <c:v>794</c:v>
                </c:pt>
                <c:pt idx="20">
                  <c:v>2067</c:v>
                </c:pt>
                <c:pt idx="21">
                  <c:v>618</c:v>
                </c:pt>
                <c:pt idx="22">
                  <c:v>1412</c:v>
                </c:pt>
                <c:pt idx="23">
                  <c:v>2685</c:v>
                </c:pt>
                <c:pt idx="24">
                  <c:v>833</c:v>
                </c:pt>
                <c:pt idx="25">
                  <c:v>657</c:v>
                </c:pt>
                <c:pt idx="26">
                  <c:v>1490</c:v>
                </c:pt>
                <c:pt idx="27">
                  <c:v>801</c:v>
                </c:pt>
                <c:pt idx="28">
                  <c:v>2291</c:v>
                </c:pt>
                <c:pt idx="29">
                  <c:v>616</c:v>
                </c:pt>
                <c:pt idx="30">
                  <c:v>308</c:v>
                </c:pt>
                <c:pt idx="31">
                  <c:v>251</c:v>
                </c:pt>
                <c:pt idx="32">
                  <c:v>329</c:v>
                </c:pt>
                <c:pt idx="33">
                  <c:v>256</c:v>
                </c:pt>
                <c:pt idx="34">
                  <c:v>330</c:v>
                </c:pt>
                <c:pt idx="35">
                  <c:v>281</c:v>
                </c:pt>
                <c:pt idx="36">
                  <c:v>388</c:v>
                </c:pt>
              </c:numCache>
            </c:numRef>
          </c:val>
        </c:ser>
        <c:ser>
          <c:idx val="7"/>
          <c:order val="7"/>
          <c:tx>
            <c:strRef>
              <c:f>Worksheet!$B$110</c:f>
              <c:strCache>
                <c:ptCount val="1"/>
                <c:pt idx="0">
                  <c:v>Other Businesses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Worksheet!$C$102:$AT$102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Worksheet!$C$110:$AT$110</c:f>
              <c:numCache>
                <c:formatCode>#,##0;[Red]\-#,##0</c:formatCode>
                <c:ptCount val="37"/>
                <c:pt idx="0">
                  <c:v>333</c:v>
                </c:pt>
                <c:pt idx="1">
                  <c:v>369</c:v>
                </c:pt>
                <c:pt idx="2">
                  <c:v>702</c:v>
                </c:pt>
                <c:pt idx="3">
                  <c:v>290</c:v>
                </c:pt>
                <c:pt idx="4">
                  <c:v>992</c:v>
                </c:pt>
                <c:pt idx="5">
                  <c:v>366</c:v>
                </c:pt>
                <c:pt idx="6">
                  <c:v>656</c:v>
                </c:pt>
                <c:pt idx="7">
                  <c:v>1358</c:v>
                </c:pt>
                <c:pt idx="8">
                  <c:v>377</c:v>
                </c:pt>
                <c:pt idx="9">
                  <c:v>365</c:v>
                </c:pt>
                <c:pt idx="10">
                  <c:v>742</c:v>
                </c:pt>
                <c:pt idx="11">
                  <c:v>342</c:v>
                </c:pt>
                <c:pt idx="12">
                  <c:v>1084</c:v>
                </c:pt>
                <c:pt idx="13">
                  <c:v>383</c:v>
                </c:pt>
                <c:pt idx="14">
                  <c:v>725</c:v>
                </c:pt>
                <c:pt idx="15">
                  <c:v>1467</c:v>
                </c:pt>
                <c:pt idx="16">
                  <c:v>396</c:v>
                </c:pt>
                <c:pt idx="17">
                  <c:v>377</c:v>
                </c:pt>
                <c:pt idx="18">
                  <c:v>773</c:v>
                </c:pt>
                <c:pt idx="19">
                  <c:v>366</c:v>
                </c:pt>
                <c:pt idx="20">
                  <c:v>1139</c:v>
                </c:pt>
                <c:pt idx="21">
                  <c:v>336</c:v>
                </c:pt>
                <c:pt idx="22">
                  <c:v>702</c:v>
                </c:pt>
                <c:pt idx="23">
                  <c:v>1475</c:v>
                </c:pt>
                <c:pt idx="24">
                  <c:v>197</c:v>
                </c:pt>
                <c:pt idx="25">
                  <c:v>198</c:v>
                </c:pt>
                <c:pt idx="26">
                  <c:v>395</c:v>
                </c:pt>
                <c:pt idx="27">
                  <c:v>192</c:v>
                </c:pt>
                <c:pt idx="28">
                  <c:v>587</c:v>
                </c:pt>
                <c:pt idx="29">
                  <c:v>154</c:v>
                </c:pt>
                <c:pt idx="30">
                  <c:v>190</c:v>
                </c:pt>
                <c:pt idx="31">
                  <c:v>189</c:v>
                </c:pt>
                <c:pt idx="32">
                  <c:v>230</c:v>
                </c:pt>
                <c:pt idx="33">
                  <c:v>220</c:v>
                </c:pt>
                <c:pt idx="34">
                  <c:v>195</c:v>
                </c:pt>
                <c:pt idx="35">
                  <c:v>147</c:v>
                </c:pt>
                <c:pt idx="36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544704"/>
        <c:axId val="889546240"/>
      </c:barChart>
      <c:catAx>
        <c:axId val="889544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9546240"/>
        <c:crosses val="autoZero"/>
        <c:auto val="1"/>
        <c:lblAlgn val="ctr"/>
        <c:lblOffset val="100"/>
        <c:noMultiLvlLbl val="0"/>
      </c:catAx>
      <c:valAx>
        <c:axId val="889546240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954470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034c1c-1cd0-4338-9579-33906cddf84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Worksheet!$B$113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Worksheet!$C$113:$AT$113</c:f>
              <c:numCache>
                <c:formatCode>0%</c:formatCode>
                <c:ptCount val="37"/>
                <c:pt idx="0">
                  <c:v>0.290433783395576</c:v>
                </c:pt>
                <c:pt idx="1">
                  <c:v>0.246321365509123</c:v>
                </c:pt>
                <c:pt idx="2">
                  <c:v>0.268643698211949</c:v>
                </c:pt>
                <c:pt idx="3">
                  <c:v>0.289070227497527</c:v>
                </c:pt>
                <c:pt idx="4">
                  <c:v>0.276206170465989</c:v>
                </c:pt>
                <c:pt idx="5">
                  <c:v>0.214958448753463</c:v>
                </c:pt>
                <c:pt idx="6">
                  <c:v>0.254115495165926</c:v>
                </c:pt>
                <c:pt idx="7">
                  <c:v>0.260992224592307</c:v>
                </c:pt>
                <c:pt idx="8">
                  <c:v>0.279941219691403</c:v>
                </c:pt>
                <c:pt idx="9">
                  <c:v>0.245968773995393</c:v>
                </c:pt>
                <c:pt idx="10">
                  <c:v>0.263329161451815</c:v>
                </c:pt>
                <c:pt idx="11">
                  <c:v>0.295143998318268</c:v>
                </c:pt>
                <c:pt idx="12">
                  <c:v>0.275202008315682</c:v>
                </c:pt>
                <c:pt idx="13">
                  <c:v>0.24736084452975</c:v>
                </c:pt>
                <c:pt idx="14">
                  <c:v>0.272829131652661</c:v>
                </c:pt>
                <c:pt idx="15">
                  <c:v>0.268341708542714</c:v>
                </c:pt>
                <c:pt idx="16">
                  <c:v>0.296498217655693</c:v>
                </c:pt>
                <c:pt idx="17">
                  <c:v>0.274474338684151</c:v>
                </c:pt>
                <c:pt idx="18">
                  <c:v>0.285900783289817</c:v>
                </c:pt>
                <c:pt idx="19">
                  <c:v>0.287694013303769</c:v>
                </c:pt>
                <c:pt idx="20">
                  <c:v>0.286565324568611</c:v>
                </c:pt>
                <c:pt idx="21">
                  <c:v>0.236022193768673</c:v>
                </c:pt>
                <c:pt idx="22">
                  <c:v>0.263715587244999</c:v>
                </c:pt>
                <c:pt idx="23">
                  <c:v>0.274287195438051</c:v>
                </c:pt>
                <c:pt idx="24">
                  <c:v>0.279654792508263</c:v>
                </c:pt>
                <c:pt idx="25">
                  <c:v>0.282056371576022</c:v>
                </c:pt>
                <c:pt idx="26">
                  <c:v>0.280808851583365</c:v>
                </c:pt>
                <c:pt idx="27">
                  <c:v>0.291651990137372</c:v>
                </c:pt>
                <c:pt idx="28">
                  <c:v>0.284618240316793</c:v>
                </c:pt>
                <c:pt idx="29">
                  <c:v>0.253757911392405</c:v>
                </c:pt>
                <c:pt idx="30">
                  <c:v>0.289037143887486</c:v>
                </c:pt>
                <c:pt idx="31">
                  <c:v>0.269910663371982</c:v>
                </c:pt>
                <c:pt idx="32">
                  <c:v>0.280095351609058</c:v>
                </c:pt>
                <c:pt idx="33">
                  <c:v>0.232371488629849</c:v>
                </c:pt>
                <c:pt idx="34">
                  <c:v>0.263640999490056</c:v>
                </c:pt>
                <c:pt idx="35">
                  <c:v>0.258017789072427</c:v>
                </c:pt>
                <c:pt idx="36">
                  <c:v>0.264898595943838</c:v>
                </c:pt>
              </c:numCache>
            </c:numRef>
          </c:val>
        </c:ser>
        <c:ser>
          <c:idx val="1"/>
          <c:order val="1"/>
          <c:tx>
            <c:strRef>
              <c:f>Worksheet!$B$114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Worksheet!$C$114:$AT$114</c:f>
              <c:numCache>
                <c:formatCode>0%</c:formatCode>
                <c:ptCount val="37"/>
                <c:pt idx="0">
                  <c:v>0.132720482619937</c:v>
                </c:pt>
                <c:pt idx="1">
                  <c:v>0.155385520894644</c:v>
                </c:pt>
                <c:pt idx="2">
                  <c:v>0.143916266899259</c:v>
                </c:pt>
                <c:pt idx="3">
                  <c:v>0.153066271018793</c:v>
                </c:pt>
                <c:pt idx="4">
                  <c:v>0.147303854252495</c:v>
                </c:pt>
                <c:pt idx="5">
                  <c:v>0.168421052631579</c:v>
                </c:pt>
                <c:pt idx="6">
                  <c:v>0.160308335510844</c:v>
                </c:pt>
                <c:pt idx="7">
                  <c:v>0.152549370398404</c:v>
                </c:pt>
                <c:pt idx="8">
                  <c:v>0.144746509919177</c:v>
                </c:pt>
                <c:pt idx="9">
                  <c:v>0.164576401330944</c:v>
                </c:pt>
                <c:pt idx="10">
                  <c:v>0.154443053817272</c:v>
                </c:pt>
                <c:pt idx="11">
                  <c:v>0.163128021862518</c:v>
                </c:pt>
                <c:pt idx="12">
                  <c:v>0.157684160979054</c:v>
                </c:pt>
                <c:pt idx="13">
                  <c:v>0.178502879078695</c:v>
                </c:pt>
                <c:pt idx="14">
                  <c:v>0.1703081232493</c:v>
                </c:pt>
                <c:pt idx="15">
                  <c:v>0.162814070351759</c:v>
                </c:pt>
                <c:pt idx="16">
                  <c:v>0.152652547703921</c:v>
                </c:pt>
                <c:pt idx="17">
                  <c:v>0.178159620167307</c:v>
                </c:pt>
                <c:pt idx="18">
                  <c:v>0.164926022628372</c:v>
                </c:pt>
                <c:pt idx="19">
                  <c:v>0.171286031042129</c:v>
                </c:pt>
                <c:pt idx="20">
                  <c:v>0.167282936181868</c:v>
                </c:pt>
                <c:pt idx="21">
                  <c:v>0.206786171574904</c:v>
                </c:pt>
                <c:pt idx="22">
                  <c:v>0.187759952465835</c:v>
                </c:pt>
                <c:pt idx="23">
                  <c:v>0.176879212026957</c:v>
                </c:pt>
                <c:pt idx="24">
                  <c:v>0.181417554168197</c:v>
                </c:pt>
                <c:pt idx="25">
                  <c:v>0.201270345375149</c:v>
                </c:pt>
                <c:pt idx="26">
                  <c:v>0.190957649752003</c:v>
                </c:pt>
                <c:pt idx="27">
                  <c:v>0.19355406833392</c:v>
                </c:pt>
                <c:pt idx="28">
                  <c:v>0.19186981809182</c:v>
                </c:pt>
                <c:pt idx="29">
                  <c:v>0.232199367088608</c:v>
                </c:pt>
                <c:pt idx="30">
                  <c:v>0.187522538766679</c:v>
                </c:pt>
                <c:pt idx="31">
                  <c:v>0.205664322372173</c:v>
                </c:pt>
                <c:pt idx="32">
                  <c:v>0.216073556955559</c:v>
                </c:pt>
                <c:pt idx="33">
                  <c:v>0.247850181540225</c:v>
                </c:pt>
                <c:pt idx="34">
                  <c:v>0.196668366479687</c:v>
                </c:pt>
                <c:pt idx="35">
                  <c:v>0.220185151570158</c:v>
                </c:pt>
                <c:pt idx="36">
                  <c:v>0.229017160686428</c:v>
                </c:pt>
              </c:numCache>
            </c:numRef>
          </c:val>
        </c:ser>
        <c:ser>
          <c:idx val="2"/>
          <c:order val="2"/>
          <c:tx>
            <c:strRef>
              <c:f>Worksheet!$B$115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Worksheet!$C$115:$AT$115</c:f>
              <c:numCache>
                <c:formatCode>0%</c:formatCode>
                <c:ptCount val="37"/>
                <c:pt idx="0">
                  <c:v>0.10744039069233</c:v>
                </c:pt>
                <c:pt idx="1">
                  <c:v>0.117716303708064</c:v>
                </c:pt>
                <c:pt idx="2">
                  <c:v>0.112516354121239</c:v>
                </c:pt>
                <c:pt idx="3">
                  <c:v>0.105341246290801</c:v>
                </c:pt>
                <c:pt idx="4">
                  <c:v>0.109859928591046</c:v>
                </c:pt>
                <c:pt idx="5">
                  <c:v>0.114127423822715</c:v>
                </c:pt>
                <c:pt idx="6">
                  <c:v>0.109485236477659</c:v>
                </c:pt>
                <c:pt idx="7">
                  <c:v>0.11091997522879</c:v>
                </c:pt>
                <c:pt idx="8">
                  <c:v>0.103600293901543</c:v>
                </c:pt>
                <c:pt idx="9">
                  <c:v>0.11671359099053</c:v>
                </c:pt>
                <c:pt idx="10">
                  <c:v>0.110012515644556</c:v>
                </c:pt>
                <c:pt idx="11">
                  <c:v>0.102795879756149</c:v>
                </c:pt>
                <c:pt idx="12">
                  <c:v>0.107319369263356</c:v>
                </c:pt>
                <c:pt idx="13">
                  <c:v>0.0995681381957774</c:v>
                </c:pt>
                <c:pt idx="14">
                  <c:v>0.101288515406162</c:v>
                </c:pt>
                <c:pt idx="15">
                  <c:v>0.105409399940881</c:v>
                </c:pt>
                <c:pt idx="16">
                  <c:v>0.0826169008177815</c:v>
                </c:pt>
                <c:pt idx="17">
                  <c:v>0.0856884467555958</c:v>
                </c:pt>
                <c:pt idx="18">
                  <c:v>0.084094865100087</c:v>
                </c:pt>
                <c:pt idx="19">
                  <c:v>0.0899852180339985</c:v>
                </c:pt>
                <c:pt idx="20">
                  <c:v>0.0862777321281841</c:v>
                </c:pt>
                <c:pt idx="21">
                  <c:v>0.100512163892446</c:v>
                </c:pt>
                <c:pt idx="22">
                  <c:v>0.0948702713408596</c:v>
                </c:pt>
                <c:pt idx="23">
                  <c:v>0.0897356143079316</c:v>
                </c:pt>
                <c:pt idx="24">
                  <c:v>0.0833639368343738</c:v>
                </c:pt>
                <c:pt idx="25">
                  <c:v>0.0875347360063517</c:v>
                </c:pt>
                <c:pt idx="26">
                  <c:v>0.0853681800839374</c:v>
                </c:pt>
                <c:pt idx="27">
                  <c:v>0.0884114124691793</c:v>
                </c:pt>
                <c:pt idx="28">
                  <c:v>0.0864373221135998</c:v>
                </c:pt>
                <c:pt idx="29">
                  <c:v>0.100870253164557</c:v>
                </c:pt>
                <c:pt idx="30">
                  <c:v>0.0775333573746845</c:v>
                </c:pt>
                <c:pt idx="31">
                  <c:v>0.0790724196920738</c:v>
                </c:pt>
                <c:pt idx="32">
                  <c:v>0.0578920483568874</c:v>
                </c:pt>
                <c:pt idx="33">
                  <c:v>0.0854194534683738</c:v>
                </c:pt>
                <c:pt idx="34">
                  <c:v>0.0639129695733469</c:v>
                </c:pt>
                <c:pt idx="35">
                  <c:v>0.0731530223271011</c:v>
                </c:pt>
                <c:pt idx="36">
                  <c:v>0.063182527301092</c:v>
                </c:pt>
              </c:numCache>
            </c:numRef>
          </c:val>
        </c:ser>
        <c:ser>
          <c:idx val="3"/>
          <c:order val="3"/>
          <c:tx>
            <c:strRef>
              <c:f>Worksheet!$B$116</c:f>
              <c:strCache>
                <c:ptCount val="1"/>
                <c:pt idx="0">
                  <c:v>Asia-Pac (Gt China pre 2018)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Worksheet!$C$116:$AT$116</c:f>
              <c:numCache>
                <c:formatCode>0%</c:formatCode>
                <c:ptCount val="37"/>
                <c:pt idx="0">
                  <c:v>0.118931341568515</c:v>
                </c:pt>
                <c:pt idx="1">
                  <c:v>0.11183048852266</c:v>
                </c:pt>
                <c:pt idx="2">
                  <c:v>0.115423753452537</c:v>
                </c:pt>
                <c:pt idx="3">
                  <c:v>0.126112759643917</c:v>
                </c:pt>
                <c:pt idx="4">
                  <c:v>0.11938112240227</c:v>
                </c:pt>
                <c:pt idx="5">
                  <c:v>0.133518005540166</c:v>
                </c:pt>
                <c:pt idx="6">
                  <c:v>0.129605435066632</c:v>
                </c:pt>
                <c:pt idx="7">
                  <c:v>0.122892726897406</c:v>
                </c:pt>
                <c:pt idx="8">
                  <c:v>0.146216017634093</c:v>
                </c:pt>
                <c:pt idx="9">
                  <c:v>0.14435628359355</c:v>
                </c:pt>
                <c:pt idx="10">
                  <c:v>0.145306633291615</c:v>
                </c:pt>
                <c:pt idx="11">
                  <c:v>0.145259617405928</c:v>
                </c:pt>
                <c:pt idx="12">
                  <c:v>0.145289087628462</c:v>
                </c:pt>
                <c:pt idx="13">
                  <c:v>0.148032629558541</c:v>
                </c:pt>
                <c:pt idx="14">
                  <c:v>0.146554621848739</c:v>
                </c:pt>
                <c:pt idx="15">
                  <c:v>0.145965119716228</c:v>
                </c:pt>
                <c:pt idx="16">
                  <c:v>0.159781924931852</c:v>
                </c:pt>
                <c:pt idx="17">
                  <c:v>0.154872258647976</c:v>
                </c:pt>
                <c:pt idx="18">
                  <c:v>0.157419495213229</c:v>
                </c:pt>
                <c:pt idx="19">
                  <c:v>0.151884700665188</c:v>
                </c:pt>
                <c:pt idx="20">
                  <c:v>0.155368392221309</c:v>
                </c:pt>
                <c:pt idx="21">
                  <c:v>0.158130601792574</c:v>
                </c:pt>
                <c:pt idx="22">
                  <c:v>0.154783125371361</c:v>
                </c:pt>
                <c:pt idx="23">
                  <c:v>0.156039398652151</c:v>
                </c:pt>
                <c:pt idx="24">
                  <c:v>0.181784796180683</c:v>
                </c:pt>
                <c:pt idx="25">
                  <c:v>0.171695117109964</c:v>
                </c:pt>
                <c:pt idx="26">
                  <c:v>0.176936283861122</c:v>
                </c:pt>
                <c:pt idx="27">
                  <c:v>0.178231771750616</c:v>
                </c:pt>
                <c:pt idx="28">
                  <c:v>0.177391411953966</c:v>
                </c:pt>
                <c:pt idx="29">
                  <c:v>0.182357594936709</c:v>
                </c:pt>
                <c:pt idx="30">
                  <c:v>0.33465560764515</c:v>
                </c:pt>
                <c:pt idx="31">
                  <c:v>0.328074510549325</c:v>
                </c:pt>
                <c:pt idx="32">
                  <c:v>0.322492763493956</c:v>
                </c:pt>
                <c:pt idx="33">
                  <c:v>0.318173132046627</c:v>
                </c:pt>
                <c:pt idx="34">
                  <c:v>0.363420023797383</c:v>
                </c:pt>
                <c:pt idx="35">
                  <c:v>0.339912869849337</c:v>
                </c:pt>
                <c:pt idx="36">
                  <c:v>0.326053042121685</c:v>
                </c:pt>
              </c:numCache>
            </c:numRef>
          </c:val>
        </c:ser>
        <c:ser>
          <c:idx val="4"/>
          <c:order val="4"/>
          <c:tx>
            <c:strRef>
              <c:f>Worksheet!$B$117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Worksheet!$C$117:$AT$117</c:f>
              <c:numCache>
                <c:formatCode>0%</c:formatCode>
                <c:ptCount val="37"/>
                <c:pt idx="0">
                  <c:v>0.0399310542947429</c:v>
                </c:pt>
                <c:pt idx="1">
                  <c:v>0.0532666274278988</c:v>
                </c:pt>
                <c:pt idx="2">
                  <c:v>0.0465183893007705</c:v>
                </c:pt>
                <c:pt idx="3">
                  <c:v>0.0427794263105836</c:v>
                </c:pt>
                <c:pt idx="4">
                  <c:v>0.0451341206628216</c:v>
                </c:pt>
                <c:pt idx="5">
                  <c:v>0.0695290858725762</c:v>
                </c:pt>
                <c:pt idx="6">
                  <c:v>0.0553958714397701</c:v>
                </c:pt>
                <c:pt idx="7">
                  <c:v>0.0511938347209798</c:v>
                </c:pt>
                <c:pt idx="8">
                  <c:v>0.0379622826353172</c:v>
                </c:pt>
                <c:pt idx="9">
                  <c:v>0.0455592526234963</c:v>
                </c:pt>
                <c:pt idx="10">
                  <c:v>0.0416770963704631</c:v>
                </c:pt>
                <c:pt idx="11">
                  <c:v>0.0391002732814799</c:v>
                </c:pt>
                <c:pt idx="12">
                  <c:v>0.0407154624617557</c:v>
                </c:pt>
                <c:pt idx="13">
                  <c:v>0.0616602687140115</c:v>
                </c:pt>
                <c:pt idx="14">
                  <c:v>0.0496358543417367</c:v>
                </c:pt>
                <c:pt idx="15">
                  <c:v>0.0458764410286728</c:v>
                </c:pt>
                <c:pt idx="16">
                  <c:v>0.049486265464458</c:v>
                </c:pt>
                <c:pt idx="17">
                  <c:v>0.0533574496947773</c:v>
                </c:pt>
                <c:pt idx="18">
                  <c:v>0.051348999129678</c:v>
                </c:pt>
                <c:pt idx="19">
                  <c:v>0.0487804878048781</c:v>
                </c:pt>
                <c:pt idx="20">
                  <c:v>0.050397151465352</c:v>
                </c:pt>
                <c:pt idx="21">
                  <c:v>0.0578318395219804</c:v>
                </c:pt>
                <c:pt idx="22">
                  <c:v>0.0529807882749059</c:v>
                </c:pt>
                <c:pt idx="23">
                  <c:v>0.0522032141005702</c:v>
                </c:pt>
                <c:pt idx="24">
                  <c:v>0.0552699228791774</c:v>
                </c:pt>
                <c:pt idx="25">
                  <c:v>0.0518062723302898</c:v>
                </c:pt>
                <c:pt idx="26">
                  <c:v>0.0536054940862266</c:v>
                </c:pt>
                <c:pt idx="27">
                  <c:v>0.0427967594223318</c:v>
                </c:pt>
                <c:pt idx="28">
                  <c:v>0.0498081920554387</c:v>
                </c:pt>
                <c:pt idx="29">
                  <c:v>0.0496439873417721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ser>
          <c:idx val="5"/>
          <c:order val="5"/>
          <c:tx>
            <c:strRef>
              <c:f>Worksheet!$B$118</c:f>
              <c:strCache>
                <c:ptCount val="1"/>
                <c:pt idx="0">
                  <c:v>Russia/ CIS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Worksheet!$C$118:$AT$118</c:f>
              <c:numCache>
                <c:formatCode>0%</c:formatCode>
                <c:ptCount val="37"/>
                <c:pt idx="0">
                  <c:v>0.0703820741166332</c:v>
                </c:pt>
                <c:pt idx="1">
                  <c:v>0.0865214832254267</c:v>
                </c:pt>
                <c:pt idx="2">
                  <c:v>0.0783544119784852</c:v>
                </c:pt>
                <c:pt idx="3">
                  <c:v>0.0731948565776459</c:v>
                </c:pt>
                <c:pt idx="4">
                  <c:v>0.0764442003112698</c:v>
                </c:pt>
                <c:pt idx="5">
                  <c:v>0.0728531855955679</c:v>
                </c:pt>
                <c:pt idx="6">
                  <c:v>0.0730337078651685</c:v>
                </c:pt>
                <c:pt idx="7">
                  <c:v>0.0755521915640267</c:v>
                </c:pt>
                <c:pt idx="8">
                  <c:v>0.0396767083027186</c:v>
                </c:pt>
                <c:pt idx="9">
                  <c:v>0.052213974916816</c:v>
                </c:pt>
                <c:pt idx="10">
                  <c:v>0.0458072590738423</c:v>
                </c:pt>
                <c:pt idx="11">
                  <c:v>0.0409922219886483</c:v>
                </c:pt>
                <c:pt idx="12">
                  <c:v>0.0440103553777359</c:v>
                </c:pt>
                <c:pt idx="13">
                  <c:v>0.0427063339731286</c:v>
                </c:pt>
                <c:pt idx="14">
                  <c:v>0.0417927170868347</c:v>
                </c:pt>
                <c:pt idx="15">
                  <c:v>0.0436890334023056</c:v>
                </c:pt>
                <c:pt idx="16">
                  <c:v>0.0289368840427763</c:v>
                </c:pt>
                <c:pt idx="17">
                  <c:v>0.038887632828397</c:v>
                </c:pt>
                <c:pt idx="18">
                  <c:v>0.0337249782419495</c:v>
                </c:pt>
                <c:pt idx="19">
                  <c:v>0.0360310421286031</c:v>
                </c:pt>
                <c:pt idx="20">
                  <c:v>0.0345795672418515</c:v>
                </c:pt>
                <c:pt idx="21">
                  <c:v>0.0371318822023047</c:v>
                </c:pt>
                <c:pt idx="22">
                  <c:v>0.036541889483066</c:v>
                </c:pt>
                <c:pt idx="23">
                  <c:v>0.0351995852773458</c:v>
                </c:pt>
                <c:pt idx="24">
                  <c:v>0.0293793609988983</c:v>
                </c:pt>
                <c:pt idx="25">
                  <c:v>0.0359269551409289</c:v>
                </c:pt>
                <c:pt idx="26">
                  <c:v>0.0325257535291873</c:v>
                </c:pt>
                <c:pt idx="27">
                  <c:v>0.0304684748150757</c:v>
                </c:pt>
                <c:pt idx="28">
                  <c:v>0.0318029946788764</c:v>
                </c:pt>
                <c:pt idx="29">
                  <c:v>0.028876582278481</c:v>
                </c:pt>
                <c:pt idx="30">
                  <c:v>0.0214569058781104</c:v>
                </c:pt>
                <c:pt idx="31">
                  <c:v>0.0336437939555218</c:v>
                </c:pt>
                <c:pt idx="32">
                  <c:v>0.028264941256598</c:v>
                </c:pt>
                <c:pt idx="33">
                  <c:v>0.0252245365946876</c:v>
                </c:pt>
                <c:pt idx="34">
                  <c:v>0.0231174570797212</c:v>
                </c:pt>
                <c:pt idx="35">
                  <c:v>0.0310401161735342</c:v>
                </c:pt>
                <c:pt idx="36">
                  <c:v>0.0310452418096724</c:v>
                </c:pt>
              </c:numCache>
            </c:numRef>
          </c:val>
        </c:ser>
        <c:ser>
          <c:idx val="6"/>
          <c:order val="6"/>
          <c:tx>
            <c:strRef>
              <c:f>Worksheet!$B$119</c:f>
              <c:strCache>
                <c:ptCount val="1"/>
                <c:pt idx="0">
                  <c:v>EM (MEAA pre 2018)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Worksheet!$C$119:$AT$119</c:f>
              <c:numCache>
                <c:formatCode>0%</c:formatCode>
                <c:ptCount val="37"/>
                <c:pt idx="0">
                  <c:v>0.144498707268026</c:v>
                </c:pt>
                <c:pt idx="1">
                  <c:v>0.120364920541495</c:v>
                </c:pt>
                <c:pt idx="2">
                  <c:v>0.132577409507196</c:v>
                </c:pt>
                <c:pt idx="3">
                  <c:v>0.138724035608309</c:v>
                </c:pt>
                <c:pt idx="4">
                  <c:v>0.134853062345509</c:v>
                </c:pt>
                <c:pt idx="5">
                  <c:v>0.125207756232687</c:v>
                </c:pt>
                <c:pt idx="6">
                  <c:v>0.132349098510583</c:v>
                </c:pt>
                <c:pt idx="7">
                  <c:v>0.132457166448772</c:v>
                </c:pt>
                <c:pt idx="8">
                  <c:v>0.155522899828557</c:v>
                </c:pt>
                <c:pt idx="9">
                  <c:v>0.13718965958536</c:v>
                </c:pt>
                <c:pt idx="10">
                  <c:v>0.146558197747184</c:v>
                </c:pt>
                <c:pt idx="11">
                  <c:v>0.14168593651461</c:v>
                </c:pt>
                <c:pt idx="12">
                  <c:v>0.144739938809132</c:v>
                </c:pt>
                <c:pt idx="13">
                  <c:v>0.130278310940499</c:v>
                </c:pt>
                <c:pt idx="14">
                  <c:v>0.136358543417367</c:v>
                </c:pt>
                <c:pt idx="15">
                  <c:v>0.141176470588235</c:v>
                </c:pt>
                <c:pt idx="16">
                  <c:v>0.146990983434682</c:v>
                </c:pt>
                <c:pt idx="17">
                  <c:v>0.129323988243274</c:v>
                </c:pt>
                <c:pt idx="18">
                  <c:v>0.13848999129678</c:v>
                </c:pt>
                <c:pt idx="19">
                  <c:v>0.146711012564671</c:v>
                </c:pt>
                <c:pt idx="20">
                  <c:v>0.141536565324569</c:v>
                </c:pt>
                <c:pt idx="21">
                  <c:v>0.131882202304738</c:v>
                </c:pt>
                <c:pt idx="22">
                  <c:v>0.139829669241434</c:v>
                </c:pt>
                <c:pt idx="23">
                  <c:v>0.139191290824261</c:v>
                </c:pt>
                <c:pt idx="24">
                  <c:v>0.152956298200514</c:v>
                </c:pt>
                <c:pt idx="25">
                  <c:v>0.130408892417626</c:v>
                </c:pt>
                <c:pt idx="26">
                  <c:v>0.142121327737505</c:v>
                </c:pt>
                <c:pt idx="27">
                  <c:v>0.141070799577316</c:v>
                </c:pt>
                <c:pt idx="28">
                  <c:v>0.141752258383863</c:v>
                </c:pt>
                <c:pt idx="29">
                  <c:v>0.121835443037975</c:v>
                </c:pt>
                <c:pt idx="30">
                  <c:v>0.0555355210962856</c:v>
                </c:pt>
                <c:pt idx="31">
                  <c:v>0.0477095609199772</c:v>
                </c:pt>
                <c:pt idx="32">
                  <c:v>0.0560190703218117</c:v>
                </c:pt>
                <c:pt idx="33">
                  <c:v>0.0489203133957577</c:v>
                </c:pt>
                <c:pt idx="34">
                  <c:v>0.0560938296787353</c:v>
                </c:pt>
                <c:pt idx="35">
                  <c:v>0.0510074423670358</c:v>
                </c:pt>
                <c:pt idx="36">
                  <c:v>0.0605304212168487</c:v>
                </c:pt>
              </c:numCache>
            </c:numRef>
          </c:val>
        </c:ser>
        <c:ser>
          <c:idx val="7"/>
          <c:order val="7"/>
          <c:tx>
            <c:strRef>
              <c:f>Worksheet!$B$120</c:f>
              <c:strCache>
                <c:ptCount val="1"/>
                <c:pt idx="0">
                  <c:v>Other Businesses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elete val="1"/>
          </c:dLbls>
          <c:cat>
            <c:strRef>
              <c:f>Worksheet!$C$112:$AT$112</c:f>
              <c:strCache>
                <c:ptCount val="37"/>
                <c:pt idx="0" c:formatCode="#,##0.0_);[Red]\(#,##0.0\)">
                  <c:v>1Q14</c:v>
                </c:pt>
                <c:pt idx="1" c:formatCode="#,##0.0_);[Red]\(#,##0.0\)">
                  <c:v>2Q14</c:v>
                </c:pt>
                <c:pt idx="2" c:formatCode="#,##0.0_);[Red]\(#,##0.0\)">
                  <c:v>1H14</c:v>
                </c:pt>
                <c:pt idx="3" c:formatCode="#,##0.0_);[Red]\(#,##0.0\)">
                  <c:v>3Q14</c:v>
                </c:pt>
                <c:pt idx="4" c:formatCode="#,##0.0_);[Red]\(#,##0.0\)">
                  <c:v>9M14</c:v>
                </c:pt>
                <c:pt idx="5" c:formatCode="#,##0.0_);[Red]\(#,##0.0\)">
                  <c:v>4Q14</c:v>
                </c:pt>
                <c:pt idx="6" c:formatCode="#,##0.0_);[Red]\(#,##0.0\)">
                  <c:v>2H14</c:v>
                </c:pt>
                <c:pt idx="7" c:formatCode="#,##0.0_);[Red]\(#,##0.0\)">
                  <c:v>FY14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1H15</c:v>
                </c:pt>
                <c:pt idx="11" c:formatCode="#,##0.0_);[Red]\(#,##0.0\)">
                  <c:v>3Q15</c:v>
                </c:pt>
                <c:pt idx="12" c:formatCode="#,##0.0_);[Red]\(#,##0.0\)">
                  <c:v>9M15</c:v>
                </c:pt>
                <c:pt idx="13" c:formatCode="#,##0.0_);[Red]\(#,##0.0\)">
                  <c:v>4Q15</c:v>
                </c:pt>
                <c:pt idx="14" c:formatCode="#,##0.0_);[Red]\(#,##0.0\)">
                  <c:v>2H15</c:v>
                </c:pt>
                <c:pt idx="15" c:formatCode="#,##0.0_);[Red]\(#,##0.0\)">
                  <c:v>FY15</c:v>
                </c:pt>
                <c:pt idx="16" c:formatCode="#,##0.0_);[Red]\(#,##0.0\)">
                  <c:v>1Q16</c:v>
                </c:pt>
                <c:pt idx="17" c:formatCode="#,##0.0_);[Red]\(#,##0.0\)">
                  <c:v>2Q16</c:v>
                </c:pt>
                <c:pt idx="18" c:formatCode="#,##0.0_);[Red]\(#,##0.0\)">
                  <c:v>1H16</c:v>
                </c:pt>
                <c:pt idx="19" c:formatCode="#,##0.0_);[Red]\(#,##0.0\)">
                  <c:v>3Q16</c:v>
                </c:pt>
                <c:pt idx="20" c:formatCode="#,##0.0_);[Red]\(#,##0.0\)">
                  <c:v>9M16</c:v>
                </c:pt>
                <c:pt idx="21" c:formatCode="#,##0.0_);[Red]\(#,##0.0\)">
                  <c:v>4Q16</c:v>
                </c:pt>
                <c:pt idx="22" c:formatCode="#,##0.0_);[Red]\(#,##0.0\)">
                  <c:v>2H16</c:v>
                </c:pt>
                <c:pt idx="23" c:formatCode="#,##0.0_);[Red]\(#,##0.0\)">
                  <c:v>FY16</c:v>
                </c:pt>
                <c:pt idx="24" c:formatCode="#,##0.0_);[Red]\(#,##0.0\)">
                  <c:v>1Q17</c:v>
                </c:pt>
                <c:pt idx="25" c:formatCode="#,##0.0_);[Red]\(#,##0.0\)">
                  <c:v>2Q17</c:v>
                </c:pt>
                <c:pt idx="26" c:formatCode="#,##0.0_);[Red]\(#,##0.0\)">
                  <c:v>1H17</c:v>
                </c:pt>
                <c:pt idx="27" c:formatCode="#,##0.0_);[Red]\(#,##0.0\)">
                  <c:v>3Q17</c:v>
                </c:pt>
                <c:pt idx="28" c:formatCode="#,##0.0_);[Red]\(#,##0.0\)">
                  <c:v>9M17</c:v>
                </c:pt>
                <c:pt idx="29" c:formatCode="#,##0.0_);[Red]\(#,##0.0\)">
                  <c:v>4Q17</c:v>
                </c:pt>
                <c:pt idx="30" c:formatCode="#,##0.0_);[Red]\(#,##0.0\)">
                  <c:v>1Q18</c:v>
                </c:pt>
                <c:pt idx="31" c:formatCode="#,##0.0_);[Red]\(#,##0.0\)">
                  <c:v>2Q18</c:v>
                </c:pt>
                <c:pt idx="32" c:formatCode="#,##0.0_);[Red]\(#,##0.0\)">
                  <c:v>3Q18</c:v>
                </c:pt>
                <c:pt idx="33" c:formatCode="#,##0.0_);[Red]\(#,##0.0\)">
                  <c:v>4Q18</c:v>
                </c:pt>
                <c:pt idx="34" c:formatCode="#,##0.0_);[Red]\(#,##0.0\)">
                  <c:v>1Q19</c:v>
                </c:pt>
                <c:pt idx="35" c:formatCode="#,##0.0_);[Red]\(#,##0.0\)">
                  <c:v>2Q19</c:v>
                </c:pt>
                <c:pt idx="36" c:formatCode="#,##0.0_);[Red]\(#,##0.0\)">
                  <c:v>3Q19</c:v>
                </c:pt>
              </c:strCache>
            </c:strRef>
          </c:cat>
          <c:val>
            <c:numRef>
              <c:f>Worksheet!$C$120:$AT$120</c:f>
              <c:numCache>
                <c:formatCode>0%</c:formatCode>
                <c:ptCount val="37"/>
                <c:pt idx="0">
                  <c:v>0.0956621660442402</c:v>
                </c:pt>
                <c:pt idx="1">
                  <c:v>0.108593290170689</c:v>
                </c:pt>
                <c:pt idx="2">
                  <c:v>0.102049716528565</c:v>
                </c:pt>
                <c:pt idx="3">
                  <c:v>0.0717111770524233</c:v>
                </c:pt>
                <c:pt idx="4">
                  <c:v>0.0908175409685984</c:v>
                </c:pt>
                <c:pt idx="5">
                  <c:v>0.101385041551247</c:v>
                </c:pt>
                <c:pt idx="6">
                  <c:v>0.0857068199634178</c:v>
                </c:pt>
                <c:pt idx="7">
                  <c:v>0.0934425101493154</c:v>
                </c:pt>
                <c:pt idx="8">
                  <c:v>0.0923340680871908</c:v>
                </c:pt>
                <c:pt idx="9">
                  <c:v>0.0934220629639109</c:v>
                </c:pt>
                <c:pt idx="10">
                  <c:v>0.0928660826032541</c:v>
                </c:pt>
                <c:pt idx="11">
                  <c:v>0.0718940508723986</c:v>
                </c:pt>
                <c:pt idx="12">
                  <c:v>0.0850396171648231</c:v>
                </c:pt>
                <c:pt idx="13">
                  <c:v>0.0918905950095969</c:v>
                </c:pt>
                <c:pt idx="14">
                  <c:v>0.0812324929971989</c:v>
                </c:pt>
                <c:pt idx="15">
                  <c:v>0.0867277564292048</c:v>
                </c:pt>
                <c:pt idx="16">
                  <c:v>0.0830362759488362</c:v>
                </c:pt>
                <c:pt idx="17">
                  <c:v>0.0852362649785214</c:v>
                </c:pt>
                <c:pt idx="18">
                  <c:v>0.084094865100087</c:v>
                </c:pt>
                <c:pt idx="19">
                  <c:v>0.0676274944567627</c:v>
                </c:pt>
                <c:pt idx="20">
                  <c:v>0.0779923308682553</c:v>
                </c:pt>
                <c:pt idx="21">
                  <c:v>0.0717029449423816</c:v>
                </c:pt>
                <c:pt idx="22">
                  <c:v>0.0695187165775401</c:v>
                </c:pt>
                <c:pt idx="23">
                  <c:v>0.076464489372732</c:v>
                </c:pt>
                <c:pt idx="24">
                  <c:v>0.0361733382298935</c:v>
                </c:pt>
                <c:pt idx="25">
                  <c:v>0.0393013100436681</c:v>
                </c:pt>
                <c:pt idx="26">
                  <c:v>0.0376764593666539</c:v>
                </c:pt>
                <c:pt idx="27">
                  <c:v>0.0338147234941881</c:v>
                </c:pt>
                <c:pt idx="28">
                  <c:v>0.0363197624056429</c:v>
                </c:pt>
                <c:pt idx="29">
                  <c:v>0.0304588607594937</c:v>
                </c:pt>
                <c:pt idx="30">
                  <c:v>0.0342589253516048</c:v>
                </c:pt>
                <c:pt idx="31">
                  <c:v>0.035924729138947</c:v>
                </c:pt>
                <c:pt idx="32">
                  <c:v>0.0391622680061297</c:v>
                </c:pt>
                <c:pt idx="33">
                  <c:v>0.0420408943244793</c:v>
                </c:pt>
                <c:pt idx="34">
                  <c:v>0.0331463539010709</c:v>
                </c:pt>
                <c:pt idx="35">
                  <c:v>0.0266836086404066</c:v>
                </c:pt>
                <c:pt idx="36">
                  <c:v>0.0252730109204368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608832"/>
        <c:axId val="889618816"/>
      </c:barChart>
      <c:catAx>
        <c:axId val="889608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9618816"/>
        <c:crosses val="autoZero"/>
        <c:auto val="1"/>
        <c:lblAlgn val="ctr"/>
        <c:lblOffset val="100"/>
        <c:noMultiLvlLbl val="0"/>
      </c:catAx>
      <c:valAx>
        <c:axId val="889618816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960883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3becd3-fa2f-406a-8ea4-7b306b99400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7022455526393"/>
          <c:y val="0.0269473656415666"/>
          <c:w val="0.918223680373287"/>
          <c:h val="0.693193279331724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Worksheet!$B$123</c:f>
              <c:strCache>
                <c:ptCount val="1"/>
                <c:pt idx="0">
                  <c:v>Western Europe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Worksheet!$S$123:$AV$123</c:f>
              <c:numCache>
                <c:formatCode>0.0%</c:formatCode>
                <c:ptCount val="22"/>
                <c:pt idx="0">
                  <c:v>0.096</c:v>
                </c:pt>
                <c:pt idx="1">
                  <c:v>0.193</c:v>
                </c:pt>
                <c:pt idx="2">
                  <c:v>0.14080898021309</c:v>
                </c:pt>
                <c:pt idx="3">
                  <c:v>0.0748065102214517</c:v>
                </c:pt>
                <c:pt idx="4">
                  <c:v>0.116253222560287</c:v>
                </c:pt>
                <c:pt idx="5">
                  <c:v>0.17</c:v>
                </c:pt>
                <c:pt idx="8">
                  <c:v>0.05</c:v>
                </c:pt>
                <c:pt idx="9">
                  <c:v>-0.001</c:v>
                </c:pt>
                <c:pt idx="10">
                  <c:v>0.0253834918478261</c:v>
                </c:pt>
                <c:pt idx="11">
                  <c:v>-0.0135595451825255</c:v>
                </c:pt>
                <c:pt idx="12">
                  <c:v>0.0113639985168995</c:v>
                </c:pt>
                <c:pt idx="13">
                  <c:v>-0.06</c:v>
                </c:pt>
                <c:pt idx="14">
                  <c:v>-0.0324391765439809</c:v>
                </c:pt>
                <c:pt idx="15">
                  <c:v>0.001</c:v>
                </c:pt>
                <c:pt idx="16">
                  <c:v>0.035</c:v>
                </c:pt>
                <c:pt idx="17">
                  <c:v>0.142138157894737</c:v>
                </c:pt>
                <c:pt idx="18">
                  <c:v>-0.0815931656995478</c:v>
                </c:pt>
                <c:pt idx="19">
                  <c:v>-0.402</c:v>
                </c:pt>
                <c:pt idx="20">
                  <c:v>0.04</c:v>
                </c:pt>
                <c:pt idx="21">
                  <c:v>-0.0643647394718057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Worksheet!$B$124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Worksheet!$S$124:$AV$124</c:f>
              <c:numCache>
                <c:formatCode>0.0%</c:formatCode>
                <c:ptCount val="22"/>
                <c:pt idx="0">
                  <c:v>0.306</c:v>
                </c:pt>
                <c:pt idx="1">
                  <c:v>0.258</c:v>
                </c:pt>
                <c:pt idx="2">
                  <c:v>0.281050131926121</c:v>
                </c:pt>
                <c:pt idx="3">
                  <c:v>0.227</c:v>
                </c:pt>
                <c:pt idx="4">
                  <c:v>0.260540728612362</c:v>
                </c:pt>
                <c:pt idx="5">
                  <c:v>0.31</c:v>
                </c:pt>
                <c:pt idx="8">
                  <c:v>0.21</c:v>
                </c:pt>
                <c:pt idx="9">
                  <c:v>0.156</c:v>
                </c:pt>
                <c:pt idx="10">
                  <c:v>0.182649350649351</c:v>
                </c:pt>
                <c:pt idx="11">
                  <c:v>0.164686078252957</c:v>
                </c:pt>
                <c:pt idx="12">
                  <c:v>0.176283134472751</c:v>
                </c:pt>
                <c:pt idx="13">
                  <c:v>0.09</c:v>
                </c:pt>
                <c:pt idx="14">
                  <c:v>0.03</c:v>
                </c:pt>
                <c:pt idx="15">
                  <c:v>0.058</c:v>
                </c:pt>
                <c:pt idx="16">
                  <c:v>0.104</c:v>
                </c:pt>
                <c:pt idx="17">
                  <c:v>0.0972397841171935</c:v>
                </c:pt>
                <c:pt idx="18">
                  <c:v>0.00802938634399395</c:v>
                </c:pt>
                <c:pt idx="19">
                  <c:v>-0.382</c:v>
                </c:pt>
                <c:pt idx="20">
                  <c:v>-0.01</c:v>
                </c:pt>
                <c:pt idx="21">
                  <c:v>0.00960051515703649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Worksheet!$B$125</c:f>
              <c:strCache>
                <c:ptCount val="1"/>
                <c:pt idx="0">
                  <c:v>Latin America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Worksheet!$S$125:$AL$125</c:f>
              <c:numCache>
                <c:formatCode>0.0%</c:formatCode>
                <c:ptCount val="17"/>
                <c:pt idx="0">
                  <c:v>0.087</c:v>
                </c:pt>
                <c:pt idx="1">
                  <c:v>0.139</c:v>
                </c:pt>
                <c:pt idx="2">
                  <c:v>0.112495472186287</c:v>
                </c:pt>
                <c:pt idx="3">
                  <c:v>0.084</c:v>
                </c:pt>
                <c:pt idx="4">
                  <c:v>0.101481746031746</c:v>
                </c:pt>
                <c:pt idx="5">
                  <c:v>0.19</c:v>
                </c:pt>
                <c:pt idx="8">
                  <c:v>0.1</c:v>
                </c:pt>
                <c:pt idx="9">
                  <c:v>0.147</c:v>
                </c:pt>
                <c:pt idx="10">
                  <c:v>0.123158659217877</c:v>
                </c:pt>
                <c:pt idx="11">
                  <c:v>0.00529083665338618</c:v>
                </c:pt>
                <c:pt idx="12">
                  <c:v>0.0808038654259126</c:v>
                </c:pt>
                <c:pt idx="13">
                  <c:v>-0.01</c:v>
                </c:pt>
                <c:pt idx="14">
                  <c:v>-0.03</c:v>
                </c:pt>
                <c:pt idx="15">
                  <c:v>0.0474</c:v>
                </c:pt>
                <c:pt idx="16">
                  <c:v>0.051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Worksheet!$B$126</c:f>
              <c:strCache>
                <c:ptCount val="1"/>
                <c:pt idx="0">
                  <c:v>Asia-Pac (Gt China pre 2018)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Worksheet!$S$126:$AV$126</c:f>
              <c:numCache>
                <c:formatCode>0.0%</c:formatCode>
                <c:ptCount val="22"/>
                <c:pt idx="0">
                  <c:v>0.303</c:v>
                </c:pt>
                <c:pt idx="1">
                  <c:v>0.277</c:v>
                </c:pt>
                <c:pt idx="2">
                  <c:v>0.290691776088459</c:v>
                </c:pt>
                <c:pt idx="3">
                  <c:v>0.283</c:v>
                </c:pt>
                <c:pt idx="4">
                  <c:v>0.287905244601146</c:v>
                </c:pt>
                <c:pt idx="5">
                  <c:v>0.24</c:v>
                </c:pt>
                <c:pt idx="8">
                  <c:v>0.15</c:v>
                </c:pt>
                <c:pt idx="9">
                  <c:v>0.188</c:v>
                </c:pt>
                <c:pt idx="10">
                  <c:v>0.167719676549865</c:v>
                </c:pt>
                <c:pt idx="11">
                  <c:v>0.160221153846155</c:v>
                </c:pt>
                <c:pt idx="12">
                  <c:v>0.165072831423896</c:v>
                </c:pt>
                <c:pt idx="13">
                  <c:v>0.11</c:v>
                </c:pt>
                <c:pt idx="14">
                  <c:v>0.12</c:v>
                </c:pt>
                <c:pt idx="15">
                  <c:v>0.078</c:v>
                </c:pt>
                <c:pt idx="16">
                  <c:v>0.077</c:v>
                </c:pt>
                <c:pt idx="17">
                  <c:v>0.129159159159159</c:v>
                </c:pt>
                <c:pt idx="18">
                  <c:v>-0.44821141253508</c:v>
                </c:pt>
                <c:pt idx="19">
                  <c:v>-0.156</c:v>
                </c:pt>
                <c:pt idx="20">
                  <c:v>-0.07</c:v>
                </c:pt>
                <c:pt idx="21">
                  <c:v>0.00855752331606272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Worksheet!$B$128</c:f>
              <c:strCache>
                <c:ptCount val="1"/>
                <c:pt idx="0">
                  <c:v>Russia/ CIS</c:v>
                </c:pt>
              </c:strCache>
            </c:strRef>
          </c:tx>
          <c:spPr>
            <a:ln w="28575" cap="rnd" cmpd="sng" algn="ctr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Worksheet!$S$128:$AV$128</c:f>
              <c:numCache>
                <c:formatCode>0.0%</c:formatCode>
                <c:ptCount val="22"/>
                <c:pt idx="0">
                  <c:v>-0.098</c:v>
                </c:pt>
                <c:pt idx="1">
                  <c:v>-0.107</c:v>
                </c:pt>
                <c:pt idx="2">
                  <c:v>-0.102993548387097</c:v>
                </c:pt>
                <c:pt idx="3">
                  <c:v>-0.167</c:v>
                </c:pt>
                <c:pt idx="4">
                  <c:v>-0.127708910891089</c:v>
                </c:pt>
                <c:pt idx="5">
                  <c:v>-0.16</c:v>
                </c:pt>
                <c:pt idx="8">
                  <c:v>-0.16</c:v>
                </c:pt>
                <c:pt idx="9">
                  <c:v>0.141</c:v>
                </c:pt>
                <c:pt idx="10">
                  <c:v>-0.000231671554252212</c:v>
                </c:pt>
                <c:pt idx="11">
                  <c:v>0.0675375722543354</c:v>
                </c:pt>
                <c:pt idx="12">
                  <c:v>0.0225778210116732</c:v>
                </c:pt>
                <c:pt idx="13">
                  <c:v>-0.02</c:v>
                </c:pt>
                <c:pt idx="14">
                  <c:v>0.22</c:v>
                </c:pt>
                <c:pt idx="15">
                  <c:v>-0.041</c:v>
                </c:pt>
                <c:pt idx="16">
                  <c:v>0.132</c:v>
                </c:pt>
                <c:pt idx="17">
                  <c:v>0.0690909090909092</c:v>
                </c:pt>
                <c:pt idx="18">
                  <c:v>0.0943529411764709</c:v>
                </c:pt>
                <c:pt idx="19">
                  <c:v>-0.344</c:v>
                </c:pt>
                <c:pt idx="20">
                  <c:v>0.11</c:v>
                </c:pt>
                <c:pt idx="21">
                  <c:v>0.158352941176468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Worksheet!$B$129</c:f>
              <c:strCache>
                <c:ptCount val="1"/>
                <c:pt idx="0">
                  <c:v>EM (MEAA pre 2018)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Worksheet!$S$129:$AV$129</c:f>
              <c:numCache>
                <c:formatCode>0.0%</c:formatCode>
                <c:ptCount val="22"/>
                <c:pt idx="0">
                  <c:v>0.153</c:v>
                </c:pt>
                <c:pt idx="1">
                  <c:v>0.126</c:v>
                </c:pt>
                <c:pt idx="2">
                  <c:v>0.140868028279654</c:v>
                </c:pt>
                <c:pt idx="3">
                  <c:v>0.055</c:v>
                </c:pt>
                <c:pt idx="4">
                  <c:v>0.107883405902274</c:v>
                </c:pt>
                <c:pt idx="5">
                  <c:v>0.07</c:v>
                </c:pt>
                <c:pt idx="8">
                  <c:v>-0.05</c:v>
                </c:pt>
                <c:pt idx="9">
                  <c:v>0.015</c:v>
                </c:pt>
                <c:pt idx="10">
                  <c:v>-0.0213389261744966</c:v>
                </c:pt>
                <c:pt idx="11">
                  <c:v>-0.0229999999999998</c:v>
                </c:pt>
                <c:pt idx="12">
                  <c:v>-0.0219196857267568</c:v>
                </c:pt>
                <c:pt idx="13">
                  <c:v>-0.05</c:v>
                </c:pt>
                <c:pt idx="14">
                  <c:v>0.1</c:v>
                </c:pt>
                <c:pt idx="15">
                  <c:v>0.124</c:v>
                </c:pt>
                <c:pt idx="16">
                  <c:v>0.14</c:v>
                </c:pt>
                <c:pt idx="17">
                  <c:v>0.133593749999998</c:v>
                </c:pt>
                <c:pt idx="18">
                  <c:v>-0.111121212121212</c:v>
                </c:pt>
                <c:pt idx="19">
                  <c:v>-0.6</c:v>
                </c:pt>
                <c:pt idx="20">
                  <c:v>-0.1</c:v>
                </c:pt>
                <c:pt idx="21">
                  <c:v>0.0385478547854729</c:v>
                </c:pt>
              </c:numCache>
            </c:numRef>
          </c:val>
          <c:smooth val="0"/>
        </c:ser>
        <c:ser>
          <c:idx val="7"/>
          <c:order val="6"/>
          <c:tx>
            <c:strRef>
              <c:f>Worksheet!$B$130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Worksheet!$S$122:$AN$122</c:f>
              <c:strCache>
                <c:ptCount val="18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</c:strCache>
            </c:strRef>
          </c:cat>
          <c:val>
            <c:numRef>
              <c:f>Worksheet!$S$130:$AV$130</c:f>
              <c:numCache>
                <c:formatCode>0.0%</c:formatCode>
                <c:ptCount val="22"/>
                <c:pt idx="0">
                  <c:v>0.163587664380074</c:v>
                </c:pt>
                <c:pt idx="1">
                  <c:v>0.194819353380059</c:v>
                </c:pt>
                <c:pt idx="2">
                  <c:v>0.177906549173194</c:v>
                </c:pt>
                <c:pt idx="3">
                  <c:v>0.123579404363415</c:v>
                </c:pt>
                <c:pt idx="4">
                  <c:v>0.158220166245095</c:v>
                </c:pt>
                <c:pt idx="5">
                  <c:v>0.165537772087068</c:v>
                </c:pt>
                <c:pt idx="8">
                  <c:v>0.101595666544253</c:v>
                </c:pt>
                <c:pt idx="9">
                  <c:v>0.105070265978563</c:v>
                </c:pt>
                <c:pt idx="10">
                  <c:v>0.103265356734071</c:v>
                </c:pt>
                <c:pt idx="11">
                  <c:v>0.0826051426558651</c:v>
                </c:pt>
                <c:pt idx="12">
                  <c:v>0.0960070535824775</c:v>
                </c:pt>
                <c:pt idx="13">
                  <c:v>0.0464893196202532</c:v>
                </c:pt>
                <c:pt idx="14">
                  <c:v>0.0443403028118238</c:v>
                </c:pt>
                <c:pt idx="15">
                  <c:v>0.0375946398023189</c:v>
                </c:pt>
                <c:pt idx="16">
                  <c:v>0.0596494125659799</c:v>
                </c:pt>
                <c:pt idx="17">
                  <c:v>0.101696923370915</c:v>
                </c:pt>
                <c:pt idx="18">
                  <c:v>-0.194146183919769</c:v>
                </c:pt>
                <c:pt idx="19">
                  <c:v>-0.34220245416591</c:v>
                </c:pt>
                <c:pt idx="20">
                  <c:v>-0.0261279251170047</c:v>
                </c:pt>
                <c:pt idx="21">
                  <c:v>0.00265058740480018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839808"/>
        <c:axId val="890841344"/>
      </c:lineChart>
      <c:catAx>
        <c:axId val="890839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41344"/>
        <c:crosses val="autoZero"/>
        <c:auto val="1"/>
        <c:lblAlgn val="ctr"/>
        <c:lblOffset val="100"/>
        <c:noMultiLvlLbl val="0"/>
      </c:catAx>
      <c:valAx>
        <c:axId val="8908413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3980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07f867-5bc9-47ca-a3a3-d811ce4c859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Worksheet!$B$165</c:f>
              <c:strCache>
                <c:ptCount val="1"/>
                <c:pt idx="0">
                  <c:v>Gross margin contrib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Worksheet!$BO$164:$CI$164</c:f>
              <c:strCache>
                <c:ptCount val="12"/>
                <c:pt idx="0">
                  <c:v>1Q17</c:v>
                </c:pt>
                <c:pt idx="1">
                  <c:v>2Q17</c:v>
                </c:pt>
                <c:pt idx="2">
                  <c:v>3Q17</c:v>
                </c:pt>
                <c:pt idx="3">
                  <c:v>4Q17</c:v>
                </c:pt>
                <c:pt idx="4">
                  <c:v>1Q18</c:v>
                </c:pt>
                <c:pt idx="5">
                  <c:v>2Q18</c:v>
                </c:pt>
                <c:pt idx="6">
                  <c:v>3Q18</c:v>
                </c:pt>
                <c:pt idx="7">
                  <c:v>4Q18</c:v>
                </c:pt>
                <c:pt idx="8">
                  <c:v>1Q19</c:v>
                </c:pt>
                <c:pt idx="9">
                  <c:v>2Q19</c:v>
                </c:pt>
                <c:pt idx="10">
                  <c:v>3Q19E</c:v>
                </c:pt>
                <c:pt idx="11">
                  <c:v>4Q19E</c:v>
                </c:pt>
              </c:strCache>
            </c:strRef>
          </c:cat>
          <c:val>
            <c:numRef>
              <c:f>Worksheet!$BO$165:$CI$165</c:f>
              <c:numCache>
                <c:formatCode>0</c:formatCode>
                <c:ptCount val="12"/>
                <c:pt idx="0">
                  <c:v>17.0067935536977</c:v>
                </c:pt>
                <c:pt idx="1">
                  <c:v>130.607204374047</c:v>
                </c:pt>
                <c:pt idx="2">
                  <c:v>287.932026907448</c:v>
                </c:pt>
                <c:pt idx="3">
                  <c:v>283.510132525112</c:v>
                </c:pt>
                <c:pt idx="4">
                  <c:v>148.509942673707</c:v>
                </c:pt>
                <c:pt idx="5">
                  <c:v>217.13442011026</c:v>
                </c:pt>
                <c:pt idx="6">
                  <c:v>139.011447362981</c:v>
                </c:pt>
                <c:pt idx="7">
                  <c:v>56.4864044392077</c:v>
                </c:pt>
                <c:pt idx="8">
                  <c:v>246.161296446288</c:v>
                </c:pt>
                <c:pt idx="9">
                  <c:v>116.753877439726</c:v>
                </c:pt>
                <c:pt idx="10">
                  <c:v>26.0073266884364</c:v>
                </c:pt>
                <c:pt idx="11">
                  <c:v>-327.951899441173</c:v>
                </c:pt>
              </c:numCache>
            </c:numRef>
          </c:val>
        </c:ser>
        <c:ser>
          <c:idx val="1"/>
          <c:order val="1"/>
          <c:tx>
            <c:strRef>
              <c:f>Worksheet!$B$166</c:f>
              <c:strCache>
                <c:ptCount val="1"/>
                <c:pt idx="0">
                  <c:v>Opex/sales contrib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Worksheet!$BO$164:$CI$164</c:f>
              <c:strCache>
                <c:ptCount val="12"/>
                <c:pt idx="0">
                  <c:v>1Q17</c:v>
                </c:pt>
                <c:pt idx="1">
                  <c:v>2Q17</c:v>
                </c:pt>
                <c:pt idx="2">
                  <c:v>3Q17</c:v>
                </c:pt>
                <c:pt idx="3">
                  <c:v>4Q17</c:v>
                </c:pt>
                <c:pt idx="4">
                  <c:v>1Q18</c:v>
                </c:pt>
                <c:pt idx="5">
                  <c:v>2Q18</c:v>
                </c:pt>
                <c:pt idx="6">
                  <c:v>3Q18</c:v>
                </c:pt>
                <c:pt idx="7">
                  <c:v>4Q18</c:v>
                </c:pt>
                <c:pt idx="8">
                  <c:v>1Q19</c:v>
                </c:pt>
                <c:pt idx="9">
                  <c:v>2Q19</c:v>
                </c:pt>
                <c:pt idx="10">
                  <c:v>3Q19E</c:v>
                </c:pt>
                <c:pt idx="11">
                  <c:v>4Q19E</c:v>
                </c:pt>
              </c:strCache>
            </c:strRef>
          </c:cat>
          <c:val>
            <c:numRef>
              <c:f>Worksheet!$BO$166:$CI$166</c:f>
              <c:numCache>
                <c:formatCode>0</c:formatCode>
                <c:ptCount val="12"/>
                <c:pt idx="0">
                  <c:v>125.189945130855</c:v>
                </c:pt>
                <c:pt idx="1">
                  <c:v>-64.2415853396175</c:v>
                </c:pt>
                <c:pt idx="2">
                  <c:v>71.9280104197495</c:v>
                </c:pt>
                <c:pt idx="3">
                  <c:v>-69.5387080827925</c:v>
                </c:pt>
                <c:pt idx="4">
                  <c:v>26.4529425828895</c:v>
                </c:pt>
                <c:pt idx="5">
                  <c:v>-94.2549605322289</c:v>
                </c:pt>
                <c:pt idx="6">
                  <c:v>-5.01306058669022</c:v>
                </c:pt>
                <c:pt idx="7">
                  <c:v>-73.0276851867477</c:v>
                </c:pt>
                <c:pt idx="8">
                  <c:v>-103.453598474751</c:v>
                </c:pt>
                <c:pt idx="9">
                  <c:v>-74.8342580123877</c:v>
                </c:pt>
                <c:pt idx="10">
                  <c:v>-160.770633106952</c:v>
                </c:pt>
                <c:pt idx="11">
                  <c:v>501.031778678571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892288"/>
        <c:axId val="890893824"/>
      </c:barChart>
      <c:lineChart>
        <c:grouping val="standard"/>
        <c:varyColors val="0"/>
        <c:ser>
          <c:idx val="2"/>
          <c:order val="2"/>
          <c:tx>
            <c:strRef>
              <c:f>Worksheet!$B$167</c:f>
              <c:strCache>
                <c:ptCount val="1"/>
                <c:pt idx="0">
                  <c:v>EBIT margin contrib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Worksheet!$BO$164:$CI$164</c:f>
              <c:strCache>
                <c:ptCount val="12"/>
                <c:pt idx="0">
                  <c:v>1Q17</c:v>
                </c:pt>
                <c:pt idx="1">
                  <c:v>2Q17</c:v>
                </c:pt>
                <c:pt idx="2">
                  <c:v>3Q17</c:v>
                </c:pt>
                <c:pt idx="3">
                  <c:v>4Q17</c:v>
                </c:pt>
                <c:pt idx="4">
                  <c:v>1Q18</c:v>
                </c:pt>
                <c:pt idx="5">
                  <c:v>2Q18</c:v>
                </c:pt>
                <c:pt idx="6">
                  <c:v>3Q18</c:v>
                </c:pt>
                <c:pt idx="7">
                  <c:v>4Q18</c:v>
                </c:pt>
                <c:pt idx="8">
                  <c:v>1Q19</c:v>
                </c:pt>
                <c:pt idx="9">
                  <c:v>2Q19</c:v>
                </c:pt>
                <c:pt idx="10">
                  <c:v>3Q19E</c:v>
                </c:pt>
                <c:pt idx="11">
                  <c:v>4Q19E</c:v>
                </c:pt>
              </c:strCache>
            </c:strRef>
          </c:cat>
          <c:val>
            <c:numRef>
              <c:f>Worksheet!$BO$167:$CI$167</c:f>
              <c:numCache>
                <c:formatCode>0</c:formatCode>
                <c:ptCount val="12"/>
                <c:pt idx="0">
                  <c:v>142.196738684553</c:v>
                </c:pt>
                <c:pt idx="1">
                  <c:v>66.3656190344294</c:v>
                </c:pt>
                <c:pt idx="2">
                  <c:v>359.860037327198</c:v>
                </c:pt>
                <c:pt idx="3">
                  <c:v>213.971424442319</c:v>
                </c:pt>
                <c:pt idx="4">
                  <c:v>174.962885256596</c:v>
                </c:pt>
                <c:pt idx="5">
                  <c:v>122.879459578031</c:v>
                </c:pt>
                <c:pt idx="6">
                  <c:v>133.998386776291</c:v>
                </c:pt>
                <c:pt idx="7">
                  <c:v>-16.54128074754</c:v>
                </c:pt>
                <c:pt idx="8">
                  <c:v>142.707697971536</c:v>
                </c:pt>
                <c:pt idx="9">
                  <c:v>41.9196194273382</c:v>
                </c:pt>
                <c:pt idx="10">
                  <c:v>-134.763306418516</c:v>
                </c:pt>
                <c:pt idx="11">
                  <c:v>173.079879237398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892288"/>
        <c:axId val="890893824"/>
      </c:lineChart>
      <c:catAx>
        <c:axId val="890892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93824"/>
        <c:crosses val="autoZero"/>
        <c:auto val="1"/>
        <c:lblAlgn val="ctr"/>
        <c:lblOffset val="100"/>
        <c:noMultiLvlLbl val="0"/>
      </c:catAx>
      <c:valAx>
        <c:axId val="89089382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92288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7e2aa3-b844-4528-953c-0cba3fdd3a4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Worksheet!$B$261</c:f>
              <c:strCache>
                <c:ptCount val="1"/>
                <c:pt idx="0">
                  <c:v>Sales ccy translation/scope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Worksheet!$C$260:$S$260</c:f>
              <c:strCache>
                <c:ptCount val="17"/>
                <c:pt idx="0">
                  <c:v>FY13</c:v>
                </c:pt>
                <c:pt idx="1">
                  <c:v>FY14</c:v>
                </c:pt>
                <c:pt idx="3">
                  <c:v>FY15</c:v>
                </c:pt>
                <c:pt idx="5">
                  <c:v>FY16</c:v>
                </c:pt>
                <c:pt idx="8">
                  <c:v>FY17</c:v>
                </c:pt>
                <c:pt idx="9">
                  <c:v>FY18</c:v>
                </c:pt>
                <c:pt idx="11">
                  <c:v>FY19E</c:v>
                </c:pt>
                <c:pt idx="13">
                  <c:v>FY20E</c:v>
                </c:pt>
                <c:pt idx="14">
                  <c:v>FY21E</c:v>
                </c:pt>
                <c:pt idx="16">
                  <c:v>FY21E</c:v>
                </c:pt>
              </c:strCache>
            </c:strRef>
          </c:cat>
          <c:val>
            <c:numRef>
              <c:f>Worksheet!$C$261:$S$261</c:f>
              <c:numCache>
                <c:formatCode>0.0%</c:formatCode>
                <c:ptCount val="17"/>
                <c:pt idx="0">
                  <c:v>-0.0749744003225156</c:v>
                </c:pt>
                <c:pt idx="1">
                  <c:v>-0.0415310401262302</c:v>
                </c:pt>
                <c:pt idx="3">
                  <c:v>0.0674816746191135</c:v>
                </c:pt>
                <c:pt idx="5">
                  <c:v>-0.0433789067363964</c:v>
                </c:pt>
                <c:pt idx="8">
                  <c:v>-0.0600496271562142</c:v>
                </c:pt>
                <c:pt idx="9">
                  <c:v>-0.0513580921858798</c:v>
                </c:pt>
                <c:pt idx="11">
                  <c:v>0.0182392699064566</c:v>
                </c:pt>
                <c:pt idx="13">
                  <c:v>-0.0261258601521352</c:v>
                </c:pt>
                <c:pt idx="16">
                  <c:v>-0.089953638379359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90684928"/>
        <c:axId val="890686464"/>
      </c:lineChart>
      <c:catAx>
        <c:axId val="89068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86464"/>
        <c:crosses val="autoZero"/>
        <c:auto val="1"/>
        <c:lblAlgn val="ctr"/>
        <c:lblOffset val="100"/>
        <c:noMultiLvlLbl val="0"/>
      </c:catAx>
      <c:valAx>
        <c:axId val="89068646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849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5d52fa-615b-4a72-9214-1924e3d0b43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Worksheet!$B$288</c:f>
              <c:strCache>
                <c:ptCount val="1"/>
                <c:pt idx="0">
                  <c:v>EPS</c:v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Worksheet!$H$288:$V$288</c:f>
              <c:numCache>
                <c:formatCode>0.00</c:formatCode>
                <c:ptCount val="15"/>
                <c:pt idx="0">
                  <c:v>3.36911813129476</c:v>
                </c:pt>
                <c:pt idx="3">
                  <c:v>5.08521288229686</c:v>
                </c:pt>
                <c:pt idx="4">
                  <c:v>7.02309620079134</c:v>
                </c:pt>
                <c:pt idx="5">
                  <c:v>2.14182136799873</c:v>
                </c:pt>
                <c:pt idx="6">
                  <c:v>8.45488924905456</c:v>
                </c:pt>
                <c:pt idx="7">
                  <c:v>1.24416796267496</c:v>
                </c:pt>
                <c:pt idx="8">
                  <c:v>9.69606186046982</c:v>
                </c:pt>
                <c:pt idx="9">
                  <c:v>3.41025425627237</c:v>
                </c:pt>
                <c:pt idx="10">
                  <c:v>7.45946854086747</c:v>
                </c:pt>
                <c:pt idx="11">
                  <c:v>2.14182136799873</c:v>
                </c:pt>
                <c:pt idx="12">
                  <c:v>7.46729838294365</c:v>
                </c:pt>
                <c:pt idx="13">
                  <c:v>0</c:v>
                </c:pt>
                <c:pt idx="14">
                  <c:v>1.24416796267496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265823"/>
        <c:axId val="413257919"/>
      </c:barChart>
      <c:lineChart>
        <c:grouping val="standard"/>
        <c:varyColors val="0"/>
        <c:ser>
          <c:idx val="0"/>
          <c:order val="0"/>
          <c:tx>
            <c:strRef>
              <c:f>Worksheet!$B$287</c:f>
              <c:strCache>
                <c:ptCount val="1"/>
                <c:pt idx="0">
                  <c:v>EPS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Worksheet!$H$286:$V$286</c:f>
              <c:strCache>
                <c:ptCount val="15"/>
                <c:pt idx="0">
                  <c:v>FY15</c:v>
                </c:pt>
                <c:pt idx="3">
                  <c:v>FY16</c:v>
                </c:pt>
                <c:pt idx="4">
                  <c:v>FY17</c:v>
                </c:pt>
                <c:pt idx="6">
                  <c:v>FY18</c:v>
                </c:pt>
                <c:pt idx="8">
                  <c:v>FY19</c:v>
                </c:pt>
                <c:pt idx="9">
                  <c:v>FY21E</c:v>
                </c:pt>
                <c:pt idx="11">
                  <c:v>FY20E</c:v>
                </c:pt>
                <c:pt idx="12">
                  <c:v>FY21E</c:v>
                </c:pt>
                <c:pt idx="13">
                  <c:v>FY22E</c:v>
                </c:pt>
                <c:pt idx="14">
                  <c:v>FY22E</c:v>
                </c:pt>
              </c:strCache>
            </c:strRef>
          </c:cat>
          <c:val>
            <c:numRef>
              <c:f>Worksheet!$H$287:$V$287</c:f>
              <c:numCache>
                <c:formatCode>0.0%</c:formatCode>
                <c:ptCount val="15"/>
                <c:pt idx="0">
                  <c:v>0.105963123688964</c:v>
                </c:pt>
                <c:pt idx="3">
                  <c:v>0.509360219536915</c:v>
                </c:pt>
                <c:pt idx="4">
                  <c:v>0.381082043829636</c:v>
                </c:pt>
                <c:pt idx="6">
                  <c:v>0.203869206305601</c:v>
                </c:pt>
                <c:pt idx="8">
                  <c:v>0.146799393209563</c:v>
                </c:pt>
                <c:pt idx="11">
                  <c:v>-0.779103990999605</c:v>
                </c:pt>
                <c:pt idx="12">
                  <c:v>2.48642444907576</c:v>
                </c:pt>
                <c:pt idx="13">
                  <c:v>-0.833384458626052</c:v>
                </c:pt>
                <c:pt idx="14">
                  <c:v>-0.833384458626052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722944"/>
        <c:axId val="890728832"/>
      </c:lineChart>
      <c:catAx>
        <c:axId val="89072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728832"/>
        <c:crosses val="autoZero"/>
        <c:auto val="1"/>
        <c:lblAlgn val="ctr"/>
        <c:lblOffset val="100"/>
        <c:noMultiLvlLbl val="0"/>
      </c:catAx>
      <c:valAx>
        <c:axId val="89072883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722944"/>
        <c:crosses val="autoZero"/>
        <c:crossBetween val="between"/>
      </c:valAx>
      <c:catAx>
        <c:axId val="41326582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413257919"/>
        <c:crosses val="autoZero"/>
        <c:auto val="1"/>
        <c:lblAlgn val="ctr"/>
        <c:lblOffset val="100"/>
        <c:noMultiLvlLbl val="0"/>
      </c:catAx>
      <c:valAx>
        <c:axId val="413257919"/>
        <c:scaling>
          <c:orientation val="minMax"/>
          <c:min val="2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413265823"/>
        <c:crosses val="max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dd72ee-f370-4858-aa50-8ae0c6b1070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Worksheet!$B$69</c:f>
              <c:strCache>
                <c:ptCount val="1"/>
                <c:pt idx="0">
                  <c:v>Footwear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Worksheet!$C$68:$BR$68</c:f>
              <c:strCache>
                <c:ptCount val="49"/>
                <c:pt idx="0" c:formatCode="#,##0.0_);[Red]\(#,##0.0\)">
                  <c:v>1Q 11</c:v>
                </c:pt>
                <c:pt idx="1" c:formatCode="#,##0.0_);[Red]\(#,##0.0\)">
                  <c:v>2Q 11</c:v>
                </c:pt>
                <c:pt idx="2" c:formatCode="#,##0.0_);[Red]\(#,##0.0\)">
                  <c:v>H1 11</c:v>
                </c:pt>
                <c:pt idx="3" c:formatCode="#,##0.0_);[Red]\(#,##0.0\)">
                  <c:v>3Q 11</c:v>
                </c:pt>
                <c:pt idx="4" c:formatCode="#,##0.0_);[Red]\(#,##0.0\)">
                  <c:v>9M 11</c:v>
                </c:pt>
                <c:pt idx="5" c:formatCode="#,##0.0_);[Red]\(#,##0.0\)">
                  <c:v>4Q 11</c:v>
                </c:pt>
                <c:pt idx="6" c:formatCode="#,##0.0_);[Red]\(#,##0.0\)">
                  <c:v>H2 11</c:v>
                </c:pt>
                <c:pt idx="7" c:formatCode="#,##0.0_);[Red]\(#,##0.0\)">
                  <c:v>FY 11</c:v>
                </c:pt>
                <c:pt idx="8" c:formatCode="#,##0.0_);[Red]\(#,##0.0\)">
                  <c:v>1Q 12</c:v>
                </c:pt>
                <c:pt idx="9" c:formatCode="#,##0.0_);[Red]\(#,##0.0\)">
                  <c:v>2Q 12</c:v>
                </c:pt>
                <c:pt idx="10" c:formatCode="#,##0.0_);[Red]\(#,##0.0\)">
                  <c:v>H1 12</c:v>
                </c:pt>
                <c:pt idx="11" c:formatCode="#,##0.0_);[Red]\(#,##0.0\)">
                  <c:v>3Q 12</c:v>
                </c:pt>
                <c:pt idx="12" c:formatCode="#,##0.0_);[Red]\(#,##0.0\)">
                  <c:v>9M 12</c:v>
                </c:pt>
                <c:pt idx="13" c:formatCode="#,##0.0_);[Red]\(#,##0.0\)">
                  <c:v>4Q 12</c:v>
                </c:pt>
                <c:pt idx="14" c:formatCode="#,##0.0_);[Red]\(#,##0.0\)">
                  <c:v>H2 12</c:v>
                </c:pt>
                <c:pt idx="15" c:formatCode="#,##0.0_);[Red]\(#,##0.0\)">
                  <c:v>FY 12</c:v>
                </c:pt>
                <c:pt idx="16" c:formatCode="#,##0.0_);[Red]\(#,##0.0\)">
                  <c:v>1Q13</c:v>
                </c:pt>
                <c:pt idx="17" c:formatCode="#,##0.0_);[Red]\(#,##0.0\)">
                  <c:v>2Q13</c:v>
                </c:pt>
                <c:pt idx="18" c:formatCode="#,##0.0_);[Red]\(#,##0.0\)">
                  <c:v>1H13</c:v>
                </c:pt>
                <c:pt idx="19" c:formatCode="#,##0.0_);[Red]\(#,##0.0\)">
                  <c:v>3Q13</c:v>
                </c:pt>
                <c:pt idx="20" c:formatCode="#,##0.0_);[Red]\(#,##0.0\)">
                  <c:v>9M13</c:v>
                </c:pt>
                <c:pt idx="21" c:formatCode="#,##0.0_);[Red]\(#,##0.0\)">
                  <c:v>4Q13</c:v>
                </c:pt>
                <c:pt idx="22" c:formatCode="#,##0.0_);[Red]\(#,##0.0\)">
                  <c:v>2H13</c:v>
                </c:pt>
                <c:pt idx="23" c:formatCode="#,##0.0_);[Red]\(#,##0.0\)">
                  <c:v>FY13</c:v>
                </c:pt>
                <c:pt idx="24" c:formatCode="#,##0.0_);[Red]\(#,##0.0\)">
                  <c:v>1Q14</c:v>
                </c:pt>
                <c:pt idx="25" c:formatCode="#,##0.0_);[Red]\(#,##0.0\)">
                  <c:v>2Q14</c:v>
                </c:pt>
                <c:pt idx="26" c:formatCode="#,##0.0_);[Red]\(#,##0.0\)">
                  <c:v>1H14</c:v>
                </c:pt>
                <c:pt idx="27" c:formatCode="#,##0.0_);[Red]\(#,##0.0\)">
                  <c:v>3Q14</c:v>
                </c:pt>
                <c:pt idx="28" c:formatCode="#,##0.0_);[Red]\(#,##0.0\)">
                  <c:v>9M14</c:v>
                </c:pt>
                <c:pt idx="29" c:formatCode="#,##0.0_);[Red]\(#,##0.0\)">
                  <c:v>4Q14</c:v>
                </c:pt>
                <c:pt idx="30" c:formatCode="#,##0.0_);[Red]\(#,##0.0\)">
                  <c:v>1Q15</c:v>
                </c:pt>
                <c:pt idx="31" c:formatCode="#,##0.0_);[Red]\(#,##0.0\)">
                  <c:v>2Q15</c:v>
                </c:pt>
                <c:pt idx="32" c:formatCode="#,##0.0_);[Red]\(#,##0.0\)">
                  <c:v>3Q15</c:v>
                </c:pt>
                <c:pt idx="33" c:formatCode="#,##0.0_);[Red]\(#,##0.0\)">
                  <c:v>4Q15</c:v>
                </c:pt>
                <c:pt idx="34" c:formatCode="#,##0.0_);[Red]\(#,##0.0\)">
                  <c:v>1Q16</c:v>
                </c:pt>
                <c:pt idx="35" c:formatCode="#,##0.0_);[Red]\(#,##0.0\)">
                  <c:v>2Q16</c:v>
                </c:pt>
                <c:pt idx="36" c:formatCode="#,##0.0_);[Red]\(#,##0.0\)">
                  <c:v>3Q16</c:v>
                </c:pt>
                <c:pt idx="37" c:formatCode="#,##0.0_);[Red]\(#,##0.0\)">
                  <c:v>4Q16</c:v>
                </c:pt>
                <c:pt idx="38" c:formatCode="#,##0.0_);[Red]\(#,##0.0\)">
                  <c:v>1Q17</c:v>
                </c:pt>
                <c:pt idx="39" c:formatCode="#,##0.0_);[Red]\(#,##0.0\)">
                  <c:v>2Q17</c:v>
                </c:pt>
                <c:pt idx="40" c:formatCode="#,##0.0_);[Red]\(#,##0.0\)">
                  <c:v>3Q17</c:v>
                </c:pt>
                <c:pt idx="41" c:formatCode="#,##0.0_);[Red]\(#,##0.0\)">
                  <c:v>4Q17</c:v>
                </c:pt>
                <c:pt idx="42" c:formatCode="#,##0.0_);[Red]\(#,##0.0\)">
                  <c:v>1Q18</c:v>
                </c:pt>
                <c:pt idx="43" c:formatCode="#,##0.0_);[Red]\(#,##0.0\)">
                  <c:v>2Q18</c:v>
                </c:pt>
                <c:pt idx="44" c:formatCode="#,##0.0_);[Red]\(#,##0.0\)">
                  <c:v>3Q18</c:v>
                </c:pt>
                <c:pt idx="45" c:formatCode="#,##0.0_);[Red]\(#,##0.0\)">
                  <c:v>4Q18</c:v>
                </c:pt>
                <c:pt idx="46" c:formatCode="#,##0.0_);[Red]\(#,##0.0\)">
                  <c:v>1Q19</c:v>
                </c:pt>
                <c:pt idx="47" c:formatCode="#,##0.0_);[Red]\(#,##0.0\)">
                  <c:v>2Q19</c:v>
                </c:pt>
                <c:pt idx="48" c:formatCode="#,##0.0_);[Red]\(#,##0.0\)">
                  <c:v>3Q19</c:v>
                </c:pt>
              </c:strCache>
            </c:strRef>
          </c:cat>
          <c:val>
            <c:numRef>
              <c:f>Worksheet!$C$69:$BR$69</c:f>
              <c:numCache>
                <c:formatCode>0.0%</c:formatCode>
                <c:ptCount val="49"/>
                <c:pt idx="0">
                  <c:v>0.23</c:v>
                </c:pt>
                <c:pt idx="1">
                  <c:v>0.190445810914681</c:v>
                </c:pt>
                <c:pt idx="2">
                  <c:v>0.21</c:v>
                </c:pt>
                <c:pt idx="3">
                  <c:v>0.157917705735661</c:v>
                </c:pt>
                <c:pt idx="4">
                  <c:v>0.19</c:v>
                </c:pt>
                <c:pt idx="5">
                  <c:v>0.145536303630363</c:v>
                </c:pt>
                <c:pt idx="6">
                  <c:v>0.152588778409091</c:v>
                </c:pt>
                <c:pt idx="7">
                  <c:v>0.18</c:v>
                </c:pt>
                <c:pt idx="8">
                  <c:v>0.12</c:v>
                </c:pt>
                <c:pt idx="9">
                  <c:v>0.0144406314344544</c:v>
                </c:pt>
                <c:pt idx="10">
                  <c:v>0.07</c:v>
                </c:pt>
                <c:pt idx="11">
                  <c:v>0.0426508742244783</c:v>
                </c:pt>
                <c:pt idx="12">
                  <c:v>0.06</c:v>
                </c:pt>
                <c:pt idx="13">
                  <c:v>0.06</c:v>
                </c:pt>
                <c:pt idx="14">
                  <c:v>0.05028427037271</c:v>
                </c:pt>
                <c:pt idx="15">
                  <c:v>0.06</c:v>
                </c:pt>
                <c:pt idx="16">
                  <c:v>0.03</c:v>
                </c:pt>
                <c:pt idx="17">
                  <c:v>0.0734815756035578</c:v>
                </c:pt>
                <c:pt idx="18">
                  <c:v>0.05</c:v>
                </c:pt>
                <c:pt idx="19">
                  <c:v>-0.00420289855072466</c:v>
                </c:pt>
                <c:pt idx="20">
                  <c:v>0.03</c:v>
                </c:pt>
                <c:pt idx="21">
                  <c:v>0.076177451634423</c:v>
                </c:pt>
                <c:pt idx="22">
                  <c:v>0.0302228571428571</c:v>
                </c:pt>
                <c:pt idx="23">
                  <c:v>0.04</c:v>
                </c:pt>
                <c:pt idx="24">
                  <c:v>-0.03</c:v>
                </c:pt>
                <c:pt idx="25">
                  <c:v>0.0560159607120933</c:v>
                </c:pt>
                <c:pt idx="26">
                  <c:v>0.01</c:v>
                </c:pt>
                <c:pt idx="27">
                  <c:v>0.09677471636953</c:v>
                </c:pt>
                <c:pt idx="28">
                  <c:v>0.04</c:v>
                </c:pt>
                <c:pt idx="29">
                  <c:v>0.0934225466342255</c:v>
                </c:pt>
                <c:pt idx="30">
                  <c:v>0.18</c:v>
                </c:pt>
                <c:pt idx="31">
                  <c:v>0.173821763602251</c:v>
                </c:pt>
                <c:pt idx="32">
                  <c:v>0.179654773869347</c:v>
                </c:pt>
                <c:pt idx="33">
                  <c:v>0.236106181818182</c:v>
                </c:pt>
                <c:pt idx="34">
                  <c:v>0.29</c:v>
                </c:pt>
                <c:pt idx="35">
                  <c:v>0.248725790010194</c:v>
                </c:pt>
                <c:pt idx="36">
                  <c:v>0.26</c:v>
                </c:pt>
                <c:pt idx="37">
                  <c:v>0.239289002557545</c:v>
                </c:pt>
                <c:pt idx="38">
                  <c:v>0.25324639937719</c:v>
                </c:pt>
                <c:pt idx="39">
                  <c:v>0.31</c:v>
                </c:pt>
                <c:pt idx="40">
                  <c:v>0.18</c:v>
                </c:pt>
                <c:pt idx="41">
                  <c:v>0.230538079470199</c:v>
                </c:pt>
                <c:pt idx="42">
                  <c:v>0.05</c:v>
                </c:pt>
                <c:pt idx="43">
                  <c:v>0.09</c:v>
                </c:pt>
                <c:pt idx="44">
                  <c:v>0.08</c:v>
                </c:pt>
                <c:pt idx="45">
                  <c:v>0.07</c:v>
                </c:pt>
                <c:pt idx="46">
                  <c:v>0.03</c:v>
                </c:pt>
                <c:pt idx="47">
                  <c:v>0.05</c:v>
                </c:pt>
                <c:pt idx="48">
                  <c:v>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Worksheet!$B$70</c:f>
              <c:strCache>
                <c:ptCount val="1"/>
                <c:pt idx="0">
                  <c:v>Apparel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Worksheet!$C$68:$BR$68</c:f>
              <c:strCache>
                <c:ptCount val="49"/>
                <c:pt idx="0" c:formatCode="#,##0.0_);[Red]\(#,##0.0\)">
                  <c:v>1Q 11</c:v>
                </c:pt>
                <c:pt idx="1" c:formatCode="#,##0.0_);[Red]\(#,##0.0\)">
                  <c:v>2Q 11</c:v>
                </c:pt>
                <c:pt idx="2" c:formatCode="#,##0.0_);[Red]\(#,##0.0\)">
                  <c:v>H1 11</c:v>
                </c:pt>
                <c:pt idx="3" c:formatCode="#,##0.0_);[Red]\(#,##0.0\)">
                  <c:v>3Q 11</c:v>
                </c:pt>
                <c:pt idx="4" c:formatCode="#,##0.0_);[Red]\(#,##0.0\)">
                  <c:v>9M 11</c:v>
                </c:pt>
                <c:pt idx="5" c:formatCode="#,##0.0_);[Red]\(#,##0.0\)">
                  <c:v>4Q 11</c:v>
                </c:pt>
                <c:pt idx="6" c:formatCode="#,##0.0_);[Red]\(#,##0.0\)">
                  <c:v>H2 11</c:v>
                </c:pt>
                <c:pt idx="7" c:formatCode="#,##0.0_);[Red]\(#,##0.0\)">
                  <c:v>FY 11</c:v>
                </c:pt>
                <c:pt idx="8" c:formatCode="#,##0.0_);[Red]\(#,##0.0\)">
                  <c:v>1Q 12</c:v>
                </c:pt>
                <c:pt idx="9" c:formatCode="#,##0.0_);[Red]\(#,##0.0\)">
                  <c:v>2Q 12</c:v>
                </c:pt>
                <c:pt idx="10" c:formatCode="#,##0.0_);[Red]\(#,##0.0\)">
                  <c:v>H1 12</c:v>
                </c:pt>
                <c:pt idx="11" c:formatCode="#,##0.0_);[Red]\(#,##0.0\)">
                  <c:v>3Q 12</c:v>
                </c:pt>
                <c:pt idx="12" c:formatCode="#,##0.0_);[Red]\(#,##0.0\)">
                  <c:v>9M 12</c:v>
                </c:pt>
                <c:pt idx="13" c:formatCode="#,##0.0_);[Red]\(#,##0.0\)">
                  <c:v>4Q 12</c:v>
                </c:pt>
                <c:pt idx="14" c:formatCode="#,##0.0_);[Red]\(#,##0.0\)">
                  <c:v>H2 12</c:v>
                </c:pt>
                <c:pt idx="15" c:formatCode="#,##0.0_);[Red]\(#,##0.0\)">
                  <c:v>FY 12</c:v>
                </c:pt>
                <c:pt idx="16" c:formatCode="#,##0.0_);[Red]\(#,##0.0\)">
                  <c:v>1Q13</c:v>
                </c:pt>
                <c:pt idx="17" c:formatCode="#,##0.0_);[Red]\(#,##0.0\)">
                  <c:v>2Q13</c:v>
                </c:pt>
                <c:pt idx="18" c:formatCode="#,##0.0_);[Red]\(#,##0.0\)">
                  <c:v>1H13</c:v>
                </c:pt>
                <c:pt idx="19" c:formatCode="#,##0.0_);[Red]\(#,##0.0\)">
                  <c:v>3Q13</c:v>
                </c:pt>
                <c:pt idx="20" c:formatCode="#,##0.0_);[Red]\(#,##0.0\)">
                  <c:v>9M13</c:v>
                </c:pt>
                <c:pt idx="21" c:formatCode="#,##0.0_);[Red]\(#,##0.0\)">
                  <c:v>4Q13</c:v>
                </c:pt>
                <c:pt idx="22" c:formatCode="#,##0.0_);[Red]\(#,##0.0\)">
                  <c:v>2H13</c:v>
                </c:pt>
                <c:pt idx="23" c:formatCode="#,##0.0_);[Red]\(#,##0.0\)">
                  <c:v>FY13</c:v>
                </c:pt>
                <c:pt idx="24" c:formatCode="#,##0.0_);[Red]\(#,##0.0\)">
                  <c:v>1Q14</c:v>
                </c:pt>
                <c:pt idx="25" c:formatCode="#,##0.0_);[Red]\(#,##0.0\)">
                  <c:v>2Q14</c:v>
                </c:pt>
                <c:pt idx="26" c:formatCode="#,##0.0_);[Red]\(#,##0.0\)">
                  <c:v>1H14</c:v>
                </c:pt>
                <c:pt idx="27" c:formatCode="#,##0.0_);[Red]\(#,##0.0\)">
                  <c:v>3Q14</c:v>
                </c:pt>
                <c:pt idx="28" c:formatCode="#,##0.0_);[Red]\(#,##0.0\)">
                  <c:v>9M14</c:v>
                </c:pt>
                <c:pt idx="29" c:formatCode="#,##0.0_);[Red]\(#,##0.0\)">
                  <c:v>4Q14</c:v>
                </c:pt>
                <c:pt idx="30" c:formatCode="#,##0.0_);[Red]\(#,##0.0\)">
                  <c:v>1Q15</c:v>
                </c:pt>
                <c:pt idx="31" c:formatCode="#,##0.0_);[Red]\(#,##0.0\)">
                  <c:v>2Q15</c:v>
                </c:pt>
                <c:pt idx="32" c:formatCode="#,##0.0_);[Red]\(#,##0.0\)">
                  <c:v>3Q15</c:v>
                </c:pt>
                <c:pt idx="33" c:formatCode="#,##0.0_);[Red]\(#,##0.0\)">
                  <c:v>4Q15</c:v>
                </c:pt>
                <c:pt idx="34" c:formatCode="#,##0.0_);[Red]\(#,##0.0\)">
                  <c:v>1Q16</c:v>
                </c:pt>
                <c:pt idx="35" c:formatCode="#,##0.0_);[Red]\(#,##0.0\)">
                  <c:v>2Q16</c:v>
                </c:pt>
                <c:pt idx="36" c:formatCode="#,##0.0_);[Red]\(#,##0.0\)">
                  <c:v>3Q16</c:v>
                </c:pt>
                <c:pt idx="37" c:formatCode="#,##0.0_);[Red]\(#,##0.0\)">
                  <c:v>4Q16</c:v>
                </c:pt>
                <c:pt idx="38" c:formatCode="#,##0.0_);[Red]\(#,##0.0\)">
                  <c:v>1Q17</c:v>
                </c:pt>
                <c:pt idx="39" c:formatCode="#,##0.0_);[Red]\(#,##0.0\)">
                  <c:v>2Q17</c:v>
                </c:pt>
                <c:pt idx="40" c:formatCode="#,##0.0_);[Red]\(#,##0.0\)">
                  <c:v>3Q17</c:v>
                </c:pt>
                <c:pt idx="41" c:formatCode="#,##0.0_);[Red]\(#,##0.0\)">
                  <c:v>4Q17</c:v>
                </c:pt>
                <c:pt idx="42" c:formatCode="#,##0.0_);[Red]\(#,##0.0\)">
                  <c:v>1Q18</c:v>
                </c:pt>
                <c:pt idx="43" c:formatCode="#,##0.0_);[Red]\(#,##0.0\)">
                  <c:v>2Q18</c:v>
                </c:pt>
                <c:pt idx="44" c:formatCode="#,##0.0_);[Red]\(#,##0.0\)">
                  <c:v>3Q18</c:v>
                </c:pt>
                <c:pt idx="45" c:formatCode="#,##0.0_);[Red]\(#,##0.0\)">
                  <c:v>4Q18</c:v>
                </c:pt>
                <c:pt idx="46" c:formatCode="#,##0.0_);[Red]\(#,##0.0\)">
                  <c:v>1Q19</c:v>
                </c:pt>
                <c:pt idx="47" c:formatCode="#,##0.0_);[Red]\(#,##0.0\)">
                  <c:v>2Q19</c:v>
                </c:pt>
                <c:pt idx="48" c:formatCode="#,##0.0_);[Red]\(#,##0.0\)">
                  <c:v>3Q19</c:v>
                </c:pt>
              </c:strCache>
            </c:strRef>
          </c:cat>
          <c:val>
            <c:numRef>
              <c:f>Worksheet!$C$70:$BR$70</c:f>
              <c:numCache>
                <c:formatCode>0.0%</c:formatCode>
                <c:ptCount val="49"/>
                <c:pt idx="0">
                  <c:v>0.13</c:v>
                </c:pt>
                <c:pt idx="1">
                  <c:v>0.035229793977813</c:v>
                </c:pt>
                <c:pt idx="2">
                  <c:v>0.08</c:v>
                </c:pt>
                <c:pt idx="3">
                  <c:v>0.105482200647249</c:v>
                </c:pt>
                <c:pt idx="4">
                  <c:v>0.09</c:v>
                </c:pt>
                <c:pt idx="5">
                  <c:v>0.0527165627165627</c:v>
                </c:pt>
                <c:pt idx="6">
                  <c:v>0.08</c:v>
                </c:pt>
                <c:pt idx="7">
                  <c:v>0.08</c:v>
                </c:pt>
                <c:pt idx="8">
                  <c:v>0.12</c:v>
                </c:pt>
                <c:pt idx="9">
                  <c:v>0.0789331210191083</c:v>
                </c:pt>
                <c:pt idx="10">
                  <c:v>0.1</c:v>
                </c:pt>
                <c:pt idx="11">
                  <c:v>0.0222407407407407</c:v>
                </c:pt>
                <c:pt idx="12">
                  <c:v>0.07</c:v>
                </c:pt>
                <c:pt idx="13">
                  <c:v>-0.0421186440677966</c:v>
                </c:pt>
                <c:pt idx="14">
                  <c:v>-0.00906150919467344</c:v>
                </c:pt>
                <c:pt idx="15">
                  <c:v>0.04</c:v>
                </c:pt>
                <c:pt idx="16">
                  <c:v>-0.08</c:v>
                </c:pt>
                <c:pt idx="17">
                  <c:v>-0.08</c:v>
                </c:pt>
                <c:pt idx="18">
                  <c:v>-0.08</c:v>
                </c:pt>
                <c:pt idx="19">
                  <c:v>-0.0266853303471444</c:v>
                </c:pt>
                <c:pt idx="20">
                  <c:v>-0.06</c:v>
                </c:pt>
                <c:pt idx="21">
                  <c:v>0.3102419882276</c:v>
                </c:pt>
                <c:pt idx="22">
                  <c:v>0.128717948717949</c:v>
                </c:pt>
                <c:pt idx="23">
                  <c:v>0.03</c:v>
                </c:pt>
                <c:pt idx="24">
                  <c:v>0.11</c:v>
                </c:pt>
                <c:pt idx="25">
                  <c:v>0.193527559055118</c:v>
                </c:pt>
                <c:pt idx="26">
                  <c:v>0.15</c:v>
                </c:pt>
                <c:pt idx="27">
                  <c:v>0.12375</c:v>
                </c:pt>
                <c:pt idx="28">
                  <c:v>0.14</c:v>
                </c:pt>
                <c:pt idx="29">
                  <c:v>0.0638899803536345</c:v>
                </c:pt>
                <c:pt idx="30">
                  <c:v>0.04</c:v>
                </c:pt>
                <c:pt idx="31">
                  <c:v>-0.00813464235624124</c:v>
                </c:pt>
                <c:pt idx="32">
                  <c:v>0.076311401020987</c:v>
                </c:pt>
                <c:pt idx="33">
                  <c:v>0.0807083333333334</c:v>
                </c:pt>
                <c:pt idx="34">
                  <c:v>0.15</c:v>
                </c:pt>
                <c:pt idx="35">
                  <c:v>0.170424836601307</c:v>
                </c:pt>
                <c:pt idx="36">
                  <c:v>0.1</c:v>
                </c:pt>
                <c:pt idx="37">
                  <c:v>0.0366325981710597</c:v>
                </c:pt>
                <c:pt idx="38">
                  <c:v>0.0594576271186441</c:v>
                </c:pt>
                <c:pt idx="39">
                  <c:v>0.04</c:v>
                </c:pt>
                <c:pt idx="40">
                  <c:v>0.06</c:v>
                </c:pt>
                <c:pt idx="41">
                  <c:v>0.117232704402516</c:v>
                </c:pt>
                <c:pt idx="42">
                  <c:v>0.15</c:v>
                </c:pt>
                <c:pt idx="43">
                  <c:v>0.14</c:v>
                </c:pt>
                <c:pt idx="44">
                  <c:v>0.09</c:v>
                </c:pt>
                <c:pt idx="45">
                  <c:v>0.07</c:v>
                </c:pt>
                <c:pt idx="46">
                  <c:v>0.06</c:v>
                </c:pt>
                <c:pt idx="47">
                  <c:v>0.01</c:v>
                </c:pt>
                <c:pt idx="48">
                  <c:v>0.13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Worksheet!$B$71</c:f>
              <c:strCache>
                <c:ptCount val="1"/>
                <c:pt idx="0">
                  <c:v>Hardware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Worksheet!$C$68:$BR$68</c:f>
              <c:strCache>
                <c:ptCount val="49"/>
                <c:pt idx="0" c:formatCode="#,##0.0_);[Red]\(#,##0.0\)">
                  <c:v>1Q 11</c:v>
                </c:pt>
                <c:pt idx="1" c:formatCode="#,##0.0_);[Red]\(#,##0.0\)">
                  <c:v>2Q 11</c:v>
                </c:pt>
                <c:pt idx="2" c:formatCode="#,##0.0_);[Red]\(#,##0.0\)">
                  <c:v>H1 11</c:v>
                </c:pt>
                <c:pt idx="3" c:formatCode="#,##0.0_);[Red]\(#,##0.0\)">
                  <c:v>3Q 11</c:v>
                </c:pt>
                <c:pt idx="4" c:formatCode="#,##0.0_);[Red]\(#,##0.0\)">
                  <c:v>9M 11</c:v>
                </c:pt>
                <c:pt idx="5" c:formatCode="#,##0.0_);[Red]\(#,##0.0\)">
                  <c:v>4Q 11</c:v>
                </c:pt>
                <c:pt idx="6" c:formatCode="#,##0.0_);[Red]\(#,##0.0\)">
                  <c:v>H2 11</c:v>
                </c:pt>
                <c:pt idx="7" c:formatCode="#,##0.0_);[Red]\(#,##0.0\)">
                  <c:v>FY 11</c:v>
                </c:pt>
                <c:pt idx="8" c:formatCode="#,##0.0_);[Red]\(#,##0.0\)">
                  <c:v>1Q 12</c:v>
                </c:pt>
                <c:pt idx="9" c:formatCode="#,##0.0_);[Red]\(#,##0.0\)">
                  <c:v>2Q 12</c:v>
                </c:pt>
                <c:pt idx="10" c:formatCode="#,##0.0_);[Red]\(#,##0.0\)">
                  <c:v>H1 12</c:v>
                </c:pt>
                <c:pt idx="11" c:formatCode="#,##0.0_);[Red]\(#,##0.0\)">
                  <c:v>3Q 12</c:v>
                </c:pt>
                <c:pt idx="12" c:formatCode="#,##0.0_);[Red]\(#,##0.0\)">
                  <c:v>9M 12</c:v>
                </c:pt>
                <c:pt idx="13" c:formatCode="#,##0.0_);[Red]\(#,##0.0\)">
                  <c:v>4Q 12</c:v>
                </c:pt>
                <c:pt idx="14" c:formatCode="#,##0.0_);[Red]\(#,##0.0\)">
                  <c:v>H2 12</c:v>
                </c:pt>
                <c:pt idx="15" c:formatCode="#,##0.0_);[Red]\(#,##0.0\)">
                  <c:v>FY 12</c:v>
                </c:pt>
                <c:pt idx="16" c:formatCode="#,##0.0_);[Red]\(#,##0.0\)">
                  <c:v>1Q13</c:v>
                </c:pt>
                <c:pt idx="17" c:formatCode="#,##0.0_);[Red]\(#,##0.0\)">
                  <c:v>2Q13</c:v>
                </c:pt>
                <c:pt idx="18" c:formatCode="#,##0.0_);[Red]\(#,##0.0\)">
                  <c:v>1H13</c:v>
                </c:pt>
                <c:pt idx="19" c:formatCode="#,##0.0_);[Red]\(#,##0.0\)">
                  <c:v>3Q13</c:v>
                </c:pt>
                <c:pt idx="20" c:formatCode="#,##0.0_);[Red]\(#,##0.0\)">
                  <c:v>9M13</c:v>
                </c:pt>
                <c:pt idx="21" c:formatCode="#,##0.0_);[Red]\(#,##0.0\)">
                  <c:v>4Q13</c:v>
                </c:pt>
                <c:pt idx="22" c:formatCode="#,##0.0_);[Red]\(#,##0.0\)">
                  <c:v>2H13</c:v>
                </c:pt>
                <c:pt idx="23" c:formatCode="#,##0.0_);[Red]\(#,##0.0\)">
                  <c:v>FY13</c:v>
                </c:pt>
                <c:pt idx="24" c:formatCode="#,##0.0_);[Red]\(#,##0.0\)">
                  <c:v>1Q14</c:v>
                </c:pt>
                <c:pt idx="25" c:formatCode="#,##0.0_);[Red]\(#,##0.0\)">
                  <c:v>2Q14</c:v>
                </c:pt>
                <c:pt idx="26" c:formatCode="#,##0.0_);[Red]\(#,##0.0\)">
                  <c:v>1H14</c:v>
                </c:pt>
                <c:pt idx="27" c:formatCode="#,##0.0_);[Red]\(#,##0.0\)">
                  <c:v>3Q14</c:v>
                </c:pt>
                <c:pt idx="28" c:formatCode="#,##0.0_);[Red]\(#,##0.0\)">
                  <c:v>9M14</c:v>
                </c:pt>
                <c:pt idx="29" c:formatCode="#,##0.0_);[Red]\(#,##0.0\)">
                  <c:v>4Q14</c:v>
                </c:pt>
                <c:pt idx="30" c:formatCode="#,##0.0_);[Red]\(#,##0.0\)">
                  <c:v>1Q15</c:v>
                </c:pt>
                <c:pt idx="31" c:formatCode="#,##0.0_);[Red]\(#,##0.0\)">
                  <c:v>2Q15</c:v>
                </c:pt>
                <c:pt idx="32" c:formatCode="#,##0.0_);[Red]\(#,##0.0\)">
                  <c:v>3Q15</c:v>
                </c:pt>
                <c:pt idx="33" c:formatCode="#,##0.0_);[Red]\(#,##0.0\)">
                  <c:v>4Q15</c:v>
                </c:pt>
                <c:pt idx="34" c:formatCode="#,##0.0_);[Red]\(#,##0.0\)">
                  <c:v>1Q16</c:v>
                </c:pt>
                <c:pt idx="35" c:formatCode="#,##0.0_);[Red]\(#,##0.0\)">
                  <c:v>2Q16</c:v>
                </c:pt>
                <c:pt idx="36" c:formatCode="#,##0.0_);[Red]\(#,##0.0\)">
                  <c:v>3Q16</c:v>
                </c:pt>
                <c:pt idx="37" c:formatCode="#,##0.0_);[Red]\(#,##0.0\)">
                  <c:v>4Q16</c:v>
                </c:pt>
                <c:pt idx="38" c:formatCode="#,##0.0_);[Red]\(#,##0.0\)">
                  <c:v>1Q17</c:v>
                </c:pt>
                <c:pt idx="39" c:formatCode="#,##0.0_);[Red]\(#,##0.0\)">
                  <c:v>2Q17</c:v>
                </c:pt>
                <c:pt idx="40" c:formatCode="#,##0.0_);[Red]\(#,##0.0\)">
                  <c:v>3Q17</c:v>
                </c:pt>
                <c:pt idx="41" c:formatCode="#,##0.0_);[Red]\(#,##0.0\)">
                  <c:v>4Q17</c:v>
                </c:pt>
                <c:pt idx="42" c:formatCode="#,##0.0_);[Red]\(#,##0.0\)">
                  <c:v>1Q18</c:v>
                </c:pt>
                <c:pt idx="43" c:formatCode="#,##0.0_);[Red]\(#,##0.0\)">
                  <c:v>2Q18</c:v>
                </c:pt>
                <c:pt idx="44" c:formatCode="#,##0.0_);[Red]\(#,##0.0\)">
                  <c:v>3Q18</c:v>
                </c:pt>
                <c:pt idx="45" c:formatCode="#,##0.0_);[Red]\(#,##0.0\)">
                  <c:v>4Q18</c:v>
                </c:pt>
                <c:pt idx="46" c:formatCode="#,##0.0_);[Red]\(#,##0.0\)">
                  <c:v>1Q19</c:v>
                </c:pt>
                <c:pt idx="47" c:formatCode="#,##0.0_);[Red]\(#,##0.0\)">
                  <c:v>2Q19</c:v>
                </c:pt>
                <c:pt idx="48" c:formatCode="#,##0.0_);[Red]\(#,##0.0\)">
                  <c:v>3Q19</c:v>
                </c:pt>
              </c:strCache>
            </c:strRef>
          </c:cat>
          <c:val>
            <c:numRef>
              <c:f>Worksheet!$C$71:$BR$71</c:f>
              <c:numCache>
                <c:formatCode>0.0%</c:formatCode>
                <c:ptCount val="49"/>
                <c:pt idx="0">
                  <c:v>0.17</c:v>
                </c:pt>
                <c:pt idx="1">
                  <c:v>0.028356940509915</c:v>
                </c:pt>
                <c:pt idx="2">
                  <c:v>0.09</c:v>
                </c:pt>
                <c:pt idx="3">
                  <c:v>0.1490625</c:v>
                </c:pt>
                <c:pt idx="4">
                  <c:v>0.11</c:v>
                </c:pt>
                <c:pt idx="5">
                  <c:v>0.0657608695652175</c:v>
                </c:pt>
                <c:pt idx="6">
                  <c:v>0.110486577181208</c:v>
                </c:pt>
                <c:pt idx="7">
                  <c:v>0.1</c:v>
                </c:pt>
                <c:pt idx="8">
                  <c:v>0.31</c:v>
                </c:pt>
                <c:pt idx="9">
                  <c:v>0.290596590909091</c:v>
                </c:pt>
                <c:pt idx="10">
                  <c:v>0.3</c:v>
                </c:pt>
                <c:pt idx="11">
                  <c:v>0.00485714285714295</c:v>
                </c:pt>
                <c:pt idx="12">
                  <c:v>0.2</c:v>
                </c:pt>
                <c:pt idx="13">
                  <c:v>0.0713057324840764</c:v>
                </c:pt>
                <c:pt idx="14">
                  <c:v>0.0362801204819277</c:v>
                </c:pt>
                <c:pt idx="15">
                  <c:v>0.17</c:v>
                </c:pt>
                <c:pt idx="16">
                  <c:v>0.13</c:v>
                </c:pt>
                <c:pt idx="17">
                  <c:v>0.0156854838709677</c:v>
                </c:pt>
                <c:pt idx="18">
                  <c:v>0.07</c:v>
                </c:pt>
                <c:pt idx="19">
                  <c:v>0.13921875</c:v>
                </c:pt>
                <c:pt idx="20">
                  <c:v>0.09</c:v>
                </c:pt>
                <c:pt idx="21">
                  <c:v>0.383157894736842</c:v>
                </c:pt>
                <c:pt idx="22">
                  <c:v>0.254132231404959</c:v>
                </c:pt>
                <c:pt idx="23">
                  <c:v>0.15</c:v>
                </c:pt>
                <c:pt idx="24">
                  <c:v>-0.13</c:v>
                </c:pt>
                <c:pt idx="25">
                  <c:v>-0.0288636363636364</c:v>
                </c:pt>
                <c:pt idx="26">
                  <c:v>-0.08</c:v>
                </c:pt>
                <c:pt idx="27">
                  <c:v>-0.08</c:v>
                </c:pt>
                <c:pt idx="28">
                  <c:v>-0.08</c:v>
                </c:pt>
                <c:pt idx="29">
                  <c:v>-0.121902552204176</c:v>
                </c:pt>
                <c:pt idx="30">
                  <c:v>-0.1</c:v>
                </c:pt>
                <c:pt idx="31">
                  <c:v>-0.159534090909091</c:v>
                </c:pt>
                <c:pt idx="32">
                  <c:v>0.0906857923497268</c:v>
                </c:pt>
                <c:pt idx="33">
                  <c:v>-0.13019689119171</c:v>
                </c:pt>
                <c:pt idx="34">
                  <c:v>0.11</c:v>
                </c:pt>
                <c:pt idx="35">
                  <c:v>0.149277108433735</c:v>
                </c:pt>
                <c:pt idx="36">
                  <c:v>0.05</c:v>
                </c:pt>
                <c:pt idx="37">
                  <c:v>0.0449008498583569</c:v>
                </c:pt>
                <c:pt idx="38">
                  <c:v>-0.0112558139534884</c:v>
                </c:pt>
                <c:pt idx="39">
                  <c:v>0.03</c:v>
                </c:pt>
                <c:pt idx="40">
                  <c:v>0.01</c:v>
                </c:pt>
                <c:pt idx="41">
                  <c:v>0.24027397260274</c:v>
                </c:pt>
                <c:pt idx="42">
                  <c:v>0.39</c:v>
                </c:pt>
                <c:pt idx="43">
                  <c:v>0.06</c:v>
                </c:pt>
                <c:pt idx="44">
                  <c:v>0.03</c:v>
                </c:pt>
                <c:pt idx="45">
                  <c:v>-0.39</c:v>
                </c:pt>
                <c:pt idx="46">
                  <c:v>0.13</c:v>
                </c:pt>
                <c:pt idx="47">
                  <c:v>0.12</c:v>
                </c:pt>
                <c:pt idx="48">
                  <c:v>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755712"/>
        <c:axId val="890900864"/>
      </c:lineChart>
      <c:catAx>
        <c:axId val="89075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900864"/>
        <c:crosses val="autoZero"/>
        <c:auto val="1"/>
        <c:lblAlgn val="ctr"/>
        <c:lblOffset val="100"/>
        <c:noMultiLvlLbl val="0"/>
      </c:catAx>
      <c:valAx>
        <c:axId val="89090086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755712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f2ee72-8fdc-42d6-9355-0f3a1a79235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Worksheet!$B$205</c:f>
              <c:strCache>
                <c:ptCount val="1"/>
                <c:pt idx="0">
                  <c:v>W Europe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Worksheet!$C$205:$P$205</c:f>
              <c:numCache>
                <c:formatCode>0.0%</c:formatCode>
                <c:ptCount val="14"/>
                <c:pt idx="0">
                  <c:v>0.173780384919589</c:v>
                </c:pt>
                <c:pt idx="1">
                  <c:v>0.196584049350077</c:v>
                </c:pt>
                <c:pt idx="3">
                  <c:v>0.127488137670535</c:v>
                </c:pt>
                <c:pt idx="5">
                  <c:v>-0.00419949121575084</c:v>
                </c:pt>
                <c:pt idx="8">
                  <c:v>0.0305633922501697</c:v>
                </c:pt>
                <c:pt idx="9">
                  <c:v>-0.118624117586989</c:v>
                </c:pt>
                <c:pt idx="11">
                  <c:v>0.23854644895371</c:v>
                </c:pt>
                <c:pt idx="13">
                  <c:v>0.0877829896907216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Worksheet!$B$206</c:f>
              <c:strCache>
                <c:ptCount val="1"/>
                <c:pt idx="0">
                  <c:v>N America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Worksheet!$C$206:$P$206</c:f>
              <c:numCache>
                <c:formatCode>0.0%</c:formatCode>
                <c:ptCount val="14"/>
                <c:pt idx="0">
                  <c:v>0.0534077582318448</c:v>
                </c:pt>
                <c:pt idx="1">
                  <c:v>0.240575163398693</c:v>
                </c:pt>
                <c:pt idx="3">
                  <c:v>0.274587045720985</c:v>
                </c:pt>
                <c:pt idx="5">
                  <c:v>0.152588070175439</c:v>
                </c:pt>
                <c:pt idx="8">
                  <c:v>0.0750964163822525</c:v>
                </c:pt>
                <c:pt idx="9">
                  <c:v>-0.0855628157619744</c:v>
                </c:pt>
                <c:pt idx="11">
                  <c:v>0.174993803938924</c:v>
                </c:pt>
                <c:pt idx="13">
                  <c:v>0.118805288932419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Worksheet!$B$207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Worksheet!$C$207:$P$207</c:f>
              <c:numCache>
                <c:formatCode>0.0%</c:formatCode>
                <c:ptCount val="14"/>
                <c:pt idx="0">
                  <c:v>0.120529776674938</c:v>
                </c:pt>
                <c:pt idx="1">
                  <c:v>0.159339315759955</c:v>
                </c:pt>
                <c:pt idx="3">
                  <c:v>0.125567302137493</c:v>
                </c:pt>
                <c:pt idx="5">
                  <c:v>0.0565196643943366</c:v>
                </c:pt>
                <c:pt idx="8">
                  <c:v>0.0736120024494796</c:v>
                </c:pt>
                <c:pt idx="9">
                  <c:v>-0.161409638554217</c:v>
                </c:pt>
                <c:pt idx="11">
                  <c:v>0.453463768115942</c:v>
                </c:pt>
                <c:pt idx="13">
                  <c:v>0.437850725639254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Worksheet!$B$208</c:f>
              <c:strCache>
                <c:ptCount val="1"/>
                <c:pt idx="0">
                  <c:v>Gt China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Worksheet!$C$208:$P$208</c:f>
              <c:numCache>
                <c:formatCode>0.0%</c:formatCode>
                <c:ptCount val="14"/>
                <c:pt idx="0">
                  <c:v>0.175889137737962</c:v>
                </c:pt>
                <c:pt idx="1">
                  <c:v>0.275063183475091</c:v>
                </c:pt>
                <c:pt idx="3">
                  <c:v>0.27611196013289</c:v>
                </c:pt>
                <c:pt idx="5">
                  <c:v>0.151671630428163</c:v>
                </c:pt>
                <c:pt idx="8">
                  <c:v>0.100579190589553</c:v>
                </c:pt>
                <c:pt idx="9">
                  <c:v>-0.171865850287277</c:v>
                </c:pt>
                <c:pt idx="11">
                  <c:v>0.0414880239520958</c:v>
                </c:pt>
                <c:pt idx="13">
                  <c:v>-0.361017185120731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Worksheet!$B$210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Worksheet!$C$210:$P$210</c:f>
              <c:numCache>
                <c:formatCode>0.0%</c:formatCode>
                <c:ptCount val="14"/>
                <c:pt idx="0">
                  <c:v>-0.102234061930783</c:v>
                </c:pt>
                <c:pt idx="1">
                  <c:v>0.0308227334235453</c:v>
                </c:pt>
                <c:pt idx="3">
                  <c:v>-0.135983799705449</c:v>
                </c:pt>
                <c:pt idx="5">
                  <c:v>0.0131590909090909</c:v>
                </c:pt>
                <c:pt idx="8">
                  <c:v>0.0840993265993267</c:v>
                </c:pt>
                <c:pt idx="9">
                  <c:v>0.000191198786038943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Worksheet!$B$211</c:f>
              <c:strCache>
                <c:ptCount val="1"/>
                <c:pt idx="0">
                  <c:v>EM (MEAA pre 2018)</c:v>
                </c:pt>
              </c:strCache>
            </c:strRef>
          </c:tx>
          <c:spPr>
            <a:ln w="28575" cap="rnd" cmpd="sng" algn="ctr">
              <a:solidFill>
                <a:srgbClr val="0070C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Worksheet!$C$211:$P$211</c:f>
              <c:numCache>
                <c:formatCode>0.0%</c:formatCode>
                <c:ptCount val="14"/>
                <c:pt idx="0">
                  <c:v>0.13701974025974</c:v>
                </c:pt>
                <c:pt idx="1">
                  <c:v>0.162443048576214</c:v>
                </c:pt>
                <c:pt idx="3">
                  <c:v>0.0991638733705773</c:v>
                </c:pt>
                <c:pt idx="5">
                  <c:v>-0.0278699690402476</c:v>
                </c:pt>
                <c:pt idx="8">
                  <c:v>0.124286713286713</c:v>
                </c:pt>
                <c:pt idx="9">
                  <c:v>-0.178486943164364</c:v>
                </c:pt>
                <c:pt idx="11">
                  <c:v>0.0797004320691312</c:v>
                </c:pt>
                <c:pt idx="13">
                  <c:v>0.0366313617606603</c:v>
                </c:pt>
              </c:numCache>
            </c:numRef>
          </c:val>
          <c:smooth val="0"/>
        </c:ser>
        <c:ser>
          <c:idx val="7"/>
          <c:order val="6"/>
          <c:tx>
            <c:strRef>
              <c:f>Worksheet!$B$212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Worksheet!$C$204:$P$204</c:f>
              <c:strCache>
                <c:ptCount val="14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</c:strCache>
            </c:strRef>
          </c:cat>
          <c:val>
            <c:numRef>
              <c:f>Worksheet!$C$212:$P$212</c:f>
              <c:numCache>
                <c:formatCode>0.0%</c:formatCode>
                <c:ptCount val="14"/>
                <c:pt idx="0">
                  <c:v>0.0963410858047203</c:v>
                </c:pt>
                <c:pt idx="1">
                  <c:v>0.1815992905705</c:v>
                </c:pt>
                <c:pt idx="3">
                  <c:v>0.159997786824436</c:v>
                </c:pt>
                <c:pt idx="5">
                  <c:v>0.0842075596191913</c:v>
                </c:pt>
                <c:pt idx="8">
                  <c:v>0.0605195710700433</c:v>
                </c:pt>
                <c:pt idx="9">
                  <c:v>-0.134484943113378</c:v>
                </c:pt>
                <c:pt idx="11">
                  <c:v>0.16</c:v>
                </c:pt>
                <c:pt idx="13">
                  <c:v>0.0104352453612131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954112"/>
        <c:axId val="890955648"/>
      </c:lineChart>
      <c:catAx>
        <c:axId val="890954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955648"/>
        <c:crosses val="autoZero"/>
        <c:auto val="1"/>
        <c:lblAlgn val="ctr"/>
        <c:lblOffset val="100"/>
        <c:noMultiLvlLbl val="0"/>
      </c:catAx>
      <c:valAx>
        <c:axId val="89095564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954112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759c72-ba2a-46d7-a65e-20dff98034b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Worksheet!$W$205:$X$205</c:f>
              <c:strCache>
                <c:ptCount val="1"/>
                <c:pt idx="0">
                  <c:v>EBIT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Worksheet!$Y$204:$AL$204</c:f>
              <c:strCache>
                <c:ptCount val="11"/>
                <c:pt idx="0">
                  <c:v>W Europe</c:v>
                </c:pt>
                <c:pt idx="2">
                  <c:v>N America</c:v>
                </c:pt>
                <c:pt idx="4">
                  <c:v>Latam</c:v>
                </c:pt>
                <c:pt idx="5">
                  <c:v>LatAm</c:v>
                </c:pt>
                <c:pt idx="6">
                  <c:v>AsiaPac</c:v>
                </c:pt>
                <c:pt idx="7" c:formatCode="#,##0.0_);[Red]\(#,##0.0\)">
                  <c:v>Asia-Pac</c:v>
                </c:pt>
                <c:pt idx="8" c:formatCode="#,##0.0_);[Red]\(#,##0.0\)">
                  <c:v>EM</c:v>
                </c:pt>
                <c:pt idx="10">
                  <c:v>Total</c:v>
                </c:pt>
              </c:strCache>
            </c:strRef>
          </c:cat>
          <c:val>
            <c:numRef>
              <c:f>Worksheet!$Y$205:$AL$205</c:f>
              <c:numCache>
                <c:formatCode>General</c:formatCode>
                <c:ptCount val="11"/>
                <c:pt idx="0">
                  <c:v>0</c:v>
                </c:pt>
                <c:pt idx="2">
                  <c:v>-40</c:v>
                </c:pt>
                <c:pt idx="5">
                  <c:v>650</c:v>
                </c:pt>
                <c:pt idx="6">
                  <c:v>-20</c:v>
                </c:pt>
                <c:pt idx="8">
                  <c:v>210</c:v>
                </c:pt>
                <c:pt idx="10">
                  <c:v>180</c:v>
                </c:pt>
              </c:numCache>
            </c:numRef>
          </c:val>
        </c:ser>
        <c:ser>
          <c:idx val="1"/>
          <c:order val="1"/>
          <c:tx>
            <c:strRef>
              <c:f>Worksheet!$W$206:$X$206</c:f>
              <c:strCache>
                <c:ptCount val="1"/>
                <c:pt idx="0">
                  <c:v>GM%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Worksheet!$Y$204:$AL$204</c:f>
              <c:strCache>
                <c:ptCount val="11"/>
                <c:pt idx="0">
                  <c:v>W Europe</c:v>
                </c:pt>
                <c:pt idx="2">
                  <c:v>N America</c:v>
                </c:pt>
                <c:pt idx="4">
                  <c:v>Latam</c:v>
                </c:pt>
                <c:pt idx="5">
                  <c:v>LatAm</c:v>
                </c:pt>
                <c:pt idx="6">
                  <c:v>AsiaPac</c:v>
                </c:pt>
                <c:pt idx="7" c:formatCode="#,##0.0_);[Red]\(#,##0.0\)">
                  <c:v>Asia-Pac</c:v>
                </c:pt>
                <c:pt idx="8" c:formatCode="#,##0.0_);[Red]\(#,##0.0\)">
                  <c:v>EM</c:v>
                </c:pt>
                <c:pt idx="10">
                  <c:v>Total</c:v>
                </c:pt>
              </c:strCache>
            </c:strRef>
          </c:cat>
          <c:val>
            <c:numRef>
              <c:f>Worksheet!$Y$206:$AL$206</c:f>
              <c:numCache>
                <c:formatCode>General</c:formatCode>
                <c:ptCount val="11"/>
                <c:pt idx="0">
                  <c:v>100</c:v>
                </c:pt>
                <c:pt idx="2">
                  <c:v>-30</c:v>
                </c:pt>
                <c:pt idx="5">
                  <c:v>450</c:v>
                </c:pt>
                <c:pt idx="6">
                  <c:v>20</c:v>
                </c:pt>
                <c:pt idx="8">
                  <c:v>370</c:v>
                </c:pt>
                <c:pt idx="10">
                  <c:v>150</c:v>
                </c:pt>
              </c:numCache>
            </c:numRef>
          </c:val>
        </c:ser>
        <c:ser>
          <c:idx val="2"/>
          <c:order val="2"/>
          <c:tx>
            <c:strRef>
              <c:f>Worksheet!$W$207:$X$207</c:f>
              <c:strCache>
                <c:ptCount val="1"/>
                <c:pt idx="0">
                  <c:v>Opex/sales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Worksheet!$Y$204:$AL$204</c:f>
              <c:strCache>
                <c:ptCount val="11"/>
                <c:pt idx="0">
                  <c:v>W Europe</c:v>
                </c:pt>
                <c:pt idx="2">
                  <c:v>N America</c:v>
                </c:pt>
                <c:pt idx="4">
                  <c:v>Latam</c:v>
                </c:pt>
                <c:pt idx="5">
                  <c:v>LatAm</c:v>
                </c:pt>
                <c:pt idx="6">
                  <c:v>AsiaPac</c:v>
                </c:pt>
                <c:pt idx="7" c:formatCode="#,##0.0_);[Red]\(#,##0.0\)">
                  <c:v>Asia-Pac</c:v>
                </c:pt>
                <c:pt idx="8" c:formatCode="#,##0.0_);[Red]\(#,##0.0\)">
                  <c:v>EM</c:v>
                </c:pt>
                <c:pt idx="10">
                  <c:v>Total</c:v>
                </c:pt>
              </c:strCache>
            </c:strRef>
          </c:cat>
          <c:val>
            <c:numRef>
              <c:f>Worksheet!$Y$207:$AL$207</c:f>
              <c:numCache>
                <c:formatCode>General</c:formatCode>
                <c:ptCount val="11"/>
                <c:pt idx="0">
                  <c:v>-100</c:v>
                </c:pt>
                <c:pt idx="2">
                  <c:v>-10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-40</c:v>
                </c:pt>
                <c:pt idx="7">
                  <c:v>0</c:v>
                </c:pt>
                <c:pt idx="8">
                  <c:v>-160</c:v>
                </c:pt>
                <c:pt idx="9">
                  <c:v>0</c:v>
                </c:pt>
                <c:pt idx="10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977280"/>
        <c:axId val="890983168"/>
      </c:barChart>
      <c:catAx>
        <c:axId val="89097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983168"/>
        <c:crosses val="autoZero"/>
        <c:auto val="1"/>
        <c:lblAlgn val="ctr"/>
        <c:lblOffset val="100"/>
        <c:noMultiLvlLbl val="0"/>
      </c:catAx>
      <c:valAx>
        <c:axId val="89098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977280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d7347d-56d7-4898-9fdb-8852872ca126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Worksheet!$AP$203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Worksheet!$AP$204:$AP$210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Worksheet!$AO$204:$AO$210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Worksheet!$AQ$203</c:f>
              <c:strCache>
                <c:ptCount val="1"/>
                <c:pt idx="0">
                  <c:v>1Q17</c:v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Worksheet!$AQ$204:$AQ$210</c:f>
              <c:numCache>
                <c:formatCode>0%</c:formatCode>
                <c:ptCount val="7"/>
                <c:pt idx="0">
                  <c:v>0.216</c:v>
                </c:pt>
                <c:pt idx="1">
                  <c:v>0.098</c:v>
                </c:pt>
                <c:pt idx="2">
                  <c:v>0.109</c:v>
                </c:pt>
                <c:pt idx="3">
                  <c:v>0.358</c:v>
                </c:pt>
                <c:pt idx="4">
                  <c:v>0.082</c:v>
                </c:pt>
                <c:pt idx="5">
                  <c:v>0.265</c:v>
                </c:pt>
                <c:pt idx="6">
                  <c:v>0.223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Worksheet!$AO$204:$AO$210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strRef>
              <c:f>Worksheet!$AR$203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Worksheet!$AR$204:$AR$210</c:f>
              <c:numCache>
                <c:formatCode>0%</c:formatCode>
                <c:ptCount val="7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Worksheet!$AO$204:$AO$210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3"/>
          <c:order val="3"/>
          <c:tx>
            <c:strRef>
              <c:f>Worksheet!$AS$203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Worksheet!$AS$204:$AS$210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Worksheet!$AO$204:$AO$210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4"/>
          <c:order val="4"/>
          <c:tx>
            <c:strRef>
              <c:f>Worksheet!$AT$203</c:f>
              <c:strCache>
                <c:ptCount val="1"/>
                <c:pt idx="0">
                  <c:v>1Q18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delete val="1"/>
          </c:dLbls>
          <c:val>
            <c:numRef>
              <c:f>Worksheet!$AT$204:$AT$210</c:f>
              <c:numCache>
                <c:formatCode>0%</c:formatCode>
                <c:ptCount val="7"/>
                <c:pt idx="0">
                  <c:v>0.216</c:v>
                </c:pt>
                <c:pt idx="1">
                  <c:v>0.095</c:v>
                </c:pt>
                <c:pt idx="2">
                  <c:v>0.173</c:v>
                </c:pt>
                <c:pt idx="3">
                  <c:v>0.357</c:v>
                </c:pt>
                <c:pt idx="4">
                  <c:v>0.154</c:v>
                </c:pt>
                <c:pt idx="5">
                  <c:v>0.286</c:v>
                </c:pt>
                <c:pt idx="6">
                  <c:v>0.232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Worksheet!$AO$204:$AO$210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939200"/>
        <c:axId val="907949184"/>
      </c:barChart>
      <c:catAx>
        <c:axId val="90793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7949184"/>
        <c:crosses val="autoZero"/>
        <c:auto val="1"/>
        <c:lblAlgn val="ctr"/>
        <c:lblOffset val="100"/>
        <c:noMultiLvlLbl val="0"/>
      </c:catAx>
      <c:valAx>
        <c:axId val="907949184"/>
        <c:scaling>
          <c:orientation val="minMax"/>
          <c:max val="0.36"/>
          <c:min val="0.04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793920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e5575-a19f-40fd-991c-4fa37888d69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Worksheet!$B$10</c:f>
              <c:strCache>
                <c:ptCount val="1"/>
                <c:pt idx="0">
                  <c:v>- online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Worksheet!$AQ$9:$CL$9</c:f>
              <c:strCache>
                <c:ptCount val="27"/>
                <c:pt idx="0" c:formatCode="#,##0.0_);[Red]\(#,##0.0\)">
                  <c:v>1Q13</c:v>
                </c:pt>
                <c:pt idx="1" c:formatCode="#,##0.0_);[Red]\(#,##0.0\)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4" c:formatCode="#,##0.0_);[Red]\(#,##0.0\)">
                  <c:v>1Q14</c:v>
                </c:pt>
                <c:pt idx="5" c:formatCode="#,##0.0_);[Red]\(#,##0.0\)">
                  <c:v>2Q14</c:v>
                </c:pt>
                <c:pt idx="6" c:formatCode="#,##0.0_);[Red]\(#,##0.0\)">
                  <c:v>3Q14</c:v>
                </c:pt>
                <c:pt idx="7" c:formatCode="#,##0.0_);[Red]\(#,##0.0\)">
                  <c:v>4Q14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3Q15</c:v>
                </c:pt>
                <c:pt idx="11" c:formatCode="#,##0.0_);[Red]\(#,##0.0\)">
                  <c:v>4Q15</c:v>
                </c:pt>
                <c:pt idx="12" c:formatCode="#,##0.0_);[Red]\(#,##0.0\)">
                  <c:v>1Q16</c:v>
                </c:pt>
                <c:pt idx="13" c:formatCode="#,##0.0_);[Red]\(#,##0.0\)">
                  <c:v>2Q16</c:v>
                </c:pt>
                <c:pt idx="14" c:formatCode="#,##0.0_);[Red]\(#,##0.0\)">
                  <c:v>3Q16</c:v>
                </c:pt>
                <c:pt idx="15" c:formatCode="#,##0.0_);[Red]\(#,##0.0\)">
                  <c:v>4Q16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3Q17</c:v>
                </c:pt>
                <c:pt idx="19" c:formatCode="#,##0.0_);[Red]\(#,##0.0\)">
                  <c:v>4Q17</c:v>
                </c:pt>
                <c:pt idx="20" c:formatCode="#,##0.0_);[Red]\(#,##0.0\)">
                  <c:v>1Q18</c:v>
                </c:pt>
                <c:pt idx="21" c:formatCode="#,##0.0_);[Red]\(#,##0.0\)">
                  <c:v>2Q18</c:v>
                </c:pt>
                <c:pt idx="22" c:formatCode="#,##0.0_);[Red]\(#,##0.0\)">
                  <c:v>3Q18</c:v>
                </c:pt>
                <c:pt idx="23" c:formatCode="#,##0.0_);[Red]\(#,##0.0\)">
                  <c:v>4Q18</c:v>
                </c:pt>
                <c:pt idx="24" c:formatCode="#,##0.0_);[Red]\(#,##0.0\)">
                  <c:v>1Q19</c:v>
                </c:pt>
                <c:pt idx="25" c:formatCode="#,##0.0_);[Red]\(#,##0.0\)">
                  <c:v>2Q19</c:v>
                </c:pt>
                <c:pt idx="26" c:formatCode="#,##0.0_);[Red]\(#,##0.0\)">
                  <c:v>3Q19</c:v>
                </c:pt>
              </c:strCache>
            </c:strRef>
          </c:cat>
          <c:val>
            <c:numRef>
              <c:f>Worksheet!$AQ$10:$CL$10</c:f>
              <c:numCache>
                <c:formatCode>0%</c:formatCode>
                <c:ptCount val="27"/>
                <c:pt idx="0">
                  <c:v>0.0318529498962348</c:v>
                </c:pt>
                <c:pt idx="1">
                  <c:v>0.0370056329676846</c:v>
                </c:pt>
                <c:pt idx="2">
                  <c:v>0.0267002668247851</c:v>
                </c:pt>
                <c:pt idx="3">
                  <c:v>0.0260103745026027</c:v>
                </c:pt>
                <c:pt idx="4">
                  <c:v>0.0522344747533372</c:v>
                </c:pt>
                <c:pt idx="5">
                  <c:v>0.0428032501450958</c:v>
                </c:pt>
                <c:pt idx="6">
                  <c:v>0.0725478816018572</c:v>
                </c:pt>
                <c:pt idx="7">
                  <c:v>0.0449796865931515</c:v>
                </c:pt>
                <c:pt idx="8">
                  <c:v>0.061854722558526</c:v>
                </c:pt>
                <c:pt idx="9">
                  <c:v>0.064063819792759</c:v>
                </c:pt>
                <c:pt idx="10">
                  <c:v>0.0245722506111541</c:v>
                </c:pt>
                <c:pt idx="11">
                  <c:v>0.0403383071508138</c:v>
                </c:pt>
                <c:pt idx="12">
                  <c:v>0.0698988388262852</c:v>
                </c:pt>
                <c:pt idx="13">
                  <c:v>0.075391805004707</c:v>
                </c:pt>
                <c:pt idx="14">
                  <c:v>0.0811067932480145</c:v>
                </c:pt>
                <c:pt idx="15">
                  <c:v>0.118955045171212</c:v>
                </c:pt>
                <c:pt idx="16">
                  <c:v>0.105991001699711</c:v>
                </c:pt>
                <c:pt idx="17">
                  <c:v>0.131988794569451</c:v>
                </c:pt>
                <c:pt idx="18">
                  <c:v>0.0779933786092211</c:v>
                </c:pt>
                <c:pt idx="19">
                  <c:v>0.13790484498309</c:v>
                </c:pt>
                <c:pt idx="20">
                  <c:v>0.0696069255120147</c:v>
                </c:pt>
                <c:pt idx="21">
                  <c:v>0.0670288912337919</c:v>
                </c:pt>
                <c:pt idx="22">
                  <c:v>0.19593060514493</c:v>
                </c:pt>
                <c:pt idx="23">
                  <c:v>0.0618728226773464</c:v>
                </c:pt>
                <c:pt idx="24">
                  <c:v>0.121886688410018</c:v>
                </c:pt>
                <c:pt idx="25">
                  <c:v>0.112745186779267</c:v>
                </c:pt>
                <c:pt idx="26">
                  <c:v>0.0426603409435063</c:v>
                </c:pt>
              </c:numCache>
            </c:numRef>
          </c:val>
        </c:ser>
        <c:ser>
          <c:idx val="1"/>
          <c:order val="1"/>
          <c:tx>
            <c:strRef>
              <c:f>Worksheet!$B$11</c:f>
              <c:strCache>
                <c:ptCount val="1"/>
                <c:pt idx="0">
                  <c:v>- store LFL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Worksheet!$AQ$9:$CL$9</c:f>
              <c:strCache>
                <c:ptCount val="27"/>
                <c:pt idx="0" c:formatCode="#,##0.0_);[Red]\(#,##0.0\)">
                  <c:v>1Q13</c:v>
                </c:pt>
                <c:pt idx="1" c:formatCode="#,##0.0_);[Red]\(#,##0.0\)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4" c:formatCode="#,##0.0_);[Red]\(#,##0.0\)">
                  <c:v>1Q14</c:v>
                </c:pt>
                <c:pt idx="5" c:formatCode="#,##0.0_);[Red]\(#,##0.0\)">
                  <c:v>2Q14</c:v>
                </c:pt>
                <c:pt idx="6" c:formatCode="#,##0.0_);[Red]\(#,##0.0\)">
                  <c:v>3Q14</c:v>
                </c:pt>
                <c:pt idx="7" c:formatCode="#,##0.0_);[Red]\(#,##0.0\)">
                  <c:v>4Q14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3Q15</c:v>
                </c:pt>
                <c:pt idx="11" c:formatCode="#,##0.0_);[Red]\(#,##0.0\)">
                  <c:v>4Q15</c:v>
                </c:pt>
                <c:pt idx="12" c:formatCode="#,##0.0_);[Red]\(#,##0.0\)">
                  <c:v>1Q16</c:v>
                </c:pt>
                <c:pt idx="13" c:formatCode="#,##0.0_);[Red]\(#,##0.0\)">
                  <c:v>2Q16</c:v>
                </c:pt>
                <c:pt idx="14" c:formatCode="#,##0.0_);[Red]\(#,##0.0\)">
                  <c:v>3Q16</c:v>
                </c:pt>
                <c:pt idx="15" c:formatCode="#,##0.0_);[Red]\(#,##0.0\)">
                  <c:v>4Q16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3Q17</c:v>
                </c:pt>
                <c:pt idx="19" c:formatCode="#,##0.0_);[Red]\(#,##0.0\)">
                  <c:v>4Q17</c:v>
                </c:pt>
                <c:pt idx="20" c:formatCode="#,##0.0_);[Red]\(#,##0.0\)">
                  <c:v>1Q18</c:v>
                </c:pt>
                <c:pt idx="21" c:formatCode="#,##0.0_);[Red]\(#,##0.0\)">
                  <c:v>2Q18</c:v>
                </c:pt>
                <c:pt idx="22" c:formatCode="#,##0.0_);[Red]\(#,##0.0\)">
                  <c:v>3Q18</c:v>
                </c:pt>
                <c:pt idx="23" c:formatCode="#,##0.0_);[Red]\(#,##0.0\)">
                  <c:v>4Q18</c:v>
                </c:pt>
                <c:pt idx="24" c:formatCode="#,##0.0_);[Red]\(#,##0.0\)">
                  <c:v>1Q19</c:v>
                </c:pt>
                <c:pt idx="25" c:formatCode="#,##0.0_);[Red]\(#,##0.0\)">
                  <c:v>2Q19</c:v>
                </c:pt>
                <c:pt idx="26" c:formatCode="#,##0.0_);[Red]\(#,##0.0\)">
                  <c:v>3Q19</c:v>
                </c:pt>
              </c:strCache>
            </c:strRef>
          </c:cat>
          <c:val>
            <c:numRef>
              <c:f>Worksheet!$AQ$11:$CL$11</c:f>
              <c:numCache>
                <c:formatCode>0%</c:formatCode>
                <c:ptCount val="27"/>
                <c:pt idx="0">
                  <c:v>-0.01</c:v>
                </c:pt>
                <c:pt idx="1">
                  <c:v>-0.02</c:v>
                </c:pt>
                <c:pt idx="2">
                  <c:v>-0.03</c:v>
                </c:pt>
                <c:pt idx="3">
                  <c:v>0.03</c:v>
                </c:pt>
                <c:pt idx="4">
                  <c:v>0.08</c:v>
                </c:pt>
                <c:pt idx="5">
                  <c:v>0.1</c:v>
                </c:pt>
                <c:pt idx="6">
                  <c:v>0.06</c:v>
                </c:pt>
                <c:pt idx="7">
                  <c:v>0.09</c:v>
                </c:pt>
                <c:pt idx="8">
                  <c:v>0.04</c:v>
                </c:pt>
                <c:pt idx="9">
                  <c:v>-0.02</c:v>
                </c:pt>
                <c:pt idx="10">
                  <c:v>0.03</c:v>
                </c:pt>
                <c:pt idx="11">
                  <c:v>0.05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0.0937682403433476</c:v>
                </c:pt>
                <c:pt idx="16">
                  <c:v>0.05</c:v>
                </c:pt>
                <c:pt idx="17">
                  <c:v>0.06</c:v>
                </c:pt>
                <c:pt idx="18">
                  <c:v>0.02</c:v>
                </c:pt>
                <c:pt idx="19">
                  <c:v>0.05625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0.04</c:v>
                </c:pt>
                <c:pt idx="24">
                  <c:v>0.06</c:v>
                </c:pt>
                <c:pt idx="25">
                  <c:v>0.05</c:v>
                </c:pt>
                <c:pt idx="26">
                  <c:v>0.06</c:v>
                </c:pt>
              </c:numCache>
            </c:numRef>
          </c:val>
        </c:ser>
        <c:ser>
          <c:idx val="2"/>
          <c:order val="2"/>
          <c:tx>
            <c:strRef>
              <c:f>Worksheet!$B$12</c:f>
              <c:strCache>
                <c:ptCount val="1"/>
                <c:pt idx="0">
                  <c:v>- space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Worksheet!$AQ$9:$CL$9</c:f>
              <c:strCache>
                <c:ptCount val="27"/>
                <c:pt idx="0" c:formatCode="#,##0.0_);[Red]\(#,##0.0\)">
                  <c:v>1Q13</c:v>
                </c:pt>
                <c:pt idx="1" c:formatCode="#,##0.0_);[Red]\(#,##0.0\)">
                  <c:v>2Q13</c:v>
                </c:pt>
                <c:pt idx="2" c:formatCode="#,##0.0_);[Red]\(#,##0.0\)">
                  <c:v>3Q13</c:v>
                </c:pt>
                <c:pt idx="3" c:formatCode="#,##0.0_);[Red]\(#,##0.0\)">
                  <c:v>4Q13</c:v>
                </c:pt>
                <c:pt idx="4" c:formatCode="#,##0.0_);[Red]\(#,##0.0\)">
                  <c:v>1Q14</c:v>
                </c:pt>
                <c:pt idx="5" c:formatCode="#,##0.0_);[Red]\(#,##0.0\)">
                  <c:v>2Q14</c:v>
                </c:pt>
                <c:pt idx="6" c:formatCode="#,##0.0_);[Red]\(#,##0.0\)">
                  <c:v>3Q14</c:v>
                </c:pt>
                <c:pt idx="7" c:formatCode="#,##0.0_);[Red]\(#,##0.0\)">
                  <c:v>4Q14</c:v>
                </c:pt>
                <c:pt idx="8" c:formatCode="#,##0.0_);[Red]\(#,##0.0\)">
                  <c:v>1Q15</c:v>
                </c:pt>
                <c:pt idx="9" c:formatCode="#,##0.0_);[Red]\(#,##0.0\)">
                  <c:v>2Q15</c:v>
                </c:pt>
                <c:pt idx="10" c:formatCode="#,##0.0_);[Red]\(#,##0.0\)">
                  <c:v>3Q15</c:v>
                </c:pt>
                <c:pt idx="11" c:formatCode="#,##0.0_);[Red]\(#,##0.0\)">
                  <c:v>4Q15</c:v>
                </c:pt>
                <c:pt idx="12" c:formatCode="#,##0.0_);[Red]\(#,##0.0\)">
                  <c:v>1Q16</c:v>
                </c:pt>
                <c:pt idx="13" c:formatCode="#,##0.0_);[Red]\(#,##0.0\)">
                  <c:v>2Q16</c:v>
                </c:pt>
                <c:pt idx="14" c:formatCode="#,##0.0_);[Red]\(#,##0.0\)">
                  <c:v>3Q16</c:v>
                </c:pt>
                <c:pt idx="15" c:formatCode="#,##0.0_);[Red]\(#,##0.0\)">
                  <c:v>4Q16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3Q17</c:v>
                </c:pt>
                <c:pt idx="19" c:formatCode="#,##0.0_);[Red]\(#,##0.0\)">
                  <c:v>4Q17</c:v>
                </c:pt>
                <c:pt idx="20" c:formatCode="#,##0.0_);[Red]\(#,##0.0\)">
                  <c:v>1Q18</c:v>
                </c:pt>
                <c:pt idx="21" c:formatCode="#,##0.0_);[Red]\(#,##0.0\)">
                  <c:v>2Q18</c:v>
                </c:pt>
                <c:pt idx="22" c:formatCode="#,##0.0_);[Red]\(#,##0.0\)">
                  <c:v>3Q18</c:v>
                </c:pt>
                <c:pt idx="23" c:formatCode="#,##0.0_);[Red]\(#,##0.0\)">
                  <c:v>4Q18</c:v>
                </c:pt>
                <c:pt idx="24" c:formatCode="#,##0.0_);[Red]\(#,##0.0\)">
                  <c:v>1Q19</c:v>
                </c:pt>
                <c:pt idx="25" c:formatCode="#,##0.0_);[Red]\(#,##0.0\)">
                  <c:v>2Q19</c:v>
                </c:pt>
                <c:pt idx="26" c:formatCode="#,##0.0_);[Red]\(#,##0.0\)">
                  <c:v>3Q19</c:v>
                </c:pt>
              </c:strCache>
            </c:strRef>
          </c:cat>
          <c:val>
            <c:numRef>
              <c:f>Worksheet!$AQ$12:$CL$12</c:f>
              <c:numCache>
                <c:formatCode>0%</c:formatCode>
                <c:ptCount val="27"/>
                <c:pt idx="0">
                  <c:v>0.0431470501037652</c:v>
                </c:pt>
                <c:pt idx="1">
                  <c:v>0.0359943670323154</c:v>
                </c:pt>
                <c:pt idx="2">
                  <c:v>0.0592997331752149</c:v>
                </c:pt>
                <c:pt idx="3">
                  <c:v>0.0919896254973973</c:v>
                </c:pt>
                <c:pt idx="4">
                  <c:v>0.0837655252466628</c:v>
                </c:pt>
                <c:pt idx="5">
                  <c:v>0.0781967498549042</c:v>
                </c:pt>
                <c:pt idx="6">
                  <c:v>0.0654521183981428</c:v>
                </c:pt>
                <c:pt idx="7">
                  <c:v>-0.00997968659315147</c:v>
                </c:pt>
                <c:pt idx="8">
                  <c:v>0.038145277441474</c:v>
                </c:pt>
                <c:pt idx="9">
                  <c:v>0.0410718795809361</c:v>
                </c:pt>
                <c:pt idx="10">
                  <c:v>0.0354277493888459</c:v>
                </c:pt>
                <c:pt idx="11">
                  <c:v>0.0470608252833994</c:v>
                </c:pt>
                <c:pt idx="12">
                  <c:v>0.0201011611737148</c:v>
                </c:pt>
                <c:pt idx="13">
                  <c:v>-0.00385916545882246</c:v>
                </c:pt>
                <c:pt idx="14">
                  <c:v>0.0265743661722754</c:v>
                </c:pt>
                <c:pt idx="15">
                  <c:v>0.0435084741420925</c:v>
                </c:pt>
                <c:pt idx="16">
                  <c:v>0.0240089983002892</c:v>
                </c:pt>
                <c:pt idx="17">
                  <c:v>0.0180112054305488</c:v>
                </c:pt>
                <c:pt idx="18">
                  <c:v>-0.00799337860922093</c:v>
                </c:pt>
                <c:pt idx="19">
                  <c:v>0.0158451550169097</c:v>
                </c:pt>
                <c:pt idx="20">
                  <c:v>-0.0096069255120147</c:v>
                </c:pt>
                <c:pt idx="21">
                  <c:v>0.00297110876620807</c:v>
                </c:pt>
                <c:pt idx="22">
                  <c:v>-0.00593060514493021</c:v>
                </c:pt>
                <c:pt idx="23">
                  <c:v>0.0281271773226536</c:v>
                </c:pt>
                <c:pt idx="24">
                  <c:v>-0.00188668841001803</c:v>
                </c:pt>
                <c:pt idx="25">
                  <c:v>-0.00274518677926666</c:v>
                </c:pt>
                <c:pt idx="26">
                  <c:v>0.00733965905649369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7978624"/>
        <c:axId val="907980160"/>
      </c:barChart>
      <c:catAx>
        <c:axId val="90797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7980160"/>
        <c:crosses val="autoZero"/>
        <c:auto val="1"/>
        <c:lblAlgn val="ctr"/>
        <c:lblOffset val="100"/>
        <c:noMultiLvlLbl val="0"/>
      </c:catAx>
      <c:valAx>
        <c:axId val="90798016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7978624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0cfb2d-99c2-45ee-9f27-a21614acc02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Worksheet!$B$312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Worksheet!$C$311:$V$311</c:f>
              <c:strCache>
                <c:ptCount val="20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</c:v>
                </c:pt>
                <c:pt idx="14">
                  <c:v>FY21E</c:v>
                </c:pt>
                <c:pt idx="16">
                  <c:v>FY20E</c:v>
                </c:pt>
                <c:pt idx="17">
                  <c:v>FY21E</c:v>
                </c:pt>
                <c:pt idx="19">
                  <c:v>FY22E</c:v>
                </c:pt>
              </c:strCache>
            </c:strRef>
          </c:cat>
          <c:val>
            <c:numRef>
              <c:f>Worksheet!$C$312:$V$312</c:f>
              <c:numCache>
                <c:formatCode>#,##0;[Red]\-#,##0</c:formatCode>
                <c:ptCount val="20"/>
                <c:pt idx="0">
                  <c:v>9533</c:v>
                </c:pt>
                <c:pt idx="1">
                  <c:v>9100</c:v>
                </c:pt>
                <c:pt idx="2">
                  <c:v>9376</c:v>
                </c:pt>
                <c:pt idx="3">
                  <c:v>9376</c:v>
                </c:pt>
                <c:pt idx="4">
                  <c:v>12812</c:v>
                </c:pt>
                <c:pt idx="5">
                  <c:v>11227</c:v>
                </c:pt>
                <c:pt idx="6">
                  <c:v>14596</c:v>
                </c:pt>
                <c:pt idx="7">
                  <c:v>15222</c:v>
                </c:pt>
                <c:pt idx="8">
                  <c:v>12812</c:v>
                </c:pt>
                <c:pt idx="9">
                  <c:v>14617</c:v>
                </c:pt>
                <c:pt idx="10">
                  <c:v>13523</c:v>
                </c:pt>
                <c:pt idx="11">
                  <c:v>14596</c:v>
                </c:pt>
                <c:pt idx="12">
                  <c:v>0</c:v>
                </c:pt>
                <c:pt idx="13">
                  <c:v>15222</c:v>
                </c:pt>
                <c:pt idx="14">
                  <c:v>9533</c:v>
                </c:pt>
                <c:pt idx="15">
                  <c:v>9100</c:v>
                </c:pt>
                <c:pt idx="16">
                  <c:v>11237</c:v>
                </c:pt>
                <c:pt idx="17">
                  <c:v>12796.0030336626</c:v>
                </c:pt>
                <c:pt idx="18">
                  <c:v>12812</c:v>
                </c:pt>
                <c:pt idx="19">
                  <c:v>13523</c:v>
                </c:pt>
              </c:numCache>
            </c:numRef>
          </c:val>
        </c:ser>
        <c:ser>
          <c:idx val="1"/>
          <c:order val="1"/>
          <c:tx>
            <c:strRef>
              <c:f>Worksheet!$B$313</c:f>
              <c:strCache>
                <c:ptCount val="1"/>
                <c:pt idx="0">
                  <c:v>Retail - Online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Worksheet!$C$311:$V$311</c:f>
              <c:strCache>
                <c:ptCount val="20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</c:v>
                </c:pt>
                <c:pt idx="14">
                  <c:v>FY21E</c:v>
                </c:pt>
                <c:pt idx="16">
                  <c:v>FY20E</c:v>
                </c:pt>
                <c:pt idx="17">
                  <c:v>FY21E</c:v>
                </c:pt>
                <c:pt idx="19">
                  <c:v>FY22E</c:v>
                </c:pt>
              </c:strCache>
            </c:strRef>
          </c:cat>
          <c:val>
            <c:numRef>
              <c:f>Worksheet!$C$313:$V$313</c:f>
              <c:numCache>
                <c:formatCode>#,##0;[Red]\-#,##0</c:formatCode>
                <c:ptCount val="20"/>
                <c:pt idx="0">
                  <c:v>158</c:v>
                </c:pt>
                <c:pt idx="1">
                  <c:v>250</c:v>
                </c:pt>
                <c:pt idx="2">
                  <c:v>422</c:v>
                </c:pt>
                <c:pt idx="3">
                  <c:v>422</c:v>
                </c:pt>
                <c:pt idx="4">
                  <c:v>1000.51505944085</c:v>
                </c:pt>
                <c:pt idx="5">
                  <c:v>627.75106103351</c:v>
                </c:pt>
                <c:pt idx="6">
                  <c:v>1977.00208601049</c:v>
                </c:pt>
                <c:pt idx="7">
                  <c:v>2665.47184904633</c:v>
                </c:pt>
                <c:pt idx="8">
                  <c:v>1000.51505944085</c:v>
                </c:pt>
                <c:pt idx="9">
                  <c:v>1510.72808703854</c:v>
                </c:pt>
                <c:pt idx="10">
                  <c:v>4149.91304632156</c:v>
                </c:pt>
                <c:pt idx="11">
                  <c:v>1977.00208601049</c:v>
                </c:pt>
                <c:pt idx="12">
                  <c:v>0</c:v>
                </c:pt>
                <c:pt idx="13">
                  <c:v>2665.47184904633</c:v>
                </c:pt>
                <c:pt idx="14">
                  <c:v>0</c:v>
                </c:pt>
                <c:pt idx="15">
                  <c:v>0</c:v>
                </c:pt>
                <c:pt idx="16">
                  <c:v>4008.53418427324</c:v>
                </c:pt>
                <c:pt idx="17">
                  <c:v>3808.29331720076</c:v>
                </c:pt>
                <c:pt idx="18">
                  <c:v>0</c:v>
                </c:pt>
                <c:pt idx="19">
                  <c:v>4149.91304632156</c:v>
                </c:pt>
              </c:numCache>
            </c:numRef>
          </c:val>
        </c:ser>
        <c:ser>
          <c:idx val="2"/>
          <c:order val="2"/>
          <c:tx>
            <c:strRef>
              <c:f>Worksheet!$B$314</c:f>
              <c:strCache>
                <c:ptCount val="1"/>
                <c:pt idx="0">
                  <c:v>Retail - Stores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Worksheet!$C$311:$V$311</c:f>
              <c:strCache>
                <c:ptCount val="20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</c:v>
                </c:pt>
                <c:pt idx="14">
                  <c:v>FY21E</c:v>
                </c:pt>
                <c:pt idx="16">
                  <c:v>FY20E</c:v>
                </c:pt>
                <c:pt idx="17">
                  <c:v>FY21E</c:v>
                </c:pt>
                <c:pt idx="19">
                  <c:v>FY22E</c:v>
                </c:pt>
              </c:strCache>
            </c:strRef>
          </c:cat>
          <c:val>
            <c:numRef>
              <c:f>Worksheet!$C$314:$V$314</c:f>
              <c:numCache>
                <c:formatCode>#,##0;[Red]\-#,##0</c:formatCode>
                <c:ptCount val="20"/>
                <c:pt idx="0">
                  <c:v>3215</c:v>
                </c:pt>
                <c:pt idx="1">
                  <c:v>3196</c:v>
                </c:pt>
                <c:pt idx="2">
                  <c:v>3398.56519251861</c:v>
                </c:pt>
                <c:pt idx="3">
                  <c:v>3398.56519251861</c:v>
                </c:pt>
                <c:pt idx="4">
                  <c:v>4002.48494055915</c:v>
                </c:pt>
                <c:pt idx="5">
                  <c:v>3593.24893896649</c:v>
                </c:pt>
                <c:pt idx="6">
                  <c:v>4510.99791398951</c:v>
                </c:pt>
                <c:pt idx="7">
                  <c:v>5148.52815095367</c:v>
                </c:pt>
                <c:pt idx="8">
                  <c:v>4002.48494055915</c:v>
                </c:pt>
                <c:pt idx="9">
                  <c:v>4349.27191296146</c:v>
                </c:pt>
                <c:pt idx="10">
                  <c:v>4688.08695367844</c:v>
                </c:pt>
                <c:pt idx="11">
                  <c:v>4510.99791398951</c:v>
                </c:pt>
                <c:pt idx="12">
                  <c:v>0</c:v>
                </c:pt>
                <c:pt idx="13">
                  <c:v>5148.52815095367</c:v>
                </c:pt>
                <c:pt idx="14">
                  <c:v>0</c:v>
                </c:pt>
                <c:pt idx="15">
                  <c:v>0</c:v>
                </c:pt>
                <c:pt idx="16">
                  <c:v>4122.46581572676</c:v>
                </c:pt>
                <c:pt idx="17">
                  <c:v>4485.70364913668</c:v>
                </c:pt>
                <c:pt idx="18">
                  <c:v>0</c:v>
                </c:pt>
                <c:pt idx="19">
                  <c:v>4688.08695367844</c:v>
                </c:pt>
              </c:numCache>
            </c:numRef>
          </c:val>
        </c:ser>
        <c:ser>
          <c:idx val="3"/>
          <c:order val="3"/>
          <c:tx>
            <c:strRef>
              <c:f>Worksheet!$B$315</c:f>
              <c:strCache>
                <c:ptCount val="1"/>
                <c:pt idx="0">
                  <c:v>Other Business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Worksheet!$C$311:$V$311</c:f>
              <c:strCache>
                <c:ptCount val="20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</c:v>
                </c:pt>
                <c:pt idx="14">
                  <c:v>FY21E</c:v>
                </c:pt>
                <c:pt idx="16">
                  <c:v>FY20E</c:v>
                </c:pt>
                <c:pt idx="17">
                  <c:v>FY21E</c:v>
                </c:pt>
                <c:pt idx="19">
                  <c:v>FY22E</c:v>
                </c:pt>
              </c:strCache>
            </c:strRef>
          </c:cat>
          <c:val>
            <c:numRef>
              <c:f>Worksheet!$C$315:$V$315</c:f>
              <c:numCache>
                <c:formatCode>#,##0;[Red]\-#,##0</c:formatCode>
                <c:ptCount val="20"/>
                <c:pt idx="0">
                  <c:v>1977</c:v>
                </c:pt>
                <c:pt idx="1">
                  <c:v>1659</c:v>
                </c:pt>
                <c:pt idx="2">
                  <c:v>1358</c:v>
                </c:pt>
                <c:pt idx="3">
                  <c:v>1358</c:v>
                </c:pt>
                <c:pt idx="4">
                  <c:v>1475</c:v>
                </c:pt>
                <c:pt idx="5">
                  <c:v>1467</c:v>
                </c:pt>
                <c:pt idx="6">
                  <c:v>831</c:v>
                </c:pt>
                <c:pt idx="7">
                  <c:v>605</c:v>
                </c:pt>
                <c:pt idx="8">
                  <c:v>1475</c:v>
                </c:pt>
                <c:pt idx="9">
                  <c:v>741</c:v>
                </c:pt>
                <c:pt idx="10">
                  <c:v>150</c:v>
                </c:pt>
                <c:pt idx="11">
                  <c:v>831</c:v>
                </c:pt>
                <c:pt idx="12">
                  <c:v>0</c:v>
                </c:pt>
                <c:pt idx="13">
                  <c:v>605</c:v>
                </c:pt>
                <c:pt idx="14">
                  <c:v>0</c:v>
                </c:pt>
                <c:pt idx="15">
                  <c:v>0</c:v>
                </c:pt>
                <c:pt idx="16">
                  <c:v>476</c:v>
                </c:pt>
                <c:pt idx="17">
                  <c:v>144.000000000002</c:v>
                </c:pt>
                <c:pt idx="18">
                  <c:v>0</c:v>
                </c:pt>
                <c:pt idx="19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8080640"/>
        <c:axId val="908082176"/>
      </c:barChart>
      <c:catAx>
        <c:axId val="908080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8082176"/>
        <c:crosses val="autoZero"/>
        <c:auto val="1"/>
        <c:lblAlgn val="ctr"/>
        <c:lblOffset val="100"/>
        <c:noMultiLvlLbl val="0"/>
      </c:catAx>
      <c:valAx>
        <c:axId val="908082176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808064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30e8f8-d8b4-4ec5-9215-e35e421dc18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Worksheet!$B$338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Worksheet!$D$337:$V$337</c:f>
              <c:strCache>
                <c:ptCount val="19"/>
                <c:pt idx="0">
                  <c:v>FY13</c:v>
                </c:pt>
                <c:pt idx="2">
                  <c:v>FY14</c:v>
                </c:pt>
                <c:pt idx="4">
                  <c:v>FY15</c:v>
                </c:pt>
                <c:pt idx="7">
                  <c:v>FY16</c:v>
                </c:pt>
                <c:pt idx="8">
                  <c:v>FY17</c:v>
                </c:pt>
                <c:pt idx="10">
                  <c:v>FY18</c:v>
                </c:pt>
                <c:pt idx="12">
                  <c:v>FY19</c:v>
                </c:pt>
                <c:pt idx="13">
                  <c:v>FY21E</c:v>
                </c:pt>
                <c:pt idx="15">
                  <c:v>FY20E</c:v>
                </c:pt>
                <c:pt idx="16">
                  <c:v>FY21E</c:v>
                </c:pt>
                <c:pt idx="18">
                  <c:v>FY22E</c:v>
                </c:pt>
              </c:strCache>
            </c:strRef>
          </c:cat>
          <c:val>
            <c:numRef>
              <c:f>Worksheet!$D$338:$V$338</c:f>
              <c:numCache>
                <c:formatCode>0.0%</c:formatCode>
                <c:ptCount val="19"/>
                <c:pt idx="0">
                  <c:v>0.00243600080628906</c:v>
                </c:pt>
                <c:pt idx="2">
                  <c:v>0.0384371700105597</c:v>
                </c:pt>
                <c:pt idx="3">
                  <c:v>0.366467576791809</c:v>
                </c:pt>
                <c:pt idx="4">
                  <c:v>0.069909947014501</c:v>
                </c:pt>
                <c:pt idx="5">
                  <c:v>0.0428653030445849</c:v>
                </c:pt>
                <c:pt idx="6">
                  <c:v>0.00541285800379145</c:v>
                </c:pt>
                <c:pt idx="7">
                  <c:v>0.123367070647354</c:v>
                </c:pt>
                <c:pt idx="8">
                  <c:v>0.105647834961887</c:v>
                </c:pt>
                <c:pt idx="9">
                  <c:v>0.0030240145222185</c:v>
                </c:pt>
                <c:pt idx="10">
                  <c:v>0.0428653030445849</c:v>
                </c:pt>
                <c:pt idx="11">
                  <c:v>0</c:v>
                </c:pt>
                <c:pt idx="12">
                  <c:v>0.00541285800379145</c:v>
                </c:pt>
                <c:pt idx="13">
                  <c:v>0</c:v>
                </c:pt>
                <c:pt idx="14">
                  <c:v>0</c:v>
                </c:pt>
                <c:pt idx="15">
                  <c:v>-0.151430953421673</c:v>
                </c:pt>
                <c:pt idx="16">
                  <c:v>0.13104477465372</c:v>
                </c:pt>
                <c:pt idx="17">
                  <c:v>0</c:v>
                </c:pt>
                <c:pt idx="18">
                  <c:v>0.0030240145222185</c:v>
                </c:pt>
              </c:numCache>
            </c:numRef>
          </c:val>
        </c:ser>
        <c:ser>
          <c:idx val="1"/>
          <c:order val="1"/>
          <c:tx>
            <c:strRef>
              <c:f>Worksheet!$B$339</c:f>
              <c:strCache>
                <c:ptCount val="1"/>
                <c:pt idx="0">
                  <c:v>Retail - Online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Worksheet!$D$337:$V$337</c:f>
              <c:strCache>
                <c:ptCount val="19"/>
                <c:pt idx="0">
                  <c:v>FY13</c:v>
                </c:pt>
                <c:pt idx="2">
                  <c:v>FY14</c:v>
                </c:pt>
                <c:pt idx="4">
                  <c:v>FY15</c:v>
                </c:pt>
                <c:pt idx="7">
                  <c:v>FY16</c:v>
                </c:pt>
                <c:pt idx="8">
                  <c:v>FY17</c:v>
                </c:pt>
                <c:pt idx="10">
                  <c:v>FY18</c:v>
                </c:pt>
                <c:pt idx="12">
                  <c:v>FY19</c:v>
                </c:pt>
                <c:pt idx="13">
                  <c:v>FY21E</c:v>
                </c:pt>
                <c:pt idx="15">
                  <c:v>FY20E</c:v>
                </c:pt>
                <c:pt idx="16">
                  <c:v>FY21E</c:v>
                </c:pt>
                <c:pt idx="18">
                  <c:v>FY22E</c:v>
                </c:pt>
              </c:strCache>
            </c:strRef>
          </c:cat>
          <c:val>
            <c:numRef>
              <c:f>Worksheet!$D$339:$V$339</c:f>
              <c:numCache>
                <c:formatCode>0.0%</c:formatCode>
                <c:ptCount val="19"/>
                <c:pt idx="0">
                  <c:v>0.0067943291003158</c:v>
                </c:pt>
                <c:pt idx="2">
                  <c:v>0.0126715945089757</c:v>
                </c:pt>
                <c:pt idx="4">
                  <c:v>0.0121948534470896</c:v>
                </c:pt>
                <c:pt idx="5">
                  <c:v>0.0256321100638078</c:v>
                </c:pt>
                <c:pt idx="6">
                  <c:v>0.029770051945401</c:v>
                </c:pt>
                <c:pt idx="7">
                  <c:v>0.0218961351468975</c:v>
                </c:pt>
                <c:pt idx="8">
                  <c:v>0.029564208599341</c:v>
                </c:pt>
                <c:pt idx="9">
                  <c:v>0.00717395369162807</c:v>
                </c:pt>
                <c:pt idx="10">
                  <c:v>0.0256321100638078</c:v>
                </c:pt>
                <c:pt idx="11">
                  <c:v>0</c:v>
                </c:pt>
                <c:pt idx="12">
                  <c:v>0.029770051945401</c:v>
                </c:pt>
                <c:pt idx="13">
                  <c:v>0</c:v>
                </c:pt>
                <c:pt idx="14">
                  <c:v>0</c:v>
                </c:pt>
                <c:pt idx="15">
                  <c:v>0.0597563588678378</c:v>
                </c:pt>
                <c:pt idx="16">
                  <c:v>0.00808009309468503</c:v>
                </c:pt>
                <c:pt idx="17">
                  <c:v>0</c:v>
                </c:pt>
                <c:pt idx="18">
                  <c:v>0.00717395369162807</c:v>
                </c:pt>
              </c:numCache>
            </c:numRef>
          </c:val>
        </c:ser>
        <c:ser>
          <c:idx val="2"/>
          <c:order val="2"/>
          <c:tx>
            <c:strRef>
              <c:f>Worksheet!$B$340</c:f>
              <c:strCache>
                <c:ptCount val="1"/>
                <c:pt idx="0">
                  <c:v>Retail - Stores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Worksheet!$D$337:$V$337</c:f>
              <c:strCache>
                <c:ptCount val="19"/>
                <c:pt idx="0">
                  <c:v>FY13</c:v>
                </c:pt>
                <c:pt idx="2">
                  <c:v>FY14</c:v>
                </c:pt>
                <c:pt idx="4">
                  <c:v>FY15</c:v>
                </c:pt>
                <c:pt idx="7">
                  <c:v>FY16</c:v>
                </c:pt>
                <c:pt idx="8">
                  <c:v>FY17</c:v>
                </c:pt>
                <c:pt idx="10">
                  <c:v>FY18</c:v>
                </c:pt>
                <c:pt idx="12">
                  <c:v>FY19</c:v>
                </c:pt>
                <c:pt idx="13">
                  <c:v>FY21E</c:v>
                </c:pt>
                <c:pt idx="15">
                  <c:v>FY20E</c:v>
                </c:pt>
                <c:pt idx="16">
                  <c:v>FY21E</c:v>
                </c:pt>
                <c:pt idx="18">
                  <c:v>FY22E</c:v>
                </c:pt>
              </c:strCache>
            </c:strRef>
          </c:cat>
          <c:val>
            <c:numRef>
              <c:f>Worksheet!$D$340:$V$340</c:f>
              <c:numCache>
                <c:formatCode>0.0%</c:formatCode>
                <c:ptCount val="19"/>
                <c:pt idx="0">
                  <c:v>0.011596250755896</c:v>
                </c:pt>
                <c:pt idx="2">
                  <c:v>0.0380298486448434</c:v>
                </c:pt>
                <c:pt idx="4">
                  <c:v>0.0167209420102551</c:v>
                </c:pt>
                <c:pt idx="5">
                  <c:v>0.0157101465107986</c:v>
                </c:pt>
                <c:pt idx="6">
                  <c:v>0.0253366611208509</c:v>
                </c:pt>
                <c:pt idx="7">
                  <c:v>0.0354984850127242</c:v>
                </c:pt>
                <c:pt idx="8">
                  <c:v>0.0150189951331629</c:v>
                </c:pt>
                <c:pt idx="9">
                  <c:v>0.000638043074254422</c:v>
                </c:pt>
                <c:pt idx="10">
                  <c:v>0.0157101465107986</c:v>
                </c:pt>
                <c:pt idx="11">
                  <c:v>0</c:v>
                </c:pt>
                <c:pt idx="12">
                  <c:v>0.0253366611208509</c:v>
                </c:pt>
                <c:pt idx="13">
                  <c:v>0</c:v>
                </c:pt>
                <c:pt idx="14">
                  <c:v>0</c:v>
                </c:pt>
                <c:pt idx="15">
                  <c:v>-0.037712136067246</c:v>
                </c:pt>
                <c:pt idx="16">
                  <c:v>0.0369919689895722</c:v>
                </c:pt>
                <c:pt idx="17">
                  <c:v>0</c:v>
                </c:pt>
                <c:pt idx="18">
                  <c:v>0.000638043074254422</c:v>
                </c:pt>
              </c:numCache>
            </c:numRef>
          </c:val>
        </c:ser>
        <c:ser>
          <c:idx val="3"/>
          <c:order val="3"/>
          <c:tx>
            <c:strRef>
              <c:f>Worksheet!$B$341</c:f>
              <c:strCache>
                <c:ptCount val="1"/>
                <c:pt idx="0">
                  <c:v>Other business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Worksheet!$D$337:$V$337</c:f>
              <c:strCache>
                <c:ptCount val="19"/>
                <c:pt idx="0">
                  <c:v>FY13</c:v>
                </c:pt>
                <c:pt idx="2">
                  <c:v>FY14</c:v>
                </c:pt>
                <c:pt idx="4">
                  <c:v>FY15</c:v>
                </c:pt>
                <c:pt idx="7">
                  <c:v>FY16</c:v>
                </c:pt>
                <c:pt idx="8">
                  <c:v>FY17</c:v>
                </c:pt>
                <c:pt idx="10">
                  <c:v>FY18</c:v>
                </c:pt>
                <c:pt idx="12">
                  <c:v>FY19</c:v>
                </c:pt>
                <c:pt idx="13">
                  <c:v>FY21E</c:v>
                </c:pt>
                <c:pt idx="15">
                  <c:v>FY20E</c:v>
                </c:pt>
                <c:pt idx="16">
                  <c:v>FY21E</c:v>
                </c:pt>
                <c:pt idx="18">
                  <c:v>FY22E</c:v>
                </c:pt>
              </c:strCache>
            </c:strRef>
          </c:cat>
          <c:val>
            <c:numRef>
              <c:f>Worksheet!$D$341:$V$341</c:f>
              <c:numCache>
                <c:formatCode>0.0%</c:formatCode>
                <c:ptCount val="19"/>
                <c:pt idx="0">
                  <c:v>0.00859248807364106</c:v>
                </c:pt>
                <c:pt idx="2">
                  <c:v>-0.0244467141856318</c:v>
                </c:pt>
                <c:pt idx="4">
                  <c:v>-0.00248465666712537</c:v>
                </c:pt>
                <c:pt idx="5">
                  <c:v>0</c:v>
                </c:pt>
                <c:pt idx="6">
                  <c:v>0</c:v>
                </c:pt>
                <c:pt idx="7">
                  <c:v>0.000837599763523489</c:v>
                </c:pt>
                <c:pt idx="8">
                  <c:v>0.00976674813004519</c:v>
                </c:pt>
                <c:pt idx="9">
                  <c:v>-0.000400765926887923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-0.00509821249229672</c:v>
                </c:pt>
                <c:pt idx="16">
                  <c:v>-0.016116836737977</c:v>
                </c:pt>
                <c:pt idx="17">
                  <c:v>0</c:v>
                </c:pt>
                <c:pt idx="18">
                  <c:v>-0.000400765926887923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8104832"/>
        <c:axId val="908106368"/>
      </c:barChart>
      <c:catAx>
        <c:axId val="908104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8106368"/>
        <c:crosses val="autoZero"/>
        <c:auto val="1"/>
        <c:lblAlgn val="ctr"/>
        <c:lblOffset val="100"/>
        <c:noMultiLvlLbl val="0"/>
      </c:catAx>
      <c:valAx>
        <c:axId val="90810636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08104832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4471c4-9433-42f1-bd89-fad93898942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Worksheet!$B$366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Worksheet!$C$365:$P$365</c:f>
              <c:strCache>
                <c:ptCount val="14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FY19E</c:v>
                </c:pt>
              </c:strCache>
            </c:strRef>
          </c:cat>
          <c:val>
            <c:numRef>
              <c:f>Worksheet!$C$366:$P$366</c:f>
              <c:numCache>
                <c:formatCode>0.0%</c:formatCode>
                <c:ptCount val="14"/>
                <c:pt idx="0">
                  <c:v>0.640529463145871</c:v>
                </c:pt>
                <c:pt idx="1">
                  <c:v>0.640619500175994</c:v>
                </c:pt>
                <c:pt idx="3">
                  <c:v>0.644196503020199</c:v>
                </c:pt>
                <c:pt idx="5">
                  <c:v>0.663730416789831</c:v>
                </c:pt>
                <c:pt idx="8">
                  <c:v>0.664178330741317</c:v>
                </c:pt>
                <c:pt idx="9">
                  <c:v>0.688896220190404</c:v>
                </c:pt>
                <c:pt idx="11">
                  <c:v>0.666027834816336</c:v>
                </c:pt>
                <c:pt idx="13">
                  <c:v>0.643881392496087</c:v>
                </c:pt>
              </c:numCache>
            </c:numRef>
          </c:val>
        </c:ser>
        <c:ser>
          <c:idx val="1"/>
          <c:order val="1"/>
          <c:tx>
            <c:strRef>
              <c:f>Worksheet!$B$367</c:f>
              <c:strCache>
                <c:ptCount val="1"/>
                <c:pt idx="0">
                  <c:v>Retail - Online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Worksheet!$C$365:$P$365</c:f>
              <c:strCache>
                <c:ptCount val="14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FY19E</c:v>
                </c:pt>
              </c:strCache>
            </c:strRef>
          </c:cat>
          <c:val>
            <c:numRef>
              <c:f>Worksheet!$C$367:$P$367</c:f>
              <c:numCache>
                <c:formatCode>0.0%</c:formatCode>
                <c:ptCount val="14"/>
                <c:pt idx="0">
                  <c:v>0.0106161392192434</c:v>
                </c:pt>
                <c:pt idx="1">
                  <c:v>0.0175994368180218</c:v>
                </c:pt>
                <c:pt idx="3">
                  <c:v>0.028994339193102</c:v>
                </c:pt>
                <c:pt idx="5">
                  <c:v>0.0371120934693178</c:v>
                </c:pt>
                <c:pt idx="8">
                  <c:v>0.0518670326304227</c:v>
                </c:pt>
                <c:pt idx="9">
                  <c:v>0.0712003057327995</c:v>
                </c:pt>
                <c:pt idx="11">
                  <c:v>0.0902122786224272</c:v>
                </c:pt>
                <c:pt idx="13">
                  <c:v>0.112747846920449</c:v>
                </c:pt>
              </c:numCache>
            </c:numRef>
          </c:val>
        </c:ser>
        <c:ser>
          <c:idx val="2"/>
          <c:order val="2"/>
          <c:tx>
            <c:strRef>
              <c:f>Worksheet!$B$368</c:f>
              <c:strCache>
                <c:ptCount val="1"/>
                <c:pt idx="0">
                  <c:v>Retail - Stores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Worksheet!$C$365:$P$365</c:f>
              <c:strCache>
                <c:ptCount val="14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FY19E</c:v>
                </c:pt>
              </c:strCache>
            </c:strRef>
          </c:cat>
          <c:val>
            <c:numRef>
              <c:f>Worksheet!$C$368:$P$368</c:f>
              <c:numCache>
                <c:formatCode>0.0%</c:formatCode>
                <c:ptCount val="14"/>
                <c:pt idx="0">
                  <c:v>0.216018275885238</c:v>
                </c:pt>
                <c:pt idx="1">
                  <c:v>0.224991200281591</c:v>
                </c:pt>
                <c:pt idx="3">
                  <c:v>0.233505099435437</c:v>
                </c:pt>
                <c:pt idx="5">
                  <c:v>0.212429733311646</c:v>
                </c:pt>
                <c:pt idx="8">
                  <c:v>0.207490147255529</c:v>
                </c:pt>
                <c:pt idx="9">
                  <c:v>0.20498029564339</c:v>
                </c:pt>
                <c:pt idx="11">
                  <c:v>0.205840653159457</c:v>
                </c:pt>
                <c:pt idx="13">
                  <c:v>0.217779626536681</c:v>
                </c:pt>
              </c:numCache>
            </c:numRef>
          </c:val>
        </c:ser>
        <c:ser>
          <c:idx val="3"/>
          <c:order val="3"/>
          <c:tx>
            <c:strRef>
              <c:f>Worksheet!$B$369</c:f>
              <c:strCache>
                <c:ptCount val="1"/>
                <c:pt idx="0">
                  <c:v>Other Business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Worksheet!$C$365:$P$365</c:f>
              <c:strCache>
                <c:ptCount val="14"/>
                <c:pt idx="0">
                  <c:v>FY12</c:v>
                </c:pt>
                <c:pt idx="1">
                  <c:v>FY13</c:v>
                </c:pt>
                <c:pt idx="3">
                  <c:v>FY14</c:v>
                </c:pt>
                <c:pt idx="5">
                  <c:v>FY15</c:v>
                </c:pt>
                <c:pt idx="8">
                  <c:v>FY16</c:v>
                </c:pt>
                <c:pt idx="9">
                  <c:v>FY17</c:v>
                </c:pt>
                <c:pt idx="11">
                  <c:v>FY18</c:v>
                </c:pt>
                <c:pt idx="13">
                  <c:v>FY19E</c:v>
                </c:pt>
              </c:strCache>
            </c:strRef>
          </c:cat>
          <c:val>
            <c:numRef>
              <c:f>Worksheet!$C$369:$P$369</c:f>
              <c:numCache>
                <c:formatCode>0.0%</c:formatCode>
                <c:ptCount val="14"/>
                <c:pt idx="0">
                  <c:v>0.132836121749647</c:v>
                </c:pt>
                <c:pt idx="1">
                  <c:v>0.116789862724393</c:v>
                </c:pt>
                <c:pt idx="3">
                  <c:v>0.0933040583512618</c:v>
                </c:pt>
                <c:pt idx="5">
                  <c:v>0.0867277564292048</c:v>
                </c:pt>
                <c:pt idx="8">
                  <c:v>0.076464489372732</c:v>
                </c:pt>
                <c:pt idx="9">
                  <c:v>0.0349231784334056</c:v>
                </c:pt>
                <c:pt idx="11">
                  <c:v>0.0379192334017796</c:v>
                </c:pt>
                <c:pt idx="13">
                  <c:v>0.0255911340467831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310080"/>
        <c:axId val="957311616"/>
      </c:barChart>
      <c:catAx>
        <c:axId val="9573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311616"/>
        <c:crosses val="autoZero"/>
        <c:auto val="1"/>
        <c:lblAlgn val="ctr"/>
        <c:lblOffset val="100"/>
        <c:noMultiLvlLbl val="0"/>
      </c:catAx>
      <c:valAx>
        <c:axId val="95731161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31008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2db070-7a46-437c-826f-79493a365ee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Worksheet!$B$397</c:f>
              <c:strCache>
                <c:ptCount val="1"/>
                <c:pt idx="0">
                  <c:v>adidas online growth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Worksheet!$C$397:$AN$397</c:f>
              <c:numCache>
                <c:formatCode>0.0%</c:formatCode>
                <c:ptCount val="34"/>
                <c:pt idx="0">
                  <c:v>0.56</c:v>
                </c:pt>
                <c:pt idx="1">
                  <c:v>0.58</c:v>
                </c:pt>
                <c:pt idx="2">
                  <c:v>0.57</c:v>
                </c:pt>
                <c:pt idx="3">
                  <c:v>0.222464183381089</c:v>
                </c:pt>
                <c:pt idx="4">
                  <c:v>0.44</c:v>
                </c:pt>
                <c:pt idx="5">
                  <c:v>0.365201735131573</c:v>
                </c:pt>
                <c:pt idx="8">
                  <c:v>0.47</c:v>
                </c:pt>
                <c:pt idx="9">
                  <c:v>0.506934720908231</c:v>
                </c:pt>
                <c:pt idx="10">
                  <c:v>0.49</c:v>
                </c:pt>
                <c:pt idx="11">
                  <c:v>0.54536231884058</c:v>
                </c:pt>
                <c:pt idx="13">
                  <c:v>0.799854077253219</c:v>
                </c:pt>
                <c:pt idx="14">
                  <c:v>0.676029087703834</c:v>
                </c:pt>
                <c:pt idx="15">
                  <c:v>0.59</c:v>
                </c:pt>
                <c:pt idx="16">
                  <c:v>0.53</c:v>
                </c:pt>
                <c:pt idx="17">
                  <c:v>0.66</c:v>
                </c:pt>
                <c:pt idx="18">
                  <c:v>0.599203980099503</c:v>
                </c:pt>
                <c:pt idx="19">
                  <c:v>0.39</c:v>
                </c:pt>
                <c:pt idx="20">
                  <c:v>0.520626941541937</c:v>
                </c:pt>
                <c:pt idx="21">
                  <c:v>0.689582763337893</c:v>
                </c:pt>
                <c:pt idx="22">
                  <c:v>0.546873209169054</c:v>
                </c:pt>
                <c:pt idx="23">
                  <c:v>0.57</c:v>
                </c:pt>
                <c:pt idx="24">
                  <c:v>0.27</c:v>
                </c:pt>
                <c:pt idx="25">
                  <c:v>0.26</c:v>
                </c:pt>
                <c:pt idx="26">
                  <c:v>0.264678998911861</c:v>
                </c:pt>
                <c:pt idx="27">
                  <c:v>0.76</c:v>
                </c:pt>
                <c:pt idx="28">
                  <c:v>0.676818399616675</c:v>
                </c:pt>
                <c:pt idx="29">
                  <c:v>0.24</c:v>
                </c:pt>
                <c:pt idx="30">
                  <c:v>0.4</c:v>
                </c:pt>
                <c:pt idx="31">
                  <c:v>0.37</c:v>
                </c:pt>
                <c:pt idx="32">
                  <c:v>0.14</c:v>
                </c:pt>
              </c:numCache>
            </c:numRef>
          </c:val>
        </c:ser>
        <c:ser>
          <c:idx val="1"/>
          <c:order val="1"/>
          <c:tx>
            <c:strRef>
              <c:f>Worksheet!$B$398</c:f>
              <c:strCache>
                <c:ptCount val="1"/>
                <c:pt idx="0">
                  <c:v>adidas store sales growth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Worksheet!$C$398:$AN$398</c:f>
              <c:numCache>
                <c:formatCode>0.0%</c:formatCode>
                <c:ptCount val="34"/>
                <c:pt idx="0">
                  <c:v>0.0878485802213931</c:v>
                </c:pt>
                <c:pt idx="1">
                  <c:v>0.0236883758608163</c:v>
                </c:pt>
                <c:pt idx="2">
                  <c:v>0.0528817783377163</c:v>
                </c:pt>
                <c:pt idx="3">
                  <c:v>0.0735519161115773</c:v>
                </c:pt>
                <c:pt idx="5">
                  <c:v>0.10911287252962</c:v>
                </c:pt>
                <c:pt idx="8">
                  <c:v>0.176324271453478</c:v>
                </c:pt>
                <c:pt idx="9">
                  <c:v>0.148178005933386</c:v>
                </c:pt>
                <c:pt idx="11">
                  <c:v>0.183928364229411</c:v>
                </c:pt>
                <c:pt idx="13">
                  <c:v>0.161259356555938</c:v>
                </c:pt>
                <c:pt idx="16">
                  <c:v>0.0925092846057332</c:v>
                </c:pt>
                <c:pt idx="17">
                  <c:v>0.0975119373502284</c:v>
                </c:pt>
                <c:pt idx="19">
                  <c:v>0.0150079582334858</c:v>
                </c:pt>
                <c:pt idx="21">
                  <c:v>0.0901170312708811</c:v>
                </c:pt>
                <c:pt idx="24">
                  <c:v>0.0544236877428113</c:v>
                </c:pt>
                <c:pt idx="25">
                  <c:v>0.0713707267749599</c:v>
                </c:pt>
                <c:pt idx="27">
                  <c:v>0.0593769851641367</c:v>
                </c:pt>
                <c:pt idx="29">
                  <c:v>0.0917912853231828</c:v>
                </c:pt>
                <c:pt idx="30">
                  <c:v>0.0835822079248871</c:v>
                </c:pt>
                <c:pt idx="31">
                  <c:v>0.0679648348373923</c:v>
                </c:pt>
                <c:pt idx="32">
                  <c:v>0.0968521192624846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093760"/>
        <c:axId val="957095296"/>
      </c:barChart>
      <c:lineChart>
        <c:grouping val="standard"/>
        <c:varyColors val="0"/>
        <c:ser>
          <c:idx val="2"/>
          <c:order val="2"/>
          <c:tx>
            <c:strRef>
              <c:f>Worksheet!$B$399</c:f>
              <c:strCache>
                <c:ptCount val="1"/>
                <c:pt idx="0">
                  <c:v>adidas Retail sales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Worksheet!$C$399:$AN$399</c:f>
              <c:numCache>
                <c:formatCode>0.0%</c:formatCode>
                <c:ptCount val="34"/>
                <c:pt idx="0">
                  <c:v>0.14</c:v>
                </c:pt>
                <c:pt idx="1">
                  <c:v>0.0851356993736952</c:v>
                </c:pt>
                <c:pt idx="2">
                  <c:v>0.11</c:v>
                </c:pt>
                <c:pt idx="3">
                  <c:v>0.09</c:v>
                </c:pt>
                <c:pt idx="4">
                  <c:v>0.1</c:v>
                </c:pt>
                <c:pt idx="5">
                  <c:v>0.137399132434213</c:v>
                </c:pt>
                <c:pt idx="6">
                  <c:v>0.11</c:v>
                </c:pt>
                <c:pt idx="7">
                  <c:v>0.11</c:v>
                </c:pt>
                <c:pt idx="8">
                  <c:v>0.22</c:v>
                </c:pt>
                <c:pt idx="9">
                  <c:v>0.201532639545885</c:v>
                </c:pt>
                <c:pt idx="10">
                  <c:v>0.21</c:v>
                </c:pt>
                <c:pt idx="11">
                  <c:v>0.23768115942029</c:v>
                </c:pt>
                <c:pt idx="12">
                  <c:v>0.22</c:v>
                </c:pt>
                <c:pt idx="13">
                  <c:v>0.256231759656652</c:v>
                </c:pt>
                <c:pt idx="14">
                  <c:v>0.247205817540767</c:v>
                </c:pt>
                <c:pt idx="15">
                  <c:v>0.23</c:v>
                </c:pt>
                <c:pt idx="16">
                  <c:v>0.18</c:v>
                </c:pt>
                <c:pt idx="17">
                  <c:v>0.21</c:v>
                </c:pt>
                <c:pt idx="18">
                  <c:v>0.195970149253731</c:v>
                </c:pt>
                <c:pt idx="19">
                  <c:v>0.0900000000000002</c:v>
                </c:pt>
                <c:pt idx="20">
                  <c:v>0.156167749223383</c:v>
                </c:pt>
                <c:pt idx="21">
                  <c:v>0.21</c:v>
                </c:pt>
                <c:pt idx="22">
                  <c:v>0.152836676217765</c:v>
                </c:pt>
                <c:pt idx="23">
                  <c:v>0.17189886068359</c:v>
                </c:pt>
                <c:pt idx="24">
                  <c:v>0.11</c:v>
                </c:pt>
                <c:pt idx="25">
                  <c:v>0.12</c:v>
                </c:pt>
                <c:pt idx="26">
                  <c:v>0.12</c:v>
                </c:pt>
                <c:pt idx="27">
                  <c:v>0.24</c:v>
                </c:pt>
                <c:pt idx="28">
                  <c:v>0.24</c:v>
                </c:pt>
                <c:pt idx="29">
                  <c:v>0.13</c:v>
                </c:pt>
                <c:pt idx="30">
                  <c:v>0.18</c:v>
                </c:pt>
                <c:pt idx="31">
                  <c:v>0.16</c:v>
                </c:pt>
                <c:pt idx="32">
                  <c:v>0.11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093760"/>
        <c:axId val="957095296"/>
      </c:lineChart>
      <c:catAx>
        <c:axId val="957093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095296"/>
        <c:crosses val="autoZero"/>
        <c:auto val="1"/>
        <c:lblAlgn val="ctr"/>
        <c:lblOffset val="100"/>
        <c:noMultiLvlLbl val="0"/>
      </c:catAx>
      <c:valAx>
        <c:axId val="95709529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09376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430712-f711-460c-a02f-e2174f86a7c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Worksheet!$B$402</c:f>
              <c:strCache>
                <c:ptCount val="1"/>
                <c:pt idx="0">
                  <c:v>adidas space growth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Worksheet!$C$402:$AN$402</c:f>
              <c:numCache>
                <c:formatCode>0.0%</c:formatCode>
                <c:ptCount val="34"/>
                <c:pt idx="0">
                  <c:v>0.038145277441474</c:v>
                </c:pt>
                <c:pt idx="1">
                  <c:v>0.0410718795809361</c:v>
                </c:pt>
                <c:pt idx="2">
                  <c:v>0.0370407288243575</c:v>
                </c:pt>
                <c:pt idx="3">
                  <c:v>0.0354277493888459</c:v>
                </c:pt>
                <c:pt idx="4">
                  <c:v>0.0313998608468724</c:v>
                </c:pt>
                <c:pt idx="5">
                  <c:v>0.0470608252833994</c:v>
                </c:pt>
                <c:pt idx="6">
                  <c:v>0.0307023722195998</c:v>
                </c:pt>
                <c:pt idx="7">
                  <c:v>0.0336089580811055</c:v>
                </c:pt>
                <c:pt idx="8">
                  <c:v>0.0201011611737148</c:v>
                </c:pt>
                <c:pt idx="9">
                  <c:v>-0.00385916545882246</c:v>
                </c:pt>
                <c:pt idx="10">
                  <c:v>0.00712674250025588</c:v>
                </c:pt>
                <c:pt idx="11">
                  <c:v>0.0265743661722754</c:v>
                </c:pt>
                <c:pt idx="12">
                  <c:v>0.014152323826797</c:v>
                </c:pt>
                <c:pt idx="13">
                  <c:v>0.0435084741420925</c:v>
                </c:pt>
                <c:pt idx="14">
                  <c:v>0.0352690491977655</c:v>
                </c:pt>
                <c:pt idx="15">
                  <c:v>0.0222546491329612</c:v>
                </c:pt>
                <c:pt idx="16">
                  <c:v>0.0240089983002892</c:v>
                </c:pt>
                <c:pt idx="17">
                  <c:v>0.0180112054305488</c:v>
                </c:pt>
                <c:pt idx="18">
                  <c:v>0.0208161433895319</c:v>
                </c:pt>
                <c:pt idx="19">
                  <c:v>-0.00799337860922093</c:v>
                </c:pt>
                <c:pt idx="20">
                  <c:v>0.00999528367240643</c:v>
                </c:pt>
                <c:pt idx="21">
                  <c:v>0.0158451550169097</c:v>
                </c:pt>
                <c:pt idx="22">
                  <c:v>0.0044894065488747</c:v>
                </c:pt>
                <c:pt idx="23">
                  <c:v>0.0117047603675221</c:v>
                </c:pt>
                <c:pt idx="24">
                  <c:v>-0.0096069255120147</c:v>
                </c:pt>
                <c:pt idx="25">
                  <c:v>0.00297110876620807</c:v>
                </c:pt>
                <c:pt idx="26">
                  <c:v>0.00297110876620807</c:v>
                </c:pt>
                <c:pt idx="27">
                  <c:v>-0.00593060514493021</c:v>
                </c:pt>
                <c:pt idx="28">
                  <c:v>-0.00593060514493021</c:v>
                </c:pt>
                <c:pt idx="29">
                  <c:v>0.0281271773226536</c:v>
                </c:pt>
                <c:pt idx="30">
                  <c:v>-0.00188668841001803</c:v>
                </c:pt>
                <c:pt idx="31">
                  <c:v>-0.00274518677926666</c:v>
                </c:pt>
                <c:pt idx="32">
                  <c:v>0.00733965905649369</c:v>
                </c:pt>
              </c:numCache>
            </c:numRef>
          </c:val>
        </c:ser>
        <c:ser>
          <c:idx val="1"/>
          <c:order val="1"/>
          <c:tx>
            <c:strRef>
              <c:f>Worksheet!$B$403</c:f>
              <c:strCache>
                <c:ptCount val="1"/>
                <c:pt idx="0">
                  <c:v>adidas store LFL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Worksheet!$C$403:$AN$403</c:f>
              <c:numCache>
                <c:formatCode>0.0%</c:formatCode>
                <c:ptCount val="34"/>
                <c:pt idx="0">
                  <c:v>0.04</c:v>
                </c:pt>
                <c:pt idx="1">
                  <c:v>-0.02</c:v>
                </c:pt>
                <c:pt idx="2">
                  <c:v>0.01</c:v>
                </c:pt>
                <c:pt idx="3">
                  <c:v>0.03</c:v>
                </c:pt>
                <c:pt idx="4">
                  <c:v>0.02</c:v>
                </c:pt>
                <c:pt idx="5">
                  <c:v>0.05</c:v>
                </c:pt>
                <c:pt idx="6">
                  <c:v>0.0469392775856083</c:v>
                </c:pt>
                <c:pt idx="7">
                  <c:v>0.03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0.0937682403433476</c:v>
                </c:pt>
                <c:pt idx="14">
                  <c:v>0.111397091229617</c:v>
                </c:pt>
                <c:pt idx="15">
                  <c:v>0.12</c:v>
                </c:pt>
                <c:pt idx="16">
                  <c:v>0.05</c:v>
                </c:pt>
                <c:pt idx="17">
                  <c:v>0.06</c:v>
                </c:pt>
                <c:pt idx="18">
                  <c:v>0.0553233830845771</c:v>
                </c:pt>
                <c:pt idx="19">
                  <c:v>0.02</c:v>
                </c:pt>
                <c:pt idx="20">
                  <c:v>0.0420559164077944</c:v>
                </c:pt>
                <c:pt idx="21">
                  <c:v>0.05625</c:v>
                </c:pt>
                <c:pt idx="22">
                  <c:v>0.0389819126074499</c:v>
                </c:pt>
                <c:pt idx="23">
                  <c:v>0.04620377773336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0.04</c:v>
                </c:pt>
                <c:pt idx="30">
                  <c:v>0.0854688963349051</c:v>
                </c:pt>
                <c:pt idx="31">
                  <c:v>0.0707100216166589</c:v>
                </c:pt>
                <c:pt idx="32">
                  <c:v>0.0895124602059909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138432"/>
        <c:axId val="957139968"/>
      </c:barChart>
      <c:catAx>
        <c:axId val="957138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139968"/>
        <c:crosses val="autoZero"/>
        <c:auto val="1"/>
        <c:lblAlgn val="ctr"/>
        <c:lblOffset val="100"/>
        <c:noMultiLvlLbl val="0"/>
      </c:catAx>
      <c:valAx>
        <c:axId val="95713996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138432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5b577b-f104-46d8-811c-864ac853840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Worksheet!$B$405</c:f>
              <c:strCache>
                <c:ptCount val="1"/>
                <c:pt idx="0">
                  <c:v>adidas Group online penetration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Worksheet!$C$405:$AN$405</c:f>
              <c:numCache>
                <c:formatCode>0.0%</c:formatCode>
                <c:ptCount val="34"/>
                <c:pt idx="0">
                  <c:v>0.0371120934693178</c:v>
                </c:pt>
                <c:pt idx="1">
                  <c:v>0.0371120934693178</c:v>
                </c:pt>
                <c:pt idx="3">
                  <c:v>0.0371120934693178</c:v>
                </c:pt>
                <c:pt idx="5">
                  <c:v>0.0371120934693178</c:v>
                </c:pt>
                <c:pt idx="8">
                  <c:v>0.0518670326304227</c:v>
                </c:pt>
                <c:pt idx="9">
                  <c:v>0.0518670326304227</c:v>
                </c:pt>
                <c:pt idx="11">
                  <c:v>0.0518670326304227</c:v>
                </c:pt>
                <c:pt idx="13">
                  <c:v>0.0518670326304227</c:v>
                </c:pt>
                <c:pt idx="16">
                  <c:v>0.0712003057327995</c:v>
                </c:pt>
                <c:pt idx="17">
                  <c:v>0.0712003057327995</c:v>
                </c:pt>
                <c:pt idx="19">
                  <c:v>0.0712003057327995</c:v>
                </c:pt>
                <c:pt idx="21">
                  <c:v>0.0712003057327995</c:v>
                </c:pt>
                <c:pt idx="24">
                  <c:v>0.0902122786224272</c:v>
                </c:pt>
                <c:pt idx="25">
                  <c:v>0.0902122786224272</c:v>
                </c:pt>
                <c:pt idx="27">
                  <c:v>0.0902122786224272</c:v>
                </c:pt>
                <c:pt idx="29">
                  <c:v>0.0902122786224272</c:v>
                </c:pt>
                <c:pt idx="30">
                  <c:v>0.112747846920449</c:v>
                </c:pt>
                <c:pt idx="31">
                  <c:v>0.112747846920449</c:v>
                </c:pt>
                <c:pt idx="32">
                  <c:v>0.112747846920449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Worksheet!$B$406</c:f>
              <c:strCache>
                <c:ptCount val="1"/>
                <c:pt idx="0">
                  <c:v>adidas Retail online penetration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Worksheet!$C$406:$AN$406</c:f>
              <c:numCache>
                <c:formatCode>0.0%</c:formatCode>
                <c:ptCount val="34"/>
                <c:pt idx="0">
                  <c:v>0.148720933672947</c:v>
                </c:pt>
                <c:pt idx="1">
                  <c:v>0.148720933672947</c:v>
                </c:pt>
                <c:pt idx="3">
                  <c:v>0.148720933672947</c:v>
                </c:pt>
                <c:pt idx="5">
                  <c:v>0.148720933672947</c:v>
                </c:pt>
                <c:pt idx="8">
                  <c:v>0.199983022074926</c:v>
                </c:pt>
                <c:pt idx="9">
                  <c:v>0.199983022074926</c:v>
                </c:pt>
                <c:pt idx="11">
                  <c:v>0.199983022074926</c:v>
                </c:pt>
                <c:pt idx="13">
                  <c:v>0.199983022074926</c:v>
                </c:pt>
                <c:pt idx="16">
                  <c:v>0.257803427822277</c:v>
                </c:pt>
                <c:pt idx="17">
                  <c:v>0.257803427822277</c:v>
                </c:pt>
                <c:pt idx="19">
                  <c:v>0.257803427822277</c:v>
                </c:pt>
                <c:pt idx="21">
                  <c:v>0.257803427822277</c:v>
                </c:pt>
                <c:pt idx="24">
                  <c:v>0.304716721025045</c:v>
                </c:pt>
                <c:pt idx="25">
                  <c:v>0.304716721025045</c:v>
                </c:pt>
                <c:pt idx="27">
                  <c:v>0.304716721025045</c:v>
                </c:pt>
                <c:pt idx="29">
                  <c:v>0.304716721025045</c:v>
                </c:pt>
                <c:pt idx="30">
                  <c:v>0.341114902616628</c:v>
                </c:pt>
                <c:pt idx="31">
                  <c:v>0.341114902616628</c:v>
                </c:pt>
                <c:pt idx="32">
                  <c:v>0.341114902616628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152640"/>
        <c:axId val="957166720"/>
      </c:lineChart>
      <c:catAx>
        <c:axId val="957152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166720"/>
        <c:crosses val="autoZero"/>
        <c:auto val="1"/>
        <c:lblAlgn val="ctr"/>
        <c:lblOffset val="100"/>
        <c:noMultiLvlLbl val="0"/>
      </c:catAx>
      <c:valAx>
        <c:axId val="9571667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152640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3004e5-9a22-4b55-a62d-65213fddde5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Worksheet!$B$409</c:f>
              <c:strCache>
                <c:ptCount val="1"/>
                <c:pt idx="0">
                  <c:v>adidas store contrib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Worksheet!$C$409:$AN$409</c:f>
              <c:numCache>
                <c:formatCode>0.0%</c:formatCode>
                <c:ptCount val="34"/>
                <c:pt idx="0">
                  <c:v>0.04</c:v>
                </c:pt>
                <c:pt idx="1">
                  <c:v>-0.02</c:v>
                </c:pt>
                <c:pt idx="2">
                  <c:v>0.01</c:v>
                </c:pt>
                <c:pt idx="3">
                  <c:v>0.03</c:v>
                </c:pt>
                <c:pt idx="4">
                  <c:v>0.02</c:v>
                </c:pt>
                <c:pt idx="5">
                  <c:v>0.05</c:v>
                </c:pt>
                <c:pt idx="6">
                  <c:v>0.0469392775856083</c:v>
                </c:pt>
                <c:pt idx="7">
                  <c:v>0.03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0.0937682403433476</c:v>
                </c:pt>
                <c:pt idx="14">
                  <c:v>0.111397091229617</c:v>
                </c:pt>
                <c:pt idx="15">
                  <c:v>0.12</c:v>
                </c:pt>
                <c:pt idx="16">
                  <c:v>0.05</c:v>
                </c:pt>
                <c:pt idx="17">
                  <c:v>0.06</c:v>
                </c:pt>
                <c:pt idx="18">
                  <c:v>0.0553233830845771</c:v>
                </c:pt>
                <c:pt idx="19">
                  <c:v>0.02</c:v>
                </c:pt>
                <c:pt idx="20">
                  <c:v>0.0420559164077944</c:v>
                </c:pt>
                <c:pt idx="21">
                  <c:v>0.05625</c:v>
                </c:pt>
                <c:pt idx="22">
                  <c:v>0.0389819126074499</c:v>
                </c:pt>
                <c:pt idx="23">
                  <c:v>0.04620377773336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0.04</c:v>
                </c:pt>
                <c:pt idx="30">
                  <c:v>0.0854688963349051</c:v>
                </c:pt>
                <c:pt idx="31">
                  <c:v>0.0707100216166589</c:v>
                </c:pt>
                <c:pt idx="32">
                  <c:v>0.0895124602059909</c:v>
                </c:pt>
              </c:numCache>
            </c:numRef>
          </c:val>
        </c:ser>
        <c:ser>
          <c:idx val="2"/>
          <c:order val="1"/>
          <c:tx>
            <c:strRef>
              <c:f>Worksheet!$B$410</c:f>
              <c:strCache>
                <c:ptCount val="1"/>
                <c:pt idx="0">
                  <c:v>adidas online contrib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Worksheet!$C$396:$AN$396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Worksheet!$C$410:$AN$410</c:f>
              <c:numCache>
                <c:formatCode>0.0%</c:formatCode>
                <c:ptCount val="34"/>
                <c:pt idx="0">
                  <c:v>0.061854722558526</c:v>
                </c:pt>
                <c:pt idx="1">
                  <c:v>0.064063819792759</c:v>
                </c:pt>
                <c:pt idx="2">
                  <c:v>0.0629592711756425</c:v>
                </c:pt>
                <c:pt idx="3">
                  <c:v>0.0245722506111541</c:v>
                </c:pt>
                <c:pt idx="4">
                  <c:v>0.0486001391531276</c:v>
                </c:pt>
                <c:pt idx="5">
                  <c:v>0.0403383071508138</c:v>
                </c:pt>
                <c:pt idx="6">
                  <c:v>0.0323583501947919</c:v>
                </c:pt>
                <c:pt idx="7">
                  <c:v>0.0463910419188945</c:v>
                </c:pt>
                <c:pt idx="8">
                  <c:v>0.0698988388262852</c:v>
                </c:pt>
                <c:pt idx="9">
                  <c:v>0.075391805004707</c:v>
                </c:pt>
                <c:pt idx="10">
                  <c:v>0.0728732574997441</c:v>
                </c:pt>
                <c:pt idx="11">
                  <c:v>0.0811067932480145</c:v>
                </c:pt>
                <c:pt idx="12">
                  <c:v>0.075847676173203</c:v>
                </c:pt>
                <c:pt idx="13">
                  <c:v>0.118955045171212</c:v>
                </c:pt>
                <c:pt idx="14">
                  <c:v>0.100539677113385</c:v>
                </c:pt>
                <c:pt idx="15">
                  <c:v>0.0877453508670388</c:v>
                </c:pt>
                <c:pt idx="16">
                  <c:v>0.105991001699711</c:v>
                </c:pt>
                <c:pt idx="17">
                  <c:v>0.131988794569451</c:v>
                </c:pt>
                <c:pt idx="18">
                  <c:v>0.119830622779622</c:v>
                </c:pt>
                <c:pt idx="19">
                  <c:v>0.0779933786092211</c:v>
                </c:pt>
                <c:pt idx="20">
                  <c:v>0.104116549143182</c:v>
                </c:pt>
                <c:pt idx="21">
                  <c:v>0.13790484498309</c:v>
                </c:pt>
                <c:pt idx="22">
                  <c:v>0.109365357061441</c:v>
                </c:pt>
                <c:pt idx="23">
                  <c:v>0.113990322582708</c:v>
                </c:pt>
                <c:pt idx="24">
                  <c:v>0.0696069255120147</c:v>
                </c:pt>
                <c:pt idx="25">
                  <c:v>0.0670288912337919</c:v>
                </c:pt>
                <c:pt idx="26">
                  <c:v>0.0670288912337919</c:v>
                </c:pt>
                <c:pt idx="27">
                  <c:v>0.19593060514493</c:v>
                </c:pt>
                <c:pt idx="28">
                  <c:v>0.19593060514493</c:v>
                </c:pt>
                <c:pt idx="29">
                  <c:v>0.0618728226773464</c:v>
                </c:pt>
                <c:pt idx="30">
                  <c:v>0.121886688410018</c:v>
                </c:pt>
                <c:pt idx="31">
                  <c:v>0.112745186779267</c:v>
                </c:pt>
                <c:pt idx="32">
                  <c:v>0.0426603409435063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203584"/>
        <c:axId val="957205120"/>
      </c:barChart>
      <c:catAx>
        <c:axId val="957203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05120"/>
        <c:crosses val="autoZero"/>
        <c:auto val="1"/>
        <c:lblAlgn val="ctr"/>
        <c:lblOffset val="100"/>
        <c:noMultiLvlLbl val="0"/>
      </c:catAx>
      <c:valAx>
        <c:axId val="9572051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03584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1e389b-6a3c-4bdd-a411-8f5791dfc3e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Worksheet!$B$458</c:f>
              <c:strCache>
                <c:ptCount val="1"/>
                <c:pt idx="0">
                  <c:v>cFX sales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Worksheet!$C$457:$Z$457</c:f>
              <c:strCache>
                <c:ptCount val="24"/>
                <c:pt idx="0">
                  <c:v>2010</c:v>
                </c:pt>
                <c:pt idx="1">
                  <c:v>2011</c:v>
                </c:pt>
                <c:pt idx="3">
                  <c:v>2012</c:v>
                </c:pt>
                <c:pt idx="4">
                  <c:v>2012</c:v>
                </c:pt>
                <c:pt idx="5">
                  <c:v>2013</c:v>
                </c:pt>
                <c:pt idx="6">
                  <c:v>2013</c:v>
                </c:pt>
                <c:pt idx="7">
                  <c:v>2014</c:v>
                </c:pt>
                <c:pt idx="8">
                  <c:v>2014</c:v>
                </c:pt>
                <c:pt idx="9">
                  <c:v>2015</c:v>
                </c:pt>
                <c:pt idx="10">
                  <c:v>2015</c:v>
                </c:pt>
                <c:pt idx="11">
                  <c:v>2016</c:v>
                </c:pt>
                <c:pt idx="12">
                  <c:v>2016</c:v>
                </c:pt>
                <c:pt idx="13">
                  <c:v>2017</c:v>
                </c:pt>
                <c:pt idx="14">
                  <c:v>2017</c:v>
                </c:pt>
                <c:pt idx="15">
                  <c:v>2018</c:v>
                </c:pt>
                <c:pt idx="16">
                  <c:v>2018</c:v>
                </c:pt>
                <c:pt idx="17">
                  <c:v>2019</c:v>
                </c:pt>
                <c:pt idx="19">
                  <c:v>2020E</c:v>
                </c:pt>
                <c:pt idx="20">
                  <c:v>2021E</c:v>
                </c:pt>
                <c:pt idx="21">
                  <c:v>2022E</c:v>
                </c:pt>
                <c:pt idx="22">
                  <c:v>2022E</c:v>
                </c:pt>
                <c:pt idx="23">
                  <c:v>2023E</c:v>
                </c:pt>
              </c:strCache>
            </c:strRef>
          </c:cat>
          <c:val>
            <c:numRef>
              <c:f>Worksheet!$C$458:$Z$458</c:f>
              <c:numCache>
                <c:formatCode>0.0%</c:formatCode>
                <c:ptCount val="24"/>
                <c:pt idx="0">
                  <c:v>0.0865826498118305</c:v>
                </c:pt>
                <c:pt idx="1">
                  <c:v>0.13</c:v>
                </c:pt>
                <c:pt idx="3">
                  <c:v>0.0637775576071455</c:v>
                </c:pt>
                <c:pt idx="5">
                  <c:v>0.0294190687361419</c:v>
                </c:pt>
                <c:pt idx="8">
                  <c:v>0.0646918989787469</c:v>
                </c:pt>
                <c:pt idx="9">
                  <c:v>0.0963410858047203</c:v>
                </c:pt>
                <c:pt idx="11">
                  <c:v>0.1815992905705</c:v>
                </c:pt>
                <c:pt idx="13">
                  <c:v>0.159997786824436</c:v>
                </c:pt>
                <c:pt idx="16">
                  <c:v>0.0842075596191913</c:v>
                </c:pt>
                <c:pt idx="17">
                  <c:v>0.0605195710700433</c:v>
                </c:pt>
                <c:pt idx="19">
                  <c:v>-0.134484943113378</c:v>
                </c:pt>
                <c:pt idx="20">
                  <c:v>0.16</c:v>
                </c:pt>
                <c:pt idx="21">
                  <c:v>0.0104352453612131</c:v>
                </c:pt>
                <c:pt idx="22">
                  <c:v>0.0104352453612131</c:v>
                </c:pt>
                <c:pt idx="23">
                  <c:v>-0.044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Worksheet!$B$459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Worksheet!$C$457:$Z$457</c:f>
              <c:strCache>
                <c:ptCount val="24"/>
                <c:pt idx="0">
                  <c:v>2010</c:v>
                </c:pt>
                <c:pt idx="1">
                  <c:v>2011</c:v>
                </c:pt>
                <c:pt idx="3">
                  <c:v>2012</c:v>
                </c:pt>
                <c:pt idx="4">
                  <c:v>2012</c:v>
                </c:pt>
                <c:pt idx="5">
                  <c:v>2013</c:v>
                </c:pt>
                <c:pt idx="6">
                  <c:v>2013</c:v>
                </c:pt>
                <c:pt idx="7">
                  <c:v>2014</c:v>
                </c:pt>
                <c:pt idx="8">
                  <c:v>2014</c:v>
                </c:pt>
                <c:pt idx="9">
                  <c:v>2015</c:v>
                </c:pt>
                <c:pt idx="10">
                  <c:v>2015</c:v>
                </c:pt>
                <c:pt idx="11">
                  <c:v>2016</c:v>
                </c:pt>
                <c:pt idx="12">
                  <c:v>2016</c:v>
                </c:pt>
                <c:pt idx="13">
                  <c:v>2017</c:v>
                </c:pt>
                <c:pt idx="14">
                  <c:v>2017</c:v>
                </c:pt>
                <c:pt idx="15">
                  <c:v>2018</c:v>
                </c:pt>
                <c:pt idx="16">
                  <c:v>2018</c:v>
                </c:pt>
                <c:pt idx="17">
                  <c:v>2019</c:v>
                </c:pt>
                <c:pt idx="19">
                  <c:v>2020E</c:v>
                </c:pt>
                <c:pt idx="20">
                  <c:v>2021E</c:v>
                </c:pt>
                <c:pt idx="21">
                  <c:v>2022E</c:v>
                </c:pt>
                <c:pt idx="22">
                  <c:v>2022E</c:v>
                </c:pt>
                <c:pt idx="23">
                  <c:v>2023E</c:v>
                </c:pt>
              </c:strCache>
            </c:strRef>
          </c:cat>
          <c:val>
            <c:numRef>
              <c:f>Worksheet!$C$459:$Z$459</c:f>
              <c:numCache>
                <c:formatCode>0.0%</c:formatCode>
                <c:ptCount val="24"/>
                <c:pt idx="0">
                  <c:v>0.0716801440451288</c:v>
                </c:pt>
                <c:pt idx="1">
                  <c:v>0.0716801440451288</c:v>
                </c:pt>
                <c:pt idx="3">
                  <c:v>0.0716801440451288</c:v>
                </c:pt>
                <c:pt idx="5">
                  <c:v>0.0716801440451288</c:v>
                </c:pt>
                <c:pt idx="8">
                  <c:v>0.0716801440451288</c:v>
                </c:pt>
                <c:pt idx="9">
                  <c:v>0.0716801440451288</c:v>
                </c:pt>
                <c:pt idx="11">
                  <c:v>0.0716801440451288</c:v>
                </c:pt>
                <c:pt idx="13">
                  <c:v>0.0716801440451288</c:v>
                </c:pt>
                <c:pt idx="16">
                  <c:v>0.0716801440451288</c:v>
                </c:pt>
                <c:pt idx="17">
                  <c:v>0.0716801440451288</c:v>
                </c:pt>
                <c:pt idx="19">
                  <c:v>0.0716801440451288</c:v>
                </c:pt>
                <c:pt idx="20">
                  <c:v>0.0716801440451288</c:v>
                </c:pt>
                <c:pt idx="21">
                  <c:v>0.0716801440451288</c:v>
                </c:pt>
                <c:pt idx="22">
                  <c:v>0.0716801440451288</c:v>
                </c:pt>
                <c:pt idx="23">
                  <c:v>0.0716801440451288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217792"/>
        <c:axId val="957244160"/>
      </c:lineChart>
      <c:catAx>
        <c:axId val="95721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44160"/>
        <c:crosses val="autoZero"/>
        <c:auto val="1"/>
        <c:lblAlgn val="ctr"/>
        <c:lblOffset val="100"/>
        <c:noMultiLvlLbl val="0"/>
      </c:catAx>
      <c:valAx>
        <c:axId val="95724416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17792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d48ced-0e2e-40bd-888b-f7fe5cec335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Worksheet!$B$412</c:f>
              <c:strCache>
                <c:ptCount val="1"/>
                <c:pt idx="0">
                  <c:v>Wholesale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Worksheet!$C$411:$AN$411</c:f>
              <c:strCache>
                <c:ptCount val="34"/>
                <c:pt idx="0" c:formatCode="#,##0.0_);[Red]\(#,##0.0\)">
                  <c:v>1Q15</c:v>
                </c:pt>
                <c:pt idx="1" c:formatCode="#,##0.0_);[Red]\(#,##0.0\)">
                  <c:v>2Q15</c:v>
                </c:pt>
                <c:pt idx="2" c:formatCode="#,##0.0_);[Red]\(#,##0.0\)">
                  <c:v>1H15</c:v>
                </c:pt>
                <c:pt idx="3" c:formatCode="#,##0.0_);[Red]\(#,##0.0\)">
                  <c:v>3Q15</c:v>
                </c:pt>
                <c:pt idx="4" c:formatCode="#,##0.0_);[Red]\(#,##0.0\)">
                  <c:v>9M15</c:v>
                </c:pt>
                <c:pt idx="5" c:formatCode="#,##0.0_);[Red]\(#,##0.0\)">
                  <c:v>4Q15</c:v>
                </c:pt>
                <c:pt idx="6" c:formatCode="#,##0.0_);[Red]\(#,##0.0\)">
                  <c:v>2H15</c:v>
                </c:pt>
                <c:pt idx="7" c:formatCode="#,##0.0_);[Red]\(#,##0.0\)">
                  <c:v>FY15</c:v>
                </c:pt>
                <c:pt idx="8" c:formatCode="#,##0.0_);[Red]\(#,##0.0\)">
                  <c:v>1Q16</c:v>
                </c:pt>
                <c:pt idx="9" c:formatCode="#,##0.0_);[Red]\(#,##0.0\)">
                  <c:v>2Q16</c:v>
                </c:pt>
                <c:pt idx="10" c:formatCode="#,##0.0_);[Red]\(#,##0.0\)">
                  <c:v>1H16</c:v>
                </c:pt>
                <c:pt idx="11" c:formatCode="#,##0.0_);[Red]\(#,##0.0\)">
                  <c:v>3Q16</c:v>
                </c:pt>
                <c:pt idx="12" c:formatCode="#,##0.0_);[Red]\(#,##0.0\)">
                  <c:v>9M16</c:v>
                </c:pt>
                <c:pt idx="13" c:formatCode="#,##0.0_);[Red]\(#,##0.0\)">
                  <c:v>4Q16</c:v>
                </c:pt>
                <c:pt idx="14" c:formatCode="#,##0.0_);[Red]\(#,##0.0\)">
                  <c:v>2H16</c:v>
                </c:pt>
                <c:pt idx="15" c:formatCode="#,##0.0_);[Red]\(#,##0.0\)">
                  <c:v>FY16</c:v>
                </c:pt>
                <c:pt idx="16" c:formatCode="#,##0.0_);[Red]\(#,##0.0\)">
                  <c:v>1Q17</c:v>
                </c:pt>
                <c:pt idx="17" c:formatCode="#,##0.0_);[Red]\(#,##0.0\)">
                  <c:v>2Q17</c:v>
                </c:pt>
                <c:pt idx="18" c:formatCode="#,##0.0_);[Red]\(#,##0.0\)">
                  <c:v>1H17</c:v>
                </c:pt>
                <c:pt idx="19" c:formatCode="#,##0.0_);[Red]\(#,##0.0\)">
                  <c:v>3Q17</c:v>
                </c:pt>
                <c:pt idx="20" c:formatCode="#,##0.0_);[Red]\(#,##0.0\)">
                  <c:v>9M17</c:v>
                </c:pt>
                <c:pt idx="21" c:formatCode="#,##0.0_);[Red]\(#,##0.0\)">
                  <c:v>4Q17</c:v>
                </c:pt>
                <c:pt idx="24" c:formatCode="#,##0.0_);[Red]\(#,##0.0\)">
                  <c:v>1Q18</c:v>
                </c:pt>
                <c:pt idx="25" c:formatCode="#,##0.0_);[Red]\(#,##0.0\)">
                  <c:v>2Q18</c:v>
                </c:pt>
                <c:pt idx="26" c:formatCode="#,##0.0_);[Red]\(#,##0.0\)">
                  <c:v>1Q18</c:v>
                </c:pt>
                <c:pt idx="27" c:formatCode="#,##0.0_);[Red]\(#,##0.0\)">
                  <c:v>3Q18</c:v>
                </c:pt>
                <c:pt idx="28" c:formatCode="#,##0.0_);[Red]\(#,##0.0\)">
                  <c:v>2Q18E</c:v>
                </c:pt>
                <c:pt idx="29" c:formatCode="#,##0.0_);[Red]\(#,##0.0\)">
                  <c:v>4Q18</c:v>
                </c:pt>
                <c:pt idx="30" c:formatCode="#,##0.0_);[Red]\(#,##0.0\)">
                  <c:v>1Q19</c:v>
                </c:pt>
                <c:pt idx="31" c:formatCode="#,##0.0_);[Red]\(#,##0.0\)">
                  <c:v>2Q19</c:v>
                </c:pt>
                <c:pt idx="32" c:formatCode="#,##0.0_);[Red]\(#,##0.0\)">
                  <c:v>3Q19</c:v>
                </c:pt>
                <c:pt idx="33" c:formatCode="#,##0.0_);[Red]\(#,##0.0\)">
                  <c:v>4Q19E</c:v>
                </c:pt>
              </c:strCache>
            </c:strRef>
          </c:cat>
          <c:val>
            <c:numRef>
              <c:f>Worksheet!$C$412:$AN$412</c:f>
              <c:numCache>
                <c:formatCode>0.0%</c:formatCode>
                <c:ptCount val="34"/>
                <c:pt idx="0">
                  <c:v>0.0853279587827344</c:v>
                </c:pt>
                <c:pt idx="1">
                  <c:v>0.0700776182350177</c:v>
                </c:pt>
                <c:pt idx="3">
                  <c:v>0.140246479196268</c:v>
                </c:pt>
                <c:pt idx="5">
                  <c:v>0.142284206301323</c:v>
                </c:pt>
                <c:pt idx="8">
                  <c:v>0.232453930985414</c:v>
                </c:pt>
                <c:pt idx="9">
                  <c:v>0.227762575452716</c:v>
                </c:pt>
                <c:pt idx="11">
                  <c:v>0.160805496828753</c:v>
                </c:pt>
                <c:pt idx="13">
                  <c:v>0.12782786259542</c:v>
                </c:pt>
                <c:pt idx="16">
                  <c:v>0.174028451632225</c:v>
                </c:pt>
                <c:pt idx="17">
                  <c:v>0.178712443360056</c:v>
                </c:pt>
                <c:pt idx="19">
                  <c:v>0.134276032404413</c:v>
                </c:pt>
                <c:pt idx="21">
                  <c:v>0.154144736842105</c:v>
                </c:pt>
                <c:pt idx="24">
                  <c:v>0.102419802980551</c:v>
                </c:pt>
                <c:pt idx="25">
                  <c:v>0.105625259412985</c:v>
                </c:pt>
                <c:pt idx="27">
                  <c:v>0.0222541164905387</c:v>
                </c:pt>
                <c:pt idx="29">
                  <c:v>-0.0181062215612329</c:v>
                </c:pt>
                <c:pt idx="30">
                  <c:v>0.02</c:v>
                </c:pt>
                <c:pt idx="31">
                  <c:v>0.02</c:v>
                </c:pt>
                <c:pt idx="32">
                  <c:v>0.07</c:v>
                </c:pt>
                <c:pt idx="33">
                  <c:v>0.07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262848"/>
        <c:axId val="957281024"/>
      </c:lineChart>
      <c:catAx>
        <c:axId val="957262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81024"/>
        <c:crosses val="autoZero"/>
        <c:auto val="1"/>
        <c:lblAlgn val="ctr"/>
        <c:lblOffset val="100"/>
        <c:noMultiLvlLbl val="0"/>
      </c:catAx>
      <c:valAx>
        <c:axId val="95728102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262848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cdb81f-f04a-4a02-b75a-e113e92fc51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</c:spPr>
          </c:dPt>
          <c:dPt>
            <c:idx val="2"/>
            <c:invertIfNegative val="0"/>
            <c:bubble3D val="0"/>
            <c:spPr>
              <a:noFill/>
              <a:ln>
                <a:noFill/>
              </a:ln>
            </c:spPr>
          </c:dPt>
          <c:dPt>
            <c:idx val="3"/>
            <c:invertIfNegative val="0"/>
            <c:bubble3D val="0"/>
            <c:spPr>
              <a:noFill/>
              <a:ln>
                <a:noFill/>
              </a:ln>
            </c:spPr>
          </c:dPt>
          <c:dLbls>
            <c:delete val="1"/>
          </c:dLbls>
          <c:cat>
            <c:strRef>
              <c:f>Worksheet!$B$588:$B$592</c:f>
              <c:strCache>
                <c:ptCount val="5"/>
                <c:pt idx="0">
                  <c:v>Gross profit</c:v>
                </c:pt>
                <c:pt idx="1">
                  <c:v>Warehouse and distribution</c:v>
                </c:pt>
                <c:pt idx="2">
                  <c:v>Marketing</c:v>
                </c:pt>
                <c:pt idx="3">
                  <c:v>Central costs</c:v>
                </c:pt>
                <c:pt idx="4">
                  <c:v>EBIT</c:v>
                </c:pt>
              </c:strCache>
            </c:strRef>
          </c:cat>
          <c:val>
            <c:numRef>
              <c:f>Worksheet!$C$588:$C$592</c:f>
              <c:numCache>
                <c:formatCode>0%</c:formatCode>
                <c:ptCount val="5"/>
                <c:pt idx="0">
                  <c:v>0.68</c:v>
                </c:pt>
                <c:pt idx="1">
                  <c:v>0.43</c:v>
                </c:pt>
                <c:pt idx="2">
                  <c:v>0.3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</c:ser>
        <c:ser>
          <c:idx val="1"/>
          <c:order val="1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</c:spPr>
          </c:dPt>
          <c:dLbls>
            <c:delete val="1"/>
          </c:dLbls>
          <c:cat>
            <c:strRef>
              <c:f>Worksheet!$B$588:$B$592</c:f>
              <c:strCache>
                <c:ptCount val="5"/>
                <c:pt idx="0">
                  <c:v>Gross profit</c:v>
                </c:pt>
                <c:pt idx="1">
                  <c:v>Warehouse and distribution</c:v>
                </c:pt>
                <c:pt idx="2">
                  <c:v>Marketing</c:v>
                </c:pt>
                <c:pt idx="3">
                  <c:v>Central costs</c:v>
                </c:pt>
                <c:pt idx="4">
                  <c:v>EBIT</c:v>
                </c:pt>
              </c:strCache>
            </c:strRef>
          </c:cat>
          <c:val>
            <c:numRef>
              <c:f>Worksheet!$D$588:$D$592</c:f>
              <c:numCache>
                <c:formatCode>0%</c:formatCode>
                <c:ptCount val="5"/>
                <c:pt idx="0">
                  <c:v>0.32</c:v>
                </c:pt>
                <c:pt idx="1">
                  <c:v>0.25</c:v>
                </c:pt>
                <c:pt idx="2">
                  <c:v>0.13</c:v>
                </c:pt>
                <c:pt idx="3">
                  <c:v>0.1</c:v>
                </c:pt>
                <c:pt idx="4">
                  <c:v>0.8</c:v>
                </c:pt>
              </c:numCache>
            </c:numRef>
          </c:val>
        </c:ser>
        <c:ser>
          <c:idx val="2"/>
          <c:order val="2"/>
          <c:invertIfNegative val="0"/>
          <c:dLbls>
            <c:delete val="1"/>
          </c:dLbls>
          <c:cat>
            <c:strRef>
              <c:f>Worksheet!$B$588:$B$592</c:f>
              <c:strCache>
                <c:ptCount val="5"/>
                <c:pt idx="0">
                  <c:v>Gross profit</c:v>
                </c:pt>
                <c:pt idx="1">
                  <c:v>Warehouse and distribution</c:v>
                </c:pt>
                <c:pt idx="2">
                  <c:v>Marketing</c:v>
                </c:pt>
                <c:pt idx="3">
                  <c:v>Central costs</c:v>
                </c:pt>
                <c:pt idx="4">
                  <c:v>EBIT</c:v>
                </c:pt>
              </c:strCache>
            </c:strRef>
          </c:cat>
          <c:val>
            <c:numRef>
              <c:f>Worksheet!$E$588:$E$592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</c:spPr>
          </c:dPt>
          <c:dPt>
            <c:idx val="2"/>
            <c:invertIfNegative val="0"/>
            <c:bubble3D val="0"/>
            <c:spPr>
              <a:noFill/>
              <a:ln>
                <a:noFill/>
              </a:ln>
            </c:spPr>
          </c:dPt>
          <c:dPt>
            <c:idx val="3"/>
            <c:invertIfNegative val="0"/>
            <c:bubble3D val="0"/>
            <c:spPr>
              <a:noFill/>
              <a:ln>
                <a:noFill/>
              </a:ln>
            </c:spPr>
          </c:dPt>
          <c:dLbls>
            <c:delete val="1"/>
          </c:dLbls>
          <c:cat>
            <c:strRef>
              <c:f>Worksheet!$B$588:$B$592</c:f>
              <c:strCache>
                <c:ptCount val="5"/>
                <c:pt idx="0">
                  <c:v>Gross profit</c:v>
                </c:pt>
                <c:pt idx="1">
                  <c:v>Warehouse and distribution</c:v>
                </c:pt>
                <c:pt idx="2">
                  <c:v>Marketing</c:v>
                </c:pt>
                <c:pt idx="3">
                  <c:v>Central costs</c:v>
                </c:pt>
                <c:pt idx="4">
                  <c:v>EBIT</c:v>
                </c:pt>
              </c:strCache>
            </c:strRef>
          </c:cat>
          <c:val>
            <c:numRef>
              <c:f>Worksheet!$F$588:$F$592</c:f>
              <c:numCache>
                <c:formatCode>0%</c:formatCode>
                <c:ptCount val="5"/>
                <c:pt idx="0">
                  <c:v>0</c:v>
                </c:pt>
                <c:pt idx="1">
                  <c:v>0.32</c:v>
                </c:pt>
                <c:pt idx="2">
                  <c:v>0.57</c:v>
                </c:pt>
                <c:pt idx="3">
                  <c:v>0.7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477632"/>
        <c:axId val="957479168"/>
      </c:barChart>
      <c:catAx>
        <c:axId val="95747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479168"/>
        <c:crosses val="autoZero"/>
        <c:auto val="1"/>
        <c:lblAlgn val="ctr"/>
        <c:lblOffset val="100"/>
        <c:noMultiLvlLbl val="0"/>
      </c:catAx>
      <c:valAx>
        <c:axId val="957479168"/>
        <c:scaling>
          <c:orientation val="minMax"/>
          <c:max val="0.7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47763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fc7710-aab7-47fb-ab0c-015c6533283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Worksheet!$B$628</c:f>
              <c:strCache>
                <c:ptCount val="1"/>
                <c:pt idx="0">
                  <c:v>Adidas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Worksheet!$F$628:$V$628</c:f>
              <c:numCache>
                <c:formatCode>0%</c:formatCode>
                <c:ptCount val="17"/>
                <c:pt idx="0">
                  <c:v>0.42</c:v>
                </c:pt>
                <c:pt idx="2">
                  <c:v>0.81</c:v>
                </c:pt>
                <c:pt idx="5">
                  <c:v>0.3</c:v>
                </c:pt>
                <c:pt idx="6">
                  <c:v>0.5</c:v>
                </c:pt>
                <c:pt idx="8">
                  <c:v>0.57</c:v>
                </c:pt>
                <c:pt idx="10">
                  <c:v>0.556666666666667</c:v>
                </c:pt>
                <c:pt idx="13">
                  <c:v>1.07</c:v>
                </c:pt>
                <c:pt idx="14">
                  <c:v>1.48</c:v>
                </c:pt>
                <c:pt idx="16">
                  <c:v>1.59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Worksheet!$B$629</c:f>
              <c:strCache>
                <c:ptCount val="1"/>
                <c:pt idx="0">
                  <c:v>Puma</c:v>
                </c:pt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Worksheet!$F$629:$V$629</c:f>
              <c:numCache>
                <c:formatCode>0%</c:formatCode>
                <c:ptCount val="17"/>
                <c:pt idx="0">
                  <c:v>0.09</c:v>
                </c:pt>
                <c:pt idx="2">
                  <c:v>0.23</c:v>
                </c:pt>
                <c:pt idx="5">
                  <c:v>0.55</c:v>
                </c:pt>
                <c:pt idx="6">
                  <c:v>0.9</c:v>
                </c:pt>
                <c:pt idx="8">
                  <c:v>0.83</c:v>
                </c:pt>
                <c:pt idx="10">
                  <c:v>0.7</c:v>
                </c:pt>
                <c:pt idx="13">
                  <c:v>0.84</c:v>
                </c:pt>
                <c:pt idx="14">
                  <c:v>1.19</c:v>
                </c:pt>
                <c:pt idx="16">
                  <c:v>1.1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Worksheet!$B$630</c:f>
              <c:strCache>
                <c:ptCount val="1"/>
                <c:pt idx="0">
                  <c:v>Nike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Worksheet!$F$630:$V$630</c:f>
              <c:numCache>
                <c:formatCode>0%</c:formatCode>
                <c:ptCount val="17"/>
                <c:pt idx="0">
                  <c:v>0.16</c:v>
                </c:pt>
                <c:pt idx="2">
                  <c:v>-0.01</c:v>
                </c:pt>
                <c:pt idx="5">
                  <c:v>0.32</c:v>
                </c:pt>
                <c:pt idx="6">
                  <c:v>0.35</c:v>
                </c:pt>
                <c:pt idx="8">
                  <c:v>0.39</c:v>
                </c:pt>
                <c:pt idx="10">
                  <c:v>0.54</c:v>
                </c:pt>
                <c:pt idx="13">
                  <c:v>0.7</c:v>
                </c:pt>
                <c:pt idx="14">
                  <c:v>0.65</c:v>
                </c:pt>
                <c:pt idx="16">
                  <c:v>0.51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Worksheet!$B$631</c:f>
              <c:strCache>
                <c:ptCount val="1"/>
                <c:pt idx="0">
                  <c:v>Li Ning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Worksheet!$F$631:$V$631</c:f>
              <c:numCache>
                <c:formatCode>0%</c:formatCode>
                <c:ptCount val="17"/>
                <c:pt idx="0">
                  <c:v>0.34</c:v>
                </c:pt>
                <c:pt idx="2">
                  <c:v>0.43</c:v>
                </c:pt>
                <c:pt idx="5">
                  <c:v>0.31</c:v>
                </c:pt>
                <c:pt idx="6">
                  <c:v>0.31</c:v>
                </c:pt>
                <c:pt idx="8">
                  <c:v>0.27</c:v>
                </c:pt>
                <c:pt idx="10">
                  <c:v>0.36</c:v>
                </c:pt>
                <c:pt idx="13">
                  <c:v>0.4</c:v>
                </c:pt>
                <c:pt idx="14">
                  <c:v>0.53</c:v>
                </c:pt>
                <c:pt idx="16">
                  <c:v>0.52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Worksheet!$B$632</c:f>
              <c:strCache>
                <c:ptCount val="1"/>
                <c:pt idx="0">
                  <c:v>Anta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Worksheet!$F$632:$V$632</c:f>
              <c:numCache>
                <c:formatCode>0%</c:formatCode>
                <c:ptCount val="17"/>
                <c:pt idx="0">
                  <c:v>0.41</c:v>
                </c:pt>
                <c:pt idx="2">
                  <c:v>0.38</c:v>
                </c:pt>
                <c:pt idx="5">
                  <c:v>0.33</c:v>
                </c:pt>
                <c:pt idx="6">
                  <c:v>0.32</c:v>
                </c:pt>
                <c:pt idx="8">
                  <c:v>0.36</c:v>
                </c:pt>
                <c:pt idx="10">
                  <c:v>0.386666666666667</c:v>
                </c:pt>
                <c:pt idx="13">
                  <c:v>0.49</c:v>
                </c:pt>
                <c:pt idx="14">
                  <c:v>0.59</c:v>
                </c:pt>
                <c:pt idx="16">
                  <c:v>0.54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Worksheet!$B$633</c:f>
              <c:strCache>
                <c:ptCount val="1"/>
                <c:pt idx="0">
                  <c:v>Fila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Worksheet!$F$633:$V$633</c:f>
              <c:numCache>
                <c:formatCode>0%</c:formatCode>
                <c:ptCount val="17"/>
                <c:pt idx="0">
                  <c:v>0.45</c:v>
                </c:pt>
                <c:pt idx="2">
                  <c:v>1.15</c:v>
                </c:pt>
                <c:pt idx="5">
                  <c:v>0.94</c:v>
                </c:pt>
                <c:pt idx="6">
                  <c:v>0.85</c:v>
                </c:pt>
                <c:pt idx="8">
                  <c:v>0.82</c:v>
                </c:pt>
                <c:pt idx="10">
                  <c:v>0.78</c:v>
                </c:pt>
                <c:pt idx="13">
                  <c:v>0.9</c:v>
                </c:pt>
                <c:pt idx="14">
                  <c:v>1.04</c:v>
                </c:pt>
                <c:pt idx="16">
                  <c:v>1.01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535360"/>
        <c:axId val="957536896"/>
      </c:lineChart>
      <c:catAx>
        <c:axId val="957535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536896"/>
        <c:crosses val="autoZero"/>
        <c:auto val="1"/>
        <c:lblAlgn val="ctr"/>
        <c:lblOffset val="100"/>
        <c:noMultiLvlLbl val="0"/>
      </c:catAx>
      <c:valAx>
        <c:axId val="9575368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53536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200923-e99d-4b2f-934f-a5443fcab9d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Worksheet!$B$620</c:f>
              <c:strCache>
                <c:ptCount val="1"/>
                <c:pt idx="0">
                  <c:v>Adidas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Worksheet!$F$620:$V$620</c:f>
              <c:numCache>
                <c:formatCode>0%</c:formatCode>
                <c:ptCount val="17"/>
                <c:pt idx="0">
                  <c:v>0.02</c:v>
                </c:pt>
                <c:pt idx="2">
                  <c:v>0.43</c:v>
                </c:pt>
                <c:pt idx="5">
                  <c:v>0.54</c:v>
                </c:pt>
                <c:pt idx="6">
                  <c:v>0.51</c:v>
                </c:pt>
                <c:pt idx="8">
                  <c:v>0.68</c:v>
                </c:pt>
                <c:pt idx="10">
                  <c:v>0.48</c:v>
                </c:pt>
                <c:pt idx="13">
                  <c:v>1.25</c:v>
                </c:pt>
                <c:pt idx="14">
                  <c:v>2.39</c:v>
                </c:pt>
                <c:pt idx="16">
                  <c:v>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Worksheet!$B$621</c:f>
              <c:strCache>
                <c:ptCount val="1"/>
                <c:pt idx="0">
                  <c:v>Puma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Worksheet!$F$621:$V$621</c:f>
              <c:numCache>
                <c:formatCode>0%</c:formatCode>
                <c:ptCount val="17"/>
                <c:pt idx="0">
                  <c:v>0</c:v>
                </c:pt>
                <c:pt idx="2">
                  <c:v>0.46</c:v>
                </c:pt>
                <c:pt idx="5">
                  <c:v>1.35</c:v>
                </c:pt>
                <c:pt idx="6">
                  <c:v>0.76</c:v>
                </c:pt>
                <c:pt idx="8">
                  <c:v>0.36</c:v>
                </c:pt>
                <c:pt idx="10">
                  <c:v>0.98</c:v>
                </c:pt>
                <c:pt idx="13">
                  <c:v>1.19</c:v>
                </c:pt>
                <c:pt idx="14">
                  <c:v>1.41</c:v>
                </c:pt>
                <c:pt idx="16">
                  <c:v>0.78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Worksheet!$B$622</c:f>
              <c:strCache>
                <c:ptCount val="1"/>
                <c:pt idx="0">
                  <c:v>Nike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Worksheet!$F$622:$V$622</c:f>
              <c:numCache>
                <c:formatCode>0%</c:formatCode>
                <c:ptCount val="17"/>
                <c:pt idx="0">
                  <c:v>0.29</c:v>
                </c:pt>
                <c:pt idx="2">
                  <c:v>0.46</c:v>
                </c:pt>
                <c:pt idx="5">
                  <c:v>0.26</c:v>
                </c:pt>
                <c:pt idx="6">
                  <c:v>0.37</c:v>
                </c:pt>
                <c:pt idx="8">
                  <c:v>0.56</c:v>
                </c:pt>
                <c:pt idx="10">
                  <c:v>0.69</c:v>
                </c:pt>
                <c:pt idx="13">
                  <c:v>0.9</c:v>
                </c:pt>
                <c:pt idx="14">
                  <c:v>0.4</c:v>
                </c:pt>
                <c:pt idx="16">
                  <c:v>0.34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Worksheet!$B$623</c:f>
              <c:strCache>
                <c:ptCount val="1"/>
                <c:pt idx="0">
                  <c:v>Li Ning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Worksheet!$F$623:$V$623</c:f>
              <c:numCache>
                <c:formatCode>0%</c:formatCode>
                <c:ptCount val="17"/>
                <c:pt idx="0">
                  <c:v>0.33</c:v>
                </c:pt>
                <c:pt idx="2">
                  <c:v>0.45</c:v>
                </c:pt>
                <c:pt idx="5">
                  <c:v>0.24</c:v>
                </c:pt>
                <c:pt idx="6">
                  <c:v>0.32</c:v>
                </c:pt>
                <c:pt idx="8">
                  <c:v>0.27</c:v>
                </c:pt>
                <c:pt idx="10">
                  <c:v>0.49</c:v>
                </c:pt>
                <c:pt idx="13">
                  <c:v>0.41</c:v>
                </c:pt>
                <c:pt idx="14">
                  <c:v>0.72</c:v>
                </c:pt>
                <c:pt idx="16">
                  <c:v>0.46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Worksheet!$B$624</c:f>
              <c:strCache>
                <c:ptCount val="1"/>
                <c:pt idx="0">
                  <c:v>Anta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Worksheet!$F$624:$V$624</c:f>
              <c:numCache>
                <c:formatCode>0%</c:formatCode>
                <c:ptCount val="17"/>
                <c:pt idx="0">
                  <c:v>0.36</c:v>
                </c:pt>
                <c:pt idx="2">
                  <c:v>0.17</c:v>
                </c:pt>
                <c:pt idx="5">
                  <c:v>0.4</c:v>
                </c:pt>
                <c:pt idx="6">
                  <c:v>0.31</c:v>
                </c:pt>
                <c:pt idx="8">
                  <c:v>0.37</c:v>
                </c:pt>
                <c:pt idx="10">
                  <c:v>0.48</c:v>
                </c:pt>
                <c:pt idx="13">
                  <c:v>0.74</c:v>
                </c:pt>
                <c:pt idx="14">
                  <c:v>0.64</c:v>
                </c:pt>
                <c:pt idx="16">
                  <c:v>0.36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Worksheet!$B$625</c:f>
              <c:strCache>
                <c:ptCount val="1"/>
                <c:pt idx="0">
                  <c:v>Fila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Worksheet!$F$619:$V$619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1">
                  <c:v>Jan</c:v>
                </c:pt>
                <c:pt idx="12">
                  <c:v>Feb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Worksheet!$F$625:$V$625</c:f>
              <c:numCache>
                <c:formatCode>0%</c:formatCode>
                <c:ptCount val="17"/>
                <c:pt idx="0">
                  <c:v>0.92</c:v>
                </c:pt>
                <c:pt idx="2">
                  <c:v>1.11</c:v>
                </c:pt>
                <c:pt idx="5">
                  <c:v>0.89</c:v>
                </c:pt>
                <c:pt idx="6">
                  <c:v>0.68</c:v>
                </c:pt>
                <c:pt idx="8">
                  <c:v>0.86</c:v>
                </c:pt>
                <c:pt idx="10">
                  <c:v>0.8</c:v>
                </c:pt>
                <c:pt idx="13">
                  <c:v>1.4</c:v>
                </c:pt>
                <c:pt idx="14">
                  <c:v>1.42</c:v>
                </c:pt>
                <c:pt idx="16">
                  <c:v>0.58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899520"/>
        <c:axId val="957901056"/>
      </c:lineChart>
      <c:catAx>
        <c:axId val="957899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901056"/>
        <c:crosses val="autoZero"/>
        <c:auto val="1"/>
        <c:lblAlgn val="ctr"/>
        <c:lblOffset val="100"/>
        <c:noMultiLvlLbl val="0"/>
      </c:catAx>
      <c:valAx>
        <c:axId val="957901056"/>
        <c:scaling>
          <c:orientation val="minMax"/>
          <c:max val="2.5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89952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aac02-1a37-4d3b-af23-4f51b83a96d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Worksheet!$B$649</c:f>
              <c:strCache>
                <c:ptCount val="1"/>
                <c:pt idx="0">
                  <c:v>Adidas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Worksheet!$F$649:$V$649</c:f>
              <c:numCache>
                <c:formatCode>0%</c:formatCode>
                <c:ptCount val="17"/>
                <c:pt idx="0">
                  <c:v>0.21</c:v>
                </c:pt>
                <c:pt idx="2">
                  <c:v>0.52</c:v>
                </c:pt>
                <c:pt idx="5">
                  <c:v>0.53</c:v>
                </c:pt>
                <c:pt idx="6">
                  <c:v>0.61</c:v>
                </c:pt>
                <c:pt idx="8">
                  <c:v>0.53</c:v>
                </c:pt>
                <c:pt idx="10">
                  <c:v>0.57</c:v>
                </c:pt>
                <c:pt idx="13">
                  <c:v>0.63</c:v>
                </c:pt>
                <c:pt idx="14">
                  <c:v>0.77</c:v>
                </c:pt>
                <c:pt idx="16">
                  <c:v>0.81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Worksheet!$B$650</c:f>
              <c:strCache>
                <c:ptCount val="1"/>
                <c:pt idx="0">
                  <c:v>Puma</c:v>
                </c:pt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Worksheet!$F$650:$V$650</c:f>
              <c:numCache>
                <c:formatCode>0%</c:formatCode>
                <c:ptCount val="17"/>
                <c:pt idx="0">
                  <c:v>-0.06</c:v>
                </c:pt>
                <c:pt idx="2">
                  <c:v>0.32</c:v>
                </c:pt>
                <c:pt idx="5">
                  <c:v>0.59</c:v>
                </c:pt>
                <c:pt idx="6">
                  <c:v>0.97</c:v>
                </c:pt>
                <c:pt idx="8">
                  <c:v>0.73</c:v>
                </c:pt>
                <c:pt idx="10">
                  <c:v>0.6</c:v>
                </c:pt>
                <c:pt idx="13">
                  <c:v>0.68</c:v>
                </c:pt>
                <c:pt idx="14">
                  <c:v>1.06</c:v>
                </c:pt>
                <c:pt idx="16">
                  <c:v>1.11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Worksheet!$B$651</c:f>
              <c:strCache>
                <c:ptCount val="1"/>
                <c:pt idx="0">
                  <c:v>Nike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Worksheet!$F$651:$V$651</c:f>
              <c:numCache>
                <c:formatCode>0%</c:formatCode>
                <c:ptCount val="17"/>
                <c:pt idx="0">
                  <c:v>0.06</c:v>
                </c:pt>
                <c:pt idx="2">
                  <c:v>-0.17</c:v>
                </c:pt>
                <c:pt idx="5">
                  <c:v>0.21</c:v>
                </c:pt>
                <c:pt idx="6">
                  <c:v>0.29</c:v>
                </c:pt>
                <c:pt idx="8">
                  <c:v>0.36</c:v>
                </c:pt>
                <c:pt idx="10">
                  <c:v>0.57</c:v>
                </c:pt>
                <c:pt idx="13">
                  <c:v>0.62</c:v>
                </c:pt>
                <c:pt idx="14">
                  <c:v>0.56</c:v>
                </c:pt>
                <c:pt idx="16">
                  <c:v>0.38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Worksheet!$B$652</c:f>
              <c:strCache>
                <c:ptCount val="1"/>
                <c:pt idx="0">
                  <c:v>Li Ning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Worksheet!$F$652:$V$652</c:f>
              <c:numCache>
                <c:formatCode>0%</c:formatCode>
                <c:ptCount val="17"/>
                <c:pt idx="0">
                  <c:v>0.15</c:v>
                </c:pt>
                <c:pt idx="2">
                  <c:v>0.36</c:v>
                </c:pt>
                <c:pt idx="5">
                  <c:v>0.24</c:v>
                </c:pt>
                <c:pt idx="6">
                  <c:v>0.26</c:v>
                </c:pt>
                <c:pt idx="8">
                  <c:v>0.22</c:v>
                </c:pt>
                <c:pt idx="10">
                  <c:v>0.29</c:v>
                </c:pt>
                <c:pt idx="13">
                  <c:v>0.25</c:v>
                </c:pt>
                <c:pt idx="14">
                  <c:v>0.32</c:v>
                </c:pt>
                <c:pt idx="16">
                  <c:v>0.31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Worksheet!$B$653</c:f>
              <c:strCache>
                <c:ptCount val="1"/>
                <c:pt idx="0">
                  <c:v>Anta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Worksheet!$F$653:$V$653</c:f>
              <c:numCache>
                <c:formatCode>0%</c:formatCode>
                <c:ptCount val="17"/>
                <c:pt idx="0">
                  <c:v>0.2</c:v>
                </c:pt>
                <c:pt idx="2">
                  <c:v>0.31</c:v>
                </c:pt>
                <c:pt idx="5">
                  <c:v>0.29</c:v>
                </c:pt>
                <c:pt idx="6">
                  <c:v>0.32</c:v>
                </c:pt>
                <c:pt idx="8">
                  <c:v>0.32</c:v>
                </c:pt>
                <c:pt idx="10">
                  <c:v>0.31</c:v>
                </c:pt>
                <c:pt idx="13">
                  <c:v>0.38</c:v>
                </c:pt>
                <c:pt idx="14">
                  <c:v>0.44</c:v>
                </c:pt>
                <c:pt idx="16">
                  <c:v>0.44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Worksheet!$B$654</c:f>
              <c:strCache>
                <c:ptCount val="1"/>
                <c:pt idx="0">
                  <c:v>Fila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Worksheet!$F$627:$V$627</c:f>
              <c:strCache>
                <c:ptCount val="17"/>
                <c:pt idx="0">
                  <c:v>Jan</c:v>
                </c:pt>
                <c:pt idx="2">
                  <c:v>Feb</c:v>
                </c:pt>
                <c:pt idx="5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3">
                  <c:v>July</c:v>
                </c:pt>
                <c:pt idx="14">
                  <c:v>August</c:v>
                </c:pt>
                <c:pt idx="16">
                  <c:v>September</c:v>
                </c:pt>
              </c:strCache>
            </c:strRef>
          </c:cat>
          <c:val>
            <c:numRef>
              <c:f>Worksheet!$F$654:$V$654</c:f>
              <c:numCache>
                <c:formatCode>0%</c:formatCode>
                <c:ptCount val="17"/>
                <c:pt idx="0">
                  <c:v>0.28</c:v>
                </c:pt>
                <c:pt idx="2">
                  <c:v>0.95</c:v>
                </c:pt>
                <c:pt idx="5">
                  <c:v>0.81</c:v>
                </c:pt>
                <c:pt idx="6">
                  <c:v>0.68</c:v>
                </c:pt>
                <c:pt idx="8">
                  <c:v>0.62</c:v>
                </c:pt>
                <c:pt idx="10">
                  <c:v>0.59</c:v>
                </c:pt>
                <c:pt idx="13">
                  <c:v>0.69</c:v>
                </c:pt>
                <c:pt idx="14">
                  <c:v>0.81</c:v>
                </c:pt>
                <c:pt idx="16">
                  <c:v>0.98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535360"/>
        <c:axId val="957536896"/>
      </c:lineChart>
      <c:catAx>
        <c:axId val="957535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536896"/>
        <c:crosses val="autoZero"/>
        <c:auto val="1"/>
        <c:lblAlgn val="ctr"/>
        <c:lblOffset val="100"/>
        <c:noMultiLvlLbl val="0"/>
      </c:catAx>
      <c:valAx>
        <c:axId val="9575368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7535360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ab2475-fdb5-424a-ac89-78cac35c5a9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Worksheet!$D$695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Worksheet!$C$696:$C$701</c:f>
              <c:strCache>
                <c:ptCount val="6"/>
                <c:pt idx="0">
                  <c:v>APAC</c:v>
                </c:pt>
                <c:pt idx="1">
                  <c:v>Emerging Markets</c:v>
                </c:pt>
                <c:pt idx="2">
                  <c:v>Russia/CIS</c:v>
                </c:pt>
                <c:pt idx="3">
                  <c:v>Europe</c:v>
                </c:pt>
                <c:pt idx="4">
                  <c:v>LatAm</c:v>
                </c:pt>
                <c:pt idx="5">
                  <c:v>N America</c:v>
                </c:pt>
              </c:strCache>
            </c:strRef>
          </c:cat>
          <c:val>
            <c:numRef>
              <c:f>Worksheet!$D$696:$D$701</c:f>
              <c:numCache>
                <c:formatCode>0.0%</c:formatCode>
                <c:ptCount val="6"/>
                <c:pt idx="0">
                  <c:v>0.202101917376906</c:v>
                </c:pt>
                <c:pt idx="1">
                  <c:v>0.154528783606881</c:v>
                </c:pt>
                <c:pt idx="2">
                  <c:v>0.122348001426099</c:v>
                </c:pt>
                <c:pt idx="3">
                  <c:v>0.0764207937041939</c:v>
                </c:pt>
                <c:pt idx="4">
                  <c:v>0.0474079497561025</c:v>
                </c:pt>
                <c:pt idx="5">
                  <c:v>0.0334475406177884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797439"/>
        <c:axId val="665784543"/>
      </c:barChart>
      <c:catAx>
        <c:axId val="6657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84543"/>
        <c:crosses val="autoZero"/>
        <c:auto val="1"/>
        <c:lblAlgn val="ctr"/>
        <c:lblOffset val="100"/>
        <c:noMultiLvlLbl val="0"/>
      </c:catAx>
      <c:valAx>
        <c:axId val="66578454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9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d32bf6-2956-40dd-b40b-71b7cd23cab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7022455526393"/>
          <c:y val="0.0269473656415666"/>
          <c:w val="0.918223680373287"/>
          <c:h val="0.693193279331724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Worksheet!$B$123</c:f>
              <c:strCache>
                <c:ptCount val="1"/>
                <c:pt idx="0">
                  <c:v>Western Europe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Worksheet!$S$122:$AV$122</c:f>
              <c:strCache>
                <c:ptCount val="22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  <c:pt idx="18" c:formatCode="#,##0.0_);[Red]\(#,##0.0\)">
                  <c:v>1Q20</c:v>
                </c:pt>
                <c:pt idx="19" c:formatCode="#,##0.0_);[Red]\(#,##0.0\)">
                  <c:v>2Q20</c:v>
                </c:pt>
                <c:pt idx="20" c:formatCode="#,##0.0_);[Red]\(#,##0.0\)">
                  <c:v>3Q20E</c:v>
                </c:pt>
                <c:pt idx="21" c:formatCode="#,##0.0_);[Red]\(#,##0.0\)">
                  <c:v>4Q20E</c:v>
                </c:pt>
              </c:strCache>
            </c:strRef>
          </c:cat>
          <c:val>
            <c:numRef>
              <c:f>Worksheet!$S$123:$AV$123</c:f>
              <c:numCache>
                <c:formatCode>0.0%</c:formatCode>
                <c:ptCount val="22"/>
                <c:pt idx="0">
                  <c:v>0.096</c:v>
                </c:pt>
                <c:pt idx="1">
                  <c:v>0.193</c:v>
                </c:pt>
                <c:pt idx="2">
                  <c:v>0.14080898021309</c:v>
                </c:pt>
                <c:pt idx="3">
                  <c:v>0.0748065102214517</c:v>
                </c:pt>
                <c:pt idx="4">
                  <c:v>0.116253222560287</c:v>
                </c:pt>
                <c:pt idx="5">
                  <c:v>0.17</c:v>
                </c:pt>
                <c:pt idx="8">
                  <c:v>0.05</c:v>
                </c:pt>
                <c:pt idx="9">
                  <c:v>-0.001</c:v>
                </c:pt>
                <c:pt idx="10">
                  <c:v>0.0253834918478261</c:v>
                </c:pt>
                <c:pt idx="11">
                  <c:v>-0.0135595451825255</c:v>
                </c:pt>
                <c:pt idx="12">
                  <c:v>0.0113639985168995</c:v>
                </c:pt>
                <c:pt idx="13">
                  <c:v>-0.06</c:v>
                </c:pt>
                <c:pt idx="14">
                  <c:v>-0.0324391765439809</c:v>
                </c:pt>
                <c:pt idx="15">
                  <c:v>0.001</c:v>
                </c:pt>
                <c:pt idx="16">
                  <c:v>0.035</c:v>
                </c:pt>
                <c:pt idx="17">
                  <c:v>0.142138157894737</c:v>
                </c:pt>
                <c:pt idx="18">
                  <c:v>-0.0815931656995478</c:v>
                </c:pt>
                <c:pt idx="19">
                  <c:v>-0.402</c:v>
                </c:pt>
                <c:pt idx="20">
                  <c:v>0.04</c:v>
                </c:pt>
                <c:pt idx="21">
                  <c:v>-0.0643647394718057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Worksheet!$B$124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Worksheet!$S$122:$AV$122</c:f>
              <c:strCache>
                <c:ptCount val="22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  <c:pt idx="18" c:formatCode="#,##0.0_);[Red]\(#,##0.0\)">
                  <c:v>1Q20</c:v>
                </c:pt>
                <c:pt idx="19" c:formatCode="#,##0.0_);[Red]\(#,##0.0\)">
                  <c:v>2Q20</c:v>
                </c:pt>
                <c:pt idx="20" c:formatCode="#,##0.0_);[Red]\(#,##0.0\)">
                  <c:v>3Q20E</c:v>
                </c:pt>
                <c:pt idx="21" c:formatCode="#,##0.0_);[Red]\(#,##0.0\)">
                  <c:v>4Q20E</c:v>
                </c:pt>
              </c:strCache>
            </c:strRef>
          </c:cat>
          <c:val>
            <c:numRef>
              <c:f>Worksheet!$S$124:$AV$124</c:f>
              <c:numCache>
                <c:formatCode>0.0%</c:formatCode>
                <c:ptCount val="22"/>
                <c:pt idx="0">
                  <c:v>0.306</c:v>
                </c:pt>
                <c:pt idx="1">
                  <c:v>0.258</c:v>
                </c:pt>
                <c:pt idx="2">
                  <c:v>0.281050131926121</c:v>
                </c:pt>
                <c:pt idx="3">
                  <c:v>0.227</c:v>
                </c:pt>
                <c:pt idx="4">
                  <c:v>0.260540728612362</c:v>
                </c:pt>
                <c:pt idx="5">
                  <c:v>0.31</c:v>
                </c:pt>
                <c:pt idx="8">
                  <c:v>0.21</c:v>
                </c:pt>
                <c:pt idx="9">
                  <c:v>0.156</c:v>
                </c:pt>
                <c:pt idx="10">
                  <c:v>0.182649350649351</c:v>
                </c:pt>
                <c:pt idx="11">
                  <c:v>0.164686078252957</c:v>
                </c:pt>
                <c:pt idx="12">
                  <c:v>0.176283134472751</c:v>
                </c:pt>
                <c:pt idx="13">
                  <c:v>0.09</c:v>
                </c:pt>
                <c:pt idx="14">
                  <c:v>0.03</c:v>
                </c:pt>
                <c:pt idx="15">
                  <c:v>0.058</c:v>
                </c:pt>
                <c:pt idx="16">
                  <c:v>0.104</c:v>
                </c:pt>
                <c:pt idx="17">
                  <c:v>0.0972397841171935</c:v>
                </c:pt>
                <c:pt idx="18">
                  <c:v>0.00802938634399395</c:v>
                </c:pt>
                <c:pt idx="19">
                  <c:v>-0.382</c:v>
                </c:pt>
                <c:pt idx="20">
                  <c:v>-0.01</c:v>
                </c:pt>
                <c:pt idx="21">
                  <c:v>0.00960051515703649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Worksheet!$B$126</c:f>
              <c:strCache>
                <c:ptCount val="1"/>
                <c:pt idx="0">
                  <c:v>Asia-Pac (Gt China pre 2018)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Worksheet!$S$122:$AV$122</c:f>
              <c:strCache>
                <c:ptCount val="22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  <c:pt idx="18" c:formatCode="#,##0.0_);[Red]\(#,##0.0\)">
                  <c:v>1Q20</c:v>
                </c:pt>
                <c:pt idx="19" c:formatCode="#,##0.0_);[Red]\(#,##0.0\)">
                  <c:v>2Q20</c:v>
                </c:pt>
                <c:pt idx="20" c:formatCode="#,##0.0_);[Red]\(#,##0.0\)">
                  <c:v>3Q20E</c:v>
                </c:pt>
                <c:pt idx="21" c:formatCode="#,##0.0_);[Red]\(#,##0.0\)">
                  <c:v>4Q20E</c:v>
                </c:pt>
              </c:strCache>
            </c:strRef>
          </c:cat>
          <c:val>
            <c:numRef>
              <c:f>Worksheet!$S$126:$AV$126</c:f>
              <c:numCache>
                <c:formatCode>0.0%</c:formatCode>
                <c:ptCount val="22"/>
                <c:pt idx="0">
                  <c:v>0.303</c:v>
                </c:pt>
                <c:pt idx="1">
                  <c:v>0.277</c:v>
                </c:pt>
                <c:pt idx="2">
                  <c:v>0.290691776088459</c:v>
                </c:pt>
                <c:pt idx="3">
                  <c:v>0.283</c:v>
                </c:pt>
                <c:pt idx="4">
                  <c:v>0.287905244601146</c:v>
                </c:pt>
                <c:pt idx="5">
                  <c:v>0.24</c:v>
                </c:pt>
                <c:pt idx="8">
                  <c:v>0.15</c:v>
                </c:pt>
                <c:pt idx="9">
                  <c:v>0.188</c:v>
                </c:pt>
                <c:pt idx="10">
                  <c:v>0.167719676549865</c:v>
                </c:pt>
                <c:pt idx="11">
                  <c:v>0.160221153846155</c:v>
                </c:pt>
                <c:pt idx="12">
                  <c:v>0.165072831423896</c:v>
                </c:pt>
                <c:pt idx="13">
                  <c:v>0.11</c:v>
                </c:pt>
                <c:pt idx="14">
                  <c:v>0.12</c:v>
                </c:pt>
                <c:pt idx="15">
                  <c:v>0.078</c:v>
                </c:pt>
                <c:pt idx="16">
                  <c:v>0.077</c:v>
                </c:pt>
                <c:pt idx="17">
                  <c:v>0.129159159159159</c:v>
                </c:pt>
                <c:pt idx="18">
                  <c:v>-0.44821141253508</c:v>
                </c:pt>
                <c:pt idx="19">
                  <c:v>-0.156</c:v>
                </c:pt>
                <c:pt idx="20">
                  <c:v>-0.07</c:v>
                </c:pt>
                <c:pt idx="21">
                  <c:v>0.00855752331606272</c:v>
                </c:pt>
              </c:numCache>
            </c:numRef>
          </c:val>
          <c:smooth val="0"/>
        </c:ser>
        <c:ser>
          <c:idx val="7"/>
          <c:order val="3"/>
          <c:tx>
            <c:strRef>
              <c:f>Worksheet!$B$130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Worksheet!$S$122:$AV$122</c:f>
              <c:strCache>
                <c:ptCount val="22"/>
                <c:pt idx="0" c:formatCode="#,##0.0_);[Red]\(#,##0.0\)">
                  <c:v>1Q17</c:v>
                </c:pt>
                <c:pt idx="1" c:formatCode="#,##0.0_);[Red]\(#,##0.0\)">
                  <c:v>2Q17</c:v>
                </c:pt>
                <c:pt idx="2" c:formatCode="#,##0.0_);[Red]\(#,##0.0\)">
                  <c:v>1H17</c:v>
                </c:pt>
                <c:pt idx="3" c:formatCode="#,##0.0_);[Red]\(#,##0.0\)">
                  <c:v>3Q17</c:v>
                </c:pt>
                <c:pt idx="4" c:formatCode="#,##0.0_);[Red]\(#,##0.0\)">
                  <c:v>9M17</c:v>
                </c:pt>
                <c:pt idx="5" c:formatCode="#,##0.0_);[Red]\(#,##0.0\)">
                  <c:v>4Q17</c:v>
                </c:pt>
                <c:pt idx="8" c:formatCode="#,##0.0_);[Red]\(#,##0.0\)">
                  <c:v>1Q18</c:v>
                </c:pt>
                <c:pt idx="9" c:formatCode="#,##0.0_);[Red]\(#,##0.0\)">
                  <c:v>2Q18</c:v>
                </c:pt>
                <c:pt idx="10" c:formatCode="#,##0.0_);[Red]\(#,##0.0\)">
                  <c:v>1Q18</c:v>
                </c:pt>
                <c:pt idx="11" c:formatCode="#,##0.0_);[Red]\(#,##0.0\)">
                  <c:v>3Q18</c:v>
                </c:pt>
                <c:pt idx="12" c:formatCode="#,##0.0_);[Red]\(#,##0.0\)">
                  <c:v>2Q18E</c:v>
                </c:pt>
                <c:pt idx="13" c:formatCode="#,##0.0_);[Red]\(#,##0.0\)">
                  <c:v>4Q18</c:v>
                </c:pt>
                <c:pt idx="14" c:formatCode="#,##0.0_);[Red]\(#,##0.0\)">
                  <c:v>1Q19</c:v>
                </c:pt>
                <c:pt idx="15" c:formatCode="#,##0.0_);[Red]\(#,##0.0\)">
                  <c:v>2Q19</c:v>
                </c:pt>
                <c:pt idx="16" c:formatCode="#,##0.0_);[Red]\(#,##0.0\)">
                  <c:v>3Q19</c:v>
                </c:pt>
                <c:pt idx="17" c:formatCode="#,##0.0_);[Red]\(#,##0.0\)">
                  <c:v>4Q19</c:v>
                </c:pt>
                <c:pt idx="18" c:formatCode="#,##0.0_);[Red]\(#,##0.0\)">
                  <c:v>1Q20</c:v>
                </c:pt>
                <c:pt idx="19" c:formatCode="#,##0.0_);[Red]\(#,##0.0\)">
                  <c:v>2Q20</c:v>
                </c:pt>
                <c:pt idx="20" c:formatCode="#,##0.0_);[Red]\(#,##0.0\)">
                  <c:v>3Q20E</c:v>
                </c:pt>
                <c:pt idx="21" c:formatCode="#,##0.0_);[Red]\(#,##0.0\)">
                  <c:v>4Q20E</c:v>
                </c:pt>
              </c:strCache>
            </c:strRef>
          </c:cat>
          <c:val>
            <c:numRef>
              <c:f>Worksheet!$S$130:$AV$130</c:f>
              <c:numCache>
                <c:formatCode>0.0%</c:formatCode>
                <c:ptCount val="22"/>
                <c:pt idx="0">
                  <c:v>0.163587664380074</c:v>
                </c:pt>
                <c:pt idx="1">
                  <c:v>0.194819353380059</c:v>
                </c:pt>
                <c:pt idx="2">
                  <c:v>0.177906549173194</c:v>
                </c:pt>
                <c:pt idx="3">
                  <c:v>0.123579404363415</c:v>
                </c:pt>
                <c:pt idx="4">
                  <c:v>0.158220166245095</c:v>
                </c:pt>
                <c:pt idx="5">
                  <c:v>0.165537772087068</c:v>
                </c:pt>
                <c:pt idx="8">
                  <c:v>0.101595666544253</c:v>
                </c:pt>
                <c:pt idx="9">
                  <c:v>0.105070265978563</c:v>
                </c:pt>
                <c:pt idx="10">
                  <c:v>0.103265356734071</c:v>
                </c:pt>
                <c:pt idx="11">
                  <c:v>0.0826051426558651</c:v>
                </c:pt>
                <c:pt idx="12">
                  <c:v>0.0960070535824775</c:v>
                </c:pt>
                <c:pt idx="13">
                  <c:v>0.0464893196202532</c:v>
                </c:pt>
                <c:pt idx="14">
                  <c:v>0.0443403028118238</c:v>
                </c:pt>
                <c:pt idx="15">
                  <c:v>0.0375946398023189</c:v>
                </c:pt>
                <c:pt idx="16">
                  <c:v>0.0596494125659799</c:v>
                </c:pt>
                <c:pt idx="17">
                  <c:v>0.101696923370915</c:v>
                </c:pt>
                <c:pt idx="18">
                  <c:v>-0.194146183919769</c:v>
                </c:pt>
                <c:pt idx="19">
                  <c:v>-0.34220245416591</c:v>
                </c:pt>
                <c:pt idx="20">
                  <c:v>-0.0261279251170047</c:v>
                </c:pt>
                <c:pt idx="21">
                  <c:v>0.00265058740480018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839808"/>
        <c:axId val="890841344"/>
      </c:lineChart>
      <c:catAx>
        <c:axId val="890839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41344"/>
        <c:crosses val="autoZero"/>
        <c:auto val="1"/>
        <c:lblAlgn val="ctr"/>
        <c:lblOffset val="100"/>
        <c:noMultiLvlLbl val="0"/>
      </c:catAx>
      <c:valAx>
        <c:axId val="890841344"/>
        <c:scaling>
          <c:orientation val="minMax"/>
          <c:min val="-0.8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83980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d56b0c-a875-4433-b1e5-348a85467c4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63521161417323"/>
          <c:y val="0.101052631578947"/>
          <c:w val="0.885002050524934"/>
          <c:h val="0.754743804392872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Worksheet!$B$205</c:f>
              <c:strCache>
                <c:ptCount val="1"/>
                <c:pt idx="0">
                  <c:v>W Europe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Worksheet!$C$204:$U$204</c:f>
              <c:strCache>
                <c:ptCount val="19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  <c:pt idx="16">
                  <c:v>FY23E</c:v>
                </c:pt>
                <c:pt idx="17">
                  <c:v>FY24E</c:v>
                </c:pt>
                <c:pt idx="18">
                  <c:v>FY25E</c:v>
                </c:pt>
              </c:strCache>
            </c:strRef>
          </c:cat>
          <c:val>
            <c:numRef>
              <c:f>Worksheet!$C$205:$U$205</c:f>
              <c:numCache>
                <c:formatCode>0.0%</c:formatCode>
                <c:ptCount val="19"/>
                <c:pt idx="0">
                  <c:v>0.173780384919589</c:v>
                </c:pt>
                <c:pt idx="1">
                  <c:v>0.196584049350077</c:v>
                </c:pt>
                <c:pt idx="3">
                  <c:v>0.127488137670535</c:v>
                </c:pt>
                <c:pt idx="5">
                  <c:v>-0.00419949121575084</c:v>
                </c:pt>
                <c:pt idx="8">
                  <c:v>0.0305633922501697</c:v>
                </c:pt>
                <c:pt idx="9">
                  <c:v>-0.118624117586989</c:v>
                </c:pt>
                <c:pt idx="11">
                  <c:v>0.23854644895371</c:v>
                </c:pt>
                <c:pt idx="13">
                  <c:v>0.0877829896907216</c:v>
                </c:pt>
                <c:pt idx="16">
                  <c:v>-0.0382663157894737</c:v>
                </c:pt>
                <c:pt idx="17">
                  <c:v>0.201537656390547</c:v>
                </c:pt>
                <c:pt idx="18">
                  <c:v>0.103623620991408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Worksheet!$B$206</c:f>
              <c:strCache>
                <c:ptCount val="1"/>
                <c:pt idx="0">
                  <c:v>N America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Worksheet!$C$204:$U$204</c:f>
              <c:strCache>
                <c:ptCount val="19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  <c:pt idx="16">
                  <c:v>FY23E</c:v>
                </c:pt>
                <c:pt idx="17">
                  <c:v>FY24E</c:v>
                </c:pt>
                <c:pt idx="18">
                  <c:v>FY25E</c:v>
                </c:pt>
              </c:strCache>
            </c:strRef>
          </c:cat>
          <c:val>
            <c:numRef>
              <c:f>Worksheet!$C$206:$U$206</c:f>
              <c:numCache>
                <c:formatCode>0.0%</c:formatCode>
                <c:ptCount val="19"/>
                <c:pt idx="0">
                  <c:v>0.0534077582318448</c:v>
                </c:pt>
                <c:pt idx="1">
                  <c:v>0.240575163398693</c:v>
                </c:pt>
                <c:pt idx="3">
                  <c:v>0.274587045720985</c:v>
                </c:pt>
                <c:pt idx="5">
                  <c:v>0.152588070175439</c:v>
                </c:pt>
                <c:pt idx="8">
                  <c:v>0.0750964163822525</c:v>
                </c:pt>
                <c:pt idx="9">
                  <c:v>-0.0855628157619744</c:v>
                </c:pt>
                <c:pt idx="11">
                  <c:v>0.174993803938924</c:v>
                </c:pt>
                <c:pt idx="13">
                  <c:v>0.118805288932419</c:v>
                </c:pt>
                <c:pt idx="16">
                  <c:v>-0.203205689277899</c:v>
                </c:pt>
                <c:pt idx="17">
                  <c:v>0.0181403798513625</c:v>
                </c:pt>
                <c:pt idx="18">
                  <c:v>0.0943084933540924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Worksheet!$B$208</c:f>
              <c:strCache>
                <c:ptCount val="1"/>
                <c:pt idx="0">
                  <c:v>Gt China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Worksheet!$C$204:$U$204</c:f>
              <c:strCache>
                <c:ptCount val="19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  <c:pt idx="16">
                  <c:v>FY23E</c:v>
                </c:pt>
                <c:pt idx="17">
                  <c:v>FY24E</c:v>
                </c:pt>
                <c:pt idx="18">
                  <c:v>FY25E</c:v>
                </c:pt>
              </c:strCache>
            </c:strRef>
          </c:cat>
          <c:val>
            <c:numRef>
              <c:f>Worksheet!$C$208:$U$208</c:f>
              <c:numCache>
                <c:formatCode>0.0%</c:formatCode>
                <c:ptCount val="19"/>
                <c:pt idx="0">
                  <c:v>0.175889137737962</c:v>
                </c:pt>
                <c:pt idx="1">
                  <c:v>0.275063183475091</c:v>
                </c:pt>
                <c:pt idx="3">
                  <c:v>0.27611196013289</c:v>
                </c:pt>
                <c:pt idx="5">
                  <c:v>0.151671630428163</c:v>
                </c:pt>
                <c:pt idx="8">
                  <c:v>0.100579190589553</c:v>
                </c:pt>
                <c:pt idx="9">
                  <c:v>-0.171865850287277</c:v>
                </c:pt>
                <c:pt idx="11">
                  <c:v>0.0414880239520958</c:v>
                </c:pt>
                <c:pt idx="13">
                  <c:v>-0.361017185120731</c:v>
                </c:pt>
                <c:pt idx="16">
                  <c:v>0.0521315289194028</c:v>
                </c:pt>
                <c:pt idx="17">
                  <c:v>0.0893526315789474</c:v>
                </c:pt>
                <c:pt idx="18">
                  <c:v>0.132221894693919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Worksheet!$B$212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Worksheet!$C$204:$U$204</c:f>
              <c:strCache>
                <c:ptCount val="19"/>
                <c:pt idx="0">
                  <c:v>FY15</c:v>
                </c:pt>
                <c:pt idx="1">
                  <c:v>FY16</c:v>
                </c:pt>
                <c:pt idx="3">
                  <c:v>FY17</c:v>
                </c:pt>
                <c:pt idx="5">
                  <c:v>FY18</c:v>
                </c:pt>
                <c:pt idx="8">
                  <c:v>FY19</c:v>
                </c:pt>
                <c:pt idx="9">
                  <c:v>FY20</c:v>
                </c:pt>
                <c:pt idx="11">
                  <c:v>FY21</c:v>
                </c:pt>
                <c:pt idx="13">
                  <c:v>FY22</c:v>
                </c:pt>
                <c:pt idx="16">
                  <c:v>FY23E</c:v>
                </c:pt>
                <c:pt idx="17">
                  <c:v>FY24E</c:v>
                </c:pt>
                <c:pt idx="18">
                  <c:v>FY25E</c:v>
                </c:pt>
              </c:strCache>
            </c:strRef>
          </c:cat>
          <c:val>
            <c:numRef>
              <c:f>Worksheet!$C$212:$U$212</c:f>
              <c:numCache>
                <c:formatCode>0.0%</c:formatCode>
                <c:ptCount val="19"/>
                <c:pt idx="0">
                  <c:v>0.0963410858047203</c:v>
                </c:pt>
                <c:pt idx="1">
                  <c:v>0.1815992905705</c:v>
                </c:pt>
                <c:pt idx="3">
                  <c:v>0.159997786824436</c:v>
                </c:pt>
                <c:pt idx="5">
                  <c:v>0.0842075596191913</c:v>
                </c:pt>
                <c:pt idx="8">
                  <c:v>0.0605195710700433</c:v>
                </c:pt>
                <c:pt idx="9">
                  <c:v>-0.134484943113378</c:v>
                </c:pt>
                <c:pt idx="11">
                  <c:v>0.16</c:v>
                </c:pt>
                <c:pt idx="13">
                  <c:v>0.0104352453612131</c:v>
                </c:pt>
                <c:pt idx="16">
                  <c:v>-0.044</c:v>
                </c:pt>
                <c:pt idx="17">
                  <c:v>0.13754569060045</c:v>
                </c:pt>
                <c:pt idx="18">
                  <c:v>0.128168148743108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7425536"/>
        <c:axId val="957427072"/>
      </c:lineChart>
      <c:catAx>
        <c:axId val="957425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427072"/>
        <c:crosses val="autoZero"/>
        <c:auto val="1"/>
        <c:lblAlgn val="ctr"/>
        <c:lblOffset val="100"/>
        <c:noMultiLvlLbl val="0"/>
      </c:catAx>
      <c:valAx>
        <c:axId val="95742707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42553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a7e87b-8472-45a9-a50a-0717c8fd617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1069553806"/>
          <c:y val="0.140710816411106"/>
          <c:w val="0.871785597112861"/>
          <c:h val="0.73613825113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Worksheet!$B$236</c:f>
              <c:strCache>
                <c:ptCount val="1"/>
                <c:pt idx="0">
                  <c:v>EBIT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Worksheet!$H$235:$W$235</c:f>
              <c:strCache>
                <c:ptCount val="16"/>
                <c:pt idx="0">
                  <c:v>FY16</c:v>
                </c:pt>
                <c:pt idx="3">
                  <c:v>FY17</c:v>
                </c:pt>
                <c:pt idx="4">
                  <c:v>FY18</c:v>
                </c:pt>
                <c:pt idx="6">
                  <c:v>FY19</c:v>
                </c:pt>
                <c:pt idx="8">
                  <c:v>FY20</c:v>
                </c:pt>
                <c:pt idx="9">
                  <c:v>FY21E</c:v>
                </c:pt>
                <c:pt idx="11">
                  <c:v>FY21</c:v>
                </c:pt>
                <c:pt idx="12">
                  <c:v>FY22</c:v>
                </c:pt>
                <c:pt idx="13">
                  <c:v>FY23E</c:v>
                </c:pt>
                <c:pt idx="14">
                  <c:v>FY24E</c:v>
                </c:pt>
                <c:pt idx="15">
                  <c:v>FY25E</c:v>
                </c:pt>
              </c:strCache>
            </c:strRef>
          </c:cat>
          <c:val>
            <c:numRef>
              <c:f>Worksheet!$H$236:$W$236</c:f>
              <c:numCache>
                <c:formatCode>_(* #,##0_);_(* \(#,##0\);_(* "-"??_);_(@_)</c:formatCode>
                <c:ptCount val="16"/>
                <c:pt idx="0">
                  <c:v>126.767310157962</c:v>
                </c:pt>
                <c:pt idx="3">
                  <c:v>202.647419141616</c:v>
                </c:pt>
                <c:pt idx="4">
                  <c:v>104.9516780347</c:v>
                </c:pt>
                <c:pt idx="6">
                  <c:v>44.625466167949</c:v>
                </c:pt>
                <c:pt idx="8">
                  <c:v>-746.711985140967</c:v>
                </c:pt>
                <c:pt idx="11">
                  <c:v>556.840530480785</c:v>
                </c:pt>
                <c:pt idx="12">
                  <c:v>-638.104414093921</c:v>
                </c:pt>
                <c:pt idx="13">
                  <c:v>-200.466888485838</c:v>
                </c:pt>
                <c:pt idx="14">
                  <c:v>396.918407714253</c:v>
                </c:pt>
                <c:pt idx="15">
                  <c:v>335.025144540697</c:v>
                </c:pt>
              </c:numCache>
            </c:numRef>
          </c:val>
        </c:ser>
        <c:ser>
          <c:idx val="1"/>
          <c:order val="1"/>
          <c:tx>
            <c:strRef>
              <c:f>Worksheet!$B$237</c:f>
              <c:strCache>
                <c:ptCount val="1"/>
                <c:pt idx="0">
                  <c:v>GM%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Worksheet!$H$235:$W$235</c:f>
              <c:strCache>
                <c:ptCount val="16"/>
                <c:pt idx="0">
                  <c:v>FY16</c:v>
                </c:pt>
                <c:pt idx="3">
                  <c:v>FY17</c:v>
                </c:pt>
                <c:pt idx="4">
                  <c:v>FY18</c:v>
                </c:pt>
                <c:pt idx="6">
                  <c:v>FY19</c:v>
                </c:pt>
                <c:pt idx="8">
                  <c:v>FY20</c:v>
                </c:pt>
                <c:pt idx="9">
                  <c:v>FY21E</c:v>
                </c:pt>
                <c:pt idx="11">
                  <c:v>FY21</c:v>
                </c:pt>
                <c:pt idx="12">
                  <c:v>FY22</c:v>
                </c:pt>
                <c:pt idx="13">
                  <c:v>FY23E</c:v>
                </c:pt>
                <c:pt idx="14">
                  <c:v>FY24E</c:v>
                </c:pt>
                <c:pt idx="15">
                  <c:v>FY25E</c:v>
                </c:pt>
              </c:strCache>
            </c:strRef>
          </c:cat>
          <c:val>
            <c:numRef>
              <c:f>Worksheet!$H$237:$W$237</c:f>
              <c:numCache>
                <c:formatCode>_(* #,##0_);_(* \(#,##0\);_(* "-"??_);_(@_)</c:formatCode>
                <c:ptCount val="16"/>
                <c:pt idx="0">
                  <c:v>33.2545844521609</c:v>
                </c:pt>
                <c:pt idx="3">
                  <c:v>182.197290259096</c:v>
                </c:pt>
                <c:pt idx="4">
                  <c:v>140.731074634389</c:v>
                </c:pt>
                <c:pt idx="6">
                  <c:v>14.8315595719428</c:v>
                </c:pt>
                <c:pt idx="8">
                  <c:v>-233.627996098088</c:v>
                </c:pt>
                <c:pt idx="11">
                  <c:v>103.462892638497</c:v>
                </c:pt>
                <c:pt idx="12">
                  <c:v>-341.344512044507</c:v>
                </c:pt>
                <c:pt idx="13">
                  <c:v>-93.4773786899623</c:v>
                </c:pt>
                <c:pt idx="14">
                  <c:v>415.12235225844</c:v>
                </c:pt>
                <c:pt idx="15">
                  <c:v>111.017290717826</c:v>
                </c:pt>
              </c:numCache>
            </c:numRef>
          </c:val>
        </c:ser>
        <c:ser>
          <c:idx val="2"/>
          <c:order val="2"/>
          <c:tx>
            <c:strRef>
              <c:f>Worksheet!$B$238</c:f>
              <c:strCache>
                <c:ptCount val="1"/>
                <c:pt idx="0">
                  <c:v>Opex/sales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Worksheet!$H$235:$W$235</c:f>
              <c:strCache>
                <c:ptCount val="16"/>
                <c:pt idx="0">
                  <c:v>FY16</c:v>
                </c:pt>
                <c:pt idx="3">
                  <c:v>FY17</c:v>
                </c:pt>
                <c:pt idx="4">
                  <c:v>FY18</c:v>
                </c:pt>
                <c:pt idx="6">
                  <c:v>FY19</c:v>
                </c:pt>
                <c:pt idx="8">
                  <c:v>FY20</c:v>
                </c:pt>
                <c:pt idx="9">
                  <c:v>FY21E</c:v>
                </c:pt>
                <c:pt idx="11">
                  <c:v>FY21</c:v>
                </c:pt>
                <c:pt idx="12">
                  <c:v>FY22</c:v>
                </c:pt>
                <c:pt idx="13">
                  <c:v>FY23E</c:v>
                </c:pt>
                <c:pt idx="14">
                  <c:v>FY24E</c:v>
                </c:pt>
                <c:pt idx="15">
                  <c:v>FY25E</c:v>
                </c:pt>
              </c:strCache>
            </c:strRef>
          </c:cat>
          <c:val>
            <c:numRef>
              <c:f>Worksheet!$H$238:$W$238</c:f>
              <c:numCache>
                <c:formatCode>_(* #,##0_);_(* \(#,##0\);_(* "-"??_);_(@_)</c:formatCode>
                <c:ptCount val="16"/>
                <c:pt idx="0">
                  <c:v>93.512725705801</c:v>
                </c:pt>
                <c:pt idx="1">
                  <c:v>0</c:v>
                </c:pt>
                <c:pt idx="2">
                  <c:v>0</c:v>
                </c:pt>
                <c:pt idx="3">
                  <c:v>20.4501288825205</c:v>
                </c:pt>
                <c:pt idx="4">
                  <c:v>-35.7793965996893</c:v>
                </c:pt>
                <c:pt idx="5">
                  <c:v>0</c:v>
                </c:pt>
                <c:pt idx="6">
                  <c:v>29.7939065960062</c:v>
                </c:pt>
                <c:pt idx="7">
                  <c:v>0</c:v>
                </c:pt>
                <c:pt idx="8">
                  <c:v>-513.083989042879</c:v>
                </c:pt>
                <c:pt idx="9">
                  <c:v>0</c:v>
                </c:pt>
                <c:pt idx="10">
                  <c:v>0</c:v>
                </c:pt>
                <c:pt idx="11">
                  <c:v>453.377637842287</c:v>
                </c:pt>
                <c:pt idx="12">
                  <c:v>-296.759902049414</c:v>
                </c:pt>
                <c:pt idx="13">
                  <c:v>-106.989509795875</c:v>
                </c:pt>
                <c:pt idx="14">
                  <c:v>-18.2039445441874</c:v>
                </c:pt>
                <c:pt idx="15">
                  <c:v>224.007853822871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659584"/>
        <c:axId val="890661120"/>
      </c:barChart>
      <c:lineChart>
        <c:grouping val="standard"/>
        <c:varyColors val="0"/>
        <c:ser>
          <c:idx val="3"/>
          <c:order val="3"/>
          <c:tx>
            <c:strRef>
              <c:f>Worksheet!$B$239</c:f>
              <c:strCache>
                <c:ptCount val="1"/>
                <c:pt idx="0">
                  <c:v>EBIT margin (RHS)</c:v>
                </c:pt>
              </c:strCache>
            </c:strRef>
          </c:tx>
          <c:spPr>
            <a:ln w="28575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Worksheet!$H$235:$W$235</c:f>
              <c:strCache>
                <c:ptCount val="16"/>
                <c:pt idx="0">
                  <c:v>FY16</c:v>
                </c:pt>
                <c:pt idx="3">
                  <c:v>FY17</c:v>
                </c:pt>
                <c:pt idx="4">
                  <c:v>FY18</c:v>
                </c:pt>
                <c:pt idx="6">
                  <c:v>FY19</c:v>
                </c:pt>
                <c:pt idx="8">
                  <c:v>FY20</c:v>
                </c:pt>
                <c:pt idx="9">
                  <c:v>FY21E</c:v>
                </c:pt>
                <c:pt idx="11">
                  <c:v>FY21</c:v>
                </c:pt>
                <c:pt idx="12">
                  <c:v>FY22</c:v>
                </c:pt>
                <c:pt idx="13">
                  <c:v>FY23E</c:v>
                </c:pt>
                <c:pt idx="14">
                  <c:v>FY24E</c:v>
                </c:pt>
                <c:pt idx="15">
                  <c:v>FY25E</c:v>
                </c:pt>
              </c:strCache>
            </c:strRef>
          </c:cat>
          <c:val>
            <c:numRef>
              <c:f>Worksheet!$H$239:$W$239</c:f>
              <c:numCache>
                <c:formatCode>0.0%</c:formatCode>
                <c:ptCount val="16"/>
                <c:pt idx="0">
                  <c:v>0.077293934681182</c:v>
                </c:pt>
                <c:pt idx="1">
                  <c:v>0.112516391015608</c:v>
                </c:pt>
                <c:pt idx="2">
                  <c:v>0.0378451925015118</c:v>
                </c:pt>
                <c:pt idx="3">
                  <c:v>0.0975586765953436</c:v>
                </c:pt>
                <c:pt idx="4">
                  <c:v>0.108053844398814</c:v>
                </c:pt>
                <c:pt idx="5">
                  <c:v>0.0828664705171094</c:v>
                </c:pt>
                <c:pt idx="6">
                  <c:v>0.112516391015608</c:v>
                </c:pt>
                <c:pt idx="7">
                  <c:v>0.0935292455495902</c:v>
                </c:pt>
                <c:pt idx="8">
                  <c:v>0.0378451925015118</c:v>
                </c:pt>
                <c:pt idx="9">
                  <c:v>0.0828664705171094</c:v>
                </c:pt>
                <c:pt idx="10">
                  <c:v>0</c:v>
                </c:pt>
                <c:pt idx="11">
                  <c:v>0.0935292455495902</c:v>
                </c:pt>
                <c:pt idx="12">
                  <c:v>0.0297188041401981</c:v>
                </c:pt>
                <c:pt idx="13">
                  <c:v>0.00967211529161435</c:v>
                </c:pt>
                <c:pt idx="14">
                  <c:v>0.0493639560630396</c:v>
                </c:pt>
                <c:pt idx="15">
                  <c:v>0.0828664705171094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668544"/>
        <c:axId val="890667008"/>
      </c:lineChart>
      <c:catAx>
        <c:axId val="890659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61120"/>
        <c:crosses val="autoZero"/>
        <c:auto val="1"/>
        <c:lblAlgn val="ctr"/>
        <c:lblOffset val="100"/>
        <c:noMultiLvlLbl val="0"/>
      </c:catAx>
      <c:valAx>
        <c:axId val="890661120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59584"/>
        <c:crosses val="autoZero"/>
        <c:crossBetween val="between"/>
      </c:valAx>
      <c:catAx>
        <c:axId val="8906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67008"/>
        <c:crosses val="autoZero"/>
        <c:auto val="1"/>
        <c:lblAlgn val="ctr"/>
        <c:lblOffset val="100"/>
        <c:noMultiLvlLbl val="0"/>
      </c:catAx>
      <c:valAx>
        <c:axId val="890667008"/>
        <c:scaling>
          <c:orientation val="minMax"/>
          <c:min val="0.02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90668544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"/>
          <c:y val="0.0252631578947368"/>
          <c:w val="0.988541666666667"/>
          <c:h val="0.0710531288852051"/>
        </c:manualLayout>
      </c:layout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ea2fda-d9cc-428f-9321-492ed986404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Worksheet!$C$737</c:f>
              <c:strCache>
                <c:ptCount val="1"/>
                <c:pt idx="0">
                  <c:v>Net cash (debt)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Worksheet!$D$735:$V$735</c:f>
              <c:strCache>
                <c:ptCount val="19"/>
                <c:pt idx="0">
                  <c:v>2015</c:v>
                </c:pt>
                <c:pt idx="2">
                  <c:v>2016</c:v>
                </c:pt>
                <c:pt idx="4">
                  <c:v>2017</c:v>
                </c:pt>
                <c:pt idx="7">
                  <c:v>2018</c:v>
                </c:pt>
                <c:pt idx="8">
                  <c:v>2019</c:v>
                </c:pt>
                <c:pt idx="10">
                  <c:v>2020</c:v>
                </c:pt>
                <c:pt idx="12">
                  <c:v>2021</c:v>
                </c:pt>
                <c:pt idx="15">
                  <c:v>2022</c:v>
                </c:pt>
                <c:pt idx="16">
                  <c:v>2023E</c:v>
                </c:pt>
                <c:pt idx="17">
                  <c:v>2024E</c:v>
                </c:pt>
                <c:pt idx="18">
                  <c:v>2025E</c:v>
                </c:pt>
              </c:strCache>
            </c:strRef>
          </c:cat>
          <c:val>
            <c:numRef>
              <c:f>Worksheet!$D$737:$V$737</c:f>
              <c:numCache>
                <c:formatCode>0</c:formatCode>
                <c:ptCount val="19"/>
                <c:pt idx="0">
                  <c:v>-464</c:v>
                </c:pt>
                <c:pt idx="2">
                  <c:v>-108</c:v>
                </c:pt>
                <c:pt idx="3">
                  <c:v>-959</c:v>
                </c:pt>
                <c:pt idx="4">
                  <c:v>478</c:v>
                </c:pt>
                <c:pt idx="5">
                  <c:v>-826</c:v>
                </c:pt>
                <c:pt idx="6">
                  <c:v>-1333</c:v>
                </c:pt>
                <c:pt idx="7">
                  <c:v>959</c:v>
                </c:pt>
                <c:pt idx="8">
                  <c:v>874</c:v>
                </c:pt>
                <c:pt idx="9">
                  <c:v>30</c:v>
                </c:pt>
                <c:pt idx="10">
                  <c:v>826</c:v>
                </c:pt>
                <c:pt idx="11">
                  <c:v>0</c:v>
                </c:pt>
                <c:pt idx="12">
                  <c:v>1333</c:v>
                </c:pt>
                <c:pt idx="13">
                  <c:v>0</c:v>
                </c:pt>
                <c:pt idx="14">
                  <c:v>0</c:v>
                </c:pt>
                <c:pt idx="15">
                  <c:v>-2675</c:v>
                </c:pt>
                <c:pt idx="16">
                  <c:v>-1548</c:v>
                </c:pt>
                <c:pt idx="17">
                  <c:v>-30</c:v>
                </c:pt>
                <c:pt idx="18">
                  <c:v>-1024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633472"/>
        <c:axId val="496624320"/>
      </c:barChart>
      <c:lineChart>
        <c:grouping val="standard"/>
        <c:varyColors val="0"/>
        <c:ser>
          <c:idx val="0"/>
          <c:order val="0"/>
          <c:tx>
            <c:strRef>
              <c:f>Worksheet!$C$736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Worksheet!$D$735:$V$735</c:f>
              <c:strCache>
                <c:ptCount val="19"/>
                <c:pt idx="0">
                  <c:v>2015</c:v>
                </c:pt>
                <c:pt idx="2">
                  <c:v>2016</c:v>
                </c:pt>
                <c:pt idx="4">
                  <c:v>2017</c:v>
                </c:pt>
                <c:pt idx="7">
                  <c:v>2018</c:v>
                </c:pt>
                <c:pt idx="8">
                  <c:v>2019</c:v>
                </c:pt>
                <c:pt idx="10">
                  <c:v>2020</c:v>
                </c:pt>
                <c:pt idx="12">
                  <c:v>2021</c:v>
                </c:pt>
                <c:pt idx="15">
                  <c:v>2022</c:v>
                </c:pt>
                <c:pt idx="16">
                  <c:v>2023E</c:v>
                </c:pt>
                <c:pt idx="17">
                  <c:v>2024E</c:v>
                </c:pt>
                <c:pt idx="18">
                  <c:v>2025E</c:v>
                </c:pt>
              </c:strCache>
            </c:strRef>
          </c:cat>
          <c:val>
            <c:numRef>
              <c:f>Worksheet!$D$736:$V$736</c:f>
              <c:numCache>
                <c:formatCode>0</c:formatCode>
                <c:ptCount val="19"/>
                <c:pt idx="0">
                  <c:v>330</c:v>
                </c:pt>
                <c:pt idx="2">
                  <c:v>188</c:v>
                </c:pt>
                <c:pt idx="3">
                  <c:v>1050</c:v>
                </c:pt>
                <c:pt idx="4">
                  <c:v>968</c:v>
                </c:pt>
                <c:pt idx="5">
                  <c:v>1124</c:v>
                </c:pt>
                <c:pt idx="6">
                  <c:v>1902</c:v>
                </c:pt>
                <c:pt idx="7">
                  <c:v>2050</c:v>
                </c:pt>
                <c:pt idx="8">
                  <c:v>1894</c:v>
                </c:pt>
                <c:pt idx="9">
                  <c:v>2553.99999999999</c:v>
                </c:pt>
                <c:pt idx="10">
                  <c:v>1381</c:v>
                </c:pt>
                <c:pt idx="11">
                  <c:v>0</c:v>
                </c:pt>
                <c:pt idx="12">
                  <c:v>2902</c:v>
                </c:pt>
                <c:pt idx="13">
                  <c:v>0</c:v>
                </c:pt>
                <c:pt idx="14">
                  <c:v>0</c:v>
                </c:pt>
                <c:pt idx="15">
                  <c:v>460</c:v>
                </c:pt>
                <c:pt idx="16">
                  <c:v>2214.00000000002</c:v>
                </c:pt>
                <c:pt idx="17">
                  <c:v>2525.99999999999</c:v>
                </c:pt>
                <c:pt idx="18">
                  <c:v>348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Worksheet!$C$738</c:f>
              <c:strCache>
                <c:ptCount val="1"/>
                <c:pt idx="0">
                  <c:v>Share buyhback + dividends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Worksheet!$D$738:$V$738</c:f>
              <c:numCache>
                <c:formatCode>General</c:formatCode>
                <c:ptCount val="19"/>
                <c:pt idx="0">
                  <c:v>-351</c:v>
                </c:pt>
                <c:pt idx="2">
                  <c:v>-353</c:v>
                </c:pt>
                <c:pt idx="4">
                  <c:v>-447</c:v>
                </c:pt>
                <c:pt idx="5">
                  <c:v>-809</c:v>
                </c:pt>
                <c:pt idx="6">
                  <c:v>-257</c:v>
                </c:pt>
                <c:pt idx="7">
                  <c:v>-1528.38214</c:v>
                </c:pt>
                <c:pt idx="8">
                  <c:v>-1473</c:v>
                </c:pt>
                <c:pt idx="9">
                  <c:v>-34</c:v>
                </c:pt>
                <c:pt idx="10">
                  <c:v>-257</c:v>
                </c:pt>
                <c:pt idx="11">
                  <c:v>-1</c:v>
                </c:pt>
                <c:pt idx="12">
                  <c:v>-1585</c:v>
                </c:pt>
                <c:pt idx="13">
                  <c:v>0</c:v>
                </c:pt>
                <c:pt idx="14">
                  <c:v>0</c:v>
                </c:pt>
                <c:pt idx="15">
                  <c:v>-3110</c:v>
                </c:pt>
                <c:pt idx="16">
                  <c:v>-159</c:v>
                </c:pt>
                <c:pt idx="17">
                  <c:v>-97</c:v>
                </c:pt>
                <c:pt idx="18">
                  <c:v>-358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6633472"/>
        <c:axId val="496624320"/>
      </c:lineChart>
      <c:catAx>
        <c:axId val="49663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624320"/>
        <c:crosses val="autoZero"/>
        <c:auto val="1"/>
        <c:lblAlgn val="ctr"/>
        <c:lblOffset val="100"/>
        <c:noMultiLvlLbl val="0"/>
      </c:catAx>
      <c:valAx>
        <c:axId val="496624320"/>
        <c:scaling>
          <c:orientation val="minMax"/>
          <c:max val="40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6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389a6f-c9f5-4d7e-a000-97ec88b9fbf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Worksheet!$D$713:$D$714</c:f>
              <c:strCache>
                <c:ptCount val="1"/>
                <c:pt idx="0">
                  <c:v>2019 Sales mix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Worksheet!$C$715:$C$719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N America</c:v>
                </c:pt>
                <c:pt idx="3">
                  <c:v>LatAm</c:v>
                </c:pt>
                <c:pt idx="4">
                  <c:v>Emerging Markets</c:v>
                </c:pt>
              </c:strCache>
            </c:strRef>
          </c:cat>
          <c:val>
            <c:numRef>
              <c:f>Worksheet!$D$715:$D$719</c:f>
              <c:numCache>
                <c:formatCode>0.0%</c:formatCode>
                <c:ptCount val="5"/>
                <c:pt idx="0">
                  <c:v>0.339126807580944</c:v>
                </c:pt>
                <c:pt idx="1">
                  <c:v>0.253736778746116</c:v>
                </c:pt>
                <c:pt idx="2">
                  <c:v>0.226702418059232</c:v>
                </c:pt>
                <c:pt idx="3">
                  <c:v>0.0698706385444466</c:v>
                </c:pt>
                <c:pt idx="4">
                  <c:v>0.0546241772880628</c:v>
                </c:pt>
              </c:numCache>
            </c:numRef>
          </c:val>
        </c:ser>
        <c:ser>
          <c:idx val="1"/>
          <c:order val="1"/>
          <c:tx>
            <c:strRef>
              <c:f>Worksheet!$E$714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Worksheet!$C$715:$C$719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N America</c:v>
                </c:pt>
                <c:pt idx="3">
                  <c:v>LatAm</c:v>
                </c:pt>
                <c:pt idx="4">
                  <c:v>Emerging Markets</c:v>
                </c:pt>
              </c:strCache>
            </c:strRef>
          </c:cat>
          <c:val>
            <c:numRef>
              <c:f>Worksheet!$E$715:$E$720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Worksheet!$H$713:$H$714</c:f>
              <c:strCache>
                <c:ptCount val="1"/>
                <c:pt idx="0">
                  <c:v>2023E Sales mix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Worksheet!$C$715:$C$719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N America</c:v>
                </c:pt>
                <c:pt idx="3">
                  <c:v>LatAm</c:v>
                </c:pt>
                <c:pt idx="4">
                  <c:v>Emerging Markets</c:v>
                </c:pt>
              </c:strCache>
            </c:strRef>
          </c:cat>
          <c:val>
            <c:numRef>
              <c:f>Worksheet!$H$715:$H$719</c:f>
              <c:numCache>
                <c:formatCode>0.0%</c:formatCode>
                <c:ptCount val="5"/>
                <c:pt idx="0">
                  <c:v>0.171325518485122</c:v>
                </c:pt>
                <c:pt idx="1">
                  <c:v>0.344595356176736</c:v>
                </c:pt>
                <c:pt idx="2">
                  <c:v>0.272993688007214</c:v>
                </c:pt>
                <c:pt idx="3">
                  <c:v>0.129114066726781</c:v>
                </c:pt>
                <c:pt idx="4">
                  <c:v>0.0707563119927863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751263"/>
        <c:axId val="665726303"/>
      </c:barChart>
      <c:catAx>
        <c:axId val="66575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26303"/>
        <c:crosses val="autoZero"/>
        <c:auto val="1"/>
        <c:lblAlgn val="ctr"/>
        <c:lblOffset val="100"/>
        <c:noMultiLvlLbl val="0"/>
      </c:catAx>
      <c:valAx>
        <c:axId val="66572630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5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ecb28b-45a6-4f12-a737-3f327347044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Worksheet!$B$816</c:f>
              <c:strCache>
                <c:ptCount val="1"/>
                <c:pt idx="0">
                  <c:v>cFX sales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Worksheet!$C$815:$K$815</c:f>
              <c:strCache>
                <c:ptCount val="9"/>
                <c:pt idx="0">
                  <c:v>2024E</c:v>
                </c:pt>
                <c:pt idx="1">
                  <c:v>2025E</c:v>
                </c:pt>
                <c:pt idx="3">
                  <c:v>2026E</c:v>
                </c:pt>
                <c:pt idx="4">
                  <c:v>2025E</c:v>
                </c:pt>
                <c:pt idx="5">
                  <c:v>2027E</c:v>
                </c:pt>
                <c:pt idx="6">
                  <c:v>2025E</c:v>
                </c:pt>
                <c:pt idx="7">
                  <c:v>2025E</c:v>
                </c:pt>
                <c:pt idx="8">
                  <c:v>2028E</c:v>
                </c:pt>
              </c:strCache>
            </c:strRef>
          </c:cat>
          <c:val>
            <c:numRef>
              <c:f>Worksheet!$C$816:$K$816</c:f>
              <c:numCache>
                <c:formatCode>0.0%</c:formatCode>
                <c:ptCount val="9"/>
                <c:pt idx="0">
                  <c:v>0.13754569060045</c:v>
                </c:pt>
                <c:pt idx="1">
                  <c:v>0.128168148743108</c:v>
                </c:pt>
                <c:pt idx="2">
                  <c:v>0.105392366289146</c:v>
                </c:pt>
                <c:pt idx="3">
                  <c:v>0.105392366289146</c:v>
                </c:pt>
                <c:pt idx="4">
                  <c:v>0.0677282828827418</c:v>
                </c:pt>
                <c:pt idx="5">
                  <c:v>0.067494679244341</c:v>
                </c:pt>
                <c:pt idx="6">
                  <c:v>0</c:v>
                </c:pt>
                <c:pt idx="7">
                  <c:v>0</c:v>
                </c:pt>
                <c:pt idx="8">
                  <c:v>0.0677282828827418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Worksheet!$B$817</c:f>
              <c:strCache>
                <c:ptCount val="1"/>
                <c:pt idx="0">
                  <c:v>cFX sales growth (OLD)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Worksheet!$C$815:$K$815</c:f>
              <c:strCache>
                <c:ptCount val="9"/>
                <c:pt idx="0">
                  <c:v>2024E</c:v>
                </c:pt>
                <c:pt idx="1">
                  <c:v>2025E</c:v>
                </c:pt>
                <c:pt idx="3">
                  <c:v>2026E</c:v>
                </c:pt>
                <c:pt idx="4">
                  <c:v>2025E</c:v>
                </c:pt>
                <c:pt idx="5">
                  <c:v>2027E</c:v>
                </c:pt>
                <c:pt idx="6">
                  <c:v>2025E</c:v>
                </c:pt>
                <c:pt idx="7">
                  <c:v>2025E</c:v>
                </c:pt>
                <c:pt idx="8">
                  <c:v>2028E</c:v>
                </c:pt>
              </c:strCache>
            </c:strRef>
          </c:cat>
          <c:val>
            <c:numRef>
              <c:f>Worksheet!$C$817:$K$817</c:f>
              <c:numCache>
                <c:formatCode>0.0%</c:formatCode>
                <c:ptCount val="9"/>
                <c:pt idx="0">
                  <c:v>0.13754569060045</c:v>
                </c:pt>
                <c:pt idx="1">
                  <c:v>0.128168148743108</c:v>
                </c:pt>
                <c:pt idx="2">
                  <c:v>0.0996900568296319</c:v>
                </c:pt>
                <c:pt idx="3">
                  <c:v>0.0996900568296319</c:v>
                </c:pt>
                <c:pt idx="4">
                  <c:v>0.0705204908673607</c:v>
                </c:pt>
                <c:pt idx="5">
                  <c:v>0.073674227167075</c:v>
                </c:pt>
                <c:pt idx="6">
                  <c:v>0.059704221733401</c:v>
                </c:pt>
                <c:pt idx="7">
                  <c:v>0</c:v>
                </c:pt>
                <c:pt idx="8">
                  <c:v>0.0705204908673607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Worksheet!$B$818</c:f>
              <c:strCache>
                <c:ptCount val="1"/>
                <c:pt idx="0">
                  <c:v>cFX sales growth FY15-19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Worksheet!$C$815:$K$815</c:f>
              <c:strCache>
                <c:ptCount val="9"/>
                <c:pt idx="0">
                  <c:v>2024E</c:v>
                </c:pt>
                <c:pt idx="1">
                  <c:v>2025E</c:v>
                </c:pt>
                <c:pt idx="3">
                  <c:v>2026E</c:v>
                </c:pt>
                <c:pt idx="4">
                  <c:v>2025E</c:v>
                </c:pt>
                <c:pt idx="5">
                  <c:v>2027E</c:v>
                </c:pt>
                <c:pt idx="6">
                  <c:v>2025E</c:v>
                </c:pt>
                <c:pt idx="7">
                  <c:v>2025E</c:v>
                </c:pt>
                <c:pt idx="8">
                  <c:v>2028E</c:v>
                </c:pt>
              </c:strCache>
            </c:strRef>
          </c:cat>
          <c:val>
            <c:numRef>
              <c:f>Worksheet!$C$818:$K$818</c:f>
              <c:numCache>
                <c:formatCode>0.0%</c:formatCode>
                <c:ptCount val="9"/>
                <c:pt idx="0">
                  <c:v>0.0963410858047203</c:v>
                </c:pt>
                <c:pt idx="1">
                  <c:v>0.1815992905705</c:v>
                </c:pt>
                <c:pt idx="2">
                  <c:v>0.1815992905705</c:v>
                </c:pt>
                <c:pt idx="3">
                  <c:v>0.159997786824436</c:v>
                </c:pt>
                <c:pt idx="4">
                  <c:v>0.0842075596191913</c:v>
                </c:pt>
                <c:pt idx="5">
                  <c:v>0.0842075596191913</c:v>
                </c:pt>
                <c:pt idx="6">
                  <c:v>-0.134484943113378</c:v>
                </c:pt>
                <c:pt idx="7">
                  <c:v>0.16</c:v>
                </c:pt>
                <c:pt idx="8">
                  <c:v>0.0605195710700433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21897231"/>
        <c:axId val="2127709824"/>
      </c:lineChart>
      <c:catAx>
        <c:axId val="4218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7709824"/>
        <c:crosses val="autoZero"/>
        <c:auto val="1"/>
        <c:lblAlgn val="ctr"/>
        <c:lblOffset val="100"/>
        <c:noMultiLvlLbl val="0"/>
      </c:catAx>
      <c:valAx>
        <c:axId val="2127709824"/>
        <c:scaling>
          <c:orientation val="minMax"/>
          <c:min val="0.06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89723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10505-2946-4f12-a325-415ffa996fd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Worksheet!$B$844</c:f>
              <c:strCache>
                <c:ptCount val="1"/>
                <c:pt idx="0">
                  <c:v>Nike cFX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Worksheet!$C$843:$K$843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2018</c:v>
                </c:pt>
              </c:numCache>
            </c:numRef>
          </c:cat>
          <c:val>
            <c:numRef>
              <c:f>Worksheet!$C$844:$K$844</c:f>
              <c:numCache>
                <c:formatCode>0.0%</c:formatCode>
                <c:ptCount val="9"/>
                <c:pt idx="0">
                  <c:v>0.14</c:v>
                </c:pt>
                <c:pt idx="1">
                  <c:v>0.122466259272573</c:v>
                </c:pt>
                <c:pt idx="3">
                  <c:v>0.0801704966641957</c:v>
                </c:pt>
                <c:pt idx="5">
                  <c:v>0.0347167394468705</c:v>
                </c:pt>
                <c:pt idx="8">
                  <c:v>0.109377146468116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Worksheet!$B$845</c:f>
              <c:strCache>
                <c:ptCount val="1"/>
                <c:pt idx="0">
                  <c:v>Adidas cFX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Worksheet!$C$843:$K$843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2018</c:v>
                </c:pt>
              </c:numCache>
            </c:numRef>
          </c:cat>
          <c:val>
            <c:numRef>
              <c:f>Worksheet!$C$845:$K$845</c:f>
              <c:numCache>
                <c:formatCode>0.0%</c:formatCode>
                <c:ptCount val="9"/>
                <c:pt idx="0">
                  <c:v>0.0646918989787469</c:v>
                </c:pt>
                <c:pt idx="1">
                  <c:v>0.0963410858047203</c:v>
                </c:pt>
                <c:pt idx="3">
                  <c:v>0.1815992905705</c:v>
                </c:pt>
                <c:pt idx="5">
                  <c:v>0.159997786824436</c:v>
                </c:pt>
                <c:pt idx="8">
                  <c:v>0.0842075596191913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114531504"/>
        <c:axId val="2010050400"/>
      </c:lineChart>
      <c:catAx>
        <c:axId val="21145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0050400"/>
        <c:crosses val="autoZero"/>
        <c:auto val="1"/>
        <c:lblAlgn val="ctr"/>
        <c:lblOffset val="100"/>
        <c:noMultiLvlLbl val="0"/>
      </c:catAx>
      <c:valAx>
        <c:axId val="2010050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5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ce53fd-55a9-4b10-b1db-d5708e35ccd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Worksheet!$B$883</c:f>
              <c:strCache>
                <c:ptCount val="1"/>
                <c:pt idx="0">
                  <c:v>Shoe pairs manuf (RHS)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Worksheet!$D$880:$U$880</c:f>
              <c:strCache>
                <c:ptCount val="18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  <c:pt idx="16">
                  <c:v>2024E</c:v>
                </c:pt>
                <c:pt idx="17">
                  <c:v>2025E</c:v>
                </c:pt>
              </c:strCache>
            </c:strRef>
          </c:cat>
          <c:val>
            <c:numRef>
              <c:f>Worksheet!$D$883:$U$883</c:f>
              <c:numCache>
                <c:formatCode>General</c:formatCode>
                <c:ptCount val="18"/>
                <c:pt idx="0">
                  <c:v>360</c:v>
                </c:pt>
                <c:pt idx="2">
                  <c:v>403</c:v>
                </c:pt>
                <c:pt idx="4">
                  <c:v>409</c:v>
                </c:pt>
                <c:pt idx="7">
                  <c:v>448</c:v>
                </c:pt>
                <c:pt idx="8">
                  <c:v>379</c:v>
                </c:pt>
                <c:pt idx="10">
                  <c:v>340</c:v>
                </c:pt>
                <c:pt idx="12">
                  <c:v>419</c:v>
                </c:pt>
                <c:pt idx="15">
                  <c:v>311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89792"/>
        <c:axId val="849757264"/>
      </c:barChart>
      <c:lineChart>
        <c:grouping val="standard"/>
        <c:varyColors val="0"/>
        <c:ser>
          <c:idx val="0"/>
          <c:order val="0"/>
          <c:tx>
            <c:strRef>
              <c:f>Worksheet!$B$881</c:f>
              <c:strCache>
                <c:ptCount val="1"/>
                <c:pt idx="0">
                  <c:v>Shoe sales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Worksheet!$D$880:$U$880</c:f>
              <c:strCache>
                <c:ptCount val="18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  <c:pt idx="16">
                  <c:v>2024E</c:v>
                </c:pt>
                <c:pt idx="17">
                  <c:v>2025E</c:v>
                </c:pt>
              </c:strCache>
            </c:strRef>
          </c:cat>
          <c:val>
            <c:numRef>
              <c:f>Worksheet!$D$881:$U$881</c:f>
              <c:numCache>
                <c:formatCode>0.0%</c:formatCode>
                <c:ptCount val="18"/>
                <c:pt idx="0">
                  <c:v>0.26</c:v>
                </c:pt>
                <c:pt idx="2">
                  <c:v>0.24</c:v>
                </c:pt>
                <c:pt idx="4">
                  <c:v>0.08</c:v>
                </c:pt>
                <c:pt idx="7">
                  <c:v>0.04</c:v>
                </c:pt>
                <c:pt idx="8">
                  <c:v>-0.15</c:v>
                </c:pt>
                <c:pt idx="10">
                  <c:v>0.13</c:v>
                </c:pt>
                <c:pt idx="12">
                  <c:v>0.03</c:v>
                </c:pt>
                <c:pt idx="15">
                  <c:v>0.04</c:v>
                </c:pt>
                <c:pt idx="16">
                  <c:v>0.16754569060045</c:v>
                </c:pt>
                <c:pt idx="17">
                  <c:v>0.158168148743108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Worksheet!$B$882</c:f>
              <c:strCache>
                <c:ptCount val="1"/>
                <c:pt idx="0">
                  <c:v>Shoe pairs manuf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Worksheet!$D$880:$U$880</c:f>
              <c:strCache>
                <c:ptCount val="18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  <c:pt idx="16">
                  <c:v>2024E</c:v>
                </c:pt>
                <c:pt idx="17">
                  <c:v>2025E</c:v>
                </c:pt>
              </c:strCache>
            </c:strRef>
          </c:cat>
          <c:val>
            <c:numRef>
              <c:f>Worksheet!$D$882:$U$882</c:f>
              <c:numCache>
                <c:formatCode>0.0%</c:formatCode>
                <c:ptCount val="18"/>
                <c:pt idx="0">
                  <c:v>0.196013289036545</c:v>
                </c:pt>
                <c:pt idx="2">
                  <c:v>0.119444444444444</c:v>
                </c:pt>
                <c:pt idx="4">
                  <c:v>0.0148883374689825</c:v>
                </c:pt>
                <c:pt idx="7">
                  <c:v>0.0953545232273838</c:v>
                </c:pt>
                <c:pt idx="8">
                  <c:v>-0.154017857142857</c:v>
                </c:pt>
                <c:pt idx="10">
                  <c:v>-0.102902374670185</c:v>
                </c:pt>
                <c:pt idx="12">
                  <c:v>0.232352941176471</c:v>
                </c:pt>
                <c:pt idx="15">
                  <c:v>-0.257756563245823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4241407"/>
        <c:axId val="944650544"/>
      </c:lineChart>
      <c:catAx>
        <c:axId val="176424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650544"/>
        <c:crosses val="autoZero"/>
        <c:auto val="1"/>
        <c:lblAlgn val="ctr"/>
        <c:lblOffset val="100"/>
        <c:noMultiLvlLbl val="0"/>
      </c:catAx>
      <c:valAx>
        <c:axId val="9446505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241407"/>
        <c:crosses val="autoZero"/>
        <c:crossBetween val="between"/>
      </c:valAx>
      <c:catAx>
        <c:axId val="11789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757264"/>
        <c:crosses val="autoZero"/>
        <c:auto val="1"/>
        <c:lblAlgn val="ctr"/>
        <c:lblOffset val="100"/>
        <c:noMultiLvlLbl val="0"/>
      </c:catAx>
      <c:valAx>
        <c:axId val="849757264"/>
        <c:scaling>
          <c:orientation val="minMax"/>
          <c:min val="2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897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2c2f91-455f-49d6-8c54-110e3e2668e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Worksheet!$B$911:$C$911</c:f>
              <c:strCache>
                <c:ptCount val="1"/>
                <c:pt idx="0">
                  <c:v>Sales growth - inventory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Worksheet!$D$908:$S$908</c:f>
              <c:numCache>
                <c:formatCode>General</c:formatCode>
                <c:ptCount val="16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Worksheet!$D$911:$S$911</c:f>
              <c:numCache>
                <c:formatCode>0.0%</c:formatCode>
                <c:ptCount val="16"/>
                <c:pt idx="0">
                  <c:v>0.0511982010921941</c:v>
                </c:pt>
                <c:pt idx="2">
                  <c:v>0.258867924528302</c:v>
                </c:pt>
                <c:pt idx="4">
                  <c:v>0.146901408450704</c:v>
                </c:pt>
                <c:pt idx="7">
                  <c:v>-0.14577648766328</c:v>
                </c:pt>
                <c:pt idx="8">
                  <c:v>-0.226376988984088</c:v>
                </c:pt>
                <c:pt idx="10">
                  <c:v>0.218241983170343</c:v>
                </c:pt>
                <c:pt idx="12">
                  <c:v>-0.459897730107259</c:v>
                </c:pt>
                <c:pt idx="15">
                  <c:v>0.282424242424242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Worksheet!$B$912:$C$912</c:f>
              <c:strCache>
                <c:ptCount val="1"/>
                <c:pt idx="0">
                  <c:v>Shoe pairs manuf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Worksheet!$D$908:$S$908</c:f>
              <c:numCache>
                <c:formatCode>General</c:formatCode>
                <c:ptCount val="16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Worksheet!$D$912:$S$912</c:f>
              <c:numCache>
                <c:formatCode>0.0%</c:formatCode>
                <c:ptCount val="16"/>
                <c:pt idx="0">
                  <c:v>0.196013289036545</c:v>
                </c:pt>
                <c:pt idx="2">
                  <c:v>0.119444444444444</c:v>
                </c:pt>
                <c:pt idx="4">
                  <c:v>0.0148883374689825</c:v>
                </c:pt>
                <c:pt idx="7">
                  <c:v>0.0953545232273838</c:v>
                </c:pt>
                <c:pt idx="8">
                  <c:v>-0.154017857142857</c:v>
                </c:pt>
                <c:pt idx="10">
                  <c:v>-0.102902374670185</c:v>
                </c:pt>
                <c:pt idx="12">
                  <c:v>0.232352941176471</c:v>
                </c:pt>
                <c:pt idx="15">
                  <c:v>-0.257756563245823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9929455"/>
        <c:axId val="1754150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Worksheet!$B$909:$C$909</c15:sqref>
                        </c15:formulaRef>
                      </c:ext>
                    </c:extLst>
                    <c:strCache>
                      <c:ptCount val="1"/>
                      <c:pt idx="0">
                        <c:v>cFX shoe sales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Worksheet!$D$908:$S$908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2016</c:v>
                      </c:pt>
                      <c:pt idx="2">
                        <c:v>2017</c:v>
                      </c:pt>
                      <c:pt idx="4">
                        <c:v>2018</c:v>
                      </c:pt>
                      <c:pt idx="7">
                        <c:v>2019</c:v>
                      </c:pt>
                      <c:pt idx="8">
                        <c:v>2020</c:v>
                      </c:pt>
                      <c:pt idx="10">
                        <c:v>2021</c:v>
                      </c:pt>
                      <c:pt idx="12">
                        <c:v>2022</c:v>
                      </c:pt>
                      <c:pt idx="15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Worksheet!$D$909:$U$909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0.26</c:v>
                      </c:pt>
                      <c:pt idx="2">
                        <c:v>0.24</c:v>
                      </c:pt>
                      <c:pt idx="4">
                        <c:v>0.08</c:v>
                      </c:pt>
                      <c:pt idx="7">
                        <c:v>0.04</c:v>
                      </c:pt>
                      <c:pt idx="8">
                        <c:v>-0.15</c:v>
                      </c:pt>
                      <c:pt idx="10">
                        <c:v>0.13</c:v>
                      </c:pt>
                      <c:pt idx="12">
                        <c:v>0.03</c:v>
                      </c:pt>
                      <c:pt idx="15">
                        <c:v>0.04</c:v>
                      </c:pt>
                      <c:pt idx="16">
                        <c:v>0.16754569060045</c:v>
                      </c:pt>
                      <c:pt idx="17">
                        <c:v>0.158168148743108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Worksheet!$B$910:$C$910</c15:sqref>
                        </c15:formulaRef>
                      </c:ext>
                    </c:extLst>
                    <c:strCache>
                      <c:ptCount val="1"/>
                      <c:pt idx="0">
                        <c:v>Inventory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Worksheet!$D$908:$S$908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2016</c:v>
                      </c:pt>
                      <c:pt idx="2">
                        <c:v>2017</c:v>
                      </c:pt>
                      <c:pt idx="4">
                        <c:v>2018</c:v>
                      </c:pt>
                      <c:pt idx="7">
                        <c:v>2019</c:v>
                      </c:pt>
                      <c:pt idx="8">
                        <c:v>2020</c:v>
                      </c:pt>
                      <c:pt idx="10">
                        <c:v>2021</c:v>
                      </c:pt>
                      <c:pt idx="12">
                        <c:v>2022</c:v>
                      </c:pt>
                      <c:pt idx="15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Worksheet!$D$910:$U$910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0.208801798907806</c:v>
                      </c:pt>
                      <c:pt idx="2">
                        <c:v>-0.0188679245283019</c:v>
                      </c:pt>
                      <c:pt idx="4">
                        <c:v>-0.0669014084507042</c:v>
                      </c:pt>
                      <c:pt idx="7">
                        <c:v>0.18577648766328</c:v>
                      </c:pt>
                      <c:pt idx="8">
                        <c:v>0.0763769889840882</c:v>
                      </c:pt>
                      <c:pt idx="10">
                        <c:v>-0.0882419831703434</c:v>
                      </c:pt>
                      <c:pt idx="12">
                        <c:v>0.489897730107259</c:v>
                      </c:pt>
                      <c:pt idx="15">
                        <c:v>-0.242424242424242</c:v>
                      </c:pt>
                      <c:pt idx="16">
                        <c:v>0.102541436464088</c:v>
                      </c:pt>
                      <c:pt idx="17">
                        <c:v>0.168971737823211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1992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4150767"/>
        <c:crosses val="autoZero"/>
        <c:auto val="1"/>
        <c:lblAlgn val="ctr"/>
        <c:lblOffset val="100"/>
        <c:noMultiLvlLbl val="0"/>
      </c:catAx>
      <c:valAx>
        <c:axId val="17541507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992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c6b5d3-3daf-438c-ba23-94d02e422b3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Worksheet!$B$936:$C$936</c:f>
              <c:strCache>
                <c:ptCount val="1"/>
                <c:pt idx="0">
                  <c:v>Shoe pairs manuf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Worksheet!$D$934:$U$934</c:f>
              <c:strCache>
                <c:ptCount val="18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  <c:pt idx="16">
                  <c:v>2024E</c:v>
                </c:pt>
                <c:pt idx="17">
                  <c:v>2025E</c:v>
                </c:pt>
              </c:strCache>
            </c:strRef>
          </c:cat>
          <c:val>
            <c:numRef>
              <c:f>Worksheet!$D$936:$U$936</c:f>
              <c:numCache>
                <c:formatCode>General</c:formatCode>
                <c:ptCount val="18"/>
                <c:pt idx="0">
                  <c:v>360</c:v>
                </c:pt>
                <c:pt idx="2">
                  <c:v>403</c:v>
                </c:pt>
                <c:pt idx="4">
                  <c:v>409</c:v>
                </c:pt>
                <c:pt idx="7">
                  <c:v>448</c:v>
                </c:pt>
                <c:pt idx="8">
                  <c:v>379</c:v>
                </c:pt>
                <c:pt idx="10">
                  <c:v>340</c:v>
                </c:pt>
                <c:pt idx="12">
                  <c:v>419</c:v>
                </c:pt>
                <c:pt idx="15">
                  <c:v>311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055471"/>
        <c:axId val="1150346127"/>
      </c:barChar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610943"/>
        <c:axId val="174420153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Worksheet!$B$937:$C$937</c15:sqref>
                        </c15:formulaRef>
                      </c:ext>
                    </c:extLst>
                    <c:strCache>
                      <c:ptCount val="1"/>
                      <c:pt idx="0">
                        <c:v>Shoe pairs manuf (est)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Worksheet!$D$934:$U$934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Worksheet!$D$937:$U$937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  <c:pt idx="16">
                        <c:v>450</c:v>
                      </c:pt>
                      <c:pt idx="17">
                        <c:v>500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Worksheet!$B$935:$C$935</c:f>
              <c:strCache>
                <c:ptCount val="1"/>
                <c:pt idx="0">
                  <c:v>Shoe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Worksheet!$D$934:$U$934</c:f>
              <c:strCache>
                <c:ptCount val="18"/>
                <c:pt idx="0">
                  <c:v>2016</c:v>
                </c:pt>
                <c:pt idx="2">
                  <c:v>2017</c:v>
                </c:pt>
                <c:pt idx="4">
                  <c:v>2018</c:v>
                </c:pt>
                <c:pt idx="7">
                  <c:v>2019</c:v>
                </c:pt>
                <c:pt idx="8">
                  <c:v>2020</c:v>
                </c:pt>
                <c:pt idx="10">
                  <c:v>2021</c:v>
                </c:pt>
                <c:pt idx="12">
                  <c:v>2022</c:v>
                </c:pt>
                <c:pt idx="15">
                  <c:v>2023</c:v>
                </c:pt>
                <c:pt idx="16">
                  <c:v>2024E</c:v>
                </c:pt>
                <c:pt idx="17">
                  <c:v>2025E</c:v>
                </c:pt>
              </c:strCache>
            </c:strRef>
          </c:cat>
          <c:val>
            <c:numRef>
              <c:f>Worksheet!$D$935:$U$935</c:f>
              <c:numCache>
                <c:formatCode>0</c:formatCode>
                <c:ptCount val="18"/>
                <c:pt idx="0">
                  <c:v>10135</c:v>
                </c:pt>
                <c:pt idx="2">
                  <c:v>12427</c:v>
                </c:pt>
                <c:pt idx="4">
                  <c:v>12782</c:v>
                </c:pt>
                <c:pt idx="7">
                  <c:v>13521</c:v>
                </c:pt>
                <c:pt idx="8">
                  <c:v>11128</c:v>
                </c:pt>
                <c:pt idx="10">
                  <c:v>11336</c:v>
                </c:pt>
                <c:pt idx="12">
                  <c:v>12286</c:v>
                </c:pt>
                <c:pt idx="15">
                  <c:v>12139</c:v>
                </c:pt>
                <c:pt idx="16">
                  <c:v>14172.8371381989</c:v>
                </c:pt>
                <c:pt idx="17">
                  <c:v>16414.5285507853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2610943"/>
        <c:axId val="1744201535"/>
      </c:lineChart>
      <c:catAx>
        <c:axId val="17560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0346127"/>
        <c:crosses val="autoZero"/>
        <c:auto val="1"/>
        <c:lblAlgn val="ctr"/>
        <c:lblOffset val="100"/>
        <c:noMultiLvlLbl val="0"/>
      </c:catAx>
      <c:valAx>
        <c:axId val="1150346127"/>
        <c:scaling>
          <c:orientation val="minMax"/>
          <c:min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6055471"/>
        <c:crosses val="autoZero"/>
        <c:crossBetween val="between"/>
      </c:valAx>
      <c:catAx>
        <c:axId val="1762610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4201535"/>
        <c:crosses val="autoZero"/>
        <c:auto val="1"/>
        <c:lblAlgn val="ctr"/>
        <c:lblOffset val="100"/>
        <c:noMultiLvlLbl val="0"/>
      </c:catAx>
      <c:valAx>
        <c:axId val="1744201535"/>
        <c:scaling>
          <c:orientation val="minMax"/>
          <c:min val="8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261094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2eb1fb-d69a-47d8-9586-a27777be24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Worksheet!$B$968</c:f>
              <c:strCache>
                <c:ptCount val="1"/>
                <c:pt idx="0">
                  <c:v>Adidas Wholesale cFX sales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Worksheet!$F$967:$AB$967</c:f>
              <c:strCache>
                <c:ptCount val="23"/>
                <c:pt idx="0">
                  <c:v>3Q21</c:v>
                </c:pt>
                <c:pt idx="2">
                  <c:v>4Q21</c:v>
                </c:pt>
                <c:pt idx="5">
                  <c:v>1Q22</c:v>
                </c:pt>
                <c:pt idx="6">
                  <c:v>2Q22</c:v>
                </c:pt>
                <c:pt idx="8">
                  <c:v>3Q22</c:v>
                </c:pt>
                <c:pt idx="10">
                  <c:v>4Q22</c:v>
                </c:pt>
                <c:pt idx="11">
                  <c:v>3Q24</c:v>
                </c:pt>
                <c:pt idx="12">
                  <c:v>4Q24E</c:v>
                </c:pt>
                <c:pt idx="13">
                  <c:v>1Q23</c:v>
                </c:pt>
                <c:pt idx="14">
                  <c:v>2Q23</c:v>
                </c:pt>
                <c:pt idx="15">
                  <c:v>3Q23</c:v>
                </c:pt>
                <c:pt idx="16">
                  <c:v>4Q23</c:v>
                </c:pt>
                <c:pt idx="17">
                  <c:v>1Q24</c:v>
                </c:pt>
                <c:pt idx="18">
                  <c:v>2Q24</c:v>
                </c:pt>
                <c:pt idx="19">
                  <c:v>1Q24</c:v>
                </c:pt>
                <c:pt idx="20">
                  <c:v>1Q24</c:v>
                </c:pt>
                <c:pt idx="21">
                  <c:v>3Q24</c:v>
                </c:pt>
                <c:pt idx="22">
                  <c:v>4Q24E</c:v>
                </c:pt>
              </c:strCache>
            </c:strRef>
          </c:cat>
          <c:val>
            <c:numRef>
              <c:f>Worksheet!$F$968:$AB$968</c:f>
              <c:numCache>
                <c:formatCode>0.0%</c:formatCode>
                <c:ptCount val="23"/>
                <c:pt idx="0">
                  <c:v>0.0336716812390389</c:v>
                </c:pt>
                <c:pt idx="2">
                  <c:v>-0.0493209084862568</c:v>
                </c:pt>
                <c:pt idx="5">
                  <c:v>-0.0497738197864378</c:v>
                </c:pt>
                <c:pt idx="6">
                  <c:v>0.0351455877668047</c:v>
                </c:pt>
                <c:pt idx="8">
                  <c:v>0.0355354629128316</c:v>
                </c:pt>
                <c:pt idx="10">
                  <c:v>-0.0150027347568873</c:v>
                </c:pt>
                <c:pt idx="13">
                  <c:v>0.010285156072695</c:v>
                </c:pt>
                <c:pt idx="14">
                  <c:v>-0.228053028107795</c:v>
                </c:pt>
                <c:pt idx="15">
                  <c:v>-0.149078858316413</c:v>
                </c:pt>
                <c:pt idx="16">
                  <c:v>-0.18483540022548</c:v>
                </c:pt>
                <c:pt idx="17">
                  <c:v>0.0345361312843296</c:v>
                </c:pt>
                <c:pt idx="18">
                  <c:v>0.188409073132576</c:v>
                </c:pt>
                <c:pt idx="21">
                  <c:v>0.129789254971802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Worksheet!$B$969</c:f>
              <c:strCache>
                <c:ptCount val="1"/>
                <c:pt idx="0">
                  <c:v>Adidas DTC cFX sales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Worksheet!$F$967:$AB$967</c:f>
              <c:strCache>
                <c:ptCount val="23"/>
                <c:pt idx="0">
                  <c:v>3Q21</c:v>
                </c:pt>
                <c:pt idx="2">
                  <c:v>4Q21</c:v>
                </c:pt>
                <c:pt idx="5">
                  <c:v>1Q22</c:v>
                </c:pt>
                <c:pt idx="6">
                  <c:v>2Q22</c:v>
                </c:pt>
                <c:pt idx="8">
                  <c:v>3Q22</c:v>
                </c:pt>
                <c:pt idx="10">
                  <c:v>4Q22</c:v>
                </c:pt>
                <c:pt idx="11">
                  <c:v>3Q24</c:v>
                </c:pt>
                <c:pt idx="12">
                  <c:v>4Q24E</c:v>
                </c:pt>
                <c:pt idx="13">
                  <c:v>1Q23</c:v>
                </c:pt>
                <c:pt idx="14">
                  <c:v>2Q23</c:v>
                </c:pt>
                <c:pt idx="15">
                  <c:v>3Q23</c:v>
                </c:pt>
                <c:pt idx="16">
                  <c:v>4Q23</c:v>
                </c:pt>
                <c:pt idx="17">
                  <c:v>1Q24</c:v>
                </c:pt>
                <c:pt idx="18">
                  <c:v>2Q24</c:v>
                </c:pt>
                <c:pt idx="19">
                  <c:v>1Q24</c:v>
                </c:pt>
                <c:pt idx="20">
                  <c:v>1Q24</c:v>
                </c:pt>
                <c:pt idx="21">
                  <c:v>3Q24</c:v>
                </c:pt>
                <c:pt idx="22">
                  <c:v>4Q24E</c:v>
                </c:pt>
              </c:strCache>
            </c:strRef>
          </c:cat>
          <c:val>
            <c:numRef>
              <c:f>Worksheet!$F$969:$AB$969</c:f>
              <c:numCache>
                <c:formatCode>0.0%</c:formatCode>
                <c:ptCount val="23"/>
                <c:pt idx="0">
                  <c:v>0.05</c:v>
                </c:pt>
                <c:pt idx="2">
                  <c:v>0</c:v>
                </c:pt>
                <c:pt idx="5">
                  <c:v>0.01</c:v>
                </c:pt>
                <c:pt idx="6">
                  <c:v>0.04</c:v>
                </c:pt>
                <c:pt idx="8">
                  <c:v>0.06</c:v>
                </c:pt>
                <c:pt idx="10">
                  <c:v>-0.01</c:v>
                </c:pt>
                <c:pt idx="13">
                  <c:v>-0.07</c:v>
                </c:pt>
                <c:pt idx="14">
                  <c:v>0.19</c:v>
                </c:pt>
                <c:pt idx="15">
                  <c:v>0.1</c:v>
                </c:pt>
                <c:pt idx="16">
                  <c:v>0.09</c:v>
                </c:pt>
                <c:pt idx="17">
                  <c:v>0.11</c:v>
                </c:pt>
                <c:pt idx="18">
                  <c:v>0.15</c:v>
                </c:pt>
                <c:pt idx="21">
                  <c:v>0.17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Worksheet!$B$970</c:f>
              <c:strCache>
                <c:ptCount val="1"/>
                <c:pt idx="0">
                  <c:v>Adidas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Worksheet!$F$967:$AB$967</c:f>
              <c:strCache>
                <c:ptCount val="23"/>
                <c:pt idx="0">
                  <c:v>3Q21</c:v>
                </c:pt>
                <c:pt idx="2">
                  <c:v>4Q21</c:v>
                </c:pt>
                <c:pt idx="5">
                  <c:v>1Q22</c:v>
                </c:pt>
                <c:pt idx="6">
                  <c:v>2Q22</c:v>
                </c:pt>
                <c:pt idx="8">
                  <c:v>3Q22</c:v>
                </c:pt>
                <c:pt idx="10">
                  <c:v>4Q22</c:v>
                </c:pt>
                <c:pt idx="11">
                  <c:v>3Q24</c:v>
                </c:pt>
                <c:pt idx="12">
                  <c:v>4Q24E</c:v>
                </c:pt>
                <c:pt idx="13">
                  <c:v>1Q23</c:v>
                </c:pt>
                <c:pt idx="14">
                  <c:v>2Q23</c:v>
                </c:pt>
                <c:pt idx="15">
                  <c:v>3Q23</c:v>
                </c:pt>
                <c:pt idx="16">
                  <c:v>4Q23</c:v>
                </c:pt>
                <c:pt idx="17">
                  <c:v>1Q24</c:v>
                </c:pt>
                <c:pt idx="18">
                  <c:v>2Q24</c:v>
                </c:pt>
                <c:pt idx="19">
                  <c:v>1Q24</c:v>
                </c:pt>
                <c:pt idx="20">
                  <c:v>1Q24</c:v>
                </c:pt>
                <c:pt idx="21">
                  <c:v>3Q24</c:v>
                </c:pt>
                <c:pt idx="22">
                  <c:v>4Q24E</c:v>
                </c:pt>
              </c:strCache>
            </c:strRef>
          </c:cat>
          <c:val>
            <c:numRef>
              <c:f>Worksheet!$F$970:$AB$970</c:f>
              <c:numCache>
                <c:formatCode>0.0%</c:formatCode>
                <c:ptCount val="23"/>
                <c:pt idx="0">
                  <c:v>0.019290345359367</c:v>
                </c:pt>
                <c:pt idx="2">
                  <c:v>0.019290345359367</c:v>
                </c:pt>
                <c:pt idx="3">
                  <c:v>0.0185559637767352</c:v>
                </c:pt>
                <c:pt idx="4">
                  <c:v>0.0185559637767352</c:v>
                </c:pt>
                <c:pt idx="5">
                  <c:v>0.019290345359367</c:v>
                </c:pt>
                <c:pt idx="6">
                  <c:v>0.019290345359367</c:v>
                </c:pt>
                <c:pt idx="7">
                  <c:v>0.019290345359367</c:v>
                </c:pt>
                <c:pt idx="8">
                  <c:v>0.019290345359367</c:v>
                </c:pt>
                <c:pt idx="9">
                  <c:v>0.019290345359367</c:v>
                </c:pt>
                <c:pt idx="10">
                  <c:v>0.019290345359367</c:v>
                </c:pt>
                <c:pt idx="11">
                  <c:v>0.019290345359367</c:v>
                </c:pt>
                <c:pt idx="12">
                  <c:v>0.019290345359367</c:v>
                </c:pt>
                <c:pt idx="13">
                  <c:v>0.019290345359367</c:v>
                </c:pt>
                <c:pt idx="14">
                  <c:v>0.019290345359367</c:v>
                </c:pt>
                <c:pt idx="15">
                  <c:v>0.019290345359367</c:v>
                </c:pt>
                <c:pt idx="16">
                  <c:v>0.019290345359367</c:v>
                </c:pt>
                <c:pt idx="17">
                  <c:v>0.019290345359367</c:v>
                </c:pt>
                <c:pt idx="18">
                  <c:v>0.019290345359367</c:v>
                </c:pt>
                <c:pt idx="19">
                  <c:v>0.019290345359367</c:v>
                </c:pt>
                <c:pt idx="20">
                  <c:v>0.019290345359367</c:v>
                </c:pt>
                <c:pt idx="21">
                  <c:v>0.019290345359367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96416079"/>
        <c:axId val="1596416559"/>
      </c:lineChart>
      <c:catAx>
        <c:axId val="159641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6416559"/>
        <c:crosses val="autoZero"/>
        <c:auto val="1"/>
        <c:lblAlgn val="ctr"/>
        <c:lblOffset val="100"/>
        <c:noMultiLvlLbl val="0"/>
      </c:catAx>
      <c:valAx>
        <c:axId val="1596416559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64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9d2194-896f-4a35-8979-90daaff584d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Worksheet!$B$993</c:f>
              <c:strCache>
                <c:ptCount val="1"/>
                <c:pt idx="0">
                  <c:v>Adidas DTC sales mix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Worksheet!$C$992:$V$992</c:f>
              <c:strCache>
                <c:ptCount val="20"/>
                <c:pt idx="0">
                  <c:v>2015</c:v>
                </c:pt>
                <c:pt idx="1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2024</c:v>
                </c:pt>
                <c:pt idx="17">
                  <c:v>2025E</c:v>
                </c:pt>
                <c:pt idx="18">
                  <c:v>2026E</c:v>
                </c:pt>
                <c:pt idx="19">
                  <c:v>2027E</c:v>
                </c:pt>
              </c:strCache>
            </c:strRef>
          </c:cat>
          <c:val>
            <c:numRef>
              <c:f>Worksheet!$C$993:$V$993</c:f>
              <c:numCache>
                <c:formatCode>0%</c:formatCode>
                <c:ptCount val="20"/>
                <c:pt idx="0">
                  <c:v>0.249541826780964</c:v>
                </c:pt>
                <c:pt idx="1">
                  <c:v>0.259357179885951</c:v>
                </c:pt>
                <c:pt idx="3">
                  <c:v>0.27618060137619</c:v>
                </c:pt>
                <c:pt idx="5">
                  <c:v>0.296052931781885</c:v>
                </c:pt>
                <c:pt idx="8">
                  <c:v>0.33052747345713</c:v>
                </c:pt>
                <c:pt idx="9">
                  <c:v>0.409746018947793</c:v>
                </c:pt>
                <c:pt idx="11">
                  <c:v>0.390599838294124</c:v>
                </c:pt>
                <c:pt idx="13">
                  <c:v>0.392608058282618</c:v>
                </c:pt>
                <c:pt idx="16">
                  <c:v>0.420108327691266</c:v>
                </c:pt>
                <c:pt idx="17">
                  <c:v>0.412017540051231</c:v>
                </c:pt>
                <c:pt idx="18">
                  <c:v>0.400266011043489</c:v>
                </c:pt>
                <c:pt idx="19">
                  <c:v>0.39097208005738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51088256"/>
        <c:axId val="1351090176"/>
      </c:lineChart>
      <c:catAx>
        <c:axId val="13510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1090176"/>
        <c:crosses val="autoZero"/>
        <c:auto val="1"/>
        <c:lblAlgn val="ctr"/>
        <c:lblOffset val="100"/>
        <c:noMultiLvlLbl val="0"/>
      </c:catAx>
      <c:valAx>
        <c:axId val="1351090176"/>
        <c:scaling>
          <c:orientation val="minMax"/>
          <c:min val="0.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108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659378-a9b9-4bf0-81a3-b5358ed4ac5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Worksheet!$B$1041</c:f>
              <c:strCache>
                <c:ptCount val="1"/>
                <c:pt idx="0">
                  <c:v>cFX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Worksheet!$C$1040:$U$1040</c:f>
              <c:strCache>
                <c:ptCount val="1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2025E</c:v>
                </c:pt>
                <c:pt idx="16">
                  <c:v>2026E</c:v>
                </c:pt>
                <c:pt idx="17">
                  <c:v>2027E</c:v>
                </c:pt>
                <c:pt idx="18">
                  <c:v>2027E</c:v>
                </c:pt>
              </c:strCache>
            </c:strRef>
          </c:cat>
          <c:val>
            <c:numRef>
              <c:f>Worksheet!$C$1041:$U$1041</c:f>
              <c:numCache>
                <c:formatCode>0.0%</c:formatCode>
                <c:ptCount val="19"/>
                <c:pt idx="0">
                  <c:v>0.0863378678244091</c:v>
                </c:pt>
                <c:pt idx="1">
                  <c:v>0.128348926931913</c:v>
                </c:pt>
                <c:pt idx="2">
                  <c:v>0.0638574087974779</c:v>
                </c:pt>
                <c:pt idx="3">
                  <c:v>0.0294132248570953</c:v>
                </c:pt>
                <c:pt idx="4">
                  <c:v>0.0681704329461457</c:v>
                </c:pt>
                <c:pt idx="5">
                  <c:v>0.0963410858047203</c:v>
                </c:pt>
                <c:pt idx="6">
                  <c:v>0.1815992905705</c:v>
                </c:pt>
                <c:pt idx="7">
                  <c:v>0.159997786824436</c:v>
                </c:pt>
                <c:pt idx="8">
                  <c:v>0.0842075596191913</c:v>
                </c:pt>
                <c:pt idx="9">
                  <c:v>0.0605195710700433</c:v>
                </c:pt>
                <c:pt idx="10">
                  <c:v>-0.134484943113378</c:v>
                </c:pt>
                <c:pt idx="11">
                  <c:v>0.16</c:v>
                </c:pt>
                <c:pt idx="12">
                  <c:v>0.0104352453612131</c:v>
                </c:pt>
                <c:pt idx="13">
                  <c:v>-0.044</c:v>
                </c:pt>
                <c:pt idx="14">
                  <c:v>0.13754569060045</c:v>
                </c:pt>
                <c:pt idx="15">
                  <c:v>0.128168148743108</c:v>
                </c:pt>
                <c:pt idx="16">
                  <c:v>0.128168148743108</c:v>
                </c:pt>
                <c:pt idx="17">
                  <c:v>0.105392366289146</c:v>
                </c:pt>
                <c:pt idx="18">
                  <c:v>0.067494679244341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Worksheet!$B$1042</c:f>
              <c:strCache>
                <c:ptCount val="1"/>
                <c:pt idx="0">
                  <c:v>Avg 2010-19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Worksheet!$C$1040:$U$1040</c:f>
              <c:strCache>
                <c:ptCount val="1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2025E</c:v>
                </c:pt>
                <c:pt idx="16">
                  <c:v>2026E</c:v>
                </c:pt>
                <c:pt idx="17">
                  <c:v>2027E</c:v>
                </c:pt>
                <c:pt idx="18">
                  <c:v>2027E</c:v>
                </c:pt>
              </c:strCache>
            </c:strRef>
          </c:cat>
          <c:val>
            <c:numRef>
              <c:f>Worksheet!$C$1042:$U$1042</c:f>
              <c:numCache>
                <c:formatCode>0.0%</c:formatCode>
                <c:ptCount val="19"/>
                <c:pt idx="0">
                  <c:v>0.0958793155245932</c:v>
                </c:pt>
                <c:pt idx="1">
                  <c:v>0.0958793155245932</c:v>
                </c:pt>
                <c:pt idx="2">
                  <c:v>0.0958793155245932</c:v>
                </c:pt>
                <c:pt idx="3">
                  <c:v>0.0958793155245932</c:v>
                </c:pt>
                <c:pt idx="4">
                  <c:v>0.0958793155245932</c:v>
                </c:pt>
                <c:pt idx="5">
                  <c:v>0.0958793155245932</c:v>
                </c:pt>
                <c:pt idx="6">
                  <c:v>0.0958793155245932</c:v>
                </c:pt>
                <c:pt idx="7">
                  <c:v>0.0958793155245932</c:v>
                </c:pt>
                <c:pt idx="8">
                  <c:v>0.0958793155245932</c:v>
                </c:pt>
                <c:pt idx="9">
                  <c:v>0.0958793155245932</c:v>
                </c:pt>
                <c:pt idx="10">
                  <c:v>0.0958793155245932</c:v>
                </c:pt>
                <c:pt idx="11">
                  <c:v>0.0958793155245932</c:v>
                </c:pt>
                <c:pt idx="12">
                  <c:v>0.0958793155245932</c:v>
                </c:pt>
                <c:pt idx="13">
                  <c:v>0.0958793155245932</c:v>
                </c:pt>
                <c:pt idx="14">
                  <c:v>0.0958793155245932</c:v>
                </c:pt>
                <c:pt idx="15">
                  <c:v>0.0958793155245932</c:v>
                </c:pt>
                <c:pt idx="16">
                  <c:v>0.0958793155245932</c:v>
                </c:pt>
                <c:pt idx="17">
                  <c:v>0.0958793155245932</c:v>
                </c:pt>
                <c:pt idx="18">
                  <c:v>0.0958793155245932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78970192"/>
        <c:axId val="1478970672"/>
      </c:lineChart>
      <c:catAx>
        <c:axId val="14789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8970672"/>
        <c:crosses val="autoZero"/>
        <c:auto val="1"/>
        <c:lblAlgn val="ctr"/>
        <c:lblOffset val="100"/>
        <c:noMultiLvlLbl val="0"/>
      </c:catAx>
      <c:valAx>
        <c:axId val="147897067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89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eefdaa-7d36-4750-aa04-3331126e40f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&amp; Cash Flow'!$A$180</c:f>
              <c:strCache>
                <c:ptCount val="1"/>
                <c:pt idx="0">
                  <c:v>Net Debt(cash)/ EBITDA</c:v>
                </c:pt>
              </c:strCache>
            </c:strRef>
          </c:tx>
          <c:invertIfNegative val="0"/>
          <c:dLbls>
            <c:delete val="1"/>
          </c:dLbls>
          <c:cat>
            <c:numRef>
              <c:f>'Balance Sheet &amp; Cash Flow'!$M$157:$AB$157</c:f>
              <c:numCache>
                <c:ptCount val="0"/>
              </c:numCache>
            </c:numRef>
          </c:cat>
          <c:val>
            <c:numRef>
              <c:f>'Balance Sheet &amp; Cash Flow'!$M$180:$AB$180</c:f>
            </c:numRef>
          </c:val>
        </c:ser>
        <c:ser>
          <c:idx val="1"/>
          <c:order val="1"/>
          <c:tx>
            <c:strRef>
              <c:f>'Balance Sheet &amp; Cash Flow'!$A$182</c:f>
              <c:strCache>
                <c:ptCount val="1"/>
                <c:pt idx="0">
                  <c:v>Net Debt (cash)/ EBITDA (lease adj.)</c:v>
                </c:pt>
              </c:strCache>
            </c:strRef>
          </c:tx>
          <c:invertIfNegative val="0"/>
          <c:dLbls>
            <c:delete val="1"/>
          </c:dLbls>
          <c:cat>
            <c:numRef>
              <c:f>'Balance Sheet &amp; Cash Flow'!$M$157:$AB$157</c:f>
              <c:numCache>
                <c:ptCount val="0"/>
              </c:numCache>
            </c:numRef>
          </c:cat>
          <c:val>
            <c:numRef>
              <c:f>'Balance Sheet &amp; Cash Flow'!$M$182:$AB$182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497920"/>
        <c:axId val="960507904"/>
      </c:barChart>
      <c:lineChart>
        <c:grouping val="standard"/>
        <c:varyColors val="0"/>
        <c:ser>
          <c:idx val="3"/>
          <c:order val="2"/>
          <c:tx>
            <c:strRef>
              <c:f>'Balance Sheet &amp; Cash Flow'!$A$184</c:f>
              <c:strCache>
                <c:ptCount val="1"/>
                <c:pt idx="0">
                  <c:v>Historical lease adj. Net Debt(cash)/ EBITDA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'Balance Sheet &amp; Cash Flow'!$M$157:$AB$157</c:f>
              <c:numCache>
                <c:ptCount val="0"/>
              </c:numCache>
            </c:numRef>
          </c:cat>
          <c:val>
            <c:numRef>
              <c:f>'Balance Sheet &amp; Cash Flow'!$M$184:$AB$184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0497920"/>
        <c:axId val="960507904"/>
      </c:lineChart>
      <c:catAx>
        <c:axId val="96049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507904"/>
        <c:crosses val="autoZero"/>
        <c:auto val="1"/>
        <c:lblAlgn val="ctr"/>
        <c:lblOffset val="100"/>
        <c:noMultiLvlLbl val="0"/>
      </c:catAx>
      <c:valAx>
        <c:axId val="960507904"/>
        <c:scaling>
          <c:orientation val="minMax"/>
        </c:scaling>
        <c:delete val="0"/>
        <c:axPos val="l"/>
        <c:numFmt formatCode="0.00&quot;x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49792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695bd3-4ac3-4489-9d80-3ba98353d81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&amp; Cash Flow'!$A$111</c:f>
              <c:strCache>
                <c:ptCount val="1"/>
                <c:pt idx="0">
                  <c:v>Capital Expenditures</c:v>
                </c:pt>
              </c:strCache>
            </c:strRef>
          </c:tx>
          <c:invertIfNegative val="0"/>
          <c:dLbls>
            <c:delete val="1"/>
          </c:dLbls>
          <c:cat>
            <c:numRef>
              <c:f>'Balance Sheet &amp; Cash Flow'!$M$157:$AB$157</c:f>
              <c:numCache>
                <c:ptCount val="0"/>
              </c:numCache>
            </c:numRef>
          </c:cat>
          <c:val>
            <c:numRef>
              <c:f>'Balance Sheet &amp; Cash Flow'!$M$111:$AB$111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534400"/>
        <c:axId val="960535936"/>
      </c:barChart>
      <c:lineChart>
        <c:grouping val="standard"/>
        <c:varyColors val="0"/>
        <c:ser>
          <c:idx val="2"/>
          <c:order val="1"/>
          <c:tx>
            <c:strRef>
              <c:f>'Balance Sheet &amp; Cash Flow'!$A$113</c:f>
              <c:strCache>
                <c:ptCount val="1"/>
                <c:pt idx="0">
                  <c:v>% of 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'Balance Sheet &amp; Cash Flow'!$M$157:$AB$157</c:f>
              <c:numCache>
                <c:ptCount val="0"/>
              </c:numCache>
            </c:numRef>
          </c:cat>
          <c:val>
            <c:numRef>
              <c:f>'Balance Sheet &amp; Cash Flow'!$M$113:$AB$113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0543360"/>
        <c:axId val="960541824"/>
      </c:lineChart>
      <c:catAx>
        <c:axId val="960534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535936"/>
        <c:crosses val="autoZero"/>
        <c:auto val="1"/>
        <c:lblAlgn val="ctr"/>
        <c:lblOffset val="100"/>
        <c:noMultiLvlLbl val="0"/>
      </c:catAx>
      <c:valAx>
        <c:axId val="960535936"/>
        <c:scaling>
          <c:orientation val="minMax"/>
        </c:scaling>
        <c:delete val="0"/>
        <c:axPos val="l"/>
        <c:numFmt formatCode="#,##0.0_);\(#,##0.0\);\-__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534400"/>
        <c:crosses val="autoZero"/>
        <c:crossBetween val="between"/>
      </c:valAx>
      <c:catAx>
        <c:axId val="96054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541824"/>
        <c:crosses val="autoZero"/>
        <c:auto val="1"/>
        <c:lblAlgn val="ctr"/>
        <c:lblOffset val="100"/>
        <c:noMultiLvlLbl val="0"/>
      </c:catAx>
      <c:valAx>
        <c:axId val="960541824"/>
        <c:scaling>
          <c:orientation val="minMax"/>
          <c:max val="-0.0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54336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8bad35-bead-4dd7-900c-1692baa0aae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'Balance Sheet &amp; Cash Flow'!$AM$106</c:f>
              <c:strCache>
                <c:ptCount val="1"/>
                <c:pt idx="0">
                  <c:v>Net cash (debt) post buyback - RHS</c:v>
                </c:pt>
              </c:strCache>
            </c:strRef>
          </c:tx>
          <c:invertIfNegative val="0"/>
          <c:dLbls>
            <c:delete val="1"/>
          </c:dLbls>
          <c:cat>
            <c:numRef>
              <c:f>'Balance Sheet &amp; Cash Flow'!$AN$103:$AY$103</c:f>
              <c:numCache>
                <c:ptCount val="0"/>
              </c:numCache>
            </c:numRef>
          </c:cat>
          <c:val>
            <c:numRef>
              <c:f>'Balance Sheet &amp; Cash Flow'!$AN$106:$AY$106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857216"/>
        <c:axId val="960855424"/>
      </c:barChart>
      <c:lineChart>
        <c:grouping val="standard"/>
        <c:varyColors val="0"/>
        <c:ser>
          <c:idx val="0"/>
          <c:order val="0"/>
          <c:tx>
            <c:strRef>
              <c:f>'Balance Sheet &amp; Cash Flow'!$AM$104</c:f>
              <c:strCache>
                <c:ptCount val="1"/>
                <c:pt idx="0">
                  <c:v>FCF/sales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'Balance Sheet &amp; Cash Flow'!$AN$103:$AY$103</c:f>
              <c:strCach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2017E</c:v>
                </c:pt>
                <c:pt idx="6">
                  <c:v>2018E</c:v>
                </c:pt>
                <c:pt idx="7">
                  <c:v>2019E</c:v>
                </c:pt>
                <c:pt idx="8">
                  <c:v>2020E</c:v>
                </c:pt>
                <c:pt idx="9">
                  <c:v>2021E</c:v>
                </c:pt>
                <c:pt idx="10">
                  <c:v>2022E</c:v>
                </c:pt>
                <c:pt idx="11">
                  <c:v>2023E</c:v>
                </c:pt>
              </c:strCache>
            </c:strRef>
          </c:cat>
          <c:val>
            <c:numRef>
              <c:f>'Balance Sheet &amp; Cash Flow'!$AN$104:$AY$104</c:f>
              <c:numCache>
                <c:formatCode>0.0%</c:formatCode>
                <c:ptCount val="12"/>
                <c:pt idx="0">
                  <c:v>0.0349391923671303</c:v>
                </c:pt>
                <c:pt idx="1">
                  <c:v>0.0125307990144315</c:v>
                </c:pt>
                <c:pt idx="2">
                  <c:v>0.00694922251272877</c:v>
                </c:pt>
                <c:pt idx="3">
                  <c:v>0.0249482707655927</c:v>
                </c:pt>
                <c:pt idx="4">
                  <c:v>0.00896837739761534</c:v>
                </c:pt>
                <c:pt idx="5">
                  <c:v>0.0491092468658686</c:v>
                </c:pt>
                <c:pt idx="6">
                  <c:v>0.0946840063883185</c:v>
                </c:pt>
                <c:pt idx="7">
                  <c:v>0.0939469565585212</c:v>
                </c:pt>
                <c:pt idx="8">
                  <c:v>0.0563394476919976</c:v>
                </c:pt>
                <c:pt idx="9">
                  <c:v>0.132900065931996</c:v>
                </c:pt>
                <c:pt idx="10">
                  <c:v>-0.023899426946826</c:v>
                </c:pt>
                <c:pt idx="11">
                  <c:v>0.109633426830449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60852352"/>
        <c:axId val="960853888"/>
      </c:lineChart>
      <c:catAx>
        <c:axId val="96085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853888"/>
        <c:crosses val="autoZero"/>
        <c:auto val="1"/>
        <c:lblAlgn val="ctr"/>
        <c:lblOffset val="100"/>
        <c:noMultiLvlLbl val="0"/>
      </c:catAx>
      <c:valAx>
        <c:axId val="96085388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852352"/>
        <c:crosses val="autoZero"/>
        <c:crossBetween val="between"/>
      </c:valAx>
      <c:catAx>
        <c:axId val="960857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855424"/>
        <c:crosses val="autoZero"/>
        <c:auto val="1"/>
        <c:lblAlgn val="ctr"/>
        <c:lblOffset val="100"/>
        <c:noMultiLvlLbl val="0"/>
      </c:catAx>
      <c:valAx>
        <c:axId val="960855424"/>
        <c:scaling>
          <c:orientation val="minMax"/>
        </c:scaling>
        <c:delete val="0"/>
        <c:axPos val="r"/>
        <c:numFmt formatCode="#,##0.0_);\(#,##0.0\);\-__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0857216"/>
        <c:crosses val="max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3e8b90-3c00-4e92-9b85-06a4cde997a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DCF!$A$77:$C$77</c:f>
              <c:strCache>
                <c:ptCount val="1"/>
                <c:pt idx="0">
                  <c:v>- 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DCF!$D$75:$O$75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DCF!$D$77:$O$77</c:f>
              <c:numCache>
                <c:formatCode>#,##0;[Red]\-#,##0</c:formatCode>
                <c:ptCount val="4"/>
                <c:pt idx="0">
                  <c:v>13644.6869323009</c:v>
                </c:pt>
                <c:pt idx="1">
                  <c:v>15155.8768268789</c:v>
                </c:pt>
                <c:pt idx="2">
                  <c:v>16571.3244254377</c:v>
                </c:pt>
                <c:pt idx="3">
                  <c:v>17844.3359142121</c:v>
                </c:pt>
              </c:numCache>
            </c:numRef>
          </c:val>
        </c:ser>
        <c:ser>
          <c:idx val="1"/>
          <c:order val="1"/>
          <c:tx>
            <c:strRef>
              <c:f>DCF!$A$78:$C$78</c:f>
              <c:strCache>
                <c:ptCount val="1"/>
                <c:pt idx="0">
                  <c:v>- 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DCF!$D$75:$O$75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DCF!$D$78:$O$78</c:f>
              <c:numCache>
                <c:formatCode>#,##0;[Red]\-#,##0</c:formatCode>
                <c:ptCount val="4"/>
                <c:pt idx="0">
                  <c:v>13488.244224</c:v>
                </c:pt>
                <c:pt idx="1">
                  <c:v>14027.77399296</c:v>
                </c:pt>
                <c:pt idx="2">
                  <c:v>14588.8849526784</c:v>
                </c:pt>
                <c:pt idx="3">
                  <c:v>15172.4403507855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793536"/>
        <c:axId val="885795072"/>
      </c:barChart>
      <c:catAx>
        <c:axId val="885793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795072"/>
        <c:crosses val="autoZero"/>
        <c:auto val="1"/>
        <c:lblAlgn val="ctr"/>
        <c:lblOffset val="100"/>
        <c:noMultiLvlLbl val="0"/>
      </c:catAx>
      <c:valAx>
        <c:axId val="8857950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793536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db50e0-3bd7-42a9-bb26-20d95c637d3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GB"/>
              <a:t>2018</a:t>
            </a:r>
            <a:endParaRPr lang="en-GB"/>
          </a:p>
        </c:rich>
      </c:tx>
      <c:layout>
        <c:manualLayout>
          <c:xMode val="edge"/>
          <c:yMode val="edge"/>
          <c:x val="0.444891502260892"/>
          <c:y val="0.050526315789473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numRef>
              <c:f>DCF!$A$200:$A$207</c:f>
              <c:numCache>
                <c:ptCount val="0"/>
              </c:numCache>
            </c:numRef>
          </c:cat>
          <c:val>
            <c:numRef>
              <c:f>DCF!$B$200:$B$207</c:f>
            </c:numRef>
          </c:val>
        </c:ser>
        <c:ser>
          <c:idx val="1"/>
          <c:order val="1"/>
          <c:invertIfNegative val="0"/>
          <c:dLbls>
            <c:delete val="1"/>
          </c:dLbls>
          <c:cat>
            <c:numRef>
              <c:f>DCF!$A$200:$A$207</c:f>
              <c:numCache>
                <c:ptCount val="0"/>
              </c:numCache>
            </c:numRef>
          </c:cat>
          <c:val>
            <c:numRef>
              <c:f>DCF!$C$200:$C$207</c:f>
            </c:numRef>
          </c:val>
        </c:ser>
        <c:ser>
          <c:idx val="2"/>
          <c:order val="2"/>
          <c:spPr>
            <a:solidFill>
              <a:schemeClr val="accent1"/>
            </a:solidFill>
          </c:spPr>
          <c:invertIfNegative val="0"/>
          <c:dLbls>
            <c:delete val="1"/>
          </c:dLbls>
          <c:cat>
            <c:numRef>
              <c:f>DCF!$A$200:$A$207</c:f>
              <c:numCache>
                <c:ptCount val="0"/>
              </c:numCache>
            </c:numRef>
          </c:cat>
          <c:val>
            <c:numRef>
              <c:f>DCF!$F$200:$F$207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829632"/>
        <c:axId val="885831168"/>
      </c:barChart>
      <c:catAx>
        <c:axId val="885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831168"/>
        <c:crosses val="autoZero"/>
        <c:auto val="1"/>
        <c:lblAlgn val="ctr"/>
        <c:lblOffset val="100"/>
        <c:noMultiLvlLbl val="0"/>
      </c:catAx>
      <c:valAx>
        <c:axId val="885831168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82963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074d59f-2d74-4bd3-86db-354a86ecfe3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DCF!$D$318</c:f>
              <c:strCache>
                <c:ptCount val="1"/>
                <c:pt idx="0">
                  <c:v>2029E</c:v>
                </c:pt>
              </c:strCache>
            </c:strRef>
          </c:tx>
          <c:invertIfNegative val="0"/>
          <c:dLbls>
            <c:delete val="1"/>
          </c:dLbls>
          <c:cat>
            <c:numRef>
              <c:f>DCF!$A$319:$C$326</c:f>
              <c:numCache>
                <c:ptCount val="0"/>
              </c:numCache>
            </c:numRef>
          </c:cat>
          <c:val>
            <c:numRef>
              <c:f>DCF!$D$319:$D$326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851648"/>
        <c:axId val="885853184"/>
      </c:barChart>
      <c:catAx>
        <c:axId val="8858516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853184"/>
        <c:crosses val="autoZero"/>
        <c:auto val="1"/>
        <c:lblAlgn val="ctr"/>
        <c:lblOffset val="100"/>
        <c:noMultiLvlLbl val="0"/>
      </c:catAx>
      <c:valAx>
        <c:axId val="885853184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58516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4ea964-930b-46f0-8389-059de97012b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DCF!$A$290:$C$290</c:f>
              <c:strCache>
                <c:ptCount val="1"/>
                <c:pt idx="0">
                  <c:v>APAC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DCF!$D$290:$O$290</c:f>
              <c:numCache>
                <c:formatCode>#,##0;[Red]\-#,##0</c:formatCode>
                <c:ptCount val="4"/>
                <c:pt idx="0">
                  <c:v>3940.62636</c:v>
                </c:pt>
                <c:pt idx="1">
                  <c:v>4334.688996</c:v>
                </c:pt>
                <c:pt idx="2">
                  <c:v>4768.1578956</c:v>
                </c:pt>
                <c:pt idx="3">
                  <c:v>5244.97368516</c:v>
                </c:pt>
              </c:numCache>
            </c:numRef>
          </c:val>
        </c:ser>
        <c:ser>
          <c:idx val="1"/>
          <c:order val="1"/>
          <c:tx>
            <c:strRef>
              <c:f>DCF!$A$291:$C$291</c:f>
              <c:strCache>
                <c:ptCount val="1"/>
                <c:pt idx="0">
                  <c:v>Europe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DCF!$D$291:$O$291</c:f>
              <c:numCache>
                <c:formatCode>#,##0;[Red]\-#,##0</c:formatCode>
                <c:ptCount val="4"/>
                <c:pt idx="0">
                  <c:v>7991.9467264</c:v>
                </c:pt>
                <c:pt idx="1">
                  <c:v>8311.624595456</c:v>
                </c:pt>
                <c:pt idx="2">
                  <c:v>8644.08957927424</c:v>
                </c:pt>
                <c:pt idx="3">
                  <c:v>8989.85316244521</c:v>
                </c:pt>
              </c:numCache>
            </c:numRef>
          </c:val>
        </c:ser>
        <c:ser>
          <c:idx val="2"/>
          <c:order val="2"/>
          <c:tx>
            <c:strRef>
              <c:f>DCF!$A$292:$C$292</c:f>
              <c:strCache>
                <c:ptCount val="1"/>
                <c:pt idx="0">
                  <c:v>North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DCF!$D$292:$O$292</c:f>
              <c:numCache>
                <c:formatCode>#,##0;[Red]\-#,##0</c:formatCode>
                <c:ptCount val="4"/>
                <c:pt idx="0">
                  <c:v>5961.69057</c:v>
                </c:pt>
                <c:pt idx="1">
                  <c:v>6557.859627</c:v>
                </c:pt>
                <c:pt idx="2">
                  <c:v>7213.6455897</c:v>
                </c:pt>
                <c:pt idx="3">
                  <c:v>7935.01014867001</c:v>
                </c:pt>
              </c:numCache>
            </c:numRef>
          </c:val>
        </c:ser>
        <c:ser>
          <c:idx val="3"/>
          <c:order val="3"/>
          <c:tx>
            <c:strRef>
              <c:f>DCF!$A$293:$C$293</c:f>
              <c:strCache>
                <c:ptCount val="1"/>
                <c:pt idx="0">
                  <c:v>LatAm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DCF!$D$293:$O$293</c:f>
              <c:numCache>
                <c:formatCode>#,##0;[Red]\-#,##0</c:formatCode>
                <c:ptCount val="4"/>
                <c:pt idx="0">
                  <c:v>3004.0569312</c:v>
                </c:pt>
                <c:pt idx="1">
                  <c:v>3124.219208448</c:v>
                </c:pt>
                <c:pt idx="2">
                  <c:v>3249.18797678592</c:v>
                </c:pt>
                <c:pt idx="3">
                  <c:v>3379.15549585736</c:v>
                </c:pt>
              </c:numCache>
            </c:numRef>
          </c:val>
        </c:ser>
        <c:ser>
          <c:idx val="4"/>
          <c:order val="4"/>
          <c:tx>
            <c:strRef>
              <c:f>DCF!$A$294:$C$294</c:f>
              <c:strCache>
                <c:ptCount val="1"/>
                <c:pt idx="0">
                  <c:v>EM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DCF!$D$294:$O$294</c:f>
              <c:numCache>
                <c:formatCode>#,##0;[Red]\-#,##0</c:formatCode>
                <c:ptCount val="4"/>
                <c:pt idx="0">
                  <c:v>1512.23715785</c:v>
                </c:pt>
                <c:pt idx="1">
                  <c:v>1618.0937588995</c:v>
                </c:pt>
                <c:pt idx="2">
                  <c:v>1731.36032202247</c:v>
                </c:pt>
                <c:pt idx="3">
                  <c:v>1852.55554456404</c:v>
                </c:pt>
              </c:numCache>
            </c:numRef>
          </c:val>
        </c:ser>
        <c:ser>
          <c:idx val="5"/>
          <c:order val="5"/>
          <c:tx>
            <c:strRef>
              <c:f>DCF!$A$295:$C$295</c:f>
              <c:strCache>
                <c:ptCount val="1"/>
                <c:pt idx="0">
                  <c:v>Russia/CIS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DCF!$D$295:$O$295</c:f>
              <c:numCache>
                <c:formatCode>#,##0;[Red]\-#,##0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6"/>
          <c:order val="6"/>
          <c:tx>
            <c:strRef>
              <c:f>DCF!$A$296:$C$296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DCF!$D$289:$O$289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DCF!$D$296:$O$296</c:f>
              <c:numCache>
                <c:formatCode>#,##0;[Red]\-#,##0</c:formatCode>
                <c:ptCount val="4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947264"/>
        <c:axId val="957953152"/>
      </c:barChart>
      <c:catAx>
        <c:axId val="957947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953152"/>
        <c:crosses val="autoZero"/>
        <c:auto val="1"/>
        <c:lblAlgn val="ctr"/>
        <c:lblOffset val="100"/>
        <c:noMultiLvlLbl val="0"/>
      </c:catAx>
      <c:valAx>
        <c:axId val="95795315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947264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9664a-6c6a-4e87-b905-3beb9da4c06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DCF!$A$374:$C$374</c:f>
              <c:strCache>
                <c:ptCount val="1"/>
                <c:pt idx="0">
                  <c:v>Cumulative GM% impact (bp)</c:v>
                </c:pt>
              </c:strCache>
            </c:strRef>
          </c:tx>
          <c:invertIfNegative val="0"/>
          <c:dLbls>
            <c:delete val="1"/>
          </c:dLbls>
          <c:cat>
            <c:strRef>
              <c:f>DCF!$E$373:$O$373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DCF!$E$374:$O$374</c:f>
              <c:numCache>
                <c:formatCode>_(* #,##0_);_(* \(#,##0\);_(* "-"??_);_(@_)</c:formatCode>
                <c:ptCount val="4"/>
                <c:pt idx="0">
                  <c:v>468.624647510021</c:v>
                </c:pt>
                <c:pt idx="1">
                  <c:v>505.884329548568</c:v>
                </c:pt>
                <c:pt idx="2">
                  <c:v>534.167171325162</c:v>
                </c:pt>
                <c:pt idx="3">
                  <c:v>553.771023296849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973248"/>
        <c:axId val="957974784"/>
      </c:barChart>
      <c:catAx>
        <c:axId val="957973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974784"/>
        <c:crosses val="autoZero"/>
        <c:auto val="1"/>
        <c:lblAlgn val="ctr"/>
        <c:lblOffset val="100"/>
        <c:noMultiLvlLbl val="0"/>
      </c:catAx>
      <c:valAx>
        <c:axId val="95797478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7973248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cf5e99-d0d7-4450-8cc2-e6b046d70377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1069553806"/>
          <c:y val="0.141756485702445"/>
          <c:w val="0.871785597112861"/>
          <c:h val="0.8119277248238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Worksheet!$B$236</c:f>
              <c:strCache>
                <c:ptCount val="1"/>
                <c:pt idx="0">
                  <c:v>EBIT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Worksheet!$C$235:$M$235</c:f>
              <c:strCache>
                <c:ptCount val="11"/>
                <c:pt idx="0">
                  <c:v>FY13</c:v>
                </c:pt>
                <c:pt idx="1">
                  <c:v>FY14</c:v>
                </c:pt>
                <c:pt idx="3">
                  <c:v>FY15</c:v>
                </c:pt>
                <c:pt idx="5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Worksheet!$C$236:$M$236</c:f>
              <c:numCache>
                <c:formatCode>_(* #,##0_);_(* \(#,##0\);_(* "-"??_);_(@_)</c:formatCode>
                <c:ptCount val="11"/>
                <c:pt idx="0">
                  <c:v>71.7937824215791</c:v>
                </c:pt>
                <c:pt idx="1">
                  <c:v>-206.796022406188</c:v>
                </c:pt>
                <c:pt idx="3">
                  <c:v>-15.0361648047911</c:v>
                </c:pt>
                <c:pt idx="5">
                  <c:v>126.767310157962</c:v>
                </c:pt>
                <c:pt idx="8">
                  <c:v>202.647419141616</c:v>
                </c:pt>
                <c:pt idx="9">
                  <c:v>104.9516780347</c:v>
                </c:pt>
              </c:numCache>
            </c:numRef>
          </c:val>
        </c:ser>
        <c:ser>
          <c:idx val="1"/>
          <c:order val="1"/>
          <c:tx>
            <c:strRef>
              <c:f>Worksheet!$B$237</c:f>
              <c:strCache>
                <c:ptCount val="1"/>
                <c:pt idx="0">
                  <c:v>GM%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Worksheet!$C$235:$M$235</c:f>
              <c:strCache>
                <c:ptCount val="11"/>
                <c:pt idx="0">
                  <c:v>FY13</c:v>
                </c:pt>
                <c:pt idx="1">
                  <c:v>FY14</c:v>
                </c:pt>
                <c:pt idx="3">
                  <c:v>FY15</c:v>
                </c:pt>
                <c:pt idx="5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Worksheet!$C$237:$M$237</c:f>
              <c:numCache>
                <c:formatCode>_(* #,##0_);_(* \(#,##0\);_(* "-"??_);_(@_)</c:formatCode>
                <c:ptCount val="11"/>
                <c:pt idx="0">
                  <c:v>155.986990677939</c:v>
                </c:pt>
                <c:pt idx="1">
                  <c:v>-164.544635218432</c:v>
                </c:pt>
                <c:pt idx="3">
                  <c:v>64.848481717632</c:v>
                </c:pt>
                <c:pt idx="5">
                  <c:v>33.2545844521609</c:v>
                </c:pt>
                <c:pt idx="8">
                  <c:v>182.197290259096</c:v>
                </c:pt>
                <c:pt idx="9">
                  <c:v>140.731074634389</c:v>
                </c:pt>
              </c:numCache>
            </c:numRef>
          </c:val>
        </c:ser>
        <c:ser>
          <c:idx val="2"/>
          <c:order val="2"/>
          <c:tx>
            <c:strRef>
              <c:f>Worksheet!$B$238</c:f>
              <c:strCache>
                <c:ptCount val="1"/>
                <c:pt idx="0">
                  <c:v>Opex/sales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Worksheet!$C$235:$M$235</c:f>
              <c:strCache>
                <c:ptCount val="11"/>
                <c:pt idx="0">
                  <c:v>FY13</c:v>
                </c:pt>
                <c:pt idx="1">
                  <c:v>FY14</c:v>
                </c:pt>
                <c:pt idx="3">
                  <c:v>FY15</c:v>
                </c:pt>
                <c:pt idx="5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Worksheet!$C$238:$M$238</c:f>
              <c:numCache>
                <c:formatCode>_(* #,##0_);_(* \(#,##0\);_(* "-"??_);_(@_)</c:formatCode>
                <c:ptCount val="11"/>
                <c:pt idx="0">
                  <c:v>-84.1932082563597</c:v>
                </c:pt>
                <c:pt idx="1">
                  <c:v>-42.2513871877556</c:v>
                </c:pt>
                <c:pt idx="2">
                  <c:v>0</c:v>
                </c:pt>
                <c:pt idx="3">
                  <c:v>-79.8846465224232</c:v>
                </c:pt>
                <c:pt idx="4">
                  <c:v>0</c:v>
                </c:pt>
                <c:pt idx="5">
                  <c:v>93.512725705801</c:v>
                </c:pt>
                <c:pt idx="6">
                  <c:v>0</c:v>
                </c:pt>
                <c:pt idx="7">
                  <c:v>0</c:v>
                </c:pt>
                <c:pt idx="8">
                  <c:v>20.4501288825205</c:v>
                </c:pt>
                <c:pt idx="9">
                  <c:v>-35.7793965996893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080512"/>
        <c:axId val="958082048"/>
      </c:barChart>
      <c:lineChart>
        <c:grouping val="standard"/>
        <c:varyColors val="0"/>
        <c:ser>
          <c:idx val="3"/>
          <c:order val="3"/>
          <c:tx>
            <c:strRef>
              <c:f>Worksheet!$B$239</c:f>
              <c:strCache>
                <c:ptCount val="1"/>
                <c:pt idx="0">
                  <c:v>EBIT margin (RHS)</c:v>
                </c:pt>
              </c:strCache>
            </c:strRef>
          </c:tx>
          <c:spPr>
            <a:ln w="28575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Worksheet!$C$235:$M$235</c:f>
              <c:strCache>
                <c:ptCount val="11"/>
                <c:pt idx="0">
                  <c:v>FY13</c:v>
                </c:pt>
                <c:pt idx="1">
                  <c:v>FY14</c:v>
                </c:pt>
                <c:pt idx="3">
                  <c:v>FY15</c:v>
                </c:pt>
                <c:pt idx="5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Worksheet!$C$239:$M$239</c:f>
              <c:numCache>
                <c:formatCode>0.0%</c:formatCode>
                <c:ptCount val="11"/>
                <c:pt idx="0">
                  <c:v>0.0868004223864836</c:v>
                </c:pt>
                <c:pt idx="1">
                  <c:v>0.0661208201458649</c:v>
                </c:pt>
                <c:pt idx="2">
                  <c:v>0.0646172036653858</c:v>
                </c:pt>
                <c:pt idx="3">
                  <c:v>0.0646172036653858</c:v>
                </c:pt>
                <c:pt idx="4">
                  <c:v>0.0975586765953436</c:v>
                </c:pt>
                <c:pt idx="5">
                  <c:v>0.077293934681182</c:v>
                </c:pt>
                <c:pt idx="6">
                  <c:v>0.112516391015608</c:v>
                </c:pt>
                <c:pt idx="7">
                  <c:v>0.0378451925015118</c:v>
                </c:pt>
                <c:pt idx="8">
                  <c:v>0.0975586765953436</c:v>
                </c:pt>
                <c:pt idx="9">
                  <c:v>0.108053844398814</c:v>
                </c:pt>
                <c:pt idx="10">
                  <c:v>0.0828664705171094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8097664"/>
        <c:axId val="958096128"/>
      </c:lineChart>
      <c:catAx>
        <c:axId val="958080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082048"/>
        <c:crosses val="autoZero"/>
        <c:auto val="1"/>
        <c:lblAlgn val="ctr"/>
        <c:lblOffset val="100"/>
        <c:noMultiLvlLbl val="0"/>
      </c:catAx>
      <c:valAx>
        <c:axId val="95808204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080512"/>
        <c:crosses val="autoZero"/>
        <c:crossBetween val="between"/>
      </c:valAx>
      <c:catAx>
        <c:axId val="958097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096128"/>
        <c:crosses val="autoZero"/>
        <c:auto val="1"/>
        <c:lblAlgn val="ctr"/>
        <c:lblOffset val="100"/>
        <c:noMultiLvlLbl val="0"/>
      </c:catAx>
      <c:valAx>
        <c:axId val="95809612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097664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.0682291666666667"/>
          <c:y val="0.0252631578947368"/>
          <c:w val="0.858333333333333"/>
          <c:h val="0.0710531288852051"/>
        </c:manualLayout>
      </c:layout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fdd22a-e479-48c4-90d4-ddf796a211f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DCF!$A$221:$C$221</c:f>
              <c:strCache>
                <c:ptCount val="1"/>
                <c:pt idx="0">
                  <c:v>Online/Gp 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DCF!$D$221:$O$221</c:f>
              <c:numCache>
                <c:formatCode>0.0%</c:formatCode>
                <c:ptCount val="4"/>
                <c:pt idx="0">
                  <c:v>0.207753585456242</c:v>
                </c:pt>
                <c:pt idx="1">
                  <c:v>0.213934473776827</c:v>
                </c:pt>
                <c:pt idx="2">
                  <c:v>0.220134335185748</c:v>
                </c:pt>
                <c:pt idx="3">
                  <c:v>0.222229020198186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DCF!$A$222:$C$222</c:f>
              <c:strCache>
                <c:ptCount val="1"/>
                <c:pt idx="0">
                  <c:v>Online/Retail 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DCF!$D$222:$O$222</c:f>
              <c:numCache>
                <c:formatCode>0.0%</c:formatCode>
                <c:ptCount val="4"/>
                <c:pt idx="0">
                  <c:v>0.342805966878278</c:v>
                </c:pt>
                <c:pt idx="1">
                  <c:v>0.339487326600048</c:v>
                </c:pt>
                <c:pt idx="2">
                  <c:v>0.341538839718353</c:v>
                </c:pt>
                <c:pt idx="3">
                  <c:v>0.342547406616623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DCF!$A$223:$C$223</c:f>
              <c:strCache>
                <c:ptCount val="1"/>
                <c:pt idx="0">
                  <c:v>Online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DCF!$D$223:$O$223</c:f>
              <c:numCache>
                <c:formatCode>0.0%</c:formatCode>
                <c:ptCount val="4"/>
                <c:pt idx="0">
                  <c:v>0.15</c:v>
                </c:pt>
                <c:pt idx="1">
                  <c:v>0.1</c:v>
                </c:pt>
                <c:pt idx="2">
                  <c:v>0.1</c:v>
                </c:pt>
                <c:pt idx="3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8111104"/>
        <c:axId val="958116992"/>
      </c:lineChart>
      <c:catAx>
        <c:axId val="95811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16992"/>
        <c:crosses val="autoZero"/>
        <c:auto val="1"/>
        <c:lblAlgn val="ctr"/>
        <c:lblOffset val="100"/>
        <c:noMultiLvlLbl val="0"/>
      </c:catAx>
      <c:valAx>
        <c:axId val="95811699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11104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60fb-1f06-44cf-9224-415ff6fe14e5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DCF!$A$246:$C$246</c:f>
              <c:strCache>
                <c:ptCount val="1"/>
                <c:pt idx="0">
                  <c:v>Cumulative EBIT margin effect (bp)</c:v>
                </c:pt>
              </c:strCache>
            </c:strRef>
          </c:tx>
          <c:invertIfNegative val="0"/>
          <c:dLbls>
            <c:delete val="1"/>
          </c:dLbls>
          <c:cat>
            <c:strRef>
              <c:f>DCF!$E$245:$O$245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DCF!$E$246:$O$246</c:f>
              <c:numCache>
                <c:formatCode>_(* #,##0_);_(* \(#,##0\);_(* "-"??_);_(@_)</c:formatCode>
                <c:ptCount val="4"/>
                <c:pt idx="0">
                  <c:v>31.5010760425367</c:v>
                </c:pt>
                <c:pt idx="1">
                  <c:v>43.8628526837074</c:v>
                </c:pt>
                <c:pt idx="2">
                  <c:v>56.2625755015494</c:v>
                </c:pt>
                <c:pt idx="3">
                  <c:v>60.4519455264252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58141568"/>
        <c:axId val="958143104"/>
      </c:barChart>
      <c:catAx>
        <c:axId val="958141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43104"/>
        <c:crosses val="autoZero"/>
        <c:auto val="1"/>
        <c:lblAlgn val="ctr"/>
        <c:lblOffset val="100"/>
        <c:noMultiLvlLbl val="0"/>
      </c:catAx>
      <c:valAx>
        <c:axId val="9581431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41568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295996-7eb4-4e8f-87aa-513485630b5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DCF!$D$337</c:f>
              <c:strCache>
                <c:ptCount val="1"/>
                <c:pt idx="0">
                  <c:v>2018-29E EBIT margin delta</c:v>
                </c:pt>
              </c:strCache>
            </c:strRef>
          </c:tx>
          <c:invertIfNegative val="0"/>
          <c:dLbls>
            <c:delete val="1"/>
          </c:dLbls>
          <c:cat>
            <c:numRef>
              <c:f>DCF!$A$338:$C$345</c:f>
              <c:numCache>
                <c:ptCount val="0"/>
              </c:numCache>
            </c:numRef>
          </c:cat>
          <c:val>
            <c:numRef>
              <c:f>DCF!$D$338:$D$345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163968"/>
        <c:axId val="958186240"/>
      </c:barChart>
      <c:catAx>
        <c:axId val="9581639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86240"/>
        <c:crosses val="autoZero"/>
        <c:auto val="1"/>
        <c:lblAlgn val="ctr"/>
        <c:lblOffset val="100"/>
        <c:noMultiLvlLbl val="0"/>
      </c:catAx>
      <c:valAx>
        <c:axId val="9581862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16396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bc4e12-ef93-45ff-bc5a-c45d0c2a948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0223187063973"/>
          <c:y val="0.0463157894736842"/>
          <c:w val="0.901471317403162"/>
          <c:h val="0.806954662246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DCF!$A$396:$C$396</c:f>
              <c:strCache>
                <c:ptCount val="1"/>
                <c:pt idx="0">
                  <c:v>Gross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DCF!$D$396:$T$396</c:f>
              <c:numCache>
                <c:formatCode>0</c:formatCode>
                <c:ptCount val="9"/>
                <c:pt idx="0">
                  <c:v>-43.3804274787153</c:v>
                </c:pt>
                <c:pt idx="1">
                  <c:v>4.5501211519916</c:v>
                </c:pt>
                <c:pt idx="2">
                  <c:v>62.3086904018344</c:v>
                </c:pt>
                <c:pt idx="3">
                  <c:v>87.1559990221027</c:v>
                </c:pt>
                <c:pt idx="4">
                  <c:v>42.3569098765131</c:v>
                </c:pt>
                <c:pt idx="5">
                  <c:v>58.0334283762485</c:v>
                </c:pt>
                <c:pt idx="6">
                  <c:v>37.2596820385473</c:v>
                </c:pt>
                <c:pt idx="7">
                  <c:v>28.2828417765935</c:v>
                </c:pt>
                <c:pt idx="8">
                  <c:v>19.6038519716868</c:v>
                </c:pt>
              </c:numCache>
            </c:numRef>
          </c:val>
        </c:ser>
        <c:ser>
          <c:idx val="1"/>
          <c:order val="1"/>
          <c:tx>
            <c:strRef>
              <c:f>DCF!$A$397:$C$397</c:f>
              <c:strCache>
                <c:ptCount val="1"/>
                <c:pt idx="0">
                  <c:v>Opex/sales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DCF!$D$397:$T$397</c:f>
              <c:numCache>
                <c:formatCode>0</c:formatCode>
                <c:ptCount val="9"/>
                <c:pt idx="0">
                  <c:v>-600.2209579595</c:v>
                </c:pt>
                <c:pt idx="1">
                  <c:v>644.191171309375</c:v>
                </c:pt>
                <c:pt idx="2">
                  <c:v>245.245938842246</c:v>
                </c:pt>
                <c:pt idx="3">
                  <c:v>-375.098151290663</c:v>
                </c:pt>
                <c:pt idx="4">
                  <c:v>14.6989436055989</c:v>
                </c:pt>
                <c:pt idx="5">
                  <c:v>30.912748748847</c:v>
                </c:pt>
                <c:pt idx="6">
                  <c:v>10.0130319946434</c:v>
                </c:pt>
                <c:pt idx="7">
                  <c:v>3.7210290042089</c:v>
                </c:pt>
                <c:pt idx="8">
                  <c:v>4.12271278534382</c:v>
                </c:pt>
              </c:numCache>
            </c:numRef>
          </c:val>
        </c:ser>
        <c:ser>
          <c:idx val="2"/>
          <c:order val="2"/>
          <c:tx>
            <c:strRef>
              <c:f>DCF!$A$398:$C$398</c:f>
              <c:strCache>
                <c:ptCount val="1"/>
                <c:pt idx="0">
                  <c:v>EBIT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DCF!$D$398:$T$398</c:f>
              <c:numCache>
                <c:formatCode>0</c:formatCode>
                <c:ptCount val="9"/>
                <c:pt idx="0">
                  <c:v>556.840530480784</c:v>
                </c:pt>
                <c:pt idx="1">
                  <c:v>-639.641050157383</c:v>
                </c:pt>
                <c:pt idx="2">
                  <c:v>-182.937248440411</c:v>
                </c:pt>
                <c:pt idx="3">
                  <c:v>462.254150312765</c:v>
                </c:pt>
                <c:pt idx="4">
                  <c:v>27.6579662709144</c:v>
                </c:pt>
                <c:pt idx="5">
                  <c:v>27.120679627401</c:v>
                </c:pt>
                <c:pt idx="6">
                  <c:v>27.2466500439049</c:v>
                </c:pt>
                <c:pt idx="7">
                  <c:v>24.5618127723839</c:v>
                </c:pt>
                <c:pt idx="8">
                  <c:v>15.4811391863431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550016"/>
        <c:axId val="958551552"/>
      </c:barChart>
      <c:lineChart>
        <c:grouping val="standard"/>
        <c:varyColors val="0"/>
        <c:ser>
          <c:idx val="3"/>
          <c:order val="3"/>
          <c:tx>
            <c:strRef>
              <c:f>DCF!$A$399:$C$399</c:f>
              <c:strCache>
                <c:ptCount val="1"/>
                <c:pt idx="0">
                  <c:v>EBIT margin (RHS)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DCF!$D$395:$T$395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DCF!$D$399:$T$399</c:f>
              <c:numCache>
                <c:formatCode>0.0%</c:formatCode>
                <c:ptCount val="9"/>
                <c:pt idx="0">
                  <c:v>0.0935292455495902</c:v>
                </c:pt>
                <c:pt idx="1">
                  <c:v>0.0295651405338519</c:v>
                </c:pt>
                <c:pt idx="2">
                  <c:v>0.0112714156898107</c:v>
                </c:pt>
                <c:pt idx="3">
                  <c:v>0.0574968307210872</c:v>
                </c:pt>
                <c:pt idx="4">
                  <c:v>0.0602626273481787</c:v>
                </c:pt>
                <c:pt idx="5">
                  <c:v>0.0629746953109188</c:v>
                </c:pt>
                <c:pt idx="6">
                  <c:v>0.0656993603153093</c:v>
                </c:pt>
                <c:pt idx="7">
                  <c:v>0.0681555415925476</c:v>
                </c:pt>
                <c:pt idx="8">
                  <c:v>0.069703655511182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8563072"/>
        <c:axId val="958553088"/>
      </c:lineChart>
      <c:catAx>
        <c:axId val="958550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51552"/>
        <c:crosses val="autoZero"/>
        <c:auto val="1"/>
        <c:lblAlgn val="ctr"/>
        <c:lblOffset val="100"/>
        <c:noMultiLvlLbl val="0"/>
      </c:catAx>
      <c:valAx>
        <c:axId val="95855155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50016"/>
        <c:crosses val="autoZero"/>
        <c:crossBetween val="between"/>
      </c:valAx>
      <c:catAx>
        <c:axId val="958563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53088"/>
        <c:crosses val="autoZero"/>
        <c:auto val="1"/>
        <c:lblAlgn val="ctr"/>
        <c:lblOffset val="100"/>
        <c:noMultiLvlLbl val="0"/>
      </c:catAx>
      <c:valAx>
        <c:axId val="95855308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63072"/>
        <c:crosses val="max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afee50-81cf-439c-a635-9a156ff5253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"adidas"</c:f>
              <c:strCache>
                <c:ptCount val="1"/>
                <c:pt idx="0">
                  <c:v>adidas</c:v>
                </c:pt>
              </c:strCache>
            </c:strRef>
          </c:tx>
          <c:invertIfNegative val="0"/>
          <c:dLbls>
            <c:delete val="1"/>
          </c:dLbls>
          <c:cat>
            <c:numRef>
              <c:f>{"Group revenue"," Marketing spend"}</c:f>
              <c:numCache>
                <c:ptCount val="0"/>
              </c:numCache>
            </c:numRef>
          </c:cat>
          <c:val>
            <c:numRef>
              <c:f>(DCF!$E$420,DCF!$E$424)</c:f>
            </c:numRef>
          </c:val>
        </c:ser>
        <c:ser>
          <c:idx val="1"/>
          <c:order val="1"/>
          <c:tx>
            <c:strRef>
              <c:f>"Nike"</c:f>
              <c:strCache>
                <c:ptCount val="1"/>
                <c:pt idx="0">
                  <c:v>Nike</c:v>
                </c:pt>
              </c:strCache>
            </c:strRef>
          </c:tx>
          <c:invertIfNegative val="0"/>
          <c:dLbls>
            <c:delete val="1"/>
          </c:dLbls>
          <c:cat>
            <c:numRef>
              <c:f>{"Group revenue"," Marketing spend"}</c:f>
              <c:numCache>
                <c:ptCount val="0"/>
              </c:numCache>
            </c:numRef>
          </c:cat>
          <c:val>
            <c:numRef>
              <c:f>(DCF!$E$421,DCF!$E$425)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58588416"/>
        <c:axId val="958589952"/>
      </c:barChart>
      <c:catAx>
        <c:axId val="958588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89952"/>
        <c:crosses val="autoZero"/>
        <c:auto val="1"/>
        <c:lblAlgn val="ctr"/>
        <c:lblOffset val="100"/>
        <c:noMultiLvlLbl val="0"/>
      </c:catAx>
      <c:valAx>
        <c:axId val="95858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58841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c7c008-15e6-4b7c-86a9-955f78ec2f7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0223187063973"/>
          <c:y val="0.0463157894736842"/>
          <c:w val="0.901471317403162"/>
          <c:h val="0.806954662246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DCF!$A$396:$C$396</c:f>
              <c:strCache>
                <c:ptCount val="1"/>
                <c:pt idx="0">
                  <c:v>Gross margin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DCF!$J$395:$T$395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DCF!$J$396:$T$396</c:f>
              <c:numCache>
                <c:formatCode>0</c:formatCode>
                <c:ptCount val="9"/>
                <c:pt idx="0">
                  <c:v>-43.3804274787153</c:v>
                </c:pt>
                <c:pt idx="1">
                  <c:v>4.5501211519916</c:v>
                </c:pt>
                <c:pt idx="2">
                  <c:v>62.3086904018344</c:v>
                </c:pt>
                <c:pt idx="3">
                  <c:v>87.1559990221027</c:v>
                </c:pt>
                <c:pt idx="4">
                  <c:v>42.3569098765131</c:v>
                </c:pt>
                <c:pt idx="5">
                  <c:v>58.0334283762485</c:v>
                </c:pt>
                <c:pt idx="6">
                  <c:v>37.2596820385473</c:v>
                </c:pt>
                <c:pt idx="7">
                  <c:v>28.2828417765935</c:v>
                </c:pt>
                <c:pt idx="8">
                  <c:v>19.6038519716868</c:v>
                </c:pt>
              </c:numCache>
            </c:numRef>
          </c:val>
        </c:ser>
        <c:ser>
          <c:idx val="1"/>
          <c:order val="1"/>
          <c:tx>
            <c:strRef>
              <c:f>DCF!$A$397:$C$397</c:f>
              <c:strCache>
                <c:ptCount val="1"/>
                <c:pt idx="0">
                  <c:v>Opex/sales delta</c:v>
                </c:pt>
              </c:strCache>
            </c:strRef>
          </c:tx>
          <c:invertIfNegative val="0"/>
          <c:dLbls>
            <c:delete val="1"/>
          </c:dLbls>
          <c:cat>
            <c:strRef>
              <c:f>DCF!$J$395:$T$395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DCF!$J$397:$T$397</c:f>
              <c:numCache>
                <c:formatCode>0</c:formatCode>
                <c:ptCount val="9"/>
                <c:pt idx="0">
                  <c:v>-600.2209579595</c:v>
                </c:pt>
                <c:pt idx="1">
                  <c:v>644.191171309375</c:v>
                </c:pt>
                <c:pt idx="2">
                  <c:v>245.245938842246</c:v>
                </c:pt>
                <c:pt idx="3">
                  <c:v>-375.098151290663</c:v>
                </c:pt>
                <c:pt idx="4">
                  <c:v>14.6989436055989</c:v>
                </c:pt>
                <c:pt idx="5">
                  <c:v>30.912748748847</c:v>
                </c:pt>
                <c:pt idx="6">
                  <c:v>10.0130319946434</c:v>
                </c:pt>
                <c:pt idx="7">
                  <c:v>3.7210290042089</c:v>
                </c:pt>
                <c:pt idx="8">
                  <c:v>4.12271278534382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293120"/>
        <c:axId val="958294656"/>
      </c:barChart>
      <c:lineChart>
        <c:grouping val="standard"/>
        <c:varyColors val="0"/>
        <c:ser>
          <c:idx val="2"/>
          <c:order val="2"/>
          <c:tx>
            <c:strRef>
              <c:f>DCF!$A$398:$C$398</c:f>
              <c:strCache>
                <c:ptCount val="1"/>
                <c:pt idx="0">
                  <c:v>EBIT margin delta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DCF!$J$395:$T$395</c:f>
              <c:strCache>
                <c:ptCount val="9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  <c:pt idx="4">
                  <c:v>2025E</c:v>
                </c:pt>
                <c:pt idx="5">
                  <c:v>2026E</c:v>
                </c:pt>
                <c:pt idx="6">
                  <c:v>2026E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DCF!$J$398:$T$398</c:f>
              <c:numCache>
                <c:formatCode>0</c:formatCode>
                <c:ptCount val="9"/>
                <c:pt idx="0">
                  <c:v>556.840530480784</c:v>
                </c:pt>
                <c:pt idx="1">
                  <c:v>-639.641050157383</c:v>
                </c:pt>
                <c:pt idx="2">
                  <c:v>-182.937248440411</c:v>
                </c:pt>
                <c:pt idx="3">
                  <c:v>462.254150312765</c:v>
                </c:pt>
                <c:pt idx="4">
                  <c:v>27.6579662709144</c:v>
                </c:pt>
                <c:pt idx="5">
                  <c:v>27.120679627401</c:v>
                </c:pt>
                <c:pt idx="6">
                  <c:v>27.2466500439049</c:v>
                </c:pt>
                <c:pt idx="7">
                  <c:v>24.5618127723839</c:v>
                </c:pt>
                <c:pt idx="8">
                  <c:v>15.4811391863431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8293120"/>
        <c:axId val="958294656"/>
      </c:lineChart>
      <c:catAx>
        <c:axId val="958293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294656"/>
        <c:crosses val="autoZero"/>
        <c:auto val="1"/>
        <c:lblAlgn val="ctr"/>
        <c:lblOffset val="100"/>
        <c:noMultiLvlLbl val="0"/>
      </c:catAx>
      <c:valAx>
        <c:axId val="95829465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293120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275926-c2ab-4861-a492-f45f97689db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DCF!$A$219:$C$219</c:f>
              <c:strCache>
                <c:ptCount val="1"/>
                <c:pt idx="0">
                  <c:v>Wholesale/Gp sales</c:v>
                </c:pt>
              </c:strCache>
            </c:strRef>
          </c:tx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DCF!$D$219:$O$219</c:f>
              <c:numCache>
                <c:formatCode>0.0%</c:formatCode>
                <c:ptCount val="4"/>
                <c:pt idx="0">
                  <c:v>0.497117106378966</c:v>
                </c:pt>
                <c:pt idx="1">
                  <c:v>0.480672349034001</c:v>
                </c:pt>
                <c:pt idx="2">
                  <c:v>0.468189567523389</c:v>
                </c:pt>
                <c:pt idx="3">
                  <c:v>0.459537303975689</c:v>
                </c:pt>
              </c:numCache>
            </c:numRef>
          </c:val>
        </c:ser>
        <c:ser>
          <c:idx val="1"/>
          <c:order val="1"/>
          <c:tx>
            <c:strRef>
              <c:f>DCF!$A$220:$C$220</c:f>
              <c:strCache>
                <c:ptCount val="1"/>
                <c:pt idx="0">
                  <c:v>Retail offline/Gp sales</c:v>
                </c:pt>
              </c:strCache>
            </c:strRef>
          </c:tx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DCF!$D$220:$O$220</c:f>
              <c:numCache>
                <c:formatCode>0.0%</c:formatCode>
                <c:ptCount val="4"/>
                <c:pt idx="0">
                  <c:v>0.295129308164793</c:v>
                </c:pt>
                <c:pt idx="1">
                  <c:v>0.305393177189172</c:v>
                </c:pt>
                <c:pt idx="2">
                  <c:v>0.311676097290863</c:v>
                </c:pt>
                <c:pt idx="3">
                  <c:v>0.318233675826125</c:v>
                </c:pt>
              </c:numCache>
            </c:numRef>
          </c:val>
        </c:ser>
        <c:ser>
          <c:idx val="2"/>
          <c:order val="2"/>
          <c:tx>
            <c:strRef>
              <c:f>DCF!$A$221:$C$221</c:f>
              <c:strCache>
                <c:ptCount val="1"/>
                <c:pt idx="0">
                  <c:v>Online/Gp sales</c:v>
                </c:pt>
              </c:strCache>
            </c:strRef>
          </c:tx>
          <c:dLbls>
            <c:delete val="1"/>
          </c:dLbls>
          <c:cat>
            <c:strRef>
              <c:f>DCF!$D$218:$O$218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DCF!$D$221:$O$221</c:f>
              <c:numCache>
                <c:formatCode>0.0%</c:formatCode>
                <c:ptCount val="4"/>
                <c:pt idx="0">
                  <c:v>0.207753585456242</c:v>
                </c:pt>
                <c:pt idx="1">
                  <c:v>0.213934473776827</c:v>
                </c:pt>
                <c:pt idx="2">
                  <c:v>0.220134335185748</c:v>
                </c:pt>
                <c:pt idx="3">
                  <c:v>0.222229020198186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402944"/>
        <c:axId val="958404480"/>
      </c:areaChart>
      <c:catAx>
        <c:axId val="95840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404480"/>
        <c:crosses val="autoZero"/>
        <c:auto val="1"/>
        <c:lblAlgn val="ctr"/>
        <c:lblOffset val="100"/>
        <c:noMultiLvlLbl val="0"/>
      </c:catAx>
      <c:valAx>
        <c:axId val="9584044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58402944"/>
        <c:crosses val="autoZero"/>
        <c:crossBetween val="midCat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0ccdfa2-5b2f-46bb-9c42-a6bb9704d67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DCF!$A$442:$C$442</c:f>
              <c:strCache>
                <c:ptCount val="1"/>
                <c:pt idx="0">
                  <c:v>Cental overhead/sales</c:v>
                </c:pt>
              </c:strCache>
            </c:strRef>
          </c:tx>
          <c:invertIfNegative val="0"/>
          <c:dLbls>
            <c:delete val="1"/>
          </c:dLbls>
          <c:cat>
            <c:strRef>
              <c:f>DCF!$D$440:$O$440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DCF!$D$442:$O$442</c:f>
              <c:numCache>
                <c:formatCode>0.0%</c:formatCode>
                <c:ptCount val="4"/>
                <c:pt idx="0">
                  <c:v>0.159282143577888</c:v>
                </c:pt>
                <c:pt idx="1">
                  <c:v>0.157282143577888</c:v>
                </c:pt>
                <c:pt idx="2">
                  <c:v>0.155282143577888</c:v>
                </c:pt>
                <c:pt idx="3">
                  <c:v>0.154282143577888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442880"/>
        <c:axId val="958448768"/>
      </c:barChart>
      <c:lineChart>
        <c:grouping val="standard"/>
        <c:varyColors val="0"/>
        <c:ser>
          <c:idx val="0"/>
          <c:order val="0"/>
          <c:tx>
            <c:strRef>
              <c:f>DCF!$A$441:$C$441</c:f>
              <c:strCache>
                <c:ptCount val="1"/>
                <c:pt idx="0">
                  <c:v>Cental overhead growth yoy (RHS)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DCF!$D$440:$O$440</c:f>
              <c:strCache>
                <c:ptCount val="4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</c:strCache>
            </c:strRef>
          </c:cat>
          <c:val>
            <c:numRef>
              <c:f>DCF!$D$441:$O$441</c:f>
              <c:numCache>
                <c:formatCode>0.0%</c:formatCode>
                <c:ptCount val="4"/>
                <c:pt idx="0">
                  <c:v>0.0541837612015978</c:v>
                </c:pt>
                <c:pt idx="1">
                  <c:v>0.054806427287605</c:v>
                </c:pt>
                <c:pt idx="2">
                  <c:v>0.055425954886424</c:v>
                </c:pt>
                <c:pt idx="3">
                  <c:v>0.0629306176882822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8460288"/>
        <c:axId val="958450304"/>
      </c:lineChart>
      <c:catAx>
        <c:axId val="958442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448768"/>
        <c:crosses val="autoZero"/>
        <c:auto val="1"/>
        <c:lblAlgn val="ctr"/>
        <c:lblOffset val="100"/>
        <c:noMultiLvlLbl val="0"/>
      </c:catAx>
      <c:valAx>
        <c:axId val="958448768"/>
        <c:scaling>
          <c:orientation val="minMax"/>
          <c:max val="0.13"/>
          <c:min val="0.1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442880"/>
        <c:crosses val="autoZero"/>
        <c:crossBetween val="between"/>
      </c:valAx>
      <c:catAx>
        <c:axId val="958460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450304"/>
        <c:crosses val="autoZero"/>
        <c:auto val="1"/>
        <c:lblAlgn val="ctr"/>
        <c:lblOffset val="100"/>
        <c:noMultiLvlLbl val="0"/>
      </c:catAx>
      <c:valAx>
        <c:axId val="958450304"/>
        <c:scaling>
          <c:orientation val="minMax"/>
          <c:min val="0.03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460288"/>
        <c:crosses val="max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d0b2f3-98d4-4b8d-8586-1e3d0cb519ac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'Macro sensitivity'!$B$12</c:f>
              <c:strCache>
                <c:ptCount val="1"/>
                <c:pt idx="0">
                  <c:v>W Europe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sensitivity'!$C$12:$P$12</c:f>
              <c:numCache>
                <c:formatCode>0.0%</c:formatCode>
                <c:ptCount val="14"/>
                <c:pt idx="0">
                  <c:v>-0.0043969776</c:v>
                </c:pt>
                <c:pt idx="1">
                  <c:v>0.0284370288</c:v>
                </c:pt>
                <c:pt idx="2">
                  <c:v>0.029958851</c:v>
                </c:pt>
                <c:pt idx="3">
                  <c:v>0.02009152</c:v>
                </c:pt>
                <c:pt idx="4">
                  <c:v>0.0156018153</c:v>
                </c:pt>
                <c:pt idx="5">
                  <c:v>0.0180759919</c:v>
                </c:pt>
                <c:pt idx="6">
                  <c:v>0.0203112974</c:v>
                </c:pt>
                <c:pt idx="7">
                  <c:v>0.0249378763</c:v>
                </c:pt>
                <c:pt idx="8">
                  <c:v>0.0360834406</c:v>
                </c:pt>
                <c:pt idx="9">
                  <c:v>0.0351404019</c:v>
                </c:pt>
                <c:pt idx="10">
                  <c:v>0.0289922539</c:v>
                </c:pt>
                <c:pt idx="11">
                  <c:v>0.0286874912</c:v>
                </c:pt>
                <c:pt idx="12">
                  <c:v>0.030615529</c:v>
                </c:pt>
                <c:pt idx="13">
                  <c:v>0.0295363615</c:v>
                </c:pt>
              </c:numCache>
            </c:numRef>
          </c:val>
        </c:ser>
        <c:ser>
          <c:idx val="1"/>
          <c:order val="1"/>
          <c:tx>
            <c:strRef>
              <c:f>'Macro sensitivity'!$B$13</c:f>
              <c:strCache>
                <c:ptCount val="1"/>
                <c:pt idx="0">
                  <c:v>N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sensitivity'!$C$13:$P$13</c:f>
              <c:numCache>
                <c:formatCode>0.0%</c:formatCode>
                <c:ptCount val="14"/>
                <c:pt idx="0">
                  <c:v>-0.0157497745414013</c:v>
                </c:pt>
                <c:pt idx="1">
                  <c:v>0.0338609990161139</c:v>
                </c:pt>
                <c:pt idx="2">
                  <c:v>0.0502705191759088</c:v>
                </c:pt>
                <c:pt idx="3">
                  <c:v>0.0357635060582879</c:v>
                </c:pt>
                <c:pt idx="4">
                  <c:v>0.029198422175851</c:v>
                </c:pt>
                <c:pt idx="5">
                  <c:v>0.0454437825745355</c:v>
                </c:pt>
                <c:pt idx="6">
                  <c:v>0.0383799372341057</c:v>
                </c:pt>
                <c:pt idx="7">
                  <c:v>0.0367386493222282</c:v>
                </c:pt>
                <c:pt idx="8">
                  <c:v>0.0462738718502581</c:v>
                </c:pt>
                <c:pt idx="9">
                  <c:v>0.0512676363887323</c:v>
                </c:pt>
                <c:pt idx="10">
                  <c:v>0.0445557854774519</c:v>
                </c:pt>
                <c:pt idx="11">
                  <c:v>0.0425662722580806</c:v>
                </c:pt>
                <c:pt idx="12">
                  <c:v>0.040314326266367</c:v>
                </c:pt>
                <c:pt idx="13">
                  <c:v>0.0423080014375266</c:v>
                </c:pt>
              </c:numCache>
            </c:numRef>
          </c:val>
        </c:ser>
        <c:ser>
          <c:idx val="2"/>
          <c:order val="2"/>
          <c:tx>
            <c:strRef>
              <c:f>'Macro sensitivity'!$B$14</c:f>
              <c:strCache>
                <c:ptCount val="1"/>
                <c:pt idx="0">
                  <c:v>LatAm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sensitivity'!$C$14:$P$14</c:f>
              <c:numCache>
                <c:formatCode>0.0%</c:formatCode>
                <c:ptCount val="14"/>
                <c:pt idx="0">
                  <c:v>0.049705971067289</c:v>
                </c:pt>
                <c:pt idx="1">
                  <c:v>0.0986197150325178</c:v>
                </c:pt>
                <c:pt idx="2">
                  <c:v>0.0983060772571713</c:v>
                </c:pt>
                <c:pt idx="3">
                  <c:v>0.0809059856936846</c:v>
                </c:pt>
                <c:pt idx="4">
                  <c:v>0.0776365174814088</c:v>
                </c:pt>
                <c:pt idx="5">
                  <c:v>0.0760096058935526</c:v>
                </c:pt>
                <c:pt idx="6">
                  <c:v>0.059492462441912</c:v>
                </c:pt>
                <c:pt idx="7">
                  <c:v>0.0564060866412856</c:v>
                </c:pt>
                <c:pt idx="8">
                  <c:v>0.0607181589596329</c:v>
                </c:pt>
                <c:pt idx="9">
                  <c:v>0.0653248023706798</c:v>
                </c:pt>
                <c:pt idx="10">
                  <c:v>0.0663643448040026</c:v>
                </c:pt>
                <c:pt idx="11">
                  <c:v>0.0662548929151579</c:v>
                </c:pt>
                <c:pt idx="12">
                  <c:v>0.064318112000743</c:v>
                </c:pt>
                <c:pt idx="13">
                  <c:v>0.0645198496670254</c:v>
                </c:pt>
              </c:numCache>
            </c:numRef>
          </c:val>
        </c:ser>
        <c:ser>
          <c:idx val="3"/>
          <c:order val="3"/>
          <c:tx>
            <c:strRef>
              <c:f>'Macro sensitivity'!$B$15</c:f>
              <c:strCache>
                <c:ptCount val="1"/>
                <c:pt idx="0">
                  <c:v>APAC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sensitivity'!$C$15:$P$15</c:f>
              <c:numCache>
                <c:formatCode>0.0%</c:formatCode>
                <c:ptCount val="14"/>
                <c:pt idx="0">
                  <c:v>0.049696224</c:v>
                </c:pt>
                <c:pt idx="1">
                  <c:v>0.0785472248</c:v>
                </c:pt>
                <c:pt idx="2">
                  <c:v>0.096838855</c:v>
                </c:pt>
                <c:pt idx="3">
                  <c:v>0.0808501391</c:v>
                </c:pt>
                <c:pt idx="4">
                  <c:v>0.0791496973</c:v>
                </c:pt>
                <c:pt idx="5">
                  <c:v>0.0860440323</c:v>
                </c:pt>
                <c:pt idx="6">
                  <c:v>0.0787967643</c:v>
                </c:pt>
                <c:pt idx="7">
                  <c:v>0.0778555452</c:v>
                </c:pt>
                <c:pt idx="8">
                  <c:v>0.0698655818</c:v>
                </c:pt>
                <c:pt idx="9">
                  <c:v>0.0787592045</c:v>
                </c:pt>
                <c:pt idx="10">
                  <c:v>0.0770528312</c:v>
                </c:pt>
                <c:pt idx="11">
                  <c:v>0.0790410173</c:v>
                </c:pt>
                <c:pt idx="12">
                  <c:v>0.0810852671</c:v>
                </c:pt>
                <c:pt idx="13">
                  <c:v>0.0819860196</c:v>
                </c:pt>
              </c:numCache>
            </c:numRef>
          </c:val>
        </c:ser>
        <c:ser>
          <c:idx val="4"/>
          <c:order val="4"/>
          <c:tx>
            <c:strRef>
              <c:f>'Macro sensitivity'!$B$16</c:f>
              <c:strCache>
                <c:ptCount val="1"/>
                <c:pt idx="0">
                  <c:v>Russia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sensitivity'!$C$16:$P$16</c:f>
              <c:numCache>
                <c:formatCode>0.0%</c:formatCode>
                <c:ptCount val="14"/>
                <c:pt idx="0">
                  <c:v>0.0337964635953559</c:v>
                </c:pt>
                <c:pt idx="1">
                  <c:v>0.124160044876346</c:v>
                </c:pt>
                <c:pt idx="2">
                  <c:v>0.13287609864867</c:v>
                </c:pt>
                <c:pt idx="3">
                  <c:v>0.129729742853839</c:v>
                </c:pt>
                <c:pt idx="4">
                  <c:v>0.120399909246748</c:v>
                </c:pt>
                <c:pt idx="5">
                  <c:v>0.0976049009981999</c:v>
                </c:pt>
                <c:pt idx="6">
                  <c:v>0.0616452512652488</c:v>
                </c:pt>
                <c:pt idx="7">
                  <c:v>0.042046313253064</c:v>
                </c:pt>
                <c:pt idx="8">
                  <c:v>0.0704849975907189</c:v>
                </c:pt>
                <c:pt idx="9">
                  <c:v>0.049003813803843</c:v>
                </c:pt>
                <c:pt idx="10">
                  <c:v>0.048196360526567</c:v>
                </c:pt>
                <c:pt idx="11">
                  <c:v>0.0544345276632655</c:v>
                </c:pt>
                <c:pt idx="12">
                  <c:v>0.0649999999999999</c:v>
                </c:pt>
                <c:pt idx="13">
                  <c:v>0.0669999999999999</c:v>
                </c:pt>
              </c:numCache>
            </c:numRef>
          </c:val>
        </c:ser>
        <c:ser>
          <c:idx val="5"/>
          <c:order val="5"/>
          <c:tx>
            <c:strRef>
              <c:f>'Macro sensitivity'!$B$17</c:f>
              <c:strCache>
                <c:ptCount val="1"/>
                <c:pt idx="0">
                  <c:v>EM</c:v>
                </c:pt>
              </c:strCache>
            </c:strRef>
          </c:tx>
          <c:invertIfNegative val="0"/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sensitivity'!$C$17:$P$17</c:f>
              <c:numCache>
                <c:formatCode>0.0%</c:formatCode>
                <c:ptCount val="14"/>
                <c:pt idx="0">
                  <c:v>0.0375176226</c:v>
                </c:pt>
                <c:pt idx="1">
                  <c:v>0.0403226471</c:v>
                </c:pt>
                <c:pt idx="2">
                  <c:v>0.0568108075</c:v>
                </c:pt>
                <c:pt idx="3">
                  <c:v>0.0373601207</c:v>
                </c:pt>
                <c:pt idx="4">
                  <c:v>0.0143664348</c:v>
                </c:pt>
                <c:pt idx="5">
                  <c:v>0.0243859332</c:v>
                </c:pt>
                <c:pt idx="6">
                  <c:v>0.0279144523</c:v>
                </c:pt>
                <c:pt idx="7">
                  <c:v>0.0362556183</c:v>
                </c:pt>
                <c:pt idx="8">
                  <c:v>0.0688885071</c:v>
                </c:pt>
                <c:pt idx="9">
                  <c:v>0.0637230952</c:v>
                </c:pt>
                <c:pt idx="10">
                  <c:v>0.0611483705</c:v>
                </c:pt>
                <c:pt idx="11">
                  <c:v>0.0598562073</c:v>
                </c:pt>
                <c:pt idx="12">
                  <c:v>0.0600999057</c:v>
                </c:pt>
                <c:pt idx="13">
                  <c:v>0.0601253783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297088"/>
        <c:axId val="884302976"/>
      </c:barChart>
      <c:lineChart>
        <c:grouping val="standard"/>
        <c:varyColors val="0"/>
        <c:ser>
          <c:idx val="6"/>
          <c:order val="6"/>
          <c:tx>
            <c:strRef>
              <c:f>'Macro sensitivity'!$B$18</c:f>
              <c:strCache>
                <c:ptCount val="1"/>
                <c:pt idx="0">
                  <c:v>Wt avg (adidas mix)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sensitivity'!$C$18:$P$18</c:f>
              <c:numCache>
                <c:formatCode>0.0%</c:formatCode>
                <c:ptCount val="14"/>
                <c:pt idx="0">
                  <c:v>0.0154518605837074</c:v>
                </c:pt>
                <c:pt idx="1">
                  <c:v>0.051374660127114</c:v>
                </c:pt>
                <c:pt idx="2">
                  <c:v>0.0614020843604747</c:v>
                </c:pt>
                <c:pt idx="3">
                  <c:v>0.0488771133660478</c:v>
                </c:pt>
                <c:pt idx="4">
                  <c:v>0.0421531453359734</c:v>
                </c:pt>
                <c:pt idx="5">
                  <c:v>0.0473989004445938</c:v>
                </c:pt>
                <c:pt idx="6">
                  <c:v>0.0418456881143205</c:v>
                </c:pt>
                <c:pt idx="7">
                  <c:v>0.0425858299027906</c:v>
                </c:pt>
                <c:pt idx="8">
                  <c:v>0.0533690756944552</c:v>
                </c:pt>
                <c:pt idx="9">
                  <c:v>0.0549136866674143</c:v>
                </c:pt>
                <c:pt idx="10">
                  <c:v>0.0539109068931328</c:v>
                </c:pt>
                <c:pt idx="11">
                  <c:v>0.0546475899857429</c:v>
                </c:pt>
                <c:pt idx="12">
                  <c:v>0.0546290620602282</c:v>
                </c:pt>
                <c:pt idx="13">
                  <c:v>0.0496238936567216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'Macro sensitivity'!$B$19</c:f>
              <c:strCache>
                <c:ptCount val="1"/>
                <c:pt idx="0">
                  <c:v>Adidas cFX sales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'Macro sensitivity'!$C$11:$P$11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2018E</c:v>
                </c:pt>
                <c:pt idx="10">
                  <c:v>2019E</c:v>
                </c:pt>
                <c:pt idx="11">
                  <c:v>2020E</c:v>
                </c:pt>
                <c:pt idx="12">
                  <c:v>2021E</c:v>
                </c:pt>
                <c:pt idx="13">
                  <c:v>2022E</c:v>
                </c:pt>
              </c:strCache>
            </c:strRef>
          </c:cat>
          <c:val>
            <c:numRef>
              <c:f>'Macro sensitivity'!$C$19:$P$19</c:f>
              <c:numCache>
                <c:formatCode>0.0%</c:formatCode>
                <c:ptCount val="14"/>
                <c:pt idx="0">
                  <c:v>-0.0582469158705129</c:v>
                </c:pt>
                <c:pt idx="1">
                  <c:v>0.0865826498118305</c:v>
                </c:pt>
                <c:pt idx="2">
                  <c:v>0.13</c:v>
                </c:pt>
                <c:pt idx="3">
                  <c:v>0.0637775576071455</c:v>
                </c:pt>
                <c:pt idx="4">
                  <c:v>0.0294190687361419</c:v>
                </c:pt>
                <c:pt idx="5">
                  <c:v>0.0646918989787469</c:v>
                </c:pt>
                <c:pt idx="6">
                  <c:v>0.0963410858047203</c:v>
                </c:pt>
                <c:pt idx="7">
                  <c:v>0.1815992905705</c:v>
                </c:pt>
                <c:pt idx="8">
                  <c:v>0.159997786824436</c:v>
                </c:pt>
                <c:pt idx="9">
                  <c:v>0.0842075596191913</c:v>
                </c:pt>
                <c:pt idx="10">
                  <c:v>0.0605195710700433</c:v>
                </c:pt>
                <c:pt idx="11">
                  <c:v>-0.134484943113378</c:v>
                </c:pt>
                <c:pt idx="12">
                  <c:v>0.16</c:v>
                </c:pt>
                <c:pt idx="13">
                  <c:v>0.0104352453612131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4297088"/>
        <c:axId val="884302976"/>
      </c:lineChart>
      <c:catAx>
        <c:axId val="884297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4302976"/>
        <c:crosses val="autoZero"/>
        <c:auto val="1"/>
        <c:lblAlgn val="ctr"/>
        <c:lblOffset val="100"/>
        <c:noMultiLvlLbl val="0"/>
      </c:catAx>
      <c:valAx>
        <c:axId val="8843029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884297088"/>
        <c:crosses val="autoZero"/>
        <c:crossBetween val="between"/>
      </c:valAx>
      <c:spPr>
        <a:ln>
          <a:noFill/>
        </a:ln>
      </c:spPr>
    </c:plotArea>
    <c:legend>
      <c:legendPos val="t"/>
      <c:layout>
        <c:manualLayout>
          <c:xMode val="edge"/>
          <c:yMode val="edge"/>
          <c:x val="0.0741978346456693"/>
          <c:y val="0.0252631578947368"/>
          <c:w val="0.906291830708661"/>
          <c:h val="0.20421682552838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b584cd-f331-4e23-a38c-f7d5efef4f3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'LFL GP'!$A$3</c:f>
              <c:strCache>
                <c:ptCount val="1"/>
                <c:pt idx="0">
                  <c:v>cFX GP growth</c:v>
                </c:pt>
              </c:strCache>
            </c:strRef>
          </c:tx>
          <c:invertIfNegative val="0"/>
          <c:dLbls>
            <c:delete val="1"/>
          </c:dLbls>
          <c:cat>
            <c:strRef>
              <c:f>'LFL GP'!$B$2:$AO$2</c:f>
              <c:strCache>
                <c:ptCount val="40"/>
                <c:pt idx="0" c:formatCode="#,##0.0_);[Red]\(#,##0.0\)">
                  <c:v>Q1 09</c:v>
                </c:pt>
                <c:pt idx="1" c:formatCode="#,##0.0_);[Red]\(#,##0.0\)">
                  <c:v>Q2 09</c:v>
                </c:pt>
                <c:pt idx="2" c:formatCode="#,##0.0_);[Red]\(#,##0.0\)">
                  <c:v>Q3 09</c:v>
                </c:pt>
                <c:pt idx="3" c:formatCode="#,##0.0_);[Red]\(#,##0.0\)">
                  <c:v>Q4 09</c:v>
                </c:pt>
                <c:pt idx="4" c:formatCode="#,##0.0_);[Red]\(#,##0.0\)">
                  <c:v>Q1 10</c:v>
                </c:pt>
                <c:pt idx="5" c:formatCode="#,##0.0_);[Red]\(#,##0.0\)">
                  <c:v>Q2 10</c:v>
                </c:pt>
                <c:pt idx="6" c:formatCode="#,##0.0_);[Red]\(#,##0.0\)">
                  <c:v>Q3 10</c:v>
                </c:pt>
                <c:pt idx="7" c:formatCode="#,##0.0_);[Red]\(#,##0.0\)">
                  <c:v>Q4 10</c:v>
                </c:pt>
                <c:pt idx="8" c:formatCode="#,##0.0_);[Red]\(#,##0.0\)">
                  <c:v>Q1 11</c:v>
                </c:pt>
                <c:pt idx="9" c:formatCode="#,##0.0_);[Red]\(#,##0.0\)">
                  <c:v>Q2 11</c:v>
                </c:pt>
                <c:pt idx="10" c:formatCode="#,##0.0_);[Red]\(#,##0.0\)">
                  <c:v>Q3 11</c:v>
                </c:pt>
                <c:pt idx="11" c:formatCode="#,##0.0_);[Red]\(#,##0.0\)">
                  <c:v>Q4 11</c:v>
                </c:pt>
                <c:pt idx="12" c:formatCode="#,##0.0_);[Red]\(#,##0.0\)">
                  <c:v>Q1 12</c:v>
                </c:pt>
                <c:pt idx="13" c:formatCode="#,##0.0_);[Red]\(#,##0.0\)">
                  <c:v>Q2 12</c:v>
                </c:pt>
                <c:pt idx="14" c:formatCode="#,##0.0_);[Red]\(#,##0.0\)">
                  <c:v>Q3 12</c:v>
                </c:pt>
                <c:pt idx="15" c:formatCode="#,##0.0_);[Red]\(#,##0.0\)">
                  <c:v>Q4 12</c:v>
                </c:pt>
                <c:pt idx="16" c:formatCode="#,##0.0_);[Red]\(#,##0.0\)">
                  <c:v>1Q13</c:v>
                </c:pt>
                <c:pt idx="17" c:formatCode="#,##0.0_);[Red]\(#,##0.0\)">
                  <c:v>2Q13</c:v>
                </c:pt>
                <c:pt idx="18" c:formatCode="#,##0.0_);[Red]\(#,##0.0\)">
                  <c:v>3Q13</c:v>
                </c:pt>
                <c:pt idx="19" c:formatCode="#,##0.0_);[Red]\(#,##0.0\)">
                  <c:v>4Q13</c:v>
                </c:pt>
                <c:pt idx="20" c:formatCode="#,##0.0_);[Red]\(#,##0.0\)">
                  <c:v>1Q14</c:v>
                </c:pt>
                <c:pt idx="21" c:formatCode="#,##0.0_);[Red]\(#,##0.0\)">
                  <c:v>2Q14</c:v>
                </c:pt>
                <c:pt idx="22" c:formatCode="#,##0.0_);[Red]\(#,##0.0\)">
                  <c:v>3Q14</c:v>
                </c:pt>
                <c:pt idx="23" c:formatCode="#,##0.0_);[Red]\(#,##0.0\)">
                  <c:v>4Q14</c:v>
                </c:pt>
                <c:pt idx="24" c:formatCode="#,##0.0_);[Red]\(#,##0.0\)">
                  <c:v>1Q15</c:v>
                </c:pt>
                <c:pt idx="25" c:formatCode="#,##0.0_);[Red]\(#,##0.0\)">
                  <c:v>2Q15</c:v>
                </c:pt>
                <c:pt idx="26" c:formatCode="#,##0.0_);[Red]\(#,##0.0\)">
                  <c:v>3Q15</c:v>
                </c:pt>
                <c:pt idx="27" c:formatCode="#,##0.0_);[Red]\(#,##0.0\)">
                  <c:v>4Q15</c:v>
                </c:pt>
                <c:pt idx="28" c:formatCode="#,##0.0_);[Red]\(#,##0.0\)">
                  <c:v>1Q16</c:v>
                </c:pt>
                <c:pt idx="29" c:formatCode="#,##0.0_);[Red]\(#,##0.0\)">
                  <c:v>2Q16</c:v>
                </c:pt>
                <c:pt idx="30" c:formatCode="#,##0.0_);[Red]\(#,##0.0\)">
                  <c:v>3Q16</c:v>
                </c:pt>
                <c:pt idx="31" c:formatCode="#,##0.0_);[Red]\(#,##0.0\)">
                  <c:v>4Q16</c:v>
                </c:pt>
                <c:pt idx="32" c:formatCode="#,##0.0_);[Red]\(#,##0.0\)">
                  <c:v>1Q17</c:v>
                </c:pt>
                <c:pt idx="33" c:formatCode="#,##0.0_);[Red]\(#,##0.0\)">
                  <c:v>2Q17</c:v>
                </c:pt>
                <c:pt idx="34" c:formatCode="#,##0.0_);[Red]\(#,##0.0\)">
                  <c:v>3Q17</c:v>
                </c:pt>
                <c:pt idx="35" c:formatCode="#,##0.0_);[Red]\(#,##0.0\)">
                  <c:v>4Q17</c:v>
                </c:pt>
                <c:pt idx="36" c:formatCode="#,##0.0_);[Red]\(#,##0.0\)">
                  <c:v>1Q18</c:v>
                </c:pt>
                <c:pt idx="37" c:formatCode="#,##0.0_);[Red]\(#,##0.0\)">
                  <c:v>2Q18</c:v>
                </c:pt>
                <c:pt idx="38" c:formatCode="#,##0.0_);[Red]\(#,##0.0\)">
                  <c:v>3Q18</c:v>
                </c:pt>
                <c:pt idx="39" c:formatCode="#,##0.0_);[Red]\(#,##0.0\)">
                  <c:v>4Q18</c:v>
                </c:pt>
              </c:strCache>
            </c:strRef>
          </c:cat>
          <c:val>
            <c:numRef>
              <c:f>'LFL GP'!$B$3:$AO$3</c:f>
              <c:numCache>
                <c:formatCode>0.0%</c:formatCode>
                <c:ptCount val="40"/>
                <c:pt idx="0">
                  <c:v>-0.0907559375062263</c:v>
                </c:pt>
                <c:pt idx="1">
                  <c:v>-0.103225086878933</c:v>
                </c:pt>
                <c:pt idx="2">
                  <c:v>-0.114455755187533</c:v>
                </c:pt>
                <c:pt idx="3">
                  <c:v>0.0536401265708345</c:v>
                </c:pt>
                <c:pt idx="4">
                  <c:v>0.118230088495575</c:v>
                </c:pt>
                <c:pt idx="5">
                  <c:v>0.2062</c:v>
                </c:pt>
                <c:pt idx="6">
                  <c:v>0.148424840857808</c:v>
                </c:pt>
                <c:pt idx="7">
                  <c:v>0.0987215909778682</c:v>
                </c:pt>
                <c:pt idx="8">
                  <c:v>0.179639556035717</c:v>
                </c:pt>
                <c:pt idx="9">
                  <c:v>0.103582090180053</c:v>
                </c:pt>
                <c:pt idx="10">
                  <c:v>0.118738890312379</c:v>
                </c:pt>
                <c:pt idx="11">
                  <c:v>0.0896605057115683</c:v>
                </c:pt>
                <c:pt idx="12">
                  <c:v>0.117115216343655</c:v>
                </c:pt>
                <c:pt idx="13">
                  <c:v>0.0519867520041498</c:v>
                </c:pt>
                <c:pt idx="14">
                  <c:v>0.0474248796313145</c:v>
                </c:pt>
                <c:pt idx="15">
                  <c:v>0.0506541791732387</c:v>
                </c:pt>
                <c:pt idx="16">
                  <c:v>0.053044868938084</c:v>
                </c:pt>
                <c:pt idx="17">
                  <c:v>0.0375896098050653</c:v>
                </c:pt>
                <c:pt idx="18">
                  <c:v>0.040499433964379</c:v>
                </c:pt>
                <c:pt idx="19">
                  <c:v>0.122966269231107</c:v>
                </c:pt>
                <c:pt idx="20">
                  <c:v>-0.0128390966011129</c:v>
                </c:pt>
                <c:pt idx="21">
                  <c:v>0.0831906918994645</c:v>
                </c:pt>
                <c:pt idx="22">
                  <c:v>0.0490532547621744</c:v>
                </c:pt>
                <c:pt idx="23">
                  <c:v>0.000831024092345132</c:v>
                </c:pt>
                <c:pt idx="24">
                  <c:v>0.0872690938722445</c:v>
                </c:pt>
                <c:pt idx="25">
                  <c:v>0.0300468699107201</c:v>
                </c:pt>
                <c:pt idx="26">
                  <c:v>0.149761384737228</c:v>
                </c:pt>
                <c:pt idx="27">
                  <c:v>0.173531040825727</c:v>
                </c:pt>
                <c:pt idx="28">
                  <c:v>0.219872089958472</c:v>
                </c:pt>
                <c:pt idx="29">
                  <c:v>0.216649735782456</c:v>
                </c:pt>
                <c:pt idx="30">
                  <c:v>0.150852372332317</c:v>
                </c:pt>
                <c:pt idx="31">
                  <c:v>0.178913156280506</c:v>
                </c:pt>
                <c:pt idx="32">
                  <c:v>0.167589922274895</c:v>
                </c:pt>
                <c:pt idx="33">
                  <c:v>0.226788694021776</c:v>
                </c:pt>
                <c:pt idx="34">
                  <c:v>0.191600400808967</c:v>
                </c:pt>
                <c:pt idx="35">
                  <c:v>0.270351155493229</c:v>
                </c:pt>
                <c:pt idx="36">
                  <c:v>0.134569545670194</c:v>
                </c:pt>
                <c:pt idx="37">
                  <c:v>0.152945989186259</c:v>
                </c:pt>
                <c:pt idx="38">
                  <c:v>0.112441309391429</c:v>
                </c:pt>
                <c:pt idx="39">
                  <c:v>0.0579897902329732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130752"/>
        <c:axId val="781161216"/>
      </c:barChart>
      <c:lineChart>
        <c:grouping val="standard"/>
        <c:varyColors val="0"/>
        <c:ser>
          <c:idx val="1"/>
          <c:order val="1"/>
          <c:tx>
            <c:strRef>
              <c:f>'LFL GP'!$A$4</c:f>
              <c:strCache>
                <c:ptCount val="1"/>
                <c:pt idx="0">
                  <c:v>3 yr cFX GP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'LFL GP'!$B$2:$AO$2</c:f>
              <c:strCache>
                <c:ptCount val="40"/>
                <c:pt idx="0" c:formatCode="#,##0.0_);[Red]\(#,##0.0\)">
                  <c:v>Q1 09</c:v>
                </c:pt>
                <c:pt idx="1" c:formatCode="#,##0.0_);[Red]\(#,##0.0\)">
                  <c:v>Q2 09</c:v>
                </c:pt>
                <c:pt idx="2" c:formatCode="#,##0.0_);[Red]\(#,##0.0\)">
                  <c:v>Q3 09</c:v>
                </c:pt>
                <c:pt idx="3" c:formatCode="#,##0.0_);[Red]\(#,##0.0\)">
                  <c:v>Q4 09</c:v>
                </c:pt>
                <c:pt idx="4" c:formatCode="#,##0.0_);[Red]\(#,##0.0\)">
                  <c:v>Q1 10</c:v>
                </c:pt>
                <c:pt idx="5" c:formatCode="#,##0.0_);[Red]\(#,##0.0\)">
                  <c:v>Q2 10</c:v>
                </c:pt>
                <c:pt idx="6" c:formatCode="#,##0.0_);[Red]\(#,##0.0\)">
                  <c:v>Q3 10</c:v>
                </c:pt>
                <c:pt idx="7" c:formatCode="#,##0.0_);[Red]\(#,##0.0\)">
                  <c:v>Q4 10</c:v>
                </c:pt>
                <c:pt idx="8" c:formatCode="#,##0.0_);[Red]\(#,##0.0\)">
                  <c:v>Q1 11</c:v>
                </c:pt>
                <c:pt idx="9" c:formatCode="#,##0.0_);[Red]\(#,##0.0\)">
                  <c:v>Q2 11</c:v>
                </c:pt>
                <c:pt idx="10" c:formatCode="#,##0.0_);[Red]\(#,##0.0\)">
                  <c:v>Q3 11</c:v>
                </c:pt>
                <c:pt idx="11" c:formatCode="#,##0.0_);[Red]\(#,##0.0\)">
                  <c:v>Q4 11</c:v>
                </c:pt>
                <c:pt idx="12" c:formatCode="#,##0.0_);[Red]\(#,##0.0\)">
                  <c:v>Q1 12</c:v>
                </c:pt>
                <c:pt idx="13" c:formatCode="#,##0.0_);[Red]\(#,##0.0\)">
                  <c:v>Q2 12</c:v>
                </c:pt>
                <c:pt idx="14" c:formatCode="#,##0.0_);[Red]\(#,##0.0\)">
                  <c:v>Q3 12</c:v>
                </c:pt>
                <c:pt idx="15" c:formatCode="#,##0.0_);[Red]\(#,##0.0\)">
                  <c:v>Q4 12</c:v>
                </c:pt>
                <c:pt idx="16" c:formatCode="#,##0.0_);[Red]\(#,##0.0\)">
                  <c:v>1Q13</c:v>
                </c:pt>
                <c:pt idx="17" c:formatCode="#,##0.0_);[Red]\(#,##0.0\)">
                  <c:v>2Q13</c:v>
                </c:pt>
                <c:pt idx="18" c:formatCode="#,##0.0_);[Red]\(#,##0.0\)">
                  <c:v>3Q13</c:v>
                </c:pt>
                <c:pt idx="19" c:formatCode="#,##0.0_);[Red]\(#,##0.0\)">
                  <c:v>4Q13</c:v>
                </c:pt>
                <c:pt idx="20" c:formatCode="#,##0.0_);[Red]\(#,##0.0\)">
                  <c:v>1Q14</c:v>
                </c:pt>
                <c:pt idx="21" c:formatCode="#,##0.0_);[Red]\(#,##0.0\)">
                  <c:v>2Q14</c:v>
                </c:pt>
                <c:pt idx="22" c:formatCode="#,##0.0_);[Red]\(#,##0.0\)">
                  <c:v>3Q14</c:v>
                </c:pt>
                <c:pt idx="23" c:formatCode="#,##0.0_);[Red]\(#,##0.0\)">
                  <c:v>4Q14</c:v>
                </c:pt>
                <c:pt idx="24" c:formatCode="#,##0.0_);[Red]\(#,##0.0\)">
                  <c:v>1Q15</c:v>
                </c:pt>
                <c:pt idx="25" c:formatCode="#,##0.0_);[Red]\(#,##0.0\)">
                  <c:v>2Q15</c:v>
                </c:pt>
                <c:pt idx="26" c:formatCode="#,##0.0_);[Red]\(#,##0.0\)">
                  <c:v>3Q15</c:v>
                </c:pt>
                <c:pt idx="27" c:formatCode="#,##0.0_);[Red]\(#,##0.0\)">
                  <c:v>4Q15</c:v>
                </c:pt>
                <c:pt idx="28" c:formatCode="#,##0.0_);[Red]\(#,##0.0\)">
                  <c:v>1Q16</c:v>
                </c:pt>
                <c:pt idx="29" c:formatCode="#,##0.0_);[Red]\(#,##0.0\)">
                  <c:v>2Q16</c:v>
                </c:pt>
                <c:pt idx="30" c:formatCode="#,##0.0_);[Red]\(#,##0.0\)">
                  <c:v>3Q16</c:v>
                </c:pt>
                <c:pt idx="31" c:formatCode="#,##0.0_);[Red]\(#,##0.0\)">
                  <c:v>4Q16</c:v>
                </c:pt>
                <c:pt idx="32" c:formatCode="#,##0.0_);[Red]\(#,##0.0\)">
                  <c:v>1Q17</c:v>
                </c:pt>
                <c:pt idx="33" c:formatCode="#,##0.0_);[Red]\(#,##0.0\)">
                  <c:v>2Q17</c:v>
                </c:pt>
                <c:pt idx="34" c:formatCode="#,##0.0_);[Red]\(#,##0.0\)">
                  <c:v>3Q17</c:v>
                </c:pt>
                <c:pt idx="35" c:formatCode="#,##0.0_);[Red]\(#,##0.0\)">
                  <c:v>4Q17</c:v>
                </c:pt>
                <c:pt idx="36" c:formatCode="#,##0.0_);[Red]\(#,##0.0\)">
                  <c:v>1Q18</c:v>
                </c:pt>
                <c:pt idx="37" c:formatCode="#,##0.0_);[Red]\(#,##0.0\)">
                  <c:v>2Q18</c:v>
                </c:pt>
                <c:pt idx="38" c:formatCode="#,##0.0_);[Red]\(#,##0.0\)">
                  <c:v>3Q18</c:v>
                </c:pt>
                <c:pt idx="39" c:formatCode="#,##0.0_);[Red]\(#,##0.0\)">
                  <c:v>4Q18</c:v>
                </c:pt>
              </c:strCache>
            </c:strRef>
          </c:cat>
          <c:val>
            <c:numRef>
              <c:f>'LFL GP'!$B$4:$AO$4</c:f>
              <c:numCache>
                <c:formatCode>0.0%</c:formatCode>
                <c:ptCount val="40"/>
                <c:pt idx="8">
                  <c:v>0.207113707025065</c:v>
                </c:pt>
                <c:pt idx="9">
                  <c:v>0.20655700330112</c:v>
                </c:pt>
                <c:pt idx="10">
                  <c:v>0.152707975982655</c:v>
                </c:pt>
                <c:pt idx="11">
                  <c:v>0.242022223260271</c:v>
                </c:pt>
                <c:pt idx="12">
                  <c:v>0.414984860874947</c:v>
                </c:pt>
                <c:pt idx="13">
                  <c:v>0.361768842184203</c:v>
                </c:pt>
                <c:pt idx="14">
                  <c:v>0.314588610801502</c:v>
                </c:pt>
                <c:pt idx="15">
                  <c:v>0.239036275862675</c:v>
                </c:pt>
                <c:pt idx="16">
                  <c:v>0.349799641317456</c:v>
                </c:pt>
                <c:pt idx="17">
                  <c:v>0.193158451989268</c:v>
                </c:pt>
                <c:pt idx="18">
                  <c:v>0.206663203908073</c:v>
                </c:pt>
                <c:pt idx="19">
                  <c:v>0.263280954115914</c:v>
                </c:pt>
                <c:pt idx="20">
                  <c:v>0.157320988680626</c:v>
                </c:pt>
                <c:pt idx="21">
                  <c:v>0.17276705370868</c:v>
                </c:pt>
                <c:pt idx="22">
                  <c:v>0.136977568357868</c:v>
                </c:pt>
                <c:pt idx="23">
                  <c:v>0.174451472496691</c:v>
                </c:pt>
                <c:pt idx="24">
                  <c:v>0.127474866209216</c:v>
                </c:pt>
                <c:pt idx="25">
                  <c:v>0.15082717161525</c:v>
                </c:pt>
                <c:pt idx="26">
                  <c:v>0.239314073463782</c:v>
                </c:pt>
                <c:pt idx="27">
                  <c:v>0.297328334149179</c:v>
                </c:pt>
                <c:pt idx="28">
                  <c:v>0.294302087229603</c:v>
                </c:pt>
                <c:pt idx="29">
                  <c:v>0.32988729759264</c:v>
                </c:pt>
                <c:pt idx="30">
                  <c:v>0.34966701183172</c:v>
                </c:pt>
                <c:pt idx="31">
                  <c:v>0.353275221198578</c:v>
                </c:pt>
                <c:pt idx="32">
                  <c:v>0.474731106105611</c:v>
                </c:pt>
                <c:pt idx="33">
                  <c:v>0.473485299714951</c:v>
                </c:pt>
                <c:pt idx="34">
                  <c:v>0.492214157878512</c:v>
                </c:pt>
                <c:pt idx="35">
                  <c:v>0.622795352599461</c:v>
                </c:pt>
                <c:pt idx="36">
                  <c:v>0.522031557903561</c:v>
                </c:pt>
                <c:pt idx="37">
                  <c:v>0.596384418990491</c:v>
                </c:pt>
                <c:pt idx="38">
                  <c:v>0.454894082532713</c:v>
                </c:pt>
                <c:pt idx="39">
                  <c:v>0.507254102006708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81130752"/>
        <c:axId val="781161216"/>
      </c:lineChart>
      <c:catAx>
        <c:axId val="78113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781161216"/>
        <c:crosses val="autoZero"/>
        <c:auto val="1"/>
        <c:lblAlgn val="ctr"/>
        <c:lblOffset val="100"/>
        <c:noMultiLvlLbl val="0"/>
      </c:catAx>
      <c:valAx>
        <c:axId val="78116121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781130752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05d675-81d2-43c4-8cd8-40a92310251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'LFL GP'!$A$37</c:f>
              <c:strCache>
                <c:ptCount val="1"/>
                <c:pt idx="0">
                  <c:v>cFX EBIT growth</c:v>
                </c:pt>
              </c:strCache>
            </c:strRef>
          </c:tx>
          <c:invertIfNegative val="0"/>
          <c:dLbls>
            <c:delete val="1"/>
          </c:dLbls>
          <c:cat>
            <c:strRef>
              <c:f>'LFL GP'!$B$36:$Y$36</c:f>
              <c:strCache>
                <c:ptCount val="24"/>
                <c:pt idx="0" c:formatCode="#,##0.0_);[Red]\(#,##0.0\)">
                  <c:v>Q1 11</c:v>
                </c:pt>
                <c:pt idx="1" c:formatCode="#,##0.0_);[Red]\(#,##0.0\)">
                  <c:v>Q2 11</c:v>
                </c:pt>
                <c:pt idx="2" c:formatCode="#,##0.0_);[Red]\(#,##0.0\)">
                  <c:v>Q3 11</c:v>
                </c:pt>
                <c:pt idx="3" c:formatCode="#,##0.0_);[Red]\(#,##0.0\)">
                  <c:v>Q1 12</c:v>
                </c:pt>
                <c:pt idx="4" c:formatCode="#,##0.0_);[Red]\(#,##0.0\)">
                  <c:v>Q2 12</c:v>
                </c:pt>
                <c:pt idx="5" c:formatCode="#,##0.0_);[Red]\(#,##0.0\)">
                  <c:v>Q3 12</c:v>
                </c:pt>
                <c:pt idx="6" c:formatCode="#,##0.0_);[Red]\(#,##0.0\)">
                  <c:v>1Q13</c:v>
                </c:pt>
                <c:pt idx="7" c:formatCode="#,##0.0_);[Red]\(#,##0.0\)">
                  <c:v>2Q13</c:v>
                </c:pt>
                <c:pt idx="8" c:formatCode="#,##0.0_);[Red]\(#,##0.0\)">
                  <c:v>3Q13</c:v>
                </c:pt>
                <c:pt idx="9" c:formatCode="#,##0.0_);[Red]\(#,##0.0\)">
                  <c:v>1Q14</c:v>
                </c:pt>
                <c:pt idx="10" c:formatCode="#,##0.0_);[Red]\(#,##0.0\)">
                  <c:v>2Q14</c:v>
                </c:pt>
                <c:pt idx="11" c:formatCode="#,##0.0_);[Red]\(#,##0.0\)">
                  <c:v>3Q14</c:v>
                </c:pt>
                <c:pt idx="12" c:formatCode="#,##0.0_);[Red]\(#,##0.0\)">
                  <c:v>1Q15</c:v>
                </c:pt>
                <c:pt idx="13" c:formatCode="#,##0.0_);[Red]\(#,##0.0\)">
                  <c:v>2Q15</c:v>
                </c:pt>
                <c:pt idx="14" c:formatCode="#,##0.0_);[Red]\(#,##0.0\)">
                  <c:v>3Q15</c:v>
                </c:pt>
                <c:pt idx="15" c:formatCode="#,##0.0_);[Red]\(#,##0.0\)">
                  <c:v>1Q16</c:v>
                </c:pt>
                <c:pt idx="16" c:formatCode="#,##0.0_);[Red]\(#,##0.0\)">
                  <c:v>2Q16</c:v>
                </c:pt>
                <c:pt idx="17" c:formatCode="#,##0.0_);[Red]\(#,##0.0\)">
                  <c:v>3Q16</c:v>
                </c:pt>
                <c:pt idx="18" c:formatCode="#,##0.0_);[Red]\(#,##0.0\)">
                  <c:v>1Q17</c:v>
                </c:pt>
                <c:pt idx="19" c:formatCode="#,##0.0_);[Red]\(#,##0.0\)">
                  <c:v>2Q17</c:v>
                </c:pt>
                <c:pt idx="20" c:formatCode="#,##0.0_);[Red]\(#,##0.0\)">
                  <c:v>3Q17</c:v>
                </c:pt>
                <c:pt idx="21" c:formatCode="#,##0.0_);[Red]\(#,##0.0\)">
                  <c:v>1Q18</c:v>
                </c:pt>
                <c:pt idx="22" c:formatCode="#,##0.0_);[Red]\(#,##0.0\)">
                  <c:v>2Q18E</c:v>
                </c:pt>
                <c:pt idx="23" c:formatCode="#,##0.0_);[Red]\(#,##0.0\)">
                  <c:v>3Q18</c:v>
                </c:pt>
              </c:strCache>
            </c:strRef>
          </c:cat>
          <c:val>
            <c:numRef>
              <c:f>'LFL GP'!$B$37:$Y$37</c:f>
              <c:numCache>
                <c:formatCode>0.0%</c:formatCode>
                <c:ptCount val="24"/>
                <c:pt idx="0">
                  <c:v>0.165929175536505</c:v>
                </c:pt>
                <c:pt idx="1">
                  <c:v>0.171156423456186</c:v>
                </c:pt>
                <c:pt idx="2">
                  <c:v>0.121406479651022</c:v>
                </c:pt>
                <c:pt idx="3">
                  <c:v>0.277020905872327</c:v>
                </c:pt>
                <c:pt idx="4">
                  <c:v>0.0928726168971184</c:v>
                </c:pt>
                <c:pt idx="5">
                  <c:v>0.0466272534435928</c:v>
                </c:pt>
                <c:pt idx="6">
                  <c:v>0.10179782879459</c:v>
                </c:pt>
                <c:pt idx="7">
                  <c:v>0.0249093945423536</c:v>
                </c:pt>
                <c:pt idx="8">
                  <c:v>0.00731071012039489</c:v>
                </c:pt>
                <c:pt idx="9">
                  <c:v>-0.237121413173682</c:v>
                </c:pt>
                <c:pt idx="10">
                  <c:v>-0.0614774197786317</c:v>
                </c:pt>
                <c:pt idx="11">
                  <c:v>-0.109275087598561</c:v>
                </c:pt>
                <c:pt idx="12">
                  <c:v>0.055694153723458</c:v>
                </c:pt>
                <c:pt idx="13">
                  <c:v>-0.000303598021316312</c:v>
                </c:pt>
                <c:pt idx="14">
                  <c:v>0.236176354741048</c:v>
                </c:pt>
                <c:pt idx="15">
                  <c:v>0.465328968505475</c:v>
                </c:pt>
                <c:pt idx="16">
                  <c:v>0.844915437774409</c:v>
                </c:pt>
                <c:pt idx="17">
                  <c:v>0.149612348592012</c:v>
                </c:pt>
                <c:pt idx="18">
                  <c:v>0.321419494952521</c:v>
                </c:pt>
                <c:pt idx="19">
                  <c:v>0.275322634078018</c:v>
                </c:pt>
                <c:pt idx="20">
                  <c:v>0.486692294736626</c:v>
                </c:pt>
                <c:pt idx="21">
                  <c:v>0.254351536654367</c:v>
                </c:pt>
                <c:pt idx="22">
                  <c:v>0.233083897035993</c:v>
                </c:pt>
                <c:pt idx="23">
                  <c:v>0.181595397440413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181696"/>
        <c:axId val="781183232"/>
      </c:barChart>
      <c:catAx>
        <c:axId val="78118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781183232"/>
        <c:crosses val="autoZero"/>
        <c:auto val="1"/>
        <c:lblAlgn val="ctr"/>
        <c:lblOffset val="100"/>
        <c:noMultiLvlLbl val="0"/>
      </c:catAx>
      <c:valAx>
        <c:axId val="78118323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78118169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9227eb-f144-43fe-9428-0353878d032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75" b="1" i="0" u="none" strike="noStrike" kern="1200" baseline="0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  <a:r>
              <a:rPr lang="en-GB"/>
              <a:t>Sales by brands (2008)</a:t>
            </a:r>
            <a:endParaRPr lang="en-GB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"Sales by brands (2007)"</c:f>
              <c:strCache>
                <c:ptCount val="1"/>
                <c:pt idx="0">
                  <c:v>Sales by brands (2007)</c:v>
                </c:pt>
              </c:strCache>
            </c:strRef>
          </c:tx>
          <c:spPr>
            <a:solidFill>
              <a:srgbClr val="5E76AA"/>
            </a:solidFill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5E76AA"/>
              </a:solidFill>
              <a:ln w="25400">
                <a:noFill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50" b="0" i="0" u="none" strike="noStrike" kern="1200" baseline="0">
                    <a:solidFill>
                      <a:srgbClr val="000000"/>
                    </a:solidFill>
                    <a:latin typeface="Arial" panose="020B0604020202090204"/>
                    <a:ea typeface="Arial" panose="020B0604020202090204"/>
                    <a:cs typeface="Arial" panose="020B0604020202090204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('Profit and Loss'!#REF!,'Profit and Loss'!#REF!,'Profit and Loss'!#REF!,'Profit and Loss'!#REF!)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('Profit and Loss'!#REF!,'Profit and Loss'!#REF!,'Profit and Loss'!#REF!,'Profit and Loss'!#REF!)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ff3e1dbe-f4b1-4e9c-bc3d-1ecf1c81c17b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50" b="0" i="0" u="none" strike="noStrike" baseline="0">
          <a:solidFill>
            <a:srgbClr val="000000"/>
          </a:solidFill>
          <a:latin typeface="Arial" panose="020B0604020202090204"/>
          <a:ea typeface="Arial" panose="020B0604020202090204"/>
          <a:cs typeface="Arial" panose="020B060402020209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75" b="1" i="0" u="none" strike="noStrike" kern="1200" baseline="0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  <a:r>
              <a:rPr lang="en-GB"/>
              <a:t>Sales by regions (2008)</a:t>
            </a:r>
            <a:endParaRPr lang="en-GB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"Sales by regions  (2007)"</c:f>
              <c:strCache>
                <c:ptCount val="1"/>
                <c:pt idx="0">
                  <c:v>Sales by regions  (2007)</c:v>
                </c:pt>
              </c:strCache>
            </c:strRef>
          </c:tx>
          <c:spPr>
            <a:solidFill>
              <a:srgbClr val="5E76AA"/>
            </a:solidFill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5E76AA"/>
              </a:solidFill>
              <a:ln w="25400">
                <a:noFill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50" b="0" i="0" u="none" strike="noStrike" kern="1200" baseline="0">
                    <a:solidFill>
                      <a:srgbClr val="000000"/>
                    </a:solidFill>
                    <a:latin typeface="Arial" panose="020B0604020202090204"/>
                    <a:ea typeface="Arial" panose="020B0604020202090204"/>
                    <a:cs typeface="Arial" panose="020B0604020202090204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('Profit and Loss'!#REF!,'Profit and Loss'!#REF!,'Profit and Loss'!#REF!,'Profit and Loss'!#REF!,'Profit and Loss'!#REF!)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('Profit and Loss'!#REF!,'Profit and Loss'!#REF!,'Profit and Loss'!#REF!,'Profit and Loss'!#REF!,'Profit and Loss'!#REF!)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f495218e-83a0-47c2-b35a-3a1fd181eafd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150" b="0" i="0" u="none" strike="noStrike" baseline="0">
          <a:solidFill>
            <a:srgbClr val="000000"/>
          </a:solidFill>
          <a:latin typeface="Arial" panose="020B0604020202090204"/>
          <a:ea typeface="Arial" panose="020B0604020202090204"/>
          <a:cs typeface="Arial" panose="020B060402020209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"Store based retail"</c:f>
              <c:strCache>
                <c:ptCount val="1"/>
                <c:pt idx="0">
                  <c:v>Store based 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Loss'!$P$19:$AA$19</c:f>
            </c:numRef>
          </c:val>
        </c:ser>
        <c:ser>
          <c:idx val="1"/>
          <c:order val="1"/>
          <c:tx>
            <c:strRef>
              <c:f>"Online"</c:f>
              <c:strCache>
                <c:ptCount val="1"/>
                <c:pt idx="0">
                  <c:v>Online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Loss'!$P$25:$AA$25</c:f>
            </c:numRef>
          </c:val>
        </c:ser>
        <c:ser>
          <c:idx val="2"/>
          <c:order val="2"/>
          <c:tx>
            <c:strRef>
              <c:f>'Profit and Loss OLd'!$A$5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OLd'!$P$9:$AA$9</c:f>
              <c:numCache>
                <c:formatCode>0.0%</c:formatCode>
                <c:ptCount val="9"/>
                <c:pt idx="0">
                  <c:v>0.640529463145871</c:v>
                </c:pt>
                <c:pt idx="1">
                  <c:v>0.640619500175994</c:v>
                </c:pt>
                <c:pt idx="2">
                  <c:v>0.645108022567772</c:v>
                </c:pt>
                <c:pt idx="3">
                  <c:v>0.663730416789831</c:v>
                </c:pt>
                <c:pt idx="4">
                  <c:v>0.664178330741317</c:v>
                </c:pt>
                <c:pt idx="5">
                  <c:v>0.688896220190404</c:v>
                </c:pt>
                <c:pt idx="6">
                  <c:v>0.668329305182833</c:v>
                </c:pt>
                <c:pt idx="7">
                  <c:v>0.64345355923743</c:v>
                </c:pt>
                <c:pt idx="8">
                  <c:v>0.613531181830347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59165184"/>
        <c:axId val="959166720"/>
      </c:barChart>
      <c:catAx>
        <c:axId val="9591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166720"/>
        <c:crosses val="autoZero"/>
        <c:auto val="1"/>
        <c:lblAlgn val="ctr"/>
        <c:lblOffset val="100"/>
        <c:noMultiLvlLbl val="0"/>
      </c:catAx>
      <c:valAx>
        <c:axId val="95916672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16518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5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d5b837-0841-429b-95d5-97caa7afb00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 OLd'!$A$361</c:f>
              <c:strCache>
                <c:ptCount val="1"/>
                <c:pt idx="0">
                  <c:v>Operating Income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OLd'!$L$318:$AA$318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OLd'!$L$361:$AA$361</c:f>
              <c:numCache>
                <c:formatCode>#,##0.0</c:formatCode>
                <c:ptCount val="9"/>
                <c:pt idx="0">
                  <c:v>920</c:v>
                </c:pt>
                <c:pt idx="1">
                  <c:v>1181</c:v>
                </c:pt>
                <c:pt idx="2">
                  <c:v>883</c:v>
                </c:pt>
                <c:pt idx="3">
                  <c:v>1059</c:v>
                </c:pt>
                <c:pt idx="4">
                  <c:v>1491</c:v>
                </c:pt>
                <c:pt idx="5">
                  <c:v>2070</c:v>
                </c:pt>
                <c:pt idx="6">
                  <c:v>2375.81460000803</c:v>
                </c:pt>
                <c:pt idx="7">
                  <c:v>2757.97229964445</c:v>
                </c:pt>
                <c:pt idx="8">
                  <c:v>3093.73011522014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9214720"/>
        <c:axId val="959216256"/>
      </c:bar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 OLd'!$K$318:$AA$318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OLd'!$L$363:$AA$363</c:f>
              <c:numCache>
                <c:formatCode>0.0%</c:formatCode>
                <c:ptCount val="9"/>
                <c:pt idx="0">
                  <c:v>0.0618154941879997</c:v>
                </c:pt>
                <c:pt idx="1">
                  <c:v>0.0831397395283351</c:v>
                </c:pt>
                <c:pt idx="2">
                  <c:v>0.060754093848906</c:v>
                </c:pt>
                <c:pt idx="3">
                  <c:v>0.0626071534141295</c:v>
                </c:pt>
                <c:pt idx="4">
                  <c:v>0.077293934681182</c:v>
                </c:pt>
                <c:pt idx="5">
                  <c:v>0.0975586765953436</c:v>
                </c:pt>
                <c:pt idx="6">
                  <c:v>0.105597130605841</c:v>
                </c:pt>
                <c:pt idx="7">
                  <c:v>0.113640088485897</c:v>
                </c:pt>
                <c:pt idx="8">
                  <c:v>0.11903653646425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218048"/>
        <c:axId val="959219584"/>
      </c:lineChart>
      <c:catAx>
        <c:axId val="9592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16256"/>
        <c:crosses val="autoZero"/>
        <c:auto val="1"/>
        <c:lblAlgn val="ctr"/>
        <c:lblOffset val="100"/>
        <c:noMultiLvlLbl val="0"/>
      </c:catAx>
      <c:valAx>
        <c:axId val="959216256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14720"/>
        <c:crosses val="autoZero"/>
        <c:crossBetween val="between"/>
      </c:valAx>
      <c:catAx>
        <c:axId val="95921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19584"/>
        <c:crosses val="autoZero"/>
        <c:auto val="1"/>
        <c:lblAlgn val="ctr"/>
        <c:lblOffset val="100"/>
        <c:noMultiLvlLbl val="0"/>
      </c:catAx>
      <c:valAx>
        <c:axId val="9592195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18048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4c8c67-8b81-4e1a-bc1b-bb3a4e49638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 OLd'!$A$319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OLd'!$L$318:$AA$318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OLd'!$L$319:$AA$319</c:f>
              <c:numCache>
                <c:formatCode>#,##0.0</c:formatCode>
                <c:ptCount val="9"/>
                <c:pt idx="0">
                  <c:v>14883</c:v>
                </c:pt>
                <c:pt idx="1">
                  <c:v>14205</c:v>
                </c:pt>
                <c:pt idx="2">
                  <c:v>14534</c:v>
                </c:pt>
                <c:pt idx="3">
                  <c:v>16915</c:v>
                </c:pt>
                <c:pt idx="4">
                  <c:v>19290</c:v>
                </c:pt>
                <c:pt idx="5">
                  <c:v>21218</c:v>
                </c:pt>
                <c:pt idx="6">
                  <c:v>22498.85566376</c:v>
                </c:pt>
                <c:pt idx="7">
                  <c:v>24269.360719362</c:v>
                </c:pt>
                <c:pt idx="8">
                  <c:v>25989.7524500747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9257984"/>
        <c:axId val="959272064"/>
      </c:barChart>
      <c:lineChart>
        <c:grouping val="standard"/>
        <c:varyColors val="0"/>
        <c:ser>
          <c:idx val="1"/>
          <c:order val="1"/>
          <c:tx>
            <c:strRef>
              <c:f>"Growth (cFX)"</c:f>
              <c:strCache>
                <c:ptCount val="1"/>
                <c:pt idx="0">
                  <c:v>Growth (cFX)</c:v>
                </c:pt>
              </c:strCache>
            </c:strRef>
          </c:tx>
          <c:marker>
            <c:symbol val="none"/>
          </c:marker>
          <c:dLbls>
            <c:delete val="1"/>
          </c:dLbls>
          <c:val>
            <c:numRef>
              <c:f>'Profit and Loss OLd'!$L$35:$AA$35</c:f>
              <c:numCache>
                <c:formatCode>0.0%</c:formatCode>
                <c:ptCount val="9"/>
                <c:pt idx="0">
                  <c:v>0.0637775576071455</c:v>
                </c:pt>
                <c:pt idx="1">
                  <c:v>0.0294190687361419</c:v>
                </c:pt>
                <c:pt idx="2">
                  <c:v>0.0646918989787469</c:v>
                </c:pt>
                <c:pt idx="3">
                  <c:v>0.0963410858047203</c:v>
                </c:pt>
                <c:pt idx="4">
                  <c:v>0.1815992905705</c:v>
                </c:pt>
                <c:pt idx="5">
                  <c:v>0.170007257646449</c:v>
                </c:pt>
                <c:pt idx="6">
                  <c:v>0.0889278006705356</c:v>
                </c:pt>
                <c:pt idx="7">
                  <c:v>0.078693115866057</c:v>
                </c:pt>
                <c:pt idx="8">
                  <c:v>0.0708873938051524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273600"/>
        <c:axId val="959275392"/>
      </c:lineChart>
      <c:catAx>
        <c:axId val="95925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72064"/>
        <c:crosses val="autoZero"/>
        <c:auto val="1"/>
        <c:lblAlgn val="ctr"/>
        <c:lblOffset val="100"/>
        <c:noMultiLvlLbl val="0"/>
      </c:catAx>
      <c:valAx>
        <c:axId val="959272064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57984"/>
        <c:crosses val="autoZero"/>
        <c:crossBetween val="between"/>
      </c:valAx>
      <c:catAx>
        <c:axId val="95927360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75392"/>
        <c:crosses val="autoZero"/>
        <c:auto val="1"/>
        <c:lblAlgn val="ctr"/>
        <c:lblOffset val="100"/>
        <c:noMultiLvlLbl val="0"/>
      </c:catAx>
      <c:valAx>
        <c:axId val="9592753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27360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203234-4f07-4f91-9c7b-99f23a26e83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Loss'!$A$231</c:f>
              <c:strCache>
                <c:ptCount val="1"/>
                <c:pt idx="0">
                  <c:v>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Loss'!$A$227,'Profit and Loss'!$A$238,'Profit and Loss'!$A$249,'Profit and Loss'!$A$260,'Profit and Loss'!$A$271,'Profit and Loss'!$A$282,'Profit and Loss'!$A$293,'Profit and Loss'!$A$304,'Profit and Loss'!$A$307,'Profit and Loss'!$A$312)</c:f>
              <c:numCache>
                <c:ptCount val="0"/>
              </c:numCache>
            </c:numRef>
          </c:cat>
          <c:val>
            <c:numRef>
              <c:f>('Profit and Loss'!$U$231,'Profit and Loss'!$U$242,'Profit and Loss'!$U$253,'Profit and Loss'!$U$264,'Profit and Loss'!$U$275,'Profit and Loss'!$U$286,'Profit and Loss'!$U$297)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295872"/>
        <c:axId val="959297408"/>
      </c:barChart>
      <c:catAx>
        <c:axId val="9592958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297408"/>
        <c:crosses val="autoZero"/>
        <c:auto val="1"/>
        <c:lblAlgn val="ctr"/>
        <c:lblOffset val="100"/>
        <c:noMultiLvlLbl val="0"/>
      </c:catAx>
      <c:valAx>
        <c:axId val="95929740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29587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e30d28-f90f-41db-94fe-b0626d8eb215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Loss'!$A$231</c:f>
              <c:strCache>
                <c:ptCount val="1"/>
                <c:pt idx="0">
                  <c:v>Gross margin</c:v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Loss'!$A$227,'Profit and Loss'!$A$238,'Profit and Loss'!$A$249,'Profit and Loss'!$A$260,'Profit and Loss'!$A$271,'Profit and Loss'!$A$282,'Profit and Loss'!$A$293,'Profit and Loss'!$A$304,'Profit and Loss'!$A$307,'Profit and Loss'!$A$312)</c:f>
              <c:numCache>
                <c:ptCount val="0"/>
              </c:numCache>
            </c:numRef>
          </c:cat>
          <c:val>
            <c:numRef>
              <c:f>('Profit and Loss'!$U$231,'Profit and Loss'!$U$242,'Profit and Loss'!$U$253,'Profit and Loss'!$U$264,'Profit and Loss'!$U$275,'Profit and Loss'!$U$286,'Profit and Loss'!$U$297,'Profit and Loss'!$U$306,'Profit and Loss'!$U$309,'Profit and Loss'!$U$316)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308928"/>
        <c:axId val="959310464"/>
      </c:barChart>
      <c:catAx>
        <c:axId val="9593089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310464"/>
        <c:crosses val="autoZero"/>
        <c:auto val="1"/>
        <c:lblAlgn val="ctr"/>
        <c:lblOffset val="100"/>
        <c:noMultiLvlLbl val="0"/>
      </c:catAx>
      <c:valAx>
        <c:axId val="95931046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30892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0add94-618f-4e30-9254-bfb7083260d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'Profit and Loss OLd'!$A$5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OLd'!$N$1:$U$1</c:f>
              <c:strCache>
                <c:ptCount val="3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</c:strCache>
            </c:strRef>
          </c:cat>
          <c:val>
            <c:numRef>
              <c:f>'Profit and Loss OLd'!$N$9:$U$9</c:f>
              <c:numCache>
                <c:formatCode>0.0%</c:formatCode>
                <c:ptCount val="3"/>
                <c:pt idx="0">
                  <c:v>0.640529463145871</c:v>
                </c:pt>
                <c:pt idx="1">
                  <c:v>0.640619500175994</c:v>
                </c:pt>
                <c:pt idx="2">
                  <c:v>0.645108022567772</c:v>
                </c:pt>
              </c:numCache>
            </c:numRef>
          </c:val>
        </c:ser>
        <c:ser>
          <c:idx val="1"/>
          <c:order val="1"/>
          <c:tx>
            <c:strRef>
              <c:f>'Profit and Loss OLd'!$A$10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OLd'!$N$1:$U$1</c:f>
              <c:strCache>
                <c:ptCount val="3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</c:strCache>
            </c:strRef>
          </c:cat>
          <c:val>
            <c:numRef>
              <c:f>'Profit and Loss OLd'!$N$14:$U$14</c:f>
              <c:numCache>
                <c:formatCode>0.0%</c:formatCode>
                <c:ptCount val="3"/>
                <c:pt idx="0">
                  <c:v>0.226634415104482</c:v>
                </c:pt>
                <c:pt idx="1">
                  <c:v>0.242590637099613</c:v>
                </c:pt>
                <c:pt idx="2">
                  <c:v>0.262870867794042</c:v>
                </c:pt>
              </c:numCache>
            </c:numRef>
          </c:val>
        </c:ser>
        <c:ser>
          <c:idx val="2"/>
          <c:order val="2"/>
          <c:tx>
            <c:strRef>
              <c:f>'Profit and Loss OLd'!$A$27</c:f>
              <c:strCache>
                <c:ptCount val="1"/>
                <c:pt idx="0">
                  <c:v>Other Businesses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OLd'!$N$1:$U$1</c:f>
              <c:strCache>
                <c:ptCount val="3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</c:strCache>
            </c:strRef>
          </c:cat>
          <c:val>
            <c:numRef>
              <c:f>'Profit and Loss OLd'!$N$31:$U$31</c:f>
              <c:numCache>
                <c:formatCode>0.0%</c:formatCode>
                <c:ptCount val="3"/>
                <c:pt idx="0">
                  <c:v>0.132836121749647</c:v>
                </c:pt>
                <c:pt idx="1">
                  <c:v>0.116789862724393</c:v>
                </c:pt>
                <c:pt idx="2">
                  <c:v>0.0934360809137195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59361024"/>
        <c:axId val="959362560"/>
      </c:barChart>
      <c:catAx>
        <c:axId val="95936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362560"/>
        <c:crosses val="autoZero"/>
        <c:auto val="1"/>
        <c:lblAlgn val="ctr"/>
        <c:lblOffset val="100"/>
        <c:noMultiLvlLbl val="0"/>
      </c:catAx>
      <c:valAx>
        <c:axId val="95936256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36102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813d4b-563d-445a-9c4c-28877b68845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 OLd'!$A$403</c:f>
              <c:strCache>
                <c:ptCount val="1"/>
                <c:pt idx="0">
                  <c:v>EPS (basic - adj)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OLd'!$L$1:$AA$1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OLd'!$L$403:$AA$403</c:f>
              <c:numCache>
                <c:formatCode>#,##0.00;[Red]\-#,##0.00</c:formatCode>
                <c:ptCount val="9"/>
                <c:pt idx="0">
                  <c:v>3.77121873352571</c:v>
                </c:pt>
                <c:pt idx="1">
                  <c:v>3.92895031553629</c:v>
                </c:pt>
                <c:pt idx="2">
                  <c:v>3.04632049580188</c:v>
                </c:pt>
                <c:pt idx="3">
                  <c:v>3.36911813129476</c:v>
                </c:pt>
                <c:pt idx="4">
                  <c:v>5.08521288229686</c:v>
                </c:pt>
                <c:pt idx="5">
                  <c:v>7.13424946573705</c:v>
                </c:pt>
                <c:pt idx="6">
                  <c:v>8.21962065488215</c:v>
                </c:pt>
                <c:pt idx="7">
                  <c:v>9.62408989664877</c:v>
                </c:pt>
                <c:pt idx="8">
                  <c:v>10.8664255006734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59380480"/>
        <c:axId val="959451904"/>
      </c:barChart>
      <c:lineChart>
        <c:grouping val="standard"/>
        <c:varyColors val="0"/>
        <c:ser>
          <c:idx val="1"/>
          <c:order val="1"/>
          <c:tx>
            <c:strRef>
              <c:f>'Profit and Loss OLd'!$A$395</c:f>
              <c:strCache>
                <c:ptCount val="1"/>
                <c:pt idx="0">
                  <c:v>  Growth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 OLd'!$L$1:$AA$1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OLd'!$L$395:$AA$395</c:f>
              <c:numCache>
                <c:formatCode>0.0%</c:formatCode>
                <c:ptCount val="9"/>
                <c:pt idx="0">
                  <c:v>0.297697368421053</c:v>
                </c:pt>
                <c:pt idx="1">
                  <c:v>0.0418250950570342</c:v>
                </c:pt>
                <c:pt idx="2">
                  <c:v>-0.226277372262774</c:v>
                </c:pt>
                <c:pt idx="3">
                  <c:v>0.0487421383647799</c:v>
                </c:pt>
                <c:pt idx="4">
                  <c:v>0.52623688155922</c:v>
                </c:pt>
                <c:pt idx="5">
                  <c:v>0.424214145383104</c:v>
                </c:pt>
                <c:pt idx="6">
                  <c:v>0.15213530089713</c:v>
                </c:pt>
                <c:pt idx="7">
                  <c:v>0.170867890470398</c:v>
                </c:pt>
                <c:pt idx="8">
                  <c:v>0.129086034873511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463424"/>
        <c:axId val="959453440"/>
      </c:lineChart>
      <c:catAx>
        <c:axId val="959380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451904"/>
        <c:crosses val="autoZero"/>
        <c:auto val="1"/>
        <c:lblAlgn val="ctr"/>
        <c:lblOffset val="100"/>
        <c:noMultiLvlLbl val="0"/>
      </c:catAx>
      <c:valAx>
        <c:axId val="959451904"/>
        <c:scaling>
          <c:orientation val="minMax"/>
        </c:scaling>
        <c:delete val="0"/>
        <c:axPos val="l"/>
        <c:numFmt formatCode="#,##0.00_);[Red]\(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380480"/>
        <c:crosses val="autoZero"/>
        <c:crossBetween val="between"/>
      </c:valAx>
      <c:catAx>
        <c:axId val="95946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453440"/>
        <c:crosses val="autoZero"/>
        <c:auto val="1"/>
        <c:lblAlgn val="ctr"/>
        <c:lblOffset val="100"/>
        <c:noMultiLvlLbl val="0"/>
      </c:catAx>
      <c:valAx>
        <c:axId val="9594534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463424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3f5235-94bb-4e46-b9a7-fecb0a1546e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"Wholesale gross margin"</c:f>
              <c:strCache>
                <c:ptCount val="1"/>
                <c:pt idx="0">
                  <c:v>Wholesale gross margin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OLd'!$O$1:$U$1</c:f>
              <c:strCache>
                <c:ptCount val="3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</c:strCache>
            </c:strRef>
          </c:cat>
          <c:val>
            <c:numRef>
              <c:f>'Profit and Loss OLd'!$O$40:$U$40</c:f>
              <c:numCache>
                <c:formatCode>0.0%</c:formatCode>
                <c:ptCount val="3"/>
                <c:pt idx="0">
                  <c:v>0.402811287107941</c:v>
                </c:pt>
                <c:pt idx="1">
                  <c:v>0.426813186813187</c:v>
                </c:pt>
                <c:pt idx="2">
                  <c:v>0.417128839590444</c:v>
                </c:pt>
              </c:numCache>
            </c:numRef>
          </c:val>
        </c:ser>
        <c:ser>
          <c:idx val="1"/>
          <c:order val="1"/>
          <c:tx>
            <c:strRef>
              <c:f>"Retail gross margin"</c:f>
              <c:strCache>
                <c:ptCount val="1"/>
                <c:pt idx="0">
                  <c:v>Retail gross margin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OLd'!$O$1:$U$1</c:f>
              <c:strCache>
                <c:ptCount val="3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</c:strCache>
            </c:strRef>
          </c:cat>
          <c:val>
            <c:numRef>
              <c:f>'Profit and Loss OLd'!$O$42:$U$42</c:f>
              <c:numCache>
                <c:formatCode>0.0%</c:formatCode>
                <c:ptCount val="3"/>
                <c:pt idx="0">
                  <c:v>0.609249925882004</c:v>
                </c:pt>
                <c:pt idx="1">
                  <c:v>0.62188044109112</c:v>
                </c:pt>
                <c:pt idx="2">
                  <c:v>0.597032084275549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488384"/>
        <c:axId val="959489920"/>
      </c:barChart>
      <c:catAx>
        <c:axId val="95948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489920"/>
        <c:crosses val="autoZero"/>
        <c:auto val="1"/>
        <c:lblAlgn val="ctr"/>
        <c:lblOffset val="100"/>
        <c:noMultiLvlLbl val="0"/>
      </c:catAx>
      <c:valAx>
        <c:axId val="95948992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48838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91d2f2-879e-4457-88db-d2ffcc61382c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'Profit and Loss OLd'!$A$5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OLd'!$N$9:$AA$9</c:f>
              <c:numCache>
                <c:formatCode>0.0%</c:formatCode>
                <c:ptCount val="9"/>
                <c:pt idx="0">
                  <c:v>0.640529463145871</c:v>
                </c:pt>
                <c:pt idx="1">
                  <c:v>0.640619500175994</c:v>
                </c:pt>
                <c:pt idx="2">
                  <c:v>0.645108022567772</c:v>
                </c:pt>
                <c:pt idx="3">
                  <c:v>0.663730416789831</c:v>
                </c:pt>
                <c:pt idx="4">
                  <c:v>0.664178330741317</c:v>
                </c:pt>
                <c:pt idx="5">
                  <c:v>0.688896220190404</c:v>
                </c:pt>
                <c:pt idx="6">
                  <c:v>0.668329305182833</c:v>
                </c:pt>
                <c:pt idx="7">
                  <c:v>0.64345355923743</c:v>
                </c:pt>
                <c:pt idx="8">
                  <c:v>0.613531181830347</c:v>
                </c:pt>
              </c:numCache>
            </c:numRef>
          </c:val>
        </c:ser>
        <c:ser>
          <c:idx val="1"/>
          <c:order val="1"/>
          <c:tx>
            <c:strRef>
              <c:f>'Profit and Loss OLd'!$A$10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OLd'!$N$14:$AA$14</c:f>
              <c:numCache>
                <c:formatCode>0.0%</c:formatCode>
                <c:ptCount val="9"/>
                <c:pt idx="0">
                  <c:v>0.226634415104482</c:v>
                </c:pt>
                <c:pt idx="1">
                  <c:v>0.242590637099613</c:v>
                </c:pt>
                <c:pt idx="2">
                  <c:v>0.262870867794042</c:v>
                </c:pt>
                <c:pt idx="3">
                  <c:v>0.249541826780964</c:v>
                </c:pt>
                <c:pt idx="4">
                  <c:v>0.259357179885951</c:v>
                </c:pt>
                <c:pt idx="5">
                  <c:v>0.27618060137619</c:v>
                </c:pt>
                <c:pt idx="6">
                  <c:v>0.298197713869178</c:v>
                </c:pt>
                <c:pt idx="7">
                  <c:v>0.323963837352544</c:v>
                </c:pt>
                <c:pt idx="8">
                  <c:v>0.354521730382054</c:v>
                </c:pt>
              </c:numCache>
            </c:numRef>
          </c:val>
        </c:ser>
        <c:ser>
          <c:idx val="2"/>
          <c:order val="2"/>
          <c:tx>
            <c:strRef>
              <c:f>'Profit and Loss OLd'!$A$27</c:f>
              <c:strCache>
                <c:ptCount val="1"/>
                <c:pt idx="0">
                  <c:v>Other Businesses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OLd'!$N$1:$AA$1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OLd'!$N$31:$AA$31</c:f>
              <c:numCache>
                <c:formatCode>0.0%</c:formatCode>
                <c:ptCount val="9"/>
                <c:pt idx="0">
                  <c:v>0.132836121749647</c:v>
                </c:pt>
                <c:pt idx="1">
                  <c:v>0.116789862724393</c:v>
                </c:pt>
                <c:pt idx="2">
                  <c:v>0.0934360809137195</c:v>
                </c:pt>
                <c:pt idx="3">
                  <c:v>0.0867277564292048</c:v>
                </c:pt>
                <c:pt idx="4">
                  <c:v>0.076464489372732</c:v>
                </c:pt>
                <c:pt idx="5">
                  <c:v>0.0349231784334056</c:v>
                </c:pt>
                <c:pt idx="6">
                  <c:v>0.0334729809479891</c:v>
                </c:pt>
                <c:pt idx="7">
                  <c:v>0.0325826034100256</c:v>
                </c:pt>
                <c:pt idx="8">
                  <c:v>0.0319470877875996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59581184"/>
        <c:axId val="959587072"/>
      </c:barChart>
      <c:catAx>
        <c:axId val="959581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587072"/>
        <c:crosses val="autoZero"/>
        <c:auto val="1"/>
        <c:lblAlgn val="ctr"/>
        <c:lblOffset val="100"/>
        <c:noMultiLvlLbl val="0"/>
      </c:catAx>
      <c:valAx>
        <c:axId val="95958707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58118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1b81e3-40ad-4561-b61f-03dcb7130e5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Loss'!$AO$234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Loss'!$AP$234,'Profit and Loss'!$AU$234)</c:f>
            </c:numRef>
          </c:val>
        </c:ser>
        <c:ser>
          <c:idx val="1"/>
          <c:order val="1"/>
          <c:tx>
            <c:strRef>
              <c:f>'Profit and Loss'!$AO$244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Loss'!$AP$244,'Profit and Loss'!$AU$244)</c:f>
            </c:numRef>
          </c:val>
        </c:ser>
        <c:ser>
          <c:idx val="2"/>
          <c:order val="2"/>
          <c:tx>
            <c:strRef>
              <c:f>'Profit and Loss'!$AO$254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('Profit and Loss'!$AP$226,'Profit and Loss'!$AU$226)</c:f>
              <c:numCache>
                <c:ptCount val="0"/>
              </c:numCache>
            </c:numRef>
          </c:cat>
          <c:val>
            <c:numRef>
              <c:f>('Profit and Loss'!$AP$254,'Profit and Loss'!$AU$254)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620992"/>
        <c:axId val="959622528"/>
      </c:barChart>
      <c:catAx>
        <c:axId val="95962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622528"/>
        <c:crosses val="autoZero"/>
        <c:auto val="1"/>
        <c:lblAlgn val="ctr"/>
        <c:lblOffset val="100"/>
        <c:noMultiLvlLbl val="0"/>
      </c:catAx>
      <c:valAx>
        <c:axId val="95962252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62099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58e70d-06a8-4de0-8148-93f35005b83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"Store based retail"</c:f>
              <c:strCache>
                <c:ptCount val="1"/>
                <c:pt idx="0">
                  <c:v>Store based 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Loss'!$P$15:$AA$15</c:f>
            </c:numRef>
          </c:val>
        </c:ser>
        <c:ser>
          <c:idx val="1"/>
          <c:order val="1"/>
          <c:tx>
            <c:strRef>
              <c:f>"e-Commerce"</c:f>
              <c:strCache>
                <c:ptCount val="1"/>
                <c:pt idx="0">
                  <c:v>e-Commerce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Loss'!$P$21:$AA$21</c:f>
            </c:numRef>
          </c:val>
        </c:ser>
        <c:ser>
          <c:idx val="2"/>
          <c:order val="2"/>
          <c:tx>
            <c:strRef>
              <c:f>'Profit and Loss OLd'!$A$5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OLd'!$P$5:$AA$5</c:f>
              <c:numCache>
                <c:formatCode>#,##0;[Red]\-#,##0</c:formatCode>
                <c:ptCount val="9"/>
                <c:pt idx="0">
                  <c:v>9533</c:v>
                </c:pt>
                <c:pt idx="1">
                  <c:v>9100</c:v>
                </c:pt>
                <c:pt idx="2">
                  <c:v>9376</c:v>
                </c:pt>
                <c:pt idx="3">
                  <c:v>11227</c:v>
                </c:pt>
                <c:pt idx="4">
                  <c:v>12812</c:v>
                </c:pt>
                <c:pt idx="5">
                  <c:v>14617</c:v>
                </c:pt>
                <c:pt idx="6">
                  <c:v>15036.6445731696</c:v>
                </c:pt>
                <c:pt idx="7">
                  <c:v>15616.2065352906</c:v>
                </c:pt>
                <c:pt idx="8">
                  <c:v>15945.5235361725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59988480"/>
        <c:axId val="959990016"/>
      </c:barChart>
      <c:catAx>
        <c:axId val="95998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990016"/>
        <c:crosses val="autoZero"/>
        <c:auto val="1"/>
        <c:lblAlgn val="ctr"/>
        <c:lblOffset val="100"/>
        <c:noMultiLvlLbl val="0"/>
      </c:catAx>
      <c:valAx>
        <c:axId val="959990016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5998848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50" b="0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9b1f11-2bb8-49e2-b219-c5511093ec4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'Profit and Loss OLd'!$A$97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OLd'!$U$101:$AA$101</c:f>
              <c:numCache>
                <c:formatCode>0.0%</c:formatCode>
                <c:ptCount val="7"/>
                <c:pt idx="0">
                  <c:v>0.260992224592307</c:v>
                </c:pt>
                <c:pt idx="1">
                  <c:v>0.268341708542714</c:v>
                </c:pt>
                <c:pt idx="2">
                  <c:v>0.274287195438051</c:v>
                </c:pt>
                <c:pt idx="3">
                  <c:v>0.277264586671694</c:v>
                </c:pt>
                <c:pt idx="4">
                  <c:v>0.273496841256205</c:v>
                </c:pt>
                <c:pt idx="5">
                  <c:v>0.266221855961742</c:v>
                </c:pt>
                <c:pt idx="6">
                  <c:v>0.261029264493041</c:v>
                </c:pt>
              </c:numCache>
            </c:numRef>
          </c:val>
        </c:ser>
        <c:ser>
          <c:idx val="1"/>
          <c:order val="1"/>
          <c:tx>
            <c:strRef>
              <c:f>'Profit and Loss OLd'!$A$102</c:f>
              <c:strCache>
                <c:ptCount val="1"/>
                <c:pt idx="0">
                  <c:v>North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OLd'!$U$106:$AA$106</c:f>
              <c:numCache>
                <c:formatCode>0.0%</c:formatCode>
                <c:ptCount val="7"/>
                <c:pt idx="0">
                  <c:v>0.152549370398404</c:v>
                </c:pt>
                <c:pt idx="1">
                  <c:v>0.162814070351759</c:v>
                </c:pt>
                <c:pt idx="2">
                  <c:v>0.176879212026957</c:v>
                </c:pt>
                <c:pt idx="3">
                  <c:v>0.20147987557734</c:v>
                </c:pt>
                <c:pt idx="4">
                  <c:v>0.210484718007738</c:v>
                </c:pt>
                <c:pt idx="5">
                  <c:v>0.219520551559827</c:v>
                </c:pt>
                <c:pt idx="6">
                  <c:v>0.225488326889153</c:v>
                </c:pt>
              </c:numCache>
            </c:numRef>
          </c:val>
        </c:ser>
        <c:ser>
          <c:idx val="2"/>
          <c:order val="2"/>
          <c:tx>
            <c:strRef>
              <c:f>'Profit and Loss OLd'!$A$107</c:f>
              <c:strCache>
                <c:ptCount val="1"/>
                <c:pt idx="0">
                  <c:v>Latin America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OLd'!$U$111:$AA$111</c:f>
              <c:numCache>
                <c:formatCode>0.0%</c:formatCode>
                <c:ptCount val="7"/>
                <c:pt idx="0">
                  <c:v>0.11091997522879</c:v>
                </c:pt>
                <c:pt idx="1">
                  <c:v>0.105409399940881</c:v>
                </c:pt>
                <c:pt idx="2">
                  <c:v>0.0897356143079316</c:v>
                </c:pt>
                <c:pt idx="3">
                  <c:v>0.0898765199359035</c:v>
                </c:pt>
                <c:pt idx="4">
                  <c:v>0.0846359745871211</c:v>
                </c:pt>
                <c:pt idx="5">
                  <c:v>0.0823846671582096</c:v>
                </c:pt>
                <c:pt idx="6">
                  <c:v>0.0807777745975218</c:v>
                </c:pt>
              </c:numCache>
            </c:numRef>
          </c:val>
        </c:ser>
        <c:ser>
          <c:idx val="3"/>
          <c:order val="3"/>
          <c:tx>
            <c:strRef>
              <c:f>'Profit and Loss OLd'!$A$112</c:f>
              <c:strCache>
                <c:ptCount val="1"/>
                <c:pt idx="0">
                  <c:v>Greater China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OLd'!$U$116:$AA$116</c:f>
              <c:numCache>
                <c:formatCode>0.0%</c:formatCode>
                <c:ptCount val="7"/>
                <c:pt idx="0">
                  <c:v>0.122892726897406</c:v>
                </c:pt>
                <c:pt idx="1">
                  <c:v>0.145965119716228</c:v>
                </c:pt>
                <c:pt idx="2">
                  <c:v>0.156039398652151</c:v>
                </c:pt>
                <c:pt idx="3">
                  <c:v>0.17857479498539</c:v>
                </c:pt>
                <c:pt idx="4">
                  <c:v>0.190067955876728</c:v>
                </c:pt>
                <c:pt idx="5">
                  <c:v>0.198227324543221</c:v>
                </c:pt>
                <c:pt idx="6">
                  <c:v>0.203616232910121</c:v>
                </c:pt>
              </c:numCache>
            </c:numRef>
          </c:val>
        </c:ser>
        <c:ser>
          <c:idx val="4"/>
          <c:order val="4"/>
          <c:tx>
            <c:strRef>
              <c:f>'Profit and Loss OLd'!$A$117</c:f>
              <c:strCache>
                <c:ptCount val="1"/>
                <c:pt idx="0">
                  <c:v>Japan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OLd'!$U$121:$AA$121</c:f>
              <c:numCache>
                <c:formatCode>0.0%</c:formatCode>
                <c:ptCount val="7"/>
                <c:pt idx="0">
                  <c:v>0.0511938347209798</c:v>
                </c:pt>
                <c:pt idx="1">
                  <c:v>0.0458764410286728</c:v>
                </c:pt>
                <c:pt idx="2">
                  <c:v>0.0522032141005702</c:v>
                </c:pt>
                <c:pt idx="3">
                  <c:v>0.0497690640022622</c:v>
                </c:pt>
                <c:pt idx="4">
                  <c:v>0.046862576848321</c:v>
                </c:pt>
                <c:pt idx="5">
                  <c:v>0.0456160375615552</c:v>
                </c:pt>
                <c:pt idx="6">
                  <c:v>0.0447263080289353</c:v>
                </c:pt>
              </c:numCache>
            </c:numRef>
          </c:val>
        </c:ser>
        <c:ser>
          <c:idx val="5"/>
          <c:order val="5"/>
          <c:tx>
            <c:strRef>
              <c:f>'Profit and Loss OLd'!$A$122</c:f>
              <c:strCache>
                <c:ptCount val="1"/>
                <c:pt idx="0">
                  <c:v>Russia/ CIS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OLd'!$U$126:$AA$126</c:f>
              <c:numCache>
                <c:formatCode>0.0%</c:formatCode>
                <c:ptCount val="7"/>
                <c:pt idx="0">
                  <c:v>0.0755521915640267</c:v>
                </c:pt>
                <c:pt idx="1">
                  <c:v>0.0436890334023056</c:v>
                </c:pt>
                <c:pt idx="2">
                  <c:v>0.0351995852773458</c:v>
                </c:pt>
                <c:pt idx="3">
                  <c:v>0.0311056650014139</c:v>
                </c:pt>
                <c:pt idx="4">
                  <c:v>0.0269666935055584</c:v>
                </c:pt>
                <c:pt idx="5">
                  <c:v>0.0249994118891799</c:v>
                </c:pt>
                <c:pt idx="6">
                  <c:v>0.0245118045421823</c:v>
                </c:pt>
              </c:numCache>
            </c:numRef>
          </c:val>
        </c:ser>
        <c:ser>
          <c:idx val="6"/>
          <c:order val="6"/>
          <c:tx>
            <c:strRef>
              <c:f>'Profit and Loss OLd'!$A$127</c:f>
              <c:strCache>
                <c:ptCount val="1"/>
                <c:pt idx="0">
                  <c:v>MEAA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OLd'!$U$1:$AA$1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OLd'!$U$131:$AA$131</c:f>
              <c:numCache>
                <c:formatCode>0.0%</c:formatCode>
                <c:ptCount val="7"/>
                <c:pt idx="0">
                  <c:v>0.132457166448772</c:v>
                </c:pt>
                <c:pt idx="1">
                  <c:v>0.141176470588235</c:v>
                </c:pt>
                <c:pt idx="2">
                  <c:v>0.139191290824261</c:v>
                </c:pt>
                <c:pt idx="3">
                  <c:v>0.137006315392591</c:v>
                </c:pt>
                <c:pt idx="4">
                  <c:v>0.134012258970339</c:v>
                </c:pt>
                <c:pt idx="5">
                  <c:v>0.13044754791624</c:v>
                </c:pt>
                <c:pt idx="6">
                  <c:v>0.127903200751445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60028032"/>
        <c:axId val="960033920"/>
      </c:barChart>
      <c:catAx>
        <c:axId val="960028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033920"/>
        <c:crosses val="autoZero"/>
        <c:auto val="1"/>
        <c:lblAlgn val="ctr"/>
        <c:lblOffset val="100"/>
        <c:noMultiLvlLbl val="0"/>
      </c:catAx>
      <c:valAx>
        <c:axId val="96003392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02803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9b6746-053a-4b32-b2dc-9735622746f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'Profit and Loss OLd'!$P$1:$AA$1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OLd'!$P$355:$AA$355</c:f>
              <c:numCache>
                <c:formatCode>0.0%</c:formatCode>
                <c:ptCount val="9"/>
                <c:pt idx="0">
                  <c:v>0.154214559386973</c:v>
                </c:pt>
                <c:pt idx="1">
                  <c:v>-0.0643983402489626</c:v>
                </c:pt>
                <c:pt idx="2">
                  <c:v>0.0324640766365087</c:v>
                </c:pt>
                <c:pt idx="3">
                  <c:v>0.181099656357388</c:v>
                </c:pt>
                <c:pt idx="4">
                  <c:v>0.106924643584521</c:v>
                </c:pt>
                <c:pt idx="5">
                  <c:v>0.0951178801468153</c:v>
                </c:pt>
                <c:pt idx="6">
                  <c:v>0.0619912430043448</c:v>
                </c:pt>
                <c:pt idx="7">
                  <c:v>0.0733590144198033</c:v>
                </c:pt>
                <c:pt idx="8">
                  <c:v>0.0661816588206885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dLbls>
            <c:delete val="1"/>
          </c:dLbls>
          <c:cat>
            <c:strRef>
              <c:f>'Profit and Loss OLd'!$P$1:$AA$1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OLd'!$P$527:$AA$527</c:f>
              <c:numCache>
                <c:formatCode>0.0%</c:formatCode>
                <c:ptCount val="9"/>
                <c:pt idx="0">
                  <c:v>0.026006711409396</c:v>
                </c:pt>
                <c:pt idx="1">
                  <c:v>0.120196238757154</c:v>
                </c:pt>
                <c:pt idx="2">
                  <c:v>0.063138686131387</c:v>
                </c:pt>
                <c:pt idx="3">
                  <c:v>-0.0308959835221421</c:v>
                </c:pt>
                <c:pt idx="4">
                  <c:v>0.053134962805526</c:v>
                </c:pt>
                <c:pt idx="5">
                  <c:v>0.00336360578540185</c:v>
                </c:pt>
                <c:pt idx="6">
                  <c:v>0.00335232986925904</c:v>
                </c:pt>
                <c:pt idx="7">
                  <c:v>0.00334112930170405</c:v>
                </c:pt>
                <c:pt idx="8">
                  <c:v>0.00333000333000344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800832"/>
        <c:axId val="959802368"/>
      </c:lineChart>
      <c:catAx>
        <c:axId val="95980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02368"/>
        <c:crosses val="autoZero"/>
        <c:auto val="1"/>
        <c:lblAlgn val="ctr"/>
        <c:lblOffset val="100"/>
        <c:noMultiLvlLbl val="0"/>
      </c:catAx>
      <c:valAx>
        <c:axId val="95980236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0083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7762cb-9b81-4d33-b2cc-97c14a97c69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"Gross margin"</c:f>
              <c:strCache>
                <c:ptCount val="1"/>
                <c:pt idx="0">
                  <c:v>Gross margin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 OLd'!$U$318:$AA$318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OLd'!$U$328:$AA$328</c:f>
              <c:numCache>
                <c:formatCode>0.0%</c:formatCode>
                <c:ptCount val="7"/>
                <c:pt idx="0">
                  <c:v>0.47640016513004</c:v>
                </c:pt>
                <c:pt idx="1">
                  <c:v>0.482885013301803</c:v>
                </c:pt>
                <c:pt idx="2">
                  <c:v>0.486210471747019</c:v>
                </c:pt>
                <c:pt idx="3">
                  <c:v>0.504430200772929</c:v>
                </c:pt>
                <c:pt idx="4">
                  <c:v>0.513430200772929</c:v>
                </c:pt>
                <c:pt idx="5">
                  <c:v>0.520930200772929</c:v>
                </c:pt>
                <c:pt idx="6">
                  <c:v>0.525930200772929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845120"/>
        <c:axId val="959846656"/>
      </c:line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'Profit and Loss OLd'!$U$318:$AA$318</c:f>
              <c:strCache>
                <c:ptCount val="7"/>
                <c:pt idx="0" c:formatCode="#,##0.0_);[Red]\(#,##0.0\)">
                  <c:v>FY 14</c:v>
                </c:pt>
                <c:pt idx="1" c:formatCode="#,##0.0_);[Red]\(#,##0.0\)">
                  <c:v>FY 15</c:v>
                </c:pt>
                <c:pt idx="2" c:formatCode="#,##0.0_);[Red]\(#,##0.0\)">
                  <c:v>FY 16</c:v>
                </c:pt>
                <c:pt idx="3" c:formatCode="#,##0.0_);[Red]\(#,##0.0\)">
                  <c:v>FY 17E</c:v>
                </c:pt>
                <c:pt idx="4" c:formatCode="#,##0.0_);[Red]\(#,##0.0\)">
                  <c:v>FY 18E</c:v>
                </c:pt>
                <c:pt idx="5" c:formatCode="#,##0.0_);[Red]\(#,##0.0\)">
                  <c:v>FY 19E</c:v>
                </c:pt>
                <c:pt idx="6" c:formatCode="#,##0.0_);[Red]\(#,##0.0\)">
                  <c:v>FY 20E</c:v>
                </c:pt>
              </c:strCache>
            </c:strRef>
          </c:cat>
          <c:val>
            <c:numRef>
              <c:f>'Profit and Loss OLd'!$U$368:$AA$368</c:f>
              <c:numCache>
                <c:formatCode>0.0%</c:formatCode>
                <c:ptCount val="7"/>
                <c:pt idx="0">
                  <c:v>0.0661208201458649</c:v>
                </c:pt>
                <c:pt idx="1">
                  <c:v>0.0646172036653858</c:v>
                </c:pt>
                <c:pt idx="2">
                  <c:v>0.077293934681182</c:v>
                </c:pt>
                <c:pt idx="3">
                  <c:v>0.0975586765953436</c:v>
                </c:pt>
                <c:pt idx="4">
                  <c:v>0.105597130605841</c:v>
                </c:pt>
                <c:pt idx="5">
                  <c:v>0.113640088485897</c:v>
                </c:pt>
                <c:pt idx="6">
                  <c:v>0.11903653646425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849984"/>
        <c:axId val="959848448"/>
      </c:lineChart>
      <c:catAx>
        <c:axId val="95984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46656"/>
        <c:crosses val="autoZero"/>
        <c:auto val="1"/>
        <c:lblAlgn val="ctr"/>
        <c:lblOffset val="100"/>
        <c:noMultiLvlLbl val="0"/>
      </c:catAx>
      <c:valAx>
        <c:axId val="959846656"/>
        <c:scaling>
          <c:orientation val="minMax"/>
          <c:min val="0.4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45120"/>
        <c:crosses val="autoZero"/>
        <c:crossBetween val="between"/>
      </c:valAx>
      <c:catAx>
        <c:axId val="95984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48448"/>
        <c:crosses val="autoZero"/>
        <c:auto val="1"/>
        <c:lblAlgn val="ctr"/>
        <c:lblOffset val="100"/>
        <c:noMultiLvlLbl val="0"/>
      </c:catAx>
      <c:valAx>
        <c:axId val="959848448"/>
        <c:scaling>
          <c:orientation val="minMax"/>
          <c:max val="0.2"/>
          <c:min val="0.04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49984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842b19-68ea-416a-9a2d-2871d651a48d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and Loss OLd'!$AH$5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OLd'!$AI$4:$AQ$4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OLd'!$AI$5:$AQ$5</c:f>
              <c:numCache>
                <c:formatCode>#,##0.0_);[Red]\(#,##0.0\)</c:formatCode>
                <c:ptCount val="9"/>
                <c:pt idx="0">
                  <c:v>9533</c:v>
                </c:pt>
                <c:pt idx="1">
                  <c:v>9100</c:v>
                </c:pt>
                <c:pt idx="2">
                  <c:v>9376</c:v>
                </c:pt>
                <c:pt idx="3">
                  <c:v>11227</c:v>
                </c:pt>
                <c:pt idx="4">
                  <c:v>12812</c:v>
                </c:pt>
                <c:pt idx="5">
                  <c:v>14617</c:v>
                </c:pt>
                <c:pt idx="6">
                  <c:v>15036.6445731696</c:v>
                </c:pt>
                <c:pt idx="7">
                  <c:v>15616.2065352906</c:v>
                </c:pt>
                <c:pt idx="8">
                  <c:v>15945.5235361725</c:v>
                </c:pt>
              </c:numCache>
            </c:numRef>
          </c:val>
        </c:ser>
        <c:ser>
          <c:idx val="1"/>
          <c:order val="1"/>
          <c:tx>
            <c:strRef>
              <c:f>'Profit and Loss OLd'!$AH$6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OLd'!$AI$4:$AQ$4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OLd'!$AI$6:$AQ$6</c:f>
              <c:numCache>
                <c:formatCode>#,##0.0_);[Red]\(#,##0.0\)</c:formatCode>
                <c:ptCount val="9"/>
                <c:pt idx="0">
                  <c:v>3373</c:v>
                </c:pt>
                <c:pt idx="1">
                  <c:v>3446</c:v>
                </c:pt>
                <c:pt idx="2">
                  <c:v>3820.56519251861</c:v>
                </c:pt>
                <c:pt idx="3">
                  <c:v>4221</c:v>
                </c:pt>
                <c:pt idx="4">
                  <c:v>5003</c:v>
                </c:pt>
                <c:pt idx="5">
                  <c:v>5860</c:v>
                </c:pt>
                <c:pt idx="6">
                  <c:v>6709.10732360584</c:v>
                </c:pt>
                <c:pt idx="7">
                  <c:v>7862.39522873761</c:v>
                </c:pt>
                <c:pt idx="8">
                  <c:v>9213.9320108017</c:v>
                </c:pt>
              </c:numCache>
            </c:numRef>
          </c:val>
        </c:ser>
        <c:ser>
          <c:idx val="2"/>
          <c:order val="2"/>
          <c:tx>
            <c:strRef>
              <c:f>'Profit and Loss OLd'!$AH$7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elete val="1"/>
          </c:dLbls>
          <c:cat>
            <c:strRef>
              <c:f>'Profit and Loss OLd'!$AI$4:$AQ$4</c:f>
              <c:strCache>
                <c:ptCount val="9"/>
                <c:pt idx="0" c:formatCode="#,##0.0_);[Red]\(#,##0.0\)">
                  <c:v>FY 12</c:v>
                </c:pt>
                <c:pt idx="1" c:formatCode="#,##0.0_);[Red]\(#,##0.0\)">
                  <c:v>FY 13</c:v>
                </c:pt>
                <c:pt idx="2" c:formatCode="#,##0.0_);[Red]\(#,##0.0\)">
                  <c:v>FY 14</c:v>
                </c:pt>
                <c:pt idx="3" c:formatCode="#,##0.0_);[Red]\(#,##0.0\)">
                  <c:v>FY 15</c:v>
                </c:pt>
                <c:pt idx="4" c:formatCode="#,##0.0_);[Red]\(#,##0.0\)">
                  <c:v>FY 16</c:v>
                </c:pt>
                <c:pt idx="5" c:formatCode="#,##0.0_);[Red]\(#,##0.0\)">
                  <c:v>FY 17E</c:v>
                </c:pt>
                <c:pt idx="6" c:formatCode="#,##0.0_);[Red]\(#,##0.0\)">
                  <c:v>FY 18E</c:v>
                </c:pt>
                <c:pt idx="7" c:formatCode="#,##0.0_);[Red]\(#,##0.0\)">
                  <c:v>FY 19E</c:v>
                </c:pt>
                <c:pt idx="8" c:formatCode="#,##0.0_);[Red]\(#,##0.0\)">
                  <c:v>FY 20E</c:v>
                </c:pt>
              </c:strCache>
            </c:strRef>
          </c:cat>
          <c:val>
            <c:numRef>
              <c:f>'Profit and Loss OLd'!$AI$7:$AQ$7</c:f>
              <c:numCache>
                <c:formatCode>#,##0.0_);[Red]\(#,##0.0\)</c:formatCode>
                <c:ptCount val="9"/>
                <c:pt idx="0">
                  <c:v>1977</c:v>
                </c:pt>
                <c:pt idx="1">
                  <c:v>1659</c:v>
                </c:pt>
                <c:pt idx="2">
                  <c:v>1358</c:v>
                </c:pt>
                <c:pt idx="3">
                  <c:v>1467</c:v>
                </c:pt>
                <c:pt idx="4">
                  <c:v>1475</c:v>
                </c:pt>
                <c:pt idx="5">
                  <c:v>741</c:v>
                </c:pt>
                <c:pt idx="6">
                  <c:v>753.103766984596</c:v>
                </c:pt>
                <c:pt idx="7">
                  <c:v>790.758955333826</c:v>
                </c:pt>
                <c:pt idx="8">
                  <c:v>830.296903100517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9879808"/>
        <c:axId val="959885696"/>
      </c:barChart>
      <c:catAx>
        <c:axId val="959879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85696"/>
        <c:crosses val="autoZero"/>
        <c:auto val="1"/>
        <c:lblAlgn val="ctr"/>
        <c:lblOffset val="100"/>
        <c:noMultiLvlLbl val="0"/>
      </c:catAx>
      <c:valAx>
        <c:axId val="959885696"/>
        <c:scaling>
          <c:orientation val="minMax"/>
        </c:scaling>
        <c:delete val="0"/>
        <c:axPos val="l"/>
        <c:numFmt formatCode="#,##0.0_);[Red]\(#,##0.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987980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21c2a3-e74e-4079-895c-5b062c2c927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'Sales &amp; stores'!$A$362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dLbl>
              <c:idx val="0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stores'!$I$2:$L$2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'Sales &amp; stores'!$I$362:$L$362</c:f>
              <c:numCache>
                <c:formatCode>0%</c:formatCode>
                <c:ptCount val="4"/>
                <c:pt idx="0">
                  <c:v>0.0848869496231654</c:v>
                </c:pt>
                <c:pt idx="1">
                  <c:v>0.0780658316341392</c:v>
                </c:pt>
                <c:pt idx="2">
                  <c:v>0.119191169650311</c:v>
                </c:pt>
                <c:pt idx="3">
                  <c:v>0.124770819260832</c:v>
                </c:pt>
              </c:numCache>
            </c:numRef>
          </c:val>
        </c:ser>
        <c:ser>
          <c:idx val="1"/>
          <c:order val="1"/>
          <c:tx>
            <c:strRef>
              <c:f>'Sales &amp; stores'!$A$361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stores'!$I$2:$L$2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'Sales &amp; stores'!$I$361:$L$361</c:f>
              <c:numCache>
                <c:formatCode>0%</c:formatCode>
                <c:ptCount val="4"/>
                <c:pt idx="0">
                  <c:v>0.0651130503768346</c:v>
                </c:pt>
                <c:pt idx="1">
                  <c:v>0.0919341683658607</c:v>
                </c:pt>
                <c:pt idx="2">
                  <c:v>0.161209535293572</c:v>
                </c:pt>
                <c:pt idx="3">
                  <c:v>0.18</c:v>
                </c:pt>
              </c:numCache>
            </c:numRef>
          </c:val>
        </c:ser>
        <c:ser>
          <c:idx val="0"/>
          <c:order val="2"/>
          <c:tx>
            <c:strRef>
              <c:f>'Sales &amp; stores'!$A$360</c:f>
              <c:strCache>
                <c:ptCount val="1"/>
                <c:pt idx="0">
                  <c:v>Wholesale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stores'!$I$2:$L$2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'Sales &amp; stores'!$I$360:$L$360</c:f>
              <c:numCache>
                <c:formatCode>0%</c:formatCode>
                <c:ptCount val="4"/>
                <c:pt idx="0">
                  <c:v>0.85</c:v>
                </c:pt>
                <c:pt idx="1">
                  <c:v>0.83</c:v>
                </c:pt>
                <c:pt idx="2">
                  <c:v>0.719599295056117</c:v>
                </c:pt>
                <c:pt idx="3">
                  <c:v>0.7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3507712"/>
        <c:axId val="963509248"/>
      </c:barChart>
      <c:catAx>
        <c:axId val="96350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3509248"/>
        <c:crosses val="autoZero"/>
        <c:auto val="1"/>
        <c:lblAlgn val="ctr"/>
        <c:lblOffset val="100"/>
        <c:noMultiLvlLbl val="0"/>
      </c:catAx>
      <c:valAx>
        <c:axId val="9635092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35077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50" b="1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9c713f-d7c5-4aa6-885b-8f4fc942077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1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&amp; stores'!$A$394</c:f>
              <c:strCache>
                <c:ptCount val="1"/>
                <c:pt idx="0">
                  <c:v>Concept stores</c:v>
                </c:pt>
              </c:strCache>
            </c:strRef>
          </c:tx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stores'!$K$2:$L$2</c:f>
              <c:numCache>
                <c:formatCode>General</c:formatCode>
                <c:ptCount val="2"/>
                <c:pt idx="0">
                  <c:v>2008</c:v>
                </c:pt>
                <c:pt idx="1">
                  <c:v>2009</c:v>
                </c:pt>
              </c:numCache>
            </c:numRef>
          </c:cat>
          <c:val>
            <c:numRef>
              <c:f>'Sales &amp; stores'!$K$394:$L$394</c:f>
              <c:numCache>
                <c:formatCode>0.0%</c:formatCode>
                <c:ptCount val="2"/>
                <c:pt idx="0">
                  <c:v>0.540870488322718</c:v>
                </c:pt>
                <c:pt idx="1">
                  <c:v>0.543851717902351</c:v>
                </c:pt>
              </c:numCache>
            </c:numRef>
          </c:val>
        </c:ser>
        <c:ser>
          <c:idx val="1"/>
          <c:order val="1"/>
          <c:tx>
            <c:strRef>
              <c:f>'Sales &amp; stores'!$A$395</c:f>
              <c:strCache>
                <c:ptCount val="1"/>
                <c:pt idx="0">
                  <c:v>Factory outlets</c:v>
                </c:pt>
              </c:strCache>
            </c:strRef>
          </c:tx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stores'!$K$2:$L$2</c:f>
              <c:numCache>
                <c:formatCode>General</c:formatCode>
                <c:ptCount val="2"/>
                <c:pt idx="0">
                  <c:v>2008</c:v>
                </c:pt>
                <c:pt idx="1">
                  <c:v>2009</c:v>
                </c:pt>
              </c:numCache>
            </c:numRef>
          </c:cat>
          <c:val>
            <c:numRef>
              <c:f>'Sales &amp; stores'!$K$395:$L$395</c:f>
              <c:numCache>
                <c:formatCode>0.0%</c:formatCode>
                <c:ptCount val="2"/>
                <c:pt idx="0">
                  <c:v>0.361464968152866</c:v>
                </c:pt>
                <c:pt idx="1">
                  <c:v>0.341320072332731</c:v>
                </c:pt>
              </c:numCache>
            </c:numRef>
          </c:val>
        </c:ser>
        <c:ser>
          <c:idx val="2"/>
          <c:order val="2"/>
          <c:tx>
            <c:strRef>
              <c:f>'Sales &amp; stores'!$A$396</c:f>
              <c:strCache>
                <c:ptCount val="1"/>
                <c:pt idx="0">
                  <c:v>Concession corners</c:v>
                </c:pt>
              </c:strCache>
            </c:strRef>
          </c:tx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stores'!$K$2:$L$2</c:f>
              <c:numCache>
                <c:formatCode>General</c:formatCode>
                <c:ptCount val="2"/>
                <c:pt idx="0">
                  <c:v>2008</c:v>
                </c:pt>
                <c:pt idx="1">
                  <c:v>2009</c:v>
                </c:pt>
              </c:numCache>
            </c:numRef>
          </c:cat>
          <c:val>
            <c:numRef>
              <c:f>'Sales &amp; stores'!$K$396:$L$396</c:f>
              <c:numCache>
                <c:formatCode>0.0%</c:formatCode>
                <c:ptCount val="2"/>
                <c:pt idx="0">
                  <c:v>0.0918259023354565</c:v>
                </c:pt>
                <c:pt idx="1">
                  <c:v>0.110307414104882</c:v>
                </c:pt>
              </c:numCache>
            </c:numRef>
          </c:val>
        </c:ser>
        <c:ser>
          <c:idx val="3"/>
          <c:order val="3"/>
          <c:tx>
            <c:strRef>
              <c:f>'Sales &amp; stores'!$A$397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stores'!$K$2:$L$2</c:f>
              <c:numCache>
                <c:formatCode>General</c:formatCode>
                <c:ptCount val="2"/>
                <c:pt idx="0">
                  <c:v>2008</c:v>
                </c:pt>
                <c:pt idx="1">
                  <c:v>2009</c:v>
                </c:pt>
              </c:numCache>
            </c:numRef>
          </c:cat>
          <c:val>
            <c:numRef>
              <c:f>'Sales &amp; stores'!$K$397:$L$397</c:f>
              <c:numCache>
                <c:formatCode>0.0%</c:formatCode>
                <c:ptCount val="2"/>
                <c:pt idx="0">
                  <c:v>0.00583864118895966</c:v>
                </c:pt>
                <c:pt idx="1">
                  <c:v>0.00452079566003617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0625280"/>
        <c:axId val="960635264"/>
      </c:barChart>
      <c:catAx>
        <c:axId val="96062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0635264"/>
        <c:crosses val="autoZero"/>
        <c:auto val="1"/>
        <c:lblAlgn val="ctr"/>
        <c:lblOffset val="100"/>
        <c:noMultiLvlLbl val="0"/>
      </c:catAx>
      <c:valAx>
        <c:axId val="960635264"/>
        <c:scaling>
          <c:orientation val="minMax"/>
          <c:max val="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0625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9203994728875"/>
          <c:y val="0.816476518416849"/>
          <c:w val="0.639468531163891"/>
          <c:h val="0.14216507340252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50" b="1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4bb124-7215-4e85-8a4d-6037c19f55c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1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'Sales &amp; stores'!$A$351</c:f>
              <c:strCache>
                <c:ptCount val="1"/>
                <c:pt idx="0">
                  <c:v>Hardware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stores'!$D$351:$L$351</c:f>
              <c:numCache>
                <c:formatCode>0.0%</c:formatCode>
                <c:ptCount val="9"/>
                <c:pt idx="0">
                  <c:v>0.204515706806283</c:v>
                </c:pt>
                <c:pt idx="1">
                  <c:v>0.212325617047371</c:v>
                </c:pt>
                <c:pt idx="2">
                  <c:v>0.203925323121111</c:v>
                </c:pt>
                <c:pt idx="3">
                  <c:v>0.132764505119454</c:v>
                </c:pt>
                <c:pt idx="4">
                  <c:v>0.12959614225437</c:v>
                </c:pt>
                <c:pt idx="5">
                  <c:v>0.123562078540262</c:v>
                </c:pt>
                <c:pt idx="6">
                  <c:v>0.108942615787941</c:v>
                </c:pt>
                <c:pt idx="7">
                  <c:v>0.102324289286045</c:v>
                </c:pt>
                <c:pt idx="8">
                  <c:v>0.103650900683942</c:v>
                </c:pt>
              </c:numCache>
            </c:numRef>
          </c:val>
        </c:ser>
        <c:ser>
          <c:idx val="1"/>
          <c:order val="1"/>
          <c:tx>
            <c:strRef>
              <c:f>'Sales &amp; stores'!$A$350</c:f>
              <c:strCache>
                <c:ptCount val="1"/>
                <c:pt idx="0">
                  <c:v>Apparel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stores'!$D$350:$L$350</c:f>
              <c:numCache>
                <c:formatCode>0.0%</c:formatCode>
                <c:ptCount val="9"/>
                <c:pt idx="0">
                  <c:v>0.361910994764398</c:v>
                </c:pt>
                <c:pt idx="1">
                  <c:v>0.350758853288364</c:v>
                </c:pt>
                <c:pt idx="2">
                  <c:v>0.354555608744216</c:v>
                </c:pt>
                <c:pt idx="3">
                  <c:v>0.420136518771331</c:v>
                </c:pt>
                <c:pt idx="4">
                  <c:v>0.421639541892706</c:v>
                </c:pt>
                <c:pt idx="5">
                  <c:v>0.407080523601745</c:v>
                </c:pt>
                <c:pt idx="6">
                  <c:v>0.429750461209826</c:v>
                </c:pt>
                <c:pt idx="7">
                  <c:v>0.442170571349199</c:v>
                </c:pt>
                <c:pt idx="8">
                  <c:v>0.449186012908198</c:v>
                </c:pt>
              </c:numCache>
            </c:numRef>
          </c:val>
        </c:ser>
        <c:ser>
          <c:idx val="0"/>
          <c:order val="2"/>
          <c:tx>
            <c:strRef>
              <c:f>'Sales &amp; stores'!$A$349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/>
                    </a:solidFill>
                    <a:latin typeface="Univers LT Std 55"/>
                    <a:ea typeface="Univers LT Std 55"/>
                    <a:cs typeface="Univers LT Std 55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stores'!$D$349:$L$349</c:f>
              <c:numCache>
                <c:formatCode>0.0%</c:formatCode>
                <c:ptCount val="9"/>
                <c:pt idx="0">
                  <c:v>0.433573298429319</c:v>
                </c:pt>
                <c:pt idx="1">
                  <c:v>0.437068833358884</c:v>
                </c:pt>
                <c:pt idx="2">
                  <c:v>0.441519068134674</c:v>
                </c:pt>
                <c:pt idx="3">
                  <c:v>0.447098976109215</c:v>
                </c:pt>
                <c:pt idx="4">
                  <c:v>0.448764315852923</c:v>
                </c:pt>
                <c:pt idx="5">
                  <c:v>0.469357397857993</c:v>
                </c:pt>
                <c:pt idx="6">
                  <c:v>0.461306923002233</c:v>
                </c:pt>
                <c:pt idx="7">
                  <c:v>0.455505139364756</c:v>
                </c:pt>
                <c:pt idx="8">
                  <c:v>0.447163086407861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960662144"/>
        <c:axId val="960680320"/>
      </c:barChart>
      <c:catAx>
        <c:axId val="96066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0680320"/>
        <c:crosses val="autoZero"/>
        <c:auto val="1"/>
        <c:lblAlgn val="ctr"/>
        <c:lblOffset val="100"/>
        <c:noMultiLvlLbl val="0"/>
      </c:catAx>
      <c:valAx>
        <c:axId val="9606803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066214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50" b="1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d8867-fb06-4602-bff1-8105d5b74d1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1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Univers LT Std 55"/>
                    <a:cs typeface="Calibri" panose="020F0502020204030204" pitchFamily="34" charset="0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'Sales &amp; stores'!$A$40:$A$45</c:f>
              <c:strCache>
                <c:ptCount val="6"/>
                <c:pt idx="0" c:formatCode="#,##0.0_);[Red]\(#,##0.0\)">
                  <c:v>Western Europe</c:v>
                </c:pt>
                <c:pt idx="1" c:formatCode="#,##0.0_);[Red]\(#,##0.0\)">
                  <c:v>European Ems</c:v>
                </c:pt>
                <c:pt idx="2" c:formatCode="#,##0.0_);[Red]\(#,##0.0\)">
                  <c:v>North America</c:v>
                </c:pt>
                <c:pt idx="3" c:formatCode="#,##0.0_);[Red]\(#,##0.0\)">
                  <c:v>Greater China</c:v>
                </c:pt>
                <c:pt idx="4" c:formatCode="#,##0.0_);[Red]\(#,##0.0\)">
                  <c:v>Other Asian Markets</c:v>
                </c:pt>
                <c:pt idx="5" c:formatCode="#,##0.0_);[Red]\(#,##0.0\)">
                  <c:v>Latin America</c:v>
                </c:pt>
              </c:strCache>
            </c:strRef>
          </c:cat>
          <c:val>
            <c:numRef>
              <c:f>'Sales &amp; stores'!$L$40:$L$45</c:f>
              <c:numCache>
                <c:formatCode>0</c:formatCode>
                <c:ptCount val="6"/>
                <c:pt idx="0">
                  <c:v>2688.679</c:v>
                </c:pt>
                <c:pt idx="1">
                  <c:v>508.669</c:v>
                </c:pt>
                <c:pt idx="2">
                  <c:v>1308.006</c:v>
                </c:pt>
                <c:pt idx="3">
                  <c:v>872.004</c:v>
                </c:pt>
                <c:pt idx="4">
                  <c:v>1017.338</c:v>
                </c:pt>
                <c:pt idx="5">
                  <c:v>872.004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1d4fb553-61a5-41ae-a8f2-6b0e802e5bd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'Sales &amp; stores'!$A$349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Univers LT Std 55"/>
                    <a:cs typeface="Calibri" panose="020F0502020204030204" pitchFamily="3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stores'!$D$349:$L$349</c:f>
              <c:numCache>
                <c:formatCode>0.0%</c:formatCode>
                <c:ptCount val="9"/>
                <c:pt idx="0">
                  <c:v>0.433573298429319</c:v>
                </c:pt>
                <c:pt idx="1">
                  <c:v>0.437068833358884</c:v>
                </c:pt>
                <c:pt idx="2">
                  <c:v>0.441519068134674</c:v>
                </c:pt>
                <c:pt idx="3">
                  <c:v>0.447098976109215</c:v>
                </c:pt>
                <c:pt idx="4">
                  <c:v>0.448764315852923</c:v>
                </c:pt>
                <c:pt idx="5">
                  <c:v>0.469357397857993</c:v>
                </c:pt>
                <c:pt idx="6">
                  <c:v>0.461306923002233</c:v>
                </c:pt>
                <c:pt idx="7">
                  <c:v>0.455505139364756</c:v>
                </c:pt>
                <c:pt idx="8">
                  <c:v>0.447163086407861</c:v>
                </c:pt>
              </c:numCache>
            </c:numRef>
          </c:val>
        </c:ser>
        <c:ser>
          <c:idx val="1"/>
          <c:order val="1"/>
          <c:tx>
            <c:strRef>
              <c:f>'Sales &amp; stores'!$A$350</c:f>
              <c:strCache>
                <c:ptCount val="1"/>
                <c:pt idx="0">
                  <c:v>Apparel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Univers LT Std 55"/>
                    <a:cs typeface="Calibri" panose="020F0502020204030204" pitchFamily="3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stores'!$D$350:$L$350</c:f>
              <c:numCache>
                <c:formatCode>0.0%</c:formatCode>
                <c:ptCount val="9"/>
                <c:pt idx="0">
                  <c:v>0.361910994764398</c:v>
                </c:pt>
                <c:pt idx="1">
                  <c:v>0.350758853288364</c:v>
                </c:pt>
                <c:pt idx="2">
                  <c:v>0.354555608744216</c:v>
                </c:pt>
                <c:pt idx="3">
                  <c:v>0.420136518771331</c:v>
                </c:pt>
                <c:pt idx="4">
                  <c:v>0.421639541892706</c:v>
                </c:pt>
                <c:pt idx="5">
                  <c:v>0.407080523601745</c:v>
                </c:pt>
                <c:pt idx="6">
                  <c:v>0.429750461209826</c:v>
                </c:pt>
                <c:pt idx="7">
                  <c:v>0.442170571349199</c:v>
                </c:pt>
                <c:pt idx="8">
                  <c:v>0.449186012908198</c:v>
                </c:pt>
              </c:numCache>
            </c:numRef>
          </c:val>
        </c:ser>
        <c:ser>
          <c:idx val="2"/>
          <c:order val="2"/>
          <c:tx>
            <c:strRef>
              <c:f>'Sales &amp; stores'!$A$351</c:f>
              <c:strCache>
                <c:ptCount val="1"/>
                <c:pt idx="0">
                  <c:v>Hardware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Univers LT Std 55"/>
                    <a:cs typeface="Calibri" panose="020F0502020204030204" pitchFamily="3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'Sales &amp; stores'!$D$2:$L$2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'Sales &amp; stores'!$D$351:$L$351</c:f>
              <c:numCache>
                <c:formatCode>0.0%</c:formatCode>
                <c:ptCount val="9"/>
                <c:pt idx="0">
                  <c:v>0.204515706806283</c:v>
                </c:pt>
                <c:pt idx="1">
                  <c:v>0.212325617047371</c:v>
                </c:pt>
                <c:pt idx="2">
                  <c:v>0.203925323121111</c:v>
                </c:pt>
                <c:pt idx="3">
                  <c:v>0.132764505119454</c:v>
                </c:pt>
                <c:pt idx="4">
                  <c:v>0.12959614225437</c:v>
                </c:pt>
                <c:pt idx="5">
                  <c:v>0.123562078540262</c:v>
                </c:pt>
                <c:pt idx="6">
                  <c:v>0.108942615787941</c:v>
                </c:pt>
                <c:pt idx="7">
                  <c:v>0.102324289286045</c:v>
                </c:pt>
                <c:pt idx="8">
                  <c:v>0.103650900683942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960799872"/>
        <c:axId val="960801408"/>
      </c:barChart>
      <c:catAx>
        <c:axId val="96079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960801408"/>
        <c:crosses val="autoZero"/>
        <c:auto val="1"/>
        <c:lblAlgn val="ctr"/>
        <c:lblOffset val="100"/>
        <c:noMultiLvlLbl val="0"/>
      </c:catAx>
      <c:valAx>
        <c:axId val="960801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96079987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Calibri" panose="020F0502020204030204" pitchFamily="34" charset="0"/>
              <a:ea typeface="Univers LT Std 55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b8f4c6-d5e1-4866-b98f-63b19a8e735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&amp; stores'!$A$246</c:f>
              <c:strCache>
                <c:ptCount val="1"/>
                <c:pt idx="0">
                  <c:v>Footwear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'Sales &amp; stores'!$F$2:$L$2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f>'Sales &amp; stores'!$F$246:$L$246</c:f>
              <c:numCache>
                <c:formatCode>0.0%</c:formatCode>
                <c:ptCount val="7"/>
                <c:pt idx="0">
                  <c:v>0.06</c:v>
                </c:pt>
                <c:pt idx="1">
                  <c:v>0.01</c:v>
                </c:pt>
                <c:pt idx="2">
                  <c:v>0.12</c:v>
                </c:pt>
                <c:pt idx="3">
                  <c:v>0.6</c:v>
                </c:pt>
                <c:pt idx="4">
                  <c:v>0.05</c:v>
                </c:pt>
                <c:pt idx="5">
                  <c:v>0.08</c:v>
                </c:pt>
                <c:pt idx="6">
                  <c:v>-0.07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'Sales &amp; stores'!$A$247</c:f>
              <c:strCache>
                <c:ptCount val="1"/>
                <c:pt idx="0">
                  <c:v>Apparel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'Sales &amp; stores'!$F$2:$L$2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f>'Sales &amp; stores'!$F$247:$L$247</c:f>
              <c:numCache>
                <c:formatCode>0.0%</c:formatCode>
                <c:ptCount val="7"/>
                <c:pt idx="0">
                  <c:v>0.05</c:v>
                </c:pt>
                <c:pt idx="1">
                  <c:v>0.17</c:v>
                </c:pt>
                <c:pt idx="2">
                  <c:v>0.13</c:v>
                </c:pt>
                <c:pt idx="3">
                  <c:v>0.48</c:v>
                </c:pt>
                <c:pt idx="4">
                  <c:v>0.11</c:v>
                </c:pt>
                <c:pt idx="5">
                  <c:v>0.12</c:v>
                </c:pt>
                <c:pt idx="6">
                  <c:v>-0.04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'Sales &amp; stores'!$A$248</c:f>
              <c:strCache>
                <c:ptCount val="1"/>
                <c:pt idx="0">
                  <c:v>Hardware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'Sales &amp; stores'!$F$2:$L$2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f>'Sales &amp; stores'!$F$248:$L$248</c:f>
              <c:numCache>
                <c:formatCode>0.0%</c:formatCode>
                <c:ptCount val="7"/>
                <c:pt idx="0">
                  <c:v>0.01</c:v>
                </c:pt>
                <c:pt idx="1">
                  <c:v>0.02</c:v>
                </c:pt>
                <c:pt idx="2">
                  <c:v>0.1</c:v>
                </c:pt>
                <c:pt idx="3">
                  <c:v>0.45</c:v>
                </c:pt>
                <c:pt idx="4">
                  <c:v>0</c:v>
                </c:pt>
                <c:pt idx="5">
                  <c:v>0.04</c:v>
                </c:pt>
                <c:pt idx="6">
                  <c:v>-0.06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132864"/>
        <c:axId val="964134400"/>
      </c:lineChart>
      <c:catAx>
        <c:axId val="96413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4134400"/>
        <c:crosses val="autoZero"/>
        <c:auto val="1"/>
        <c:lblAlgn val="ctr"/>
        <c:lblOffset val="100"/>
        <c:noMultiLvlLbl val="0"/>
      </c:catAx>
      <c:valAx>
        <c:axId val="9641344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0000"/>
                </a:solidFill>
                <a:latin typeface="Univers LT Std 55"/>
                <a:ea typeface="Univers LT Std 55"/>
                <a:cs typeface="Univers LT Std 55"/>
              </a:defRPr>
            </a:pPr>
          </a:p>
        </c:txPr>
        <c:crossAx val="96413286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50" b="1" i="0" u="none" strike="noStrike" kern="1200" baseline="0">
              <a:solidFill>
                <a:srgbClr val="000000"/>
              </a:solidFill>
              <a:latin typeface="Univers LT Std 55"/>
              <a:ea typeface="Univers LT Std 55"/>
              <a:cs typeface="Univers LT Std 55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8a9ad4-47fa-4c90-a009-b0f50a75a5b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1" i="0" u="none" strike="noStrike" baseline="0">
          <a:solidFill>
            <a:srgbClr val="000000"/>
          </a:solidFill>
          <a:latin typeface="Univers LT Std 55"/>
          <a:ea typeface="Univers LT Std 55"/>
          <a:cs typeface="Univers LT Std 55"/>
        </a:defRPr>
      </a:pPr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Univers LT Std 55"/>
                    <a:cs typeface="Calibri" panose="020F0502020204030204" pitchFamily="34" charset="0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'Sales &amp; stores'!$A$52:$A$57</c:f>
              <c:strCache>
                <c:ptCount val="6"/>
                <c:pt idx="0" c:formatCode="#,##0.0_);[Red]\(#,##0.0\)">
                  <c:v>Western Europe</c:v>
                </c:pt>
                <c:pt idx="1" c:formatCode="#,##0.0_);[Red]\(#,##0.0\)">
                  <c:v>European Ems</c:v>
                </c:pt>
                <c:pt idx="2" c:formatCode="#,##0.0_);[Red]\(#,##0.0\)">
                  <c:v>North America</c:v>
                </c:pt>
                <c:pt idx="3" c:formatCode="#,##0.0_);[Red]\(#,##0.0\)">
                  <c:v>Greater China</c:v>
                </c:pt>
                <c:pt idx="4" c:formatCode="#,##0.0_);[Red]\(#,##0.0\)">
                  <c:v>Other Asian Markets</c:v>
                </c:pt>
                <c:pt idx="5" c:formatCode="#,##0.0_);[Red]\(#,##0.0\)">
                  <c:v>Latin America</c:v>
                </c:pt>
              </c:strCache>
            </c:strRef>
          </c:cat>
          <c:val>
            <c:numRef>
              <c:f>'Sales &amp; stores'!$L$52:$L$57</c:f>
              <c:numCache>
                <c:formatCode>0</c:formatCode>
                <c:ptCount val="6"/>
                <c:pt idx="0">
                  <c:v>392.4018</c:v>
                </c:pt>
                <c:pt idx="1">
                  <c:v>597.9456</c:v>
                </c:pt>
                <c:pt idx="2">
                  <c:v>373.716</c:v>
                </c:pt>
                <c:pt idx="3">
                  <c:v>93.429</c:v>
                </c:pt>
                <c:pt idx="4">
                  <c:v>280.287</c:v>
                </c:pt>
                <c:pt idx="5">
                  <c:v>130.8006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48bbc931-fd47-47a1-ab06-fa7378b5242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'Sales &amp; stores'!$A$51</c:f>
              <c:strCache>
                <c:ptCount val="1"/>
                <c:pt idx="0">
                  <c:v>Retail</c:v>
                </c:pt>
              </c:strCache>
            </c:strRef>
          </c:tx>
          <c:invertIfNegative val="0"/>
          <c:dLbls>
            <c:delete val="1"/>
          </c:dLbls>
          <c:cat>
            <c:strRef>
              <c:f>'Sales &amp; stores'!$A$52:$A$57</c:f>
              <c:strCache>
                <c:ptCount val="6"/>
                <c:pt idx="0" c:formatCode="#,##0.0_);[Red]\(#,##0.0\)">
                  <c:v>Western Europe</c:v>
                </c:pt>
                <c:pt idx="1" c:formatCode="#,##0.0_);[Red]\(#,##0.0\)">
                  <c:v>European Ems</c:v>
                </c:pt>
                <c:pt idx="2" c:formatCode="#,##0.0_);[Red]\(#,##0.0\)">
                  <c:v>North America</c:v>
                </c:pt>
                <c:pt idx="3" c:formatCode="#,##0.0_);[Red]\(#,##0.0\)">
                  <c:v>Greater China</c:v>
                </c:pt>
                <c:pt idx="4" c:formatCode="#,##0.0_);[Red]\(#,##0.0\)">
                  <c:v>Other Asian Markets</c:v>
                </c:pt>
                <c:pt idx="5" c:formatCode="#,##0.0_);[Red]\(#,##0.0\)">
                  <c:v>Latin America</c:v>
                </c:pt>
              </c:strCache>
            </c:strRef>
          </c:cat>
          <c:val>
            <c:numRef>
              <c:f>'Sales &amp; stores'!$Q$52:$Q$57</c:f>
              <c:numCache>
                <c:formatCode>0</c:formatCode>
                <c:ptCount val="6"/>
                <c:pt idx="0">
                  <c:v>687.70173465335</c:v>
                </c:pt>
                <c:pt idx="1">
                  <c:v>1260.78651353114</c:v>
                </c:pt>
                <c:pt idx="2">
                  <c:v>725.907386578536</c:v>
                </c:pt>
                <c:pt idx="3">
                  <c:v>267.439563476303</c:v>
                </c:pt>
                <c:pt idx="4">
                  <c:v>458.467823102233</c:v>
                </c:pt>
                <c:pt idx="5">
                  <c:v>420.262171177047</c:v>
                </c:pt>
              </c:numCache>
            </c:numRef>
          </c:val>
        </c:ser>
        <c:ser>
          <c:idx val="1"/>
          <c:order val="1"/>
          <c:tx>
            <c:strRef>
              <c:f>'Sales &amp; stores'!$A$39</c:f>
              <c:strCache>
                <c:ptCount val="1"/>
                <c:pt idx="0">
                  <c:v>Wholesale</c:v>
                </c:pt>
              </c:strCache>
            </c:strRef>
          </c:tx>
          <c:invertIfNegative val="0"/>
          <c:dLbls>
            <c:delete val="1"/>
          </c:dLbls>
          <c:cat>
            <c:strRef>
              <c:f>'Sales &amp; stores'!$A$52:$A$57</c:f>
              <c:strCache>
                <c:ptCount val="6"/>
                <c:pt idx="0" c:formatCode="#,##0.0_);[Red]\(#,##0.0\)">
                  <c:v>Western Europe</c:v>
                </c:pt>
                <c:pt idx="1" c:formatCode="#,##0.0_);[Red]\(#,##0.0\)">
                  <c:v>European Ems</c:v>
                </c:pt>
                <c:pt idx="2" c:formatCode="#,##0.0_);[Red]\(#,##0.0\)">
                  <c:v>North America</c:v>
                </c:pt>
                <c:pt idx="3" c:formatCode="#,##0.0_);[Red]\(#,##0.0\)">
                  <c:v>Greater China</c:v>
                </c:pt>
                <c:pt idx="4" c:formatCode="#,##0.0_);[Red]\(#,##0.0\)">
                  <c:v>Other Asian Markets</c:v>
                </c:pt>
                <c:pt idx="5" c:formatCode="#,##0.0_);[Red]\(#,##0.0\)">
                  <c:v>Latin America</c:v>
                </c:pt>
              </c:strCache>
            </c:strRef>
          </c:cat>
          <c:val>
            <c:numRef>
              <c:f>'Sales &amp; stores'!$Q$40:$Q$45</c:f>
              <c:numCache>
                <c:formatCode>General</c:formatCode>
                <c:ptCount val="6"/>
                <c:pt idx="0">
                  <c:v>3156</c:v>
                </c:pt>
                <c:pt idx="1">
                  <c:v>625</c:v>
                </c:pt>
                <c:pt idx="2">
                  <c:v>1485</c:v>
                </c:pt>
                <c:pt idx="3">
                  <c:v>1516</c:v>
                </c:pt>
                <c:pt idx="4">
                  <c:v>1401</c:v>
                </c:pt>
                <c:pt idx="5">
                  <c:v>1193</c:v>
                </c:pt>
              </c:numCache>
            </c:numRef>
          </c:val>
        </c:ser>
        <c:ser>
          <c:idx val="2"/>
          <c:order val="2"/>
          <c:tx>
            <c:strRef>
              <c:f>'Sales &amp; stores'!$A$67</c:f>
              <c:strCache>
                <c:ptCount val="1"/>
                <c:pt idx="0">
                  <c:v>Other Businesses</c:v>
                </c:pt>
              </c:strCache>
            </c:strRef>
          </c:tx>
          <c:invertIfNegative val="0"/>
          <c:dLbls>
            <c:delete val="1"/>
          </c:dLbls>
          <c:val>
            <c:numRef>
              <c:f>'Sales &amp; stores'!$Q$68:$Q$73</c:f>
              <c:numCache>
                <c:formatCode>#,##0</c:formatCode>
                <c:ptCount val="6"/>
                <c:pt idx="0">
                  <c:v>285.18</c:v>
                </c:pt>
                <c:pt idx="1">
                  <c:v>27.16</c:v>
                </c:pt>
                <c:pt idx="2">
                  <c:v>774.06</c:v>
                </c:pt>
                <c:pt idx="3">
                  <c:v>27.16</c:v>
                </c:pt>
                <c:pt idx="4">
                  <c:v>230.86</c:v>
                </c:pt>
                <c:pt idx="5">
                  <c:v>13.58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64186880"/>
        <c:axId val="964188416"/>
      </c:barChart>
      <c:catAx>
        <c:axId val="964186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4188416"/>
        <c:crosses val="autoZero"/>
        <c:auto val="1"/>
        <c:lblAlgn val="ctr"/>
        <c:lblOffset val="100"/>
        <c:noMultiLvlLbl val="0"/>
      </c:catAx>
      <c:valAx>
        <c:axId val="96418841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96418688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243e38-b699-44be-9218-8f0fcd5a610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Calibri" panose="020F0502020204030204" pitchFamily="34" charset="0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'Cost split'!$N$3:$N$525</c:f>
              <c:numCache>
                <c:formatCode>yyyy/m/d</c:formatCode>
                <c:ptCount val="523"/>
                <c:pt idx="0" c:formatCode="yyyy/m/d">
                  <c:v>45408</c:v>
                </c:pt>
                <c:pt idx="1" c:formatCode="yyyy/m/d">
                  <c:v>45411</c:v>
                </c:pt>
                <c:pt idx="2" c:formatCode="yyyy/m/d">
                  <c:v>45412</c:v>
                </c:pt>
                <c:pt idx="3" c:formatCode="yyyy/m/d">
                  <c:v>45413</c:v>
                </c:pt>
                <c:pt idx="4" c:formatCode="yyyy/m/d">
                  <c:v>45414</c:v>
                </c:pt>
                <c:pt idx="5" c:formatCode="yyyy/m/d">
                  <c:v>45415</c:v>
                </c:pt>
                <c:pt idx="6" c:formatCode="yyyy/m/d">
                  <c:v>45418</c:v>
                </c:pt>
                <c:pt idx="7" c:formatCode="yyyy/m/d">
                  <c:v>45419</c:v>
                </c:pt>
                <c:pt idx="8" c:formatCode="yyyy/m/d">
                  <c:v>45420</c:v>
                </c:pt>
                <c:pt idx="9" c:formatCode="yyyy/m/d">
                  <c:v>45421</c:v>
                </c:pt>
                <c:pt idx="10" c:formatCode="yyyy/m/d">
                  <c:v>45422</c:v>
                </c:pt>
                <c:pt idx="11" c:formatCode="yyyy/m/d">
                  <c:v>45425</c:v>
                </c:pt>
                <c:pt idx="12" c:formatCode="yyyy/m/d">
                  <c:v>45426</c:v>
                </c:pt>
                <c:pt idx="13" c:formatCode="yyyy/m/d">
                  <c:v>45427</c:v>
                </c:pt>
                <c:pt idx="14" c:formatCode="yyyy/m/d">
                  <c:v>45428</c:v>
                </c:pt>
                <c:pt idx="15" c:formatCode="yyyy/m/d">
                  <c:v>45429</c:v>
                </c:pt>
                <c:pt idx="16" c:formatCode="yyyy/m/d">
                  <c:v>45432</c:v>
                </c:pt>
                <c:pt idx="17" c:formatCode="yyyy/m/d">
                  <c:v>45433</c:v>
                </c:pt>
                <c:pt idx="18" c:formatCode="yyyy/m/d">
                  <c:v>45434</c:v>
                </c:pt>
                <c:pt idx="19" c:formatCode="yyyy/m/d">
                  <c:v>45435</c:v>
                </c:pt>
                <c:pt idx="20" c:formatCode="yyyy/m/d">
                  <c:v>45436</c:v>
                </c:pt>
                <c:pt idx="21" c:formatCode="yyyy/m/d">
                  <c:v>45439</c:v>
                </c:pt>
                <c:pt idx="22" c:formatCode="yyyy/m/d">
                  <c:v>45440</c:v>
                </c:pt>
                <c:pt idx="23" c:formatCode="yyyy/m/d">
                  <c:v>45441</c:v>
                </c:pt>
                <c:pt idx="24" c:formatCode="yyyy/m/d">
                  <c:v>45442</c:v>
                </c:pt>
                <c:pt idx="25" c:formatCode="yyyy/m/d">
                  <c:v>45443</c:v>
                </c:pt>
                <c:pt idx="26" c:formatCode="yyyy/m/d">
                  <c:v>45446</c:v>
                </c:pt>
                <c:pt idx="27" c:formatCode="yyyy/m/d">
                  <c:v>45447</c:v>
                </c:pt>
                <c:pt idx="28" c:formatCode="yyyy/m/d">
                  <c:v>45448</c:v>
                </c:pt>
                <c:pt idx="29" c:formatCode="yyyy/m/d">
                  <c:v>45449</c:v>
                </c:pt>
                <c:pt idx="30" c:formatCode="yyyy/m/d">
                  <c:v>45450</c:v>
                </c:pt>
                <c:pt idx="31" c:formatCode="yyyy/m/d">
                  <c:v>45453</c:v>
                </c:pt>
                <c:pt idx="32" c:formatCode="yyyy/m/d">
                  <c:v>45454</c:v>
                </c:pt>
                <c:pt idx="33" c:formatCode="yyyy/m/d">
                  <c:v>45455</c:v>
                </c:pt>
                <c:pt idx="34" c:formatCode="yyyy/m/d">
                  <c:v>45456</c:v>
                </c:pt>
                <c:pt idx="35" c:formatCode="yyyy/m/d">
                  <c:v>45457</c:v>
                </c:pt>
                <c:pt idx="36" c:formatCode="yyyy/m/d">
                  <c:v>45460</c:v>
                </c:pt>
                <c:pt idx="37" c:formatCode="yyyy/m/d">
                  <c:v>45461</c:v>
                </c:pt>
                <c:pt idx="38" c:formatCode="yyyy/m/d">
                  <c:v>45462</c:v>
                </c:pt>
                <c:pt idx="39" c:formatCode="yyyy/m/d">
                  <c:v>45463</c:v>
                </c:pt>
                <c:pt idx="40" c:formatCode="yyyy/m/d">
                  <c:v>45464</c:v>
                </c:pt>
                <c:pt idx="41" c:formatCode="yyyy/m/d">
                  <c:v>45467</c:v>
                </c:pt>
                <c:pt idx="42" c:formatCode="yyyy/m/d">
                  <c:v>45468</c:v>
                </c:pt>
                <c:pt idx="43" c:formatCode="yyyy/m/d">
                  <c:v>45469</c:v>
                </c:pt>
                <c:pt idx="44" c:formatCode="yyyy/m/d">
                  <c:v>45470</c:v>
                </c:pt>
                <c:pt idx="45" c:formatCode="yyyy/m/d">
                  <c:v>45471</c:v>
                </c:pt>
                <c:pt idx="46" c:formatCode="yyyy/m/d">
                  <c:v>45474</c:v>
                </c:pt>
                <c:pt idx="47" c:formatCode="yyyy/m/d">
                  <c:v>45475</c:v>
                </c:pt>
                <c:pt idx="48" c:formatCode="yyyy/m/d">
                  <c:v>45476</c:v>
                </c:pt>
                <c:pt idx="49" c:formatCode="yyyy/m/d">
                  <c:v>45477</c:v>
                </c:pt>
                <c:pt idx="50" c:formatCode="yyyy/m/d">
                  <c:v>45478</c:v>
                </c:pt>
                <c:pt idx="51" c:formatCode="yyyy/m/d">
                  <c:v>45481</c:v>
                </c:pt>
                <c:pt idx="52" c:formatCode="yyyy/m/d">
                  <c:v>45482</c:v>
                </c:pt>
                <c:pt idx="53" c:formatCode="yyyy/m/d">
                  <c:v>45483</c:v>
                </c:pt>
                <c:pt idx="54" c:formatCode="yyyy/m/d">
                  <c:v>45484</c:v>
                </c:pt>
                <c:pt idx="55" c:formatCode="yyyy/m/d">
                  <c:v>45485</c:v>
                </c:pt>
                <c:pt idx="56" c:formatCode="yyyy/m/d">
                  <c:v>45488</c:v>
                </c:pt>
                <c:pt idx="57" c:formatCode="yyyy/m/d">
                  <c:v>45489</c:v>
                </c:pt>
                <c:pt idx="58" c:formatCode="yyyy/m/d">
                  <c:v>45490</c:v>
                </c:pt>
                <c:pt idx="59" c:formatCode="yyyy/m/d">
                  <c:v>45491</c:v>
                </c:pt>
                <c:pt idx="60" c:formatCode="yyyy/m/d">
                  <c:v>45492</c:v>
                </c:pt>
                <c:pt idx="61" c:formatCode="yyyy/m/d">
                  <c:v>45495</c:v>
                </c:pt>
                <c:pt idx="62" c:formatCode="yyyy/m/d">
                  <c:v>45496</c:v>
                </c:pt>
                <c:pt idx="63" c:formatCode="yyyy/m/d">
                  <c:v>45497</c:v>
                </c:pt>
                <c:pt idx="64" c:formatCode="yyyy/m/d">
                  <c:v>45498</c:v>
                </c:pt>
                <c:pt idx="65" c:formatCode="yyyy/m/d">
                  <c:v>45499</c:v>
                </c:pt>
                <c:pt idx="66" c:formatCode="yyyy/m/d">
                  <c:v>45502</c:v>
                </c:pt>
                <c:pt idx="67" c:formatCode="yyyy/m/d">
                  <c:v>45503</c:v>
                </c:pt>
                <c:pt idx="68" c:formatCode="yyyy/m/d">
                  <c:v>45504</c:v>
                </c:pt>
                <c:pt idx="69" c:formatCode="yyyy/m/d">
                  <c:v>45505</c:v>
                </c:pt>
                <c:pt idx="70" c:formatCode="yyyy/m/d">
                  <c:v>45506</c:v>
                </c:pt>
                <c:pt idx="71" c:formatCode="yyyy/m/d">
                  <c:v>45509</c:v>
                </c:pt>
                <c:pt idx="72" c:formatCode="yyyy/m/d">
                  <c:v>45510</c:v>
                </c:pt>
                <c:pt idx="73" c:formatCode="yyyy/m/d">
                  <c:v>45511</c:v>
                </c:pt>
                <c:pt idx="74" c:formatCode="yyyy/m/d">
                  <c:v>45512</c:v>
                </c:pt>
                <c:pt idx="75" c:formatCode="yyyy/m/d">
                  <c:v>45513</c:v>
                </c:pt>
                <c:pt idx="76" c:formatCode="yyyy/m/d">
                  <c:v>45516</c:v>
                </c:pt>
                <c:pt idx="77" c:formatCode="yyyy/m/d">
                  <c:v>45517</c:v>
                </c:pt>
                <c:pt idx="78" c:formatCode="yyyy/m/d">
                  <c:v>45518</c:v>
                </c:pt>
                <c:pt idx="79" c:formatCode="yyyy/m/d">
                  <c:v>45519</c:v>
                </c:pt>
                <c:pt idx="80" c:formatCode="yyyy/m/d">
                  <c:v>45520</c:v>
                </c:pt>
                <c:pt idx="81" c:formatCode="yyyy/m/d">
                  <c:v>45523</c:v>
                </c:pt>
                <c:pt idx="82" c:formatCode="yyyy/m/d">
                  <c:v>45524</c:v>
                </c:pt>
                <c:pt idx="83" c:formatCode="yyyy/m/d">
                  <c:v>45525</c:v>
                </c:pt>
                <c:pt idx="84" c:formatCode="yyyy/m/d">
                  <c:v>45526</c:v>
                </c:pt>
                <c:pt idx="85" c:formatCode="yyyy/m/d">
                  <c:v>45527</c:v>
                </c:pt>
                <c:pt idx="86" c:formatCode="yyyy/m/d">
                  <c:v>45530</c:v>
                </c:pt>
                <c:pt idx="87" c:formatCode="yyyy/m/d">
                  <c:v>45531</c:v>
                </c:pt>
                <c:pt idx="88" c:formatCode="yyyy/m/d">
                  <c:v>45532</c:v>
                </c:pt>
                <c:pt idx="89" c:formatCode="yyyy/m/d">
                  <c:v>45533</c:v>
                </c:pt>
                <c:pt idx="90" c:formatCode="yyyy/m/d">
                  <c:v>45534</c:v>
                </c:pt>
                <c:pt idx="91" c:formatCode="yyyy/m/d">
                  <c:v>45537</c:v>
                </c:pt>
                <c:pt idx="92" c:formatCode="yyyy/m/d">
                  <c:v>45538</c:v>
                </c:pt>
                <c:pt idx="93" c:formatCode="yyyy/m/d">
                  <c:v>45539</c:v>
                </c:pt>
                <c:pt idx="94" c:formatCode="yyyy/m/d">
                  <c:v>45540</c:v>
                </c:pt>
                <c:pt idx="95" c:formatCode="yyyy/m/d">
                  <c:v>45541</c:v>
                </c:pt>
                <c:pt idx="96" c:formatCode="yyyy/m/d">
                  <c:v>45544</c:v>
                </c:pt>
                <c:pt idx="97" c:formatCode="yyyy/m/d">
                  <c:v>45545</c:v>
                </c:pt>
                <c:pt idx="98" c:formatCode="yyyy/m/d">
                  <c:v>45546</c:v>
                </c:pt>
                <c:pt idx="99" c:formatCode="yyyy/m/d">
                  <c:v>45547</c:v>
                </c:pt>
                <c:pt idx="100" c:formatCode="yyyy/m/d">
                  <c:v>45548</c:v>
                </c:pt>
                <c:pt idx="101" c:formatCode="yyyy/m/d">
                  <c:v>45551</c:v>
                </c:pt>
                <c:pt idx="102" c:formatCode="yyyy/m/d">
                  <c:v>45552</c:v>
                </c:pt>
                <c:pt idx="103" c:formatCode="yyyy/m/d">
                  <c:v>45553</c:v>
                </c:pt>
                <c:pt idx="104" c:formatCode="yyyy/m/d">
                  <c:v>45554</c:v>
                </c:pt>
                <c:pt idx="105" c:formatCode="yyyy/m/d">
                  <c:v>45555</c:v>
                </c:pt>
                <c:pt idx="106" c:formatCode="yyyy/m/d">
                  <c:v>45558</c:v>
                </c:pt>
                <c:pt idx="107" c:formatCode="yyyy/m/d">
                  <c:v>45559</c:v>
                </c:pt>
                <c:pt idx="108" c:formatCode="yyyy/m/d">
                  <c:v>45560</c:v>
                </c:pt>
                <c:pt idx="109" c:formatCode="yyyy/m/d">
                  <c:v>45561</c:v>
                </c:pt>
                <c:pt idx="110" c:formatCode="yyyy/m/d">
                  <c:v>45562</c:v>
                </c:pt>
                <c:pt idx="111" c:formatCode="yyyy/m/d">
                  <c:v>45565</c:v>
                </c:pt>
                <c:pt idx="112" c:formatCode="yyyy/m/d">
                  <c:v>45566</c:v>
                </c:pt>
                <c:pt idx="113" c:formatCode="yyyy/m/d">
                  <c:v>45567</c:v>
                </c:pt>
                <c:pt idx="114" c:formatCode="yyyy/m/d">
                  <c:v>45568</c:v>
                </c:pt>
                <c:pt idx="115" c:formatCode="yyyy/m/d">
                  <c:v>45569</c:v>
                </c:pt>
                <c:pt idx="116" c:formatCode="yyyy/m/d">
                  <c:v>45572</c:v>
                </c:pt>
                <c:pt idx="117" c:formatCode="yyyy/m/d">
                  <c:v>45573</c:v>
                </c:pt>
                <c:pt idx="118" c:formatCode="yyyy/m/d">
                  <c:v>45574</c:v>
                </c:pt>
                <c:pt idx="119" c:formatCode="yyyy/m/d">
                  <c:v>45575</c:v>
                </c:pt>
                <c:pt idx="120" c:formatCode="yyyy/m/d">
                  <c:v>45576</c:v>
                </c:pt>
                <c:pt idx="121" c:formatCode="yyyy/m/d">
                  <c:v>45579</c:v>
                </c:pt>
                <c:pt idx="122" c:formatCode="yyyy/m/d">
                  <c:v>45580</c:v>
                </c:pt>
                <c:pt idx="123" c:formatCode="yyyy/m/d">
                  <c:v>45581</c:v>
                </c:pt>
                <c:pt idx="124" c:formatCode="yyyy/m/d">
                  <c:v>45582</c:v>
                </c:pt>
                <c:pt idx="125" c:formatCode="yyyy/m/d">
                  <c:v>45583</c:v>
                </c:pt>
                <c:pt idx="126" c:formatCode="yyyy/m/d">
                  <c:v>45586</c:v>
                </c:pt>
                <c:pt idx="127" c:formatCode="yyyy/m/d">
                  <c:v>45587</c:v>
                </c:pt>
                <c:pt idx="128" c:formatCode="yyyy/m/d">
                  <c:v>45588</c:v>
                </c:pt>
                <c:pt idx="129" c:formatCode="yyyy/m/d">
                  <c:v>45589</c:v>
                </c:pt>
                <c:pt idx="130" c:formatCode="yyyy/m/d">
                  <c:v>45590</c:v>
                </c:pt>
                <c:pt idx="131" c:formatCode="yyyy/m/d">
                  <c:v>45593</c:v>
                </c:pt>
                <c:pt idx="132" c:formatCode="yyyy/m/d">
                  <c:v>45594</c:v>
                </c:pt>
                <c:pt idx="133" c:formatCode="yyyy/m/d">
                  <c:v>45595</c:v>
                </c:pt>
                <c:pt idx="134" c:formatCode="yyyy/m/d">
                  <c:v>45596</c:v>
                </c:pt>
                <c:pt idx="135" c:formatCode="yyyy/m/d">
                  <c:v>45597</c:v>
                </c:pt>
                <c:pt idx="136" c:formatCode="yyyy/m/d">
                  <c:v>45600</c:v>
                </c:pt>
                <c:pt idx="137" c:formatCode="yyyy/m/d">
                  <c:v>45601</c:v>
                </c:pt>
                <c:pt idx="138" c:formatCode="yyyy/m/d">
                  <c:v>45602</c:v>
                </c:pt>
                <c:pt idx="139" c:formatCode="yyyy/m/d">
                  <c:v>45603</c:v>
                </c:pt>
                <c:pt idx="140" c:formatCode="yyyy/m/d">
                  <c:v>45604</c:v>
                </c:pt>
                <c:pt idx="141" c:formatCode="yyyy/m/d">
                  <c:v>45607</c:v>
                </c:pt>
                <c:pt idx="142" c:formatCode="yyyy/m/d">
                  <c:v>45608</c:v>
                </c:pt>
                <c:pt idx="143" c:formatCode="yyyy/m/d">
                  <c:v>45609</c:v>
                </c:pt>
                <c:pt idx="144" c:formatCode="yyyy/m/d">
                  <c:v>45610</c:v>
                </c:pt>
                <c:pt idx="145" c:formatCode="yyyy/m/d">
                  <c:v>45611</c:v>
                </c:pt>
                <c:pt idx="146" c:formatCode="yyyy/m/d">
                  <c:v>45614</c:v>
                </c:pt>
                <c:pt idx="147" c:formatCode="yyyy/m/d">
                  <c:v>45615</c:v>
                </c:pt>
                <c:pt idx="148" c:formatCode="yyyy/m/d">
                  <c:v>45616</c:v>
                </c:pt>
                <c:pt idx="149" c:formatCode="yyyy/m/d">
                  <c:v>45617</c:v>
                </c:pt>
                <c:pt idx="150" c:formatCode="yyyy/m/d">
                  <c:v>45618</c:v>
                </c:pt>
                <c:pt idx="151" c:formatCode="yyyy/m/d">
                  <c:v>45621</c:v>
                </c:pt>
                <c:pt idx="152" c:formatCode="yyyy/m/d">
                  <c:v>45622</c:v>
                </c:pt>
                <c:pt idx="153" c:formatCode="yyyy/m/d">
                  <c:v>45623</c:v>
                </c:pt>
                <c:pt idx="154" c:formatCode="yyyy/m/d">
                  <c:v>45624</c:v>
                </c:pt>
                <c:pt idx="155" c:formatCode="yyyy/m/d">
                  <c:v>45625</c:v>
                </c:pt>
                <c:pt idx="156" c:formatCode="yyyy/m/d">
                  <c:v>45628</c:v>
                </c:pt>
                <c:pt idx="157" c:formatCode="yyyy/m/d">
                  <c:v>45629</c:v>
                </c:pt>
                <c:pt idx="158" c:formatCode="yyyy/m/d">
                  <c:v>45630</c:v>
                </c:pt>
                <c:pt idx="159" c:formatCode="yyyy/m/d">
                  <c:v>45631</c:v>
                </c:pt>
                <c:pt idx="160" c:formatCode="yyyy/m/d">
                  <c:v>45632</c:v>
                </c:pt>
                <c:pt idx="161" c:formatCode="yyyy/m/d">
                  <c:v>45635</c:v>
                </c:pt>
                <c:pt idx="162" c:formatCode="yyyy/m/d">
                  <c:v>45636</c:v>
                </c:pt>
                <c:pt idx="163" c:formatCode="yyyy/m/d">
                  <c:v>45637</c:v>
                </c:pt>
                <c:pt idx="164" c:formatCode="yyyy/m/d">
                  <c:v>45638</c:v>
                </c:pt>
                <c:pt idx="165" c:formatCode="yyyy/m/d">
                  <c:v>45639</c:v>
                </c:pt>
                <c:pt idx="166" c:formatCode="yyyy/m/d">
                  <c:v>45642</c:v>
                </c:pt>
                <c:pt idx="167" c:formatCode="yyyy/m/d">
                  <c:v>45643</c:v>
                </c:pt>
                <c:pt idx="168" c:formatCode="yyyy/m/d">
                  <c:v>45644</c:v>
                </c:pt>
                <c:pt idx="169" c:formatCode="yyyy/m/d">
                  <c:v>45645</c:v>
                </c:pt>
                <c:pt idx="170" c:formatCode="yyyy/m/d">
                  <c:v>45646</c:v>
                </c:pt>
                <c:pt idx="171" c:formatCode="yyyy/m/d">
                  <c:v>45649</c:v>
                </c:pt>
                <c:pt idx="172" c:formatCode="yyyy/m/d">
                  <c:v>45650</c:v>
                </c:pt>
                <c:pt idx="173" c:formatCode="yyyy/m/d">
                  <c:v>45651</c:v>
                </c:pt>
                <c:pt idx="174" c:formatCode="yyyy/m/d">
                  <c:v>45652</c:v>
                </c:pt>
                <c:pt idx="175" c:formatCode="yyyy/m/d">
                  <c:v>45653</c:v>
                </c:pt>
                <c:pt idx="176" c:formatCode="yyyy/m/d">
                  <c:v>45656</c:v>
                </c:pt>
                <c:pt idx="177" c:formatCode="yyyy/m/d">
                  <c:v>45657</c:v>
                </c:pt>
                <c:pt idx="178" c:formatCode="yyyy/m/d">
                  <c:v>45658</c:v>
                </c:pt>
                <c:pt idx="179" c:formatCode="yyyy/m/d">
                  <c:v>45659</c:v>
                </c:pt>
                <c:pt idx="180" c:formatCode="yyyy/m/d">
                  <c:v>45660</c:v>
                </c:pt>
                <c:pt idx="181" c:formatCode="yyyy/m/d">
                  <c:v>45663</c:v>
                </c:pt>
                <c:pt idx="182" c:formatCode="yyyy/m/d">
                  <c:v>45664</c:v>
                </c:pt>
                <c:pt idx="183" c:formatCode="yyyy/m/d">
                  <c:v>45665</c:v>
                </c:pt>
                <c:pt idx="184" c:formatCode="yyyy/m/d">
                  <c:v>45666</c:v>
                </c:pt>
                <c:pt idx="185" c:formatCode="yyyy/m/d">
                  <c:v>45667</c:v>
                </c:pt>
                <c:pt idx="186" c:formatCode="yyyy/m/d">
                  <c:v>45670</c:v>
                </c:pt>
                <c:pt idx="187" c:formatCode="yyyy/m/d">
                  <c:v>45671</c:v>
                </c:pt>
                <c:pt idx="188" c:formatCode="yyyy/m/d">
                  <c:v>45672</c:v>
                </c:pt>
                <c:pt idx="189" c:formatCode="yyyy/m/d">
                  <c:v>45673</c:v>
                </c:pt>
                <c:pt idx="190" c:formatCode="yyyy/m/d">
                  <c:v>45674</c:v>
                </c:pt>
                <c:pt idx="191" c:formatCode="yyyy/m/d">
                  <c:v>45677</c:v>
                </c:pt>
                <c:pt idx="192" c:formatCode="yyyy/m/d">
                  <c:v>45678</c:v>
                </c:pt>
                <c:pt idx="193" c:formatCode="yyyy/m/d">
                  <c:v>45679</c:v>
                </c:pt>
                <c:pt idx="194" c:formatCode="yyyy/m/d">
                  <c:v>45680</c:v>
                </c:pt>
                <c:pt idx="195" c:formatCode="yyyy/m/d">
                  <c:v>45681</c:v>
                </c:pt>
                <c:pt idx="196" c:formatCode="yyyy/m/d">
                  <c:v>45684</c:v>
                </c:pt>
                <c:pt idx="197" c:formatCode="yyyy/m/d">
                  <c:v>45685</c:v>
                </c:pt>
                <c:pt idx="198" c:formatCode="yyyy/m/d">
                  <c:v>45686</c:v>
                </c:pt>
                <c:pt idx="199" c:formatCode="yyyy/m/d">
                  <c:v>45687</c:v>
                </c:pt>
                <c:pt idx="200" c:formatCode="yyyy/m/d">
                  <c:v>45688</c:v>
                </c:pt>
                <c:pt idx="201" c:formatCode="yyyy/m/d">
                  <c:v>45691</c:v>
                </c:pt>
                <c:pt idx="202" c:formatCode="yyyy/m/d">
                  <c:v>45692</c:v>
                </c:pt>
                <c:pt idx="203" c:formatCode="yyyy/m/d">
                  <c:v>45693</c:v>
                </c:pt>
                <c:pt idx="204" c:formatCode="yyyy/m/d">
                  <c:v>45694</c:v>
                </c:pt>
                <c:pt idx="205" c:formatCode="yyyy/m/d">
                  <c:v>45695</c:v>
                </c:pt>
                <c:pt idx="206" c:formatCode="yyyy/m/d">
                  <c:v>45698</c:v>
                </c:pt>
                <c:pt idx="207" c:formatCode="yyyy/m/d">
                  <c:v>45699</c:v>
                </c:pt>
                <c:pt idx="208" c:formatCode="yyyy/m/d">
                  <c:v>45700</c:v>
                </c:pt>
                <c:pt idx="209" c:formatCode="yyyy/m/d">
                  <c:v>45701</c:v>
                </c:pt>
                <c:pt idx="210" c:formatCode="yyyy/m/d">
                  <c:v>45702</c:v>
                </c:pt>
                <c:pt idx="211" c:formatCode="yyyy/m/d">
                  <c:v>45705</c:v>
                </c:pt>
                <c:pt idx="212" c:formatCode="yyyy/m/d">
                  <c:v>45706</c:v>
                </c:pt>
                <c:pt idx="213" c:formatCode="yyyy/m/d">
                  <c:v>45707</c:v>
                </c:pt>
                <c:pt idx="214" c:formatCode="yyyy/m/d">
                  <c:v>45708</c:v>
                </c:pt>
                <c:pt idx="215" c:formatCode="yyyy/m/d">
                  <c:v>45709</c:v>
                </c:pt>
                <c:pt idx="216" c:formatCode="yyyy/m/d">
                  <c:v>45712</c:v>
                </c:pt>
                <c:pt idx="217" c:formatCode="yyyy/m/d">
                  <c:v>45713</c:v>
                </c:pt>
                <c:pt idx="218" c:formatCode="yyyy/m/d">
                  <c:v>45714</c:v>
                </c:pt>
                <c:pt idx="219" c:formatCode="yyyy/m/d">
                  <c:v>45715</c:v>
                </c:pt>
                <c:pt idx="220" c:formatCode="yyyy/m/d">
                  <c:v>45716</c:v>
                </c:pt>
                <c:pt idx="221" c:formatCode="yyyy/m/d">
                  <c:v>45719</c:v>
                </c:pt>
                <c:pt idx="222" c:formatCode="yyyy/m/d">
                  <c:v>45720</c:v>
                </c:pt>
                <c:pt idx="223" c:formatCode="yyyy/m/d">
                  <c:v>45721</c:v>
                </c:pt>
                <c:pt idx="224" c:formatCode="yyyy/m/d">
                  <c:v>45722</c:v>
                </c:pt>
                <c:pt idx="225" c:formatCode="yyyy/m/d">
                  <c:v>45723</c:v>
                </c:pt>
                <c:pt idx="226" c:formatCode="yyyy/m/d">
                  <c:v>45726</c:v>
                </c:pt>
                <c:pt idx="227" c:formatCode="yyyy/m/d">
                  <c:v>45727</c:v>
                </c:pt>
                <c:pt idx="228" c:formatCode="yyyy/m/d">
                  <c:v>45728</c:v>
                </c:pt>
                <c:pt idx="229" c:formatCode="yyyy/m/d">
                  <c:v>45729</c:v>
                </c:pt>
                <c:pt idx="230" c:formatCode="yyyy/m/d">
                  <c:v>45730</c:v>
                </c:pt>
                <c:pt idx="231" c:formatCode="yyyy/m/d">
                  <c:v>45733</c:v>
                </c:pt>
                <c:pt idx="232" c:formatCode="yyyy/m/d">
                  <c:v>45734</c:v>
                </c:pt>
                <c:pt idx="233" c:formatCode="yyyy/m/d">
                  <c:v>45735</c:v>
                </c:pt>
                <c:pt idx="234" c:formatCode="yyyy/m/d">
                  <c:v>45736</c:v>
                </c:pt>
                <c:pt idx="235" c:formatCode="yyyy/m/d">
                  <c:v>45737</c:v>
                </c:pt>
                <c:pt idx="236" c:formatCode="yyyy/m/d">
                  <c:v>45740</c:v>
                </c:pt>
                <c:pt idx="237" c:formatCode="yyyy/m/d">
                  <c:v>45741</c:v>
                </c:pt>
                <c:pt idx="238" c:formatCode="yyyy/m/d">
                  <c:v>45742</c:v>
                </c:pt>
                <c:pt idx="239" c:formatCode="yyyy/m/d">
                  <c:v>45743</c:v>
                </c:pt>
                <c:pt idx="240" c:formatCode="yyyy/m/d">
                  <c:v>45744</c:v>
                </c:pt>
                <c:pt idx="241" c:formatCode="yyyy/m/d">
                  <c:v>45747</c:v>
                </c:pt>
                <c:pt idx="242" c:formatCode="yyyy/m/d">
                  <c:v>45748</c:v>
                </c:pt>
                <c:pt idx="243" c:formatCode="yyyy/m/d">
                  <c:v>45749</c:v>
                </c:pt>
                <c:pt idx="244" c:formatCode="yyyy/m/d">
                  <c:v>45750</c:v>
                </c:pt>
                <c:pt idx="245" c:formatCode="yyyy/m/d">
                  <c:v>45751</c:v>
                </c:pt>
                <c:pt idx="246" c:formatCode="yyyy/m/d">
                  <c:v>45754</c:v>
                </c:pt>
                <c:pt idx="247" c:formatCode="yyyy/m/d">
                  <c:v>45755</c:v>
                </c:pt>
                <c:pt idx="248" c:formatCode="yyyy/m/d">
                  <c:v>45756</c:v>
                </c:pt>
                <c:pt idx="249" c:formatCode="yyyy/m/d">
                  <c:v>45757</c:v>
                </c:pt>
                <c:pt idx="250" c:formatCode="yyyy/m/d">
                  <c:v>45758</c:v>
                </c:pt>
                <c:pt idx="251" c:formatCode="yyyy/m/d">
                  <c:v>45761</c:v>
                </c:pt>
                <c:pt idx="252" c:formatCode="yyyy/m/d">
                  <c:v>45762</c:v>
                </c:pt>
                <c:pt idx="253" c:formatCode="yyyy/m/d">
                  <c:v>45763</c:v>
                </c:pt>
                <c:pt idx="254" c:formatCode="yyyy/m/d">
                  <c:v>45764</c:v>
                </c:pt>
                <c:pt idx="255" c:formatCode="yyyy/m/d">
                  <c:v>45765</c:v>
                </c:pt>
                <c:pt idx="256" c:formatCode="yyyy/m/d">
                  <c:v>45768</c:v>
                </c:pt>
                <c:pt idx="257" c:formatCode="yyyy/m/d">
                  <c:v>45769</c:v>
                </c:pt>
                <c:pt idx="258" c:formatCode="yyyy/m/d">
                  <c:v>45770</c:v>
                </c:pt>
                <c:pt idx="259" c:formatCode="yyyy/m/d">
                  <c:v>45771</c:v>
                </c:pt>
                <c:pt idx="260" c:formatCode="yyyy/m/d">
                  <c:v>45772</c:v>
                </c:pt>
                <c:pt idx="261" c:formatCode="yyyy/m/d">
                  <c:v>45775</c:v>
                </c:pt>
                <c:pt idx="262" c:formatCode="yyyy/m/d">
                  <c:v>45776</c:v>
                </c:pt>
                <c:pt idx="263" c:formatCode="yyyy/m/d">
                  <c:v>45777</c:v>
                </c:pt>
                <c:pt idx="264" c:formatCode="yyyy/m/d">
                  <c:v>45778</c:v>
                </c:pt>
                <c:pt idx="265" c:formatCode="yyyy/m/d">
                  <c:v>45779</c:v>
                </c:pt>
                <c:pt idx="266" c:formatCode="yyyy/m/d">
                  <c:v>45782</c:v>
                </c:pt>
                <c:pt idx="267" c:formatCode="yyyy/m/d">
                  <c:v>45783</c:v>
                </c:pt>
                <c:pt idx="268" c:formatCode="yyyy/m/d">
                  <c:v>45784</c:v>
                </c:pt>
                <c:pt idx="269" c:formatCode="yyyy/m/d">
                  <c:v>45785</c:v>
                </c:pt>
                <c:pt idx="270" c:formatCode="yyyy/m/d">
                  <c:v>45786</c:v>
                </c:pt>
                <c:pt idx="271" c:formatCode="yyyy/m/d">
                  <c:v>45789</c:v>
                </c:pt>
                <c:pt idx="272" c:formatCode="yyyy/m/d">
                  <c:v>45790</c:v>
                </c:pt>
                <c:pt idx="273" c:formatCode="yyyy/m/d">
                  <c:v>45791</c:v>
                </c:pt>
                <c:pt idx="274" c:formatCode="yyyy/m/d">
                  <c:v>45792</c:v>
                </c:pt>
                <c:pt idx="275" c:formatCode="yyyy/m/d">
                  <c:v>45793</c:v>
                </c:pt>
                <c:pt idx="276" c:formatCode="yyyy/m/d">
                  <c:v>45796</c:v>
                </c:pt>
                <c:pt idx="277" c:formatCode="yyyy/m/d">
                  <c:v>45797</c:v>
                </c:pt>
                <c:pt idx="278" c:formatCode="yyyy/m/d">
                  <c:v>45798</c:v>
                </c:pt>
                <c:pt idx="279" c:formatCode="yyyy/m/d">
                  <c:v>45799</c:v>
                </c:pt>
                <c:pt idx="280" c:formatCode="yyyy/m/d">
                  <c:v>45800</c:v>
                </c:pt>
                <c:pt idx="281" c:formatCode="yyyy/m/d">
                  <c:v>45803</c:v>
                </c:pt>
                <c:pt idx="282" c:formatCode="yyyy/m/d">
                  <c:v>45804</c:v>
                </c:pt>
                <c:pt idx="283" c:formatCode="yyyy/m/d">
                  <c:v>45805</c:v>
                </c:pt>
                <c:pt idx="284" c:formatCode="yyyy/m/d">
                  <c:v>45806</c:v>
                </c:pt>
                <c:pt idx="285" c:formatCode="yyyy/m/d">
                  <c:v>45807</c:v>
                </c:pt>
                <c:pt idx="286" c:formatCode="yyyy/m/d">
                  <c:v>45810</c:v>
                </c:pt>
                <c:pt idx="287" c:formatCode="yyyy/m/d">
                  <c:v>45811</c:v>
                </c:pt>
                <c:pt idx="288" c:formatCode="yyyy/m/d">
                  <c:v>45812</c:v>
                </c:pt>
                <c:pt idx="289" c:formatCode="yyyy/m/d">
                  <c:v>45813</c:v>
                </c:pt>
                <c:pt idx="290" c:formatCode="yyyy/m/d">
                  <c:v>45814</c:v>
                </c:pt>
                <c:pt idx="291" c:formatCode="yyyy/m/d">
                  <c:v>45817</c:v>
                </c:pt>
                <c:pt idx="292" c:formatCode="yyyy/m/d">
                  <c:v>45818</c:v>
                </c:pt>
                <c:pt idx="293" c:formatCode="yyyy/m/d">
                  <c:v>45819</c:v>
                </c:pt>
                <c:pt idx="294" c:formatCode="yyyy/m/d">
                  <c:v>45820</c:v>
                </c:pt>
                <c:pt idx="295" c:formatCode="yyyy/m/d">
                  <c:v>45821</c:v>
                </c:pt>
                <c:pt idx="296" c:formatCode="yyyy/m/d">
                  <c:v>45824</c:v>
                </c:pt>
                <c:pt idx="297" c:formatCode="yyyy/m/d">
                  <c:v>45825</c:v>
                </c:pt>
                <c:pt idx="298" c:formatCode="yyyy/m/d">
                  <c:v>45826</c:v>
                </c:pt>
                <c:pt idx="299" c:formatCode="yyyy/m/d">
                  <c:v>45827</c:v>
                </c:pt>
                <c:pt idx="300" c:formatCode="yyyy/m/d">
                  <c:v>45828</c:v>
                </c:pt>
                <c:pt idx="301" c:formatCode="yyyy/m/d">
                  <c:v>45831</c:v>
                </c:pt>
                <c:pt idx="302" c:formatCode="yyyy/m/d">
                  <c:v>45832</c:v>
                </c:pt>
                <c:pt idx="303" c:formatCode="yyyy/m/d">
                  <c:v>45833</c:v>
                </c:pt>
                <c:pt idx="304" c:formatCode="yyyy/m/d">
                  <c:v>45834</c:v>
                </c:pt>
                <c:pt idx="305" c:formatCode="yyyy/m/d">
                  <c:v>45835</c:v>
                </c:pt>
                <c:pt idx="306" c:formatCode="yyyy/m/d">
                  <c:v>45838</c:v>
                </c:pt>
                <c:pt idx="307" c:formatCode="yyyy/m/d">
                  <c:v>45839</c:v>
                </c:pt>
                <c:pt idx="308" c:formatCode="yyyy/m/d">
                  <c:v>45840</c:v>
                </c:pt>
                <c:pt idx="309" c:formatCode="yyyy/m/d">
                  <c:v>45841</c:v>
                </c:pt>
                <c:pt idx="310" c:formatCode="yyyy/m/d">
                  <c:v>45842</c:v>
                </c:pt>
                <c:pt idx="311" c:formatCode="yyyy/m/d">
                  <c:v>45845</c:v>
                </c:pt>
                <c:pt idx="312" c:formatCode="yyyy/m/d">
                  <c:v>45846</c:v>
                </c:pt>
                <c:pt idx="313" c:formatCode="yyyy/m/d">
                  <c:v>45847</c:v>
                </c:pt>
                <c:pt idx="314" c:formatCode="yyyy/m/d">
                  <c:v>45848</c:v>
                </c:pt>
                <c:pt idx="315" c:formatCode="yyyy/m/d">
                  <c:v>45849</c:v>
                </c:pt>
                <c:pt idx="316" c:formatCode="yyyy/m/d">
                  <c:v>45852</c:v>
                </c:pt>
                <c:pt idx="317" c:formatCode="yyyy/m/d">
                  <c:v>45853</c:v>
                </c:pt>
                <c:pt idx="318" c:formatCode="yyyy/m/d">
                  <c:v>45854</c:v>
                </c:pt>
                <c:pt idx="319" c:formatCode="yyyy/m/d">
                  <c:v>45855</c:v>
                </c:pt>
                <c:pt idx="320" c:formatCode="yyyy/m/d">
                  <c:v>45856</c:v>
                </c:pt>
                <c:pt idx="321" c:formatCode="yyyy/m/d">
                  <c:v>45859</c:v>
                </c:pt>
                <c:pt idx="322" c:formatCode="yyyy/m/d">
                  <c:v>45860</c:v>
                </c:pt>
                <c:pt idx="323" c:formatCode="yyyy/m/d">
                  <c:v>45861</c:v>
                </c:pt>
                <c:pt idx="324" c:formatCode="yyyy/m/d">
                  <c:v>45862</c:v>
                </c:pt>
                <c:pt idx="325" c:formatCode="yyyy/m/d">
                  <c:v>45863</c:v>
                </c:pt>
                <c:pt idx="326" c:formatCode="yyyy/m/d">
                  <c:v>45866</c:v>
                </c:pt>
                <c:pt idx="327" c:formatCode="yyyy/m/d">
                  <c:v>45867</c:v>
                </c:pt>
                <c:pt idx="328" c:formatCode="yyyy/m/d">
                  <c:v>45868</c:v>
                </c:pt>
                <c:pt idx="329" c:formatCode="yyyy/m/d">
                  <c:v>45869</c:v>
                </c:pt>
                <c:pt idx="330" c:formatCode="yyyy/m/d">
                  <c:v>45870</c:v>
                </c:pt>
                <c:pt idx="331" c:formatCode="yyyy/m/d">
                  <c:v>45873</c:v>
                </c:pt>
                <c:pt idx="332" c:formatCode="yyyy/m/d">
                  <c:v>45874</c:v>
                </c:pt>
                <c:pt idx="333" c:formatCode="yyyy/m/d">
                  <c:v>45875</c:v>
                </c:pt>
                <c:pt idx="334" c:formatCode="yyyy/m/d">
                  <c:v>45876</c:v>
                </c:pt>
                <c:pt idx="335" c:formatCode="yyyy/m/d">
                  <c:v>45877</c:v>
                </c:pt>
                <c:pt idx="336" c:formatCode="yyyy/m/d">
                  <c:v>45880</c:v>
                </c:pt>
                <c:pt idx="337" c:formatCode="yyyy/m/d">
                  <c:v>45881</c:v>
                </c:pt>
                <c:pt idx="338" c:formatCode="yyyy/m/d">
                  <c:v>45882</c:v>
                </c:pt>
                <c:pt idx="339" c:formatCode="yyyy/m/d">
                  <c:v>45883</c:v>
                </c:pt>
                <c:pt idx="340" c:formatCode="yyyy/m/d">
                  <c:v>45884</c:v>
                </c:pt>
                <c:pt idx="341" c:formatCode="yyyy/m/d">
                  <c:v>45887</c:v>
                </c:pt>
                <c:pt idx="342" c:formatCode="yyyy/m/d">
                  <c:v>45888</c:v>
                </c:pt>
                <c:pt idx="343" c:formatCode="yyyy/m/d">
                  <c:v>45889</c:v>
                </c:pt>
                <c:pt idx="344" c:formatCode="yyyy/m/d">
                  <c:v>45890</c:v>
                </c:pt>
                <c:pt idx="345" c:formatCode="yyyy/m/d">
                  <c:v>45891</c:v>
                </c:pt>
                <c:pt idx="346" c:formatCode="yyyy/m/d">
                  <c:v>45894</c:v>
                </c:pt>
                <c:pt idx="347" c:formatCode="yyyy/m/d">
                  <c:v>45895</c:v>
                </c:pt>
                <c:pt idx="348" c:formatCode="yyyy/m/d">
                  <c:v>45896</c:v>
                </c:pt>
                <c:pt idx="349" c:formatCode="yyyy/m/d">
                  <c:v>45897</c:v>
                </c:pt>
                <c:pt idx="350" c:formatCode="yyyy/m/d">
                  <c:v>45898</c:v>
                </c:pt>
                <c:pt idx="351" c:formatCode="yyyy/m/d">
                  <c:v>45901</c:v>
                </c:pt>
                <c:pt idx="352" c:formatCode="yyyy/m/d">
                  <c:v>45902</c:v>
                </c:pt>
                <c:pt idx="353" c:formatCode="yyyy/m/d">
                  <c:v>45903</c:v>
                </c:pt>
                <c:pt idx="354" c:formatCode="yyyy/m/d">
                  <c:v>45904</c:v>
                </c:pt>
                <c:pt idx="355" c:formatCode="yyyy/m/d">
                  <c:v>45905</c:v>
                </c:pt>
                <c:pt idx="356" c:formatCode="yyyy/m/d">
                  <c:v>45908</c:v>
                </c:pt>
                <c:pt idx="357" c:formatCode="yyyy/m/d">
                  <c:v>45909</c:v>
                </c:pt>
                <c:pt idx="358" c:formatCode="yyyy/m/d">
                  <c:v>45910</c:v>
                </c:pt>
                <c:pt idx="359" c:formatCode="yyyy/m/d">
                  <c:v>45911</c:v>
                </c:pt>
                <c:pt idx="360" c:formatCode="yyyy/m/d">
                  <c:v>45912</c:v>
                </c:pt>
                <c:pt idx="361" c:formatCode="yyyy/m/d">
                  <c:v>45915</c:v>
                </c:pt>
                <c:pt idx="362" c:formatCode="yyyy/m/d">
                  <c:v>45916</c:v>
                </c:pt>
                <c:pt idx="363" c:formatCode="yyyy/m/d">
                  <c:v>45917</c:v>
                </c:pt>
                <c:pt idx="364" c:formatCode="yyyy/m/d">
                  <c:v>45918</c:v>
                </c:pt>
                <c:pt idx="365" c:formatCode="yyyy/m/d">
                  <c:v>45919</c:v>
                </c:pt>
                <c:pt idx="366" c:formatCode="yyyy/m/d">
                  <c:v>45922</c:v>
                </c:pt>
                <c:pt idx="367" c:formatCode="yyyy/m/d">
                  <c:v>45923</c:v>
                </c:pt>
                <c:pt idx="368" c:formatCode="yyyy/m/d">
                  <c:v>45924</c:v>
                </c:pt>
                <c:pt idx="369" c:formatCode="yyyy/m/d">
                  <c:v>45925</c:v>
                </c:pt>
                <c:pt idx="370" c:formatCode="yyyy/m/d">
                  <c:v>45926</c:v>
                </c:pt>
                <c:pt idx="371" c:formatCode="yyyy/m/d">
                  <c:v>45929</c:v>
                </c:pt>
                <c:pt idx="372" c:formatCode="yyyy/m/d">
                  <c:v>45930</c:v>
                </c:pt>
                <c:pt idx="373" c:formatCode="yyyy/m/d">
                  <c:v>45931</c:v>
                </c:pt>
                <c:pt idx="374" c:formatCode="yyyy/m/d">
                  <c:v>45932</c:v>
                </c:pt>
                <c:pt idx="375" c:formatCode="yyyy/m/d">
                  <c:v>45933</c:v>
                </c:pt>
                <c:pt idx="376" c:formatCode="yyyy/m/d">
                  <c:v>45936</c:v>
                </c:pt>
                <c:pt idx="377" c:formatCode="yyyy/m/d">
                  <c:v>45937</c:v>
                </c:pt>
                <c:pt idx="378" c:formatCode="yyyy/m/d">
                  <c:v>45938</c:v>
                </c:pt>
                <c:pt idx="379" c:formatCode="yyyy/m/d">
                  <c:v>45939</c:v>
                </c:pt>
                <c:pt idx="380" c:formatCode="yyyy/m/d">
                  <c:v>45940</c:v>
                </c:pt>
                <c:pt idx="381" c:formatCode="yyyy/m/d">
                  <c:v>45943</c:v>
                </c:pt>
                <c:pt idx="382" c:formatCode="yyyy/m/d">
                  <c:v>45944</c:v>
                </c:pt>
                <c:pt idx="383" c:formatCode="yyyy/m/d">
                  <c:v>45945</c:v>
                </c:pt>
                <c:pt idx="384" c:formatCode="yyyy/m/d">
                  <c:v>45946</c:v>
                </c:pt>
                <c:pt idx="385" c:formatCode="yyyy/m/d">
                  <c:v>45947</c:v>
                </c:pt>
                <c:pt idx="386" c:formatCode="yyyy/m/d">
                  <c:v>45950</c:v>
                </c:pt>
                <c:pt idx="387" c:formatCode="yyyy/m/d">
                  <c:v>45951</c:v>
                </c:pt>
                <c:pt idx="388" c:formatCode="yyyy/m/d">
                  <c:v>45952</c:v>
                </c:pt>
                <c:pt idx="389" c:formatCode="yyyy/m/d">
                  <c:v>45953</c:v>
                </c:pt>
                <c:pt idx="390" c:formatCode="yyyy/m/d">
                  <c:v>45954</c:v>
                </c:pt>
                <c:pt idx="391" c:formatCode="yyyy/m/d">
                  <c:v>45957</c:v>
                </c:pt>
                <c:pt idx="392" c:formatCode="yyyy/m/d">
                  <c:v>45958</c:v>
                </c:pt>
                <c:pt idx="393" c:formatCode="yyyy/m/d">
                  <c:v>45959</c:v>
                </c:pt>
                <c:pt idx="394" c:formatCode="yyyy/m/d">
                  <c:v>45960</c:v>
                </c:pt>
                <c:pt idx="395" c:formatCode="yyyy/m/d">
                  <c:v>45961</c:v>
                </c:pt>
                <c:pt idx="396" c:formatCode="yyyy/m/d">
                  <c:v>45964</c:v>
                </c:pt>
                <c:pt idx="397" c:formatCode="yyyy/m/d">
                  <c:v>45965</c:v>
                </c:pt>
                <c:pt idx="398" c:formatCode="yyyy/m/d">
                  <c:v>45966</c:v>
                </c:pt>
                <c:pt idx="399" c:formatCode="yyyy/m/d">
                  <c:v>45967</c:v>
                </c:pt>
                <c:pt idx="400" c:formatCode="yyyy/m/d">
                  <c:v>45968</c:v>
                </c:pt>
                <c:pt idx="401" c:formatCode="yyyy/m/d">
                  <c:v>45971</c:v>
                </c:pt>
                <c:pt idx="402" c:formatCode="yyyy/m/d">
                  <c:v>45972</c:v>
                </c:pt>
                <c:pt idx="403" c:formatCode="yyyy/m/d">
                  <c:v>45973</c:v>
                </c:pt>
                <c:pt idx="404" c:formatCode="yyyy/m/d">
                  <c:v>45974</c:v>
                </c:pt>
                <c:pt idx="405" c:formatCode="yyyy/m/d">
                  <c:v>45975</c:v>
                </c:pt>
                <c:pt idx="406" c:formatCode="yyyy/m/d">
                  <c:v>45978</c:v>
                </c:pt>
                <c:pt idx="407" c:formatCode="yyyy/m/d">
                  <c:v>45979</c:v>
                </c:pt>
                <c:pt idx="408" c:formatCode="yyyy/m/d">
                  <c:v>45980</c:v>
                </c:pt>
                <c:pt idx="409" c:formatCode="yyyy/m/d">
                  <c:v>45981</c:v>
                </c:pt>
                <c:pt idx="410" c:formatCode="yyyy/m/d">
                  <c:v>45982</c:v>
                </c:pt>
                <c:pt idx="411" c:formatCode="yyyy/m/d">
                  <c:v>45985</c:v>
                </c:pt>
                <c:pt idx="412" c:formatCode="yyyy/m/d">
                  <c:v>45986</c:v>
                </c:pt>
                <c:pt idx="413" c:formatCode="yyyy/m/d">
                  <c:v>45987</c:v>
                </c:pt>
                <c:pt idx="414" c:formatCode="yyyy/m/d">
                  <c:v>45988</c:v>
                </c:pt>
                <c:pt idx="415" c:formatCode="yyyy/m/d">
                  <c:v>45989</c:v>
                </c:pt>
                <c:pt idx="416" c:formatCode="yyyy/m/d">
                  <c:v>45992</c:v>
                </c:pt>
                <c:pt idx="417" c:formatCode="yyyy/m/d">
                  <c:v>45993</c:v>
                </c:pt>
                <c:pt idx="418" c:formatCode="yyyy/m/d">
                  <c:v>45994</c:v>
                </c:pt>
                <c:pt idx="419" c:formatCode="yyyy/m/d">
                  <c:v>45995</c:v>
                </c:pt>
                <c:pt idx="420" c:formatCode="yyyy/m/d">
                  <c:v>45996</c:v>
                </c:pt>
                <c:pt idx="421" c:formatCode="yyyy/m/d">
                  <c:v>45999</c:v>
                </c:pt>
                <c:pt idx="422" c:formatCode="yyyy/m/d">
                  <c:v>46000</c:v>
                </c:pt>
                <c:pt idx="423" c:formatCode="yyyy/m/d">
                  <c:v>46001</c:v>
                </c:pt>
                <c:pt idx="424" c:formatCode="yyyy/m/d">
                  <c:v>46002</c:v>
                </c:pt>
                <c:pt idx="425" c:formatCode="yyyy/m/d">
                  <c:v>46003</c:v>
                </c:pt>
                <c:pt idx="426" c:formatCode="yyyy/m/d">
                  <c:v>46006</c:v>
                </c:pt>
                <c:pt idx="427" c:formatCode="yyyy/m/d">
                  <c:v>46007</c:v>
                </c:pt>
                <c:pt idx="428" c:formatCode="yyyy/m/d">
                  <c:v>46008</c:v>
                </c:pt>
                <c:pt idx="429" c:formatCode="yyyy/m/d">
                  <c:v>46009</c:v>
                </c:pt>
                <c:pt idx="430" c:formatCode="yyyy/m/d">
                  <c:v>46010</c:v>
                </c:pt>
                <c:pt idx="431" c:formatCode="yyyy/m/d">
                  <c:v>46013</c:v>
                </c:pt>
                <c:pt idx="432" c:formatCode="yyyy/m/d">
                  <c:v>46014</c:v>
                </c:pt>
                <c:pt idx="433" c:formatCode="yyyy/m/d">
                  <c:v>46015</c:v>
                </c:pt>
                <c:pt idx="434" c:formatCode="yyyy/m/d">
                  <c:v>46016</c:v>
                </c:pt>
                <c:pt idx="435" c:formatCode="yyyy/m/d">
                  <c:v>46017</c:v>
                </c:pt>
                <c:pt idx="436" c:formatCode="yyyy/m/d">
                  <c:v>46020</c:v>
                </c:pt>
                <c:pt idx="437" c:formatCode="yyyy/m/d">
                  <c:v>46021</c:v>
                </c:pt>
                <c:pt idx="438" c:formatCode="yyyy/m/d">
                  <c:v>46022</c:v>
                </c:pt>
                <c:pt idx="439" c:formatCode="yyyy/m/d">
                  <c:v>46023</c:v>
                </c:pt>
                <c:pt idx="440" c:formatCode="yyyy/m/d">
                  <c:v>46024</c:v>
                </c:pt>
                <c:pt idx="441" c:formatCode="yyyy/m/d">
                  <c:v>46027</c:v>
                </c:pt>
                <c:pt idx="442" c:formatCode="yyyy/m/d">
                  <c:v>46028</c:v>
                </c:pt>
                <c:pt idx="443" c:formatCode="yyyy/m/d">
                  <c:v>46029</c:v>
                </c:pt>
                <c:pt idx="444" c:formatCode="yyyy/m/d">
                  <c:v>46030</c:v>
                </c:pt>
                <c:pt idx="445" c:formatCode="yyyy/m/d">
                  <c:v>46031</c:v>
                </c:pt>
                <c:pt idx="446" c:formatCode="yyyy/m/d">
                  <c:v>46034</c:v>
                </c:pt>
                <c:pt idx="447" c:formatCode="yyyy/m/d">
                  <c:v>46035</c:v>
                </c:pt>
                <c:pt idx="448" c:formatCode="yyyy/m/d">
                  <c:v>46036</c:v>
                </c:pt>
                <c:pt idx="449" c:formatCode="yyyy/m/d">
                  <c:v>46037</c:v>
                </c:pt>
                <c:pt idx="450" c:formatCode="yyyy/m/d">
                  <c:v>46038</c:v>
                </c:pt>
                <c:pt idx="451" c:formatCode="yyyy/m/d">
                  <c:v>46041</c:v>
                </c:pt>
                <c:pt idx="452" c:formatCode="yyyy/m/d">
                  <c:v>46042</c:v>
                </c:pt>
                <c:pt idx="453" c:formatCode="yyyy/m/d">
                  <c:v>46043</c:v>
                </c:pt>
                <c:pt idx="454" c:formatCode="yyyy/m/d">
                  <c:v>46044</c:v>
                </c:pt>
                <c:pt idx="455" c:formatCode="yyyy/m/d">
                  <c:v>46045</c:v>
                </c:pt>
                <c:pt idx="456" c:formatCode="yyyy/m/d">
                  <c:v>46048</c:v>
                </c:pt>
                <c:pt idx="457" c:formatCode="yyyy/m/d">
                  <c:v>46049</c:v>
                </c:pt>
                <c:pt idx="458" c:formatCode="yyyy/m/d">
                  <c:v>46050</c:v>
                </c:pt>
                <c:pt idx="459" c:formatCode="yyyy/m/d">
                  <c:v>46051</c:v>
                </c:pt>
                <c:pt idx="460" c:formatCode="yyyy/m/d">
                  <c:v>46052</c:v>
                </c:pt>
                <c:pt idx="461" c:formatCode="yyyy/m/d">
                  <c:v>46055</c:v>
                </c:pt>
                <c:pt idx="462" c:formatCode="yyyy/m/d">
                  <c:v>46056</c:v>
                </c:pt>
                <c:pt idx="463" c:formatCode="yyyy/m/d">
                  <c:v>46057</c:v>
                </c:pt>
                <c:pt idx="464" c:formatCode="yyyy/m/d">
                  <c:v>46058</c:v>
                </c:pt>
                <c:pt idx="465" c:formatCode="yyyy/m/d">
                  <c:v>46059</c:v>
                </c:pt>
                <c:pt idx="466" c:formatCode="yyyy/m/d">
                  <c:v>46062</c:v>
                </c:pt>
                <c:pt idx="467" c:formatCode="yyyy/m/d">
                  <c:v>46063</c:v>
                </c:pt>
                <c:pt idx="468" c:formatCode="yyyy/m/d">
                  <c:v>46064</c:v>
                </c:pt>
                <c:pt idx="469" c:formatCode="yyyy/m/d">
                  <c:v>46065</c:v>
                </c:pt>
                <c:pt idx="470" c:formatCode="yyyy/m/d">
                  <c:v>46066</c:v>
                </c:pt>
                <c:pt idx="471" c:formatCode="yyyy/m/d">
                  <c:v>46069</c:v>
                </c:pt>
                <c:pt idx="472" c:formatCode="yyyy/m/d">
                  <c:v>46070</c:v>
                </c:pt>
                <c:pt idx="473" c:formatCode="yyyy/m/d">
                  <c:v>46071</c:v>
                </c:pt>
                <c:pt idx="474" c:formatCode="yyyy/m/d">
                  <c:v>46072</c:v>
                </c:pt>
                <c:pt idx="475" c:formatCode="yyyy/m/d">
                  <c:v>46073</c:v>
                </c:pt>
                <c:pt idx="476" c:formatCode="yyyy/m/d">
                  <c:v>46076</c:v>
                </c:pt>
                <c:pt idx="477" c:formatCode="yyyy/m/d">
                  <c:v>46077</c:v>
                </c:pt>
                <c:pt idx="478" c:formatCode="yyyy/m/d">
                  <c:v>46078</c:v>
                </c:pt>
                <c:pt idx="479" c:formatCode="yyyy/m/d">
                  <c:v>46079</c:v>
                </c:pt>
                <c:pt idx="480" c:formatCode="yyyy/m/d">
                  <c:v>46080</c:v>
                </c:pt>
                <c:pt idx="481" c:formatCode="yyyy/m/d">
                  <c:v>46083</c:v>
                </c:pt>
                <c:pt idx="482" c:formatCode="yyyy/m/d">
                  <c:v>46084</c:v>
                </c:pt>
                <c:pt idx="483" c:formatCode="yyyy/m/d">
                  <c:v>46085</c:v>
                </c:pt>
                <c:pt idx="484" c:formatCode="yyyy/m/d">
                  <c:v>46086</c:v>
                </c:pt>
                <c:pt idx="485" c:formatCode="yyyy/m/d">
                  <c:v>46087</c:v>
                </c:pt>
                <c:pt idx="486" c:formatCode="yyyy/m/d">
                  <c:v>46090</c:v>
                </c:pt>
                <c:pt idx="487" c:formatCode="yyyy/m/d">
                  <c:v>46091</c:v>
                </c:pt>
                <c:pt idx="488" c:formatCode="yyyy/m/d">
                  <c:v>46092</c:v>
                </c:pt>
                <c:pt idx="489" c:formatCode="yyyy/m/d">
                  <c:v>46093</c:v>
                </c:pt>
                <c:pt idx="490" c:formatCode="yyyy/m/d">
                  <c:v>46094</c:v>
                </c:pt>
                <c:pt idx="491" c:formatCode="yyyy/m/d">
                  <c:v>46097</c:v>
                </c:pt>
                <c:pt idx="492" c:formatCode="yyyy/m/d">
                  <c:v>46098</c:v>
                </c:pt>
                <c:pt idx="493" c:formatCode="yyyy/m/d">
                  <c:v>46099</c:v>
                </c:pt>
                <c:pt idx="494" c:formatCode="yyyy/m/d">
                  <c:v>46100</c:v>
                </c:pt>
                <c:pt idx="495" c:formatCode="yyyy/m/d">
                  <c:v>46101</c:v>
                </c:pt>
                <c:pt idx="496" c:formatCode="yyyy/m/d">
                  <c:v>46104</c:v>
                </c:pt>
                <c:pt idx="497" c:formatCode="yyyy/m/d">
                  <c:v>46105</c:v>
                </c:pt>
                <c:pt idx="498" c:formatCode="yyyy/m/d">
                  <c:v>46106</c:v>
                </c:pt>
                <c:pt idx="499" c:formatCode="yyyy/m/d">
                  <c:v>46107</c:v>
                </c:pt>
                <c:pt idx="500" c:formatCode="yyyy/m/d">
                  <c:v>46108</c:v>
                </c:pt>
                <c:pt idx="501" c:formatCode="yyyy/m/d">
                  <c:v>46111</c:v>
                </c:pt>
                <c:pt idx="502" c:formatCode="yyyy/m/d">
                  <c:v>46112</c:v>
                </c:pt>
                <c:pt idx="503" c:formatCode="yyyy/m/d">
                  <c:v>46113</c:v>
                </c:pt>
                <c:pt idx="504" c:formatCode="yyyy/m/d">
                  <c:v>46114</c:v>
                </c:pt>
                <c:pt idx="505" c:formatCode="yyyy/m/d">
                  <c:v>46115</c:v>
                </c:pt>
                <c:pt idx="506" c:formatCode="yyyy/m/d">
                  <c:v>46118</c:v>
                </c:pt>
                <c:pt idx="507" c:formatCode="yyyy/m/d">
                  <c:v>46119</c:v>
                </c:pt>
                <c:pt idx="508" c:formatCode="yyyy/m/d">
                  <c:v>46120</c:v>
                </c:pt>
                <c:pt idx="509" c:formatCode="yyyy/m/d">
                  <c:v>46121</c:v>
                </c:pt>
                <c:pt idx="510" c:formatCode="yyyy/m/d">
                  <c:v>46122</c:v>
                </c:pt>
                <c:pt idx="511" c:formatCode="yyyy/m/d">
                  <c:v>46125</c:v>
                </c:pt>
                <c:pt idx="512" c:formatCode="yyyy/m/d">
                  <c:v>46126</c:v>
                </c:pt>
                <c:pt idx="513" c:formatCode="yyyy/m/d">
                  <c:v>46127</c:v>
                </c:pt>
                <c:pt idx="514" c:formatCode="yyyy/m/d">
                  <c:v>46128</c:v>
                </c:pt>
                <c:pt idx="515" c:formatCode="yyyy/m/d">
                  <c:v>46129</c:v>
                </c:pt>
                <c:pt idx="516" c:formatCode="yyyy/m/d">
                  <c:v>46132</c:v>
                </c:pt>
                <c:pt idx="517" c:formatCode="yyyy/m/d">
                  <c:v>46133</c:v>
                </c:pt>
                <c:pt idx="518" c:formatCode="yyyy/m/d">
                  <c:v>46134</c:v>
                </c:pt>
                <c:pt idx="519" c:formatCode="yyyy/m/d">
                  <c:v>46135</c:v>
                </c:pt>
                <c:pt idx="520" c:formatCode="yyyy/m/d">
                  <c:v>46136</c:v>
                </c:pt>
                <c:pt idx="521" c:formatCode="yyyy/m/d">
                  <c:v>46139</c:v>
                </c:pt>
                <c:pt idx="522" c:formatCode="yyyy/m/d">
                  <c:v>46140</c:v>
                </c:pt>
              </c:numCache>
            </c:numRef>
          </c:cat>
          <c:val>
            <c:numRef>
              <c:f>'Cost split'!$O$3:$O$525</c:f>
              <c:numCache>
                <c:formatCode>General</c:formatCode>
                <c:ptCount val="523"/>
                <c:pt idx="0">
                  <c:v>0.935104</c:v>
                </c:pt>
                <c:pt idx="1">
                  <c:v>0.932749</c:v>
                </c:pt>
                <c:pt idx="2">
                  <c:v>0.937602</c:v>
                </c:pt>
                <c:pt idx="3">
                  <c:v>0.933619</c:v>
                </c:pt>
                <c:pt idx="4">
                  <c:v>0.932227</c:v>
                </c:pt>
                <c:pt idx="5">
                  <c:v>0.929368</c:v>
                </c:pt>
                <c:pt idx="6">
                  <c:v>0.928592</c:v>
                </c:pt>
                <c:pt idx="7">
                  <c:v>0.929886</c:v>
                </c:pt>
                <c:pt idx="8">
                  <c:v>0.930492</c:v>
                </c:pt>
                <c:pt idx="9">
                  <c:v>0.927471</c:v>
                </c:pt>
                <c:pt idx="10">
                  <c:v>0.928419</c:v>
                </c:pt>
                <c:pt idx="11">
                  <c:v>0.926827</c:v>
                </c:pt>
                <c:pt idx="12">
                  <c:v>0.924215</c:v>
                </c:pt>
                <c:pt idx="13">
                  <c:v>0.91878</c:v>
                </c:pt>
                <c:pt idx="14">
                  <c:v>0.920217</c:v>
                </c:pt>
                <c:pt idx="15">
                  <c:v>0.919794</c:v>
                </c:pt>
                <c:pt idx="16">
                  <c:v>0.921065</c:v>
                </c:pt>
                <c:pt idx="17">
                  <c:v>0.921277</c:v>
                </c:pt>
                <c:pt idx="18">
                  <c:v>0.923958</c:v>
                </c:pt>
                <c:pt idx="19">
                  <c:v>0.924684</c:v>
                </c:pt>
                <c:pt idx="20">
                  <c:v>0.921914</c:v>
                </c:pt>
                <c:pt idx="21">
                  <c:v>0.920938</c:v>
                </c:pt>
                <c:pt idx="22">
                  <c:v>0.921065</c:v>
                </c:pt>
                <c:pt idx="23">
                  <c:v>0.925754</c:v>
                </c:pt>
                <c:pt idx="24">
                  <c:v>0.923106</c:v>
                </c:pt>
                <c:pt idx="25">
                  <c:v>0.922254</c:v>
                </c:pt>
                <c:pt idx="26">
                  <c:v>0.917095</c:v>
                </c:pt>
                <c:pt idx="27">
                  <c:v>0.919117</c:v>
                </c:pt>
                <c:pt idx="28">
                  <c:v>0.920048</c:v>
                </c:pt>
                <c:pt idx="29">
                  <c:v>0.918274</c:v>
                </c:pt>
                <c:pt idx="30">
                  <c:v>0.925754</c:v>
                </c:pt>
                <c:pt idx="31">
                  <c:v>0.928936</c:v>
                </c:pt>
                <c:pt idx="32">
                  <c:v>0.931098</c:v>
                </c:pt>
                <c:pt idx="33">
                  <c:v>0.925155</c:v>
                </c:pt>
                <c:pt idx="34">
                  <c:v>0.931359</c:v>
                </c:pt>
                <c:pt idx="35">
                  <c:v>0.934405</c:v>
                </c:pt>
                <c:pt idx="36">
                  <c:v>0.931576</c:v>
                </c:pt>
                <c:pt idx="37">
                  <c:v>0.931098</c:v>
                </c:pt>
                <c:pt idx="38">
                  <c:v>0.930752</c:v>
                </c:pt>
                <c:pt idx="39">
                  <c:v>0.934405</c:v>
                </c:pt>
                <c:pt idx="40">
                  <c:v>0.935192</c:v>
                </c:pt>
                <c:pt idx="41">
                  <c:v>0.93162</c:v>
                </c:pt>
                <c:pt idx="42">
                  <c:v>0.933314</c:v>
                </c:pt>
                <c:pt idx="43">
                  <c:v>0.936285</c:v>
                </c:pt>
                <c:pt idx="44">
                  <c:v>0.934274</c:v>
                </c:pt>
                <c:pt idx="45">
                  <c:v>0.933271</c:v>
                </c:pt>
                <c:pt idx="46">
                  <c:v>0.931098</c:v>
                </c:pt>
                <c:pt idx="47">
                  <c:v>0.930622</c:v>
                </c:pt>
                <c:pt idx="48">
                  <c:v>0.926999</c:v>
                </c:pt>
                <c:pt idx="49">
                  <c:v>0.924899</c:v>
                </c:pt>
                <c:pt idx="50">
                  <c:v>0.922679</c:v>
                </c:pt>
                <c:pt idx="51">
                  <c:v>0.923873</c:v>
                </c:pt>
                <c:pt idx="52">
                  <c:v>0.924727</c:v>
                </c:pt>
                <c:pt idx="53">
                  <c:v>0.923319</c:v>
                </c:pt>
                <c:pt idx="54">
                  <c:v>0.920217</c:v>
                </c:pt>
                <c:pt idx="55">
                  <c:v>0.916801</c:v>
                </c:pt>
                <c:pt idx="56">
                  <c:v>0.917894</c:v>
                </c:pt>
                <c:pt idx="57">
                  <c:v>0.917515</c:v>
                </c:pt>
                <c:pt idx="58">
                  <c:v>0.914161</c:v>
                </c:pt>
                <c:pt idx="59">
                  <c:v>0.917684</c:v>
                </c:pt>
                <c:pt idx="60">
                  <c:v>0.919202</c:v>
                </c:pt>
                <c:pt idx="61">
                  <c:v>0.918189</c:v>
                </c:pt>
                <c:pt idx="62">
                  <c:v>0.921404</c:v>
                </c:pt>
                <c:pt idx="63">
                  <c:v>0.922552</c:v>
                </c:pt>
                <c:pt idx="64">
                  <c:v>0.921999</c:v>
                </c:pt>
                <c:pt idx="65">
                  <c:v>0.920895</c:v>
                </c:pt>
                <c:pt idx="66">
                  <c:v>0.924129</c:v>
                </c:pt>
                <c:pt idx="67">
                  <c:v>0.924599</c:v>
                </c:pt>
                <c:pt idx="68">
                  <c:v>0.923745</c:v>
                </c:pt>
                <c:pt idx="69">
                  <c:v>0.926655</c:v>
                </c:pt>
                <c:pt idx="70">
                  <c:v>0.916674</c:v>
                </c:pt>
                <c:pt idx="71">
                  <c:v>0.912992</c:v>
                </c:pt>
                <c:pt idx="72">
                  <c:v>0.914787</c:v>
                </c:pt>
                <c:pt idx="73">
                  <c:v>0.915583</c:v>
                </c:pt>
                <c:pt idx="74">
                  <c:v>0.915877</c:v>
                </c:pt>
                <c:pt idx="75">
                  <c:v>0.916045</c:v>
                </c:pt>
                <c:pt idx="76">
                  <c:v>0.914787</c:v>
                </c:pt>
                <c:pt idx="77">
                  <c:v>0.909669</c:v>
                </c:pt>
                <c:pt idx="78">
                  <c:v>0.908059</c:v>
                </c:pt>
                <c:pt idx="79">
                  <c:v>0.911411</c:v>
                </c:pt>
                <c:pt idx="80">
                  <c:v>0.906742</c:v>
                </c:pt>
                <c:pt idx="81">
                  <c:v>0.902079</c:v>
                </c:pt>
                <c:pt idx="82">
                  <c:v>0.898432</c:v>
                </c:pt>
                <c:pt idx="83">
                  <c:v>0.896821</c:v>
                </c:pt>
                <c:pt idx="84">
                  <c:v>0.899888</c:v>
                </c:pt>
                <c:pt idx="85">
                  <c:v>0.893535</c:v>
                </c:pt>
                <c:pt idx="86">
                  <c:v>0.895937</c:v>
                </c:pt>
                <c:pt idx="87">
                  <c:v>0.894094</c:v>
                </c:pt>
                <c:pt idx="88">
                  <c:v>0.89924</c:v>
                </c:pt>
                <c:pt idx="89">
                  <c:v>0.902731</c:v>
                </c:pt>
                <c:pt idx="90">
                  <c:v>0.905182</c:v>
                </c:pt>
                <c:pt idx="91">
                  <c:v>0.903179</c:v>
                </c:pt>
                <c:pt idx="92">
                  <c:v>0.90551</c:v>
                </c:pt>
                <c:pt idx="93">
                  <c:v>0.902324</c:v>
                </c:pt>
                <c:pt idx="94">
                  <c:v>0.90005</c:v>
                </c:pt>
                <c:pt idx="95">
                  <c:v>0.90212</c:v>
                </c:pt>
                <c:pt idx="96">
                  <c:v>0.906249</c:v>
                </c:pt>
                <c:pt idx="97">
                  <c:v>0.907482</c:v>
                </c:pt>
                <c:pt idx="98">
                  <c:v>0.9081</c:v>
                </c:pt>
                <c:pt idx="99">
                  <c:v>0.902976</c:v>
                </c:pt>
                <c:pt idx="100">
                  <c:v>0.902812</c:v>
                </c:pt>
                <c:pt idx="101">
                  <c:v>0.898271</c:v>
                </c:pt>
                <c:pt idx="102">
                  <c:v>0.899806</c:v>
                </c:pt>
                <c:pt idx="103">
                  <c:v>0.899402</c:v>
                </c:pt>
                <c:pt idx="104">
                  <c:v>0.895937</c:v>
                </c:pt>
                <c:pt idx="105">
                  <c:v>0.895857</c:v>
                </c:pt>
                <c:pt idx="106">
                  <c:v>0.899888</c:v>
                </c:pt>
                <c:pt idx="107">
                  <c:v>0.894415</c:v>
                </c:pt>
                <c:pt idx="108">
                  <c:v>0.89823</c:v>
                </c:pt>
                <c:pt idx="109">
                  <c:v>0.894734</c:v>
                </c:pt>
                <c:pt idx="110">
                  <c:v>0.895776</c:v>
                </c:pt>
                <c:pt idx="111">
                  <c:v>0.898109</c:v>
                </c:pt>
                <c:pt idx="112">
                  <c:v>0.903547</c:v>
                </c:pt>
                <c:pt idx="113">
                  <c:v>0.905346</c:v>
                </c:pt>
                <c:pt idx="114">
                  <c:v>0.906454</c:v>
                </c:pt>
                <c:pt idx="115">
                  <c:v>0.910996</c:v>
                </c:pt>
                <c:pt idx="116">
                  <c:v>0.91112</c:v>
                </c:pt>
                <c:pt idx="117">
                  <c:v>0.910622</c:v>
                </c:pt>
                <c:pt idx="118">
                  <c:v>0.914118</c:v>
                </c:pt>
                <c:pt idx="119">
                  <c:v>0.914453</c:v>
                </c:pt>
                <c:pt idx="120">
                  <c:v>0.914244</c:v>
                </c:pt>
                <c:pt idx="121">
                  <c:v>0.916632</c:v>
                </c:pt>
                <c:pt idx="122">
                  <c:v>0.918189</c:v>
                </c:pt>
                <c:pt idx="123">
                  <c:v>0.920641</c:v>
                </c:pt>
                <c:pt idx="124">
                  <c:v>0.923233</c:v>
                </c:pt>
                <c:pt idx="125">
                  <c:v>0.92026</c:v>
                </c:pt>
                <c:pt idx="126">
                  <c:v>0.924599</c:v>
                </c:pt>
                <c:pt idx="127">
                  <c:v>0.926012</c:v>
                </c:pt>
                <c:pt idx="128">
                  <c:v>0.927429</c:v>
                </c:pt>
                <c:pt idx="129">
                  <c:v>0.923574</c:v>
                </c:pt>
                <c:pt idx="130">
                  <c:v>0.926355</c:v>
                </c:pt>
                <c:pt idx="131">
                  <c:v>0.924855</c:v>
                </c:pt>
                <c:pt idx="132">
                  <c:v>0.924343</c:v>
                </c:pt>
                <c:pt idx="133">
                  <c:v>0.92115</c:v>
                </c:pt>
                <c:pt idx="134">
                  <c:v>0.918822</c:v>
                </c:pt>
                <c:pt idx="135">
                  <c:v>0.922977</c:v>
                </c:pt>
                <c:pt idx="136">
                  <c:v>0.919329</c:v>
                </c:pt>
                <c:pt idx="137">
                  <c:v>0.91483</c:v>
                </c:pt>
                <c:pt idx="138">
                  <c:v>0.932053</c:v>
                </c:pt>
                <c:pt idx="139">
                  <c:v>0.925498</c:v>
                </c:pt>
                <c:pt idx="140">
                  <c:v>0.932967</c:v>
                </c:pt>
                <c:pt idx="141">
                  <c:v>0.938438</c:v>
                </c:pt>
                <c:pt idx="142">
                  <c:v>0.941309</c:v>
                </c:pt>
                <c:pt idx="143">
                  <c:v>0.946611</c:v>
                </c:pt>
                <c:pt idx="144">
                  <c:v>0.949623</c:v>
                </c:pt>
                <c:pt idx="145">
                  <c:v>0.948632</c:v>
                </c:pt>
                <c:pt idx="146">
                  <c:v>0.943441</c:v>
                </c:pt>
                <c:pt idx="147">
                  <c:v>0.943752</c:v>
                </c:pt>
                <c:pt idx="148">
                  <c:v>0.948406</c:v>
                </c:pt>
                <c:pt idx="149">
                  <c:v>0.954699</c:v>
                </c:pt>
                <c:pt idx="150">
                  <c:v>0.959878</c:v>
                </c:pt>
                <c:pt idx="151">
                  <c:v>0.95288</c:v>
                </c:pt>
                <c:pt idx="152">
                  <c:v>0.95347</c:v>
                </c:pt>
                <c:pt idx="153">
                  <c:v>0.946432</c:v>
                </c:pt>
                <c:pt idx="154">
                  <c:v>0.947418</c:v>
                </c:pt>
                <c:pt idx="155">
                  <c:v>0.945493</c:v>
                </c:pt>
                <c:pt idx="156">
                  <c:v>0.952607</c:v>
                </c:pt>
                <c:pt idx="157">
                  <c:v>0.95152</c:v>
                </c:pt>
                <c:pt idx="158">
                  <c:v>0.951384</c:v>
                </c:pt>
                <c:pt idx="159">
                  <c:v>0.944555</c:v>
                </c:pt>
                <c:pt idx="160">
                  <c:v>0.946119</c:v>
                </c:pt>
                <c:pt idx="161">
                  <c:v>0.947553</c:v>
                </c:pt>
                <c:pt idx="162">
                  <c:v>0.949893</c:v>
                </c:pt>
                <c:pt idx="163">
                  <c:v>0.952789</c:v>
                </c:pt>
                <c:pt idx="164">
                  <c:v>0.955338</c:v>
                </c:pt>
                <c:pt idx="165">
                  <c:v>0.952154</c:v>
                </c:pt>
                <c:pt idx="166">
                  <c:v>0.951294</c:v>
                </c:pt>
                <c:pt idx="167">
                  <c:v>0.953198</c:v>
                </c:pt>
                <c:pt idx="168">
                  <c:v>0.965951</c:v>
                </c:pt>
                <c:pt idx="169">
                  <c:v>0.964972</c:v>
                </c:pt>
                <c:pt idx="170">
                  <c:v>0.958773</c:v>
                </c:pt>
                <c:pt idx="171">
                  <c:v>0.96103</c:v>
                </c:pt>
                <c:pt idx="172">
                  <c:v>0.961724</c:v>
                </c:pt>
                <c:pt idx="173">
                  <c:v>0.96103</c:v>
                </c:pt>
                <c:pt idx="174">
                  <c:v>0.959416</c:v>
                </c:pt>
                <c:pt idx="175">
                  <c:v>0.958957</c:v>
                </c:pt>
                <c:pt idx="176">
                  <c:v>0.960846</c:v>
                </c:pt>
                <c:pt idx="177">
                  <c:v>0.965857</c:v>
                </c:pt>
                <c:pt idx="178">
                  <c:v>0.965577</c:v>
                </c:pt>
                <c:pt idx="179">
                  <c:v>0.974089</c:v>
                </c:pt>
                <c:pt idx="180">
                  <c:v>0.970026</c:v>
                </c:pt>
                <c:pt idx="181">
                  <c:v>0.962417</c:v>
                </c:pt>
                <c:pt idx="182">
                  <c:v>0.967118</c:v>
                </c:pt>
                <c:pt idx="183">
                  <c:v>0.969086</c:v>
                </c:pt>
                <c:pt idx="184">
                  <c:v>0.970921</c:v>
                </c:pt>
                <c:pt idx="185">
                  <c:v>0.976038</c:v>
                </c:pt>
                <c:pt idx="186">
                  <c:v>0.976086</c:v>
                </c:pt>
                <c:pt idx="187">
                  <c:v>0.97012</c:v>
                </c:pt>
                <c:pt idx="188">
                  <c:v>0.971865</c:v>
                </c:pt>
                <c:pt idx="189">
                  <c:v>0.970968</c:v>
                </c:pt>
                <c:pt idx="190">
                  <c:v>0.973567</c:v>
                </c:pt>
                <c:pt idx="191">
                  <c:v>0.960061</c:v>
                </c:pt>
                <c:pt idx="192">
                  <c:v>0.958819</c:v>
                </c:pt>
                <c:pt idx="193">
                  <c:v>0.960754</c:v>
                </c:pt>
                <c:pt idx="194">
                  <c:v>0.960061</c:v>
                </c:pt>
                <c:pt idx="195">
                  <c:v>0.952925</c:v>
                </c:pt>
                <c:pt idx="196">
                  <c:v>0.953107</c:v>
                </c:pt>
                <c:pt idx="197">
                  <c:v>0.958773</c:v>
                </c:pt>
                <c:pt idx="198">
                  <c:v>0.959647</c:v>
                </c:pt>
                <c:pt idx="199">
                  <c:v>0.962417</c:v>
                </c:pt>
                <c:pt idx="200">
                  <c:v>0.964925</c:v>
                </c:pt>
                <c:pt idx="201">
                  <c:v>0.966698</c:v>
                </c:pt>
                <c:pt idx="202">
                  <c:v>0.963484</c:v>
                </c:pt>
                <c:pt idx="203">
                  <c:v>0.961308</c:v>
                </c:pt>
                <c:pt idx="204">
                  <c:v>0.963113</c:v>
                </c:pt>
                <c:pt idx="205">
                  <c:v>0.968288</c:v>
                </c:pt>
                <c:pt idx="206">
                  <c:v>0.970167</c:v>
                </c:pt>
                <c:pt idx="207">
                  <c:v>0.965111</c:v>
                </c:pt>
                <c:pt idx="208">
                  <c:v>0.963159</c:v>
                </c:pt>
                <c:pt idx="209">
                  <c:v>0.955612</c:v>
                </c:pt>
                <c:pt idx="210">
                  <c:v>0.953016</c:v>
                </c:pt>
                <c:pt idx="211">
                  <c:v>0.953834</c:v>
                </c:pt>
                <c:pt idx="212">
                  <c:v>0.957258</c:v>
                </c:pt>
                <c:pt idx="213">
                  <c:v>0.959509</c:v>
                </c:pt>
                <c:pt idx="214">
                  <c:v>0.952245</c:v>
                </c:pt>
                <c:pt idx="215">
                  <c:v>0.956114</c:v>
                </c:pt>
                <c:pt idx="216">
                  <c:v>0.955338</c:v>
                </c:pt>
                <c:pt idx="217">
                  <c:v>0.951158</c:v>
                </c:pt>
                <c:pt idx="218">
                  <c:v>0.953789</c:v>
                </c:pt>
                <c:pt idx="219">
                  <c:v>0.961677</c:v>
                </c:pt>
                <c:pt idx="220">
                  <c:v>0.963763</c:v>
                </c:pt>
                <c:pt idx="221">
                  <c:v>0.95347</c:v>
                </c:pt>
                <c:pt idx="222">
                  <c:v>0.941088</c:v>
                </c:pt>
                <c:pt idx="223">
                  <c:v>0.926741</c:v>
                </c:pt>
                <c:pt idx="224">
                  <c:v>0.927257</c:v>
                </c:pt>
                <c:pt idx="225">
                  <c:v>0.923063</c:v>
                </c:pt>
                <c:pt idx="226">
                  <c:v>0.92302</c:v>
                </c:pt>
                <c:pt idx="227">
                  <c:v>0.915835</c:v>
                </c:pt>
                <c:pt idx="228">
                  <c:v>0.918485</c:v>
                </c:pt>
                <c:pt idx="229">
                  <c:v>0.921447</c:v>
                </c:pt>
                <c:pt idx="230">
                  <c:v>0.919075</c:v>
                </c:pt>
                <c:pt idx="231">
                  <c:v>0.915499</c:v>
                </c:pt>
                <c:pt idx="232">
                  <c:v>0.913701</c:v>
                </c:pt>
                <c:pt idx="233">
                  <c:v>0.917221</c:v>
                </c:pt>
                <c:pt idx="234">
                  <c:v>0.921447</c:v>
                </c:pt>
                <c:pt idx="235">
                  <c:v>0.924642</c:v>
                </c:pt>
                <c:pt idx="236">
                  <c:v>0.92584</c:v>
                </c:pt>
                <c:pt idx="237">
                  <c:v>0.926655</c:v>
                </c:pt>
                <c:pt idx="238">
                  <c:v>0.92993</c:v>
                </c:pt>
                <c:pt idx="239">
                  <c:v>0.925798</c:v>
                </c:pt>
                <c:pt idx="240">
                  <c:v>0.923532</c:v>
                </c:pt>
                <c:pt idx="241">
                  <c:v>0.924428</c:v>
                </c:pt>
                <c:pt idx="242">
                  <c:v>0.926441</c:v>
                </c:pt>
                <c:pt idx="243">
                  <c:v>0.921192</c:v>
                </c:pt>
                <c:pt idx="244">
                  <c:v>0.904814</c:v>
                </c:pt>
                <c:pt idx="245">
                  <c:v>0.912742</c:v>
                </c:pt>
                <c:pt idx="246">
                  <c:v>0.917052</c:v>
                </c:pt>
                <c:pt idx="247">
                  <c:v>0.912658</c:v>
                </c:pt>
                <c:pt idx="248">
                  <c:v>0.913117</c:v>
                </c:pt>
                <c:pt idx="249">
                  <c:v>0.892977</c:v>
                </c:pt>
                <c:pt idx="250">
                  <c:v>0.880243</c:v>
                </c:pt>
                <c:pt idx="251">
                  <c:v>0.881096</c:v>
                </c:pt>
                <c:pt idx="252">
                  <c:v>0.886368</c:v>
                </c:pt>
                <c:pt idx="253">
                  <c:v>0.877309</c:v>
                </c:pt>
                <c:pt idx="254">
                  <c:v>0.879933</c:v>
                </c:pt>
                <c:pt idx="255">
                  <c:v>0.877771</c:v>
                </c:pt>
                <c:pt idx="256">
                  <c:v>0.86847</c:v>
                </c:pt>
                <c:pt idx="257">
                  <c:v>0.875619</c:v>
                </c:pt>
                <c:pt idx="258">
                  <c:v>0.883782</c:v>
                </c:pt>
                <c:pt idx="259">
                  <c:v>0.878001</c:v>
                </c:pt>
                <c:pt idx="260">
                  <c:v>0.879894</c:v>
                </c:pt>
                <c:pt idx="261">
                  <c:v>0.875503</c:v>
                </c:pt>
                <c:pt idx="262">
                  <c:v>0.87831</c:v>
                </c:pt>
                <c:pt idx="263">
                  <c:v>0.88273</c:v>
                </c:pt>
                <c:pt idx="264">
                  <c:v>0.885544</c:v>
                </c:pt>
                <c:pt idx="265">
                  <c:v>0.885269</c:v>
                </c:pt>
                <c:pt idx="266">
                  <c:v>0.883822</c:v>
                </c:pt>
                <c:pt idx="267">
                  <c:v>0.879547</c:v>
                </c:pt>
                <c:pt idx="268">
                  <c:v>0.884956</c:v>
                </c:pt>
                <c:pt idx="269">
                  <c:v>0.890631</c:v>
                </c:pt>
                <c:pt idx="270">
                  <c:v>0.889047</c:v>
                </c:pt>
                <c:pt idx="271">
                  <c:v>0.901916</c:v>
                </c:pt>
                <c:pt idx="272">
                  <c:v>0.894014</c:v>
                </c:pt>
                <c:pt idx="273">
                  <c:v>0.894854</c:v>
                </c:pt>
                <c:pt idx="274">
                  <c:v>0.893735</c:v>
                </c:pt>
                <c:pt idx="275">
                  <c:v>0.895776</c:v>
                </c:pt>
                <c:pt idx="276">
                  <c:v>0.889403</c:v>
                </c:pt>
                <c:pt idx="277">
                  <c:v>0.886289</c:v>
                </c:pt>
                <c:pt idx="278">
                  <c:v>0.882535</c:v>
                </c:pt>
                <c:pt idx="279">
                  <c:v>0.886486</c:v>
                </c:pt>
                <c:pt idx="280">
                  <c:v>0.879894</c:v>
                </c:pt>
                <c:pt idx="281">
                  <c:v>0.878118</c:v>
                </c:pt>
                <c:pt idx="282">
                  <c:v>0.88269</c:v>
                </c:pt>
                <c:pt idx="283">
                  <c:v>0.885504</c:v>
                </c:pt>
                <c:pt idx="284">
                  <c:v>0.879353</c:v>
                </c:pt>
                <c:pt idx="285">
                  <c:v>0.881213</c:v>
                </c:pt>
                <c:pt idx="286">
                  <c:v>0.873973</c:v>
                </c:pt>
                <c:pt idx="287">
                  <c:v>0.879392</c:v>
                </c:pt>
                <c:pt idx="288">
                  <c:v>0.875848</c:v>
                </c:pt>
                <c:pt idx="289">
                  <c:v>0.873744</c:v>
                </c:pt>
                <c:pt idx="290">
                  <c:v>0.877578</c:v>
                </c:pt>
                <c:pt idx="291">
                  <c:v>0.87558</c:v>
                </c:pt>
                <c:pt idx="292">
                  <c:v>0.875274</c:v>
                </c:pt>
                <c:pt idx="293">
                  <c:v>0.870511</c:v>
                </c:pt>
                <c:pt idx="294">
                  <c:v>0.863185</c:v>
                </c:pt>
                <c:pt idx="295">
                  <c:v>0.865614</c:v>
                </c:pt>
                <c:pt idx="296">
                  <c:v>0.864902</c:v>
                </c:pt>
                <c:pt idx="297">
                  <c:v>0.871042</c:v>
                </c:pt>
                <c:pt idx="298">
                  <c:v>0.871004</c:v>
                </c:pt>
                <c:pt idx="299">
                  <c:v>0.869944</c:v>
                </c:pt>
                <c:pt idx="300">
                  <c:v>0.867867</c:v>
                </c:pt>
                <c:pt idx="301">
                  <c:v>0.863744</c:v>
                </c:pt>
                <c:pt idx="302">
                  <c:v>0.861364</c:v>
                </c:pt>
                <c:pt idx="303">
                  <c:v>0.85767</c:v>
                </c:pt>
                <c:pt idx="304">
                  <c:v>0.854665</c:v>
                </c:pt>
                <c:pt idx="305">
                  <c:v>0.853242</c:v>
                </c:pt>
                <c:pt idx="306">
                  <c:v>0.848392</c:v>
                </c:pt>
                <c:pt idx="307">
                  <c:v>0.846991</c:v>
                </c:pt>
                <c:pt idx="308">
                  <c:v>0.847566</c:v>
                </c:pt>
                <c:pt idx="309">
                  <c:v>0.850557</c:v>
                </c:pt>
                <c:pt idx="310">
                  <c:v>0.848968</c:v>
                </c:pt>
                <c:pt idx="311">
                  <c:v>0.85408</c:v>
                </c:pt>
                <c:pt idx="312">
                  <c:v>0.852842</c:v>
                </c:pt>
                <c:pt idx="313">
                  <c:v>0.853206</c:v>
                </c:pt>
                <c:pt idx="314">
                  <c:v>0.854665</c:v>
                </c:pt>
                <c:pt idx="315">
                  <c:v>0.855432</c:v>
                </c:pt>
                <c:pt idx="316">
                  <c:v>0.857302</c:v>
                </c:pt>
                <c:pt idx="317">
                  <c:v>0.861995</c:v>
                </c:pt>
                <c:pt idx="318">
                  <c:v>0.859476</c:v>
                </c:pt>
                <c:pt idx="319">
                  <c:v>0.862366</c:v>
                </c:pt>
                <c:pt idx="320">
                  <c:v>0.860141</c:v>
                </c:pt>
                <c:pt idx="321">
                  <c:v>0.85503</c:v>
                </c:pt>
                <c:pt idx="322">
                  <c:v>0.850738</c:v>
                </c:pt>
                <c:pt idx="323">
                  <c:v>0.849473</c:v>
                </c:pt>
                <c:pt idx="324">
                  <c:v>0.850702</c:v>
                </c:pt>
                <c:pt idx="325">
                  <c:v>0.851644</c:v>
                </c:pt>
                <c:pt idx="326">
                  <c:v>0.862887</c:v>
                </c:pt>
                <c:pt idx="327">
                  <c:v>0.866101</c:v>
                </c:pt>
                <c:pt idx="328">
                  <c:v>0.87677</c:v>
                </c:pt>
                <c:pt idx="329">
                  <c:v>0.876002</c:v>
                </c:pt>
                <c:pt idx="330">
                  <c:v>0.863148</c:v>
                </c:pt>
                <c:pt idx="331">
                  <c:v>0.86423</c:v>
                </c:pt>
                <c:pt idx="332">
                  <c:v>0.863894</c:v>
                </c:pt>
                <c:pt idx="333">
                  <c:v>0.85767</c:v>
                </c:pt>
                <c:pt idx="334">
                  <c:v>0.857229</c:v>
                </c:pt>
                <c:pt idx="335">
                  <c:v>0.859107</c:v>
                </c:pt>
                <c:pt idx="336">
                  <c:v>0.860919</c:v>
                </c:pt>
                <c:pt idx="337">
                  <c:v>0.856641</c:v>
                </c:pt>
                <c:pt idx="338">
                  <c:v>0.854263</c:v>
                </c:pt>
                <c:pt idx="339">
                  <c:v>0.858517</c:v>
                </c:pt>
                <c:pt idx="340">
                  <c:v>0.854847</c:v>
                </c:pt>
                <c:pt idx="341">
                  <c:v>0.85756</c:v>
                </c:pt>
                <c:pt idx="342">
                  <c:v>0.858627</c:v>
                </c:pt>
                <c:pt idx="343">
                  <c:v>0.858259</c:v>
                </c:pt>
                <c:pt idx="344">
                  <c:v>0.861624</c:v>
                </c:pt>
                <c:pt idx="345">
                  <c:v>0.853497</c:v>
                </c:pt>
                <c:pt idx="346">
                  <c:v>0.860696</c:v>
                </c:pt>
                <c:pt idx="347">
                  <c:v>0.858885</c:v>
                </c:pt>
                <c:pt idx="348">
                  <c:v>0.859217</c:v>
                </c:pt>
                <c:pt idx="349">
                  <c:v>0.855981</c:v>
                </c:pt>
                <c:pt idx="350">
                  <c:v>0.855725</c:v>
                </c:pt>
                <c:pt idx="351">
                  <c:v>0.853898</c:v>
                </c:pt>
                <c:pt idx="352">
                  <c:v>0.859107</c:v>
                </c:pt>
                <c:pt idx="353">
                  <c:v>0.857523</c:v>
                </c:pt>
                <c:pt idx="354">
                  <c:v>0.858406</c:v>
                </c:pt>
                <c:pt idx="355">
                  <c:v>0.853315</c:v>
                </c:pt>
                <c:pt idx="356">
                  <c:v>0.850051</c:v>
                </c:pt>
                <c:pt idx="357">
                  <c:v>0.854117</c:v>
                </c:pt>
                <c:pt idx="358">
                  <c:v>0.855066</c:v>
                </c:pt>
                <c:pt idx="359">
                  <c:v>0.85226</c:v>
                </c:pt>
                <c:pt idx="360">
                  <c:v>0.852224</c:v>
                </c:pt>
                <c:pt idx="361">
                  <c:v>0.850268</c:v>
                </c:pt>
                <c:pt idx="362">
                  <c:v>0.842637</c:v>
                </c:pt>
                <c:pt idx="363">
                  <c:v>0.846561</c:v>
                </c:pt>
                <c:pt idx="364">
                  <c:v>0.848356</c:v>
                </c:pt>
                <c:pt idx="365">
                  <c:v>0.85139</c:v>
                </c:pt>
                <c:pt idx="366">
                  <c:v>0.847278</c:v>
                </c:pt>
                <c:pt idx="367">
                  <c:v>0.846346</c:v>
                </c:pt>
                <c:pt idx="368">
                  <c:v>0.851898</c:v>
                </c:pt>
                <c:pt idx="369">
                  <c:v>0.857155</c:v>
                </c:pt>
                <c:pt idx="370">
                  <c:v>0.854555</c:v>
                </c:pt>
                <c:pt idx="371">
                  <c:v>0.852769</c:v>
                </c:pt>
                <c:pt idx="372">
                  <c:v>0.85226</c:v>
                </c:pt>
                <c:pt idx="373">
                  <c:v>0.852515</c:v>
                </c:pt>
                <c:pt idx="374">
                  <c:v>0.853533</c:v>
                </c:pt>
                <c:pt idx="375">
                  <c:v>0.851608</c:v>
                </c:pt>
                <c:pt idx="376">
                  <c:v>0.853971</c:v>
                </c:pt>
                <c:pt idx="377">
                  <c:v>0.857854</c:v>
                </c:pt>
                <c:pt idx="378">
                  <c:v>0.86003</c:v>
                </c:pt>
                <c:pt idx="379">
                  <c:v>0.864715</c:v>
                </c:pt>
                <c:pt idx="380">
                  <c:v>0.860585</c:v>
                </c:pt>
                <c:pt idx="381">
                  <c:v>0.864342</c:v>
                </c:pt>
                <c:pt idx="382">
                  <c:v>0.861586</c:v>
                </c:pt>
                <c:pt idx="383">
                  <c:v>0.858553</c:v>
                </c:pt>
                <c:pt idx="384">
                  <c:v>0.855615</c:v>
                </c:pt>
                <c:pt idx="385">
                  <c:v>0.858259</c:v>
                </c:pt>
                <c:pt idx="386">
                  <c:v>0.858996</c:v>
                </c:pt>
                <c:pt idx="387">
                  <c:v>0.862106</c:v>
                </c:pt>
                <c:pt idx="388">
                  <c:v>0.861289</c:v>
                </c:pt>
                <c:pt idx="389">
                  <c:v>0.860696</c:v>
                </c:pt>
                <c:pt idx="390">
                  <c:v>0.860141</c:v>
                </c:pt>
                <c:pt idx="391">
                  <c:v>0.858737</c:v>
                </c:pt>
                <c:pt idx="392">
                  <c:v>0.858259</c:v>
                </c:pt>
                <c:pt idx="393">
                  <c:v>0.861995</c:v>
                </c:pt>
                <c:pt idx="394">
                  <c:v>0.86464</c:v>
                </c:pt>
                <c:pt idx="395">
                  <c:v>0.866889</c:v>
                </c:pt>
                <c:pt idx="396">
                  <c:v>0.868055</c:v>
                </c:pt>
                <c:pt idx="397">
                  <c:v>0.870891</c:v>
                </c:pt>
                <c:pt idx="398">
                  <c:v>0.870133</c:v>
                </c:pt>
                <c:pt idx="399">
                  <c:v>0.865988</c:v>
                </c:pt>
                <c:pt idx="400">
                  <c:v>0.864603</c:v>
                </c:pt>
                <c:pt idx="401">
                  <c:v>0.865239</c:v>
                </c:pt>
                <c:pt idx="402">
                  <c:v>0.863409</c:v>
                </c:pt>
                <c:pt idx="403">
                  <c:v>0.862552</c:v>
                </c:pt>
                <c:pt idx="404">
                  <c:v>0.859624</c:v>
                </c:pt>
                <c:pt idx="405">
                  <c:v>0.860511</c:v>
                </c:pt>
                <c:pt idx="406">
                  <c:v>0.862701</c:v>
                </c:pt>
                <c:pt idx="407">
                  <c:v>0.863483</c:v>
                </c:pt>
                <c:pt idx="408">
                  <c:v>0.866701</c:v>
                </c:pt>
                <c:pt idx="409">
                  <c:v>0.867415</c:v>
                </c:pt>
                <c:pt idx="410">
                  <c:v>0.868621</c:v>
                </c:pt>
                <c:pt idx="411">
                  <c:v>0.86798</c:v>
                </c:pt>
                <c:pt idx="412">
                  <c:v>0.864267</c:v>
                </c:pt>
                <c:pt idx="413">
                  <c:v>0.862404</c:v>
                </c:pt>
                <c:pt idx="414">
                  <c:v>0.862404</c:v>
                </c:pt>
                <c:pt idx="415">
                  <c:v>0.862366</c:v>
                </c:pt>
                <c:pt idx="416">
                  <c:v>0.861289</c:v>
                </c:pt>
                <c:pt idx="417">
                  <c:v>0.860326</c:v>
                </c:pt>
                <c:pt idx="418">
                  <c:v>0.856788</c:v>
                </c:pt>
                <c:pt idx="419">
                  <c:v>0.858811</c:v>
                </c:pt>
                <c:pt idx="420">
                  <c:v>0.858922</c:v>
                </c:pt>
                <c:pt idx="421">
                  <c:v>0.859291</c:v>
                </c:pt>
                <c:pt idx="422">
                  <c:v>0.860104</c:v>
                </c:pt>
                <c:pt idx="423">
                  <c:v>0.85503</c:v>
                </c:pt>
                <c:pt idx="424">
                  <c:v>0.851898</c:v>
                </c:pt>
                <c:pt idx="425">
                  <c:v>0.851752</c:v>
                </c:pt>
                <c:pt idx="426">
                  <c:v>0.85081</c:v>
                </c:pt>
                <c:pt idx="427">
                  <c:v>0.851317</c:v>
                </c:pt>
                <c:pt idx="428">
                  <c:v>0.851752</c:v>
                </c:pt>
                <c:pt idx="429">
                  <c:v>0.853097</c:v>
                </c:pt>
                <c:pt idx="430">
                  <c:v>0.854007</c:v>
                </c:pt>
                <c:pt idx="431">
                  <c:v>0.850304</c:v>
                </c:pt>
                <c:pt idx="432">
                  <c:v>0.847853</c:v>
                </c:pt>
                <c:pt idx="433">
                  <c:v>0.849005</c:v>
                </c:pt>
                <c:pt idx="434">
                  <c:v>0.849005</c:v>
                </c:pt>
                <c:pt idx="435">
                  <c:v>0.849437</c:v>
                </c:pt>
                <c:pt idx="436">
                  <c:v>0.849437</c:v>
                </c:pt>
                <c:pt idx="437">
                  <c:v>0.851209</c:v>
                </c:pt>
                <c:pt idx="438">
                  <c:v>0.85139</c:v>
                </c:pt>
                <c:pt idx="439">
                  <c:v>0.85139</c:v>
                </c:pt>
                <c:pt idx="440">
                  <c:v>0.853242</c:v>
                </c:pt>
                <c:pt idx="441">
                  <c:v>0.853133</c:v>
                </c:pt>
                <c:pt idx="442">
                  <c:v>0.855542</c:v>
                </c:pt>
                <c:pt idx="443">
                  <c:v>0.856604</c:v>
                </c:pt>
                <c:pt idx="444">
                  <c:v>0.85767</c:v>
                </c:pt>
                <c:pt idx="445">
                  <c:v>0.859254</c:v>
                </c:pt>
                <c:pt idx="446">
                  <c:v>0.857082</c:v>
                </c:pt>
                <c:pt idx="447">
                  <c:v>0.858922</c:v>
                </c:pt>
                <c:pt idx="448">
                  <c:v>0.858849</c:v>
                </c:pt>
                <c:pt idx="449">
                  <c:v>0.861475</c:v>
                </c:pt>
                <c:pt idx="450">
                  <c:v>0.862144</c:v>
                </c:pt>
                <c:pt idx="451">
                  <c:v>0.858664</c:v>
                </c:pt>
                <c:pt idx="452">
                  <c:v>0.852915</c:v>
                </c:pt>
                <c:pt idx="453">
                  <c:v>0.855908</c:v>
                </c:pt>
                <c:pt idx="454">
                  <c:v>0.850665</c:v>
                </c:pt>
                <c:pt idx="455">
                  <c:v>0.845451</c:v>
                </c:pt>
                <c:pt idx="456">
                  <c:v>0.841715</c:v>
                </c:pt>
                <c:pt idx="457">
                  <c:v>0.830461</c:v>
                </c:pt>
                <c:pt idx="458">
                  <c:v>0.83654</c:v>
                </c:pt>
                <c:pt idx="459">
                  <c:v>0.835387</c:v>
                </c:pt>
                <c:pt idx="460">
                  <c:v>0.843882</c:v>
                </c:pt>
                <c:pt idx="461">
                  <c:v>0.848104</c:v>
                </c:pt>
                <c:pt idx="462">
                  <c:v>0.846095</c:v>
                </c:pt>
                <c:pt idx="463">
                  <c:v>0.846955</c:v>
                </c:pt>
                <c:pt idx="464">
                  <c:v>0.849113</c:v>
                </c:pt>
                <c:pt idx="465">
                  <c:v>0.846239</c:v>
                </c:pt>
                <c:pt idx="466">
                  <c:v>0.839313</c:v>
                </c:pt>
                <c:pt idx="467">
                  <c:v>0.840689</c:v>
                </c:pt>
                <c:pt idx="468">
                  <c:v>0.842389</c:v>
                </c:pt>
                <c:pt idx="469">
                  <c:v>0.842425</c:v>
                </c:pt>
                <c:pt idx="470">
                  <c:v>0.842567</c:v>
                </c:pt>
                <c:pt idx="471">
                  <c:v>0.843811</c:v>
                </c:pt>
                <c:pt idx="472">
                  <c:v>0.843526</c:v>
                </c:pt>
                <c:pt idx="473">
                  <c:v>0.848644</c:v>
                </c:pt>
                <c:pt idx="474">
                  <c:v>0.849365</c:v>
                </c:pt>
                <c:pt idx="475">
                  <c:v>0.848788</c:v>
                </c:pt>
                <c:pt idx="476">
                  <c:v>0.8485</c:v>
                </c:pt>
                <c:pt idx="477">
                  <c:v>0.849437</c:v>
                </c:pt>
                <c:pt idx="478">
                  <c:v>0.846704</c:v>
                </c:pt>
                <c:pt idx="479">
                  <c:v>0.847637</c:v>
                </c:pt>
                <c:pt idx="480">
                  <c:v>0.846453</c:v>
                </c:pt>
                <c:pt idx="481">
                  <c:v>0.855542</c:v>
                </c:pt>
                <c:pt idx="482">
                  <c:v>0.860992</c:v>
                </c:pt>
                <c:pt idx="483">
                  <c:v>0.859586</c:v>
                </c:pt>
                <c:pt idx="484">
                  <c:v>0.861438</c:v>
                </c:pt>
                <c:pt idx="485">
                  <c:v>0.860696</c:v>
                </c:pt>
                <c:pt idx="486">
                  <c:v>0.859365</c:v>
                </c:pt>
                <c:pt idx="487">
                  <c:v>0.861252</c:v>
                </c:pt>
                <c:pt idx="488">
                  <c:v>0.864528</c:v>
                </c:pt>
                <c:pt idx="489">
                  <c:v>0.868697</c:v>
                </c:pt>
                <c:pt idx="490">
                  <c:v>0.875925</c:v>
                </c:pt>
                <c:pt idx="491">
                  <c:v>0.869225</c:v>
                </c:pt>
                <c:pt idx="492">
                  <c:v>0.866589</c:v>
                </c:pt>
                <c:pt idx="493">
                  <c:v>0.87321</c:v>
                </c:pt>
                <c:pt idx="494">
                  <c:v>0.862887</c:v>
                </c:pt>
                <c:pt idx="495">
                  <c:v>0.86423</c:v>
                </c:pt>
                <c:pt idx="496">
                  <c:v>0.861104</c:v>
                </c:pt>
                <c:pt idx="497">
                  <c:v>0.861512</c:v>
                </c:pt>
                <c:pt idx="498">
                  <c:v>0.865164</c:v>
                </c:pt>
                <c:pt idx="499">
                  <c:v>0.867453</c:v>
                </c:pt>
                <c:pt idx="500">
                  <c:v>0.86881</c:v>
                </c:pt>
                <c:pt idx="501">
                  <c:v>0.872144</c:v>
                </c:pt>
                <c:pt idx="502">
                  <c:v>0.865539</c:v>
                </c:pt>
                <c:pt idx="503">
                  <c:v>0.862925</c:v>
                </c:pt>
                <c:pt idx="504">
                  <c:v>0.866664</c:v>
                </c:pt>
                <c:pt idx="505">
                  <c:v>0.868282</c:v>
                </c:pt>
                <c:pt idx="506">
                  <c:v>0.866439</c:v>
                </c:pt>
                <c:pt idx="507">
                  <c:v>0.862441</c:v>
                </c:pt>
                <c:pt idx="508">
                  <c:v>0.857412</c:v>
                </c:pt>
                <c:pt idx="509">
                  <c:v>0.854701</c:v>
                </c:pt>
                <c:pt idx="510">
                  <c:v>0.853242</c:v>
                </c:pt>
                <c:pt idx="511">
                  <c:v>0.850412</c:v>
                </c:pt>
                <c:pt idx="512">
                  <c:v>0.847745</c:v>
                </c:pt>
                <c:pt idx="513">
                  <c:v>0.847494</c:v>
                </c:pt>
                <c:pt idx="514">
                  <c:v>0.848788</c:v>
                </c:pt>
                <c:pt idx="515">
                  <c:v>0.850087</c:v>
                </c:pt>
                <c:pt idx="516">
                  <c:v>0.848284</c:v>
                </c:pt>
                <c:pt idx="517">
                  <c:v>0.851571</c:v>
                </c:pt>
                <c:pt idx="518">
                  <c:v>0.854336</c:v>
                </c:pt>
                <c:pt idx="519">
                  <c:v>0.855908</c:v>
                </c:pt>
                <c:pt idx="520">
                  <c:v>0.853097</c:v>
                </c:pt>
                <c:pt idx="521">
                  <c:v>0.85317</c:v>
                </c:pt>
                <c:pt idx="522">
                  <c:v>0.853825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350336"/>
        <c:axId val="964351872"/>
      </c:lineChart>
      <c:dateAx>
        <c:axId val="964350336"/>
        <c:scaling>
          <c:orientation val="minMax"/>
        </c:scaling>
        <c:delete val="0"/>
        <c:axPos val="b"/>
        <c:numFmt formatCode="mm/yy" sourceLinked="0"/>
        <c:majorTickMark val="none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964351872"/>
        <c:crosses val="autoZero"/>
        <c:auto val="1"/>
        <c:lblOffset val="100"/>
        <c:baseTimeUnit val="days"/>
      </c:dateAx>
      <c:valAx>
        <c:axId val="964351872"/>
        <c:scaling>
          <c:orientation val="minMax"/>
          <c:min val="0.600000000000001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96435033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Calibri" panose="020F0502020204030204" pitchFamily="34" charset="0"/>
              <a:ea typeface="Univers LT Std 55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1ef2f2-a9df-435c-9cd6-7ecf11605c0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'Cost split'!$N$3:$N$525</c:f>
              <c:numCache>
                <c:formatCode>yyyy/m/d</c:formatCode>
                <c:ptCount val="523"/>
                <c:pt idx="0" c:formatCode="yyyy/m/d">
                  <c:v>45408</c:v>
                </c:pt>
                <c:pt idx="1" c:formatCode="yyyy/m/d">
                  <c:v>45411</c:v>
                </c:pt>
                <c:pt idx="2" c:formatCode="yyyy/m/d">
                  <c:v>45412</c:v>
                </c:pt>
                <c:pt idx="3" c:formatCode="yyyy/m/d">
                  <c:v>45413</c:v>
                </c:pt>
                <c:pt idx="4" c:formatCode="yyyy/m/d">
                  <c:v>45414</c:v>
                </c:pt>
                <c:pt idx="5" c:formatCode="yyyy/m/d">
                  <c:v>45415</c:v>
                </c:pt>
                <c:pt idx="6" c:formatCode="yyyy/m/d">
                  <c:v>45418</c:v>
                </c:pt>
                <c:pt idx="7" c:formatCode="yyyy/m/d">
                  <c:v>45419</c:v>
                </c:pt>
                <c:pt idx="8" c:formatCode="yyyy/m/d">
                  <c:v>45420</c:v>
                </c:pt>
                <c:pt idx="9" c:formatCode="yyyy/m/d">
                  <c:v>45421</c:v>
                </c:pt>
                <c:pt idx="10" c:formatCode="yyyy/m/d">
                  <c:v>45422</c:v>
                </c:pt>
                <c:pt idx="11" c:formatCode="yyyy/m/d">
                  <c:v>45425</c:v>
                </c:pt>
                <c:pt idx="12" c:formatCode="yyyy/m/d">
                  <c:v>45426</c:v>
                </c:pt>
                <c:pt idx="13" c:formatCode="yyyy/m/d">
                  <c:v>45427</c:v>
                </c:pt>
                <c:pt idx="14" c:formatCode="yyyy/m/d">
                  <c:v>45428</c:v>
                </c:pt>
                <c:pt idx="15" c:formatCode="yyyy/m/d">
                  <c:v>45429</c:v>
                </c:pt>
                <c:pt idx="16" c:formatCode="yyyy/m/d">
                  <c:v>45432</c:v>
                </c:pt>
                <c:pt idx="17" c:formatCode="yyyy/m/d">
                  <c:v>45433</c:v>
                </c:pt>
                <c:pt idx="18" c:formatCode="yyyy/m/d">
                  <c:v>45434</c:v>
                </c:pt>
                <c:pt idx="19" c:formatCode="yyyy/m/d">
                  <c:v>45435</c:v>
                </c:pt>
                <c:pt idx="20" c:formatCode="yyyy/m/d">
                  <c:v>45436</c:v>
                </c:pt>
                <c:pt idx="21" c:formatCode="yyyy/m/d">
                  <c:v>45439</c:v>
                </c:pt>
                <c:pt idx="22" c:formatCode="yyyy/m/d">
                  <c:v>45440</c:v>
                </c:pt>
                <c:pt idx="23" c:formatCode="yyyy/m/d">
                  <c:v>45441</c:v>
                </c:pt>
                <c:pt idx="24" c:formatCode="yyyy/m/d">
                  <c:v>45442</c:v>
                </c:pt>
                <c:pt idx="25" c:formatCode="yyyy/m/d">
                  <c:v>45443</c:v>
                </c:pt>
                <c:pt idx="26" c:formatCode="yyyy/m/d">
                  <c:v>45446</c:v>
                </c:pt>
                <c:pt idx="27" c:formatCode="yyyy/m/d">
                  <c:v>45447</c:v>
                </c:pt>
                <c:pt idx="28" c:formatCode="yyyy/m/d">
                  <c:v>45448</c:v>
                </c:pt>
                <c:pt idx="29" c:formatCode="yyyy/m/d">
                  <c:v>45449</c:v>
                </c:pt>
                <c:pt idx="30" c:formatCode="yyyy/m/d">
                  <c:v>45450</c:v>
                </c:pt>
                <c:pt idx="31" c:formatCode="yyyy/m/d">
                  <c:v>45453</c:v>
                </c:pt>
                <c:pt idx="32" c:formatCode="yyyy/m/d">
                  <c:v>45454</c:v>
                </c:pt>
                <c:pt idx="33" c:formatCode="yyyy/m/d">
                  <c:v>45455</c:v>
                </c:pt>
                <c:pt idx="34" c:formatCode="yyyy/m/d">
                  <c:v>45456</c:v>
                </c:pt>
                <c:pt idx="35" c:formatCode="yyyy/m/d">
                  <c:v>45457</c:v>
                </c:pt>
                <c:pt idx="36" c:formatCode="yyyy/m/d">
                  <c:v>45460</c:v>
                </c:pt>
                <c:pt idx="37" c:formatCode="yyyy/m/d">
                  <c:v>45461</c:v>
                </c:pt>
                <c:pt idx="38" c:formatCode="yyyy/m/d">
                  <c:v>45462</c:v>
                </c:pt>
                <c:pt idx="39" c:formatCode="yyyy/m/d">
                  <c:v>45463</c:v>
                </c:pt>
                <c:pt idx="40" c:formatCode="yyyy/m/d">
                  <c:v>45464</c:v>
                </c:pt>
                <c:pt idx="41" c:formatCode="yyyy/m/d">
                  <c:v>45467</c:v>
                </c:pt>
                <c:pt idx="42" c:formatCode="yyyy/m/d">
                  <c:v>45468</c:v>
                </c:pt>
                <c:pt idx="43" c:formatCode="yyyy/m/d">
                  <c:v>45469</c:v>
                </c:pt>
                <c:pt idx="44" c:formatCode="yyyy/m/d">
                  <c:v>45470</c:v>
                </c:pt>
                <c:pt idx="45" c:formatCode="yyyy/m/d">
                  <c:v>45471</c:v>
                </c:pt>
                <c:pt idx="46" c:formatCode="yyyy/m/d">
                  <c:v>45474</c:v>
                </c:pt>
                <c:pt idx="47" c:formatCode="yyyy/m/d">
                  <c:v>45475</c:v>
                </c:pt>
                <c:pt idx="48" c:formatCode="yyyy/m/d">
                  <c:v>45476</c:v>
                </c:pt>
                <c:pt idx="49" c:formatCode="yyyy/m/d">
                  <c:v>45477</c:v>
                </c:pt>
                <c:pt idx="50" c:formatCode="yyyy/m/d">
                  <c:v>45478</c:v>
                </c:pt>
                <c:pt idx="51" c:formatCode="yyyy/m/d">
                  <c:v>45481</c:v>
                </c:pt>
                <c:pt idx="52" c:formatCode="yyyy/m/d">
                  <c:v>45482</c:v>
                </c:pt>
                <c:pt idx="53" c:formatCode="yyyy/m/d">
                  <c:v>45483</c:v>
                </c:pt>
                <c:pt idx="54" c:formatCode="yyyy/m/d">
                  <c:v>45484</c:v>
                </c:pt>
                <c:pt idx="55" c:formatCode="yyyy/m/d">
                  <c:v>45485</c:v>
                </c:pt>
                <c:pt idx="56" c:formatCode="yyyy/m/d">
                  <c:v>45488</c:v>
                </c:pt>
                <c:pt idx="57" c:formatCode="yyyy/m/d">
                  <c:v>45489</c:v>
                </c:pt>
                <c:pt idx="58" c:formatCode="yyyy/m/d">
                  <c:v>45490</c:v>
                </c:pt>
                <c:pt idx="59" c:formatCode="yyyy/m/d">
                  <c:v>45491</c:v>
                </c:pt>
                <c:pt idx="60" c:formatCode="yyyy/m/d">
                  <c:v>45492</c:v>
                </c:pt>
                <c:pt idx="61" c:formatCode="yyyy/m/d">
                  <c:v>45495</c:v>
                </c:pt>
                <c:pt idx="62" c:formatCode="yyyy/m/d">
                  <c:v>45496</c:v>
                </c:pt>
                <c:pt idx="63" c:formatCode="yyyy/m/d">
                  <c:v>45497</c:v>
                </c:pt>
                <c:pt idx="64" c:formatCode="yyyy/m/d">
                  <c:v>45498</c:v>
                </c:pt>
                <c:pt idx="65" c:formatCode="yyyy/m/d">
                  <c:v>45499</c:v>
                </c:pt>
                <c:pt idx="66" c:formatCode="yyyy/m/d">
                  <c:v>45502</c:v>
                </c:pt>
                <c:pt idx="67" c:formatCode="yyyy/m/d">
                  <c:v>45503</c:v>
                </c:pt>
                <c:pt idx="68" c:formatCode="yyyy/m/d">
                  <c:v>45504</c:v>
                </c:pt>
                <c:pt idx="69" c:formatCode="yyyy/m/d">
                  <c:v>45505</c:v>
                </c:pt>
                <c:pt idx="70" c:formatCode="yyyy/m/d">
                  <c:v>45506</c:v>
                </c:pt>
                <c:pt idx="71" c:formatCode="yyyy/m/d">
                  <c:v>45509</c:v>
                </c:pt>
                <c:pt idx="72" c:formatCode="yyyy/m/d">
                  <c:v>45510</c:v>
                </c:pt>
                <c:pt idx="73" c:formatCode="yyyy/m/d">
                  <c:v>45511</c:v>
                </c:pt>
                <c:pt idx="74" c:formatCode="yyyy/m/d">
                  <c:v>45512</c:v>
                </c:pt>
                <c:pt idx="75" c:formatCode="yyyy/m/d">
                  <c:v>45513</c:v>
                </c:pt>
                <c:pt idx="76" c:formatCode="yyyy/m/d">
                  <c:v>45516</c:v>
                </c:pt>
                <c:pt idx="77" c:formatCode="yyyy/m/d">
                  <c:v>45517</c:v>
                </c:pt>
                <c:pt idx="78" c:formatCode="yyyy/m/d">
                  <c:v>45518</c:v>
                </c:pt>
                <c:pt idx="79" c:formatCode="yyyy/m/d">
                  <c:v>45519</c:v>
                </c:pt>
                <c:pt idx="80" c:formatCode="yyyy/m/d">
                  <c:v>45520</c:v>
                </c:pt>
                <c:pt idx="81" c:formatCode="yyyy/m/d">
                  <c:v>45523</c:v>
                </c:pt>
                <c:pt idx="82" c:formatCode="yyyy/m/d">
                  <c:v>45524</c:v>
                </c:pt>
                <c:pt idx="83" c:formatCode="yyyy/m/d">
                  <c:v>45525</c:v>
                </c:pt>
                <c:pt idx="84" c:formatCode="yyyy/m/d">
                  <c:v>45526</c:v>
                </c:pt>
                <c:pt idx="85" c:formatCode="yyyy/m/d">
                  <c:v>45527</c:v>
                </c:pt>
                <c:pt idx="86" c:formatCode="yyyy/m/d">
                  <c:v>45530</c:v>
                </c:pt>
                <c:pt idx="87" c:formatCode="yyyy/m/d">
                  <c:v>45531</c:v>
                </c:pt>
                <c:pt idx="88" c:formatCode="yyyy/m/d">
                  <c:v>45532</c:v>
                </c:pt>
                <c:pt idx="89" c:formatCode="yyyy/m/d">
                  <c:v>45533</c:v>
                </c:pt>
                <c:pt idx="90" c:formatCode="yyyy/m/d">
                  <c:v>45534</c:v>
                </c:pt>
                <c:pt idx="91" c:formatCode="yyyy/m/d">
                  <c:v>45537</c:v>
                </c:pt>
                <c:pt idx="92" c:formatCode="yyyy/m/d">
                  <c:v>45538</c:v>
                </c:pt>
                <c:pt idx="93" c:formatCode="yyyy/m/d">
                  <c:v>45539</c:v>
                </c:pt>
                <c:pt idx="94" c:formatCode="yyyy/m/d">
                  <c:v>45540</c:v>
                </c:pt>
                <c:pt idx="95" c:formatCode="yyyy/m/d">
                  <c:v>45541</c:v>
                </c:pt>
                <c:pt idx="96" c:formatCode="yyyy/m/d">
                  <c:v>45544</c:v>
                </c:pt>
                <c:pt idx="97" c:formatCode="yyyy/m/d">
                  <c:v>45545</c:v>
                </c:pt>
                <c:pt idx="98" c:formatCode="yyyy/m/d">
                  <c:v>45546</c:v>
                </c:pt>
                <c:pt idx="99" c:formatCode="yyyy/m/d">
                  <c:v>45547</c:v>
                </c:pt>
                <c:pt idx="100" c:formatCode="yyyy/m/d">
                  <c:v>45548</c:v>
                </c:pt>
                <c:pt idx="101" c:formatCode="yyyy/m/d">
                  <c:v>45551</c:v>
                </c:pt>
                <c:pt idx="102" c:formatCode="yyyy/m/d">
                  <c:v>45552</c:v>
                </c:pt>
                <c:pt idx="103" c:formatCode="yyyy/m/d">
                  <c:v>45553</c:v>
                </c:pt>
                <c:pt idx="104" c:formatCode="yyyy/m/d">
                  <c:v>45554</c:v>
                </c:pt>
                <c:pt idx="105" c:formatCode="yyyy/m/d">
                  <c:v>45555</c:v>
                </c:pt>
                <c:pt idx="106" c:formatCode="yyyy/m/d">
                  <c:v>45558</c:v>
                </c:pt>
                <c:pt idx="107" c:formatCode="yyyy/m/d">
                  <c:v>45559</c:v>
                </c:pt>
                <c:pt idx="108" c:formatCode="yyyy/m/d">
                  <c:v>45560</c:v>
                </c:pt>
                <c:pt idx="109" c:formatCode="yyyy/m/d">
                  <c:v>45561</c:v>
                </c:pt>
                <c:pt idx="110" c:formatCode="yyyy/m/d">
                  <c:v>45562</c:v>
                </c:pt>
                <c:pt idx="111" c:formatCode="yyyy/m/d">
                  <c:v>45565</c:v>
                </c:pt>
                <c:pt idx="112" c:formatCode="yyyy/m/d">
                  <c:v>45566</c:v>
                </c:pt>
                <c:pt idx="113" c:formatCode="yyyy/m/d">
                  <c:v>45567</c:v>
                </c:pt>
                <c:pt idx="114" c:formatCode="yyyy/m/d">
                  <c:v>45568</c:v>
                </c:pt>
                <c:pt idx="115" c:formatCode="yyyy/m/d">
                  <c:v>45569</c:v>
                </c:pt>
                <c:pt idx="116" c:formatCode="yyyy/m/d">
                  <c:v>45572</c:v>
                </c:pt>
                <c:pt idx="117" c:formatCode="yyyy/m/d">
                  <c:v>45573</c:v>
                </c:pt>
                <c:pt idx="118" c:formatCode="yyyy/m/d">
                  <c:v>45574</c:v>
                </c:pt>
                <c:pt idx="119" c:formatCode="yyyy/m/d">
                  <c:v>45575</c:v>
                </c:pt>
                <c:pt idx="120" c:formatCode="yyyy/m/d">
                  <c:v>45576</c:v>
                </c:pt>
                <c:pt idx="121" c:formatCode="yyyy/m/d">
                  <c:v>45579</c:v>
                </c:pt>
                <c:pt idx="122" c:formatCode="yyyy/m/d">
                  <c:v>45580</c:v>
                </c:pt>
                <c:pt idx="123" c:formatCode="yyyy/m/d">
                  <c:v>45581</c:v>
                </c:pt>
                <c:pt idx="124" c:formatCode="yyyy/m/d">
                  <c:v>45582</c:v>
                </c:pt>
                <c:pt idx="125" c:formatCode="yyyy/m/d">
                  <c:v>45583</c:v>
                </c:pt>
                <c:pt idx="126" c:formatCode="yyyy/m/d">
                  <c:v>45586</c:v>
                </c:pt>
                <c:pt idx="127" c:formatCode="yyyy/m/d">
                  <c:v>45587</c:v>
                </c:pt>
                <c:pt idx="128" c:formatCode="yyyy/m/d">
                  <c:v>45588</c:v>
                </c:pt>
                <c:pt idx="129" c:formatCode="yyyy/m/d">
                  <c:v>45589</c:v>
                </c:pt>
                <c:pt idx="130" c:formatCode="yyyy/m/d">
                  <c:v>45590</c:v>
                </c:pt>
                <c:pt idx="131" c:formatCode="yyyy/m/d">
                  <c:v>45593</c:v>
                </c:pt>
                <c:pt idx="132" c:formatCode="yyyy/m/d">
                  <c:v>45594</c:v>
                </c:pt>
                <c:pt idx="133" c:formatCode="yyyy/m/d">
                  <c:v>45595</c:v>
                </c:pt>
                <c:pt idx="134" c:formatCode="yyyy/m/d">
                  <c:v>45596</c:v>
                </c:pt>
                <c:pt idx="135" c:formatCode="yyyy/m/d">
                  <c:v>45597</c:v>
                </c:pt>
                <c:pt idx="136" c:formatCode="yyyy/m/d">
                  <c:v>45600</c:v>
                </c:pt>
                <c:pt idx="137" c:formatCode="yyyy/m/d">
                  <c:v>45601</c:v>
                </c:pt>
                <c:pt idx="138" c:formatCode="yyyy/m/d">
                  <c:v>45602</c:v>
                </c:pt>
                <c:pt idx="139" c:formatCode="yyyy/m/d">
                  <c:v>45603</c:v>
                </c:pt>
                <c:pt idx="140" c:formatCode="yyyy/m/d">
                  <c:v>45604</c:v>
                </c:pt>
                <c:pt idx="141" c:formatCode="yyyy/m/d">
                  <c:v>45607</c:v>
                </c:pt>
                <c:pt idx="142" c:formatCode="yyyy/m/d">
                  <c:v>45608</c:v>
                </c:pt>
                <c:pt idx="143" c:formatCode="yyyy/m/d">
                  <c:v>45609</c:v>
                </c:pt>
                <c:pt idx="144" c:formatCode="yyyy/m/d">
                  <c:v>45610</c:v>
                </c:pt>
                <c:pt idx="145" c:formatCode="yyyy/m/d">
                  <c:v>45611</c:v>
                </c:pt>
                <c:pt idx="146" c:formatCode="yyyy/m/d">
                  <c:v>45614</c:v>
                </c:pt>
                <c:pt idx="147" c:formatCode="yyyy/m/d">
                  <c:v>45615</c:v>
                </c:pt>
                <c:pt idx="148" c:formatCode="yyyy/m/d">
                  <c:v>45616</c:v>
                </c:pt>
                <c:pt idx="149" c:formatCode="yyyy/m/d">
                  <c:v>45617</c:v>
                </c:pt>
                <c:pt idx="150" c:formatCode="yyyy/m/d">
                  <c:v>45618</c:v>
                </c:pt>
                <c:pt idx="151" c:formatCode="yyyy/m/d">
                  <c:v>45621</c:v>
                </c:pt>
                <c:pt idx="152" c:formatCode="yyyy/m/d">
                  <c:v>45622</c:v>
                </c:pt>
                <c:pt idx="153" c:formatCode="yyyy/m/d">
                  <c:v>45623</c:v>
                </c:pt>
                <c:pt idx="154" c:formatCode="yyyy/m/d">
                  <c:v>45624</c:v>
                </c:pt>
                <c:pt idx="155" c:formatCode="yyyy/m/d">
                  <c:v>45625</c:v>
                </c:pt>
                <c:pt idx="156" c:formatCode="yyyy/m/d">
                  <c:v>45628</c:v>
                </c:pt>
                <c:pt idx="157" c:formatCode="yyyy/m/d">
                  <c:v>45629</c:v>
                </c:pt>
                <c:pt idx="158" c:formatCode="yyyy/m/d">
                  <c:v>45630</c:v>
                </c:pt>
                <c:pt idx="159" c:formatCode="yyyy/m/d">
                  <c:v>45631</c:v>
                </c:pt>
                <c:pt idx="160" c:formatCode="yyyy/m/d">
                  <c:v>45632</c:v>
                </c:pt>
                <c:pt idx="161" c:formatCode="yyyy/m/d">
                  <c:v>45635</c:v>
                </c:pt>
                <c:pt idx="162" c:formatCode="yyyy/m/d">
                  <c:v>45636</c:v>
                </c:pt>
                <c:pt idx="163" c:formatCode="yyyy/m/d">
                  <c:v>45637</c:v>
                </c:pt>
                <c:pt idx="164" c:formatCode="yyyy/m/d">
                  <c:v>45638</c:v>
                </c:pt>
                <c:pt idx="165" c:formatCode="yyyy/m/d">
                  <c:v>45639</c:v>
                </c:pt>
                <c:pt idx="166" c:formatCode="yyyy/m/d">
                  <c:v>45642</c:v>
                </c:pt>
                <c:pt idx="167" c:formatCode="yyyy/m/d">
                  <c:v>45643</c:v>
                </c:pt>
                <c:pt idx="168" c:formatCode="yyyy/m/d">
                  <c:v>45644</c:v>
                </c:pt>
                <c:pt idx="169" c:formatCode="yyyy/m/d">
                  <c:v>45645</c:v>
                </c:pt>
                <c:pt idx="170" c:formatCode="yyyy/m/d">
                  <c:v>45646</c:v>
                </c:pt>
                <c:pt idx="171" c:formatCode="yyyy/m/d">
                  <c:v>45649</c:v>
                </c:pt>
                <c:pt idx="172" c:formatCode="yyyy/m/d">
                  <c:v>45650</c:v>
                </c:pt>
                <c:pt idx="173" c:formatCode="yyyy/m/d">
                  <c:v>45651</c:v>
                </c:pt>
                <c:pt idx="174" c:formatCode="yyyy/m/d">
                  <c:v>45652</c:v>
                </c:pt>
                <c:pt idx="175" c:formatCode="yyyy/m/d">
                  <c:v>45653</c:v>
                </c:pt>
                <c:pt idx="176" c:formatCode="yyyy/m/d">
                  <c:v>45656</c:v>
                </c:pt>
                <c:pt idx="177" c:formatCode="yyyy/m/d">
                  <c:v>45657</c:v>
                </c:pt>
                <c:pt idx="178" c:formatCode="yyyy/m/d">
                  <c:v>45658</c:v>
                </c:pt>
                <c:pt idx="179" c:formatCode="yyyy/m/d">
                  <c:v>45659</c:v>
                </c:pt>
                <c:pt idx="180" c:formatCode="yyyy/m/d">
                  <c:v>45660</c:v>
                </c:pt>
                <c:pt idx="181" c:formatCode="yyyy/m/d">
                  <c:v>45663</c:v>
                </c:pt>
                <c:pt idx="182" c:formatCode="yyyy/m/d">
                  <c:v>45664</c:v>
                </c:pt>
                <c:pt idx="183" c:formatCode="yyyy/m/d">
                  <c:v>45665</c:v>
                </c:pt>
                <c:pt idx="184" c:formatCode="yyyy/m/d">
                  <c:v>45666</c:v>
                </c:pt>
                <c:pt idx="185" c:formatCode="yyyy/m/d">
                  <c:v>45667</c:v>
                </c:pt>
                <c:pt idx="186" c:formatCode="yyyy/m/d">
                  <c:v>45670</c:v>
                </c:pt>
                <c:pt idx="187" c:formatCode="yyyy/m/d">
                  <c:v>45671</c:v>
                </c:pt>
                <c:pt idx="188" c:formatCode="yyyy/m/d">
                  <c:v>45672</c:v>
                </c:pt>
                <c:pt idx="189" c:formatCode="yyyy/m/d">
                  <c:v>45673</c:v>
                </c:pt>
                <c:pt idx="190" c:formatCode="yyyy/m/d">
                  <c:v>45674</c:v>
                </c:pt>
                <c:pt idx="191" c:formatCode="yyyy/m/d">
                  <c:v>45677</c:v>
                </c:pt>
                <c:pt idx="192" c:formatCode="yyyy/m/d">
                  <c:v>45678</c:v>
                </c:pt>
                <c:pt idx="193" c:formatCode="yyyy/m/d">
                  <c:v>45679</c:v>
                </c:pt>
                <c:pt idx="194" c:formatCode="yyyy/m/d">
                  <c:v>45680</c:v>
                </c:pt>
                <c:pt idx="195" c:formatCode="yyyy/m/d">
                  <c:v>45681</c:v>
                </c:pt>
                <c:pt idx="196" c:formatCode="yyyy/m/d">
                  <c:v>45684</c:v>
                </c:pt>
                <c:pt idx="197" c:formatCode="yyyy/m/d">
                  <c:v>45685</c:v>
                </c:pt>
                <c:pt idx="198" c:formatCode="yyyy/m/d">
                  <c:v>45686</c:v>
                </c:pt>
                <c:pt idx="199" c:formatCode="yyyy/m/d">
                  <c:v>45687</c:v>
                </c:pt>
                <c:pt idx="200" c:formatCode="yyyy/m/d">
                  <c:v>45688</c:v>
                </c:pt>
                <c:pt idx="201" c:formatCode="yyyy/m/d">
                  <c:v>45691</c:v>
                </c:pt>
                <c:pt idx="202" c:formatCode="yyyy/m/d">
                  <c:v>45692</c:v>
                </c:pt>
                <c:pt idx="203" c:formatCode="yyyy/m/d">
                  <c:v>45693</c:v>
                </c:pt>
                <c:pt idx="204" c:formatCode="yyyy/m/d">
                  <c:v>45694</c:v>
                </c:pt>
                <c:pt idx="205" c:formatCode="yyyy/m/d">
                  <c:v>45695</c:v>
                </c:pt>
                <c:pt idx="206" c:formatCode="yyyy/m/d">
                  <c:v>45698</c:v>
                </c:pt>
                <c:pt idx="207" c:formatCode="yyyy/m/d">
                  <c:v>45699</c:v>
                </c:pt>
                <c:pt idx="208" c:formatCode="yyyy/m/d">
                  <c:v>45700</c:v>
                </c:pt>
                <c:pt idx="209" c:formatCode="yyyy/m/d">
                  <c:v>45701</c:v>
                </c:pt>
                <c:pt idx="210" c:formatCode="yyyy/m/d">
                  <c:v>45702</c:v>
                </c:pt>
                <c:pt idx="211" c:formatCode="yyyy/m/d">
                  <c:v>45705</c:v>
                </c:pt>
                <c:pt idx="212" c:formatCode="yyyy/m/d">
                  <c:v>45706</c:v>
                </c:pt>
                <c:pt idx="213" c:formatCode="yyyy/m/d">
                  <c:v>45707</c:v>
                </c:pt>
                <c:pt idx="214" c:formatCode="yyyy/m/d">
                  <c:v>45708</c:v>
                </c:pt>
                <c:pt idx="215" c:formatCode="yyyy/m/d">
                  <c:v>45709</c:v>
                </c:pt>
                <c:pt idx="216" c:formatCode="yyyy/m/d">
                  <c:v>45712</c:v>
                </c:pt>
                <c:pt idx="217" c:formatCode="yyyy/m/d">
                  <c:v>45713</c:v>
                </c:pt>
                <c:pt idx="218" c:formatCode="yyyy/m/d">
                  <c:v>45714</c:v>
                </c:pt>
                <c:pt idx="219" c:formatCode="yyyy/m/d">
                  <c:v>45715</c:v>
                </c:pt>
                <c:pt idx="220" c:formatCode="yyyy/m/d">
                  <c:v>45716</c:v>
                </c:pt>
                <c:pt idx="221" c:formatCode="yyyy/m/d">
                  <c:v>45719</c:v>
                </c:pt>
                <c:pt idx="222" c:formatCode="yyyy/m/d">
                  <c:v>45720</c:v>
                </c:pt>
                <c:pt idx="223" c:formatCode="yyyy/m/d">
                  <c:v>45721</c:v>
                </c:pt>
                <c:pt idx="224" c:formatCode="yyyy/m/d">
                  <c:v>45722</c:v>
                </c:pt>
                <c:pt idx="225" c:formatCode="yyyy/m/d">
                  <c:v>45723</c:v>
                </c:pt>
                <c:pt idx="226" c:formatCode="yyyy/m/d">
                  <c:v>45726</c:v>
                </c:pt>
                <c:pt idx="227" c:formatCode="yyyy/m/d">
                  <c:v>45727</c:v>
                </c:pt>
                <c:pt idx="228" c:formatCode="yyyy/m/d">
                  <c:v>45728</c:v>
                </c:pt>
                <c:pt idx="229" c:formatCode="yyyy/m/d">
                  <c:v>45729</c:v>
                </c:pt>
                <c:pt idx="230" c:formatCode="yyyy/m/d">
                  <c:v>45730</c:v>
                </c:pt>
                <c:pt idx="231" c:formatCode="yyyy/m/d">
                  <c:v>45733</c:v>
                </c:pt>
                <c:pt idx="232" c:formatCode="yyyy/m/d">
                  <c:v>45734</c:v>
                </c:pt>
                <c:pt idx="233" c:formatCode="yyyy/m/d">
                  <c:v>45735</c:v>
                </c:pt>
                <c:pt idx="234" c:formatCode="yyyy/m/d">
                  <c:v>45736</c:v>
                </c:pt>
                <c:pt idx="235" c:formatCode="yyyy/m/d">
                  <c:v>45737</c:v>
                </c:pt>
                <c:pt idx="236" c:formatCode="yyyy/m/d">
                  <c:v>45740</c:v>
                </c:pt>
                <c:pt idx="237" c:formatCode="yyyy/m/d">
                  <c:v>45741</c:v>
                </c:pt>
                <c:pt idx="238" c:formatCode="yyyy/m/d">
                  <c:v>45742</c:v>
                </c:pt>
                <c:pt idx="239" c:formatCode="yyyy/m/d">
                  <c:v>45743</c:v>
                </c:pt>
                <c:pt idx="240" c:formatCode="yyyy/m/d">
                  <c:v>45744</c:v>
                </c:pt>
                <c:pt idx="241" c:formatCode="yyyy/m/d">
                  <c:v>45747</c:v>
                </c:pt>
                <c:pt idx="242" c:formatCode="yyyy/m/d">
                  <c:v>45748</c:v>
                </c:pt>
                <c:pt idx="243" c:formatCode="yyyy/m/d">
                  <c:v>45749</c:v>
                </c:pt>
                <c:pt idx="244" c:formatCode="yyyy/m/d">
                  <c:v>45750</c:v>
                </c:pt>
                <c:pt idx="245" c:formatCode="yyyy/m/d">
                  <c:v>45751</c:v>
                </c:pt>
                <c:pt idx="246" c:formatCode="yyyy/m/d">
                  <c:v>45754</c:v>
                </c:pt>
                <c:pt idx="247" c:formatCode="yyyy/m/d">
                  <c:v>45755</c:v>
                </c:pt>
                <c:pt idx="248" c:formatCode="yyyy/m/d">
                  <c:v>45756</c:v>
                </c:pt>
                <c:pt idx="249" c:formatCode="yyyy/m/d">
                  <c:v>45757</c:v>
                </c:pt>
                <c:pt idx="250" c:formatCode="yyyy/m/d">
                  <c:v>45758</c:v>
                </c:pt>
                <c:pt idx="251" c:formatCode="yyyy/m/d">
                  <c:v>45761</c:v>
                </c:pt>
                <c:pt idx="252" c:formatCode="yyyy/m/d">
                  <c:v>45762</c:v>
                </c:pt>
                <c:pt idx="253" c:formatCode="yyyy/m/d">
                  <c:v>45763</c:v>
                </c:pt>
                <c:pt idx="254" c:formatCode="yyyy/m/d">
                  <c:v>45764</c:v>
                </c:pt>
                <c:pt idx="255" c:formatCode="yyyy/m/d">
                  <c:v>45765</c:v>
                </c:pt>
                <c:pt idx="256" c:formatCode="yyyy/m/d">
                  <c:v>45768</c:v>
                </c:pt>
                <c:pt idx="257" c:formatCode="yyyy/m/d">
                  <c:v>45769</c:v>
                </c:pt>
                <c:pt idx="258" c:formatCode="yyyy/m/d">
                  <c:v>45770</c:v>
                </c:pt>
                <c:pt idx="259" c:formatCode="yyyy/m/d">
                  <c:v>45771</c:v>
                </c:pt>
                <c:pt idx="260" c:formatCode="yyyy/m/d">
                  <c:v>45772</c:v>
                </c:pt>
                <c:pt idx="261" c:formatCode="yyyy/m/d">
                  <c:v>45775</c:v>
                </c:pt>
                <c:pt idx="262" c:formatCode="yyyy/m/d">
                  <c:v>45776</c:v>
                </c:pt>
                <c:pt idx="263" c:formatCode="yyyy/m/d">
                  <c:v>45777</c:v>
                </c:pt>
                <c:pt idx="264" c:formatCode="yyyy/m/d">
                  <c:v>45778</c:v>
                </c:pt>
                <c:pt idx="265" c:formatCode="yyyy/m/d">
                  <c:v>45779</c:v>
                </c:pt>
                <c:pt idx="266" c:formatCode="yyyy/m/d">
                  <c:v>45782</c:v>
                </c:pt>
                <c:pt idx="267" c:formatCode="yyyy/m/d">
                  <c:v>45783</c:v>
                </c:pt>
                <c:pt idx="268" c:formatCode="yyyy/m/d">
                  <c:v>45784</c:v>
                </c:pt>
                <c:pt idx="269" c:formatCode="yyyy/m/d">
                  <c:v>45785</c:v>
                </c:pt>
                <c:pt idx="270" c:formatCode="yyyy/m/d">
                  <c:v>45786</c:v>
                </c:pt>
                <c:pt idx="271" c:formatCode="yyyy/m/d">
                  <c:v>45789</c:v>
                </c:pt>
                <c:pt idx="272" c:formatCode="yyyy/m/d">
                  <c:v>45790</c:v>
                </c:pt>
                <c:pt idx="273" c:formatCode="yyyy/m/d">
                  <c:v>45791</c:v>
                </c:pt>
                <c:pt idx="274" c:formatCode="yyyy/m/d">
                  <c:v>45792</c:v>
                </c:pt>
                <c:pt idx="275" c:formatCode="yyyy/m/d">
                  <c:v>45793</c:v>
                </c:pt>
                <c:pt idx="276" c:formatCode="yyyy/m/d">
                  <c:v>45796</c:v>
                </c:pt>
                <c:pt idx="277" c:formatCode="yyyy/m/d">
                  <c:v>45797</c:v>
                </c:pt>
                <c:pt idx="278" c:formatCode="yyyy/m/d">
                  <c:v>45798</c:v>
                </c:pt>
                <c:pt idx="279" c:formatCode="yyyy/m/d">
                  <c:v>45799</c:v>
                </c:pt>
                <c:pt idx="280" c:formatCode="yyyy/m/d">
                  <c:v>45800</c:v>
                </c:pt>
                <c:pt idx="281" c:formatCode="yyyy/m/d">
                  <c:v>45803</c:v>
                </c:pt>
                <c:pt idx="282" c:formatCode="yyyy/m/d">
                  <c:v>45804</c:v>
                </c:pt>
                <c:pt idx="283" c:formatCode="yyyy/m/d">
                  <c:v>45805</c:v>
                </c:pt>
                <c:pt idx="284" c:formatCode="yyyy/m/d">
                  <c:v>45806</c:v>
                </c:pt>
                <c:pt idx="285" c:formatCode="yyyy/m/d">
                  <c:v>45807</c:v>
                </c:pt>
                <c:pt idx="286" c:formatCode="yyyy/m/d">
                  <c:v>45810</c:v>
                </c:pt>
                <c:pt idx="287" c:formatCode="yyyy/m/d">
                  <c:v>45811</c:v>
                </c:pt>
                <c:pt idx="288" c:formatCode="yyyy/m/d">
                  <c:v>45812</c:v>
                </c:pt>
                <c:pt idx="289" c:formatCode="yyyy/m/d">
                  <c:v>45813</c:v>
                </c:pt>
                <c:pt idx="290" c:formatCode="yyyy/m/d">
                  <c:v>45814</c:v>
                </c:pt>
                <c:pt idx="291" c:formatCode="yyyy/m/d">
                  <c:v>45817</c:v>
                </c:pt>
                <c:pt idx="292" c:formatCode="yyyy/m/d">
                  <c:v>45818</c:v>
                </c:pt>
                <c:pt idx="293" c:formatCode="yyyy/m/d">
                  <c:v>45819</c:v>
                </c:pt>
                <c:pt idx="294" c:formatCode="yyyy/m/d">
                  <c:v>45820</c:v>
                </c:pt>
                <c:pt idx="295" c:formatCode="yyyy/m/d">
                  <c:v>45821</c:v>
                </c:pt>
                <c:pt idx="296" c:formatCode="yyyy/m/d">
                  <c:v>45824</c:v>
                </c:pt>
                <c:pt idx="297" c:formatCode="yyyy/m/d">
                  <c:v>45825</c:v>
                </c:pt>
                <c:pt idx="298" c:formatCode="yyyy/m/d">
                  <c:v>45826</c:v>
                </c:pt>
                <c:pt idx="299" c:formatCode="yyyy/m/d">
                  <c:v>45827</c:v>
                </c:pt>
                <c:pt idx="300" c:formatCode="yyyy/m/d">
                  <c:v>45828</c:v>
                </c:pt>
                <c:pt idx="301" c:formatCode="yyyy/m/d">
                  <c:v>45831</c:v>
                </c:pt>
                <c:pt idx="302" c:formatCode="yyyy/m/d">
                  <c:v>45832</c:v>
                </c:pt>
                <c:pt idx="303" c:formatCode="yyyy/m/d">
                  <c:v>45833</c:v>
                </c:pt>
                <c:pt idx="304" c:formatCode="yyyy/m/d">
                  <c:v>45834</c:v>
                </c:pt>
                <c:pt idx="305" c:formatCode="yyyy/m/d">
                  <c:v>45835</c:v>
                </c:pt>
                <c:pt idx="306" c:formatCode="yyyy/m/d">
                  <c:v>45838</c:v>
                </c:pt>
                <c:pt idx="307" c:formatCode="yyyy/m/d">
                  <c:v>45839</c:v>
                </c:pt>
                <c:pt idx="308" c:formatCode="yyyy/m/d">
                  <c:v>45840</c:v>
                </c:pt>
                <c:pt idx="309" c:formatCode="yyyy/m/d">
                  <c:v>45841</c:v>
                </c:pt>
                <c:pt idx="310" c:formatCode="yyyy/m/d">
                  <c:v>45842</c:v>
                </c:pt>
                <c:pt idx="311" c:formatCode="yyyy/m/d">
                  <c:v>45845</c:v>
                </c:pt>
                <c:pt idx="312" c:formatCode="yyyy/m/d">
                  <c:v>45846</c:v>
                </c:pt>
                <c:pt idx="313" c:formatCode="yyyy/m/d">
                  <c:v>45847</c:v>
                </c:pt>
                <c:pt idx="314" c:formatCode="yyyy/m/d">
                  <c:v>45848</c:v>
                </c:pt>
                <c:pt idx="315" c:formatCode="yyyy/m/d">
                  <c:v>45849</c:v>
                </c:pt>
                <c:pt idx="316" c:formatCode="yyyy/m/d">
                  <c:v>45852</c:v>
                </c:pt>
                <c:pt idx="317" c:formatCode="yyyy/m/d">
                  <c:v>45853</c:v>
                </c:pt>
                <c:pt idx="318" c:formatCode="yyyy/m/d">
                  <c:v>45854</c:v>
                </c:pt>
                <c:pt idx="319" c:formatCode="yyyy/m/d">
                  <c:v>45855</c:v>
                </c:pt>
                <c:pt idx="320" c:formatCode="yyyy/m/d">
                  <c:v>45856</c:v>
                </c:pt>
                <c:pt idx="321" c:formatCode="yyyy/m/d">
                  <c:v>45859</c:v>
                </c:pt>
                <c:pt idx="322" c:formatCode="yyyy/m/d">
                  <c:v>45860</c:v>
                </c:pt>
                <c:pt idx="323" c:formatCode="yyyy/m/d">
                  <c:v>45861</c:v>
                </c:pt>
                <c:pt idx="324" c:formatCode="yyyy/m/d">
                  <c:v>45862</c:v>
                </c:pt>
                <c:pt idx="325" c:formatCode="yyyy/m/d">
                  <c:v>45863</c:v>
                </c:pt>
                <c:pt idx="326" c:formatCode="yyyy/m/d">
                  <c:v>45866</c:v>
                </c:pt>
                <c:pt idx="327" c:formatCode="yyyy/m/d">
                  <c:v>45867</c:v>
                </c:pt>
                <c:pt idx="328" c:formatCode="yyyy/m/d">
                  <c:v>45868</c:v>
                </c:pt>
                <c:pt idx="329" c:formatCode="yyyy/m/d">
                  <c:v>45869</c:v>
                </c:pt>
                <c:pt idx="330" c:formatCode="yyyy/m/d">
                  <c:v>45870</c:v>
                </c:pt>
                <c:pt idx="331" c:formatCode="yyyy/m/d">
                  <c:v>45873</c:v>
                </c:pt>
                <c:pt idx="332" c:formatCode="yyyy/m/d">
                  <c:v>45874</c:v>
                </c:pt>
                <c:pt idx="333" c:formatCode="yyyy/m/d">
                  <c:v>45875</c:v>
                </c:pt>
                <c:pt idx="334" c:formatCode="yyyy/m/d">
                  <c:v>45876</c:v>
                </c:pt>
                <c:pt idx="335" c:formatCode="yyyy/m/d">
                  <c:v>45877</c:v>
                </c:pt>
                <c:pt idx="336" c:formatCode="yyyy/m/d">
                  <c:v>45880</c:v>
                </c:pt>
                <c:pt idx="337" c:formatCode="yyyy/m/d">
                  <c:v>45881</c:v>
                </c:pt>
                <c:pt idx="338" c:formatCode="yyyy/m/d">
                  <c:v>45882</c:v>
                </c:pt>
                <c:pt idx="339" c:formatCode="yyyy/m/d">
                  <c:v>45883</c:v>
                </c:pt>
                <c:pt idx="340" c:formatCode="yyyy/m/d">
                  <c:v>45884</c:v>
                </c:pt>
                <c:pt idx="341" c:formatCode="yyyy/m/d">
                  <c:v>45887</c:v>
                </c:pt>
                <c:pt idx="342" c:formatCode="yyyy/m/d">
                  <c:v>45888</c:v>
                </c:pt>
                <c:pt idx="343" c:formatCode="yyyy/m/d">
                  <c:v>45889</c:v>
                </c:pt>
                <c:pt idx="344" c:formatCode="yyyy/m/d">
                  <c:v>45890</c:v>
                </c:pt>
                <c:pt idx="345" c:formatCode="yyyy/m/d">
                  <c:v>45891</c:v>
                </c:pt>
                <c:pt idx="346" c:formatCode="yyyy/m/d">
                  <c:v>45894</c:v>
                </c:pt>
                <c:pt idx="347" c:formatCode="yyyy/m/d">
                  <c:v>45895</c:v>
                </c:pt>
                <c:pt idx="348" c:formatCode="yyyy/m/d">
                  <c:v>45896</c:v>
                </c:pt>
                <c:pt idx="349" c:formatCode="yyyy/m/d">
                  <c:v>45897</c:v>
                </c:pt>
                <c:pt idx="350" c:formatCode="yyyy/m/d">
                  <c:v>45898</c:v>
                </c:pt>
                <c:pt idx="351" c:formatCode="yyyy/m/d">
                  <c:v>45901</c:v>
                </c:pt>
                <c:pt idx="352" c:formatCode="yyyy/m/d">
                  <c:v>45902</c:v>
                </c:pt>
                <c:pt idx="353" c:formatCode="yyyy/m/d">
                  <c:v>45903</c:v>
                </c:pt>
                <c:pt idx="354" c:formatCode="yyyy/m/d">
                  <c:v>45904</c:v>
                </c:pt>
                <c:pt idx="355" c:formatCode="yyyy/m/d">
                  <c:v>45905</c:v>
                </c:pt>
                <c:pt idx="356" c:formatCode="yyyy/m/d">
                  <c:v>45908</c:v>
                </c:pt>
                <c:pt idx="357" c:formatCode="yyyy/m/d">
                  <c:v>45909</c:v>
                </c:pt>
                <c:pt idx="358" c:formatCode="yyyy/m/d">
                  <c:v>45910</c:v>
                </c:pt>
                <c:pt idx="359" c:formatCode="yyyy/m/d">
                  <c:v>45911</c:v>
                </c:pt>
                <c:pt idx="360" c:formatCode="yyyy/m/d">
                  <c:v>45912</c:v>
                </c:pt>
                <c:pt idx="361" c:formatCode="yyyy/m/d">
                  <c:v>45915</c:v>
                </c:pt>
                <c:pt idx="362" c:formatCode="yyyy/m/d">
                  <c:v>45916</c:v>
                </c:pt>
                <c:pt idx="363" c:formatCode="yyyy/m/d">
                  <c:v>45917</c:v>
                </c:pt>
                <c:pt idx="364" c:formatCode="yyyy/m/d">
                  <c:v>45918</c:v>
                </c:pt>
                <c:pt idx="365" c:formatCode="yyyy/m/d">
                  <c:v>45919</c:v>
                </c:pt>
                <c:pt idx="366" c:formatCode="yyyy/m/d">
                  <c:v>45922</c:v>
                </c:pt>
                <c:pt idx="367" c:formatCode="yyyy/m/d">
                  <c:v>45923</c:v>
                </c:pt>
                <c:pt idx="368" c:formatCode="yyyy/m/d">
                  <c:v>45924</c:v>
                </c:pt>
                <c:pt idx="369" c:formatCode="yyyy/m/d">
                  <c:v>45925</c:v>
                </c:pt>
                <c:pt idx="370" c:formatCode="yyyy/m/d">
                  <c:v>45926</c:v>
                </c:pt>
                <c:pt idx="371" c:formatCode="yyyy/m/d">
                  <c:v>45929</c:v>
                </c:pt>
                <c:pt idx="372" c:formatCode="yyyy/m/d">
                  <c:v>45930</c:v>
                </c:pt>
                <c:pt idx="373" c:formatCode="yyyy/m/d">
                  <c:v>45931</c:v>
                </c:pt>
                <c:pt idx="374" c:formatCode="yyyy/m/d">
                  <c:v>45932</c:v>
                </c:pt>
                <c:pt idx="375" c:formatCode="yyyy/m/d">
                  <c:v>45933</c:v>
                </c:pt>
                <c:pt idx="376" c:formatCode="yyyy/m/d">
                  <c:v>45936</c:v>
                </c:pt>
                <c:pt idx="377" c:formatCode="yyyy/m/d">
                  <c:v>45937</c:v>
                </c:pt>
                <c:pt idx="378" c:formatCode="yyyy/m/d">
                  <c:v>45938</c:v>
                </c:pt>
                <c:pt idx="379" c:formatCode="yyyy/m/d">
                  <c:v>45939</c:v>
                </c:pt>
                <c:pt idx="380" c:formatCode="yyyy/m/d">
                  <c:v>45940</c:v>
                </c:pt>
                <c:pt idx="381" c:formatCode="yyyy/m/d">
                  <c:v>45943</c:v>
                </c:pt>
                <c:pt idx="382" c:formatCode="yyyy/m/d">
                  <c:v>45944</c:v>
                </c:pt>
                <c:pt idx="383" c:formatCode="yyyy/m/d">
                  <c:v>45945</c:v>
                </c:pt>
                <c:pt idx="384" c:formatCode="yyyy/m/d">
                  <c:v>45946</c:v>
                </c:pt>
                <c:pt idx="385" c:formatCode="yyyy/m/d">
                  <c:v>45947</c:v>
                </c:pt>
                <c:pt idx="386" c:formatCode="yyyy/m/d">
                  <c:v>45950</c:v>
                </c:pt>
                <c:pt idx="387" c:formatCode="yyyy/m/d">
                  <c:v>45951</c:v>
                </c:pt>
                <c:pt idx="388" c:formatCode="yyyy/m/d">
                  <c:v>45952</c:v>
                </c:pt>
                <c:pt idx="389" c:formatCode="yyyy/m/d">
                  <c:v>45953</c:v>
                </c:pt>
                <c:pt idx="390" c:formatCode="yyyy/m/d">
                  <c:v>45954</c:v>
                </c:pt>
                <c:pt idx="391" c:formatCode="yyyy/m/d">
                  <c:v>45957</c:v>
                </c:pt>
                <c:pt idx="392" c:formatCode="yyyy/m/d">
                  <c:v>45958</c:v>
                </c:pt>
                <c:pt idx="393" c:formatCode="yyyy/m/d">
                  <c:v>45959</c:v>
                </c:pt>
                <c:pt idx="394" c:formatCode="yyyy/m/d">
                  <c:v>45960</c:v>
                </c:pt>
                <c:pt idx="395" c:formatCode="yyyy/m/d">
                  <c:v>45961</c:v>
                </c:pt>
                <c:pt idx="396" c:formatCode="yyyy/m/d">
                  <c:v>45964</c:v>
                </c:pt>
                <c:pt idx="397" c:formatCode="yyyy/m/d">
                  <c:v>45965</c:v>
                </c:pt>
                <c:pt idx="398" c:formatCode="yyyy/m/d">
                  <c:v>45966</c:v>
                </c:pt>
                <c:pt idx="399" c:formatCode="yyyy/m/d">
                  <c:v>45967</c:v>
                </c:pt>
                <c:pt idx="400" c:formatCode="yyyy/m/d">
                  <c:v>45968</c:v>
                </c:pt>
                <c:pt idx="401" c:formatCode="yyyy/m/d">
                  <c:v>45971</c:v>
                </c:pt>
                <c:pt idx="402" c:formatCode="yyyy/m/d">
                  <c:v>45972</c:v>
                </c:pt>
                <c:pt idx="403" c:formatCode="yyyy/m/d">
                  <c:v>45973</c:v>
                </c:pt>
                <c:pt idx="404" c:formatCode="yyyy/m/d">
                  <c:v>45974</c:v>
                </c:pt>
                <c:pt idx="405" c:formatCode="yyyy/m/d">
                  <c:v>45975</c:v>
                </c:pt>
                <c:pt idx="406" c:formatCode="yyyy/m/d">
                  <c:v>45978</c:v>
                </c:pt>
                <c:pt idx="407" c:formatCode="yyyy/m/d">
                  <c:v>45979</c:v>
                </c:pt>
                <c:pt idx="408" c:formatCode="yyyy/m/d">
                  <c:v>45980</c:v>
                </c:pt>
                <c:pt idx="409" c:formatCode="yyyy/m/d">
                  <c:v>45981</c:v>
                </c:pt>
                <c:pt idx="410" c:formatCode="yyyy/m/d">
                  <c:v>45982</c:v>
                </c:pt>
                <c:pt idx="411" c:formatCode="yyyy/m/d">
                  <c:v>45985</c:v>
                </c:pt>
                <c:pt idx="412" c:formatCode="yyyy/m/d">
                  <c:v>45986</c:v>
                </c:pt>
                <c:pt idx="413" c:formatCode="yyyy/m/d">
                  <c:v>45987</c:v>
                </c:pt>
                <c:pt idx="414" c:formatCode="yyyy/m/d">
                  <c:v>45988</c:v>
                </c:pt>
                <c:pt idx="415" c:formatCode="yyyy/m/d">
                  <c:v>45989</c:v>
                </c:pt>
                <c:pt idx="416" c:formatCode="yyyy/m/d">
                  <c:v>45992</c:v>
                </c:pt>
                <c:pt idx="417" c:formatCode="yyyy/m/d">
                  <c:v>45993</c:v>
                </c:pt>
                <c:pt idx="418" c:formatCode="yyyy/m/d">
                  <c:v>45994</c:v>
                </c:pt>
                <c:pt idx="419" c:formatCode="yyyy/m/d">
                  <c:v>45995</c:v>
                </c:pt>
                <c:pt idx="420" c:formatCode="yyyy/m/d">
                  <c:v>45996</c:v>
                </c:pt>
                <c:pt idx="421" c:formatCode="yyyy/m/d">
                  <c:v>45999</c:v>
                </c:pt>
                <c:pt idx="422" c:formatCode="yyyy/m/d">
                  <c:v>46000</c:v>
                </c:pt>
                <c:pt idx="423" c:formatCode="yyyy/m/d">
                  <c:v>46001</c:v>
                </c:pt>
                <c:pt idx="424" c:formatCode="yyyy/m/d">
                  <c:v>46002</c:v>
                </c:pt>
                <c:pt idx="425" c:formatCode="yyyy/m/d">
                  <c:v>46003</c:v>
                </c:pt>
                <c:pt idx="426" c:formatCode="yyyy/m/d">
                  <c:v>46006</c:v>
                </c:pt>
                <c:pt idx="427" c:formatCode="yyyy/m/d">
                  <c:v>46007</c:v>
                </c:pt>
                <c:pt idx="428" c:formatCode="yyyy/m/d">
                  <c:v>46008</c:v>
                </c:pt>
                <c:pt idx="429" c:formatCode="yyyy/m/d">
                  <c:v>46009</c:v>
                </c:pt>
                <c:pt idx="430" c:formatCode="yyyy/m/d">
                  <c:v>46010</c:v>
                </c:pt>
                <c:pt idx="431" c:formatCode="yyyy/m/d">
                  <c:v>46013</c:v>
                </c:pt>
                <c:pt idx="432" c:formatCode="yyyy/m/d">
                  <c:v>46014</c:v>
                </c:pt>
                <c:pt idx="433" c:formatCode="yyyy/m/d">
                  <c:v>46015</c:v>
                </c:pt>
                <c:pt idx="434" c:formatCode="yyyy/m/d">
                  <c:v>46016</c:v>
                </c:pt>
                <c:pt idx="435" c:formatCode="yyyy/m/d">
                  <c:v>46017</c:v>
                </c:pt>
                <c:pt idx="436" c:formatCode="yyyy/m/d">
                  <c:v>46020</c:v>
                </c:pt>
                <c:pt idx="437" c:formatCode="yyyy/m/d">
                  <c:v>46021</c:v>
                </c:pt>
                <c:pt idx="438" c:formatCode="yyyy/m/d">
                  <c:v>46022</c:v>
                </c:pt>
                <c:pt idx="439" c:formatCode="yyyy/m/d">
                  <c:v>46023</c:v>
                </c:pt>
                <c:pt idx="440" c:formatCode="yyyy/m/d">
                  <c:v>46024</c:v>
                </c:pt>
                <c:pt idx="441" c:formatCode="yyyy/m/d">
                  <c:v>46027</c:v>
                </c:pt>
                <c:pt idx="442" c:formatCode="yyyy/m/d">
                  <c:v>46028</c:v>
                </c:pt>
                <c:pt idx="443" c:formatCode="yyyy/m/d">
                  <c:v>46029</c:v>
                </c:pt>
                <c:pt idx="444" c:formatCode="yyyy/m/d">
                  <c:v>46030</c:v>
                </c:pt>
                <c:pt idx="445" c:formatCode="yyyy/m/d">
                  <c:v>46031</c:v>
                </c:pt>
                <c:pt idx="446" c:formatCode="yyyy/m/d">
                  <c:v>46034</c:v>
                </c:pt>
                <c:pt idx="447" c:formatCode="yyyy/m/d">
                  <c:v>46035</c:v>
                </c:pt>
                <c:pt idx="448" c:formatCode="yyyy/m/d">
                  <c:v>46036</c:v>
                </c:pt>
                <c:pt idx="449" c:formatCode="yyyy/m/d">
                  <c:v>46037</c:v>
                </c:pt>
                <c:pt idx="450" c:formatCode="yyyy/m/d">
                  <c:v>46038</c:v>
                </c:pt>
                <c:pt idx="451" c:formatCode="yyyy/m/d">
                  <c:v>46041</c:v>
                </c:pt>
                <c:pt idx="452" c:formatCode="yyyy/m/d">
                  <c:v>46042</c:v>
                </c:pt>
                <c:pt idx="453" c:formatCode="yyyy/m/d">
                  <c:v>46043</c:v>
                </c:pt>
                <c:pt idx="454" c:formatCode="yyyy/m/d">
                  <c:v>46044</c:v>
                </c:pt>
                <c:pt idx="455" c:formatCode="yyyy/m/d">
                  <c:v>46045</c:v>
                </c:pt>
                <c:pt idx="456" c:formatCode="yyyy/m/d">
                  <c:v>46048</c:v>
                </c:pt>
                <c:pt idx="457" c:formatCode="yyyy/m/d">
                  <c:v>46049</c:v>
                </c:pt>
                <c:pt idx="458" c:formatCode="yyyy/m/d">
                  <c:v>46050</c:v>
                </c:pt>
                <c:pt idx="459" c:formatCode="yyyy/m/d">
                  <c:v>46051</c:v>
                </c:pt>
                <c:pt idx="460" c:formatCode="yyyy/m/d">
                  <c:v>46052</c:v>
                </c:pt>
                <c:pt idx="461" c:formatCode="yyyy/m/d">
                  <c:v>46055</c:v>
                </c:pt>
                <c:pt idx="462" c:formatCode="yyyy/m/d">
                  <c:v>46056</c:v>
                </c:pt>
                <c:pt idx="463" c:formatCode="yyyy/m/d">
                  <c:v>46057</c:v>
                </c:pt>
                <c:pt idx="464" c:formatCode="yyyy/m/d">
                  <c:v>46058</c:v>
                </c:pt>
                <c:pt idx="465" c:formatCode="yyyy/m/d">
                  <c:v>46059</c:v>
                </c:pt>
                <c:pt idx="466" c:formatCode="yyyy/m/d">
                  <c:v>46062</c:v>
                </c:pt>
                <c:pt idx="467" c:formatCode="yyyy/m/d">
                  <c:v>46063</c:v>
                </c:pt>
                <c:pt idx="468" c:formatCode="yyyy/m/d">
                  <c:v>46064</c:v>
                </c:pt>
                <c:pt idx="469" c:formatCode="yyyy/m/d">
                  <c:v>46065</c:v>
                </c:pt>
                <c:pt idx="470" c:formatCode="yyyy/m/d">
                  <c:v>46066</c:v>
                </c:pt>
                <c:pt idx="471" c:formatCode="yyyy/m/d">
                  <c:v>46069</c:v>
                </c:pt>
                <c:pt idx="472" c:formatCode="yyyy/m/d">
                  <c:v>46070</c:v>
                </c:pt>
                <c:pt idx="473" c:formatCode="yyyy/m/d">
                  <c:v>46071</c:v>
                </c:pt>
                <c:pt idx="474" c:formatCode="yyyy/m/d">
                  <c:v>46072</c:v>
                </c:pt>
                <c:pt idx="475" c:formatCode="yyyy/m/d">
                  <c:v>46073</c:v>
                </c:pt>
                <c:pt idx="476" c:formatCode="yyyy/m/d">
                  <c:v>46076</c:v>
                </c:pt>
                <c:pt idx="477" c:formatCode="yyyy/m/d">
                  <c:v>46077</c:v>
                </c:pt>
                <c:pt idx="478" c:formatCode="yyyy/m/d">
                  <c:v>46078</c:v>
                </c:pt>
                <c:pt idx="479" c:formatCode="yyyy/m/d">
                  <c:v>46079</c:v>
                </c:pt>
                <c:pt idx="480" c:formatCode="yyyy/m/d">
                  <c:v>46080</c:v>
                </c:pt>
                <c:pt idx="481" c:formatCode="yyyy/m/d">
                  <c:v>46083</c:v>
                </c:pt>
                <c:pt idx="482" c:formatCode="yyyy/m/d">
                  <c:v>46084</c:v>
                </c:pt>
                <c:pt idx="483" c:formatCode="yyyy/m/d">
                  <c:v>46085</c:v>
                </c:pt>
                <c:pt idx="484" c:formatCode="yyyy/m/d">
                  <c:v>46086</c:v>
                </c:pt>
                <c:pt idx="485" c:formatCode="yyyy/m/d">
                  <c:v>46087</c:v>
                </c:pt>
                <c:pt idx="486" c:formatCode="yyyy/m/d">
                  <c:v>46090</c:v>
                </c:pt>
                <c:pt idx="487" c:formatCode="yyyy/m/d">
                  <c:v>46091</c:v>
                </c:pt>
                <c:pt idx="488" c:formatCode="yyyy/m/d">
                  <c:v>46092</c:v>
                </c:pt>
                <c:pt idx="489" c:formatCode="yyyy/m/d">
                  <c:v>46093</c:v>
                </c:pt>
                <c:pt idx="490" c:formatCode="yyyy/m/d">
                  <c:v>46094</c:v>
                </c:pt>
                <c:pt idx="491" c:formatCode="yyyy/m/d">
                  <c:v>46097</c:v>
                </c:pt>
                <c:pt idx="492" c:formatCode="yyyy/m/d">
                  <c:v>46098</c:v>
                </c:pt>
                <c:pt idx="493" c:formatCode="yyyy/m/d">
                  <c:v>46099</c:v>
                </c:pt>
                <c:pt idx="494" c:formatCode="yyyy/m/d">
                  <c:v>46100</c:v>
                </c:pt>
                <c:pt idx="495" c:formatCode="yyyy/m/d">
                  <c:v>46101</c:v>
                </c:pt>
                <c:pt idx="496" c:formatCode="yyyy/m/d">
                  <c:v>46104</c:v>
                </c:pt>
                <c:pt idx="497" c:formatCode="yyyy/m/d">
                  <c:v>46105</c:v>
                </c:pt>
                <c:pt idx="498" c:formatCode="yyyy/m/d">
                  <c:v>46106</c:v>
                </c:pt>
                <c:pt idx="499" c:formatCode="yyyy/m/d">
                  <c:v>46107</c:v>
                </c:pt>
                <c:pt idx="500" c:formatCode="yyyy/m/d">
                  <c:v>46108</c:v>
                </c:pt>
                <c:pt idx="501" c:formatCode="yyyy/m/d">
                  <c:v>46111</c:v>
                </c:pt>
                <c:pt idx="502" c:formatCode="yyyy/m/d">
                  <c:v>46112</c:v>
                </c:pt>
                <c:pt idx="503" c:formatCode="yyyy/m/d">
                  <c:v>46113</c:v>
                </c:pt>
                <c:pt idx="504" c:formatCode="yyyy/m/d">
                  <c:v>46114</c:v>
                </c:pt>
                <c:pt idx="505" c:formatCode="yyyy/m/d">
                  <c:v>46115</c:v>
                </c:pt>
                <c:pt idx="506" c:formatCode="yyyy/m/d">
                  <c:v>46118</c:v>
                </c:pt>
                <c:pt idx="507" c:formatCode="yyyy/m/d">
                  <c:v>46119</c:v>
                </c:pt>
                <c:pt idx="508" c:formatCode="yyyy/m/d">
                  <c:v>46120</c:v>
                </c:pt>
                <c:pt idx="509" c:formatCode="yyyy/m/d">
                  <c:v>46121</c:v>
                </c:pt>
                <c:pt idx="510" c:formatCode="yyyy/m/d">
                  <c:v>46122</c:v>
                </c:pt>
                <c:pt idx="511" c:formatCode="yyyy/m/d">
                  <c:v>46125</c:v>
                </c:pt>
                <c:pt idx="512" c:formatCode="yyyy/m/d">
                  <c:v>46126</c:v>
                </c:pt>
                <c:pt idx="513" c:formatCode="yyyy/m/d">
                  <c:v>46127</c:v>
                </c:pt>
                <c:pt idx="514" c:formatCode="yyyy/m/d">
                  <c:v>46128</c:v>
                </c:pt>
                <c:pt idx="515" c:formatCode="yyyy/m/d">
                  <c:v>46129</c:v>
                </c:pt>
                <c:pt idx="516" c:formatCode="yyyy/m/d">
                  <c:v>46132</c:v>
                </c:pt>
                <c:pt idx="517" c:formatCode="yyyy/m/d">
                  <c:v>46133</c:v>
                </c:pt>
                <c:pt idx="518" c:formatCode="yyyy/m/d">
                  <c:v>46134</c:v>
                </c:pt>
                <c:pt idx="519" c:formatCode="yyyy/m/d">
                  <c:v>46135</c:v>
                </c:pt>
                <c:pt idx="520" c:formatCode="yyyy/m/d">
                  <c:v>46136</c:v>
                </c:pt>
                <c:pt idx="521" c:formatCode="yyyy/m/d">
                  <c:v>46139</c:v>
                </c:pt>
                <c:pt idx="522" c:formatCode="yyyy/m/d">
                  <c:v>46140</c:v>
                </c:pt>
              </c:numCache>
            </c:numRef>
          </c:cat>
          <c:val>
            <c:numRef>
              <c:f>'Cost split'!$P$3:$P$525</c:f>
              <c:numCache>
                <c:formatCode>General</c:formatCode>
                <c:ptCount val="523"/>
                <c:pt idx="0">
                  <c:v>98.7367</c:v>
                </c:pt>
                <c:pt idx="1">
                  <c:v>100.1666</c:v>
                </c:pt>
                <c:pt idx="2">
                  <c:v>99.9482</c:v>
                </c:pt>
                <c:pt idx="3">
                  <c:v>100.3716</c:v>
                </c:pt>
                <c:pt idx="4">
                  <c:v>98.3075</c:v>
                </c:pt>
                <c:pt idx="5">
                  <c:v>98.4958</c:v>
                </c:pt>
                <c:pt idx="6">
                  <c:v>98.4799</c:v>
                </c:pt>
                <c:pt idx="7">
                  <c:v>98.5648</c:v>
                </c:pt>
                <c:pt idx="8">
                  <c:v>98.8954</c:v>
                </c:pt>
                <c:pt idx="9">
                  <c:v>99.7366</c:v>
                </c:pt>
                <c:pt idx="10">
                  <c:v>99.6478</c:v>
                </c:pt>
                <c:pt idx="11">
                  <c:v>98.9331</c:v>
                </c:pt>
                <c:pt idx="12">
                  <c:v>98.9135</c:v>
                </c:pt>
                <c:pt idx="13">
                  <c:v>99.0928</c:v>
                </c:pt>
                <c:pt idx="14">
                  <c:v>98.6996</c:v>
                </c:pt>
                <c:pt idx="15">
                  <c:v>98.9716</c:v>
                </c:pt>
                <c:pt idx="16">
                  <c:v>98.437</c:v>
                </c:pt>
                <c:pt idx="17">
                  <c:v>97.9844</c:v>
                </c:pt>
                <c:pt idx="18">
                  <c:v>97.6415</c:v>
                </c:pt>
                <c:pt idx="19">
                  <c:v>97.8445</c:v>
                </c:pt>
                <c:pt idx="20">
                  <c:v>96.8549</c:v>
                </c:pt>
                <c:pt idx="21">
                  <c:v>96.3693</c:v>
                </c:pt>
                <c:pt idx="22">
                  <c:v>96.2122</c:v>
                </c:pt>
                <c:pt idx="23">
                  <c:v>96.8665</c:v>
                </c:pt>
                <c:pt idx="24">
                  <c:v>97.5961</c:v>
                </c:pt>
                <c:pt idx="25">
                  <c:v>98.1112</c:v>
                </c:pt>
                <c:pt idx="26">
                  <c:v>97.2594</c:v>
                </c:pt>
                <c:pt idx="27">
                  <c:v>96.7232</c:v>
                </c:pt>
                <c:pt idx="28">
                  <c:v>96.7662</c:v>
                </c:pt>
                <c:pt idx="29">
                  <c:v>96.9003</c:v>
                </c:pt>
                <c:pt idx="30">
                  <c:v>96.281</c:v>
                </c:pt>
                <c:pt idx="31">
                  <c:v>95.6216</c:v>
                </c:pt>
                <c:pt idx="32">
                  <c:v>95.5956</c:v>
                </c:pt>
                <c:pt idx="33">
                  <c:v>96.6784</c:v>
                </c:pt>
                <c:pt idx="34">
                  <c:v>95.4625</c:v>
                </c:pt>
                <c:pt idx="35">
                  <c:v>95.3326</c:v>
                </c:pt>
                <c:pt idx="36">
                  <c:v>95.4037</c:v>
                </c:pt>
                <c:pt idx="37">
                  <c:v>92.8924</c:v>
                </c:pt>
                <c:pt idx="38">
                  <c:v>89.7543</c:v>
                </c:pt>
                <c:pt idx="39">
                  <c:v>93.4799</c:v>
                </c:pt>
                <c:pt idx="40">
                  <c:v>95.4704</c:v>
                </c:pt>
                <c:pt idx="41">
                  <c:v>93.8339</c:v>
                </c:pt>
                <c:pt idx="42">
                  <c:v>93.9281</c:v>
                </c:pt>
                <c:pt idx="43">
                  <c:v>94.6917</c:v>
                </c:pt>
                <c:pt idx="44">
                  <c:v>91.8555</c:v>
                </c:pt>
                <c:pt idx="45">
                  <c:v>92.4385</c:v>
                </c:pt>
                <c:pt idx="46">
                  <c:v>93.2127</c:v>
                </c:pt>
                <c:pt idx="47">
                  <c:v>94.5117</c:v>
                </c:pt>
                <c:pt idx="48">
                  <c:v>95.5929</c:v>
                </c:pt>
                <c:pt idx="49">
                  <c:v>95.1104</c:v>
                </c:pt>
                <c:pt idx="50">
                  <c:v>95.6301</c:v>
                </c:pt>
                <c:pt idx="51">
                  <c:v>95.3437</c:v>
                </c:pt>
                <c:pt idx="52">
                  <c:v>95.0186</c:v>
                </c:pt>
                <c:pt idx="53">
                  <c:v>95.7925</c:v>
                </c:pt>
                <c:pt idx="54">
                  <c:v>94.9193</c:v>
                </c:pt>
                <c:pt idx="55">
                  <c:v>95.8673</c:v>
                </c:pt>
                <c:pt idx="56">
                  <c:v>96.7247</c:v>
                </c:pt>
                <c:pt idx="57">
                  <c:v>96.4424</c:v>
                </c:pt>
                <c:pt idx="58">
                  <c:v>96.5799</c:v>
                </c:pt>
                <c:pt idx="59">
                  <c:v>96.1339</c:v>
                </c:pt>
                <c:pt idx="60">
                  <c:v>95.8076</c:v>
                </c:pt>
                <c:pt idx="61">
                  <c:v>95.7336</c:v>
                </c:pt>
                <c:pt idx="62">
                  <c:v>94.5457</c:v>
                </c:pt>
                <c:pt idx="63">
                  <c:v>93.5561</c:v>
                </c:pt>
                <c:pt idx="64">
                  <c:v>92.2719</c:v>
                </c:pt>
                <c:pt idx="65">
                  <c:v>93.4703</c:v>
                </c:pt>
                <c:pt idx="66">
                  <c:v>93.5598</c:v>
                </c:pt>
                <c:pt idx="67">
                  <c:v>93.4093</c:v>
                </c:pt>
                <c:pt idx="68">
                  <c:v>93.0079</c:v>
                </c:pt>
                <c:pt idx="69">
                  <c:v>92.3839</c:v>
                </c:pt>
                <c:pt idx="70">
                  <c:v>93.3328</c:v>
                </c:pt>
                <c:pt idx="71">
                  <c:v>93.6552</c:v>
                </c:pt>
                <c:pt idx="72">
                  <c:v>93.6498</c:v>
                </c:pt>
                <c:pt idx="73">
                  <c:v>93.6642</c:v>
                </c:pt>
                <c:pt idx="74">
                  <c:v>94.6213</c:v>
                </c:pt>
                <c:pt idx="75">
                  <c:v>96.7342</c:v>
                </c:pt>
                <c:pt idx="76">
                  <c:v>99.2581</c:v>
                </c:pt>
                <c:pt idx="77">
                  <c:v>99.6997</c:v>
                </c:pt>
                <c:pt idx="78">
                  <c:v>98.2116</c:v>
                </c:pt>
                <c:pt idx="79">
                  <c:v>97.6204</c:v>
                </c:pt>
                <c:pt idx="80">
                  <c:v>98.1497</c:v>
                </c:pt>
                <c:pt idx="81">
                  <c:v>99.3914</c:v>
                </c:pt>
                <c:pt idx="82">
                  <c:v>101.5592</c:v>
                </c:pt>
                <c:pt idx="83">
                  <c:v>101.8076</c:v>
                </c:pt>
                <c:pt idx="84">
                  <c:v>102.8185</c:v>
                </c:pt>
                <c:pt idx="85">
                  <c:v>102.2834</c:v>
                </c:pt>
                <c:pt idx="86">
                  <c:v>102.8194</c:v>
                </c:pt>
                <c:pt idx="87">
                  <c:v>102.1736</c:v>
                </c:pt>
                <c:pt idx="88">
                  <c:v>101.923</c:v>
                </c:pt>
                <c:pt idx="89">
                  <c:v>101.6826</c:v>
                </c:pt>
                <c:pt idx="90">
                  <c:v>100.3405</c:v>
                </c:pt>
                <c:pt idx="91">
                  <c:v>99.3212</c:v>
                </c:pt>
                <c:pt idx="92">
                  <c:v>96.3748</c:v>
                </c:pt>
                <c:pt idx="93">
                  <c:v>98.71</c:v>
                </c:pt>
                <c:pt idx="94">
                  <c:v>99.1571</c:v>
                </c:pt>
                <c:pt idx="95">
                  <c:v>100.4182</c:v>
                </c:pt>
                <c:pt idx="96">
                  <c:v>99.9392</c:v>
                </c:pt>
                <c:pt idx="97">
                  <c:v>100.3741</c:v>
                </c:pt>
                <c:pt idx="98">
                  <c:v>100.5489</c:v>
                </c:pt>
                <c:pt idx="99">
                  <c:v>100.6848</c:v>
                </c:pt>
                <c:pt idx="100">
                  <c:v>100.9654</c:v>
                </c:pt>
                <c:pt idx="101">
                  <c:v>101.4787</c:v>
                </c:pt>
                <c:pt idx="102">
                  <c:v>101.678</c:v>
                </c:pt>
                <c:pt idx="103">
                  <c:v>102.5358</c:v>
                </c:pt>
                <c:pt idx="104">
                  <c:v>103.4999</c:v>
                </c:pt>
                <c:pt idx="105">
                  <c:v>103.1842</c:v>
                </c:pt>
                <c:pt idx="106">
                  <c:v>103.3328</c:v>
                </c:pt>
                <c:pt idx="107">
                  <c:v>103.5371</c:v>
                </c:pt>
                <c:pt idx="108">
                  <c:v>103.3413</c:v>
                </c:pt>
                <c:pt idx="109">
                  <c:v>103.4772</c:v>
                </c:pt>
                <c:pt idx="110">
                  <c:v>104.3281</c:v>
                </c:pt>
                <c:pt idx="111">
                  <c:v>103.9323</c:v>
                </c:pt>
                <c:pt idx="112">
                  <c:v>104.673</c:v>
                </c:pt>
                <c:pt idx="113">
                  <c:v>104.5938</c:v>
                </c:pt>
                <c:pt idx="114">
                  <c:v>104.8088</c:v>
                </c:pt>
                <c:pt idx="115">
                  <c:v>104.4847</c:v>
                </c:pt>
                <c:pt idx="116">
                  <c:v>105.5844</c:v>
                </c:pt>
                <c:pt idx="117">
                  <c:v>105.9203</c:v>
                </c:pt>
                <c:pt idx="118">
                  <c:v>106.7978</c:v>
                </c:pt>
                <c:pt idx="119">
                  <c:v>106.0078</c:v>
                </c:pt>
                <c:pt idx="120">
                  <c:v>105.1719</c:v>
                </c:pt>
                <c:pt idx="121">
                  <c:v>104.3475</c:v>
                </c:pt>
                <c:pt idx="122">
                  <c:v>106.2771</c:v>
                </c:pt>
                <c:pt idx="123">
                  <c:v>105.5584</c:v>
                </c:pt>
                <c:pt idx="124">
                  <c:v>105.7896</c:v>
                </c:pt>
                <c:pt idx="125">
                  <c:v>104.3678</c:v>
                </c:pt>
                <c:pt idx="126">
                  <c:v>104.612</c:v>
                </c:pt>
                <c:pt idx="127">
                  <c:v>104.0463</c:v>
                </c:pt>
                <c:pt idx="128">
                  <c:v>103.8711</c:v>
                </c:pt>
                <c:pt idx="129">
                  <c:v>104.6278</c:v>
                </c:pt>
                <c:pt idx="130">
                  <c:v>104.9032</c:v>
                </c:pt>
                <c:pt idx="131">
                  <c:v>105.5616</c:v>
                </c:pt>
                <c:pt idx="132">
                  <c:v>105.5554</c:v>
                </c:pt>
                <c:pt idx="133">
                  <c:v>105.4032</c:v>
                </c:pt>
                <c:pt idx="134">
                  <c:v>105.5795</c:v>
                </c:pt>
                <c:pt idx="135">
                  <c:v>105.9406</c:v>
                </c:pt>
                <c:pt idx="136">
                  <c:v>107.9547</c:v>
                </c:pt>
                <c:pt idx="137">
                  <c:v>106.349</c:v>
                </c:pt>
                <c:pt idx="138">
                  <c:v>104.4053</c:v>
                </c:pt>
                <c:pt idx="139">
                  <c:v>105.5252</c:v>
                </c:pt>
                <c:pt idx="140">
                  <c:v>104.7491</c:v>
                </c:pt>
                <c:pt idx="141">
                  <c:v>104.1375</c:v>
                </c:pt>
                <c:pt idx="142">
                  <c:v>104.2384</c:v>
                </c:pt>
                <c:pt idx="143">
                  <c:v>104.3067</c:v>
                </c:pt>
                <c:pt idx="144">
                  <c:v>104.8611</c:v>
                </c:pt>
                <c:pt idx="145">
                  <c:v>104.9287</c:v>
                </c:pt>
                <c:pt idx="146">
                  <c:v>105.4708</c:v>
                </c:pt>
                <c:pt idx="147">
                  <c:v>106.4738</c:v>
                </c:pt>
                <c:pt idx="148">
                  <c:v>105.9941</c:v>
                </c:pt>
                <c:pt idx="149">
                  <c:v>106.4765</c:v>
                </c:pt>
                <c:pt idx="150">
                  <c:v>107.2491</c:v>
                </c:pt>
                <c:pt idx="151">
                  <c:v>109.0806</c:v>
                </c:pt>
                <c:pt idx="152">
                  <c:v>111.3714</c:v>
                </c:pt>
                <c:pt idx="153">
                  <c:v>119.617</c:v>
                </c:pt>
                <c:pt idx="154">
                  <c:v>114.3737</c:v>
                </c:pt>
                <c:pt idx="155">
                  <c:v>111.9574</c:v>
                </c:pt>
                <c:pt idx="156">
                  <c:v>110.846</c:v>
                </c:pt>
                <c:pt idx="157">
                  <c:v>111.5383</c:v>
                </c:pt>
                <c:pt idx="158">
                  <c:v>110.5599</c:v>
                </c:pt>
                <c:pt idx="159">
                  <c:v>107.3211</c:v>
                </c:pt>
                <c:pt idx="160">
                  <c:v>105.9521</c:v>
                </c:pt>
                <c:pt idx="161">
                  <c:v>106.4761</c:v>
                </c:pt>
                <c:pt idx="162">
                  <c:v>107.7237</c:v>
                </c:pt>
                <c:pt idx="163">
                  <c:v>112.2378</c:v>
                </c:pt>
                <c:pt idx="164">
                  <c:v>109.1915</c:v>
                </c:pt>
                <c:pt idx="165">
                  <c:v>109.0857</c:v>
                </c:pt>
                <c:pt idx="166">
                  <c:v>109.3779</c:v>
                </c:pt>
                <c:pt idx="167">
                  <c:v>109.4522</c:v>
                </c:pt>
                <c:pt idx="168">
                  <c:v>109.354</c:v>
                </c:pt>
                <c:pt idx="169">
                  <c:v>107.9417</c:v>
                </c:pt>
                <c:pt idx="170">
                  <c:v>107.7287</c:v>
                </c:pt>
                <c:pt idx="171">
                  <c:v>105.183</c:v>
                </c:pt>
                <c:pt idx="172">
                  <c:v>103.9252</c:v>
                </c:pt>
                <c:pt idx="173">
                  <c:v>103.9252</c:v>
                </c:pt>
                <c:pt idx="174">
                  <c:v>102.5386</c:v>
                </c:pt>
                <c:pt idx="175">
                  <c:v>107.0392</c:v>
                </c:pt>
                <c:pt idx="176">
                  <c:v>112.1616</c:v>
                </c:pt>
                <c:pt idx="177">
                  <c:v>113.6462</c:v>
                </c:pt>
                <c:pt idx="178">
                  <c:v>113.6462</c:v>
                </c:pt>
                <c:pt idx="179">
                  <c:v>114.0527</c:v>
                </c:pt>
                <c:pt idx="180">
                  <c:v>113.6936</c:v>
                </c:pt>
                <c:pt idx="181">
                  <c:v>111.7357</c:v>
                </c:pt>
                <c:pt idx="182">
                  <c:v>110.7267</c:v>
                </c:pt>
                <c:pt idx="183">
                  <c:v>108.4129</c:v>
                </c:pt>
                <c:pt idx="184">
                  <c:v>105.982</c:v>
                </c:pt>
                <c:pt idx="185">
                  <c:v>104.8012</c:v>
                </c:pt>
                <c:pt idx="186">
                  <c:v>105.0802</c:v>
                </c:pt>
                <c:pt idx="187">
                  <c:v>106.2393</c:v>
                </c:pt>
                <c:pt idx="188">
                  <c:v>105.9406</c:v>
                </c:pt>
                <c:pt idx="189">
                  <c:v>105.9665</c:v>
                </c:pt>
                <c:pt idx="190">
                  <c:v>105.3278</c:v>
                </c:pt>
                <c:pt idx="191">
                  <c:v>105.5652</c:v>
                </c:pt>
                <c:pt idx="192">
                  <c:v>103.7451</c:v>
                </c:pt>
                <c:pt idx="193">
                  <c:v>103.4137</c:v>
                </c:pt>
                <c:pt idx="194">
                  <c:v>104.0011</c:v>
                </c:pt>
                <c:pt idx="195">
                  <c:v>103.4709</c:v>
                </c:pt>
                <c:pt idx="196">
                  <c:v>102.5753</c:v>
                </c:pt>
                <c:pt idx="197">
                  <c:v>102.8378</c:v>
                </c:pt>
                <c:pt idx="198">
                  <c:v>103.6791</c:v>
                </c:pt>
                <c:pt idx="199">
                  <c:v>102.5939</c:v>
                </c:pt>
                <c:pt idx="200">
                  <c:v>102.7856</c:v>
                </c:pt>
                <c:pt idx="201">
                  <c:v>102.8872</c:v>
                </c:pt>
                <c:pt idx="202">
                  <c:v>103.4158</c:v>
                </c:pt>
                <c:pt idx="203">
                  <c:v>101.6879</c:v>
                </c:pt>
                <c:pt idx="204">
                  <c:v>100.1954</c:v>
                </c:pt>
                <c:pt idx="205">
                  <c:v>100.2125</c:v>
                </c:pt>
                <c:pt idx="206">
                  <c:v>99.8026</c:v>
                </c:pt>
                <c:pt idx="207">
                  <c:v>98.8859</c:v>
                </c:pt>
                <c:pt idx="208">
                  <c:v>97.4591</c:v>
                </c:pt>
                <c:pt idx="209">
                  <c:v>94.1102</c:v>
                </c:pt>
                <c:pt idx="210">
                  <c:v>96.547</c:v>
                </c:pt>
                <c:pt idx="211">
                  <c:v>95.8875</c:v>
                </c:pt>
                <c:pt idx="212">
                  <c:v>95.9301</c:v>
                </c:pt>
                <c:pt idx="213">
                  <c:v>93.1646</c:v>
                </c:pt>
                <c:pt idx="214">
                  <c:v>92.5423</c:v>
                </c:pt>
                <c:pt idx="215">
                  <c:v>92.7882</c:v>
                </c:pt>
                <c:pt idx="216">
                  <c:v>91.8656</c:v>
                </c:pt>
                <c:pt idx="217">
                  <c:v>90.9127</c:v>
                </c:pt>
                <c:pt idx="218">
                  <c:v>91.2228</c:v>
                </c:pt>
                <c:pt idx="219">
                  <c:v>90.7493</c:v>
                </c:pt>
                <c:pt idx="220">
                  <c:v>93.0801</c:v>
                </c:pt>
                <c:pt idx="221">
                  <c:v>93.8977</c:v>
                </c:pt>
                <c:pt idx="222">
                  <c:v>94.1159</c:v>
                </c:pt>
                <c:pt idx="223">
                  <c:v>96.5262</c:v>
                </c:pt>
                <c:pt idx="224">
                  <c:v>96.5507</c:v>
                </c:pt>
                <c:pt idx="225">
                  <c:v>96.1996</c:v>
                </c:pt>
                <c:pt idx="226">
                  <c:v>95.0991</c:v>
                </c:pt>
                <c:pt idx="227">
                  <c:v>93.4259</c:v>
                </c:pt>
                <c:pt idx="228">
                  <c:v>95.2399</c:v>
                </c:pt>
                <c:pt idx="229">
                  <c:v>93.7603</c:v>
                </c:pt>
                <c:pt idx="230">
                  <c:v>92.7969</c:v>
                </c:pt>
                <c:pt idx="231">
                  <c:v>91.14</c:v>
                </c:pt>
                <c:pt idx="232">
                  <c:v>89.4375</c:v>
                </c:pt>
                <c:pt idx="233">
                  <c:v>91.2853</c:v>
                </c:pt>
                <c:pt idx="234">
                  <c:v>92.1182</c:v>
                </c:pt>
                <c:pt idx="235">
                  <c:v>91.3361</c:v>
                </c:pt>
                <c:pt idx="236">
                  <c:v>90.3998</c:v>
                </c:pt>
                <c:pt idx="237">
                  <c:v>91.1833</c:v>
                </c:pt>
                <c:pt idx="238">
                  <c:v>90.6497</c:v>
                </c:pt>
                <c:pt idx="239">
                  <c:v>90.9192</c:v>
                </c:pt>
                <c:pt idx="240">
                  <c:v>91.9415</c:v>
                </c:pt>
                <c:pt idx="241">
                  <c:v>91.547</c:v>
                </c:pt>
                <c:pt idx="242">
                  <c:v>91.4839</c:v>
                </c:pt>
                <c:pt idx="243">
                  <c:v>91.4661</c:v>
                </c:pt>
                <c:pt idx="244">
                  <c:v>93.508</c:v>
                </c:pt>
                <c:pt idx="245">
                  <c:v>93.677</c:v>
                </c:pt>
                <c:pt idx="246">
                  <c:v>94.0974</c:v>
                </c:pt>
                <c:pt idx="247">
                  <c:v>93.9438</c:v>
                </c:pt>
                <c:pt idx="248">
                  <c:v>95.2348</c:v>
                </c:pt>
                <c:pt idx="249">
                  <c:v>94.1958</c:v>
                </c:pt>
                <c:pt idx="250">
                  <c:v>94.8466</c:v>
                </c:pt>
                <c:pt idx="251">
                  <c:v>93.4978</c:v>
                </c:pt>
                <c:pt idx="252">
                  <c:v>93.5127</c:v>
                </c:pt>
                <c:pt idx="253">
                  <c:v>94.4749</c:v>
                </c:pt>
                <c:pt idx="254">
                  <c:v>92.9323</c:v>
                </c:pt>
                <c:pt idx="255">
                  <c:v>92.9323</c:v>
                </c:pt>
                <c:pt idx="256">
                  <c:v>93.1379</c:v>
                </c:pt>
                <c:pt idx="257">
                  <c:v>93.6605</c:v>
                </c:pt>
                <c:pt idx="258">
                  <c:v>94.6023</c:v>
                </c:pt>
                <c:pt idx="259">
                  <c:v>94.6845</c:v>
                </c:pt>
                <c:pt idx="260">
                  <c:v>94.1881</c:v>
                </c:pt>
                <c:pt idx="261">
                  <c:v>94.5027</c:v>
                </c:pt>
                <c:pt idx="262">
                  <c:v>93.3732</c:v>
                </c:pt>
                <c:pt idx="263">
                  <c:v>93.2136</c:v>
                </c:pt>
                <c:pt idx="264">
                  <c:v>92.3674</c:v>
                </c:pt>
                <c:pt idx="265">
                  <c:v>94.0785</c:v>
                </c:pt>
                <c:pt idx="266">
                  <c:v>91.85</c:v>
                </c:pt>
                <c:pt idx="267">
                  <c:v>92.0445</c:v>
                </c:pt>
                <c:pt idx="268">
                  <c:v>92.219</c:v>
                </c:pt>
                <c:pt idx="269">
                  <c:v>93.0395</c:v>
                </c:pt>
                <c:pt idx="270">
                  <c:v>94.3738</c:v>
                </c:pt>
                <c:pt idx="271">
                  <c:v>89.8684</c:v>
                </c:pt>
                <c:pt idx="272">
                  <c:v>89.6908</c:v>
                </c:pt>
                <c:pt idx="273">
                  <c:v>90.1286</c:v>
                </c:pt>
                <c:pt idx="274">
                  <c:v>90.0554</c:v>
                </c:pt>
                <c:pt idx="275">
                  <c:v>90.025</c:v>
                </c:pt>
                <c:pt idx="276">
                  <c:v>90.2813</c:v>
                </c:pt>
                <c:pt idx="277">
                  <c:v>90.9932</c:v>
                </c:pt>
                <c:pt idx="278">
                  <c:v>90.6146</c:v>
                </c:pt>
                <c:pt idx="279">
                  <c:v>89.8615</c:v>
                </c:pt>
                <c:pt idx="280">
                  <c:v>90.1889</c:v>
                </c:pt>
                <c:pt idx="281">
                  <c:v>90.7915</c:v>
                </c:pt>
                <c:pt idx="282">
                  <c:v>91.0156</c:v>
                </c:pt>
                <c:pt idx="283">
                  <c:v>90.1335</c:v>
                </c:pt>
                <c:pt idx="284">
                  <c:v>89.2717</c:v>
                </c:pt>
                <c:pt idx="285">
                  <c:v>89.2591</c:v>
                </c:pt>
                <c:pt idx="286">
                  <c:v>90.6264</c:v>
                </c:pt>
                <c:pt idx="287">
                  <c:v>89.9724</c:v>
                </c:pt>
                <c:pt idx="288">
                  <c:v>90.6106</c:v>
                </c:pt>
                <c:pt idx="289">
                  <c:v>90.944</c:v>
                </c:pt>
                <c:pt idx="290">
                  <c:v>90.2294</c:v>
                </c:pt>
                <c:pt idx="291">
                  <c:v>90.1272</c:v>
                </c:pt>
                <c:pt idx="292">
                  <c:v>89.6085</c:v>
                </c:pt>
                <c:pt idx="293">
                  <c:v>91.1424</c:v>
                </c:pt>
                <c:pt idx="294">
                  <c:v>92.3705</c:v>
                </c:pt>
                <c:pt idx="295">
                  <c:v>92.1461</c:v>
                </c:pt>
                <c:pt idx="296">
                  <c:v>91.1422</c:v>
                </c:pt>
                <c:pt idx="297">
                  <c:v>90.7752</c:v>
                </c:pt>
                <c:pt idx="298">
                  <c:v>90.5144</c:v>
                </c:pt>
                <c:pt idx="299">
                  <c:v>89.8844</c:v>
                </c:pt>
                <c:pt idx="300">
                  <c:v>90.3928</c:v>
                </c:pt>
                <c:pt idx="301">
                  <c:v>90.5145</c:v>
                </c:pt>
                <c:pt idx="302">
                  <c:v>91.0483</c:v>
                </c:pt>
                <c:pt idx="303">
                  <c:v>90.9344</c:v>
                </c:pt>
                <c:pt idx="304">
                  <c:v>92.2006</c:v>
                </c:pt>
                <c:pt idx="305">
                  <c:v>91.9864</c:v>
                </c:pt>
                <c:pt idx="306">
                  <c:v>91.7951</c:v>
                </c:pt>
                <c:pt idx="307">
                  <c:v>92.4613</c:v>
                </c:pt>
                <c:pt idx="308">
                  <c:v>92.728</c:v>
                </c:pt>
                <c:pt idx="309">
                  <c:v>92.933</c:v>
                </c:pt>
                <c:pt idx="310">
                  <c:v>92.7558</c:v>
                </c:pt>
                <c:pt idx="311">
                  <c:v>92.3821</c:v>
                </c:pt>
                <c:pt idx="312">
                  <c:v>91.4101</c:v>
                </c:pt>
                <c:pt idx="313">
                  <c:v>91.6153</c:v>
                </c:pt>
                <c:pt idx="314">
                  <c:v>90.9911</c:v>
                </c:pt>
                <c:pt idx="315">
                  <c:v>91.2095</c:v>
                </c:pt>
                <c:pt idx="316">
                  <c:v>91.2482</c:v>
                </c:pt>
                <c:pt idx="317">
                  <c:v>90.7076</c:v>
                </c:pt>
                <c:pt idx="318">
                  <c:v>90.7427</c:v>
                </c:pt>
                <c:pt idx="319">
                  <c:v>90.4405</c:v>
                </c:pt>
                <c:pt idx="320">
                  <c:v>91.433</c:v>
                </c:pt>
                <c:pt idx="321">
                  <c:v>91.5037</c:v>
                </c:pt>
                <c:pt idx="322">
                  <c:v>91.9416</c:v>
                </c:pt>
                <c:pt idx="323">
                  <c:v>91.8186</c:v>
                </c:pt>
                <c:pt idx="324">
                  <c:v>93.3672</c:v>
                </c:pt>
                <c:pt idx="325">
                  <c:v>93.0816</c:v>
                </c:pt>
                <c:pt idx="326">
                  <c:v>94.3802</c:v>
                </c:pt>
                <c:pt idx="327">
                  <c:v>95.1183</c:v>
                </c:pt>
                <c:pt idx="328">
                  <c:v>92.8446</c:v>
                </c:pt>
                <c:pt idx="329">
                  <c:v>91.6785</c:v>
                </c:pt>
                <c:pt idx="330">
                  <c:v>92.4361</c:v>
                </c:pt>
                <c:pt idx="331">
                  <c:v>92.4293</c:v>
                </c:pt>
                <c:pt idx="332">
                  <c:v>92.4702</c:v>
                </c:pt>
                <c:pt idx="333">
                  <c:v>93.2737</c:v>
                </c:pt>
                <c:pt idx="334">
                  <c:v>92.0503</c:v>
                </c:pt>
                <c:pt idx="335">
                  <c:v>93.2481</c:v>
                </c:pt>
                <c:pt idx="336">
                  <c:v>92.6021</c:v>
                </c:pt>
                <c:pt idx="337">
                  <c:v>92.9183</c:v>
                </c:pt>
                <c:pt idx="338">
                  <c:v>93.1701</c:v>
                </c:pt>
                <c:pt idx="339">
                  <c:v>92.9965</c:v>
                </c:pt>
                <c:pt idx="340">
                  <c:v>93.8717</c:v>
                </c:pt>
                <c:pt idx="341">
                  <c:v>93.6077</c:v>
                </c:pt>
                <c:pt idx="342">
                  <c:v>93.8178</c:v>
                </c:pt>
                <c:pt idx="343">
                  <c:v>93.7414</c:v>
                </c:pt>
                <c:pt idx="344">
                  <c:v>93.2515</c:v>
                </c:pt>
                <c:pt idx="345">
                  <c:v>94.3886</c:v>
                </c:pt>
                <c:pt idx="346">
                  <c:v>94.3384</c:v>
                </c:pt>
                <c:pt idx="347">
                  <c:v>93.7565</c:v>
                </c:pt>
                <c:pt idx="348">
                  <c:v>93.3817</c:v>
                </c:pt>
                <c:pt idx="349">
                  <c:v>93.9476</c:v>
                </c:pt>
                <c:pt idx="350">
                  <c:v>94.1083</c:v>
                </c:pt>
                <c:pt idx="351">
                  <c:v>94.3655</c:v>
                </c:pt>
                <c:pt idx="352">
                  <c:v>93.9455</c:v>
                </c:pt>
                <c:pt idx="353">
                  <c:v>94.3286</c:v>
                </c:pt>
                <c:pt idx="354">
                  <c:v>94.5926</c:v>
                </c:pt>
                <c:pt idx="355">
                  <c:v>95.4178</c:v>
                </c:pt>
                <c:pt idx="356">
                  <c:v>96.7201</c:v>
                </c:pt>
                <c:pt idx="357">
                  <c:v>98.1047</c:v>
                </c:pt>
                <c:pt idx="358">
                  <c:v>98.9215</c:v>
                </c:pt>
                <c:pt idx="359">
                  <c:v>99.4242</c:v>
                </c:pt>
                <c:pt idx="360">
                  <c:v>98.331</c:v>
                </c:pt>
                <c:pt idx="361">
                  <c:v>97.7679</c:v>
                </c:pt>
                <c:pt idx="362">
                  <c:v>98.6087</c:v>
                </c:pt>
                <c:pt idx="363">
                  <c:v>99.5401</c:v>
                </c:pt>
                <c:pt idx="364">
                  <c:v>98.0353</c:v>
                </c:pt>
                <c:pt idx="365">
                  <c:v>97.8266</c:v>
                </c:pt>
                <c:pt idx="366">
                  <c:v>98.4139</c:v>
                </c:pt>
                <c:pt idx="367">
                  <c:v>98.5851</c:v>
                </c:pt>
                <c:pt idx="368">
                  <c:v>98.3519</c:v>
                </c:pt>
                <c:pt idx="369">
                  <c:v>98.0243</c:v>
                </c:pt>
                <c:pt idx="370">
                  <c:v>97.8036</c:v>
                </c:pt>
                <c:pt idx="371">
                  <c:v>97.5643</c:v>
                </c:pt>
                <c:pt idx="372">
                  <c:v>96.9375</c:v>
                </c:pt>
                <c:pt idx="373">
                  <c:v>95.5456</c:v>
                </c:pt>
                <c:pt idx="374">
                  <c:v>95.4065</c:v>
                </c:pt>
                <c:pt idx="375">
                  <c:v>96.6831</c:v>
                </c:pt>
                <c:pt idx="376">
                  <c:v>97.3935</c:v>
                </c:pt>
                <c:pt idx="377">
                  <c:v>95.7323</c:v>
                </c:pt>
                <c:pt idx="378">
                  <c:v>94.6531</c:v>
                </c:pt>
                <c:pt idx="379">
                  <c:v>94.0997</c:v>
                </c:pt>
                <c:pt idx="380">
                  <c:v>94.5219</c:v>
                </c:pt>
                <c:pt idx="381">
                  <c:v>92.9505</c:v>
                </c:pt>
                <c:pt idx="382">
                  <c:v>92.4662</c:v>
                </c:pt>
                <c:pt idx="383">
                  <c:v>91.1903</c:v>
                </c:pt>
                <c:pt idx="384">
                  <c:v>93.5036</c:v>
                </c:pt>
                <c:pt idx="385">
                  <c:v>94.7985</c:v>
                </c:pt>
                <c:pt idx="386">
                  <c:v>94.2226</c:v>
                </c:pt>
                <c:pt idx="387">
                  <c:v>94.4317</c:v>
                </c:pt>
                <c:pt idx="388">
                  <c:v>94.779</c:v>
                </c:pt>
                <c:pt idx="389">
                  <c:v>94.567</c:v>
                </c:pt>
                <c:pt idx="390">
                  <c:v>93.0081</c:v>
                </c:pt>
                <c:pt idx="391">
                  <c:v>92.2114</c:v>
                </c:pt>
                <c:pt idx="392">
                  <c:v>92.3937</c:v>
                </c:pt>
                <c:pt idx="393">
                  <c:v>93.312</c:v>
                </c:pt>
                <c:pt idx="394">
                  <c:v>92.3386</c:v>
                </c:pt>
                <c:pt idx="395">
                  <c:v>93.2594</c:v>
                </c:pt>
                <c:pt idx="396">
                  <c:v>93.2621</c:v>
                </c:pt>
                <c:pt idx="397">
                  <c:v>92.9703</c:v>
                </c:pt>
                <c:pt idx="398">
                  <c:v>93.3817</c:v>
                </c:pt>
                <c:pt idx="399">
                  <c:v>93.672</c:v>
                </c:pt>
                <c:pt idx="400">
                  <c:v>93.6794</c:v>
                </c:pt>
                <c:pt idx="401">
                  <c:v>93.8731</c:v>
                </c:pt>
                <c:pt idx="402">
                  <c:v>93.8616</c:v>
                </c:pt>
                <c:pt idx="403">
                  <c:v>94.2384</c:v>
                </c:pt>
                <c:pt idx="404">
                  <c:v>93.9308</c:v>
                </c:pt>
                <c:pt idx="405">
                  <c:v>93.8911</c:v>
                </c:pt>
                <c:pt idx="406">
                  <c:v>94.2338</c:v>
                </c:pt>
                <c:pt idx="407">
                  <c:v>93.9011</c:v>
                </c:pt>
                <c:pt idx="408">
                  <c:v>93.1266</c:v>
                </c:pt>
                <c:pt idx="409">
                  <c:v>92.381</c:v>
                </c:pt>
                <c:pt idx="410">
                  <c:v>91.1207</c:v>
                </c:pt>
                <c:pt idx="411">
                  <c:v>90.2761</c:v>
                </c:pt>
                <c:pt idx="412">
                  <c:v>91.1704</c:v>
                </c:pt>
                <c:pt idx="413">
                  <c:v>91.0685</c:v>
                </c:pt>
                <c:pt idx="414">
                  <c:v>90.814</c:v>
                </c:pt>
                <c:pt idx="415">
                  <c:v>89.7976</c:v>
                </c:pt>
                <c:pt idx="416">
                  <c:v>90.3942</c:v>
                </c:pt>
                <c:pt idx="417">
                  <c:v>90.0955</c:v>
                </c:pt>
                <c:pt idx="418">
                  <c:v>90.3767</c:v>
                </c:pt>
                <c:pt idx="419">
                  <c:v>89.0689</c:v>
                </c:pt>
                <c:pt idx="420">
                  <c:v>89.0781</c:v>
                </c:pt>
                <c:pt idx="421">
                  <c:v>88.9894</c:v>
                </c:pt>
                <c:pt idx="422">
                  <c:v>89.7178</c:v>
                </c:pt>
                <c:pt idx="423">
                  <c:v>91.6808</c:v>
                </c:pt>
                <c:pt idx="424">
                  <c:v>93.3506</c:v>
                </c:pt>
                <c:pt idx="425">
                  <c:v>93.4385</c:v>
                </c:pt>
                <c:pt idx="426">
                  <c:v>93.6002</c:v>
                </c:pt>
                <c:pt idx="427">
                  <c:v>93.6304</c:v>
                </c:pt>
                <c:pt idx="428">
                  <c:v>94.6238</c:v>
                </c:pt>
                <c:pt idx="429">
                  <c:v>93.8161</c:v>
                </c:pt>
                <c:pt idx="430">
                  <c:v>94.2656</c:v>
                </c:pt>
                <c:pt idx="431">
                  <c:v>92.52</c:v>
                </c:pt>
                <c:pt idx="432">
                  <c:v>91.8451</c:v>
                </c:pt>
                <c:pt idx="433">
                  <c:v>93.0503</c:v>
                </c:pt>
                <c:pt idx="434">
                  <c:v>93.0503</c:v>
                </c:pt>
                <c:pt idx="435">
                  <c:v>92.3945</c:v>
                </c:pt>
                <c:pt idx="436">
                  <c:v>92.018</c:v>
                </c:pt>
                <c:pt idx="437">
                  <c:v>93.4803</c:v>
                </c:pt>
                <c:pt idx="438">
                  <c:v>92.8992</c:v>
                </c:pt>
                <c:pt idx="439">
                  <c:v>92.8992</c:v>
                </c:pt>
                <c:pt idx="440">
                  <c:v>92.9544</c:v>
                </c:pt>
                <c:pt idx="441">
                  <c:v>94.6309</c:v>
                </c:pt>
                <c:pt idx="442">
                  <c:v>94.4453</c:v>
                </c:pt>
                <c:pt idx="443">
                  <c:v>94.2175</c:v>
                </c:pt>
                <c:pt idx="444">
                  <c:v>93.9154</c:v>
                </c:pt>
                <c:pt idx="445">
                  <c:v>92.0513</c:v>
                </c:pt>
                <c:pt idx="446">
                  <c:v>91.4701</c:v>
                </c:pt>
                <c:pt idx="447">
                  <c:v>91.7517</c:v>
                </c:pt>
                <c:pt idx="448">
                  <c:v>91.6476</c:v>
                </c:pt>
                <c:pt idx="449">
                  <c:v>91.0758</c:v>
                </c:pt>
                <c:pt idx="450">
                  <c:v>90.1512</c:v>
                </c:pt>
                <c:pt idx="451">
                  <c:v>90.5011</c:v>
                </c:pt>
                <c:pt idx="452">
                  <c:v>91.0973</c:v>
                </c:pt>
                <c:pt idx="453">
                  <c:v>89.8422</c:v>
                </c:pt>
                <c:pt idx="454">
                  <c:v>89.116</c:v>
                </c:pt>
                <c:pt idx="455">
                  <c:v>88.7692</c:v>
                </c:pt>
                <c:pt idx="456">
                  <c:v>90.9152</c:v>
                </c:pt>
                <c:pt idx="457">
                  <c:v>91.1341</c:v>
                </c:pt>
                <c:pt idx="458">
                  <c:v>91.2223</c:v>
                </c:pt>
                <c:pt idx="459">
                  <c:v>89.7696</c:v>
                </c:pt>
                <c:pt idx="460">
                  <c:v>90.5622</c:v>
                </c:pt>
                <c:pt idx="461">
                  <c:v>90.2973</c:v>
                </c:pt>
                <c:pt idx="462">
                  <c:v>91.0192</c:v>
                </c:pt>
                <c:pt idx="463">
                  <c:v>89.9446</c:v>
                </c:pt>
                <c:pt idx="464">
                  <c:v>90.5075</c:v>
                </c:pt>
                <c:pt idx="465">
                  <c:v>91.0103</c:v>
                </c:pt>
                <c:pt idx="466">
                  <c:v>92.0837</c:v>
                </c:pt>
                <c:pt idx="467">
                  <c:v>92.1885</c:v>
                </c:pt>
                <c:pt idx="468">
                  <c:v>91.4368</c:v>
                </c:pt>
                <c:pt idx="469">
                  <c:v>91.782</c:v>
                </c:pt>
                <c:pt idx="470">
                  <c:v>90.7376</c:v>
                </c:pt>
                <c:pt idx="471">
                  <c:v>91.0722</c:v>
                </c:pt>
                <c:pt idx="472">
                  <c:v>90.4466</c:v>
                </c:pt>
                <c:pt idx="473">
                  <c:v>90.7339</c:v>
                </c:pt>
                <c:pt idx="474">
                  <c:v>90.1302</c:v>
                </c:pt>
                <c:pt idx="475">
                  <c:v>90.5537</c:v>
                </c:pt>
                <c:pt idx="476">
                  <c:v>90.7331</c:v>
                </c:pt>
                <c:pt idx="477">
                  <c:v>90.0085</c:v>
                </c:pt>
                <c:pt idx="478">
                  <c:v>90.7241</c:v>
                </c:pt>
                <c:pt idx="479">
                  <c:v>90.9075</c:v>
                </c:pt>
                <c:pt idx="480">
                  <c:v>91.2682</c:v>
                </c:pt>
                <c:pt idx="481">
                  <c:v>90.4909</c:v>
                </c:pt>
                <c:pt idx="482">
                  <c:v>89.9262</c:v>
                </c:pt>
                <c:pt idx="483">
                  <c:v>90.7591</c:v>
                </c:pt>
                <c:pt idx="484">
                  <c:v>91.1214</c:v>
                </c:pt>
                <c:pt idx="485">
                  <c:v>91.4703</c:v>
                </c:pt>
                <c:pt idx="486">
                  <c:v>91.0051</c:v>
                </c:pt>
                <c:pt idx="487">
                  <c:v>92.0987</c:v>
                </c:pt>
                <c:pt idx="488">
                  <c:v>91.4332</c:v>
                </c:pt>
                <c:pt idx="489">
                  <c:v>91.7768</c:v>
                </c:pt>
                <c:pt idx="490">
                  <c:v>91.6665</c:v>
                </c:pt>
                <c:pt idx="491">
                  <c:v>93.3157</c:v>
                </c:pt>
                <c:pt idx="492">
                  <c:v>95.1307</c:v>
                </c:pt>
                <c:pt idx="493">
                  <c:v>96.5612</c:v>
                </c:pt>
                <c:pt idx="494">
                  <c:v>99.1888</c:v>
                </c:pt>
                <c:pt idx="495">
                  <c:v>96.1122</c:v>
                </c:pt>
                <c:pt idx="496">
                  <c:v>95.0591</c:v>
                </c:pt>
                <c:pt idx="497">
                  <c:v>93.203</c:v>
                </c:pt>
                <c:pt idx="498">
                  <c:v>93.746</c:v>
                </c:pt>
                <c:pt idx="499">
                  <c:v>93.7707</c:v>
                </c:pt>
                <c:pt idx="500">
                  <c:v>94.0938</c:v>
                </c:pt>
                <c:pt idx="501">
                  <c:v>93.2146</c:v>
                </c:pt>
                <c:pt idx="502">
                  <c:v>93.6739</c:v>
                </c:pt>
                <c:pt idx="503">
                  <c:v>93.5111</c:v>
                </c:pt>
                <c:pt idx="504">
                  <c:v>92.6391</c:v>
                </c:pt>
                <c:pt idx="505">
                  <c:v>92.6391</c:v>
                </c:pt>
                <c:pt idx="506">
                  <c:v>90.9838</c:v>
                </c:pt>
                <c:pt idx="507">
                  <c:v>90.906</c:v>
                </c:pt>
                <c:pt idx="508">
                  <c:v>91.8643</c:v>
                </c:pt>
                <c:pt idx="509">
                  <c:v>90.701</c:v>
                </c:pt>
                <c:pt idx="510">
                  <c:v>90.3976</c:v>
                </c:pt>
                <c:pt idx="511">
                  <c:v>89.2048</c:v>
                </c:pt>
                <c:pt idx="512">
                  <c:v>89.0104</c:v>
                </c:pt>
                <c:pt idx="513">
                  <c:v>89.0122</c:v>
                </c:pt>
                <c:pt idx="514">
                  <c:v>89.9011</c:v>
                </c:pt>
                <c:pt idx="515">
                  <c:v>89.4911</c:v>
                </c:pt>
                <c:pt idx="516">
                  <c:v>88.4629</c:v>
                </c:pt>
                <c:pt idx="517">
                  <c:v>88.0225</c:v>
                </c:pt>
                <c:pt idx="518">
                  <c:v>88.006</c:v>
                </c:pt>
                <c:pt idx="519">
                  <c:v>88.6816</c:v>
                </c:pt>
                <c:pt idx="520">
                  <c:v>88.0877</c:v>
                </c:pt>
                <c:pt idx="521">
                  <c:v>87.9614</c:v>
                </c:pt>
                <c:pt idx="522">
                  <c:v>88.1746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9079296"/>
        <c:axId val="889080832"/>
      </c:lineChart>
      <c:dateAx>
        <c:axId val="889079296"/>
        <c:scaling>
          <c:orientation val="minMax"/>
        </c:scaling>
        <c:delete val="0"/>
        <c:axPos val="b"/>
        <c:numFmt formatCode="mm/yy" sourceLinked="0"/>
        <c:majorTickMark val="none"/>
        <c:minorTickMark val="none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89080832"/>
        <c:crosses val="autoZero"/>
        <c:auto val="1"/>
        <c:lblOffset val="100"/>
        <c:baseTimeUnit val="days"/>
      </c:dateAx>
      <c:valAx>
        <c:axId val="889080832"/>
        <c:scaling>
          <c:orientation val="minMax"/>
          <c:min val="33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Univers LT Std 55"/>
                <a:cs typeface="Calibri" panose="020F0502020204030204" pitchFamily="34" charset="0"/>
              </a:defRPr>
            </a:pPr>
          </a:p>
        </c:txPr>
        <c:crossAx val="889079296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Calibri" panose="020F0502020204030204" pitchFamily="34" charset="0"/>
              <a:ea typeface="Univers LT Std 55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9371c-429d-4bab-b33e-dc6035733744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Calibri" panose="020F0502020204030204" pitchFamily="34" charset="0"/>
          <a:ea typeface="Univers LT Std 55"/>
          <a:cs typeface="Calibri" panose="020F0502020204030204" pitchFamily="3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2.xml"/><Relationship Id="rId8" Type="http://schemas.openxmlformats.org/officeDocument/2006/relationships/chart" Target="../charts/chart21.xml"/><Relationship Id="rId7" Type="http://schemas.openxmlformats.org/officeDocument/2006/relationships/chart" Target="../charts/chart20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1.xml"/><Relationship Id="rId8" Type="http://schemas.openxmlformats.org/officeDocument/2006/relationships/chart" Target="../charts/chart30.xml"/><Relationship Id="rId7" Type="http://schemas.openxmlformats.org/officeDocument/2006/relationships/chart" Target="../charts/chart29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4" Type="http://schemas.openxmlformats.org/officeDocument/2006/relationships/chart" Target="../charts/chart66.xml"/><Relationship Id="rId43" Type="http://schemas.openxmlformats.org/officeDocument/2006/relationships/chart" Target="../charts/chart65.xml"/><Relationship Id="rId42" Type="http://schemas.openxmlformats.org/officeDocument/2006/relationships/chart" Target="../charts/chart64.xml"/><Relationship Id="rId41" Type="http://schemas.openxmlformats.org/officeDocument/2006/relationships/chart" Target="../charts/chart63.xml"/><Relationship Id="rId40" Type="http://schemas.openxmlformats.org/officeDocument/2006/relationships/chart" Target="../charts/chart62.xml"/><Relationship Id="rId4" Type="http://schemas.openxmlformats.org/officeDocument/2006/relationships/chart" Target="../charts/chart26.xml"/><Relationship Id="rId39" Type="http://schemas.openxmlformats.org/officeDocument/2006/relationships/chart" Target="../charts/chart61.xml"/><Relationship Id="rId38" Type="http://schemas.openxmlformats.org/officeDocument/2006/relationships/chart" Target="../charts/chart60.xml"/><Relationship Id="rId37" Type="http://schemas.openxmlformats.org/officeDocument/2006/relationships/chart" Target="../charts/chart59.xml"/><Relationship Id="rId36" Type="http://schemas.openxmlformats.org/officeDocument/2006/relationships/chart" Target="../charts/chart58.xml"/><Relationship Id="rId35" Type="http://schemas.openxmlformats.org/officeDocument/2006/relationships/chart" Target="../charts/chart57.xml"/><Relationship Id="rId34" Type="http://schemas.openxmlformats.org/officeDocument/2006/relationships/chart" Target="../charts/chart56.xml"/><Relationship Id="rId33" Type="http://schemas.openxmlformats.org/officeDocument/2006/relationships/chart" Target="../charts/chart55.xml"/><Relationship Id="rId32" Type="http://schemas.openxmlformats.org/officeDocument/2006/relationships/chart" Target="../charts/chart54.xml"/><Relationship Id="rId31" Type="http://schemas.openxmlformats.org/officeDocument/2006/relationships/chart" Target="../charts/chart53.xml"/><Relationship Id="rId30" Type="http://schemas.openxmlformats.org/officeDocument/2006/relationships/chart" Target="../charts/chart52.xml"/><Relationship Id="rId3" Type="http://schemas.openxmlformats.org/officeDocument/2006/relationships/chart" Target="../charts/chart25.xml"/><Relationship Id="rId29" Type="http://schemas.openxmlformats.org/officeDocument/2006/relationships/chart" Target="../charts/chart51.xml"/><Relationship Id="rId28" Type="http://schemas.openxmlformats.org/officeDocument/2006/relationships/chart" Target="../charts/chart50.xml"/><Relationship Id="rId27" Type="http://schemas.openxmlformats.org/officeDocument/2006/relationships/chart" Target="../charts/chart49.xml"/><Relationship Id="rId26" Type="http://schemas.openxmlformats.org/officeDocument/2006/relationships/chart" Target="../charts/chart48.xml"/><Relationship Id="rId25" Type="http://schemas.openxmlformats.org/officeDocument/2006/relationships/chart" Target="../charts/chart47.xml"/><Relationship Id="rId24" Type="http://schemas.openxmlformats.org/officeDocument/2006/relationships/chart" Target="../charts/chart46.xml"/><Relationship Id="rId23" Type="http://schemas.openxmlformats.org/officeDocument/2006/relationships/chart" Target="../charts/chart45.xml"/><Relationship Id="rId22" Type="http://schemas.openxmlformats.org/officeDocument/2006/relationships/chart" Target="../charts/chart44.xml"/><Relationship Id="rId21" Type="http://schemas.openxmlformats.org/officeDocument/2006/relationships/chart" Target="../charts/chart43.xml"/><Relationship Id="rId20" Type="http://schemas.openxmlformats.org/officeDocument/2006/relationships/chart" Target="../charts/chart42.xml"/><Relationship Id="rId2" Type="http://schemas.openxmlformats.org/officeDocument/2006/relationships/chart" Target="../charts/chart24.xml"/><Relationship Id="rId19" Type="http://schemas.openxmlformats.org/officeDocument/2006/relationships/chart" Target="../charts/chart41.xml"/><Relationship Id="rId18" Type="http://schemas.openxmlformats.org/officeDocument/2006/relationships/chart" Target="../charts/chart40.xml"/><Relationship Id="rId17" Type="http://schemas.openxmlformats.org/officeDocument/2006/relationships/chart" Target="../charts/chart39.xml"/><Relationship Id="rId16" Type="http://schemas.openxmlformats.org/officeDocument/2006/relationships/chart" Target="../charts/chart38.xml"/><Relationship Id="rId15" Type="http://schemas.openxmlformats.org/officeDocument/2006/relationships/chart" Target="../charts/chart37.xml"/><Relationship Id="rId14" Type="http://schemas.openxmlformats.org/officeDocument/2006/relationships/chart" Target="../charts/chart36.xml"/><Relationship Id="rId13" Type="http://schemas.openxmlformats.org/officeDocument/2006/relationships/chart" Target="../charts/chart35.xml"/><Relationship Id="rId12" Type="http://schemas.openxmlformats.org/officeDocument/2006/relationships/chart" Target="../charts/chart34.xml"/><Relationship Id="rId11" Type="http://schemas.openxmlformats.org/officeDocument/2006/relationships/chart" Target="../charts/chart33.xml"/><Relationship Id="rId10" Type="http://schemas.openxmlformats.org/officeDocument/2006/relationships/chart" Target="../charts/chart32.xml"/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78.xml"/><Relationship Id="rId8" Type="http://schemas.openxmlformats.org/officeDocument/2006/relationships/chart" Target="../charts/chart77.xml"/><Relationship Id="rId7" Type="http://schemas.openxmlformats.org/officeDocument/2006/relationships/chart" Target="../charts/chart76.xml"/><Relationship Id="rId6" Type="http://schemas.openxmlformats.org/officeDocument/2006/relationships/chart" Target="../charts/chart75.xml"/><Relationship Id="rId5" Type="http://schemas.openxmlformats.org/officeDocument/2006/relationships/chart" Target="../charts/chart74.xml"/><Relationship Id="rId4" Type="http://schemas.openxmlformats.org/officeDocument/2006/relationships/chart" Target="../charts/chart73.xml"/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4" Type="http://schemas.openxmlformats.org/officeDocument/2006/relationships/chart" Target="../charts/chart83.xml"/><Relationship Id="rId13" Type="http://schemas.openxmlformats.org/officeDocument/2006/relationships/chart" Target="../charts/chart82.xml"/><Relationship Id="rId12" Type="http://schemas.openxmlformats.org/officeDocument/2006/relationships/chart" Target="../charts/chart81.xml"/><Relationship Id="rId11" Type="http://schemas.openxmlformats.org/officeDocument/2006/relationships/chart" Target="../charts/chart80.xml"/><Relationship Id="rId10" Type="http://schemas.openxmlformats.org/officeDocument/2006/relationships/chart" Target="../charts/chart79.xml"/><Relationship Id="rId1" Type="http://schemas.openxmlformats.org/officeDocument/2006/relationships/chart" Target="../charts/chart7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5.xml"/><Relationship Id="rId8" Type="http://schemas.openxmlformats.org/officeDocument/2006/relationships/chart" Target="../charts/chart94.xml"/><Relationship Id="rId7" Type="http://schemas.openxmlformats.org/officeDocument/2006/relationships/chart" Target="../charts/chart93.xml"/><Relationship Id="rId6" Type="http://schemas.openxmlformats.org/officeDocument/2006/relationships/chart" Target="../charts/chart92.xml"/><Relationship Id="rId5" Type="http://schemas.openxmlformats.org/officeDocument/2006/relationships/chart" Target="../charts/chart91.xml"/><Relationship Id="rId4" Type="http://schemas.openxmlformats.org/officeDocument/2006/relationships/chart" Target="../charts/chart90.xml"/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7" Type="http://schemas.openxmlformats.org/officeDocument/2006/relationships/chart" Target="../charts/chart103.xml"/><Relationship Id="rId16" Type="http://schemas.openxmlformats.org/officeDocument/2006/relationships/chart" Target="../charts/chart102.xml"/><Relationship Id="rId15" Type="http://schemas.openxmlformats.org/officeDocument/2006/relationships/chart" Target="../charts/chart101.xml"/><Relationship Id="rId14" Type="http://schemas.openxmlformats.org/officeDocument/2006/relationships/chart" Target="../charts/chart100.xml"/><Relationship Id="rId13" Type="http://schemas.openxmlformats.org/officeDocument/2006/relationships/chart" Target="../charts/chart99.xml"/><Relationship Id="rId12" Type="http://schemas.openxmlformats.org/officeDocument/2006/relationships/chart" Target="../charts/chart98.xml"/><Relationship Id="rId11" Type="http://schemas.openxmlformats.org/officeDocument/2006/relationships/chart" Target="../charts/chart97.xml"/><Relationship Id="rId10" Type="http://schemas.openxmlformats.org/officeDocument/2006/relationships/chart" Target="../charts/chart96.xml"/><Relationship Id="rId1" Type="http://schemas.openxmlformats.org/officeDocument/2006/relationships/chart" Target="../charts/chart8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1.xml"/><Relationship Id="rId7" Type="http://schemas.openxmlformats.org/officeDocument/2006/relationships/chart" Target="../charts/chart110.xml"/><Relationship Id="rId6" Type="http://schemas.openxmlformats.org/officeDocument/2006/relationships/chart" Target="../charts/chart109.xml"/><Relationship Id="rId5" Type="http://schemas.openxmlformats.org/officeDocument/2006/relationships/chart" Target="../charts/chart108.xml"/><Relationship Id="rId4" Type="http://schemas.openxmlformats.org/officeDocument/2006/relationships/chart" Target="../charts/chart107.xml"/><Relationship Id="rId3" Type="http://schemas.openxmlformats.org/officeDocument/2006/relationships/chart" Target="../charts/chart106.xml"/><Relationship Id="rId2" Type="http://schemas.openxmlformats.org/officeDocument/2006/relationships/chart" Target="../charts/chart105.xml"/><Relationship Id="rId1" Type="http://schemas.openxmlformats.org/officeDocument/2006/relationships/chart" Target="../charts/chart10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3.xml"/><Relationship Id="rId1" Type="http://schemas.openxmlformats.org/officeDocument/2006/relationships/chart" Target="../charts/chart1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42334</xdr:colOff>
      <xdr:row>2</xdr:row>
      <xdr:rowOff>114300</xdr:rowOff>
    </xdr:from>
    <xdr:to>
      <xdr:col>1</xdr:col>
      <xdr:colOff>1438275</xdr:colOff>
      <xdr:row>7</xdr:row>
      <xdr:rowOff>31750</xdr:rowOff>
    </xdr:to>
    <xdr:pic>
      <xdr:nvPicPr>
        <xdr:cNvPr id="2" name="Picture 190" descr="Logo_solid_6in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89990" y="459740"/>
          <a:ext cx="1396365" cy="10960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59</xdr:col>
      <xdr:colOff>133350</xdr:colOff>
      <xdr:row>3</xdr:row>
      <xdr:rowOff>0</xdr:rowOff>
    </xdr:from>
    <xdr:to>
      <xdr:col>67</xdr:col>
      <xdr:colOff>381000</xdr:colOff>
      <xdr:row>3</xdr:row>
      <xdr:rowOff>0</xdr:rowOff>
    </xdr:to>
    <xdr:graphicFrame>
      <xdr:nvGraphicFramePr>
        <xdr:cNvPr id="65400448" name="Chart 10246"/>
        <xdr:cNvGraphicFramePr/>
      </xdr:nvGraphicFramePr>
      <xdr:xfrm>
        <a:off x="58177430" y="571500"/>
        <a:ext cx="4125341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133350</xdr:colOff>
      <xdr:row>3</xdr:row>
      <xdr:rowOff>0</xdr:rowOff>
    </xdr:from>
    <xdr:to>
      <xdr:col>67</xdr:col>
      <xdr:colOff>381000</xdr:colOff>
      <xdr:row>3</xdr:row>
      <xdr:rowOff>0</xdr:rowOff>
    </xdr:to>
    <xdr:graphicFrame>
      <xdr:nvGraphicFramePr>
        <xdr:cNvPr id="65400449" name="Chart 10247"/>
        <xdr:cNvGraphicFramePr/>
      </xdr:nvGraphicFramePr>
      <xdr:xfrm>
        <a:off x="58177430" y="571500"/>
        <a:ext cx="4125341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41222</xdr:colOff>
      <xdr:row>358</xdr:row>
      <xdr:rowOff>178594</xdr:rowOff>
    </xdr:from>
    <xdr:to>
      <xdr:col>43</xdr:col>
      <xdr:colOff>260297</xdr:colOff>
      <xdr:row>371</xdr:row>
      <xdr:rowOff>33331</xdr:rowOff>
    </xdr:to>
    <xdr:graphicFrame>
      <xdr:nvGraphicFramePr>
        <xdr:cNvPr id="25" name="Tigr_Exhibit2517"/>
        <xdr:cNvGraphicFramePr/>
      </xdr:nvGraphicFramePr>
      <xdr:xfrm>
        <a:off x="12263120" y="20561935"/>
        <a:ext cx="4689475" cy="115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181053</xdr:colOff>
      <xdr:row>322</xdr:row>
      <xdr:rowOff>115916</xdr:rowOff>
    </xdr:from>
    <xdr:to>
      <xdr:col>44</xdr:col>
      <xdr:colOff>837032</xdr:colOff>
      <xdr:row>349</xdr:row>
      <xdr:rowOff>93195</xdr:rowOff>
    </xdr:to>
    <xdr:graphicFrame>
      <xdr:nvGraphicFramePr>
        <xdr:cNvPr id="26" name="Tigr_Exhibit2757"/>
        <xdr:cNvGraphicFramePr/>
      </xdr:nvGraphicFramePr>
      <xdr:xfrm>
        <a:off x="11285855" y="16308070"/>
        <a:ext cx="7361555" cy="359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27215</xdr:colOff>
      <xdr:row>262</xdr:row>
      <xdr:rowOff>136071</xdr:rowOff>
    </xdr:from>
    <xdr:to>
      <xdr:col>46</xdr:col>
      <xdr:colOff>1020536</xdr:colOff>
      <xdr:row>288</xdr:row>
      <xdr:rowOff>81642</xdr:rowOff>
    </xdr:to>
    <xdr:graphicFrame>
      <xdr:nvGraphicFramePr>
        <xdr:cNvPr id="29" name="Chart 28"/>
        <xdr:cNvGraphicFramePr/>
      </xdr:nvGraphicFramePr>
      <xdr:xfrm>
        <a:off x="13366750" y="16192500"/>
        <a:ext cx="76993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27215</xdr:colOff>
      <xdr:row>288</xdr:row>
      <xdr:rowOff>136071</xdr:rowOff>
    </xdr:from>
    <xdr:to>
      <xdr:col>46</xdr:col>
      <xdr:colOff>1020536</xdr:colOff>
      <xdr:row>314</xdr:row>
      <xdr:rowOff>81642</xdr:rowOff>
    </xdr:to>
    <xdr:graphicFrame>
      <xdr:nvGraphicFramePr>
        <xdr:cNvPr id="30" name="Chart 29"/>
        <xdr:cNvGraphicFramePr/>
      </xdr:nvGraphicFramePr>
      <xdr:xfrm>
        <a:off x="13366750" y="16192500"/>
        <a:ext cx="76993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733273</xdr:colOff>
      <xdr:row>385</xdr:row>
      <xdr:rowOff>15875</xdr:rowOff>
    </xdr:from>
    <xdr:to>
      <xdr:col>45</xdr:col>
      <xdr:colOff>593573</xdr:colOff>
      <xdr:row>409</xdr:row>
      <xdr:rowOff>147150</xdr:rowOff>
    </xdr:to>
    <xdr:graphicFrame>
      <xdr:nvGraphicFramePr>
        <xdr:cNvPr id="32" name="Tigr_Exhibit4908"/>
        <xdr:cNvGraphicFramePr/>
      </xdr:nvGraphicFramePr>
      <xdr:xfrm>
        <a:off x="11837670" y="24117935"/>
        <a:ext cx="7683500" cy="2607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0</xdr:colOff>
      <xdr:row>38</xdr:row>
      <xdr:rowOff>0</xdr:rowOff>
    </xdr:from>
    <xdr:to>
      <xdr:col>60</xdr:col>
      <xdr:colOff>605118</xdr:colOff>
      <xdr:row>55</xdr:row>
      <xdr:rowOff>87406</xdr:rowOff>
    </xdr:to>
    <xdr:graphicFrame>
      <xdr:nvGraphicFramePr>
        <xdr:cNvPr id="33" name="Tigr_Exhibit3294"/>
        <xdr:cNvGraphicFramePr/>
      </xdr:nvGraphicFramePr>
      <xdr:xfrm>
        <a:off x="28986480" y="7048500"/>
        <a:ext cx="3547364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925285</xdr:colOff>
      <xdr:row>10</xdr:row>
      <xdr:rowOff>149679</xdr:rowOff>
    </xdr:from>
    <xdr:to>
      <xdr:col>49</xdr:col>
      <xdr:colOff>296635</xdr:colOff>
      <xdr:row>77</xdr:row>
      <xdr:rowOff>46627</xdr:rowOff>
    </xdr:to>
    <xdr:graphicFrame>
      <xdr:nvGraphicFramePr>
        <xdr:cNvPr id="34" name="Tigr_Exhibit2857"/>
        <xdr:cNvGraphicFramePr/>
      </xdr:nvGraphicFramePr>
      <xdr:xfrm>
        <a:off x="18735675" y="2054225"/>
        <a:ext cx="4959350" cy="4994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0</xdr:colOff>
      <xdr:row>236</xdr:row>
      <xdr:rowOff>0</xdr:rowOff>
    </xdr:from>
    <xdr:to>
      <xdr:col>55</xdr:col>
      <xdr:colOff>489857</xdr:colOff>
      <xdr:row>254</xdr:row>
      <xdr:rowOff>48985</xdr:rowOff>
    </xdr:to>
    <xdr:graphicFrame>
      <xdr:nvGraphicFramePr>
        <xdr:cNvPr id="35" name="Tigr_Exhibit8045"/>
        <xdr:cNvGraphicFramePr/>
      </xdr:nvGraphicFramePr>
      <xdr:xfrm>
        <a:off x="23398480" y="16192500"/>
        <a:ext cx="1188910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217714</xdr:colOff>
      <xdr:row>93</xdr:row>
      <xdr:rowOff>68035</xdr:rowOff>
    </xdr:from>
    <xdr:to>
      <xdr:col>43</xdr:col>
      <xdr:colOff>1160689</xdr:colOff>
      <xdr:row>137</xdr:row>
      <xdr:rowOff>143575</xdr:rowOff>
    </xdr:to>
    <xdr:graphicFrame>
      <xdr:nvGraphicFramePr>
        <xdr:cNvPr id="37" name="Tigr_Exhibit2149"/>
        <xdr:cNvGraphicFramePr/>
      </xdr:nvGraphicFramePr>
      <xdr:xfrm>
        <a:off x="11322050" y="7497445"/>
        <a:ext cx="6488430" cy="655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760297</xdr:colOff>
      <xdr:row>10</xdr:row>
      <xdr:rowOff>46945</xdr:rowOff>
    </xdr:from>
    <xdr:to>
      <xdr:col>43</xdr:col>
      <xdr:colOff>398347</xdr:colOff>
      <xdr:row>26</xdr:row>
      <xdr:rowOff>15195</xdr:rowOff>
    </xdr:to>
    <xdr:graphicFrame>
      <xdr:nvGraphicFramePr>
        <xdr:cNvPr id="2" name="Chart 1"/>
        <xdr:cNvGraphicFramePr/>
      </xdr:nvGraphicFramePr>
      <xdr:xfrm>
        <a:off x="11864975" y="1951355"/>
        <a:ext cx="5226050" cy="3016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66524</xdr:colOff>
      <xdr:row>104</xdr:row>
      <xdr:rowOff>78619</xdr:rowOff>
    </xdr:from>
    <xdr:to>
      <xdr:col>52</xdr:col>
      <xdr:colOff>752324</xdr:colOff>
      <xdr:row>125</xdr:row>
      <xdr:rowOff>46869</xdr:rowOff>
    </xdr:to>
    <xdr:graphicFrame>
      <xdr:nvGraphicFramePr>
        <xdr:cNvPr id="7" name="Chart 6"/>
        <xdr:cNvGraphicFramePr/>
      </xdr:nvGraphicFramePr>
      <xdr:xfrm>
        <a:off x="22346920" y="9603105"/>
        <a:ext cx="5156200" cy="2207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289</xdr:col>
      <xdr:colOff>268940</xdr:colOff>
      <xdr:row>94</xdr:row>
      <xdr:rowOff>108376</xdr:rowOff>
    </xdr:from>
    <xdr:to>
      <xdr:col>298</xdr:col>
      <xdr:colOff>231722</xdr:colOff>
      <xdr:row>124</xdr:row>
      <xdr:rowOff>52826</xdr:rowOff>
    </xdr:to>
    <xdr:graphicFrame>
      <xdr:nvGraphicFramePr>
        <xdr:cNvPr id="59683120" name="Chart 2"/>
        <xdr:cNvGraphicFramePr/>
      </xdr:nvGraphicFramePr>
      <xdr:xfrm>
        <a:off x="39343965" y="7894320"/>
        <a:ext cx="810069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278</xdr:col>
      <xdr:colOff>81643</xdr:colOff>
      <xdr:row>398</xdr:row>
      <xdr:rowOff>138792</xdr:rowOff>
    </xdr:from>
    <xdr:to>
      <xdr:col>285</xdr:col>
      <xdr:colOff>285750</xdr:colOff>
      <xdr:row>417</xdr:row>
      <xdr:rowOff>38099</xdr:rowOff>
    </xdr:to>
    <xdr:graphicFrame>
      <xdr:nvGraphicFramePr>
        <xdr:cNvPr id="3" name="Chart 2"/>
        <xdr:cNvGraphicFramePr/>
      </xdr:nvGraphicFramePr>
      <xdr:xfrm>
        <a:off x="29210000" y="45594270"/>
        <a:ext cx="6534150" cy="1179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274</xdr:col>
      <xdr:colOff>0</xdr:colOff>
      <xdr:row>999</xdr:row>
      <xdr:rowOff>0</xdr:rowOff>
    </xdr:from>
    <xdr:to>
      <xdr:col>285</xdr:col>
      <xdr:colOff>291353</xdr:colOff>
      <xdr:row>1033</xdr:row>
      <xdr:rowOff>78440</xdr:rowOff>
    </xdr:to>
    <xdr:graphicFrame>
      <xdr:nvGraphicFramePr>
        <xdr:cNvPr id="13" name="Chart 12"/>
        <xdr:cNvGraphicFramePr/>
      </xdr:nvGraphicFramePr>
      <xdr:xfrm>
        <a:off x="25511760" y="169204640"/>
        <a:ext cx="10237470" cy="7332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276</xdr:col>
      <xdr:colOff>44825</xdr:colOff>
      <xdr:row>318</xdr:row>
      <xdr:rowOff>100853</xdr:rowOff>
    </xdr:from>
    <xdr:to>
      <xdr:col>286</xdr:col>
      <xdr:colOff>235324</xdr:colOff>
      <xdr:row>342</xdr:row>
      <xdr:rowOff>11206</xdr:rowOff>
    </xdr:to>
    <xdr:graphicFrame>
      <xdr:nvGraphicFramePr>
        <xdr:cNvPr id="17" name="Tigr_Exhibit7533"/>
        <xdr:cNvGraphicFramePr/>
      </xdr:nvGraphicFramePr>
      <xdr:xfrm>
        <a:off x="27364690" y="28487370"/>
        <a:ext cx="9232900" cy="503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293</xdr:col>
      <xdr:colOff>653142</xdr:colOff>
      <xdr:row>127</xdr:row>
      <xdr:rowOff>0</xdr:rowOff>
    </xdr:from>
    <xdr:to>
      <xdr:col>302</xdr:col>
      <xdr:colOff>353784</xdr:colOff>
      <xdr:row>147</xdr:row>
      <xdr:rowOff>106136</xdr:rowOff>
    </xdr:to>
    <xdr:graphicFrame>
      <xdr:nvGraphicFramePr>
        <xdr:cNvPr id="19" name="Chart 18"/>
        <xdr:cNvGraphicFramePr/>
      </xdr:nvGraphicFramePr>
      <xdr:xfrm>
        <a:off x="43345100" y="7894320"/>
        <a:ext cx="7839075" cy="1172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285</xdr:col>
      <xdr:colOff>0</xdr:colOff>
      <xdr:row>127</xdr:row>
      <xdr:rowOff>0</xdr:rowOff>
    </xdr:from>
    <xdr:to>
      <xdr:col>293</xdr:col>
      <xdr:colOff>272142</xdr:colOff>
      <xdr:row>147</xdr:row>
      <xdr:rowOff>106136</xdr:rowOff>
    </xdr:to>
    <xdr:graphicFrame>
      <xdr:nvGraphicFramePr>
        <xdr:cNvPr id="23" name="Chart 22"/>
        <xdr:cNvGraphicFramePr/>
      </xdr:nvGraphicFramePr>
      <xdr:xfrm>
        <a:off x="35458400" y="7894320"/>
        <a:ext cx="7505700" cy="1172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285</xdr:col>
      <xdr:colOff>0</xdr:colOff>
      <xdr:row>148</xdr:row>
      <xdr:rowOff>108858</xdr:rowOff>
    </xdr:from>
    <xdr:to>
      <xdr:col>293</xdr:col>
      <xdr:colOff>272142</xdr:colOff>
      <xdr:row>169</xdr:row>
      <xdr:rowOff>133351</xdr:rowOff>
    </xdr:to>
    <xdr:graphicFrame>
      <xdr:nvGraphicFramePr>
        <xdr:cNvPr id="24" name="Chart 23"/>
        <xdr:cNvGraphicFramePr/>
      </xdr:nvGraphicFramePr>
      <xdr:xfrm>
        <a:off x="35458400" y="9283065"/>
        <a:ext cx="7505700" cy="450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177</xdr:col>
      <xdr:colOff>176892</xdr:colOff>
      <xdr:row>1000</xdr:row>
      <xdr:rowOff>84362</xdr:rowOff>
    </xdr:from>
    <xdr:to>
      <xdr:col>254</xdr:col>
      <xdr:colOff>127004</xdr:colOff>
      <xdr:row>1043</xdr:row>
      <xdr:rowOff>27214</xdr:rowOff>
    </xdr:to>
    <xdr:graphicFrame>
      <xdr:nvGraphicFramePr>
        <xdr:cNvPr id="5" name="Tigr_Exhibit9195"/>
        <xdr:cNvGraphicFramePr/>
      </xdr:nvGraphicFramePr>
      <xdr:xfrm>
        <a:off x="3078480" y="169501820"/>
        <a:ext cx="5796280" cy="9117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168</xdr:col>
      <xdr:colOff>367393</xdr:colOff>
      <xdr:row>1000</xdr:row>
      <xdr:rowOff>68035</xdr:rowOff>
    </xdr:from>
    <xdr:to>
      <xdr:col>176</xdr:col>
      <xdr:colOff>639536</xdr:colOff>
      <xdr:row>1030</xdr:row>
      <xdr:rowOff>29164</xdr:rowOff>
    </xdr:to>
    <xdr:graphicFrame>
      <xdr:nvGraphicFramePr>
        <xdr:cNvPr id="7" name="Chart 6"/>
        <xdr:cNvGraphicFramePr/>
      </xdr:nvGraphicFramePr>
      <xdr:xfrm>
        <a:off x="3078480" y="169485945"/>
        <a:ext cx="0" cy="6361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50</xdr:col>
      <xdr:colOff>28574</xdr:colOff>
      <xdr:row>21</xdr:row>
      <xdr:rowOff>152400</xdr:rowOff>
    </xdr:from>
    <xdr:to>
      <xdr:col>59</xdr:col>
      <xdr:colOff>666749</xdr:colOff>
      <xdr:row>40</xdr:row>
      <xdr:rowOff>92075</xdr:rowOff>
    </xdr:to>
    <xdr:graphicFrame>
      <xdr:nvGraphicFramePr>
        <xdr:cNvPr id="2" name="Chart 1"/>
        <xdr:cNvGraphicFramePr/>
      </xdr:nvGraphicFramePr>
      <xdr:xfrm>
        <a:off x="35659060" y="4206240"/>
        <a:ext cx="5159375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47624</xdr:colOff>
      <xdr:row>22</xdr:row>
      <xdr:rowOff>28575</xdr:rowOff>
    </xdr:from>
    <xdr:to>
      <xdr:col>23</xdr:col>
      <xdr:colOff>685799</xdr:colOff>
      <xdr:row>40</xdr:row>
      <xdr:rowOff>130175</xdr:rowOff>
    </xdr:to>
    <xdr:graphicFrame>
      <xdr:nvGraphicFramePr>
        <xdr:cNvPr id="3" name="Chart 2"/>
        <xdr:cNvGraphicFramePr/>
      </xdr:nvGraphicFramePr>
      <xdr:xfrm>
        <a:off x="10999470" y="4275455"/>
        <a:ext cx="994473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590549</xdr:colOff>
      <xdr:row>74</xdr:row>
      <xdr:rowOff>157162</xdr:rowOff>
    </xdr:from>
    <xdr:to>
      <xdr:col>58</xdr:col>
      <xdr:colOff>380999</xdr:colOff>
      <xdr:row>93</xdr:row>
      <xdr:rowOff>96837</xdr:rowOff>
    </xdr:to>
    <xdr:graphicFrame>
      <xdr:nvGraphicFramePr>
        <xdr:cNvPr id="4" name="Chart 3"/>
        <xdr:cNvGraphicFramePr/>
      </xdr:nvGraphicFramePr>
      <xdr:xfrm>
        <a:off x="34412555" y="14441805"/>
        <a:ext cx="521589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609599</xdr:colOff>
      <xdr:row>76</xdr:row>
      <xdr:rowOff>138111</xdr:rowOff>
    </xdr:from>
    <xdr:to>
      <xdr:col>35</xdr:col>
      <xdr:colOff>400049</xdr:colOff>
      <xdr:row>95</xdr:row>
      <xdr:rowOff>77786</xdr:rowOff>
    </xdr:to>
    <xdr:graphicFrame>
      <xdr:nvGraphicFramePr>
        <xdr:cNvPr id="5" name="Chart 4"/>
        <xdr:cNvGraphicFramePr/>
      </xdr:nvGraphicFramePr>
      <xdr:xfrm>
        <a:off x="20868005" y="14808835"/>
        <a:ext cx="88328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57148</xdr:colOff>
      <xdr:row>22</xdr:row>
      <xdr:rowOff>9525</xdr:rowOff>
    </xdr:from>
    <xdr:to>
      <xdr:col>11</xdr:col>
      <xdr:colOff>695323</xdr:colOff>
      <xdr:row>40</xdr:row>
      <xdr:rowOff>111125</xdr:rowOff>
    </xdr:to>
    <xdr:graphicFrame>
      <xdr:nvGraphicFramePr>
        <xdr:cNvPr id="6" name="Chart 5"/>
        <xdr:cNvGraphicFramePr/>
      </xdr:nvGraphicFramePr>
      <xdr:xfrm>
        <a:off x="2332355" y="4256405"/>
        <a:ext cx="750633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57150</xdr:colOff>
      <xdr:row>75</xdr:row>
      <xdr:rowOff>14287</xdr:rowOff>
    </xdr:from>
    <xdr:to>
      <xdr:col>11</xdr:col>
      <xdr:colOff>695325</xdr:colOff>
      <xdr:row>93</xdr:row>
      <xdr:rowOff>115887</xdr:rowOff>
    </xdr:to>
    <xdr:graphicFrame>
      <xdr:nvGraphicFramePr>
        <xdr:cNvPr id="7" name="Chart 6"/>
        <xdr:cNvGraphicFramePr/>
      </xdr:nvGraphicFramePr>
      <xdr:xfrm>
        <a:off x="2332990" y="14491970"/>
        <a:ext cx="750633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790574</xdr:colOff>
      <xdr:row>133</xdr:row>
      <xdr:rowOff>52386</xdr:rowOff>
    </xdr:from>
    <xdr:to>
      <xdr:col>11</xdr:col>
      <xdr:colOff>581024</xdr:colOff>
      <xdr:row>151</xdr:row>
      <xdr:rowOff>153986</xdr:rowOff>
    </xdr:to>
    <xdr:graphicFrame>
      <xdr:nvGraphicFramePr>
        <xdr:cNvPr id="8" name="Chart 7"/>
        <xdr:cNvGraphicFramePr/>
      </xdr:nvGraphicFramePr>
      <xdr:xfrm>
        <a:off x="1694180" y="25726390"/>
        <a:ext cx="803021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571500</xdr:colOff>
      <xdr:row>133</xdr:row>
      <xdr:rowOff>42861</xdr:rowOff>
    </xdr:from>
    <xdr:to>
      <xdr:col>29</xdr:col>
      <xdr:colOff>361950</xdr:colOff>
      <xdr:row>151</xdr:row>
      <xdr:rowOff>144461</xdr:rowOff>
    </xdr:to>
    <xdr:graphicFrame>
      <xdr:nvGraphicFramePr>
        <xdr:cNvPr id="9" name="Chart 8"/>
        <xdr:cNvGraphicFramePr/>
      </xdr:nvGraphicFramePr>
      <xdr:xfrm>
        <a:off x="16949420" y="25716865"/>
        <a:ext cx="909701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847724</xdr:colOff>
      <xdr:row>132</xdr:row>
      <xdr:rowOff>138111</xdr:rowOff>
    </xdr:from>
    <xdr:to>
      <xdr:col>53</xdr:col>
      <xdr:colOff>638174</xdr:colOff>
      <xdr:row>151</xdr:row>
      <xdr:rowOff>77786</xdr:rowOff>
    </xdr:to>
    <xdr:graphicFrame>
      <xdr:nvGraphicFramePr>
        <xdr:cNvPr id="10" name="Chart 9"/>
        <xdr:cNvGraphicFramePr/>
      </xdr:nvGraphicFramePr>
      <xdr:xfrm>
        <a:off x="32861250" y="25619075"/>
        <a:ext cx="521589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9523</xdr:colOff>
      <xdr:row>169</xdr:row>
      <xdr:rowOff>42861</xdr:rowOff>
    </xdr:from>
    <xdr:to>
      <xdr:col>11</xdr:col>
      <xdr:colOff>647698</xdr:colOff>
      <xdr:row>187</xdr:row>
      <xdr:rowOff>144461</xdr:rowOff>
    </xdr:to>
    <xdr:graphicFrame>
      <xdr:nvGraphicFramePr>
        <xdr:cNvPr id="11" name="Chart 10"/>
        <xdr:cNvGraphicFramePr/>
      </xdr:nvGraphicFramePr>
      <xdr:xfrm>
        <a:off x="2284730" y="32666305"/>
        <a:ext cx="750633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76200</xdr:colOff>
      <xdr:row>262</xdr:row>
      <xdr:rowOff>9525</xdr:rowOff>
    </xdr:from>
    <xdr:to>
      <xdr:col>7</xdr:col>
      <xdr:colOff>876300</xdr:colOff>
      <xdr:row>280</xdr:row>
      <xdr:rowOff>111125</xdr:rowOff>
    </xdr:to>
    <xdr:graphicFrame>
      <xdr:nvGraphicFramePr>
        <xdr:cNvPr id="14" name="Chart 13"/>
        <xdr:cNvGraphicFramePr/>
      </xdr:nvGraphicFramePr>
      <xdr:xfrm>
        <a:off x="980440" y="51337845"/>
        <a:ext cx="631698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289</xdr:row>
      <xdr:rowOff>0</xdr:rowOff>
    </xdr:from>
    <xdr:to>
      <xdr:col>10</xdr:col>
      <xdr:colOff>200025</xdr:colOff>
      <xdr:row>307</xdr:row>
      <xdr:rowOff>101600</xdr:rowOff>
    </xdr:to>
    <xdr:graphicFrame>
      <xdr:nvGraphicFramePr>
        <xdr:cNvPr id="15" name="Chart 14"/>
        <xdr:cNvGraphicFramePr/>
      </xdr:nvGraphicFramePr>
      <xdr:xfrm>
        <a:off x="904240" y="56540400"/>
        <a:ext cx="753554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58</xdr:col>
      <xdr:colOff>814386</xdr:colOff>
      <xdr:row>101</xdr:row>
      <xdr:rowOff>61911</xdr:rowOff>
    </xdr:from>
    <xdr:to>
      <xdr:col>67</xdr:col>
      <xdr:colOff>604836</xdr:colOff>
      <xdr:row>120</xdr:row>
      <xdr:rowOff>1586</xdr:rowOff>
    </xdr:to>
    <xdr:graphicFrame>
      <xdr:nvGraphicFramePr>
        <xdr:cNvPr id="16" name="Chart 15"/>
        <xdr:cNvGraphicFramePr/>
      </xdr:nvGraphicFramePr>
      <xdr:xfrm>
        <a:off x="40062150" y="19558635"/>
        <a:ext cx="43116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138112</xdr:colOff>
      <xdr:row>213</xdr:row>
      <xdr:rowOff>166687</xdr:rowOff>
    </xdr:from>
    <xdr:to>
      <xdr:col>5</xdr:col>
      <xdr:colOff>795337</xdr:colOff>
      <xdr:row>230</xdr:row>
      <xdr:rowOff>106362</xdr:rowOff>
    </xdr:to>
    <xdr:graphicFrame>
      <xdr:nvGraphicFramePr>
        <xdr:cNvPr id="18" name="Chart 17"/>
        <xdr:cNvGraphicFramePr/>
      </xdr:nvGraphicFramePr>
      <xdr:xfrm>
        <a:off x="137795" y="41365170"/>
        <a:ext cx="5462905" cy="356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176212</xdr:colOff>
      <xdr:row>213</xdr:row>
      <xdr:rowOff>119062</xdr:rowOff>
    </xdr:from>
    <xdr:to>
      <xdr:col>31</xdr:col>
      <xdr:colOff>481012</xdr:colOff>
      <xdr:row>230</xdr:row>
      <xdr:rowOff>58737</xdr:rowOff>
    </xdr:to>
    <xdr:graphicFrame>
      <xdr:nvGraphicFramePr>
        <xdr:cNvPr id="19" name="Chart 18"/>
        <xdr:cNvGraphicFramePr/>
      </xdr:nvGraphicFramePr>
      <xdr:xfrm>
        <a:off x="18341975" y="41317545"/>
        <a:ext cx="9631680" cy="356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61912</xdr:colOff>
      <xdr:row>213</xdr:row>
      <xdr:rowOff>157162</xdr:rowOff>
    </xdr:from>
    <xdr:to>
      <xdr:col>45</xdr:col>
      <xdr:colOff>366712</xdr:colOff>
      <xdr:row>230</xdr:row>
      <xdr:rowOff>96837</xdr:rowOff>
    </xdr:to>
    <xdr:graphicFrame>
      <xdr:nvGraphicFramePr>
        <xdr:cNvPr id="20" name="Chart 19"/>
        <xdr:cNvGraphicFramePr/>
      </xdr:nvGraphicFramePr>
      <xdr:xfrm>
        <a:off x="29363035" y="41355645"/>
        <a:ext cx="4826000" cy="356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57149</xdr:colOff>
      <xdr:row>22</xdr:row>
      <xdr:rowOff>23812</xdr:rowOff>
    </xdr:from>
    <xdr:to>
      <xdr:col>35</xdr:col>
      <xdr:colOff>695324</xdr:colOff>
      <xdr:row>40</xdr:row>
      <xdr:rowOff>125412</xdr:rowOff>
    </xdr:to>
    <xdr:graphicFrame>
      <xdr:nvGraphicFramePr>
        <xdr:cNvPr id="12" name="Chart 11"/>
        <xdr:cNvGraphicFramePr/>
      </xdr:nvGraphicFramePr>
      <xdr:xfrm>
        <a:off x="23028275" y="4270375"/>
        <a:ext cx="696785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228600</xdr:colOff>
      <xdr:row>316</xdr:row>
      <xdr:rowOff>119062</xdr:rowOff>
    </xdr:from>
    <xdr:to>
      <xdr:col>15</xdr:col>
      <xdr:colOff>19050</xdr:colOff>
      <xdr:row>335</xdr:row>
      <xdr:rowOff>58737</xdr:rowOff>
    </xdr:to>
    <xdr:graphicFrame>
      <xdr:nvGraphicFramePr>
        <xdr:cNvPr id="17" name="Chart 16"/>
        <xdr:cNvGraphicFramePr/>
      </xdr:nvGraphicFramePr>
      <xdr:xfrm>
        <a:off x="3408680" y="61871225"/>
        <a:ext cx="937133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57149</xdr:colOff>
      <xdr:row>343</xdr:row>
      <xdr:rowOff>33337</xdr:rowOff>
    </xdr:from>
    <xdr:to>
      <xdr:col>10</xdr:col>
      <xdr:colOff>257174</xdr:colOff>
      <xdr:row>361</xdr:row>
      <xdr:rowOff>134937</xdr:rowOff>
    </xdr:to>
    <xdr:graphicFrame>
      <xdr:nvGraphicFramePr>
        <xdr:cNvPr id="23" name="Chart 22"/>
        <xdr:cNvGraphicFramePr/>
      </xdr:nvGraphicFramePr>
      <xdr:xfrm>
        <a:off x="960755" y="66997580"/>
        <a:ext cx="753554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47625</xdr:colOff>
      <xdr:row>371</xdr:row>
      <xdr:rowOff>14287</xdr:rowOff>
    </xdr:from>
    <xdr:to>
      <xdr:col>10</xdr:col>
      <xdr:colOff>685800</xdr:colOff>
      <xdr:row>389</xdr:row>
      <xdr:rowOff>115887</xdr:rowOff>
    </xdr:to>
    <xdr:graphicFrame>
      <xdr:nvGraphicFramePr>
        <xdr:cNvPr id="24" name="Chart 23"/>
        <xdr:cNvGraphicFramePr/>
      </xdr:nvGraphicFramePr>
      <xdr:xfrm>
        <a:off x="951865" y="72383650"/>
        <a:ext cx="797369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38100</xdr:colOff>
      <xdr:row>413</xdr:row>
      <xdr:rowOff>23812</xdr:rowOff>
    </xdr:from>
    <xdr:to>
      <xdr:col>11</xdr:col>
      <xdr:colOff>342900</xdr:colOff>
      <xdr:row>431</xdr:row>
      <xdr:rowOff>125412</xdr:rowOff>
    </xdr:to>
    <xdr:graphicFrame>
      <xdr:nvGraphicFramePr>
        <xdr:cNvPr id="21" name="Chart 20"/>
        <xdr:cNvGraphicFramePr/>
      </xdr:nvGraphicFramePr>
      <xdr:xfrm>
        <a:off x="2313940" y="80500855"/>
        <a:ext cx="717296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85725</xdr:colOff>
      <xdr:row>413</xdr:row>
      <xdr:rowOff>42862</xdr:rowOff>
    </xdr:from>
    <xdr:to>
      <xdr:col>23</xdr:col>
      <xdr:colOff>390525</xdr:colOff>
      <xdr:row>431</xdr:row>
      <xdr:rowOff>144462</xdr:rowOff>
    </xdr:to>
    <xdr:graphicFrame>
      <xdr:nvGraphicFramePr>
        <xdr:cNvPr id="22" name="Chart 21"/>
        <xdr:cNvGraphicFramePr/>
      </xdr:nvGraphicFramePr>
      <xdr:xfrm>
        <a:off x="11038205" y="80519905"/>
        <a:ext cx="961136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57150</xdr:colOff>
      <xdr:row>434</xdr:row>
      <xdr:rowOff>157162</xdr:rowOff>
    </xdr:from>
    <xdr:to>
      <xdr:col>11</xdr:col>
      <xdr:colOff>361950</xdr:colOff>
      <xdr:row>453</xdr:row>
      <xdr:rowOff>96837</xdr:rowOff>
    </xdr:to>
    <xdr:graphicFrame>
      <xdr:nvGraphicFramePr>
        <xdr:cNvPr id="25" name="Chart 24"/>
        <xdr:cNvGraphicFramePr/>
      </xdr:nvGraphicFramePr>
      <xdr:xfrm>
        <a:off x="2332990" y="84688045"/>
        <a:ext cx="717296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85725</xdr:colOff>
      <xdr:row>435</xdr:row>
      <xdr:rowOff>42862</xdr:rowOff>
    </xdr:from>
    <xdr:to>
      <xdr:col>23</xdr:col>
      <xdr:colOff>390525</xdr:colOff>
      <xdr:row>453</xdr:row>
      <xdr:rowOff>144462</xdr:rowOff>
    </xdr:to>
    <xdr:graphicFrame>
      <xdr:nvGraphicFramePr>
        <xdr:cNvPr id="26" name="Chart 25"/>
        <xdr:cNvGraphicFramePr/>
      </xdr:nvGraphicFramePr>
      <xdr:xfrm>
        <a:off x="11038205" y="84766785"/>
        <a:ext cx="961136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47623</xdr:colOff>
      <xdr:row>460</xdr:row>
      <xdr:rowOff>138111</xdr:rowOff>
    </xdr:from>
    <xdr:to>
      <xdr:col>11</xdr:col>
      <xdr:colOff>685798</xdr:colOff>
      <xdr:row>479</xdr:row>
      <xdr:rowOff>77786</xdr:rowOff>
    </xdr:to>
    <xdr:graphicFrame>
      <xdr:nvGraphicFramePr>
        <xdr:cNvPr id="27" name="Chart 26"/>
        <xdr:cNvGraphicFramePr/>
      </xdr:nvGraphicFramePr>
      <xdr:xfrm>
        <a:off x="2322830" y="89688035"/>
        <a:ext cx="7506335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26</xdr:col>
      <xdr:colOff>628650</xdr:colOff>
      <xdr:row>413</xdr:row>
      <xdr:rowOff>61912</xdr:rowOff>
    </xdr:from>
    <xdr:to>
      <xdr:col>37</xdr:col>
      <xdr:colOff>19050</xdr:colOff>
      <xdr:row>432</xdr:row>
      <xdr:rowOff>1587</xdr:rowOff>
    </xdr:to>
    <xdr:graphicFrame>
      <xdr:nvGraphicFramePr>
        <xdr:cNvPr id="28" name="Chart 27"/>
        <xdr:cNvGraphicFramePr/>
      </xdr:nvGraphicFramePr>
      <xdr:xfrm>
        <a:off x="23600410" y="80538955"/>
        <a:ext cx="662432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71437</xdr:colOff>
      <xdr:row>594</xdr:row>
      <xdr:rowOff>19050</xdr:rowOff>
    </xdr:from>
    <xdr:to>
      <xdr:col>10</xdr:col>
      <xdr:colOff>271462</xdr:colOff>
      <xdr:row>612</xdr:row>
      <xdr:rowOff>120650</xdr:rowOff>
    </xdr:to>
    <xdr:graphicFrame>
      <xdr:nvGraphicFramePr>
        <xdr:cNvPr id="32" name="Chart 31"/>
        <xdr:cNvGraphicFramePr/>
      </xdr:nvGraphicFramePr>
      <xdr:xfrm>
        <a:off x="975360" y="115436650"/>
        <a:ext cx="753554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381000</xdr:colOff>
      <xdr:row>627</xdr:row>
      <xdr:rowOff>152400</xdr:rowOff>
    </xdr:from>
    <xdr:to>
      <xdr:col>35</xdr:col>
      <xdr:colOff>171450</xdr:colOff>
      <xdr:row>646</xdr:row>
      <xdr:rowOff>92075</xdr:rowOff>
    </xdr:to>
    <xdr:graphicFrame>
      <xdr:nvGraphicFramePr>
        <xdr:cNvPr id="31" name="Chart 30"/>
        <xdr:cNvGraphicFramePr/>
      </xdr:nvGraphicFramePr>
      <xdr:xfrm>
        <a:off x="20640040" y="121940320"/>
        <a:ext cx="88328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23</xdr:col>
      <xdr:colOff>314324</xdr:colOff>
      <xdr:row>607</xdr:row>
      <xdr:rowOff>76200</xdr:rowOff>
    </xdr:from>
    <xdr:to>
      <xdr:col>35</xdr:col>
      <xdr:colOff>285749</xdr:colOff>
      <xdr:row>626</xdr:row>
      <xdr:rowOff>15875</xdr:rowOff>
    </xdr:to>
    <xdr:graphicFrame>
      <xdr:nvGraphicFramePr>
        <xdr:cNvPr id="34" name="Chart 33"/>
        <xdr:cNvGraphicFramePr/>
      </xdr:nvGraphicFramePr>
      <xdr:xfrm>
        <a:off x="20572730" y="118003320"/>
        <a:ext cx="9013825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514350</xdr:colOff>
      <xdr:row>647</xdr:row>
      <xdr:rowOff>95250</xdr:rowOff>
    </xdr:from>
    <xdr:to>
      <xdr:col>35</xdr:col>
      <xdr:colOff>304800</xdr:colOff>
      <xdr:row>666</xdr:row>
      <xdr:rowOff>34925</xdr:rowOff>
    </xdr:to>
    <xdr:graphicFrame>
      <xdr:nvGraphicFramePr>
        <xdr:cNvPr id="33" name="Chart 32"/>
        <xdr:cNvGraphicFramePr/>
      </xdr:nvGraphicFramePr>
      <xdr:xfrm>
        <a:off x="20773390" y="125743970"/>
        <a:ext cx="88328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</xdr:col>
      <xdr:colOff>800100</xdr:colOff>
      <xdr:row>693</xdr:row>
      <xdr:rowOff>61912</xdr:rowOff>
    </xdr:from>
    <xdr:to>
      <xdr:col>19</xdr:col>
      <xdr:colOff>590550</xdr:colOff>
      <xdr:row>712</xdr:row>
      <xdr:rowOff>1587</xdr:rowOff>
    </xdr:to>
    <xdr:graphicFrame>
      <xdr:nvGraphicFramePr>
        <xdr:cNvPr id="35" name="Chart 34"/>
        <xdr:cNvGraphicFramePr/>
      </xdr:nvGraphicFramePr>
      <xdr:xfrm>
        <a:off x="7221220" y="134590155"/>
        <a:ext cx="97472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0</xdr:colOff>
      <xdr:row>133</xdr:row>
      <xdr:rowOff>0</xdr:rowOff>
    </xdr:from>
    <xdr:to>
      <xdr:col>67</xdr:col>
      <xdr:colOff>638175</xdr:colOff>
      <xdr:row>151</xdr:row>
      <xdr:rowOff>101600</xdr:rowOff>
    </xdr:to>
    <xdr:graphicFrame>
      <xdr:nvGraphicFramePr>
        <xdr:cNvPr id="37" name="Chart 36"/>
        <xdr:cNvGraphicFramePr/>
      </xdr:nvGraphicFramePr>
      <xdr:xfrm>
        <a:off x="39248080" y="25674320"/>
        <a:ext cx="515937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</xdr:col>
      <xdr:colOff>647700</xdr:colOff>
      <xdr:row>213</xdr:row>
      <xdr:rowOff>95250</xdr:rowOff>
    </xdr:from>
    <xdr:to>
      <xdr:col>19</xdr:col>
      <xdr:colOff>438150</xdr:colOff>
      <xdr:row>229</xdr:row>
      <xdr:rowOff>63500</xdr:rowOff>
    </xdr:to>
    <xdr:graphicFrame>
      <xdr:nvGraphicFramePr>
        <xdr:cNvPr id="29" name="Chart 28"/>
        <xdr:cNvGraphicFramePr/>
      </xdr:nvGraphicFramePr>
      <xdr:xfrm>
        <a:off x="7068820" y="41294050"/>
        <a:ext cx="974725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</xdr:col>
      <xdr:colOff>695324</xdr:colOff>
      <xdr:row>240</xdr:row>
      <xdr:rowOff>104773</xdr:rowOff>
    </xdr:from>
    <xdr:to>
      <xdr:col>15</xdr:col>
      <xdr:colOff>485774</xdr:colOff>
      <xdr:row>258</xdr:row>
      <xdr:rowOff>34923</xdr:rowOff>
    </xdr:to>
    <xdr:graphicFrame>
      <xdr:nvGraphicFramePr>
        <xdr:cNvPr id="13" name="Chart 12"/>
        <xdr:cNvGraphicFramePr/>
      </xdr:nvGraphicFramePr>
      <xdr:xfrm>
        <a:off x="3874770" y="47063660"/>
        <a:ext cx="9371330" cy="352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</xdr:col>
      <xdr:colOff>380999</xdr:colOff>
      <xdr:row>741</xdr:row>
      <xdr:rowOff>157161</xdr:rowOff>
    </xdr:from>
    <xdr:to>
      <xdr:col>19</xdr:col>
      <xdr:colOff>171449</xdr:colOff>
      <xdr:row>760</xdr:row>
      <xdr:rowOff>96836</xdr:rowOff>
    </xdr:to>
    <xdr:graphicFrame>
      <xdr:nvGraphicFramePr>
        <xdr:cNvPr id="39" name="Chart 38"/>
        <xdr:cNvGraphicFramePr/>
      </xdr:nvGraphicFramePr>
      <xdr:xfrm>
        <a:off x="6801485" y="143951325"/>
        <a:ext cx="9747250" cy="360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747711</xdr:colOff>
      <xdr:row>714</xdr:row>
      <xdr:rowOff>102497</xdr:rowOff>
    </xdr:from>
    <xdr:to>
      <xdr:col>22</xdr:col>
      <xdr:colOff>557625</xdr:colOff>
      <xdr:row>733</xdr:row>
      <xdr:rowOff>38445</xdr:rowOff>
    </xdr:to>
    <xdr:graphicFrame>
      <xdr:nvGraphicFramePr>
        <xdr:cNvPr id="36" name="Chart 35"/>
        <xdr:cNvGraphicFramePr/>
      </xdr:nvGraphicFramePr>
      <xdr:xfrm>
        <a:off x="11699875" y="138684635"/>
        <a:ext cx="7927975" cy="360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</xdr:col>
      <xdr:colOff>8284</xdr:colOff>
      <xdr:row>821</xdr:row>
      <xdr:rowOff>77858</xdr:rowOff>
    </xdr:from>
    <xdr:to>
      <xdr:col>11</xdr:col>
      <xdr:colOff>646459</xdr:colOff>
      <xdr:row>840</xdr:row>
      <xdr:rowOff>13806</xdr:rowOff>
    </xdr:to>
    <xdr:graphicFrame>
      <xdr:nvGraphicFramePr>
        <xdr:cNvPr id="30" name="Chart 29"/>
        <xdr:cNvGraphicFramePr/>
      </xdr:nvGraphicFramePr>
      <xdr:xfrm>
        <a:off x="2284095" y="159315150"/>
        <a:ext cx="7506335" cy="360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</xdr:col>
      <xdr:colOff>57983</xdr:colOff>
      <xdr:row>847</xdr:row>
      <xdr:rowOff>11595</xdr:rowOff>
    </xdr:from>
    <xdr:to>
      <xdr:col>11</xdr:col>
      <xdr:colOff>696158</xdr:colOff>
      <xdr:row>865</xdr:row>
      <xdr:rowOff>113195</xdr:rowOff>
    </xdr:to>
    <xdr:graphicFrame>
      <xdr:nvGraphicFramePr>
        <xdr:cNvPr id="40" name="Chart 39"/>
        <xdr:cNvGraphicFramePr/>
      </xdr:nvGraphicFramePr>
      <xdr:xfrm>
        <a:off x="2333625" y="164268150"/>
        <a:ext cx="750633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</xdr:col>
      <xdr:colOff>49699</xdr:colOff>
      <xdr:row>885</xdr:row>
      <xdr:rowOff>98562</xdr:rowOff>
    </xdr:from>
    <xdr:to>
      <xdr:col>13</xdr:col>
      <xdr:colOff>687874</xdr:colOff>
      <xdr:row>904</xdr:row>
      <xdr:rowOff>34509</xdr:rowOff>
    </xdr:to>
    <xdr:graphicFrame>
      <xdr:nvGraphicFramePr>
        <xdr:cNvPr id="38" name="Chart 37"/>
        <xdr:cNvGraphicFramePr/>
      </xdr:nvGraphicFramePr>
      <xdr:xfrm>
        <a:off x="3229610" y="171690665"/>
        <a:ext cx="8410575" cy="360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</xdr:col>
      <xdr:colOff>91114</xdr:colOff>
      <xdr:row>914</xdr:row>
      <xdr:rowOff>57149</xdr:rowOff>
    </xdr:from>
    <xdr:to>
      <xdr:col>13</xdr:col>
      <xdr:colOff>438984</xdr:colOff>
      <xdr:row>930</xdr:row>
      <xdr:rowOff>149915</xdr:rowOff>
    </xdr:to>
    <xdr:graphicFrame>
      <xdr:nvGraphicFramePr>
        <xdr:cNvPr id="41" name="Chart 40"/>
        <xdr:cNvGraphicFramePr/>
      </xdr:nvGraphicFramePr>
      <xdr:xfrm>
        <a:off x="3270885" y="177246915"/>
        <a:ext cx="8120380" cy="3181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770288</xdr:colOff>
      <xdr:row>938</xdr:row>
      <xdr:rowOff>15736</xdr:rowOff>
    </xdr:from>
    <xdr:to>
      <xdr:col>13</xdr:col>
      <xdr:colOff>273331</xdr:colOff>
      <xdr:row>954</xdr:row>
      <xdr:rowOff>108502</xdr:rowOff>
    </xdr:to>
    <xdr:graphicFrame>
      <xdr:nvGraphicFramePr>
        <xdr:cNvPr id="42" name="Chart 41"/>
        <xdr:cNvGraphicFramePr/>
      </xdr:nvGraphicFramePr>
      <xdr:xfrm>
        <a:off x="3046095" y="181838600"/>
        <a:ext cx="8179435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</xdr:col>
      <xdr:colOff>24852</xdr:colOff>
      <xdr:row>971</xdr:row>
      <xdr:rowOff>15736</xdr:rowOff>
    </xdr:from>
    <xdr:to>
      <xdr:col>13</xdr:col>
      <xdr:colOff>663027</xdr:colOff>
      <xdr:row>989</xdr:row>
      <xdr:rowOff>117336</xdr:rowOff>
    </xdr:to>
    <xdr:graphicFrame>
      <xdr:nvGraphicFramePr>
        <xdr:cNvPr id="43" name="Chart 42"/>
        <xdr:cNvGraphicFramePr/>
      </xdr:nvGraphicFramePr>
      <xdr:xfrm>
        <a:off x="3204845" y="188208920"/>
        <a:ext cx="841057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</xdr:col>
      <xdr:colOff>120097</xdr:colOff>
      <xdr:row>995</xdr:row>
      <xdr:rowOff>11595</xdr:rowOff>
    </xdr:from>
    <xdr:to>
      <xdr:col>13</xdr:col>
      <xdr:colOff>467967</xdr:colOff>
      <xdr:row>1011</xdr:row>
      <xdr:rowOff>104361</xdr:rowOff>
    </xdr:to>
    <xdr:graphicFrame>
      <xdr:nvGraphicFramePr>
        <xdr:cNvPr id="44" name="Chart 43"/>
        <xdr:cNvGraphicFramePr/>
      </xdr:nvGraphicFramePr>
      <xdr:xfrm>
        <a:off x="3300095" y="192838070"/>
        <a:ext cx="8119745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</xdr:col>
      <xdr:colOff>10589</xdr:colOff>
      <xdr:row>1043</xdr:row>
      <xdr:rowOff>46565</xdr:rowOff>
    </xdr:from>
    <xdr:to>
      <xdr:col>10</xdr:col>
      <xdr:colOff>515414</xdr:colOff>
      <xdr:row>1061</xdr:row>
      <xdr:rowOff>148165</xdr:rowOff>
    </xdr:to>
    <xdr:graphicFrame>
      <xdr:nvGraphicFramePr>
        <xdr:cNvPr id="46" name="Chart 45"/>
        <xdr:cNvGraphicFramePr/>
      </xdr:nvGraphicFramePr>
      <xdr:xfrm>
        <a:off x="3190240" y="202138915"/>
        <a:ext cx="556450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38</xdr:col>
      <xdr:colOff>661144</xdr:colOff>
      <xdr:row>159</xdr:row>
      <xdr:rowOff>190499</xdr:rowOff>
    </xdr:from>
    <xdr:to>
      <xdr:col>43</xdr:col>
      <xdr:colOff>299194</xdr:colOff>
      <xdr:row>175</xdr:row>
      <xdr:rowOff>158749</xdr:rowOff>
    </xdr:to>
    <xdr:graphicFrame>
      <xdr:nvGraphicFramePr>
        <xdr:cNvPr id="3" name="Tigr_Exhibit9633"/>
        <xdr:cNvGraphicFramePr/>
      </xdr:nvGraphicFramePr>
      <xdr:xfrm>
        <a:off x="10688955" y="25069165"/>
        <a:ext cx="5226050" cy="3016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65</xdr:col>
      <xdr:colOff>537881</xdr:colOff>
      <xdr:row>106</xdr:row>
      <xdr:rowOff>145677</xdr:rowOff>
    </xdr:from>
    <xdr:to>
      <xdr:col>73</xdr:col>
      <xdr:colOff>461681</xdr:colOff>
      <xdr:row>132</xdr:row>
      <xdr:rowOff>142502</xdr:rowOff>
    </xdr:to>
    <xdr:graphicFrame>
      <xdr:nvGraphicFramePr>
        <xdr:cNvPr id="4" name="Tigr_Exhibit1952"/>
        <xdr:cNvGraphicFramePr/>
      </xdr:nvGraphicFramePr>
      <xdr:xfrm>
        <a:off x="47934245" y="16071215"/>
        <a:ext cx="37637720" cy="3806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627529</xdr:colOff>
      <xdr:row>107</xdr:row>
      <xdr:rowOff>62754</xdr:rowOff>
    </xdr:from>
    <xdr:to>
      <xdr:col>43</xdr:col>
      <xdr:colOff>265579</xdr:colOff>
      <xdr:row>128</xdr:row>
      <xdr:rowOff>31004</xdr:rowOff>
    </xdr:to>
    <xdr:graphicFrame>
      <xdr:nvGraphicFramePr>
        <xdr:cNvPr id="5" name="Chart 4"/>
        <xdr:cNvGraphicFramePr/>
      </xdr:nvGraphicFramePr>
      <xdr:xfrm>
        <a:off x="10655300" y="16178530"/>
        <a:ext cx="5226050" cy="3016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5953</xdr:colOff>
      <xdr:row>355</xdr:row>
      <xdr:rowOff>11905</xdr:rowOff>
    </xdr:from>
    <xdr:to>
      <xdr:col>10</xdr:col>
      <xdr:colOff>644128</xdr:colOff>
      <xdr:row>370</xdr:row>
      <xdr:rowOff>170655</xdr:rowOff>
    </xdr:to>
    <xdr:graphicFrame>
      <xdr:nvGraphicFramePr>
        <xdr:cNvPr id="2" name="Chart 1"/>
        <xdr:cNvGraphicFramePr/>
      </xdr:nvGraphicFramePr>
      <xdr:xfrm>
        <a:off x="1991360" y="74929365"/>
        <a:ext cx="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61515</xdr:colOff>
      <xdr:row>199</xdr:row>
      <xdr:rowOff>73025</xdr:rowOff>
    </xdr:from>
    <xdr:to>
      <xdr:col>12</xdr:col>
      <xdr:colOff>699690</xdr:colOff>
      <xdr:row>215</xdr:row>
      <xdr:rowOff>41275</xdr:rowOff>
    </xdr:to>
    <xdr:graphicFrame>
      <xdr:nvGraphicFramePr>
        <xdr:cNvPr id="3" name="Chart 2"/>
        <xdr:cNvGraphicFramePr/>
      </xdr:nvGraphicFramePr>
      <xdr:xfrm>
        <a:off x="1991360" y="41706800"/>
        <a:ext cx="1461135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41671</xdr:colOff>
      <xdr:row>317</xdr:row>
      <xdr:rowOff>80963</xdr:rowOff>
    </xdr:from>
    <xdr:to>
      <xdr:col>10</xdr:col>
      <xdr:colOff>679846</xdr:colOff>
      <xdr:row>333</xdr:row>
      <xdr:rowOff>49213</xdr:rowOff>
    </xdr:to>
    <xdr:graphicFrame>
      <xdr:nvGraphicFramePr>
        <xdr:cNvPr id="4" name="Chart 3"/>
        <xdr:cNvGraphicFramePr/>
      </xdr:nvGraphicFramePr>
      <xdr:xfrm>
        <a:off x="1991360" y="66890900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17859</xdr:colOff>
      <xdr:row>298</xdr:row>
      <xdr:rowOff>9525</xdr:rowOff>
    </xdr:from>
    <xdr:to>
      <xdr:col>10</xdr:col>
      <xdr:colOff>656034</xdr:colOff>
      <xdr:row>313</xdr:row>
      <xdr:rowOff>168275</xdr:rowOff>
    </xdr:to>
    <xdr:graphicFrame>
      <xdr:nvGraphicFramePr>
        <xdr:cNvPr id="7" name="Chart 6"/>
        <xdr:cNvGraphicFramePr/>
      </xdr:nvGraphicFramePr>
      <xdr:xfrm>
        <a:off x="1991360" y="62765940"/>
        <a:ext cx="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41671</xdr:colOff>
      <xdr:row>375</xdr:row>
      <xdr:rowOff>45245</xdr:rowOff>
    </xdr:from>
    <xdr:to>
      <xdr:col>10</xdr:col>
      <xdr:colOff>679846</xdr:colOff>
      <xdr:row>391</xdr:row>
      <xdr:rowOff>13495</xdr:rowOff>
    </xdr:to>
    <xdr:graphicFrame>
      <xdr:nvGraphicFramePr>
        <xdr:cNvPr id="11" name="Chart 10"/>
        <xdr:cNvGraphicFramePr/>
      </xdr:nvGraphicFramePr>
      <xdr:xfrm>
        <a:off x="1991360" y="79230220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833438</xdr:colOff>
      <xdr:row>179</xdr:row>
      <xdr:rowOff>154782</xdr:rowOff>
    </xdr:from>
    <xdr:to>
      <xdr:col>10</xdr:col>
      <xdr:colOff>623888</xdr:colOff>
      <xdr:row>195</xdr:row>
      <xdr:rowOff>123032</xdr:rowOff>
    </xdr:to>
    <xdr:graphicFrame>
      <xdr:nvGraphicFramePr>
        <xdr:cNvPr id="12" name="Chart 11"/>
        <xdr:cNvGraphicFramePr/>
      </xdr:nvGraphicFramePr>
      <xdr:xfrm>
        <a:off x="1991360" y="37520880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41670</xdr:colOff>
      <xdr:row>227</xdr:row>
      <xdr:rowOff>21431</xdr:rowOff>
    </xdr:from>
    <xdr:to>
      <xdr:col>10</xdr:col>
      <xdr:colOff>679845</xdr:colOff>
      <xdr:row>242</xdr:row>
      <xdr:rowOff>180181</xdr:rowOff>
    </xdr:to>
    <xdr:graphicFrame>
      <xdr:nvGraphicFramePr>
        <xdr:cNvPr id="13" name="Chart 12"/>
        <xdr:cNvGraphicFramePr/>
      </xdr:nvGraphicFramePr>
      <xdr:xfrm>
        <a:off x="1991360" y="47628810"/>
        <a:ext cx="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208357</xdr:colOff>
      <xdr:row>247</xdr:row>
      <xdr:rowOff>176212</xdr:rowOff>
    </xdr:from>
    <xdr:to>
      <xdr:col>10</xdr:col>
      <xdr:colOff>846532</xdr:colOff>
      <xdr:row>263</xdr:row>
      <xdr:rowOff>144462</xdr:rowOff>
    </xdr:to>
    <xdr:graphicFrame>
      <xdr:nvGraphicFramePr>
        <xdr:cNvPr id="14" name="Chart 13"/>
        <xdr:cNvGraphicFramePr/>
      </xdr:nvGraphicFramePr>
      <xdr:xfrm>
        <a:off x="1991360" y="52050950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89296</xdr:colOff>
      <xdr:row>336</xdr:row>
      <xdr:rowOff>33338</xdr:rowOff>
    </xdr:from>
    <xdr:to>
      <xdr:col>10</xdr:col>
      <xdr:colOff>727471</xdr:colOff>
      <xdr:row>352</xdr:row>
      <xdr:rowOff>1588</xdr:rowOff>
    </xdr:to>
    <xdr:graphicFrame>
      <xdr:nvGraphicFramePr>
        <xdr:cNvPr id="16" name="Chart 15"/>
        <xdr:cNvGraphicFramePr/>
      </xdr:nvGraphicFramePr>
      <xdr:xfrm>
        <a:off x="1991360" y="70897115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839389</xdr:colOff>
      <xdr:row>399</xdr:row>
      <xdr:rowOff>188118</xdr:rowOff>
    </xdr:from>
    <xdr:to>
      <xdr:col>10</xdr:col>
      <xdr:colOff>629839</xdr:colOff>
      <xdr:row>415</xdr:row>
      <xdr:rowOff>156368</xdr:rowOff>
    </xdr:to>
    <xdr:graphicFrame>
      <xdr:nvGraphicFramePr>
        <xdr:cNvPr id="17" name="Chart 16"/>
        <xdr:cNvGraphicFramePr/>
      </xdr:nvGraphicFramePr>
      <xdr:xfrm>
        <a:off x="1991360" y="84493735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23810</xdr:colOff>
      <xdr:row>421</xdr:row>
      <xdr:rowOff>3570</xdr:rowOff>
    </xdr:from>
    <xdr:to>
      <xdr:col>11</xdr:col>
      <xdr:colOff>661985</xdr:colOff>
      <xdr:row>436</xdr:row>
      <xdr:rowOff>162320</xdr:rowOff>
    </xdr:to>
    <xdr:graphicFrame>
      <xdr:nvGraphicFramePr>
        <xdr:cNvPr id="19" name="Chart 18"/>
        <xdr:cNvGraphicFramePr/>
      </xdr:nvGraphicFramePr>
      <xdr:xfrm>
        <a:off x="1991360" y="89002870"/>
        <a:ext cx="66167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847724</xdr:colOff>
      <xdr:row>400</xdr:row>
      <xdr:rowOff>0</xdr:rowOff>
    </xdr:from>
    <xdr:to>
      <xdr:col>17</xdr:col>
      <xdr:colOff>238124</xdr:colOff>
      <xdr:row>415</xdr:row>
      <xdr:rowOff>158750</xdr:rowOff>
    </xdr:to>
    <xdr:graphicFrame>
      <xdr:nvGraphicFramePr>
        <xdr:cNvPr id="20" name="Chart 19"/>
        <xdr:cNvGraphicFramePr/>
      </xdr:nvGraphicFramePr>
      <xdr:xfrm>
        <a:off x="2753360" y="84519135"/>
        <a:ext cx="413893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470295</xdr:colOff>
      <xdr:row>227</xdr:row>
      <xdr:rowOff>33337</xdr:rowOff>
    </xdr:from>
    <xdr:to>
      <xdr:col>16</xdr:col>
      <xdr:colOff>908445</xdr:colOff>
      <xdr:row>243</xdr:row>
      <xdr:rowOff>1587</xdr:rowOff>
    </xdr:to>
    <xdr:graphicFrame>
      <xdr:nvGraphicFramePr>
        <xdr:cNvPr id="5" name="Chart 4"/>
        <xdr:cNvGraphicFramePr/>
      </xdr:nvGraphicFramePr>
      <xdr:xfrm>
        <a:off x="2461260" y="47640875"/>
        <a:ext cx="419354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41671</xdr:colOff>
      <xdr:row>443</xdr:row>
      <xdr:rowOff>176212</xdr:rowOff>
    </xdr:from>
    <xdr:to>
      <xdr:col>8</xdr:col>
      <xdr:colOff>679846</xdr:colOff>
      <xdr:row>459</xdr:row>
      <xdr:rowOff>144462</xdr:rowOff>
    </xdr:to>
    <xdr:graphicFrame>
      <xdr:nvGraphicFramePr>
        <xdr:cNvPr id="6" name="Chart 5"/>
        <xdr:cNvGraphicFramePr/>
      </xdr:nvGraphicFramePr>
      <xdr:xfrm>
        <a:off x="1991360" y="93869510"/>
        <a:ext cx="0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33337</xdr:colOff>
      <xdr:row>37</xdr:row>
      <xdr:rowOff>33337</xdr:rowOff>
    </xdr:from>
    <xdr:to>
      <xdr:col>4</xdr:col>
      <xdr:colOff>481012</xdr:colOff>
      <xdr:row>55</xdr:row>
      <xdr:rowOff>134937</xdr:rowOff>
    </xdr:to>
    <xdr:graphicFrame>
      <xdr:nvGraphicFramePr>
        <xdr:cNvPr id="2" name="Chart 1"/>
        <xdr:cNvGraphicFramePr/>
      </xdr:nvGraphicFramePr>
      <xdr:xfrm>
        <a:off x="683260" y="7175500"/>
        <a:ext cx="5172075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12</xdr:row>
      <xdr:rowOff>14287</xdr:rowOff>
    </xdr:from>
    <xdr:to>
      <xdr:col>5</xdr:col>
      <xdr:colOff>695325</xdr:colOff>
      <xdr:row>30</xdr:row>
      <xdr:rowOff>115887</xdr:rowOff>
    </xdr:to>
    <xdr:graphicFrame>
      <xdr:nvGraphicFramePr>
        <xdr:cNvPr id="2" name="Chart 1"/>
        <xdr:cNvGraphicFramePr/>
      </xdr:nvGraphicFramePr>
      <xdr:xfrm>
        <a:off x="1492885" y="2330450"/>
        <a:ext cx="515620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</xdr:colOff>
      <xdr:row>41</xdr:row>
      <xdr:rowOff>23812</xdr:rowOff>
    </xdr:from>
    <xdr:to>
      <xdr:col>5</xdr:col>
      <xdr:colOff>700087</xdr:colOff>
      <xdr:row>59</xdr:row>
      <xdr:rowOff>125412</xdr:rowOff>
    </xdr:to>
    <xdr:graphicFrame>
      <xdr:nvGraphicFramePr>
        <xdr:cNvPr id="3" name="Chart 2"/>
        <xdr:cNvGraphicFramePr/>
      </xdr:nvGraphicFramePr>
      <xdr:xfrm>
        <a:off x="1497330" y="7938135"/>
        <a:ext cx="5156200" cy="357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50</xdr:col>
      <xdr:colOff>133350</xdr:colOff>
      <xdr:row>3</xdr:row>
      <xdr:rowOff>0</xdr:rowOff>
    </xdr:from>
    <xdr:to>
      <xdr:col>58</xdr:col>
      <xdr:colOff>381000</xdr:colOff>
      <xdr:row>3</xdr:row>
      <xdr:rowOff>0</xdr:rowOff>
    </xdr:to>
    <xdr:graphicFrame>
      <xdr:nvGraphicFramePr>
        <xdr:cNvPr id="2" name="Chart 10246"/>
        <xdr:cNvGraphicFramePr/>
      </xdr:nvGraphicFramePr>
      <xdr:xfrm>
        <a:off x="243241830" y="571500"/>
        <a:ext cx="4125341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133350</xdr:colOff>
      <xdr:row>3</xdr:row>
      <xdr:rowOff>0</xdr:rowOff>
    </xdr:from>
    <xdr:to>
      <xdr:col>58</xdr:col>
      <xdr:colOff>381000</xdr:colOff>
      <xdr:row>3</xdr:row>
      <xdr:rowOff>0</xdr:rowOff>
    </xdr:to>
    <xdr:graphicFrame>
      <xdr:nvGraphicFramePr>
        <xdr:cNvPr id="3" name="Chart 10247"/>
        <xdr:cNvGraphicFramePr/>
      </xdr:nvGraphicFramePr>
      <xdr:xfrm>
        <a:off x="243241830" y="571500"/>
        <a:ext cx="4125341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219157</xdr:colOff>
      <xdr:row>4</xdr:row>
      <xdr:rowOff>113498</xdr:rowOff>
    </xdr:from>
    <xdr:to>
      <xdr:col>65</xdr:col>
      <xdr:colOff>489858</xdr:colOff>
      <xdr:row>25</xdr:row>
      <xdr:rowOff>72837</xdr:rowOff>
    </xdr:to>
    <xdr:graphicFrame>
      <xdr:nvGraphicFramePr>
        <xdr:cNvPr id="4" name="Tigr_Exhibit2445"/>
        <xdr:cNvGraphicFramePr/>
      </xdr:nvGraphicFramePr>
      <xdr:xfrm>
        <a:off x="274904835" y="875030"/>
        <a:ext cx="42698670" cy="1791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184097</xdr:colOff>
      <xdr:row>340</xdr:row>
      <xdr:rowOff>76987</xdr:rowOff>
    </xdr:from>
    <xdr:to>
      <xdr:col>38</xdr:col>
      <xdr:colOff>403172</xdr:colOff>
      <xdr:row>361</xdr:row>
      <xdr:rowOff>45237</xdr:rowOff>
    </xdr:to>
    <xdr:graphicFrame>
      <xdr:nvGraphicFramePr>
        <xdr:cNvPr id="5" name="Tigr_Exhibit2517"/>
        <xdr:cNvGraphicFramePr/>
      </xdr:nvGraphicFramePr>
      <xdr:xfrm>
        <a:off x="132984875" y="41719500"/>
        <a:ext cx="35707955" cy="1759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63312</xdr:colOff>
      <xdr:row>316</xdr:row>
      <xdr:rowOff>74439</xdr:rowOff>
    </xdr:from>
    <xdr:to>
      <xdr:col>38</xdr:col>
      <xdr:colOff>282387</xdr:colOff>
      <xdr:row>339</xdr:row>
      <xdr:rowOff>4589</xdr:rowOff>
    </xdr:to>
    <xdr:graphicFrame>
      <xdr:nvGraphicFramePr>
        <xdr:cNvPr id="6" name="Tigr_Exhibit2757"/>
        <xdr:cNvGraphicFramePr/>
      </xdr:nvGraphicFramePr>
      <xdr:xfrm>
        <a:off x="132864225" y="38936295"/>
        <a:ext cx="35707955" cy="2783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27215</xdr:colOff>
      <xdr:row>256</xdr:row>
      <xdr:rowOff>136071</xdr:rowOff>
    </xdr:from>
    <xdr:to>
      <xdr:col>37</xdr:col>
      <xdr:colOff>1020536</xdr:colOff>
      <xdr:row>282</xdr:row>
      <xdr:rowOff>81642</xdr:rowOff>
    </xdr:to>
    <xdr:graphicFrame>
      <xdr:nvGraphicFramePr>
        <xdr:cNvPr id="7" name="Chart 6"/>
        <xdr:cNvGraphicFramePr/>
      </xdr:nvGraphicFramePr>
      <xdr:xfrm>
        <a:off x="109053630" y="38862000"/>
        <a:ext cx="4923345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27215</xdr:colOff>
      <xdr:row>282</xdr:row>
      <xdr:rowOff>136071</xdr:rowOff>
    </xdr:from>
    <xdr:to>
      <xdr:col>37</xdr:col>
      <xdr:colOff>1020536</xdr:colOff>
      <xdr:row>308</xdr:row>
      <xdr:rowOff>81642</xdr:rowOff>
    </xdr:to>
    <xdr:graphicFrame>
      <xdr:nvGraphicFramePr>
        <xdr:cNvPr id="8" name="Chart 7"/>
        <xdr:cNvGraphicFramePr/>
      </xdr:nvGraphicFramePr>
      <xdr:xfrm>
        <a:off x="109053630" y="38862000"/>
        <a:ext cx="4923345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-1</xdr:colOff>
      <xdr:row>27</xdr:row>
      <xdr:rowOff>0</xdr:rowOff>
    </xdr:from>
    <xdr:to>
      <xdr:col>63</xdr:col>
      <xdr:colOff>489856</xdr:colOff>
      <xdr:row>44</xdr:row>
      <xdr:rowOff>89807</xdr:rowOff>
    </xdr:to>
    <xdr:graphicFrame>
      <xdr:nvGraphicFramePr>
        <xdr:cNvPr id="9" name="Tigr_Exhibit1815"/>
        <xdr:cNvGraphicFramePr/>
      </xdr:nvGraphicFramePr>
      <xdr:xfrm>
        <a:off x="274685125" y="2857500"/>
        <a:ext cx="33489900" cy="332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1251857</xdr:colOff>
      <xdr:row>369</xdr:row>
      <xdr:rowOff>54429</xdr:rowOff>
    </xdr:from>
    <xdr:to>
      <xdr:col>38</xdr:col>
      <xdr:colOff>51707</xdr:colOff>
      <xdr:row>389</xdr:row>
      <xdr:rowOff>22679</xdr:rowOff>
    </xdr:to>
    <xdr:graphicFrame>
      <xdr:nvGraphicFramePr>
        <xdr:cNvPr id="10" name="Tigr_Exhibit4908"/>
        <xdr:cNvGraphicFramePr/>
      </xdr:nvGraphicFramePr>
      <xdr:xfrm>
        <a:off x="123222385" y="45011975"/>
        <a:ext cx="45119290" cy="377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38</xdr:row>
      <xdr:rowOff>0</xdr:rowOff>
    </xdr:from>
    <xdr:to>
      <xdr:col>51</xdr:col>
      <xdr:colOff>605118</xdr:colOff>
      <xdr:row>55</xdr:row>
      <xdr:rowOff>87406</xdr:rowOff>
    </xdr:to>
    <xdr:graphicFrame>
      <xdr:nvGraphicFramePr>
        <xdr:cNvPr id="11" name="Tigr_Exhibit3294"/>
        <xdr:cNvGraphicFramePr/>
      </xdr:nvGraphicFramePr>
      <xdr:xfrm>
        <a:off x="214050880" y="4953000"/>
        <a:ext cx="35473640" cy="3325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64</xdr:col>
      <xdr:colOff>0</xdr:colOff>
      <xdr:row>27</xdr:row>
      <xdr:rowOff>0</xdr:rowOff>
    </xdr:from>
    <xdr:to>
      <xdr:col>71</xdr:col>
      <xdr:colOff>489857</xdr:colOff>
      <xdr:row>44</xdr:row>
      <xdr:rowOff>89807</xdr:rowOff>
    </xdr:to>
    <xdr:graphicFrame>
      <xdr:nvGraphicFramePr>
        <xdr:cNvPr id="12" name="Tigr_Exhibit2857"/>
        <xdr:cNvGraphicFramePr/>
      </xdr:nvGraphicFramePr>
      <xdr:xfrm>
        <a:off x="312399680" y="2857500"/>
        <a:ext cx="33489265" cy="332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230</xdr:row>
      <xdr:rowOff>0</xdr:rowOff>
    </xdr:from>
    <xdr:to>
      <xdr:col>46</xdr:col>
      <xdr:colOff>489857</xdr:colOff>
      <xdr:row>248</xdr:row>
      <xdr:rowOff>48985</xdr:rowOff>
    </xdr:to>
    <xdr:graphicFrame>
      <xdr:nvGraphicFramePr>
        <xdr:cNvPr id="13" name="Tigr_Exhibit8045"/>
        <xdr:cNvGraphicFramePr/>
      </xdr:nvGraphicFramePr>
      <xdr:xfrm>
        <a:off x="184485280" y="38862000"/>
        <a:ext cx="3586670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66</xdr:col>
      <xdr:colOff>0</xdr:colOff>
      <xdr:row>5</xdr:row>
      <xdr:rowOff>0</xdr:rowOff>
    </xdr:from>
    <xdr:to>
      <xdr:col>75</xdr:col>
      <xdr:colOff>270700</xdr:colOff>
      <xdr:row>25</xdr:row>
      <xdr:rowOff>122624</xdr:rowOff>
    </xdr:to>
    <xdr:graphicFrame>
      <xdr:nvGraphicFramePr>
        <xdr:cNvPr id="14" name="Tigr_Exhibit1945"/>
        <xdr:cNvGraphicFramePr/>
      </xdr:nvGraphicFramePr>
      <xdr:xfrm>
        <a:off x="321828160" y="952500"/>
        <a:ext cx="42698670" cy="171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340179</xdr:colOff>
      <xdr:row>94</xdr:row>
      <xdr:rowOff>108857</xdr:rowOff>
    </xdr:from>
    <xdr:to>
      <xdr:col>39</xdr:col>
      <xdr:colOff>530679</xdr:colOff>
      <xdr:row>118</xdr:row>
      <xdr:rowOff>68036</xdr:rowOff>
    </xdr:to>
    <xdr:graphicFrame>
      <xdr:nvGraphicFramePr>
        <xdr:cNvPr id="15" name="Tigr_Exhibit2149"/>
        <xdr:cNvGraphicFramePr/>
      </xdr:nvGraphicFramePr>
      <xdr:xfrm>
        <a:off x="122310525" y="15729585"/>
        <a:ext cx="55521860" cy="45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44</xdr:col>
      <xdr:colOff>0</xdr:colOff>
      <xdr:row>367</xdr:row>
      <xdr:rowOff>0</xdr:rowOff>
    </xdr:from>
    <xdr:to>
      <xdr:col>50</xdr:col>
      <xdr:colOff>554692</xdr:colOff>
      <xdr:row>385</xdr:row>
      <xdr:rowOff>137832</xdr:rowOff>
    </xdr:to>
    <xdr:graphicFrame>
      <xdr:nvGraphicFramePr>
        <xdr:cNvPr id="16" name="Chart 15"/>
        <xdr:cNvGraphicFramePr/>
      </xdr:nvGraphicFramePr>
      <xdr:xfrm>
        <a:off x="207528160" y="44577000"/>
        <a:ext cx="36134675" cy="356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51</xdr:col>
      <xdr:colOff>0</xdr:colOff>
      <xdr:row>367</xdr:row>
      <xdr:rowOff>0</xdr:rowOff>
    </xdr:from>
    <xdr:to>
      <xdr:col>59</xdr:col>
      <xdr:colOff>108857</xdr:colOff>
      <xdr:row>387</xdr:row>
      <xdr:rowOff>59871</xdr:rowOff>
    </xdr:to>
    <xdr:graphicFrame>
      <xdr:nvGraphicFramePr>
        <xdr:cNvPr id="17" name="Tigr_Exhibit1754"/>
        <xdr:cNvGraphicFramePr/>
      </xdr:nvGraphicFramePr>
      <xdr:xfrm>
        <a:off x="248920000" y="44577000"/>
        <a:ext cx="40017065" cy="3869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34</xdr:col>
      <xdr:colOff>20411</xdr:colOff>
      <xdr:row>9</xdr:row>
      <xdr:rowOff>50345</xdr:rowOff>
    </xdr:from>
    <xdr:to>
      <xdr:col>38</xdr:col>
      <xdr:colOff>239486</xdr:colOff>
      <xdr:row>27</xdr:row>
      <xdr:rowOff>151945</xdr:rowOff>
    </xdr:to>
    <xdr:graphicFrame>
      <xdr:nvGraphicFramePr>
        <xdr:cNvPr id="18" name="Chart 17"/>
        <xdr:cNvGraphicFramePr/>
      </xdr:nvGraphicFramePr>
      <xdr:xfrm>
        <a:off x="132821680" y="1764665"/>
        <a:ext cx="35707955" cy="124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0.10566</cdr:x>
      <cdr:y>0.58896</cdr:y>
    </cdr:from>
    <cdr:to>
      <cdr:x>0.95764</cdr:x>
      <cdr:y>0.65723</cdr:y>
    </cdr:to>
    <cdr:sp>
      <cdr:nvSpPr>
        <cdr:cNvPr id="2" name="直接箭头连接符 1"/>
        <cdr:cNvSpPr/>
      </cdr:nvSpPr>
      <cdr:spPr xmlns:a="http://schemas.openxmlformats.org/drawingml/2006/main">
        <a:xfrm xmlns:a="http://schemas.openxmlformats.org/drawingml/2006/main" flipV="1">
          <a:off x="610878" y="1995584"/>
          <a:ext cx="4925786" cy="231345"/>
        </a:xfrm>
        <a:prstGeom xmlns:a="http://schemas.openxmlformats.org/drawingml/2006/main" prst="straightConnector1">
          <a:avLst/>
        </a:prstGeom>
        <a:ln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 vertOverflow="clip"/>
        <a:lstStyle/>
        <a:p>
          <a:endParaRPr lang="en-GB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0.55308</cdr:x>
      <cdr:y>0.61844</cdr:y>
    </cdr:from>
    <cdr:to>
      <cdr:x>0.96259</cdr:x>
      <cdr:y>0.70679</cdr:y>
    </cdr:to>
    <cdr:sp>
      <cdr:nvSpPr>
        <cdr:cNvPr id="2" name="直接箭头连接符 1"/>
        <cdr:cNvSpPr/>
      </cdr:nvSpPr>
      <cdr:spPr xmlns:a="http://schemas.openxmlformats.org/drawingml/2006/main">
        <a:xfrm xmlns:a="http://schemas.openxmlformats.org/drawingml/2006/main" flipV="1">
          <a:off x="3197677" y="2095500"/>
          <a:ext cx="2367644" cy="299358"/>
        </a:xfrm>
        <a:prstGeom xmlns:a="http://schemas.openxmlformats.org/drawingml/2006/main" prst="straightConnector1">
          <a:avLst/>
        </a:prstGeom>
        <a:ln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 vertOverflow="clip"/>
        <a:lstStyle/>
        <a:p>
          <a:endParaRPr lang="en-GB"/>
        </a:p>
      </cdr:txBody>
    </cdr:sp>
  </cdr:relSizeAnchor>
</c:userShapes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130628</xdr:colOff>
      <xdr:row>360</xdr:row>
      <xdr:rowOff>50346</xdr:rowOff>
    </xdr:from>
    <xdr:to>
      <xdr:col>24</xdr:col>
      <xdr:colOff>390525</xdr:colOff>
      <xdr:row>381</xdr:row>
      <xdr:rowOff>104774</xdr:rowOff>
    </xdr:to>
    <xdr:graphicFrame>
      <xdr:nvGraphicFramePr>
        <xdr:cNvPr id="64003496" name="Tigr_Exhibit2715"/>
        <xdr:cNvGraphicFramePr/>
      </xdr:nvGraphicFramePr>
      <xdr:xfrm>
        <a:off x="17960975" y="43291125"/>
        <a:ext cx="5685790" cy="410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462643</xdr:colOff>
      <xdr:row>256</xdr:row>
      <xdr:rowOff>87086</xdr:rowOff>
    </xdr:from>
    <xdr:to>
      <xdr:col>33</xdr:col>
      <xdr:colOff>504825</xdr:colOff>
      <xdr:row>278</xdr:row>
      <xdr:rowOff>58511</xdr:rowOff>
    </xdr:to>
    <xdr:graphicFrame>
      <xdr:nvGraphicFramePr>
        <xdr:cNvPr id="64003497" name="Tigr_Exhibit5464"/>
        <xdr:cNvGraphicFramePr/>
      </xdr:nvGraphicFramePr>
      <xdr:xfrm>
        <a:off x="26431240" y="32131635"/>
        <a:ext cx="5467985" cy="4218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280307</xdr:colOff>
      <xdr:row>248</xdr:row>
      <xdr:rowOff>48986</xdr:rowOff>
    </xdr:from>
    <xdr:to>
      <xdr:col>28</xdr:col>
      <xdr:colOff>21771</xdr:colOff>
      <xdr:row>273</xdr:row>
      <xdr:rowOff>20411</xdr:rowOff>
    </xdr:to>
    <xdr:graphicFrame>
      <xdr:nvGraphicFramePr>
        <xdr:cNvPr id="64003498" name="Tigr_Exhibit1704"/>
        <xdr:cNvGraphicFramePr/>
      </xdr:nvGraphicFramePr>
      <xdr:xfrm>
        <a:off x="22632035" y="30549215"/>
        <a:ext cx="4262755" cy="479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595993</xdr:colOff>
      <xdr:row>32</xdr:row>
      <xdr:rowOff>145597</xdr:rowOff>
    </xdr:from>
    <xdr:to>
      <xdr:col>29</xdr:col>
      <xdr:colOff>55789</xdr:colOff>
      <xdr:row>53</xdr:row>
      <xdr:rowOff>119743</xdr:rowOff>
    </xdr:to>
    <xdr:graphicFrame>
      <xdr:nvGraphicFramePr>
        <xdr:cNvPr id="64003499" name="Tigr_Exhibit1698"/>
        <xdr:cNvGraphicFramePr/>
      </xdr:nvGraphicFramePr>
      <xdr:xfrm>
        <a:off x="22947630" y="6322695"/>
        <a:ext cx="4885055" cy="402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221796</xdr:colOff>
      <xdr:row>2</xdr:row>
      <xdr:rowOff>136072</xdr:rowOff>
    </xdr:from>
    <xdr:to>
      <xdr:col>30</xdr:col>
      <xdr:colOff>394608</xdr:colOff>
      <xdr:row>21</xdr:row>
      <xdr:rowOff>81643</xdr:rowOff>
    </xdr:to>
    <xdr:graphicFrame>
      <xdr:nvGraphicFramePr>
        <xdr:cNvPr id="64003500" name="Tigr_Exhibit3414"/>
        <xdr:cNvGraphicFramePr/>
      </xdr:nvGraphicFramePr>
      <xdr:xfrm>
        <a:off x="22573615" y="521970"/>
        <a:ext cx="6502400" cy="361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322489</xdr:colOff>
      <xdr:row>178</xdr:row>
      <xdr:rowOff>114300</xdr:rowOff>
    </xdr:from>
    <xdr:to>
      <xdr:col>28</xdr:col>
      <xdr:colOff>130628</xdr:colOff>
      <xdr:row>247</xdr:row>
      <xdr:rowOff>31297</xdr:rowOff>
    </xdr:to>
    <xdr:graphicFrame>
      <xdr:nvGraphicFramePr>
        <xdr:cNvPr id="64003501" name="Tigr_Exhibit2700"/>
        <xdr:cNvGraphicFramePr/>
      </xdr:nvGraphicFramePr>
      <xdr:xfrm>
        <a:off x="22673945" y="26174700"/>
        <a:ext cx="4329430" cy="4163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327932</xdr:colOff>
      <xdr:row>34</xdr:row>
      <xdr:rowOff>87087</xdr:rowOff>
    </xdr:from>
    <xdr:to>
      <xdr:col>34</xdr:col>
      <xdr:colOff>708932</xdr:colOff>
      <xdr:row>53</xdr:row>
      <xdr:rowOff>54429</xdr:rowOff>
    </xdr:to>
    <xdr:graphicFrame>
      <xdr:nvGraphicFramePr>
        <xdr:cNvPr id="64003502" name="Tigr_Exhibit1698"/>
        <xdr:cNvGraphicFramePr/>
      </xdr:nvGraphicFramePr>
      <xdr:xfrm>
        <a:off x="28105100" y="6650355"/>
        <a:ext cx="4902200" cy="3634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55</xdr:row>
      <xdr:rowOff>0</xdr:rowOff>
    </xdr:from>
    <xdr:to>
      <xdr:col>34</xdr:col>
      <xdr:colOff>310699</xdr:colOff>
      <xdr:row>118</xdr:row>
      <xdr:rowOff>4083</xdr:rowOff>
    </xdr:to>
    <xdr:graphicFrame>
      <xdr:nvGraphicFramePr>
        <xdr:cNvPr id="10" name="Tigr_Exhibit2985"/>
        <xdr:cNvGraphicFramePr/>
      </xdr:nvGraphicFramePr>
      <xdr:xfrm>
        <a:off x="23256240" y="10617200"/>
        <a:ext cx="9352915" cy="5022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428625</xdr:colOff>
      <xdr:row>1</xdr:row>
      <xdr:rowOff>47625</xdr:rowOff>
    </xdr:from>
    <xdr:to>
      <xdr:col>32</xdr:col>
      <xdr:colOff>104775</xdr:colOff>
      <xdr:row>33</xdr:row>
      <xdr:rowOff>28575</xdr:rowOff>
    </xdr:to>
    <xdr:graphicFrame>
      <xdr:nvGraphicFramePr>
        <xdr:cNvPr id="45158331" name="Chart 1"/>
        <xdr:cNvGraphicFramePr/>
      </xdr:nvGraphicFramePr>
      <xdr:xfrm>
        <a:off x="16379825" y="240665"/>
        <a:ext cx="11827510" cy="6158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361950</xdr:colOff>
      <xdr:row>38</xdr:row>
      <xdr:rowOff>57150</xdr:rowOff>
    </xdr:from>
    <xdr:to>
      <xdr:col>32</xdr:col>
      <xdr:colOff>38100</xdr:colOff>
      <xdr:row>70</xdr:row>
      <xdr:rowOff>38100</xdr:rowOff>
    </xdr:to>
    <xdr:graphicFrame>
      <xdr:nvGraphicFramePr>
        <xdr:cNvPr id="45158332" name="Chart 2"/>
        <xdr:cNvGraphicFramePr/>
      </xdr:nvGraphicFramePr>
      <xdr:xfrm>
        <a:off x="16313150" y="7392670"/>
        <a:ext cx="11827510" cy="6158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Transport/AIR/b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Zurlo/Telecom%20Argentina/TEOMO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Retail/RETAIL/FOOD/OLD/AHOLD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insurance/warren/123/lifeuk/united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um/IBI/TABLES/VABCO85.XLW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chambr/Local%20Settings/Temporary%20Internet%20Files/OLKB9/Rank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U:/WINDOWS/TEMP/SC_grap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AppData/Microsoft/Excel/Burberry%20Model%20G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U:/UKR/LIVE/SS/EU_INS/STOCKS/AXA/CAR_ex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MBFILE/INDUSTRYRSC/Assicurazioni/Alleanza/Alleb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D:/tmx_vd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TARIFFS/REGIONAL%20FIXED%20LIN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GL/Investcorp/Answers/Due%20Diligence%20-%201012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INDIA/MTNL/Tables-1015W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cache/Temporary%20Internet%20Files/OLKE/STMicroelectronic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France/DOSSIJ/CY-REPOR/SWATCH/Swatch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pharmaceuticals/Sahuv/Valuations/2004/Free%20Cash%20Flow%20Europe%20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Banks/LEADES/EXCEL/Germany/Commerzbank%20Mode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nks/MAUGHS/UK/Models/RBOS%20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ood%20Manufacturing/New%20Team/Elise/DaniscoH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Retail/Apparel%20Footwear%20&amp;%20Accessories%20-%20PAN%20EURO/Hermes/Hermes%20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Insurance/WARREN/123/compuk/roysun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Insurance/WARREN/123/LIFEUK/AxaSu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LOW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TEMP/LIFEMARKE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MBFILE/INDUSTRYRSC/Assicurazioni/Alleanza/Vecchi%20files/studio%20giugno%2099/Alleanza_Cz%20assumptions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ilandro/Excel/company/gymb/Models/CL%20GYMB%20mode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Retail/Apparel%20Footwear%20&amp;%20Accessories%20-%20PAN%20EURO/Burberry/Burberry%20Model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gopalv/Local%20Settings/Temporary%20Internet%20Files/OLK27/ULVRDCFonl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Banks/MAUGHS/UK/Models/RBOS%20mode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Pharmaceuticals/TRACEM/EXCEL/ROCHE/Roche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Oil/NEW_TEAM/Company%20models/BPA_ARCOwi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Germany/DP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CSFB/TEO/TEO_vdf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L'Oreal/L'Oreal%20Main%20Mode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MBFILE/INDUSTRYRSC/Assicurazioni/Varie/Settore/SETTOR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KOREA/KTFreetel/EM-KTFreetelnew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Banks/Andres/Irish/dynamic%20RO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ilandro/excel/company/shrp/model/CL%20SHRP%20mode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ngel/Models/LU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SWATCH/Old%20sheets%20from%20the%20Swatch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tayals/Local%20Settings/Temp/wzcda7/spi1_bil_new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France/ZOGOLG/EXCEL/FRANCE/COSMETIC/Hermes/Hermes/Hermes/Datastrea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Retail/Apparel%20Footwear%20&amp;%20Accessories%20-%20PAN%20EURO/Richemont/Richemont%20Mode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Models/Europe/Data/Cellular_Comparison_ARPU%20etc%20Dec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Models/Italy/Bnl1_bi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Personal%20folders/braunf/Banks%20UK/Barclays/Barclays%20Divisions%20Final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Pharmaceuticals/DRUETM/EXCEL/Mark/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Henkel/Henkel%20Market%20Da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U:/Generali/gennaio/estimat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BASF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Italy/Cpta1_bi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cagnoe/Local%20Settings/Temp/wz1da/Pvr1_bi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Personal%20folders/vindom/Research/ITALY/Report%20sector/Pvr1_bi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E:/OSBD02/Budget02/Version%203/CCOFRIN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THAILAND/TAC/EM-TA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um/ALANIBES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um/ANN/TABLES/ANN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ny02d/Projects/Baum/IBI/TABLES/IPOMISC.XLW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Clarins/ClarinsMode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My%20Documents/NEWTABL1_9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U:/Assicurazioni/Varie/Settore/SETTORE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KOREA/SKT/EM-SKTelecom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2/Banks/Carlo/Excel/Italy/Models/Intes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RFM/1999/99forecas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HONGKONG/HK%20Wireless%20Companies/SMARTONE/EM-SmarTone-new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Transport/AIR/re-initiation/EBITDAR(seat.comp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Personal%20folders/vindom/Research/ITALY/Report%20sector/BPM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cagnoe/Local%20Settings/Temp/wz1da/ISP_clear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parekh/daily/Consensus%20Estimate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Models/Italy/Cpta1_bi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Switzerland/credit%20suisse%20(quantum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SWATCH/SwatchMode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Models/Germany/Published/DBank%20(pub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CHINA/CMHK/Current%20model/EM_CMHK_consolidated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Strachan/DEPT/S/S%20(current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monkey/Local%20Settings/Temporary%20Internet%20Files/Content.IE5/ALN01G7U/Vedio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cache/Temporary%20Internet%20Files/Compas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chnology/Internet/iAsiaWorks/Excel/IASIAWORK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Banks/LEADES/EXCEL/SPAIN/MODELS/Arg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Strachan/DISCOUNT/PCCW/COST%20(quantum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2/Banks/WARDAW/EXCEL/PUBLISHD/BBVa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Transport/Chris/1SUMMARY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Greece/Eurobank_new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Banks/Published%20Models/Spain/BBV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Chemicals/TIM/NEW%20VALUATION/Template_euro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T:/GENERAL/LVMH/LVMH/LVMH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Drinks/New/PRESENT/Sector/Property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VALUATION/valuation/New%20valuation/WEEKLYxl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cache/Temporary%20Internet%20Files/OLK71/FAM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cache/Temporary%20Internet%20Files/OLK71/swyval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um/perfindx/WKLYIDX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nks/TOWNSD/EXCEL/UK/NEWMODEL/HFX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Mager/FOOTWEAR/NKE/MODELS/NK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MAJRCHEM/Models/Dow_Models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Safilo/cache/Temporary%20Internet%20Files/ROH%20mode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TEMP/-%20TEMPLATES/SP%20median%209597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Insurance/Insurance%20Models/Italy/FIBK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Banks/MAUGHS/HSBC%20summary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tayals/Local%20Settings/Temp/wzcda7/UCI/UC%20model%20(2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Report%20Folders/Snapshot/CH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Global%20Quantum%20Prep/Broadlines/Pre%20Macro/Wmt.xlw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ny02s/projects/Abut/Bigio/Moldels/Mexico/Inbursa/Copy%20of%20Model%20GF%20Inbursa%202Q02P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AppData/Microsoft/Excel/FERTS/1SPECIAL/CYTEC/Components%20of%20CYT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Banks/LEADES/EXCEL/SPAIN/MODELS/Bbv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cagnoe/Local%20Settings/Temp/wz1da/Antonveneta1_bil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Personal%20folders/vindom/Research/GREECE/Postal/Copy%20of%20PSB_new_issam's%20modification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GL/RE/01/01/2001%20Est%20vs%2080%20stretch%20plan%20i%20T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France/BNP%20Paribas%20model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Mager/Specialty%20Retail/ANF/Models/ANF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Quantum/GS%20Banks%20Sector%20table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Personal%20folders/santoal/Research/Consensus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Sector%20data/Aggregate%20P&amp;Ls/Aggregate%20P&amp;L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~1/tribous/LOCALS~1/Temp/Stores%20by%20Grade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Retail/MONTHLY/SCOTT/RetailPrice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European%20Banks/Models/Switzerland/Output%20&amp;%20templates/Swiss%20price%20volume%20chart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tayals/Local%20Settings/Temp/wzcda7/Bin_bil_new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Library/CEE%20project/Erste/Erste%20bank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INDIA/MTNL/Tables-101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GL/FB/2003/budget%20package/Financial%20statements%20wo%20walmar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HK01D/projects/GENERAL/TELECOMS/INDIA/MTNL/dem_MTNL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Henkel/Henkel%20Mode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France/DOSSIJ/CY-REPOR/LVMH/Estimates%20after%206%20July%202001/LVMH%20IFR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Switzerland/SUPPORT/Business%20Services/Capita/Capitamisc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Switzerland/SUPPORT/Staff/Spreadsheets/RandstadpreQ302tweek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pharmaceuticals/TRACEM/EXCEL/MERCK/Merck%20KGaA%20for%20e-mai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Strachan/DISCOUNT/DAYTON/DH.xlw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Mager/FOOTWEAR/OO/Models/OO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European%20Banks/Models/Spain/Output%20&amp;%20templates/Spanish%20price%20volume%20charts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iresln01s/res1/Drinks/New/Industry/Theme%20piece/Property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GENERAL/TELECOMS/TAIWAN/Chunghwa/EM-Chunghwa_new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E:/OSBD02/Budget02/Version%203/FRMTSUM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:/CHEMICAL/RK1337/FRM/FRMMOD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Documents%20and%20Settings/cagnoe/Local%20Settings/Temp/wz1da/OLD%20MODELS/Cpta1_bil_ne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U:/Generali/Cartel1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http://tigr.ln.rch.gs.com/M&amp;A/DOYLE/UK/BOAST/UK/BOAST/SPAIN/TAPAS/EPCVAL5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C:/Users/edwric/AppData/Local/Microsoft/Windows/Temporary%20Internet%20Files/Content.Outlook/4R3HS8CT/Currency%20master%20file%20-%20adidas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firmwide.corp.gs.com/root/ln/Retail/GENERAL%20RETAIL/Europe%20Retail/Companies_Europe/PUMA/Puma%20Model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Adidas%20MODEL_OLD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ownloads///fwln063ns.eu.fw.gs.com/edwric_ln_fw/home/Downloads/model%20(5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ar Sheet"/>
      <sheetName val="Q"/>
      <sheetName val="Header"/>
      <sheetName val="Fleet"/>
      <sheetName val="Ratios"/>
      <sheetName val="DCF model"/>
      <sheetName val="P&amp;L"/>
      <sheetName val="Interims"/>
      <sheetName val="Traffic"/>
      <sheetName val="Traffic (2)"/>
      <sheetName val="NX P&amp;L"/>
      <sheetName val="EV-GCI"/>
      <sheetName val="FcF charting"/>
      <sheetName val="Option(1)"/>
      <sheetName val="Option(2)"/>
      <sheetName val="FcFmodel"/>
      <sheetName val="SOP"/>
      <sheetName val="Cash"/>
      <sheetName val="Chart2"/>
      <sheetName val="EVsplit"/>
      <sheetName val="GCI Cash Return"/>
      <sheetName val="Eco.Deprec."/>
      <sheetName val="Cash Tax"/>
      <sheetName val="Report DATA"/>
      <sheetName val="CVA"/>
      <sheetName val="EVA"/>
      <sheetName val="Implied EV"/>
      <sheetName val="Normalised DCF"/>
      <sheetName val="Valuation"/>
      <sheetName val="EV-seat matrix"/>
      <sheetName val="Chart1"/>
      <sheetName val="Monthly"/>
      <sheetName val="Results Analysis"/>
      <sheetName val="Price&amp;MA"/>
      <sheetName val="Price-Vol"/>
      <sheetName val="Consensus"/>
      <sheetName val="EV-IC Chart"/>
      <sheetName val="RATIOPAGE"/>
      <sheetName val="Regionals"/>
      <sheetName val="Non-Core"/>
      <sheetName val="RevRPK"/>
      <sheetName val="CostATK"/>
      <sheetName val="Quantum"/>
      <sheetName val="Disclosures"/>
      <sheetName val="Sheet1"/>
      <sheetName val="Price DATA"/>
      <sheetName val="Volume DATA"/>
      <sheetName val="Fitted Price"/>
      <sheetName val="Module1"/>
      <sheetName val="Q-Old"/>
      <sheetName val="DCF model test"/>
      <sheetName val="ROIC"/>
      <sheetName val="Sheet3"/>
      <sheetName val="Sheet2"/>
      <sheetName val="BA(DCF)"/>
      <sheetName val="BA(BEAR)"/>
      <sheetName val="BA(BULL)"/>
      <sheetName val="dcf summary"/>
      <sheetName val="sensitivity"/>
      <sheetName val="Sheet5"/>
      <sheetName val="Sheet4"/>
      <sheetName val="Reg AC"/>
      <sheetName val="GQ"/>
      <sheetName val="BA(BASE)"/>
      <sheetName val=""/>
      <sheetName val="RANDSTAD (old 4)"/>
      <sheetName val="HDF"/>
      <sheetName val="Interim"/>
      <sheetName val="FMCC"/>
      <sheetName val="Monthly Tr.&amp;Cap."/>
      <sheetName val="Non-Core Holdings"/>
      <sheetName val="Consensus DATA"/>
      <sheetName val="B-S"/>
      <sheetName val="Operating profit"/>
      <sheetName val="Interims ex BA connect "/>
      <sheetName val="DCF 2007"/>
      <sheetName val="EV DACF Calc"/>
      <sheetName val="QP_BAY.L"/>
      <sheetName val="DCF 2008"/>
      <sheetName val="_BAY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Comp"/>
      <sheetName val="Cash-TEO"/>
      <sheetName val="eva"/>
      <sheetName val="Revenues"/>
      <sheetName val="teo model"/>
      <sheetName val="FAME Persistence"/>
      <sheetName val="stats"/>
      <sheetName val="Global Weekly Temp"/>
      <sheetName val="Notex temp"/>
      <sheetName val="DDE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eader"/>
      <sheetName val="Ratios"/>
      <sheetName val="P&amp;L"/>
      <sheetName val="Cash Flow"/>
      <sheetName val="Geographic"/>
      <sheetName val="Divisional"/>
      <sheetName val="N'lands"/>
      <sheetName val="Europe"/>
      <sheetName val="US"/>
      <sheetName val="Main model"/>
      <sheetName val="NEW FINANCIALS"/>
      <sheetName val="AHOLD1"/>
      <sheetName val="Main Model Cons"/>
      <sheetName val="CROCIWACC"/>
      <sheetName val="Main Model (Lux)"/>
      <sheetName val="MARKET"/>
      <sheetName val="Annual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nitedx"/>
      <sheetName val="EV Model"/>
      <sheetName val="Statutory Summary"/>
      <sheetName val="Achieved Profits"/>
      <sheetName val="Achieved Summary"/>
      <sheetName val="Sheet2"/>
      <sheetName val="Sheet1"/>
      <sheetName val="GS Forecasts"/>
      <sheetName val="roysuna"/>
      <sheetName val="indepe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ABQORF"/>
      <sheetName val="VABINC"/>
      <sheetName val="VABopr"/>
      <sheetName val="VABBIZ"/>
      <sheetName val="VSSspace"/>
      <sheetName val="BBWspace"/>
      <sheetName val="qtrly-div2"/>
      <sheetName val="FAME Persistence"/>
      <sheetName val="IBIQTR"/>
      <sheetName val="VABANN"/>
      <sheetName val="IBICall3Q"/>
      <sheetName val="IBICall3Q2"/>
      <sheetName val="IBICall4Q2"/>
      <sheetName val="IBICall4Q"/>
      <sheetName val="IBICall1Q2"/>
      <sheetName val="IBICall1Q "/>
      <sheetName val="IBICall2Q2"/>
      <sheetName val="IBICall2Q"/>
      <sheetName val="qtrly-div"/>
      <sheetName val="VABturn"/>
      <sheetName val="IBIRelPE"/>
      <sheetName val="VABBS"/>
      <sheetName val="VABCASH"/>
      <sheetName val="ibiwc"/>
      <sheetName val="IBIdtc"/>
      <sheetName val="IBIBSFlow"/>
      <sheetName val="IBIROC"/>
      <sheetName val="VABEXP"/>
      <sheetName val="BBWCstat"/>
      <sheetName val="GROWTH"/>
      <sheetName val="VSCcat"/>
      <sheetName val="BS-stores"/>
      <sheetName val="IBIMktShr"/>
      <sheetName val="IBIRelMkt"/>
      <sheetName val="VSSREstrat"/>
      <sheetName val="BBWREstrat"/>
      <sheetName val="BBWMktShr "/>
      <sheetName val="VSSMktShr"/>
      <sheetName val="VSCS&amp;H"/>
      <sheetName val="VSCcostStr"/>
      <sheetName val="VSCMktShr"/>
      <sheetName val="IBImktsz"/>
      <sheetName val="IBICSC"/>
      <sheetName val="IBIQTRDIV"/>
      <sheetName val="IBIchp"/>
      <sheetName val="ibiinvmgt"/>
      <sheetName val="98 vs.99"/>
      <sheetName val="VABmonth"/>
      <sheetName val="VABmonth "/>
      <sheetName val="VSCstat"/>
      <sheetName val="IBICtrib"/>
      <sheetName val="IBIComp"/>
      <sheetName val="VSSshare"/>
      <sheetName val="QORFA"/>
      <sheetName val="Income"/>
      <sheetName val="Condensed Qtrly"/>
      <sheetName val="Qtrly Inc"/>
      <sheetName val="LOWRETD"/>
      <sheetName val="LOWEXP"/>
      <sheetName val="LOWQORF"/>
      <sheetName val="EV calc etc"/>
      <sheetName val="Quarterly"/>
      <sheetName val="Quarterly US"/>
      <sheetName val="Quarterly Belgium etc."/>
      <sheetName val="ANNBIZ"/>
      <sheetName val="Hardlines (Q)"/>
      <sheetName val="DABRsales"/>
      <sheetName val="Hist multiples - PlotTool"/>
      <sheetName val="Hist Multiples - DS Live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ard Rock"/>
      <sheetName val="Tax"/>
      <sheetName val="HRCafes"/>
      <sheetName val="USE"/>
      <sheetName val="USF"/>
      <sheetName val="Rank Xerox"/>
      <sheetName val="Old"/>
      <sheetName val="Chart1"/>
      <sheetName val="Chart2"/>
      <sheetName val="Chart4"/>
      <sheetName val="Divisional split"/>
      <sheetName val="KeyVal"/>
      <sheetName val="Holidays"/>
      <sheetName val="Returns"/>
      <sheetName val="CapEx"/>
      <sheetName val="ShareBuyBack"/>
      <sheetName val="Valuation"/>
      <sheetName val="Debt"/>
      <sheetName val="Charts"/>
      <sheetName val="EVA"/>
      <sheetName val="Chart3"/>
      <sheetName val="Sheet1"/>
      <sheetName val="quantum"/>
      <sheetName val="healthcheck"/>
      <sheetName val="Header"/>
      <sheetName val="Chart10"/>
      <sheetName val="NEW FINANCIALS"/>
      <sheetName val="Deregulation"/>
      <sheetName val="Sum of the parts"/>
      <sheetName val="exchange rates"/>
      <sheetName val="Chart6"/>
      <sheetName val="Chart7"/>
      <sheetName val="Blue Square"/>
      <sheetName val="gaming deregulation"/>
      <sheetName val="Gaming"/>
      <sheetName val="Chart5"/>
      <sheetName val="Sheet2"/>
      <sheetName val="Chart8"/>
      <sheetName val="Sheet6"/>
      <sheetName val="DeLuxe"/>
      <sheetName val="Chart9"/>
      <sheetName val="Casinos"/>
      <sheetName val="HardRock operational"/>
      <sheetName val="DCF Deluxe"/>
      <sheetName val="Group DCF"/>
      <sheetName val="Sheet3"/>
      <sheetName val="EBIT"/>
      <sheetName val="Sheet8"/>
      <sheetName val="HillSamuel"/>
      <sheetName val="Half Year"/>
      <sheetName val="Rank revprod"/>
      <sheetName val="Rank OP prod"/>
      <sheetName val="Reg AC"/>
      <sheetName val="disclosures"/>
      <sheetName val="Sheet4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nit+linked"/>
      <sheetName val="Life G"/>
      <sheetName val="premi totali"/>
      <sheetName val="att. f."/>
      <sheetName val="Grafico2"/>
      <sheetName val="Grafico3"/>
      <sheetName val="P&amp;C premiums"/>
      <sheetName val="Grafico1"/>
      <sheetName val="map"/>
      <sheetName val="Foglio1"/>
      <sheetName val="Foglio2"/>
      <sheetName val="Foglio3"/>
      <sheetName val="Foglio4"/>
      <sheetName val="Foglio5"/>
      <sheetName val="Canali"/>
      <sheetName val="Life M.S. 1"/>
      <sheetName val="P&amp;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_BRBY.L"/>
      <sheetName val="Main model"/>
      <sheetName val="Sales and EBIT model"/>
      <sheetName val="Interim"/>
      <sheetName val="Interim 29 Dec"/>
      <sheetName val="Interim (2)"/>
      <sheetName val="INTERBREW"/>
      <sheetName val="Hist multiples - PlotTool"/>
      <sheetName val="Hist Multiples - DS L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AR"/>
      <sheetName val="Misc "/>
      <sheetName val="Live"/>
      <sheetName val="Indices"/>
      <sheetName val="SysCAR"/>
      <sheetName val="XS Reserves"/>
      <sheetName val="Asset Risk I"/>
      <sheetName val="Asset Risk II"/>
      <sheetName val="Asset Risk III"/>
      <sheetName val="Asset Mgt"/>
      <sheetName val="Paper"/>
      <sheetName val="premi totali"/>
      <sheetName val="Canali"/>
      <sheetName val="Life M.S. 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bancassic."/>
      <sheetName val="Premiums parent"/>
      <sheetName val="P&amp;L parent"/>
      <sheetName val="BS parent"/>
      <sheetName val="Premiums cons"/>
      <sheetName val="FINANCIALS"/>
      <sheetName val="MODEL"/>
      <sheetName val="x share"/>
      <sheetName val="NAV"/>
      <sheetName val="EV"/>
      <sheetName val="mutual funds"/>
      <sheetName val="Grafico3"/>
      <sheetName val="Grafico3 (2)"/>
      <sheetName val="Grafico4"/>
      <sheetName val="Sheet1"/>
      <sheetName val="n° az."/>
      <sheetName val="H1-b"/>
      <sheetName val="h1"/>
      <sheetName val="BD pr."/>
      <sheetName val="P&amp;L"/>
      <sheetName val="bil"/>
      <sheetName val="BD pr. cons"/>
      <sheetName val="CONS"/>
      <sheetName val="SpA - Cons."/>
      <sheetName val="Sheet4"/>
      <sheetName val="y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alance Sheet_VDF"/>
      <sheetName val="Income Statement_VDF"/>
      <sheetName val="Forecasts_VDF"/>
      <sheetName val="Summary Page_VDF"/>
      <sheetName val="Invested capital_VDF"/>
      <sheetName val="NOPAT_VDF"/>
      <sheetName val="WACC_VDF"/>
      <sheetName val="DCF_VDF"/>
      <sheetName val="Charts_VDF"/>
      <sheetName val="PV of Op Leases_VD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able 8"/>
      <sheetName val="Table 8A"/>
      <sheetName val="Sheet2"/>
      <sheetName val="eva"/>
      <sheetName val="Table 8b"/>
      <sheetName val="PROFSVC"/>
      <sheetName val="Q_MODEL"/>
      <sheetName val="#REF"/>
      <sheetName val="PER"/>
      <sheetName val="VALUE2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STPERLB (1,2,4,5)"/>
      <sheetName val="1999 ACTUAL(1,2,4,5)"/>
      <sheetName val="Fabric Reserve (3)"/>
      <sheetName val="Severence (6)"/>
      <sheetName val="Spend Reduct (9)"/>
      <sheetName val="Sewing Costs (10)"/>
      <sheetName val="Sewing Ovhd (11)"/>
      <sheetName val="other sg&amp;a (12)"/>
      <sheetName val="Tykes (13)"/>
      <sheetName val="Seconds Inv (22)"/>
      <sheetName val="Retai Tran Loss (30)"/>
      <sheetName val="KSA (31)"/>
      <sheetName val="MX Impact (32)"/>
      <sheetName val="Mill 9 Closing Costs (32)"/>
      <sheetName val="Whsle Retail Assum (33)"/>
      <sheetName val="Interest Income (34)"/>
      <sheetName val="other sg&amp;a (34)"/>
      <sheetName val="Sheet1"/>
      <sheetName val="Sheet2"/>
      <sheetName val="Sheet3"/>
      <sheetName val="AR 2000 (16) "/>
      <sheetName val="AR 1999(16)"/>
      <sheetName val="AR 1998 (16)"/>
      <sheetName val="Sales Alloc 1999 (33)"/>
      <sheetName val="Sales Alloc 1998(33)"/>
      <sheetName val="Sales Alloc 1997 (33)"/>
      <sheetName val=" Sales Alloc 1996 (33)"/>
      <sheetName val="Qtly PL"/>
      <sheetName val="Price"/>
      <sheetName val="Stock"/>
      <sheetName val="AEOS_CFBS"/>
      <sheetName val="Quantum"/>
      <sheetName val="NEW FINANCIALS"/>
      <sheetName val="PL"/>
      <sheetName val="Income Statement Summary"/>
      <sheetName val="3596pl"/>
      <sheetName val="Due Diligence - 101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ables-1015W"/>
      <sheetName val="#REF"/>
      <sheetName val="eva"/>
      <sheetName val="Figures"/>
      <sheetName val="Table 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TM"/>
      <sheetName val="Valuation"/>
      <sheetName val="DCF"/>
      <sheetName val="ROIC"/>
      <sheetName val="Valuation Summary"/>
      <sheetName val="Charts"/>
      <sheetName val="old vs new generator"/>
      <sheetName val="Stats"/>
      <sheetName val="Variance"/>
      <sheetName val="STM CHIP"/>
      <sheetName val="Q"/>
      <sheetName val="Summary"/>
      <sheetName val="FAME Persistence"/>
      <sheetName val="INDEX"/>
      <sheetName val="Income statement (SKr)"/>
      <sheetName val="Inter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Swatch Group"/>
      <sheetName val="NOPAT2"/>
      <sheetName val="EBIT model"/>
      <sheetName val="Interim"/>
      <sheetName val="Valuation"/>
      <sheetName val="Swatch Digital + other News"/>
      <sheetName val="Sheet1"/>
      <sheetName val="Front Tables"/>
      <sheetName val="ChWatches"/>
      <sheetName val="ChHolding"/>
      <sheetName val="ChWhole"/>
      <sheetName val="Spread data"/>
      <sheetName val="WACC"/>
      <sheetName val="CE"/>
      <sheetName val="NOPAT"/>
      <sheetName val="Divisional Info"/>
      <sheetName val="Swiss Watch Mkt "/>
      <sheetName val="Watch Market"/>
      <sheetName val="Tables"/>
      <sheetName val="Value SMH"/>
      <sheetName val="Datastream"/>
      <sheetName val="Analysis"/>
      <sheetName val="COMPS 2001"/>
      <sheetName val="inv.ratios"/>
      <sheetName val="FX "/>
      <sheetName val="FX as of 30 April 98"/>
      <sheetName val="FX Module"/>
      <sheetName val="Value Drivers"/>
      <sheetName val="EVA Report"/>
      <sheetName val="sensitivity"/>
      <sheetName val="EVA"/>
      <sheetName val="Jan-Sept 95-97"/>
      <sheetName val="Sensitivity Module"/>
      <sheetName val="Sensitivitybox"/>
      <sheetName val="Reg  Bearer Ch"/>
      <sheetName val="Discount Ch"/>
      <sheetName val="Charts"/>
      <sheetName val="Ch Data"/>
      <sheetName val="New Quantum template"/>
      <sheetName val="Quantum 16oct01"/>
      <sheetName val="Quantum"/>
      <sheetName val="Quantum avt nveau BS"/>
      <sheetName val="COMPS 2000"/>
      <sheetName val="Smart"/>
      <sheetName val="Car"/>
      <sheetName val="Value - Comps"/>
      <sheetName val="Competitors 3 as of 12Nov 97"/>
      <sheetName val="Competitors2 Old"/>
      <sheetName val="Competitors2 New"/>
      <sheetName val="Competitors"/>
      <sheetName val="SwatchModel"/>
      <sheetName val="Quantum 15oct01"/>
      <sheetName val="Business descript"/>
      <sheetName val="EVA JFD"/>
      <sheetName val="WACC "/>
      <sheetName val="CE "/>
      <sheetName val="Nopat "/>
      <sheetName val="TABLES FOR H203 REPORT"/>
      <sheetName val="GQ"/>
      <sheetName val="Sensitivity to China Growth"/>
      <sheetName val="Sales and EBIT Model"/>
      <sheetName val="EVA New"/>
      <sheetName val="NOPAT New"/>
      <sheetName val="CE New"/>
      <sheetName val="WACC New"/>
      <sheetName val="ROCE X DIV"/>
      <sheetName val="Sh.Value"/>
      <sheetName val="Chart Value Creation"/>
      <sheetName val="Consensus"/>
      <sheetName val="_UHRN.VX"/>
      <sheetName val="QP_UHRN.S"/>
      <sheetName val="Interim IFRS"/>
      <sheetName val="Interim OLD"/>
      <sheetName val="Histmultiple"/>
      <sheetName val="Report tables"/>
      <sheetName val="Main Model"/>
      <sheetName val="euribor"/>
      <sheetName val="Master FX"/>
      <sheetName val="LVMH Model"/>
      <sheetName val="Earnings, BS, Cash"/>
      <sheetName val="Belgium Annual"/>
      <sheetName val="Greece Annual"/>
      <sheetName val="LFL"/>
      <sheetName val="Val'n summary"/>
    </sheetNames>
    <definedNames>
      <definedName name="[sensitivity module].sensitivity"/>
      <definedName name="end1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Weighted averages"/>
      <sheetName val="Altana"/>
      <sheetName val="AstraZeneca"/>
      <sheetName val="Aventis"/>
      <sheetName val="GSK"/>
      <sheetName val="Lundbeck"/>
      <sheetName val="Merck KGaA"/>
      <sheetName val="Novartis"/>
      <sheetName val="Novo"/>
      <sheetName val="Roche"/>
      <sheetName val="Sanofi Aventis"/>
      <sheetName val="Schering AG"/>
      <sheetName val="Schwarz Pharma"/>
      <sheetName val="Shire"/>
      <sheetName val="GlaxoWellcome"/>
      <sheetName val="Glaxo"/>
      <sheetName val="Wellcome"/>
      <sheetName val="SmithKline"/>
      <sheetName val="Astra"/>
      <sheetName val="Zeneca"/>
      <sheetName val="Sanofi"/>
      <sheetName val="Synthelabo"/>
      <sheetName val="Sandoz"/>
      <sheetName val="Ciba"/>
      <sheetName val="Hoechst"/>
      <sheetName val="Rhone-Poulenc"/>
      <sheetName val="Products"/>
      <sheetName val="Datasheet"/>
      <sheetName val="DDETABLE "/>
      <sheetName val="DCF"/>
      <sheetName val="Qtly PL"/>
      <sheetName val="Asset quality"/>
      <sheetName val="Trevi"/>
      <sheetName val="Fineco"/>
      <sheetName val="MCC"/>
      <sheetName val="Trevi BS"/>
      <sheetName val="Trevi Grap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nnual Model"/>
      <sheetName val="Quarterly Model"/>
      <sheetName val="Divisional Model"/>
      <sheetName val="retail banking"/>
      <sheetName val="Asset Man."/>
      <sheetName val="Other"/>
      <sheetName val="Industrial Holdings"/>
      <sheetName val="Valuation"/>
      <sheetName val="McK"/>
      <sheetName val="Factsheet"/>
      <sheetName val="Chart1"/>
      <sheetName val="Consensus"/>
      <sheetName val="Layout consolidated"/>
      <sheetName val="underlying EPS"/>
      <sheetName val="Layout"/>
      <sheetName val="Datasheet"/>
      <sheetName val="FM"/>
      <sheetName val="R"/>
      <sheetName val="TB"/>
      <sheetName val="SOTP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NEW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Annual Model"/>
      <sheetName val="Interim Model"/>
      <sheetName val="For report"/>
      <sheetName val="half-yearly"/>
      <sheetName val="QUANTUM"/>
      <sheetName val="ROIC"/>
      <sheetName val="Earnings changes"/>
      <sheetName val="Report charts"/>
      <sheetName val="Mellon"/>
      <sheetName val="Valuation"/>
      <sheetName val="Factsheet"/>
      <sheetName val="Divisional"/>
      <sheetName val="Divisional Model"/>
      <sheetName val="SoP"/>
      <sheetName val="DM-printout"/>
      <sheetName val="IS"/>
      <sheetName val="EBIT model"/>
      <sheetName val="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ent to Comp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ales Model"/>
      <sheetName val="WACC"/>
      <sheetName val="FX model"/>
      <sheetName val="EVA"/>
      <sheetName val="Qtly PL"/>
      <sheetName val="Inte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QP_HRMS.PA"/>
      <sheetName val="PT Calculator"/>
      <sheetName val="Model &gt;&gt;&gt;"/>
      <sheetName val="_HRMS.PA"/>
      <sheetName val="GQ"/>
      <sheetName val="Main model"/>
      <sheetName val="Interim"/>
      <sheetName val="Luxury "/>
      <sheetName val="Changes - Table"/>
      <sheetName val="Company profile"/>
      <sheetName val="DCF new"/>
      <sheetName val="store nos"/>
      <sheetName val="New CROCI"/>
      <sheetName val="Valuation &gt;&gt;&gt;"/>
      <sheetName val="CROCIWACC"/>
      <sheetName val="Multiples"/>
      <sheetName val="Report &gt;&gt;&gt;"/>
      <sheetName val="Sheet2"/>
      <sheetName val="Chart3"/>
      <sheetName val="Chart4"/>
      <sheetName val="Chart5"/>
      <sheetName val="Chart2"/>
      <sheetName val="Chart6"/>
      <sheetName val="Debt"/>
      <sheetName val="Shareholding &amp; Structure"/>
      <sheetName val="Sales by products"/>
      <sheetName val="Stores by continent"/>
      <sheetName val="Capex breakdown"/>
      <sheetName val="Comp FX by division"/>
      <sheetName val="Comp FX by regions"/>
      <sheetName val="Roll out plan impact"/>
      <sheetName val="Cash flow items as % of sales"/>
      <sheetName val="Cash flow growth"/>
      <sheetName val="Sales by regions"/>
      <sheetName val="Cash flow analysis"/>
      <sheetName val="DOS Breakdown 2"/>
      <sheetName val="DOS breakdown"/>
      <sheetName val="Premium"/>
      <sheetName val="Cost structure"/>
      <sheetName val="Premium by companies"/>
      <sheetName val="Quarterly sales growth"/>
      <sheetName val="Quarterly sales vs. share price"/>
      <sheetName val="Sales and Ni growth for luxury"/>
      <sheetName val="Stores by brands"/>
      <sheetName val="Price points"/>
      <sheetName val="PE - Luxury Goods"/>
      <sheetName val="PEG - Luxury Goods"/>
      <sheetName val="Sales - universe of coverage"/>
      <sheetName val="Ratings distribution"/>
      <sheetName val="Price points and sales by brand"/>
      <sheetName val="Hermes premium to Luxury"/>
      <sheetName val="Premium data"/>
      <sheetName val="DOS"/>
      <sheetName val="Sticky guidance"/>
      <sheetName val="Smart consensus"/>
      <sheetName val="GS vs SC"/>
      <sheetName val="data for graph"/>
      <sheetName val="Chart1"/>
      <sheetName val="Sheet1"/>
      <sheetName val="Comp FX and EBIT margin"/>
      <sheetName val="DCF old"/>
      <sheetName val="FX Module"/>
      <sheetName val="Sensitivity Module"/>
      <sheetName val="Module1"/>
      <sheetName val="DCF"/>
      <sheetName val="data"/>
      <sheetName val="Hermes Model"/>
      <sheetName val="AFOSHEET"/>
      <sheetName val="Preview"/>
      <sheetName val="INVESTISSEMENTS"/>
      <sheetName val="SOTP"/>
      <sheetName val="Published"/>
      <sheetName val="Datasheet"/>
      <sheetName val="sum of parts"/>
      <sheetName val="Sales-All"/>
      <sheetName val="Quarterly"/>
      <sheetName val="CAPEX"/>
      <sheetName val="NEW FINANCIALS"/>
      <sheetName val="HRMS.PA_Live_Sheet"/>
      <sheetName val="HRMS.PA_Validation_Sheet"/>
      <sheetName val="HRMS.PA_Annotation_Sheet"/>
      <sheetName val="HRMS.PA_Exchange_Sheet"/>
      <sheetName val="Sheet4"/>
      <sheetName val="Sheet3"/>
      <sheetName val="MigrationOutput_QP_HRMS.PA"/>
      <sheetName val="QP_HRMS.PA_migrated"/>
      <sheetName val="Chart223"/>
      <sheetName val="Chart224"/>
      <sheetName val="Chart225"/>
      <sheetName val="Chart226"/>
      <sheetName val="Chart227"/>
      <sheetName val="Chart228"/>
      <sheetName val="Chart229"/>
      <sheetName val="Chart230"/>
      <sheetName val="Chart231"/>
      <sheetName val="Chart232"/>
      <sheetName val="Chart233"/>
      <sheetName val="Chart234"/>
      <sheetName val="Chart235"/>
      <sheetName val="Chart236"/>
      <sheetName val="Chart237"/>
      <sheetName val="Chart238"/>
      <sheetName val="Chart239"/>
      <sheetName val="Chart240"/>
      <sheetName val="Chart241"/>
      <sheetName val="Chart242"/>
      <sheetName val="Chart243"/>
      <sheetName val="Chart244"/>
      <sheetName val="Chart245"/>
      <sheetName val="Chart246"/>
      <sheetName val="Chart247"/>
      <sheetName val="Chart248"/>
      <sheetName val="Chart249"/>
      <sheetName val="Chart250"/>
      <sheetName val="Chart251"/>
      <sheetName val="Chart252"/>
      <sheetName val="Chart253"/>
      <sheetName val="Chart254"/>
      <sheetName val="Chart255"/>
      <sheetName val="Chart256"/>
      <sheetName val="Chart257"/>
      <sheetName val="Chart258"/>
      <sheetName val="E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roysuna"/>
      <sheetName val="Sheet1"/>
      <sheetName val="P&amp;L Recon 98"/>
      <sheetName val="P&amp;L Recon 97"/>
      <sheetName val="GS Forecasts"/>
      <sheetName val="independent"/>
      <sheetName val="Geograph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tatutory Model"/>
      <sheetName val="ROE MODELS"/>
      <sheetName val="Achieved Profits"/>
      <sheetName val="Sheet1"/>
      <sheetName val="EV Model"/>
      <sheetName val="SUM OF PARTS"/>
      <sheetName val="Summay  Results"/>
      <sheetName val="Summary - Statutory "/>
      <sheetName val="Summary - Achieved"/>
      <sheetName val="Reports"/>
      <sheetName val="Handout"/>
      <sheetName val="GS Forecasts"/>
      <sheetName val="unitedx"/>
      <sheetName val="roysuna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NNUAL DIV (2)"/>
      <sheetName val="NoteXpress_Template"/>
      <sheetName val="Sheet1"/>
      <sheetName val="Sheet2"/>
      <sheetName val="LOWQORF(2)"/>
      <sheetName val="LOWEXP(2)"/>
      <sheetName val="NEWSTORS"/>
      <sheetName val="LOWCASH-EAGLE"/>
      <sheetName val="LOWRETD (2)"/>
      <sheetName val="FAME Persistence"/>
      <sheetName val="LOWTURN (2)"/>
      <sheetName val="STORES"/>
      <sheetName val="LOWWORK"/>
      <sheetName val="LOWDTC"/>
      <sheetName val="MFtot div"/>
      <sheetName val="large NEW"/>
      <sheetName val="LOWEXP"/>
      <sheetName val="-- FAME Look Up --"/>
      <sheetName val="LOWQORF"/>
      <sheetName val="LOWMOSAL"/>
      <sheetName val="low in hd mkts."/>
      <sheetName val="RETD - pf"/>
      <sheetName val="LOWRETD"/>
      <sheetName val="LOWCASH"/>
      <sheetName val="total div-restate(3)"/>
      <sheetName val="LOWOPR"/>
      <sheetName val="IDX TURN"/>
      <sheetName val="-- FAME Data Look Up --"/>
      <sheetName val="LOWTURN"/>
      <sheetName val="large comp"/>
      <sheetName val="ANNUAL DIV"/>
      <sheetName val="QUARTERLY DIV"/>
      <sheetName val="LOWPROD"/>
      <sheetName val="total div (2)"/>
      <sheetName val="GRAPH"/>
      <sheetName val="global"/>
      <sheetName val="MKTSHR"/>
      <sheetName val="fixed charge"/>
      <sheetName val="LOWGM"/>
      <sheetName val="eagle"/>
      <sheetName val="total div"/>
      <sheetName val="qtrly"/>
      <sheetName val="Geographic"/>
      <sheetName val="temp"/>
      <sheetName val="Divisional"/>
      <sheetName val="Finemiro"/>
      <sheetName val="SOTP"/>
      <sheetName val="Datasheet"/>
      <sheetName val="Annual Model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ARKET"/>
      <sheetName val="Annual Model"/>
      <sheetName val="Quarterly Model"/>
      <sheetName val="Datasheet"/>
      <sheetName val="Layout consolidated"/>
      <sheetName val="Asset quality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ancas"/>
      <sheetName val="Premiums p"/>
      <sheetName val="P&amp;L p"/>
      <sheetName val="Pr con"/>
      <sheetName val="BS p"/>
      <sheetName val="FIN"/>
      <sheetName val="RH_Real Y"/>
      <sheetName val="SC"/>
      <sheetName val="Forec"/>
      <sheetName val="RH_Mis"/>
      <sheetName val="RH_Val"/>
      <sheetName val="RH_Chart"/>
      <sheetName val="M"/>
      <sheetName val="p share"/>
      <sheetName val="n"/>
      <sheetName val="EV"/>
      <sheetName val="Sheet1"/>
      <sheetName val="NoS"/>
      <sheetName val=" Interim I"/>
      <sheetName val="Interim II"/>
      <sheetName val="bancassic."/>
      <sheetName val="Premiums parent"/>
      <sheetName val="P&amp;L parent"/>
      <sheetName val="BS parent"/>
      <sheetName val="Premiums cons"/>
      <sheetName val="FINANCIALS"/>
      <sheetName val="RH_Real Yields"/>
      <sheetName val="SC_Proj"/>
      <sheetName val="Forecast"/>
      <sheetName val="RH_Misc"/>
      <sheetName val="RH_Charts"/>
      <sheetName val="MODEL"/>
      <sheetName val="per share"/>
      <sheetName val="NAV"/>
      <sheetName val="VI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come Statement Summary"/>
      <sheetName val="Quorfa"/>
      <sheetName val="Balance Sheet"/>
      <sheetName val="Flow of Funds"/>
      <sheetName val="Return Analysis"/>
      <sheetName val="ROIC Summary"/>
      <sheetName val="Store Growth"/>
      <sheetName val="Q Store Expansion"/>
      <sheetName val="Inventory Turns"/>
      <sheetName val="Space Productivity"/>
      <sheetName val="Debt &amp; Capital"/>
      <sheetName val="Working Capital"/>
      <sheetName val="MktCap"/>
      <sheetName val="Layout consolidated"/>
      <sheetName val="LOWQORF"/>
      <sheetName val="LOWEXP"/>
      <sheetName val="LOWRETD"/>
      <sheetName val="DHEXPTARDIS"/>
      <sheetName val="DHQOR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_BRBY.L"/>
      <sheetName val="BRBY.L_Live_Sheet"/>
      <sheetName val="BRBY.L_Validation_Sheet"/>
      <sheetName val="BRBY.L_Annotation_Sheet"/>
      <sheetName val="Consensus 1"/>
      <sheetName val="BRBY.L_Exchange_Sheet"/>
      <sheetName val="Sheet2"/>
      <sheetName val="Sheet1"/>
      <sheetName val="PT Calc new"/>
      <sheetName val="Model&gt;&gt;&gt;"/>
      <sheetName val="FX"/>
      <sheetName val="Main model"/>
      <sheetName val="Interim"/>
      <sheetName val="Preview"/>
      <sheetName val="Sales and EBIT model"/>
      <sheetName val="LFL GP"/>
      <sheetName val="Stat Ab"/>
      <sheetName val="DCF RE"/>
      <sheetName val="DCF Roll Forward"/>
      <sheetName val="Changes - Table"/>
      <sheetName val="Reuters cons"/>
      <sheetName val="Core vs. rest"/>
      <sheetName val="Results"/>
      <sheetName val="By Brand"/>
      <sheetName val="CROCI"/>
      <sheetName val="DCF New"/>
      <sheetName val="Consensus"/>
      <sheetName val="Company profile"/>
      <sheetName val="Chart201"/>
      <sheetName val="Chart202"/>
      <sheetName val="Chart203"/>
      <sheetName val="Gross Margin analysis"/>
      <sheetName val="New CROCI "/>
      <sheetName val="Analysis"/>
      <sheetName val="MigrationOutput_QP_BRBY.L"/>
      <sheetName val="QP_BRBY.L_migrated"/>
      <sheetName val="Valuation&gt;&gt;&gt;"/>
      <sheetName val="PT Calculator"/>
      <sheetName val="Chart204"/>
      <sheetName val="CROCIWACC"/>
      <sheetName val="CROCIWACC_Calend"/>
      <sheetName val="DCF"/>
      <sheetName val="Charts and data&gt;&gt;&gt;"/>
      <sheetName val="Chart205"/>
      <sheetName val="Chart206"/>
      <sheetName val="Chart207"/>
      <sheetName val="Chart208"/>
      <sheetName val="Wholesale Retail breakdown"/>
      <sheetName val="Chart209"/>
      <sheetName val="Chart210"/>
      <sheetName val="Chart211"/>
      <sheetName val="Chart212"/>
      <sheetName val="Chart213"/>
      <sheetName val="BRBY for IR"/>
      <sheetName val="Sales exposure"/>
      <sheetName val="Chart214"/>
      <sheetName val="Chart215"/>
      <sheetName val="Data4charts"/>
      <sheetName val="Chart216"/>
      <sheetName val="Chart217"/>
      <sheetName val="Chart218"/>
      <sheetName val="Chart219"/>
      <sheetName val="Ownership"/>
      <sheetName val="Chart220"/>
      <sheetName val="Chart221"/>
      <sheetName val="Chart222"/>
      <sheetName val="Old sheets&gt;&gt;&gt;"/>
      <sheetName val="Interim 29 Dec"/>
      <sheetName val="Interim (2)"/>
      <sheetName val="HISTmultiple"/>
      <sheetName val="Additional data"/>
      <sheetName val="Preview-1Q14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5"/>
      <sheetName val="Chart186"/>
      <sheetName val="Chart187"/>
      <sheetName val="Chart189"/>
      <sheetName val="Chart190"/>
      <sheetName val="Chart192"/>
      <sheetName val="Chart193"/>
      <sheetName val="Chart194"/>
      <sheetName val="Chart196"/>
      <sheetName val="Chart198"/>
      <sheetName val="Chart199"/>
      <sheetName val="Chart200"/>
      <sheetName val="Chart147"/>
      <sheetName val="Chart148"/>
      <sheetName val="Chart149"/>
      <sheetName val="Chart150"/>
      <sheetName val="Chart151"/>
      <sheetName val="Chart152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20"/>
      <sheetName val="Chart121"/>
      <sheetName val="Chart122"/>
      <sheetName val="Chart123"/>
      <sheetName val="Chart124"/>
      <sheetName val="Chart125"/>
      <sheetName val="Chart126"/>
      <sheetName val="Chart127"/>
      <sheetName val="Chart128"/>
      <sheetName val="Chart129"/>
      <sheetName val="Chart130"/>
      <sheetName val="Chart131"/>
      <sheetName val="Chart132"/>
      <sheetName val="Chart133"/>
      <sheetName val="Chart134"/>
      <sheetName val="Chart135"/>
      <sheetName val="Chart136"/>
      <sheetName val="Chart137"/>
      <sheetName val="Chart138"/>
      <sheetName val="Chart139"/>
      <sheetName val="Chart140"/>
      <sheetName val="Chart141"/>
      <sheetName val="Chart142"/>
      <sheetName val="Chart143"/>
      <sheetName val="Chart144"/>
      <sheetName val="Chart145"/>
      <sheetName val="Chart146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  <sheetName val="Chart116"/>
      <sheetName val="Chart117"/>
      <sheetName val="Chart118"/>
      <sheetName val="Chart119"/>
      <sheetName val="BEAUTY"/>
      <sheetName val="Chart20"/>
      <sheetName val="Chart21"/>
      <sheetName val="Chart22"/>
      <sheetName val="Chart23"/>
      <sheetName val="Chart24"/>
      <sheetName val="Chart25"/>
      <sheetName val="Chart26"/>
      <sheetName val="Chart27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Recovered_Sheet3"/>
      <sheetName val="Recovered_Sheet4"/>
      <sheetName val="Recovered_Sheet5"/>
      <sheetName val="Recovered_Sheet6"/>
      <sheetName val="Recovered_Sheet7"/>
      <sheetName val="Recovered_Sheet8"/>
      <sheetName val="Recovered_Sheet9"/>
      <sheetName val="Recovered_Sheet10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QP_BRBY.L"/>
      <sheetName val="WF by chan"/>
      <sheetName val="WF by cat"/>
      <sheetName val="WF by Geog"/>
      <sheetName val="CROCI drivers"/>
      <sheetName val="Mix vs gross"/>
      <sheetName val="Margin &amp; SG&amp;A (2)"/>
      <sheetName val="WF by channel"/>
      <sheetName val="Margin &amp; SG&amp;A"/>
      <sheetName val="Asia v Total sales chart"/>
      <sheetName val="Gross and EBIT margin chart"/>
      <sheetName val="Gross Margin"/>
      <sheetName val="EBIT margin"/>
      <sheetName val="Store portfolio chart"/>
      <sheetName val="Distribution costs"/>
      <sheetName val="regional exposure"/>
      <sheetName val="GSvsEst"/>
      <sheetName val="quarterly comp FX growth"/>
      <sheetName val="RelPerf"/>
      <sheetName val="RelPerf (3M)"/>
      <sheetName val="EBIT by channel"/>
      <sheetName val="Sales by channels"/>
      <sheetName val="Sales by regions"/>
      <sheetName val="Shareholdr structure"/>
      <sheetName val="Sales by products"/>
      <sheetName val="DACF AND GCI"/>
      <sheetName val="CROCI and GCI"/>
      <sheetName val="GCI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184"/>
      <sheetName val="Chart188"/>
      <sheetName val="Chart191"/>
      <sheetName val="Chart195"/>
      <sheetName val="Chart197"/>
      <sheetName val="Chart223"/>
      <sheetName val="Chart224"/>
      <sheetName val="Chart225"/>
      <sheetName val="Chart226"/>
      <sheetName val="Chart227"/>
      <sheetName val="Chart228"/>
      <sheetName val="Chart229"/>
      <sheetName val="Chart230"/>
      <sheetName val="Chart231"/>
      <sheetName val="Chart232"/>
      <sheetName val="Chart233"/>
      <sheetName val="Chart234"/>
      <sheetName val="Chart235"/>
      <sheetName val="Chart236"/>
      <sheetName val="Chart237"/>
      <sheetName val="Chart238"/>
      <sheetName val="Chart239"/>
      <sheetName val="Chart240"/>
      <sheetName val="Chart241"/>
      <sheetName val="Chart242"/>
      <sheetName val="Chart243"/>
      <sheetName val="Chart244"/>
      <sheetName val="Chart267"/>
      <sheetName val="Chart268"/>
      <sheetName val="Chart269"/>
      <sheetName val="Chart270"/>
      <sheetName val="Chart271"/>
      <sheetName val="Chart272"/>
      <sheetName val="Chart273"/>
      <sheetName val="Chart274"/>
      <sheetName val="Chart275"/>
      <sheetName val="Chart276"/>
      <sheetName val="Chart277"/>
      <sheetName val="Chart278"/>
      <sheetName val="Chart279"/>
      <sheetName val="Chart280"/>
      <sheetName val="Chart281"/>
      <sheetName val="Chart282"/>
      <sheetName val="Chart283"/>
      <sheetName val="Chart284"/>
      <sheetName val="Chart285"/>
      <sheetName val="Chart286"/>
      <sheetName val="Chart287"/>
      <sheetName val="Chart288"/>
      <sheetName val="Chart245"/>
      <sheetName val="Chart246"/>
      <sheetName val="Chart247"/>
      <sheetName val="Chart248"/>
      <sheetName val="Chart249"/>
      <sheetName val="Chart250"/>
      <sheetName val="Chart251"/>
      <sheetName val="Chart252"/>
      <sheetName val="Chart253"/>
      <sheetName val="Chart254"/>
      <sheetName val="Chart255"/>
      <sheetName val="Chart256"/>
      <sheetName val="Chart257"/>
      <sheetName val="Chart258"/>
      <sheetName val="Chart259"/>
      <sheetName val="Chart260"/>
      <sheetName val="Chart261"/>
      <sheetName val="Chart262"/>
      <sheetName val="Chart263"/>
      <sheetName val="Chart264"/>
      <sheetName val="Chart265"/>
      <sheetName val="Chart266"/>
      <sheetName val="Chart311"/>
      <sheetName val="Chart312"/>
      <sheetName val="Chart313"/>
      <sheetName val="Chart314"/>
      <sheetName val="Chart315"/>
      <sheetName val="Chart316"/>
      <sheetName val="Chart317"/>
      <sheetName val="Chart318"/>
      <sheetName val="Chart319"/>
      <sheetName val="Chart320"/>
      <sheetName val="Chart321"/>
      <sheetName val="Chart322"/>
      <sheetName val="Chart323"/>
      <sheetName val="Chart324"/>
      <sheetName val="Chart325"/>
      <sheetName val="Chart326"/>
      <sheetName val="Chart327"/>
      <sheetName val="Chart328"/>
      <sheetName val="Chart329"/>
      <sheetName val="Chart330"/>
      <sheetName val="Chart331"/>
      <sheetName val="Chart332"/>
      <sheetName val="Chart289"/>
      <sheetName val="Chart290"/>
      <sheetName val="Chart291"/>
      <sheetName val="Chart292"/>
      <sheetName val="Chart293"/>
      <sheetName val="Chart294"/>
      <sheetName val="Chart295"/>
      <sheetName val="Chart296"/>
      <sheetName val="Chart297"/>
      <sheetName val="Chart298"/>
      <sheetName val="Chart299"/>
      <sheetName val="Chart300"/>
      <sheetName val="Chart301"/>
      <sheetName val="Chart302"/>
      <sheetName val="Chart303"/>
      <sheetName val="Chart304"/>
      <sheetName val="Chart305"/>
      <sheetName val="Chart306"/>
      <sheetName val="Chart307"/>
      <sheetName val="Chart308"/>
      <sheetName val="Chart309"/>
      <sheetName val="Chart310"/>
      <sheetName val="Chart333"/>
      <sheetName val="Chart334"/>
      <sheetName val="Chart335"/>
      <sheetName val="Chart336"/>
      <sheetName val="Chart337"/>
      <sheetName val="Chart338"/>
      <sheetName val="Chart339"/>
      <sheetName val="Chart340"/>
      <sheetName val="Chart341"/>
      <sheetName val="Chart342"/>
      <sheetName val="Chart343"/>
      <sheetName val="Chart344"/>
      <sheetName val="Chart345"/>
      <sheetName val="Chart346"/>
      <sheetName val="Chart347"/>
      <sheetName val="Chart348"/>
      <sheetName val="Chart349"/>
      <sheetName val="Chart350"/>
      <sheetName val="Chart351"/>
      <sheetName val="Chart352"/>
      <sheetName val="Chart353"/>
      <sheetName val="Chart354"/>
      <sheetName val="Chart377"/>
      <sheetName val="Chart378"/>
      <sheetName val="Chart379"/>
      <sheetName val="Chart380"/>
      <sheetName val="Chart381"/>
      <sheetName val="Chart382"/>
      <sheetName val="Chart383"/>
      <sheetName val="Chart384"/>
      <sheetName val="Chart385"/>
      <sheetName val="Chart386"/>
      <sheetName val="Chart387"/>
      <sheetName val="Chart388"/>
      <sheetName val="Chart389"/>
      <sheetName val="Chart390"/>
      <sheetName val="Chart391"/>
      <sheetName val="Chart392"/>
      <sheetName val="Chart393"/>
      <sheetName val="Chart394"/>
      <sheetName val="Chart395"/>
      <sheetName val="Chart396"/>
      <sheetName val="Chart397"/>
      <sheetName val="Chart398"/>
      <sheetName val="Chart355"/>
      <sheetName val="Chart356"/>
      <sheetName val="Chart357"/>
      <sheetName val="Chart358"/>
      <sheetName val="Chart359"/>
      <sheetName val="Chart360"/>
      <sheetName val="Chart361"/>
      <sheetName val="Chart362"/>
      <sheetName val="Chart363"/>
      <sheetName val="Chart364"/>
      <sheetName val="Chart365"/>
      <sheetName val="Chart366"/>
      <sheetName val="Chart367"/>
      <sheetName val="Chart368"/>
      <sheetName val="Chart369"/>
      <sheetName val="Chart370"/>
      <sheetName val="Chart371"/>
      <sheetName val="Chart372"/>
      <sheetName val="Chart373"/>
      <sheetName val="Chart374"/>
      <sheetName val="Chart375"/>
      <sheetName val="Chart37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DCF(£p)"/>
      <sheetName val="DCF(€)"/>
      <sheetName val="Reported_Historicals"/>
      <sheetName val="Datastream"/>
      <sheetName val="FX as of 30 April 98"/>
      <sheetName val="EVA"/>
      <sheetName val="EBIT model"/>
      <sheetName val="Income"/>
      <sheetName val="Condensed Qtrly"/>
      <sheetName val="Qtrly Inc"/>
      <sheetName val="Report tables"/>
      <sheetName val="Tables"/>
      <sheetName val="Annual Model"/>
      <sheetName val="Swatch Group"/>
      <sheetName val="Value SMH"/>
      <sheetName val="sensitivity"/>
      <sheetName val="WACC"/>
      <sheetName val="Publish"/>
      <sheetName val="QORF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Annual Model"/>
      <sheetName val="Interim Model"/>
      <sheetName val="For report"/>
      <sheetName val="half-yearly"/>
      <sheetName val="QUANTUM"/>
      <sheetName val="ROIC"/>
      <sheetName val="Earnings changes"/>
      <sheetName val="Report charts"/>
      <sheetName val="Mellon"/>
      <sheetName val="Valuation"/>
      <sheetName val="Factsheet"/>
      <sheetName val="Divisional"/>
      <sheetName val="Divisional Model"/>
      <sheetName val="SoP"/>
      <sheetName val="DM-printout"/>
      <sheetName val="IS"/>
      <sheetName val="Quarterly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Old Valuation"/>
      <sheetName val="Hill Samuel"/>
      <sheetName val="ROCHE"/>
      <sheetName val="Pharma"/>
      <sheetName val="Divisional breakdown"/>
      <sheetName val="Discounted CashFlow"/>
      <sheetName val="Quarters"/>
      <sheetName val="Valuation"/>
      <sheetName val="NoteXpress"/>
      <sheetName val="Bus Seg"/>
      <sheetName val="Financial "/>
      <sheetName val="BSheet"/>
      <sheetName val="CashFlow"/>
      <sheetName val="Financials (new)"/>
      <sheetName val="OLD divisional"/>
      <sheetName val="Liq Funds"/>
      <sheetName val="Standard Qs Sheet"/>
      <sheetName val="Qtrly Product Sales"/>
      <sheetName val="Sensitivity multiples"/>
      <sheetName val="Interims"/>
      <sheetName val="ex-F&amp;F"/>
      <sheetName val="Sheet1"/>
      <sheetName val="Xenical"/>
      <sheetName val="Genentech"/>
      <sheetName val="Geographic"/>
      <sheetName val="Product Buffer Sheet"/>
      <sheetName val="Genentech Phasing"/>
      <sheetName val="RocheModel"/>
      <sheetName val="STM"/>
      <sheetName val="DHEXPTARDIS"/>
      <sheetName val="DHQORFA"/>
      <sheetName val="Datasheet"/>
      <sheetName val="Energy"/>
      <sheetName val="Assumptions"/>
      <sheetName val="Returns"/>
    </sheetNames>
    <definedNames>
      <definedName name="AcqAndDispDatabase"/>
      <definedName name="AutoGoto"/>
      <definedName name="AutoPrint"/>
    </defined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Figures"/>
      <sheetName val="projections"/>
      <sheetName val="Targets &amp; Cost cutting"/>
      <sheetName val="eval"/>
      <sheetName val="dayval"/>
      <sheetName val="debt"/>
      <sheetName val="dcf"/>
      <sheetName val="Oildisc"/>
      <sheetName val="assms"/>
      <sheetName val="chem"/>
      <sheetName val="r&amp;m"/>
      <sheetName val="Gas&amp;Power"/>
      <sheetName val="group e&amp;p"/>
      <sheetName val="ARCO_E&amp;P"/>
      <sheetName val="USA"/>
      <sheetName val="UK"/>
      <sheetName val="Europe"/>
      <sheetName val="RoW"/>
      <sheetName val="prodprofile"/>
      <sheetName val="lr"/>
      <sheetName val="SOP"/>
      <sheetName val="Amoco Cost savings"/>
      <sheetName val="Quarter"/>
      <sheetName val="NXp"/>
      <sheetName val="TNK-BP"/>
      <sheetName val="OLDdcf"/>
      <sheetName val="BSheet"/>
      <sheetName val="CFlow"/>
      <sheetName val="Ratios"/>
      <sheetName val="SQORFA"/>
      <sheetName val="Hardlines (Q)"/>
      <sheetName val="1. Annual"/>
      <sheetName val="Tables"/>
      <sheetName val="Datastream"/>
      <sheetName val="FX as of 30 April 98"/>
      <sheetName val="EVA"/>
      <sheetName val="Main model"/>
      <sheetName val="Products"/>
      <sheetName val="Invested capital_VDF"/>
      <sheetName val="QPL (before FC-matching adjs)"/>
      <sheetName val="STORES"/>
      <sheetName val="HDQORFA"/>
      <sheetName val="HDCASH-OLD"/>
      <sheetName val="GREENHOUSE EFFECT"/>
      <sheetName val="BEAQPL"/>
      <sheetName val="Qtrly Model"/>
      <sheetName val="Carbon Analytics"/>
      <sheetName val="P&amp;L and CFlow"/>
      <sheetName val="MUR - EVA"/>
      <sheetName val="Income Statement Summary"/>
      <sheetName val="Weights"/>
      <sheetName val="F-DCF"/>
      <sheetName val="P&amp;L"/>
      <sheetName val="Sales Model"/>
      <sheetName val="FX model"/>
      <sheetName val="Statutory Model"/>
      <sheetName val="P-E Calculation"/>
      <sheetName val="SOTP and DCF"/>
      <sheetName val="Volume Driver"/>
      <sheetName val="Annual Model"/>
      <sheetName val="SIRF"/>
      <sheetName val="P&amp;L Summary (Reed)"/>
      <sheetName val="work"/>
      <sheetName val="W"/>
      <sheetName val="Data 15, 16, 17"/>
      <sheetName val="NOPAT_VDF"/>
      <sheetName val="WACC_VDF"/>
      <sheetName val="Entity debt"/>
      <sheetName val="Sales"/>
      <sheetName val="IS"/>
      <sheetName val="Targets_&amp;_Cost_cutting"/>
      <sheetName val="group_e&amp;p"/>
      <sheetName val="Amoco_Cost_savings"/>
      <sheetName val="Hardlines_(Q)"/>
      <sheetName val="Invested_capital_VDF"/>
      <sheetName val="QPL_(before_FC-matching_adjs)"/>
      <sheetName val="1__Annual"/>
      <sheetName val="GREENHOUSE_EFFECT"/>
      <sheetName val="MUR_-_EVA"/>
      <sheetName val="Qtrly_Model"/>
      <sheetName val="Carbon_Analytics"/>
      <sheetName val="Income_Statement_Summary"/>
      <sheetName val="P&amp;L_and_CFlow"/>
      <sheetName val="SOTP_and_DCF"/>
      <sheetName val="Statutory_Model"/>
      <sheetName val="FX_as_of_30_April_98"/>
      <sheetName val="Main_model"/>
      <sheetName val="Data"/>
      <sheetName val="Divs"/>
      <sheetName val="SQLSheet"/>
      <sheetName val="Divi DCF-EVA old"/>
      <sheetName val="Depreciation"/>
      <sheetName val="Balance Sheet"/>
      <sheetName val="PNL"/>
      <sheetName val="Cash Flow"/>
      <sheetName val="Newsprint Annual by Month"/>
      <sheetName val="QPL"/>
      <sheetName val="valuation"/>
      <sheetName val="ADD Inc."/>
      <sheetName val="IPC"/>
      <sheetName val="NorthStar"/>
      <sheetName val="PrimeNet"/>
      <sheetName val="Consolidated"/>
      <sheetName val="Circulation"/>
      <sheetName val="Sheet2"/>
      <sheetName val="BS"/>
      <sheetName val="_Control"/>
      <sheetName val="會計科目"/>
      <sheetName val="WMTQORFA"/>
      <sheetName val="BETR_Annotation_Sheet"/>
      <sheetName val="BETR_Exchange_Sheet"/>
      <sheetName val="BETR_Live_Sheet"/>
      <sheetName val="BETR_Validation_Sheet"/>
      <sheetName val="DRE_Exchange_Sheet"/>
      <sheetName val="DRE_Live_Sheet"/>
      <sheetName val="DRE_Validation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OTP"/>
      <sheetName val="Summary"/>
      <sheetName val="Capital"/>
      <sheetName val="Datasheet"/>
      <sheetName val="underlying EPS"/>
      <sheetName val="Consolidated"/>
      <sheetName val="R"/>
      <sheetName val="C"/>
      <sheetName val="FM"/>
      <sheetName val="O"/>
      <sheetName val="TB"/>
      <sheetName val="Ratios"/>
      <sheetName val="Loans &amp; Deposits"/>
      <sheetName val="Report tables"/>
      <sheetName val="Consolidated (2)"/>
      <sheetName val="GQ"/>
      <sheetName val="QUANTUM 16"/>
      <sheetName val="consensus"/>
      <sheetName val="Sheet2"/>
      <sheetName val="retail margins"/>
      <sheetName val="charts"/>
      <sheetName val="IE analysis"/>
      <sheetName val="Layout IE analysis"/>
      <sheetName val="Sheet1"/>
      <sheetName val="DSL"/>
      <sheetName val="Sheet3"/>
      <sheetName val="Sheet1 (2)"/>
      <sheetName val="Sheet5"/>
      <sheetName val="Sheet4"/>
      <sheetName val="Sheet6"/>
      <sheetName val="per branch"/>
      <sheetName val="DPWN comp"/>
      <sheetName val="Report P&amp;L"/>
      <sheetName val="Report Graphs"/>
      <sheetName val="Graph Data"/>
      <sheetName val="Layout"/>
      <sheetName val="Other data"/>
      <sheetName val="Underlying NII"/>
      <sheetName val="Figures"/>
      <sheetName val="projections"/>
      <sheetName val="Produ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alance Sheet_VDF"/>
      <sheetName val="Income Statement_VDF"/>
      <sheetName val="Summary Page_VDF"/>
      <sheetName val="Invested capital_VDF"/>
      <sheetName val="NOPAT_VDF"/>
      <sheetName val="WACC_VDF"/>
      <sheetName val="DCF_VDF"/>
      <sheetName val="Charts_VDF"/>
      <sheetName val="PV of Op Leases_VDF"/>
      <sheetName val="teo model"/>
      <sheetName val="Interim"/>
      <sheetName val="Figures"/>
      <sheetName val="underlying EPS"/>
      <sheetName val="Layout"/>
      <sheetName val="Datasheet"/>
      <sheetName val="FM"/>
      <sheetName val="R"/>
      <sheetName val="TB"/>
      <sheetName val="SOTP"/>
      <sheetName val="projections"/>
      <sheetName val="TEO_vd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DCF"/>
      <sheetName val="Q"/>
      <sheetName val="Oil price"/>
      <sheetName val="P&amp;L"/>
      <sheetName val="Interim P&amp;L"/>
      <sheetName val="Interim Sales "/>
      <sheetName val="EVA1"/>
      <sheetName val="CompsNew"/>
      <sheetName val="sales and EBIT analysis"/>
      <sheetName val="A. Culver"/>
      <sheetName val="Sensitivity to sale of Sanofi 1"/>
      <sheetName val="Sensitivity to sale of Sanofi 2"/>
      <sheetName val="NOPAT 1"/>
      <sheetName val="Capital employed 1"/>
      <sheetName val="WACC"/>
      <sheetName val="CROCI"/>
      <sheetName val="Sensitivity"/>
      <sheetName val="Chart1 (2)"/>
      <sheetName val="Chart1"/>
      <sheetName val="Chart2 (2)"/>
      <sheetName val="Sheet1"/>
      <sheetName val="Chart2"/>
      <sheetName val="margins"/>
      <sheetName val="Helena Rubinstein"/>
      <sheetName val="Sanofi-Synthelabo"/>
      <sheetName val="Sales Model"/>
      <sheetName val="Consensus"/>
      <sheetName val="sales per Div."/>
      <sheetName val="FX model"/>
      <sheetName val="FX module"/>
      <sheetName val="FX Running"/>
      <sheetName val="currencybox"/>
      <sheetName val="Interim Sales Old"/>
      <sheetName val="CompsOld"/>
      <sheetName val="GQ"/>
      <sheetName val="Interim Sales Current"/>
      <sheetName val="P&amp;L IFRS"/>
      <sheetName val="Interim Sales Old#2"/>
      <sheetName val="Chart3"/>
      <sheetName val="Sheet1 (2)"/>
      <sheetName val="10%share buy-back"/>
      <sheetName val="EVA1 New"/>
      <sheetName val="WACC New"/>
      <sheetName val="NOPAT 1 New"/>
      <sheetName val="Capital employed 1 New"/>
      <sheetName val="Interim Sales Old #1"/>
      <sheetName val="LT EBIT growth rate."/>
      <sheetName val="Share performance"/>
      <sheetName val="Interim Sales"/>
      <sheetName val="Interim Sales (2)"/>
      <sheetName val="Sensitivity to sale of Sanofi"/>
      <sheetName val="Front Tables"/>
      <sheetName val="inv.ratios"/>
      <sheetName val="Consolidated Comparables"/>
      <sheetName val="Soft Sheen"/>
      <sheetName val="Sales by region"/>
      <sheetName val="Quantum"/>
      <sheetName val="L'Oreal Main Model"/>
      <sheetName val="margins by region"/>
      <sheetName val="WMTQORFA"/>
      <sheetName val="Publish"/>
      <sheetName val="NEW FINANCIALS"/>
      <sheetName val="Tax"/>
      <sheetName val="Dial cash  flow"/>
      <sheetName val="Dial P&amp;L"/>
      <sheetName val="LVMH Model"/>
      <sheetName val="underlying EPS"/>
      <sheetName val="NOPAT_VDF"/>
      <sheetName val="Invested capital_VDF"/>
      <sheetName val="DCF_VDF"/>
      <sheetName val="Layout"/>
      <sheetName val="Datasheet"/>
      <sheetName val="WACC_VDF"/>
      <sheetName val="FM"/>
      <sheetName val="R"/>
      <sheetName val="TB"/>
      <sheetName val="Summary Page_VDF"/>
      <sheetName val="PV of Op Leases_VDF"/>
      <sheetName val="SOTP"/>
      <sheetName val="Income Statement_VDF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Life G"/>
      <sheetName val="Grafico1"/>
      <sheetName val="premi totali"/>
      <sheetName val="life res. graph (2)"/>
      <sheetName val="life res. graph"/>
      <sheetName val="2 life res. gr."/>
      <sheetName val="lifr BD"/>
      <sheetName val="life"/>
      <sheetName val="unit+linked"/>
      <sheetName val="canali graph"/>
      <sheetName val="Life G1"/>
      <sheetName val="Life G3"/>
      <sheetName val="Canali"/>
      <sheetName val="Life M.S. 1"/>
      <sheetName val="MS groups"/>
      <sheetName val="Life M.S. 2"/>
      <sheetName val="Confr. Int."/>
      <sheetName val="INT gr 1"/>
      <sheetName val="INT gr 2"/>
      <sheetName val="INT gr3 "/>
      <sheetName val="pf"/>
      <sheetName val="Yd e pr. cons"/>
      <sheetName val="att. f gr."/>
      <sheetName val="Grafico2"/>
      <sheetName val="Grafico 4"/>
      <sheetName val="Grafico3"/>
      <sheetName val="pensions"/>
      <sheetName val="Grafico4"/>
      <sheetName val="att. f."/>
      <sheetName val="SANITà"/>
      <sheetName val="pr. risp gr."/>
      <sheetName val="pr-risp"/>
      <sheetName val="ob. racc-rend"/>
      <sheetName val="az. racc. rend."/>
      <sheetName val="sett. fondi"/>
      <sheetName val="Life G2"/>
      <sheetName val="RH_Mis"/>
      <sheetName val="Report tables"/>
      <sheetName val="VITA"/>
      <sheetName val="Val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Depreciation"/>
      <sheetName val="Factsheet"/>
      <sheetName val="Results"/>
      <sheetName val="P&amp;L"/>
      <sheetName val="Revenue"/>
      <sheetName val="Rev-qrt"/>
      <sheetName val="Costs"/>
      <sheetName val="Cost-qrt"/>
      <sheetName val="Balance"/>
      <sheetName val="Cashflow"/>
      <sheetName val="DCF"/>
      <sheetName val="DCF 2.5G"/>
      <sheetName val="DCF 3G"/>
      <sheetName val="EVA1"/>
      <sheetName val="EVA 2 "/>
      <sheetName val="NX"/>
      <sheetName val="F-PNL"/>
      <sheetName val="F-Balance"/>
      <sheetName val="F-Cash Flow"/>
      <sheetName val="F-WACC"/>
      <sheetName val="F-DCF"/>
      <sheetName val="F-Assumption"/>
      <sheetName val="DATA"/>
      <sheetName val="Calculation (2)"/>
      <sheetName val="CF"/>
      <sheetName val="MODEL"/>
      <sheetName val="Claims &amp; benefits"/>
      <sheetName val="Premiums"/>
      <sheetName val="Reserves &amp; provisions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PE b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Chart3 (2)"/>
      <sheetName val="Chart2 (2)"/>
      <sheetName val="Sheet1"/>
      <sheetName val="Input"/>
      <sheetName val="AIB"/>
      <sheetName val="AbbeyC"/>
      <sheetName val="AllianceC"/>
      <sheetName val="All2"/>
      <sheetName val="BsctC"/>
      <sheetName val="BarcC"/>
      <sheetName val="B&amp;BC"/>
      <sheetName val="HalifaxC"/>
      <sheetName val="HsbcC"/>
      <sheetName val="HsbcCHi"/>
      <sheetName val="LloydsC"/>
      <sheetName val="Nat WestC"/>
      <sheetName val="NorthernC"/>
      <sheetName val="RbstC"/>
      <sheetName val="StanC"/>
      <sheetName val="StanCHi"/>
      <sheetName val="WoolichC"/>
      <sheetName val="Woolwich OPS"/>
      <sheetName val="Template"/>
      <sheetName val="Other"/>
      <sheetName val="Annual Model"/>
      <sheetName val="Quarterly Model"/>
      <sheetName val="Annual"/>
      <sheetName val="Produ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come Statement Summary"/>
      <sheetName val="Divisional"/>
      <sheetName val="Quorfa"/>
      <sheetName val="Balance Sheet"/>
      <sheetName val="Flow of Funds"/>
      <sheetName val="Return Analysis"/>
      <sheetName val="ROIC Summary "/>
      <sheetName val="Store Growth"/>
      <sheetName val="Q Store Expansion"/>
      <sheetName val="Inventory Turns"/>
      <sheetName val="Space Productivity"/>
      <sheetName val="Debt &amp; Capital"/>
      <sheetName val="Working Capital"/>
      <sheetName val="Store Evo"/>
      <sheetName val="Disclaimer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Figures"/>
      <sheetName val="projections"/>
      <sheetName val="Products"/>
      <sheetName val="Income"/>
      <sheetName val="Cash Flow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"/>
      <sheetName val="CF"/>
      <sheetName val="__FDSCACHE__"/>
      <sheetName val="FAME Persistence"/>
      <sheetName val="Ratios"/>
      <sheetName val="Quantum"/>
      <sheetName val="LUV"/>
      <sheetName val="Sheet1"/>
      <sheetName val="q201 handout"/>
      <sheetName val="q101 handout"/>
      <sheetName val="q400 handout"/>
      <sheetName val="q300 handout"/>
      <sheetName val="q200 handout"/>
      <sheetName val="q100 handout"/>
      <sheetName val="q499 handout"/>
      <sheetName val="q399 handout"/>
      <sheetName val="q299handout"/>
      <sheetName val="q199handout"/>
      <sheetName val="q498 handout"/>
      <sheetName val="q398 handout"/>
      <sheetName val="q101 handout (2)"/>
      <sheetName val="2Q 98 Handout"/>
      <sheetName val="GQ"/>
      <sheetName val="Income"/>
      <sheetName val="Cash Flow"/>
      <sheetName val="Condensed Qtrly"/>
      <sheetName val="Qtrly Inc"/>
      <sheetName val="Canali"/>
      <sheetName val="Reported_Historicals"/>
      <sheetName val="Report tables"/>
      <sheetName val="APDSUM"/>
      <sheetName val="P&amp;L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WACC"/>
      <sheetName val="CE"/>
      <sheetName val="NOPAT"/>
      <sheetName val="Ch Data"/>
      <sheetName val="Sheet1"/>
      <sheetName val="Front Tables"/>
      <sheetName val="ChWatches"/>
      <sheetName val="ChHolding"/>
      <sheetName val="ChWhole"/>
      <sheetName val="Spread data"/>
      <sheetName val="Tables"/>
      <sheetName val="Value SMH"/>
      <sheetName val="Datastream"/>
      <sheetName val="Analysis"/>
      <sheetName val="inv.ratios"/>
      <sheetName val="FX "/>
      <sheetName val="FX as of 30 April 98"/>
      <sheetName val="Value Drivers"/>
      <sheetName val="EVA Report"/>
      <sheetName val="sensitivity"/>
      <sheetName val="EVA"/>
      <sheetName val="Jan-Sept 95-97"/>
      <sheetName val="Sensitivitybox"/>
      <sheetName val="Reg  Bearer Ch"/>
      <sheetName val="Discount Ch"/>
      <sheetName val="Charts"/>
      <sheetName val="Income Statement Summary"/>
      <sheetName val="EBIT model"/>
      <sheetName val="Chart3"/>
      <sheetName val="LVMH Model"/>
      <sheetName val="NEW FINANCIALS"/>
      <sheetName val="Publish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emp"/>
      <sheetName val="Divisional"/>
      <sheetName val="Finemiro"/>
      <sheetName val="SOTP"/>
      <sheetName val="Data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ublished"/>
      <sheetName val="SOTP"/>
      <sheetName val="Consolidated"/>
      <sheetName val="Datasheet"/>
      <sheetName val="GQ"/>
      <sheetName val="cs"/>
      <sheetName val="CAR"/>
      <sheetName val="Loans"/>
      <sheetName val="Asset_quality"/>
      <sheetName val="AuM"/>
      <sheetName val="Fees"/>
      <sheetName val="Divisions&gt;&gt;&gt;"/>
      <sheetName val="Banking"/>
      <sheetName val="Retail"/>
      <sheetName val="Corporate"/>
      <sheetName val="IMI"/>
      <sheetName val="Eurizon"/>
      <sheetName val="SA"/>
      <sheetName val="Fideuram"/>
      <sheetName val="AIP"/>
      <sheetName val="AM &amp; IPB"/>
      <sheetName val="CC"/>
      <sheetName val="DivisionSummary"/>
      <sheetName val="Insurance valuation"/>
      <sheetName val="Staff"/>
      <sheetName val="Divisional"/>
      <sheetName val="temp"/>
      <sheetName val="Finemiro"/>
      <sheetName val="Clean Equity"/>
      <sheetName val="Summary"/>
      <sheetName val="Capi man"/>
      <sheetName val="Banco Napoli"/>
      <sheetName val="Cardine"/>
      <sheetName val="Leasing "/>
      <sheetName val="Quantum 16"/>
      <sheetName val="CF"/>
      <sheetName val="Asset yld-cost of fund"/>
      <sheetName val="Sensitivity"/>
      <sheetName val="INPUT"/>
      <sheetName val="Int"/>
      <sheetName val="base case"/>
      <sheetName val="best case"/>
      <sheetName val="QCF"/>
      <sheetName val="Bil"/>
      <sheetName val="DCF"/>
      <sheetName val="DCFpS"/>
      <sheetName val="Val 1"/>
      <sheetName val="Val 2"/>
      <sheetName val="Soci"/>
      <sheetName val="Report P&amp;L"/>
      <sheetName val="Report BS"/>
      <sheetName val="Graph Data"/>
      <sheetName val="Report Graphs"/>
      <sheetName val="Report tables"/>
      <sheetName val="Dupont"/>
      <sheetName val="Annual Model"/>
      <sheetName val="Tables"/>
      <sheetName val="Datastream"/>
      <sheetName val="FX as of 30 April 98"/>
      <sheetName val="E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verage Prices"/>
      <sheetName val="LVMH Model"/>
      <sheetName val="Datastrea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IFRS Impact"/>
      <sheetName val="_QP_CFR.VX"/>
      <sheetName val="AFOSHEET"/>
      <sheetName val="QP_CFR.VX"/>
      <sheetName val="PT calculator"/>
      <sheetName val="Model&gt;&gt;&gt;"/>
      <sheetName val="Share buy back scenario"/>
      <sheetName val="Acquisitions"/>
      <sheetName val="dividends scenario"/>
      <sheetName val="Sales and EBIT"/>
      <sheetName val="Main model"/>
      <sheetName val="Stores"/>
      <sheetName val="Interim"/>
      <sheetName val="Changes - Table"/>
      <sheetName val="data"/>
      <sheetName val="BAT stake"/>
      <sheetName val="Changes in numbers"/>
      <sheetName val="CFR v consensus"/>
      <sheetName val="Valuation&gt;&gt;&gt;"/>
      <sheetName val="CROCIWACC"/>
      <sheetName val="DCF"/>
      <sheetName val="CROCIWACC_Calend"/>
      <sheetName val="Comp Valuation"/>
      <sheetName val="Graphs and data&gt;&gt;&gt;"/>
      <sheetName val="Chart1"/>
      <sheetName val="Chart2"/>
      <sheetName val="Chart1 (2)"/>
      <sheetName val="Chart2 (2)"/>
      <sheetName val="Pricevsvaluation"/>
      <sheetName val="Industrial positioning"/>
      <sheetName val="Watches"/>
      <sheetName val="Jewellery"/>
      <sheetName val="Accessories"/>
      <sheetName val="Stores opening-reloc"/>
      <sheetName val="Innovations"/>
      <sheetName val="EBIT"/>
      <sheetName val="Sales"/>
      <sheetName val="Cost structure"/>
      <sheetName val="Novelties"/>
      <sheetName val="Inventories breakdown"/>
      <sheetName val="Capex by category"/>
      <sheetName val="Stores in China"/>
      <sheetName val="DOS by brand"/>
      <sheetName val="Retail and price positioning"/>
      <sheetName val="Directory of watch brands"/>
      <sheetName val="Brand positioning"/>
      <sheetName val="Capex vs. D&amp;A by divisions"/>
      <sheetName val="Capex vs. Sales by country"/>
      <sheetName val="Capex vs. Net Ass. by divisions"/>
      <sheetName val="Capex breakdown by divisions"/>
      <sheetName val="Capex vs. Net Ass. by country"/>
      <sheetName val="Sales breakdown by country"/>
      <sheetName val="BAT MV 1"/>
      <sheetName val="BAT MV 2"/>
      <sheetName val="BAT MV 3"/>
      <sheetName val="DS"/>
      <sheetName val="comp fx by regions"/>
      <sheetName val="P&amp;L growth"/>
      <sheetName val="CROCI and GCI"/>
      <sheetName val="Old sheets&gt;&gt;&gt; "/>
      <sheetName val="Interim Back up"/>
      <sheetName val="Main model Back up"/>
      <sheetName val="Sales and EBIT per brand"/>
      <sheetName val="NOPAT"/>
      <sheetName val="Price Pos."/>
      <sheetName val="Historical data"/>
      <sheetName val="Corporate structure"/>
      <sheetName val="Chart8"/>
      <sheetName val="Chart8 (2)"/>
      <sheetName val="Chart9"/>
      <sheetName val="Chart3"/>
      <sheetName val="Chart4"/>
      <sheetName val="Chart5"/>
      <sheetName val="Chart6"/>
      <sheetName val="Chart7"/>
      <sheetName val="HISTmultiple"/>
      <sheetName val="Historical sales growth"/>
      <sheetName val="EBIT growth"/>
      <sheetName val="Sales and EBIT growth"/>
      <sheetName val="quarterly cmp FX by div"/>
      <sheetName val="quarterly comp FX by reg"/>
      <sheetName val="EPS &amp; PE Sensitivity"/>
      <sheetName val="EBIT Margin"/>
      <sheetName val="Sales growth by Region"/>
      <sheetName val="ebit margin by divisions"/>
      <sheetName val="Valuation Summary"/>
      <sheetName val="Comps"/>
      <sheetName val="EVAJFD"/>
      <sheetName val="CE"/>
      <sheetName val="WACC"/>
      <sheetName val="C. by reg"/>
      <sheetName val="Assets, Capex and D&amp;A"/>
      <sheetName val="cut in numbers"/>
      <sheetName val="Stores &amp; Innovations"/>
      <sheetName val="FX sensitivity"/>
      <sheetName val="Master FX"/>
      <sheetName val="Richemont Model"/>
      <sheetName val="Q"/>
      <sheetName val="_CFR.VX"/>
      <sheetName val="GQ"/>
      <sheetName val="CompVal"/>
      <sheetName val="CROCIWACC Ex BAT"/>
      <sheetName val="CROCIWACC Ex BAT_Calend"/>
      <sheetName val="Comp FX"/>
      <sheetName val="Sales by regions"/>
      <sheetName val="PROFSVC"/>
      <sheetName val="Q_MODEL"/>
      <sheetName val="RO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Links"/>
      <sheetName val="Financials"/>
      <sheetName val="Capex"/>
      <sheetName val="Margins"/>
      <sheetName val="ARPU"/>
      <sheetName val="Data"/>
      <sheetName val="MOU"/>
      <sheetName val="SAC"/>
      <sheetName val="Churn"/>
      <sheetName val="Subs"/>
      <sheetName val="SMS"/>
      <sheetName val="ARPU vs penetr cht"/>
      <sheetName val="카드채권(대출포함)"/>
      <sheetName val="Desktop"/>
      <sheetName val="Assumptions"/>
      <sheetName val="Inputs"/>
      <sheetName val="Matrices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lean Equity"/>
      <sheetName val="Datasheet"/>
      <sheetName val="Report P&amp;L"/>
      <sheetName val="Report BS"/>
      <sheetName val="Report tables"/>
      <sheetName val="Graph Data"/>
      <sheetName val="Report Graphs"/>
      <sheetName val="capincr"/>
      <sheetName val="TERP"/>
      <sheetName val="Quantum 16"/>
      <sheetName val="GQ"/>
      <sheetName val="cs"/>
      <sheetName val="Dupont"/>
      <sheetName val="Sensitivity"/>
      <sheetName val="Published"/>
      <sheetName val="int"/>
      <sheetName val="Asset quality"/>
      <sheetName val="AUM"/>
      <sheetName val="temp"/>
      <sheetName val="CF"/>
      <sheetName val="QCF"/>
      <sheetName val="Bil"/>
      <sheetName val="DCFpS"/>
      <sheetName val="DCF"/>
      <sheetName val="Val 1"/>
      <sheetName val="Val 2"/>
      <sheetName val="Sheet1"/>
      <sheetName val="INPUT"/>
      <sheetName val="Bnl1_bil"/>
      <sheetName val="database"/>
      <sheetName val="import"/>
      <sheetName val="MPSBNL"/>
      <sheetName val="BNLMPS"/>
      <sheetName val="Chart1"/>
      <sheetName val="concambio con MPS"/>
      <sheetName val="NBG"/>
      <sheetName val="Consolidated"/>
      <sheetName val="Retail"/>
      <sheetName val="Corporate"/>
      <sheetName val="AM"/>
      <sheetName val="INS"/>
      <sheetName val="SE_Europe"/>
      <sheetName val="CorporateCenter"/>
      <sheetName val="DivisionSummary"/>
      <sheetName val="Valuation"/>
      <sheetName val="SOTP"/>
      <sheetName val="SOTP (2)"/>
      <sheetName val="VRS"/>
      <sheetName val="NII"/>
      <sheetName val="Summary"/>
      <sheetName val="Deposits"/>
      <sheetName val="NII (IFRS)"/>
      <sheetName val="Spread"/>
      <sheetName val="Loans"/>
      <sheetName val="Securities"/>
      <sheetName val="Intrabank"/>
      <sheetName val="ALM"/>
      <sheetName val="IR sensitivity"/>
      <sheetName val="NBG_Fin"/>
      <sheetName val="Templ"/>
      <sheetName val="Consolidatedold"/>
      <sheetName val="Comments"/>
      <sheetName val="Control"/>
      <sheetName val="Trevi"/>
      <sheetName val="Fineco"/>
      <sheetName val="MCC"/>
      <sheetName val="Trevi BS"/>
      <sheetName val="Trevi Graph"/>
      <sheetName val="Average Prices"/>
      <sheetName val="NEW SUMMAR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Cons. as Reported ==&gt;"/>
      <sheetName val="Datasheet"/>
      <sheetName val="Report P&amp;L"/>
      <sheetName val="Report BS"/>
      <sheetName val="Report tables"/>
      <sheetName val="Graph Data"/>
      <sheetName val="Report Graphs"/>
      <sheetName val="For report"/>
      <sheetName val="Consensus"/>
      <sheetName val="Dupont"/>
      <sheetName val="Rates"/>
      <sheetName val="Ratios"/>
      <sheetName val="Valuation"/>
      <sheetName val="ROIC"/>
      <sheetName val="Quantum 15"/>
      <sheetName val="P&amp;L"/>
      <sheetName val="BS"/>
      <sheetName val="Avg. BS"/>
      <sheetName val="Non Int. Inc."/>
      <sheetName val="Loans"/>
      <sheetName val="Deposits"/>
      <sheetName val="Provisions &amp; NPLs"/>
      <sheetName val="D&amp;A schedule"/>
      <sheetName val="Market Info"/>
      <sheetName val="Reconciliation"/>
      <sheetName val="Model by divisions ==&gt;"/>
      <sheetName val="Report div"/>
      <sheetName val="SoP"/>
      <sheetName val="Consolidated"/>
      <sheetName val="Other &amp; HO"/>
      <sheetName val="Consolidated ex-Corp"/>
      <sheetName val="Pers. Fin. Serv."/>
      <sheetName val="Woolwich"/>
      <sheetName val="Private Clients"/>
      <sheetName val="Barclaycard"/>
      <sheetName val="Business Banking"/>
      <sheetName val="Africa"/>
      <sheetName val="Barclays Capital"/>
      <sheetName val="Global Investors"/>
      <sheetName val="Ex Barc Cap"/>
      <sheetName val="ex BC revenues"/>
      <sheetName val="ex BC costs"/>
      <sheetName val="Datastream"/>
      <sheetName val="Graphs ==&gt;"/>
      <sheetName val="Revenue"/>
      <sheetName val="Cost"/>
      <sheetName val="NII to RWA"/>
      <sheetName val="ROE"/>
      <sheetName val="Pre Prov ROE"/>
      <sheetName val="Spreads"/>
      <sheetName val="Blended Liab Sqz"/>
      <sheetName val="Pure Liab Sqz"/>
      <sheetName val="Dep rates"/>
      <sheetName val="NCE"/>
      <sheetName val="NCE to price"/>
      <sheetName val="Multiples"/>
      <sheetName val="Cost inc ratio 1H01"/>
      <sheetName val="Provisions 1H01"/>
      <sheetName val="Prov to RWA 1H01"/>
      <sheetName val="Assets 1H01"/>
      <sheetName val="Economic Capital"/>
      <sheetName val="RWAs 1H01"/>
      <sheetName val="Not used ==&gt;"/>
      <sheetName val="Summary"/>
      <sheetName val="Woolwich Old"/>
      <sheetName val="Other Operations"/>
      <sheetName val="Ind.holdings"/>
      <sheetName val="Chart3"/>
      <sheetName val="St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elen"/>
      <sheetName val="Chemical Book Hands Off!!"/>
      <sheetName val="Valuation"/>
      <sheetName val="Hill Samuel"/>
      <sheetName val="Sum of the Parts"/>
      <sheetName val="HEALTHCARE ONLY"/>
      <sheetName val="Discount Cashflow"/>
      <sheetName val="Division"/>
      <sheetName val="Profit and Loss"/>
      <sheetName val="RONC"/>
      <sheetName val="C'flowB'Sh"/>
      <sheetName val="Graphs"/>
      <sheetName val="Sheet2"/>
      <sheetName val="Qtly sales &amp; p&amp;L"/>
      <sheetName val="Sheet1"/>
      <sheetName val="Products"/>
      <sheetName val="Quarterly Product Sales"/>
      <sheetName val="Top 10 Sales"/>
      <sheetName val="Summary of financial data"/>
      <sheetName val="neoral"/>
      <sheetName val="6 Month Results"/>
      <sheetName val="Financials"/>
      <sheetName val="Fixed Asset Movements"/>
      <sheetName val="AcDispData"/>
      <sheetName val="Exceptionals"/>
      <sheetName val="Regional Analysis"/>
      <sheetName val="EVA Calculations"/>
      <sheetName val="EVA"/>
      <sheetName val="FY S-M History"/>
      <sheetName val="FY S-M"/>
      <sheetName val="N"/>
      <sheetName val="STM"/>
      <sheetName val="REQUEST_TABLE"/>
      <sheetName val="INDEX"/>
      <sheetName val="Earnings, BS, Cash"/>
      <sheetName val="AKZO.AS_Annotation_Sheet"/>
      <sheetName val="AKZO.AS_Exchange_Sheet"/>
      <sheetName val="AKZO.AS_Live_Sheet"/>
      <sheetName val="AKZO.AS_Validation_Sheet"/>
      <sheetName val="Quarterly new"/>
      <sheetName val="CNC_Annotation_Sheet"/>
      <sheetName val="CNC_Live_Sheet"/>
      <sheetName val="Merger Model"/>
      <sheetName val="CNC_Validation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Adhesives market"/>
      <sheetName val="Cosmetics markt 2"/>
      <sheetName val="Cosmetics Market"/>
      <sheetName val="Household Products Market"/>
      <sheetName val="P&amp;L"/>
      <sheetName val="FX model"/>
      <sheetName val="Publish"/>
      <sheetName val="Quantum"/>
      <sheetName val="Tables"/>
      <sheetName val="Datastream"/>
      <sheetName val="FX as of 30 April 98"/>
      <sheetName val="EV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 (3)"/>
      <sheetName val="Asset Risk III"/>
      <sheetName val="SysCAR"/>
      <sheetName val="Misc "/>
      <sheetName val="premi total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Publish"/>
      <sheetName val="Quarterly"/>
      <sheetName val="Main"/>
      <sheetName val="Chemical Book &amp; Backgrounder"/>
      <sheetName val="Core"/>
      <sheetName val="Output"/>
      <sheetName val="Module3"/>
      <sheetName val="Total Returns"/>
      <sheetName val="Helen"/>
      <sheetName val="BASF EVA"/>
      <sheetName val="BookTables"/>
      <sheetName val="share dilution works"/>
      <sheetName val="Sheet1"/>
      <sheetName val="Module1"/>
      <sheetName val="Chemical Book"/>
      <sheetName val="Sheet2"/>
      <sheetName val="sum of parts"/>
      <sheetName val="Interim"/>
      <sheetName val="STM"/>
      <sheetName val="Datasheet"/>
      <sheetName val="Income"/>
      <sheetName val="Condensed Qtrly"/>
      <sheetName val="Qtrly Inc"/>
      <sheetName val="Datastream"/>
      <sheetName val="FX as of 30 April 98"/>
      <sheetName val="EVA"/>
      <sheetName val="Report 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OTP"/>
      <sheetName val="Consolidated"/>
      <sheetName val="Datasheet"/>
      <sheetName val="GQ"/>
      <sheetName val="Published"/>
      <sheetName val="Val"/>
      <sheetName val="int"/>
      <sheetName val="DCF"/>
      <sheetName val="CAR"/>
      <sheetName val="cs"/>
      <sheetName val="Asset_quality"/>
      <sheetName val="Loans"/>
      <sheetName val="Fees"/>
      <sheetName val="Costs"/>
      <sheetName val="DivisionSummary"/>
      <sheetName val="Retail"/>
      <sheetName val="Corporate"/>
      <sheetName val="W&amp;IB"/>
      <sheetName val="FS"/>
      <sheetName val="CC"/>
      <sheetName val="Legal entities&gt;&gt;&gt;"/>
      <sheetName val="Retail template"/>
      <sheetName val="Fineco1"/>
      <sheetName val="MCC1"/>
      <sheetName val="Val 2"/>
      <sheetName val="capitalia"/>
      <sheetName val="QCF"/>
      <sheetName val="temp"/>
      <sheetName val="DIVISIONS"/>
      <sheetName val="SOTP_new"/>
      <sheetName val="Dupont"/>
      <sheetName val="CF"/>
      <sheetName val="MCC"/>
      <sheetName val="Fineco"/>
      <sheetName val="others"/>
      <sheetName val="Sensitivity"/>
      <sheetName val="Corporate center"/>
      <sheetName val="Bil"/>
      <sheetName val="Clean Equity"/>
      <sheetName val="Trevi"/>
      <sheetName val="New trevi plan"/>
      <sheetName val="Trevi BS"/>
      <sheetName val="Trevi Graph"/>
      <sheetName val="AUM"/>
      <sheetName val="Asset quality"/>
      <sheetName val="DCFpS"/>
      <sheetName val="Val 1"/>
      <sheetName val="rest"/>
      <sheetName val="Report BS"/>
      <sheetName val="Report P&amp;L"/>
      <sheetName val="Report tables"/>
      <sheetName val="Graph Data"/>
      <sheetName val="Report Graphs"/>
      <sheetName val="Quantum 16"/>
      <sheetName val="Sheet2"/>
      <sheetName val="CAP-BMPS"/>
      <sheetName val="BP"/>
      <sheetName val="Time value"/>
      <sheetName val="Delta2"/>
      <sheetName val="Chart1"/>
      <sheetName val="NTVCAP"/>
      <sheetName val="BNLCAP"/>
      <sheetName val="Consensus "/>
      <sheetName val="sum of parts"/>
      <sheetName val="NEW FINANCIALS"/>
      <sheetName val="LOWEXP"/>
      <sheetName val="LOWQORF"/>
      <sheetName val="LOWRE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lean Equity"/>
      <sheetName val="Consolidated"/>
      <sheetName val="Datasheet"/>
      <sheetName val="Dupont"/>
      <sheetName val="Published"/>
      <sheetName val="CF"/>
      <sheetName val="GQ"/>
      <sheetName val="int"/>
      <sheetName val="cs"/>
      <sheetName val="temp"/>
      <sheetName val="AUM"/>
      <sheetName val="Bil"/>
      <sheetName val="QCF"/>
      <sheetName val="DCF"/>
      <sheetName val="DCFpS"/>
      <sheetName val="Val 1"/>
      <sheetName val="Val 2"/>
      <sheetName val="BPVNBNL"/>
      <sheetName val="sensitivity an."/>
      <sheetName val="Diluizione"/>
      <sheetName val="Report BS"/>
      <sheetName val="Report P&amp;L"/>
      <sheetName val="Report tables"/>
      <sheetName val="Graph Data"/>
      <sheetName val="Report Graphs"/>
      <sheetName val="Quantum 16"/>
      <sheetName val="BPVN-BNL"/>
      <sheetName val="INPUT"/>
      <sheetName val="SOP"/>
      <sheetName val="database"/>
      <sheetName val="Pvr1_bil"/>
      <sheetName val="Price Vol charts"/>
      <sheetName val="Main model"/>
      <sheetName val="SO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lean Equity"/>
      <sheetName val="Consolidated"/>
      <sheetName val="Datasheet"/>
      <sheetName val="Dupont"/>
      <sheetName val="Published"/>
      <sheetName val="CF"/>
      <sheetName val="GQ"/>
      <sheetName val="int"/>
      <sheetName val="cs"/>
      <sheetName val="temp"/>
      <sheetName val="AUM"/>
      <sheetName val="Bil"/>
      <sheetName val="QCF"/>
      <sheetName val="DCF"/>
      <sheetName val="DCFpS"/>
      <sheetName val="Val 1"/>
      <sheetName val="Val 2"/>
      <sheetName val="BPVNBNL"/>
      <sheetName val="sensitivity an."/>
      <sheetName val="Diluizione"/>
      <sheetName val="Report BS"/>
      <sheetName val="Report P&amp;L"/>
      <sheetName val="Report tables"/>
      <sheetName val="Graph Data"/>
      <sheetName val="Report Graphs"/>
      <sheetName val="Quantum 16"/>
      <sheetName val="BPVN-BNL"/>
      <sheetName val="underlying EPS"/>
      <sheetName val="Layout"/>
      <sheetName val="FM"/>
      <sheetName val="R"/>
      <sheetName val="TB"/>
      <sheetName val="SO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irect Labor $ - CarterCo"/>
      <sheetName val="Salaries"/>
      <sheetName val="Fringes - CarterCo"/>
      <sheetName val="Input"/>
      <sheetName val="Revenue"/>
      <sheetName val="Credit"/>
      <sheetName val="Inputs"/>
      <sheetName val="99 Act S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hanges"/>
      <sheetName val="Qtly"/>
      <sheetName val="PNL"/>
      <sheetName val="Revenues"/>
      <sheetName val="Costs"/>
      <sheetName val="External"/>
      <sheetName val="Depreciation"/>
      <sheetName val="Balance Sheet"/>
      <sheetName val="Cash Flow"/>
      <sheetName val="Capital Structure"/>
      <sheetName val="Assoc"/>
      <sheetName val="Detailed DCF"/>
      <sheetName val="GS PNL-F"/>
      <sheetName val="GS BS-F"/>
      <sheetName val="GS-CF"/>
      <sheetName val="GS Assumes"/>
      <sheetName val="F-data"/>
      <sheetName val="CROCI"/>
      <sheetName val="Comps"/>
      <sheetName val="company profile"/>
      <sheetName val="GS data"/>
      <sheetName val="GEM"/>
      <sheetName val="Interim"/>
      <sheetName val="GS-Capex"/>
      <sheetName val="DCF"/>
      <sheetName val="EROCE"/>
      <sheetName val="GS-DCF-F1"/>
      <sheetName val="WACC"/>
      <sheetName val="ROIC"/>
      <sheetName val="DATA"/>
      <sheetName val="Concession Conversion"/>
      <sheetName val="Facts &amp; Audit"/>
      <sheetName val="Net add cht"/>
      <sheetName val="margin cht"/>
      <sheetName val="F-Assumptions"/>
      <sheetName val="NotesXpress"/>
      <sheetName val="EVA1"/>
      <sheetName val="Factsheet"/>
      <sheetName val="Quarterly "/>
      <sheetName val="Sensitivities"/>
      <sheetName val="v.data"/>
      <sheetName val="EVA 2 "/>
      <sheetName val="sample NV_data"/>
      <sheetName val="GS Balance"/>
      <sheetName val="GS Cashflow"/>
      <sheetName val="GS Assumptions"/>
      <sheetName val="GS- WACC"/>
      <sheetName val="GS- DCF"/>
      <sheetName val="Macro1"/>
      <sheetName val="NV-data"/>
      <sheetName val="CF"/>
      <sheetName val="BS"/>
      <sheetName val="DCF-F1"/>
      <sheetName val="EVA"/>
      <sheetName val="EM-TAC"/>
      <sheetName val="DCF &amp; WACC"/>
      <sheetName val="GS Assumptions-F"/>
      <sheetName val="#REF"/>
      <sheetName val="Report"/>
      <sheetName val="Old Qtly Sheet"/>
      <sheetName val="Quarterly"/>
      <sheetName val="EVA 2"/>
      <sheetName val="GEMS"/>
      <sheetName val="Sheet1"/>
      <sheetName val="Company profile back-up"/>
      <sheetName val="GS data back-up"/>
      <sheetName val="Company profile "/>
      <sheetName val="F-Qtly"/>
      <sheetName val="tables"/>
      <sheetName val="Oaktree"/>
      <sheetName val="GQ"/>
      <sheetName val="DCF Template"/>
      <sheetName val="DCF Sensitivity"/>
      <sheetName val="Q-PreARPU"/>
      <sheetName val="Q-PostARPU"/>
      <sheetName val="Q-EBITDA (2)"/>
      <sheetName val="8 kÿÊ0 F_x0001_t"/>
      <sheetName val="F-DCF"/>
      <sheetName val="Bloomberg"/>
      <sheetName val="Financials"/>
      <sheetName val="Operations"/>
      <sheetName val="Beef_Lamb_Prices"/>
      <sheetName val=""/>
      <sheetName val="DCF_Multiple"/>
      <sheetName val="inputs"/>
      <sheetName val="8 kÿÊ0 F_x0001_t"/>
      <sheetName val="MODEL"/>
      <sheetName val="BSheet"/>
      <sheetName val="CFlow"/>
      <sheetName val="Ratios"/>
      <sheetName val="Settings"/>
      <sheetName val="Lists"/>
      <sheetName val="ListMaster"/>
      <sheetName val="ABG"/>
      <sheetName val="Variables"/>
      <sheetName val="EM HK Australia"/>
      <sheetName val="EUROPE"/>
      <sheetName val="RUSSIA_CASPIAN"/>
      <sheetName val="DRAMJOCI"/>
      <sheetName val="cc_Link"/>
      <sheetName val="acctmod"/>
      <sheetName val="prices"/>
      <sheetName val="8 kÿÊ0 ???F_x0001_??t"/>
      <sheetName val="data.exp"/>
      <sheetName val="Sheet2"/>
      <sheetName val="PB band"/>
      <sheetName val="HC"/>
      <sheetName val=" DOE model"/>
      <sheetName val="8 kÿÊ0 _x005f_x0000__x005f_x0000__x005f_x0000_F_x"/>
      <sheetName val="Royal Carib. Model"/>
      <sheetName val="AMOY"/>
      <sheetName val="board"/>
      <sheetName val="sales"/>
      <sheetName val="main"/>
      <sheetName val="pl_related"/>
      <sheetName val="shareholding"/>
      <sheetName val="8 kÿÊ0 F_x0001_?t"/>
      <sheetName val="Criteria"/>
      <sheetName val="MTNL"/>
      <sheetName val="Interface"/>
      <sheetName val="Profit and loss"/>
      <sheetName val="SOTP"/>
      <sheetName val="TABLE"/>
      <sheetName val="CHARTS"/>
      <sheetName val="INTERIMS"/>
      <sheetName val="VALUATION"/>
      <sheetName val="COST ASSUMPTIONS"/>
      <sheetName val="USDEAL"/>
      <sheetName val="PROFIT &amp; LOSS"/>
      <sheetName val="GROWTH ASSUMPTIONS"/>
      <sheetName val="EV EBITDA SALES band"/>
      <sheetName val="PE band"/>
      <sheetName val="315005"/>
      <sheetName val="Calc"/>
      <sheetName val="8 kÿÊ0 "/>
      <sheetName val="Fox Model"/>
      <sheetName val="8 kÿÊ0 F_x0001_"/>
      <sheetName val="8 kÿÊ0 ___F_x0001___t"/>
      <sheetName val="bp"/>
      <sheetName val="fp"/>
      <sheetName val="quant"/>
      <sheetName val="charts &amp; tables"/>
      <sheetName val="fpage"/>
      <sheetName val="Model Setting"/>
      <sheetName val="IS"/>
      <sheetName val="Historical Code"/>
      <sheetName val="合成単価作成・-BLDG"/>
      <sheetName val="ET"/>
      <sheetName val="Cashflow"/>
      <sheetName val="P&amp;L"/>
      <sheetName val="cashflow (F)"/>
      <sheetName val="earnings (F)"/>
      <sheetName val="Modern Terminal (F)"/>
      <sheetName val="NAV (F)"/>
      <sheetName val="Property Dev (F)"/>
      <sheetName val="Per share"/>
      <sheetName val="Calculation (2)"/>
      <sheetName val="CAP"/>
      <sheetName val="Quarterly_"/>
      <sheetName val="Balance_Sheet"/>
      <sheetName val="Cash_Flow"/>
      <sheetName val="v_data"/>
      <sheetName val="EVA_2_"/>
      <sheetName val="sample_NV_data"/>
      <sheetName val="GS_PNL-F"/>
      <sheetName val="GS_Balance"/>
      <sheetName val="GS_Cashflow"/>
      <sheetName val="GS_Assumptions"/>
      <sheetName val="GS-_WACC"/>
      <sheetName val="GS-_DCF"/>
      <sheetName val="DCF_&amp;_WACC"/>
      <sheetName val="GS_Assumptions-F"/>
      <sheetName val="margin_cht"/>
      <sheetName val="Facts_&amp;_Audit"/>
      <sheetName val="Capital_Structure"/>
      <sheetName val="Net_add_cht"/>
      <sheetName val="GS_BS-F"/>
      <sheetName val="Old_Qtly_Sheet"/>
      <sheetName val="EVA_2"/>
      <sheetName val="Concession_Conversion"/>
      <sheetName val="Company_profile"/>
      <sheetName val="GS_data"/>
      <sheetName val="GS_Assumes"/>
      <sheetName val="Company_profile_back-up"/>
      <sheetName val="Company_profile_"/>
      <sheetName val="GS_data_back-up"/>
      <sheetName val="Detailed_DCF"/>
      <sheetName val="DCF_Template"/>
      <sheetName val="DCF_Sensitivity"/>
      <sheetName val="Q-EBITDA_(2)"/>
      <sheetName val="8_kÿÊ0 Ft"/>
      <sheetName val="PB_band"/>
      <sheetName val="EM_HK_Australia"/>
      <sheetName val="8_kÿÊ0 ???F??t"/>
      <sheetName val="data_exp"/>
      <sheetName val="8_kÿÊ0 _x005f_x0000__x005f_x0000__x005f_x0000_F_x"/>
      <sheetName val="Royal_Carib__Model"/>
      <sheetName val="8_kÿÊ0 F?t"/>
      <sheetName val="8_kÿÊ0 "/>
      <sheetName val="Fox_Model"/>
      <sheetName val="8_kÿÊ0 F"/>
      <sheetName val="8_kÿÊ0 ___F__t"/>
      <sheetName val="charts_&amp;_tables"/>
      <sheetName val="_DOE_model"/>
      <sheetName val="COST_ASSUMPTIONS"/>
      <sheetName val="PROFIT_&amp;_LOSS"/>
      <sheetName val="GROWTH_ASSUMPTIONS"/>
      <sheetName val="Model_Setting"/>
      <sheetName val="Historical_Code"/>
      <sheetName val="Profit_and_loss"/>
      <sheetName val="Quarterly_1"/>
      <sheetName val="Balance_Sheet1"/>
      <sheetName val="Cash_Flow1"/>
      <sheetName val="v_data1"/>
      <sheetName val="EVA_2_1"/>
      <sheetName val="sample_NV_data1"/>
      <sheetName val="GS_PNL-F1"/>
      <sheetName val="GS_Balance1"/>
      <sheetName val="GS_Cashflow1"/>
      <sheetName val="GS_Assumptions1"/>
      <sheetName val="GS-_WACC1"/>
      <sheetName val="GS-_DCF1"/>
      <sheetName val="DCF_&amp;_WACC1"/>
      <sheetName val="GS_Assumptions-F1"/>
      <sheetName val="margin_cht1"/>
      <sheetName val="Facts_&amp;_Audit1"/>
      <sheetName val="Capital_Structure1"/>
      <sheetName val="Net_add_cht1"/>
      <sheetName val="GS_BS-F1"/>
      <sheetName val="Old_Qtly_Sheet1"/>
      <sheetName val="EVA_21"/>
      <sheetName val="Concession_Conversion1"/>
      <sheetName val="Company_profile1"/>
      <sheetName val="GS_data1"/>
      <sheetName val="GS_Assumes1"/>
      <sheetName val="Company_profile_back-up1"/>
      <sheetName val="Company_profile_1"/>
      <sheetName val="GS_data_back-up1"/>
      <sheetName val="Detailed_DCF1"/>
      <sheetName val="DCF_Template1"/>
      <sheetName val="DCF_Sensitivity1"/>
      <sheetName val="Q-EBITDA_(2)1"/>
      <sheetName val="PB_band1"/>
      <sheetName val="EM_HK_Australia1"/>
      <sheetName val="data_exp1"/>
      <sheetName val="8_kÿÊ0 _x005f_x0000__x005f_x0000__x005f_x0000_F_1"/>
      <sheetName val="Royal_Carib__Model1"/>
      <sheetName val="8_kÿÊ0 1"/>
      <sheetName val="Fox_Model1"/>
      <sheetName val="charts_&amp;_tables1"/>
      <sheetName val="_DOE_model1"/>
      <sheetName val="COST_ASSUMPTIONS1"/>
      <sheetName val="PROFIT_&amp;_LOSS1"/>
      <sheetName val="GROWTH_ASSUMPTIONS1"/>
      <sheetName val="Model_Setting1"/>
      <sheetName val="Historical_Code1"/>
      <sheetName val="Profit_and_loss1"/>
      <sheetName val="Annual Temp"/>
      <sheetName val="8 kÿÊ0 F_x0001__t"/>
      <sheetName val="cashflow_(F)"/>
      <sheetName val="earnings_(F)"/>
      <sheetName val="Modern_Terminal_(F)"/>
      <sheetName val="NAV_(F)"/>
      <sheetName val="Property_Dev_(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/>
      <sheetData sheetId="261"/>
      <sheetData sheetId="262"/>
      <sheetData sheetId="263"/>
      <sheetData sheetId="264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Button"/>
      <sheetName val="data for alan"/>
      <sheetName val="Module1"/>
      <sheetName val="aeos"/>
      <sheetName val="ann"/>
      <sheetName val="bkle"/>
      <sheetName val="cacoa"/>
      <sheetName val="cath"/>
      <sheetName val="chcs"/>
      <sheetName val="chrs"/>
      <sheetName val="cle"/>
      <sheetName val="gadz"/>
      <sheetName val="-- FAME Data Look Up --"/>
      <sheetName val="gps"/>
      <sheetName val="gymb"/>
      <sheetName val="hld"/>
      <sheetName val="jbak"/>
      <sheetName val="ibi"/>
      <sheetName val="ltd"/>
      <sheetName val="mwrk"/>
      <sheetName val="psun"/>
      <sheetName val="pss"/>
      <sheetName val="rays"/>
      <sheetName val="tlb"/>
      <sheetName val="urbn"/>
      <sheetName val="urgi"/>
      <sheetName val="wtsla"/>
      <sheetName val="cml"/>
      <sheetName val="dmrk"/>
      <sheetName val="fht"/>
      <sheetName val="le"/>
      <sheetName val="lvc"/>
      <sheetName val="spgla"/>
      <sheetName val="ALANIBES3"/>
      <sheetName val="MktCap"/>
      <sheetName val="Macro1"/>
      <sheetName val="Income Statement Summary"/>
      <sheetName val="LVMH Model"/>
      <sheetName val="P&amp;L"/>
      <sheetName val="FX model"/>
      <sheetName val="EBIT model"/>
      <sheetName val="INVESTISSEMENTS"/>
      <sheetName val="Main model"/>
      <sheetName val="BALANCE SHEET"/>
      <sheetName val="CASH FLOW"/>
      <sheetName val="SOTP"/>
      <sheetName val="EXTERNAL"/>
      <sheetName val="TABLE"/>
      <sheetName val="CHARTS"/>
      <sheetName val="INTERIMS"/>
      <sheetName val="VALUATION"/>
      <sheetName val="COST ASSUMPTIONS"/>
      <sheetName val="USDEAL"/>
      <sheetName val="PROFIT &amp; LOSS"/>
      <sheetName val="ROIC"/>
      <sheetName val="GROWTH ASSUMPTIONS"/>
      <sheetName val="Datasheet"/>
    </sheetNames>
    <definedNames>
      <definedName name="Buttonsh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ANNMONTH "/>
      <sheetName val="ANNOPR"/>
      <sheetName val="ANNBIZ"/>
      <sheetName val="FAME Persistence"/>
      <sheetName val="ANNQORFA"/>
      <sheetName val="ANNANN"/>
      <sheetName val="ANNQTR"/>
      <sheetName val="ANNDIFF"/>
      <sheetName val="ANNCall2Q"/>
      <sheetName val="ANNCall3Q"/>
      <sheetName val="ANNCall4Q"/>
      <sheetName val="ANNCall1Q "/>
      <sheetName val="ANNdtc"/>
      <sheetName val="ANNwork"/>
      <sheetName val="ANNTURN"/>
      <sheetName val="ANNBS"/>
      <sheetName val="ANNFLOW"/>
      <sheetName val="ANNROC"/>
      <sheetName val="ANNGM"/>
      <sheetName val="ANNLT"/>
      <sheetName val="annCHP"/>
      <sheetName val="DEPRENT"/>
      <sheetName val="ANNEXP"/>
      <sheetName val="ANNRelPE"/>
      <sheetName val="ANNINVMGT"/>
      <sheetName val="ANNSPACE"/>
      <sheetName val="ANNMONTH"/>
      <sheetName val="VABQORF"/>
      <sheetName val="ANN"/>
      <sheetName val="P&amp;L"/>
      <sheetName val="FX model"/>
      <sheetName val="SQOR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85 vs. 88"/>
      <sheetName val="Oper-Contrib"/>
      <sheetName val="Div-Contrib"/>
      <sheetName val="Mgmt"/>
      <sheetName val="int. sched"/>
      <sheetName val="WP-shee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ufkin"/>
      <sheetName val="Sheldon"/>
      <sheetName val="IPOMISC"/>
      <sheetName val="GYMBQORF"/>
      <sheetName val="#REF"/>
      <sheetName val="BSMTDIFF"/>
      <sheetName val="ANNBIZ"/>
      <sheetName val="Macro1"/>
      <sheetName val="DIVOPER"/>
      <sheetName val="TJXQORFA"/>
    </sheetNames>
    <definedNames>
      <definedName name="calculation"/>
      <definedName name="dialog"/>
      <definedName name="input_method"/>
      <definedName name="model_5yr"/>
      <definedName name="model_type"/>
      <definedName name="newprint"/>
      <definedName name="print_page"/>
      <definedName name="returns"/>
      <definedName name="selectInput"/>
      <definedName name="SelectLBO"/>
      <definedName name="SelectRECA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GQ"/>
      <sheetName val="P&amp;L"/>
      <sheetName val="INTERIM"/>
      <sheetName val="INTERIM IFRS"/>
      <sheetName val="COMPS ANALYSIS"/>
      <sheetName val="DCF"/>
      <sheetName val="CROCI"/>
      <sheetName val="Shareholder value creation"/>
      <sheetName val="NOPAT"/>
      <sheetName val="Cap. employed"/>
      <sheetName val="Actual WACC"/>
      <sheetName val="Shareholder value creation Old"/>
      <sheetName val="NOPAT Old"/>
      <sheetName val="Cap. employed  Old"/>
      <sheetName val="WACC Old"/>
      <sheetName val="Oil price"/>
      <sheetName val="BS fut"/>
      <sheetName val="Sales Model"/>
      <sheetName val="sales and EBIT model"/>
      <sheetName val="ChMktshre"/>
      <sheetName val="ChMktpstion"/>
      <sheetName val="Mkt Share"/>
      <sheetName val="Launches"/>
      <sheetName val="FX model"/>
      <sheetName val="Activity"/>
      <sheetName val="FX module"/>
      <sheetName val="Price perf"/>
      <sheetName val="currencybox"/>
      <sheetName val="Historical WACC"/>
      <sheetName val="Historical CE"/>
      <sheetName val="Minorities"/>
      <sheetName val="ClarinsModel"/>
      <sheetName val="Asian Exposure"/>
      <sheetName val="Cap. employed "/>
      <sheetName val="Shareholder value creation (2)"/>
      <sheetName val="NOPAT (2)"/>
      <sheetName val="Cap. employed  (2)"/>
      <sheetName val="Actual WACC (2)"/>
      <sheetName val="Cash Flow"/>
      <sheetName val="Dial cash  flow"/>
      <sheetName val="Dial P&amp;L"/>
      <sheetName val="Setup"/>
      <sheetName val="WMTQORFA"/>
      <sheetName val="Datastream"/>
      <sheetName val="FX as of 30 April 98"/>
      <sheetName val="EVA"/>
      <sheetName val="sum of parts"/>
      <sheetName val="Datasheet"/>
      <sheetName val="Main"/>
      <sheetName val="ANNBIZ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EBITDA"/>
      <sheetName val="Sheet1"/>
      <sheetName val="DDETABLE "/>
      <sheetName val="Control"/>
      <sheetName val="Comments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EVA"/>
      <sheetName val="Dial cash  flow"/>
      <sheetName val="Dial P&amp;L"/>
      <sheetName val="Datastream"/>
      <sheetName val="FX as of 30 April 98"/>
      <sheetName val="Inc-Yr Summary"/>
      <sheetName val="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Life G"/>
      <sheetName val="Grafico1"/>
      <sheetName val="premi totali"/>
      <sheetName val="life res. graph (2)"/>
      <sheetName val="life res. graph"/>
      <sheetName val="2 life res. gr."/>
      <sheetName val="lifr BD"/>
      <sheetName val="life"/>
      <sheetName val="unit+linked"/>
      <sheetName val="canali graph"/>
      <sheetName val="Life G1"/>
      <sheetName val="Life G3"/>
      <sheetName val="Canali"/>
      <sheetName val="Life M.S. 1"/>
      <sheetName val="MS groups"/>
      <sheetName val="Life M.S. 2"/>
      <sheetName val="Confr. Int."/>
      <sheetName val="INT gr 1"/>
      <sheetName val="INT gr 2"/>
      <sheetName val="INT gr3 "/>
      <sheetName val="pf"/>
      <sheetName val="Yd e pr. cons"/>
      <sheetName val="att. f gr."/>
      <sheetName val="Grafico2"/>
      <sheetName val="Grafico 4"/>
      <sheetName val="Grafico3"/>
      <sheetName val="pensions"/>
      <sheetName val="Grafico4"/>
      <sheetName val="att. f."/>
      <sheetName val="SANITà"/>
      <sheetName val="pr. risp gr."/>
      <sheetName val="pr-risp"/>
      <sheetName val="ob. racc-rend"/>
      <sheetName val="az. racc. rend."/>
      <sheetName val="sett. fondi"/>
      <sheetName val="P&amp;L"/>
      <sheetName val="y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Factsheet"/>
      <sheetName val="Subscribers"/>
      <sheetName val="Results"/>
      <sheetName val="P&amp;L"/>
      <sheetName val="Revenue"/>
      <sheetName val="Rev-qrt"/>
      <sheetName val="Costs"/>
      <sheetName val="Costs-qrt"/>
      <sheetName val="Depreciation"/>
      <sheetName val="Balance"/>
      <sheetName val="Cash Flow"/>
      <sheetName val="DCF"/>
      <sheetName val="DCF 2.5G"/>
      <sheetName val="DCF 3G"/>
      <sheetName val="EVA1"/>
      <sheetName val="EVA 2 "/>
      <sheetName val="Temp Link"/>
      <sheetName val="sample NV_data"/>
      <sheetName val="F-PNL"/>
      <sheetName val="F-Balance"/>
      <sheetName val="F-Cash Flow"/>
      <sheetName val="F-Assumptions"/>
      <sheetName val="GS-WACC"/>
      <sheetName val="GS_DCF"/>
      <sheetName val="NotesXpress"/>
      <sheetName val="Fidelity"/>
      <sheetName val="DATA"/>
      <sheetName val="Quarterlies"/>
      <sheetName val="DCF Internet"/>
      <sheetName val="Interims"/>
      <sheetName val="v.data"/>
      <sheetName val="Quarterly"/>
      <sheetName val="EM-SKTelecom"/>
      <sheetName val="Control Panel"/>
      <sheetName val="F-data"/>
      <sheetName val="#REF"/>
      <sheetName val="EVA"/>
      <sheetName val="CAMELOT (f)"/>
      <sheetName val="FX Liabilities (f)"/>
      <sheetName val="Sheet3"/>
      <sheetName val="Snapshot (f)"/>
      <sheetName val="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Header"/>
      <sheetName val="Annual Model"/>
      <sheetName val="Quarterly Model"/>
      <sheetName val="BS analysis"/>
      <sheetName val="Capital Structure"/>
      <sheetName val="Holdings"/>
      <sheetName val="Group"/>
      <sheetName val="M&amp;As"/>
      <sheetName val="Carime"/>
      <sheetName val="Factsheet"/>
      <sheetName val="SopChart"/>
      <sheetName val="SoP"/>
      <sheetName val="Commissions"/>
      <sheetName val="HS"/>
      <sheetName val="merger with BCI"/>
      <sheetName val="Dynamic ROE"/>
      <sheetName val="BIN-SPIMI"/>
      <sheetName val="DDETABLE "/>
      <sheetName val="Data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Sales &amp; Margin Assumptions"/>
      <sheetName val="Warehouse Sales &amp; Margins"/>
      <sheetName val="reworked supply line"/>
      <sheetName val="Sheet1"/>
      <sheetName val="capital"/>
      <sheetName val="Annual IS"/>
      <sheetName val="Jan IS"/>
      <sheetName val="Feb IS"/>
      <sheetName val="YTD Feb IS"/>
      <sheetName val="Mar IS"/>
      <sheetName val="Q1 IS"/>
      <sheetName val="Apr IS"/>
      <sheetName val="YTD Apr IS"/>
      <sheetName val="May IS"/>
      <sheetName val="YTD May IS"/>
      <sheetName val="Jun IS"/>
      <sheetName val="Q2 IS"/>
      <sheetName val="YTD Jun IS"/>
      <sheetName val="Jul IS"/>
      <sheetName val="YTD Jul IS"/>
      <sheetName val="Aug IS"/>
      <sheetName val="YTD Aug IS"/>
      <sheetName val="Sep IS"/>
      <sheetName val="Q3 IS"/>
      <sheetName val="YTD Sep IS"/>
      <sheetName val="Oct IS"/>
      <sheetName val="YTD Oct IS"/>
      <sheetName val="Nov IS"/>
      <sheetName val="YTD Nov IS"/>
      <sheetName val="Dec IS"/>
      <sheetName val="Q4 IS"/>
      <sheetName val="YTD Dec IS"/>
      <sheetName val="Rolling P&amp;L"/>
      <sheetName val="Monthly Div P&amp;L"/>
      <sheetName val="Quarterly Div P&amp;L"/>
      <sheetName val="YTD Div P&amp;L"/>
      <sheetName val="Monthly Regular Outlt Store P&amp;L"/>
      <sheetName val="Monthly Warehouse Store P&amp;L"/>
      <sheetName val="Monthly Consolidated Store P&amp;L"/>
      <sheetName val="Store Non-Exempt Payroll"/>
      <sheetName val="YTD Regular Outlet Store P&amp;L"/>
      <sheetName val="YTD Warehouse Store P&amp;L"/>
      <sheetName val="YTD Consolidated P&amp;L"/>
      <sheetName val="Monthly HQ Adm Exp"/>
      <sheetName val="Administration Payroll"/>
      <sheetName val="YTD HQ Adm Exp"/>
      <sheetName val="99 Sales Forecast"/>
      <sheetName val="99 Act Sales"/>
      <sheetName val="Inventory Summary"/>
      <sheetName val="Turn By Month"/>
      <sheetName val="Store Closing Expense"/>
      <sheetName val="Data "/>
      <sheetName val="PRM IS"/>
      <sheetName val="Revenue"/>
      <sheetName val="AssetListing for Upload"/>
      <sheetName val="QORFA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Changes"/>
      <sheetName val="Interim"/>
      <sheetName val="PNL"/>
      <sheetName val="Revenues"/>
      <sheetName val="Costs"/>
      <sheetName val="Depreciation"/>
      <sheetName val="Balance Sheet"/>
      <sheetName val="Cash Flow"/>
      <sheetName val="Capital Structure"/>
      <sheetName val="DCF"/>
      <sheetName val="Macau"/>
      <sheetName val="GS Assumes"/>
      <sheetName val="GS PNL"/>
      <sheetName val="GS BS"/>
      <sheetName val="GS CF"/>
      <sheetName val="GS DCF"/>
      <sheetName val="GS WACC"/>
      <sheetName val="Company profile"/>
      <sheetName val="GS data"/>
      <sheetName val="GEM"/>
      <sheetName val="F-data"/>
      <sheetName val="CROCI"/>
      <sheetName val="Comps"/>
      <sheetName val="Revision"/>
      <sheetName val="Capex and Depreciation"/>
      <sheetName val="Special Dividend"/>
      <sheetName val="HoH"/>
      <sheetName val="NX"/>
      <sheetName val="Oaktree"/>
      <sheetName val="#REF"/>
      <sheetName val="DRM"/>
      <sheetName val="PROFSVC"/>
      <sheetName val="Q_MODEL"/>
      <sheetName val="Weights"/>
      <sheetName val="CF"/>
      <sheetName val="DDETABLE "/>
      <sheetName val="EM-SmarTone-new"/>
      <sheetName val="OPR"/>
      <sheetName val="QORF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AF chart data"/>
      <sheetName val="AF data"/>
      <sheetName val="ALT chart data"/>
      <sheetName val="ALT data"/>
      <sheetName val="BA chart data"/>
      <sheetName val="BA data"/>
      <sheetName val="EZJ chart data"/>
      <sheetName val="EZJ data"/>
      <sheetName val="Ibr 96 to 00"/>
      <sheetName val="Ibr 96 to 03"/>
      <sheetName val="Ibr Ebitdar"/>
      <sheetName val="IBR Staff"/>
      <sheetName val="IBR Maintenance"/>
      <sheetName val="Ibr Infras"/>
      <sheetName val="IBR other"/>
      <sheetName val="IBR Fuel"/>
      <sheetName val="IBR Dist"/>
      <sheetName val="IBR chart data"/>
      <sheetName val="Chart2"/>
      <sheetName val="Chart3"/>
      <sheetName val="IBR data"/>
      <sheetName val="KLM chart data"/>
      <sheetName val="KLM data"/>
      <sheetName val="LHA chart data"/>
      <sheetName val="LHA data"/>
      <sheetName val="SAS chart data"/>
      <sheetName val="SAS data"/>
      <sheetName val="RYA chart data"/>
      <sheetName val="RYA data"/>
      <sheetName val="RevDrive"/>
      <sheetName val="CostperSeat data 02"/>
      <sheetName val="Seats"/>
      <sheetName val="EBITDARperSeat CHRT"/>
      <sheetName val="Chart5"/>
      <sheetName val="EBITDARperSeat Data over time"/>
      <sheetName val="SAir"/>
      <sheetName val="Consol Chart 03"/>
      <sheetName val="EBITDAR 03"/>
      <sheetName val="Consol. chart"/>
      <sheetName val="Consol. data"/>
      <sheetName val="Consol. chart-2002"/>
      <sheetName val="Consol. data-2002"/>
      <sheetName val="EBITDAR chart 01"/>
      <sheetName val="ebitdar 01 data"/>
      <sheetName val="cost chart"/>
      <sheetName val="cost data"/>
      <sheetName val="CostperSeat CHRT"/>
      <sheetName val="StaffCostperSeat CHRT"/>
      <sheetName val="MaintenanceCostperSeat CHRT"/>
      <sheetName val="InfrastructureCostperSeat CHRT"/>
      <sheetName val="DistributionCostperSeat CHRT"/>
      <sheetName val="OtherCostperSeat CHRT"/>
      <sheetName val="CostperSeat data"/>
      <sheetName val="Departures"/>
      <sheetName val="cyclical purchasing"/>
      <sheetName val="seats-vs-cycle"/>
      <sheetName val="AF chart"/>
      <sheetName val="ALT chart"/>
      <sheetName val="BA chart"/>
      <sheetName val="EZJ chart"/>
      <sheetName val="IBR chart"/>
      <sheetName val="KLM chart"/>
      <sheetName val="LHA chart"/>
      <sheetName val="SAS chart"/>
      <sheetName val="RYA chart"/>
      <sheetName val="Chart1"/>
      <sheetName val="Per seat chart"/>
      <sheetName val="Chart9"/>
      <sheetName val="Chart10"/>
      <sheetName val="Chart11"/>
      <sheetName val="Chart12"/>
      <sheetName val="EBITDAR(seat.comp)"/>
      <sheetName val="Chart1 (2)"/>
      <sheetName val="FX"/>
      <sheetName val="Chart8 (2)"/>
      <sheetName val="AF-KLM chart"/>
      <sheetName val="Chart7 (2)"/>
      <sheetName val="Emirates data"/>
      <sheetName val="Chart8"/>
      <sheetName val="Flag P&amp;L"/>
      <sheetName val="Chart7"/>
      <sheetName val="AF - KLM data "/>
      <sheetName val="Flag total"/>
      <sheetName val="CostperSeat data 03"/>
      <sheetName val="Slide  S&amp;P Medians"/>
      <sheetName val="Chart4"/>
      <sheetName val="Sheet1"/>
      <sheetName val="Chart6"/>
      <sheetName val="Hours flown"/>
      <sheetName val="EBITDAR"/>
      <sheetName val="Passengers"/>
      <sheetName val="Lufthansa chart"/>
      <sheetName val="per seat analysis data"/>
      <sheetName val="Emirates"/>
      <sheetName val="Chart13 (2)"/>
      <sheetName val="Historic"/>
      <sheetName val="Chart13"/>
      <sheetName val="Airports"/>
      <sheetName val="EuroAirlines"/>
      <sheetName val="Exchange"/>
      <sheetName val="Airl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/>
      <sheetData sheetId="78" refreshError="1"/>
      <sheetData sheetId="79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OTP"/>
      <sheetName val="Published"/>
      <sheetName val="Consensus "/>
      <sheetName val="Sheet1"/>
      <sheetName val="BP"/>
      <sheetName val="Consolidated"/>
      <sheetName val="Datasheet"/>
      <sheetName val="int"/>
      <sheetName val="CAR"/>
      <sheetName val="cs"/>
      <sheetName val="AuM"/>
      <sheetName val="Fees"/>
      <sheetName val="Asset_quality"/>
      <sheetName val="Loans"/>
      <sheetName val="Funding"/>
      <sheetName val="GQ"/>
      <sheetName val="Group_structure"/>
      <sheetName val="Divisions&gt;&gt;&gt;"/>
      <sheetName val="SOTP_new"/>
      <sheetName val="Retail"/>
      <sheetName val="Corporate"/>
      <sheetName val="WM"/>
      <sheetName val="IB"/>
      <sheetName val="CC"/>
      <sheetName val="Legal entities&gt;&gt;&gt;"/>
      <sheetName val="BPMilano"/>
      <sheetName val="Legnano"/>
      <sheetName val="CRAlessandria"/>
      <sheetName val="Network restructuring"/>
      <sheetName val="Staff"/>
      <sheetName val="Cost"/>
      <sheetName val="AdmCosts"/>
      <sheetName val="CB"/>
      <sheetName val="BPM"/>
      <sheetName val="NEW FINANCIALS"/>
      <sheetName val="FAME"/>
      <sheetName val="Tables"/>
      <sheetName val="Datastream"/>
      <sheetName val="FX as of 30 April 98"/>
      <sheetName val="EVA"/>
      <sheetName val="Slide  S&amp;P Medians"/>
      <sheetName val="DDETAB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s"/>
      <sheetName val="int"/>
      <sheetName val="DCF"/>
      <sheetName val="SOTP"/>
      <sheetName val="Summary"/>
      <sheetName val="Consolidated"/>
      <sheetName val="Published"/>
      <sheetName val="Retail"/>
      <sheetName val="Wholesale&amp;IB"/>
      <sheetName val="International"/>
      <sheetName val="Eurizon"/>
      <sheetName val="AIP"/>
      <sheetName val="Fideuram"/>
      <sheetName val="AM &amp; IPB"/>
      <sheetName val="CC"/>
      <sheetName val="Div_assump"/>
      <sheetName val="CAR"/>
      <sheetName val="CapCalc"/>
      <sheetName val="Cap redepl"/>
      <sheetName val="Synergies"/>
      <sheetName val="Staff"/>
      <sheetName val="Acquisit"/>
      <sheetName val="FAME"/>
      <sheetName val="Datastream"/>
      <sheetName val="FX as of 30 April 98"/>
      <sheetName val="EVA"/>
      <sheetName val="Profit and Loss"/>
      <sheetName val="Balance Sheet &amp; Cash Flow"/>
      <sheetName val="Master FX"/>
      <sheetName val="ISP_cleared"/>
      <sheetName val="Consensus "/>
      <sheetName val="Data 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Consensus Estimates"/>
      <sheetName val="EVA1"/>
      <sheetName val="HKGAS"/>
      <sheetName val="ACE-OUT"/>
      <sheetName val="Assumptions"/>
      <sheetName val="Macro1"/>
      <sheetName val="Payment Industry stats"/>
      <sheetName val="DDE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Datasheet"/>
      <sheetName val="Report BS"/>
      <sheetName val="Report P&amp;L"/>
      <sheetName val="Report tables"/>
      <sheetName val="Graph Data"/>
      <sheetName val="Report Graphs"/>
      <sheetName val="Quantum 16"/>
      <sheetName val="GQ"/>
      <sheetName val="Dupont"/>
      <sheetName val="temp"/>
      <sheetName val="cs"/>
      <sheetName val="Retail template"/>
      <sheetName val="Retail"/>
      <sheetName val="MCC"/>
      <sheetName val="Fineco"/>
      <sheetName val="others"/>
      <sheetName val="Sensitivity"/>
      <sheetName val="Corporate center"/>
      <sheetName val="CF"/>
      <sheetName val="QCF"/>
      <sheetName val="Published"/>
      <sheetName val="Bil"/>
      <sheetName val="Clean Equity"/>
      <sheetName val="Trevi"/>
      <sheetName val="New trevi plan"/>
      <sheetName val="Trevi BS"/>
      <sheetName val="Trevi Graph"/>
      <sheetName val="SOTP"/>
      <sheetName val="AUM"/>
      <sheetName val="Asset quality"/>
      <sheetName val="int"/>
      <sheetName val="DCF"/>
      <sheetName val="DCFpS"/>
      <sheetName val="Val 2"/>
      <sheetName val="Val 1"/>
      <sheetName val="rest"/>
      <sheetName val="NTVCAP"/>
      <sheetName val="BNLCAP"/>
      <sheetName val="UCCAP"/>
      <sheetName val="Capitalia"/>
      <sheetName val="Cpta1_bil"/>
      <sheetName val="GT_Custom"/>
      <sheetName val="Module1"/>
      <sheetName val="Consolidated"/>
      <sheetName val="DIVISIONS"/>
      <sheetName val="DivisionSummary"/>
      <sheetName val="SOTP_new"/>
      <sheetName val="Fineco1"/>
      <sheetName val="MCC1"/>
      <sheetName val="Published (2)"/>
      <sheetName val="NEW SUMMARY SHEET"/>
      <sheetName val="Synergies"/>
      <sheetName val="Div_assump"/>
      <sheetName val="Staff"/>
      <sheetName val="Model"/>
      <sheetName val="Consensu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"/>
      <sheetName val="Quantum 16"/>
      <sheetName val="SOTP"/>
      <sheetName val="Div summary"/>
      <sheetName val="AuM"/>
      <sheetName val="Fin Svces (consol)"/>
      <sheetName val="Private banking"/>
      <sheetName val="Corp&amp;Retail"/>
      <sheetName val="Winterthur"/>
      <sheetName val="Life&amp;Pens"/>
      <sheetName val="Non-Life"/>
      <sheetName val="CSFB consol"/>
      <sheetName val="CSFB IS"/>
      <sheetName val="CSFB W&amp;AM"/>
      <sheetName val="Corp centre"/>
      <sheetName val="Datasheet"/>
      <sheetName val="Notes"/>
      <sheetName val="Report P&amp;L"/>
      <sheetName val="Report BS"/>
      <sheetName val="Report tables"/>
      <sheetName val="Graph Data"/>
      <sheetName val="Report Graphs"/>
      <sheetName val="div template"/>
      <sheetName val="Quantum"/>
      <sheetName val="Bil"/>
      <sheetName val="CF"/>
      <sheetName val="Synergies"/>
      <sheetName val="Div_assump"/>
      <sheetName val="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onsensus"/>
      <sheetName val="Q"/>
      <sheetName val="GQ"/>
      <sheetName val="Sensitivity to China Growth"/>
      <sheetName val="Interim IFRS"/>
      <sheetName val="Swatch Group"/>
      <sheetName val="Sales and EBIT Model"/>
      <sheetName val="Interim OLD"/>
      <sheetName val="Business descript"/>
      <sheetName val="Valuation"/>
      <sheetName val="EVA New"/>
      <sheetName val="NOPAT New"/>
      <sheetName val="CE New"/>
      <sheetName val="WACC New"/>
      <sheetName val="ROCE X DIV"/>
      <sheetName val="Sh.Value"/>
      <sheetName val="Chart Value Creation"/>
      <sheetName val="EVA JFD"/>
      <sheetName val="CE "/>
      <sheetName val="WACC "/>
      <sheetName val="Nopat "/>
      <sheetName val="Swatch Digital + other News"/>
      <sheetName val="Divisional Info"/>
      <sheetName val="EBIT model"/>
      <sheetName val="FX Module"/>
      <sheetName val="Sensitivity Module"/>
      <sheetName val="Interim"/>
      <sheetName val="Sheet1"/>
      <sheetName val="Front Tables"/>
      <sheetName val="ChWatches"/>
      <sheetName val="ChHolding"/>
      <sheetName val="ChWhole"/>
      <sheetName val="Spread data"/>
      <sheetName val="WACC"/>
      <sheetName val="CE"/>
      <sheetName val="NOPAT"/>
      <sheetName val="Swiss Watch Mkt "/>
      <sheetName val="Watch Market"/>
      <sheetName val="Tables"/>
      <sheetName val="Value SMH"/>
      <sheetName val="Datastream"/>
      <sheetName val="Analysis"/>
      <sheetName val="COMPS 2001"/>
      <sheetName val="inv.ratios"/>
      <sheetName val="FX "/>
      <sheetName val="FX as of 30 April 98"/>
      <sheetName val="Value Drivers"/>
      <sheetName val="EVA Report"/>
      <sheetName val="sensitivity"/>
      <sheetName val="EVA"/>
      <sheetName val="Jan-Sept 95-97"/>
      <sheetName val="Sensitivitybox"/>
      <sheetName val="Reg  Bearer Ch"/>
      <sheetName val="Discount Ch"/>
      <sheetName val="Charts"/>
      <sheetName val="Ch Data"/>
      <sheetName val="SwatchModel"/>
      <sheetName val="NOPAT2"/>
      <sheetName val="TABLES FOR H203 REPORT"/>
      <sheetName val="_UHRN.VX"/>
      <sheetName val="QP_UHRN.VX"/>
      <sheetName val="QP_UHRN.S"/>
      <sheetName val="COMPS 2000"/>
      <sheetName val="Smart"/>
      <sheetName val="Car"/>
      <sheetName val="Value - Comps"/>
      <sheetName val="Competitors 3 as of 12Nov 97"/>
      <sheetName val="Competitors2 Old"/>
      <sheetName val="Competitors2 New"/>
      <sheetName val="Competitors"/>
      <sheetName val="Income"/>
      <sheetName val="Condensed Qtrly"/>
      <sheetName val="Qtrly Inc"/>
      <sheetName val="Merck KGaA"/>
      <sheetName val="P&amp;L"/>
      <sheetName val="Sales Model"/>
      <sheetName val="FX model"/>
      <sheetName val="Income Statement Summary"/>
      <sheetName val="INDEX"/>
      <sheetName val="Products"/>
      <sheetName val="Datashee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"/>
      <sheetName val="DEUTSCH"/>
      <sheetName val="SOTPS"/>
      <sheetName val="divisional summary"/>
      <sheetName val="CIB"/>
      <sheetName val="Q202 TABLES"/>
      <sheetName val="Q202 GRAPHS"/>
      <sheetName val="PCAM-1"/>
      <sheetName val="Personal Banking"/>
      <sheetName val="Asset Management"/>
      <sheetName val="Private Banking"/>
      <sheetName val="Corporate Investments"/>
      <sheetName val="Divisional Analysis"/>
      <sheetName val="Shareholdings"/>
      <sheetName val="Quantum 16"/>
      <sheetName val="Datasheet"/>
      <sheetName val="Report P&amp;L"/>
      <sheetName val="Report tables"/>
      <sheetName val="Report BS"/>
      <sheetName val="Graph Data"/>
      <sheetName val="Report Graphs"/>
      <sheetName val="Restructuring"/>
      <sheetName val="Merck KGaA"/>
      <sheetName val="Quantum"/>
      <sheetName val="Erste Bank test"/>
      <sheetName val="2.26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Quarterly"/>
      <sheetName val="Interims"/>
      <sheetName val="Acquisition"/>
      <sheetName val="PNL"/>
      <sheetName val="GS-PL"/>
      <sheetName val="Depreciation"/>
      <sheetName val="GS-CF"/>
      <sheetName val="CF"/>
      <sheetName val="Comps"/>
      <sheetName val="BS"/>
      <sheetName val="GS-BS"/>
      <sheetName val="DCF"/>
      <sheetName val="Acqn DCF"/>
      <sheetName val="GS-WACC"/>
      <sheetName val="GS-FCF"/>
      <sheetName val="GS-Con"/>
      <sheetName val="Company profile"/>
      <sheetName val="GS data"/>
      <sheetName val="F-data"/>
      <sheetName val="CROCI"/>
      <sheetName val="GEM"/>
      <sheetName val="Company profile back-up"/>
      <sheetName val="Variance"/>
      <sheetName val="Revision"/>
      <sheetName val="Costs"/>
      <sheetName val="Revenues"/>
      <sheetName val="Macau"/>
      <sheetName val="Capital Structure"/>
      <sheetName val="ANNUL  PRODUCTION"/>
      <sheetName val="output-dep"/>
      <sheetName val="output-5bk"/>
      <sheetName val="Output-LDR,LiquidReserves"/>
      <sheetName val="output-spread"/>
      <sheetName val="output-i"/>
      <sheetName val="Valuation"/>
      <sheetName val="Sensitivities"/>
      <sheetName val="Development"/>
      <sheetName val="RDT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SDivisional New (2)"/>
      <sheetName val="Sheet1"/>
      <sheetName val="DCF"/>
      <sheetName val="SFlow"/>
      <sheetName val="Debt to Cap"/>
      <sheetName val="Return on Capital"/>
      <sheetName val="SExp"/>
      <sheetName val="SDivisional New"/>
      <sheetName val="SQORFA"/>
      <sheetName val="S QTR"/>
      <sheetName val="Dom. Retail &amp; Related Services"/>
      <sheetName val="Canada (International)"/>
      <sheetName val="Credit"/>
      <sheetName val="Corporate"/>
      <sheetName val="Retail"/>
      <sheetName val="Debt"/>
      <sheetName val="Working Capital"/>
      <sheetName val="Inventory"/>
      <sheetName val="Appliances"/>
      <sheetName val="FAME Persistence"/>
      <sheetName val="Cash"/>
      <sheetName val="cost savings schedule"/>
      <sheetName val="SDivisional"/>
      <sheetName val="Disclosures"/>
      <sheetName val="DHEXPTARDIS"/>
      <sheetName val="DHQORFA"/>
      <sheetName val="P-E Calculation"/>
      <sheetName val="FIVEYEAR"/>
      <sheetName val="Inputs"/>
      <sheetName val="PROFSVC"/>
      <sheetName val="Q_MODEL"/>
      <sheetName val="EVA"/>
      <sheetName val="Annual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Vedior - EURO"/>
      <sheetName val="Operating profit - NEW"/>
      <sheetName val="Quarterly - EURO"/>
      <sheetName val="DCF - EURO"/>
      <sheetName val="Operating profit - EURO"/>
      <sheetName val="Vedior"/>
      <sheetName val="Operating profit"/>
      <sheetName val="Half-year"/>
      <sheetName val="Acquisitions"/>
      <sheetName val="Tables"/>
      <sheetName val="Crib"/>
      <sheetName val="Module1"/>
      <sheetName val="Quaterly - EURO"/>
      <sheetName val="Header"/>
      <sheetName val="Disclaimer"/>
      <sheetName val="Reg AC"/>
      <sheetName val="Q"/>
      <sheetName val="Operating profit - division"/>
      <sheetName val="Q (2)"/>
      <sheetName val="Sales Model"/>
      <sheetName val="WACC"/>
      <sheetName val="FX model"/>
      <sheetName val="Statutory Model"/>
      <sheetName val="Publish"/>
      <sheetName val="AssetListing for Upload"/>
      <sheetName val="Figures"/>
      <sheetName val="proj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Reg AC"/>
      <sheetName val="Disclosures"/>
      <sheetName val="Header"/>
      <sheetName val="Disclaimer"/>
      <sheetName val="Compass"/>
      <sheetName val="Buyback"/>
      <sheetName val="Operating Profit NEW"/>
      <sheetName val="Q"/>
      <sheetName val="Acquisitions"/>
      <sheetName val="Pies"/>
      <sheetName val="Healthcheck"/>
      <sheetName val="DCF"/>
      <sheetName val="CROCI"/>
      <sheetName val="DCF (2)"/>
      <sheetName val="DCF (3)"/>
      <sheetName val="SOTP"/>
      <sheetName val="LHA data"/>
      <sheetName val="KLM data"/>
      <sheetName val="Consolidated"/>
      <sheetName val="Slide  S&amp;P Medians"/>
      <sheetName val="3 Phase Valuation"/>
      <sheetName val="Valuation Summary Page"/>
      <sheetName val="Reported_Historicals"/>
      <sheetName val="Layout consolidated"/>
      <sheetName val="Interim Model"/>
      <sheetName val="merge"/>
      <sheetName val="APD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RATIOS"/>
      <sheetName val="A_MODEL"/>
      <sheetName val="Q_MODEL"/>
      <sheetName val="CONNECT"/>
      <sheetName val="DATCENT"/>
      <sheetName val="PROFSVC"/>
      <sheetName val="WACC"/>
      <sheetName val="CASH"/>
      <sheetName val="DCF"/>
      <sheetName val="BS"/>
      <sheetName val="CAPEX"/>
      <sheetName val="IDC"/>
      <sheetName val="Revenue"/>
      <sheetName val="P&amp;L HTM"/>
      <sheetName val="Merck KGaA"/>
      <sheetName val="DHEXPTARDIS"/>
      <sheetName val="DHQORFA"/>
      <sheetName val="ROCHE"/>
      <sheetName val="DDETABLE "/>
      <sheetName val="QP_ITX.MC"/>
      <sheetName val="Inditex Main Model"/>
      <sheetName val="Dem-HH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Annual Model"/>
      <sheetName val="Quarterly Model"/>
      <sheetName val="HS"/>
      <sheetName val="Header"/>
      <sheetName val="Notes"/>
      <sheetName val="Qtr Comparison"/>
      <sheetName val="Sheet1"/>
      <sheetName val="Arg"/>
      <sheetName val="PROFSVC"/>
      <sheetName val="Q_MODEL"/>
      <sheetName val="DHEXPTARDIS"/>
      <sheetName val="DHQORFA"/>
      <sheetName val="MAR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. Income Statement (GAAP)"/>
      <sheetName val="3. Statement of Cash Flows"/>
      <sheetName val="2. Balance Sheet"/>
      <sheetName val="6. Forecast Drivers"/>
      <sheetName val="4. COST QORFA"/>
      <sheetName val="5. COST Expansion"/>
      <sheetName val="7. Flow of Funds"/>
      <sheetName val="8. COST ROC"/>
      <sheetName val="GQ"/>
      <sheetName val="COST QTR"/>
      <sheetName val="New Space Productivity"/>
      <sheetName val="Flow of Funds"/>
      <sheetName val="COST ROC"/>
      <sheetName val="COST Turn"/>
      <sheetName val="COST Work"/>
      <sheetName val="COST DTC"/>
      <sheetName val="COST Unit Expansion"/>
      <sheetName val="FAME Persistence"/>
      <sheetName val="COST Oper (A)"/>
      <sheetName val="SSS Analysis"/>
      <sheetName val="REG AC"/>
      <sheetName val="Template"/>
      <sheetName val="UnitExp"/>
      <sheetName val="COSTPRODUCT"/>
      <sheetName val="Geographic"/>
      <sheetName val=""/>
      <sheetName val="Pro Forma Income Statement"/>
      <sheetName val="NKEBS"/>
      <sheetName val="qorfa"/>
      <sheetName val="SQORFA"/>
      <sheetName val="Reported_Historicals"/>
      <sheetName val="#REF"/>
      <sheetName val="Annual Model"/>
      <sheetName val="Consolidated"/>
      <sheetName val="IS"/>
      <sheetName val="Figures"/>
      <sheetName val="projections"/>
      <sheetName val="Assumpt. &amp;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Annual"/>
      <sheetName val="Quarterly"/>
      <sheetName val="Header"/>
      <sheetName val="Industrial Holdings"/>
      <sheetName val="Argentaria"/>
      <sheetName val="BBV Domestic"/>
      <sheetName val="BBV Latin America - Qtly"/>
      <sheetName val="HS"/>
      <sheetName val="BBVA"/>
      <sheetName val="BbvaP"/>
      <sheetName val="Summary"/>
      <sheetName val="SQORFA"/>
      <sheetName val="Quarterly Model"/>
      <sheetName val="New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"/>
      <sheetName val="EuroAirlines"/>
      <sheetName val="Exchange"/>
      <sheetName val="Airports"/>
      <sheetName val="Airlines"/>
      <sheetName val="1997"/>
      <sheetName val="Tear Sheet"/>
      <sheetName val="Ratios"/>
      <sheetName val="EV"/>
      <sheetName val="Cash"/>
      <sheetName val="TRAFFIC"/>
      <sheetName val="P&amp;L"/>
      <sheetName val="Euro Header"/>
      <sheetName val="EURO Ratios"/>
      <sheetName val="total"/>
      <sheetName val="Report DATA"/>
      <sheetName val="EVA"/>
      <sheetName val="DATA"/>
      <sheetName val="EURO B.SHEET&amp; C.F."/>
      <sheetName val="LHGroup"/>
      <sheetName val="EURO Traffic"/>
      <sheetName val="#REF"/>
      <sheetName val="ResearchWorksheet"/>
      <sheetName val="Index"/>
      <sheetName val="Header"/>
      <sheetName val="EURO P&amp;L"/>
      <sheetName val="Interims"/>
      <sheetName val="1SUMMARY"/>
      <sheetName val="1998"/>
      <sheetName val="Group P&amp;L"/>
      <sheetName val="Summary"/>
      <sheetName val="Cash Tax"/>
      <sheetName val="B-S"/>
      <sheetName val="Implied EV"/>
      <sheetName val="merge"/>
      <sheetName val="RANDSTAD (old 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ublished"/>
      <sheetName val="SOTP"/>
      <sheetName val="Valuation"/>
      <sheetName val="DCF"/>
      <sheetName val="Consolidated"/>
      <sheetName val="GQ"/>
      <sheetName val="Datasheet"/>
      <sheetName val="cs"/>
      <sheetName val="CAR"/>
      <sheetName val="Loan Book analysis"/>
      <sheetName val="Customer deposits"/>
      <sheetName val="AuM"/>
      <sheetName val="Fees "/>
      <sheetName val="Divisions &gt;&gt;&gt;&gt;"/>
      <sheetName val="Summary"/>
      <sheetName val="Retail"/>
      <sheetName val="Corporate"/>
      <sheetName val="AM"/>
      <sheetName val="T_CM"/>
      <sheetName val="SEE"/>
      <sheetName val="CC"/>
      <sheetName val="CorporateCenter"/>
      <sheetName val="DivisionSummary"/>
      <sheetName val="DCFpS"/>
      <sheetName val="NII"/>
      <sheetName val="Loans"/>
      <sheetName val="Securities"/>
      <sheetName val="Deposits"/>
      <sheetName val="Provisions"/>
      <sheetName val="NII (IFRS)"/>
      <sheetName val="ALM"/>
      <sheetName val="IR sensitivity"/>
      <sheetName val="Liquidity"/>
      <sheetName val="sensitivity an."/>
      <sheetName val="Comments"/>
      <sheetName val="Control"/>
      <sheetName val="SOTP_new"/>
      <sheetName val="Sheet1"/>
      <sheetName val=""/>
      <sheetName val="Group_t"/>
      <sheetName val="SEE_t"/>
      <sheetName val="GR_t"/>
      <sheetName val="TERP1"/>
      <sheetName val="BP"/>
      <sheetName val="Greece"/>
      <sheetName val="Key assum"/>
      <sheetName val="_EFGr.AT"/>
      <sheetName val="Avg Ban assets, avg AUM"/>
      <sheetName val="CapRedepl"/>
      <sheetName val="QP_EFGr.AT"/>
      <sheetName val="Sheet3"/>
      <sheetName val="Sheet2"/>
      <sheetName val="EFG"/>
      <sheetName val="Eurobank_new"/>
      <sheetName val="Asset qua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Summaries"/>
      <sheetName val="Annual"/>
      <sheetName val="Quarterly"/>
      <sheetName val="Divisional"/>
      <sheetName val="Geographic"/>
      <sheetName val="Factsheet"/>
      <sheetName val="Header"/>
      <sheetName val="Argentaria"/>
      <sheetName val="BBV Domestic"/>
      <sheetName val="BBV Latin America - Qtly"/>
      <sheetName val="HS"/>
      <sheetName val="Industrial Holdings"/>
      <sheetName val="Index"/>
      <sheetName val="SOTP"/>
      <sheetName val="Latam SOTP"/>
      <sheetName val="Summary"/>
      <sheetName val="Consolidated"/>
      <sheetName val="Consolidated ex Argentina"/>
      <sheetName val="Argentina"/>
      <sheetName val="Adjustments"/>
      <sheetName val="Spain &amp; Port."/>
      <sheetName val="Wholesale and IB"/>
      <sheetName val="Mexico"/>
      <sheetName val="Americas"/>
      <sheetName val="Latam summary"/>
      <sheetName val="Brazil"/>
      <sheetName val="Chile"/>
      <sheetName val="Colombia"/>
      <sheetName val="Peru"/>
      <sheetName val="Venezuela"/>
      <sheetName val="Other Latam"/>
      <sheetName val="AM &amp; PB"/>
      <sheetName val="Corporate Activities"/>
      <sheetName val="Capital"/>
      <sheetName val="Consolidated Full"/>
      <sheetName val="Datastream"/>
      <sheetName val="Quantum 16"/>
      <sheetName val="Proforma calc."/>
      <sheetName val="Share number calculation"/>
      <sheetName val="Datasheet"/>
      <sheetName val="Report P&amp;L"/>
      <sheetName val="Report BS"/>
      <sheetName val="Report tables"/>
      <sheetName val="Graph Data"/>
      <sheetName val="Report Graphs"/>
      <sheetName val="Quarterly Model"/>
      <sheetName val="New model"/>
      <sheetName val="Annual Model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ROCE ratios "/>
      <sheetName val="Data"/>
      <sheetName val="Module1"/>
      <sheetName val="Figures"/>
      <sheetName val="projections"/>
      <sheetName val="WMTQORFA"/>
      <sheetName val="FIVEYEAR"/>
      <sheetName val="COST 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Front Tables"/>
      <sheetName val="LVMHCONSOL"/>
      <sheetName val="LVMH Model"/>
      <sheetName val="luxco (+-Gucci)"/>
      <sheetName val="Sheet1"/>
      <sheetName val="Sales Model"/>
      <sheetName val="WACC"/>
      <sheetName val="FX model"/>
      <sheetName val="Report tables"/>
      <sheetName val="Interim"/>
      <sheetName val="P&amp;L"/>
      <sheetName val="Publi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harts"/>
      <sheetName val="Sheet1"/>
      <sheetName val="Quarterly"/>
      <sheetName val="Data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Calculation (2)"/>
      <sheetName val="Sheet1"/>
      <sheetName val="Cell Input"/>
      <sheetName val="C_1"/>
      <sheetName val="F_1"/>
      <sheetName val="Fixed Input"/>
      <sheetName val="C_Cal"/>
      <sheetName val="Calculation"/>
      <sheetName val="Price Performance"/>
      <sheetName val="Earnings Estimates"/>
      <sheetName val="EV Estimates"/>
      <sheetName val="Demand Multiples"/>
      <sheetName val="Bal Multiples"/>
      <sheetName val="Earnings Multiples"/>
      <sheetName val="Output"/>
      <sheetName val="Sheet2"/>
      <sheetName val="Sheet3"/>
      <sheetName val="Summary"/>
      <sheetName val="Profit&amp;Loss"/>
      <sheetName val="Quarterly"/>
      <sheetName val="DCF detailed"/>
      <sheetName val="Revenue"/>
      <sheetName val="Demand"/>
      <sheetName val="Other rev"/>
      <sheetName val="Int'l Revenue"/>
      <sheetName val="Celcom"/>
      <sheetName val="Mobile"/>
      <sheetName val="Balance Sheet"/>
      <sheetName val="Cash Flow"/>
      <sheetName val="External"/>
      <sheetName val="Associates"/>
      <sheetName val="Depreciation"/>
      <sheetName val="Costs"/>
      <sheetName val="GS_PNL"/>
      <sheetName val="GS_Cash "/>
      <sheetName val="GS_Balance"/>
      <sheetName val="GS Assumptions-F"/>
      <sheetName val="Company profile"/>
      <sheetName val="CROCI"/>
      <sheetName val="GS data"/>
      <sheetName val="GEM"/>
      <sheetName val="F-data"/>
      <sheetName val="Comps-Celcom"/>
      <sheetName val="Comps"/>
      <sheetName val="Externšl"/>
      <sheetName val="Datastream"/>
      <sheetName val="FX as of 30 April 98"/>
      <sheetName val="EVA"/>
      <sheetName val="P&amp;L"/>
      <sheetName val="sales"/>
      <sheetName val="CROCIWACC"/>
      <sheetName val="QORFA"/>
      <sheetName val="earn mdl"/>
      <sheetName val="CF"/>
      <sheetName val="WEEKLYxls"/>
      <sheetName val="Assumptions"/>
      <sheetName val="MimicCUS"/>
      <sheetName val="template"/>
      <sheetName val="Main"/>
      <sheetName val="BNMWeb"/>
      <sheetName val="Chemicals - REV"/>
      <sheetName val="CUS Image"/>
      <sheetName val="TiO2"/>
      <sheetName val="Ethylene"/>
      <sheetName val="Inputs &amp; Assumptions"/>
      <sheetName val="update"/>
      <sheetName val="Inc Mod cigs"/>
      <sheetName val="bs_related"/>
      <sheetName val="sensity"/>
      <sheetName val="IS (USD)"/>
      <sheetName val="제품별110계"/>
      <sheetName val="Sample Layout"/>
      <sheetName val="EPS Table"/>
      <sheetName val="ProductModel"/>
      <sheetName val="Mar97"/>
      <sheetName val="sh pri"/>
      <sheetName val="Inc Mod"/>
      <sheetName val="Valuations"/>
      <sheetName val="REGISTRATION BREAKDOWN"/>
      <sheetName val="forecasted_BS"/>
      <sheetName val="forecasted_IS"/>
      <sheetName val="GS_DCF"/>
      <sheetName val="Indoor BTS upgrade prices"/>
      <sheetName val="Main Sheet"/>
      <sheetName val="Ratios"/>
      <sheetName val="RangeDictionary"/>
      <sheetName val="WARNING"/>
      <sheetName val="BZWTEMPLATEEV &amp; Screen"/>
      <sheetName val="Input"/>
      <sheetName val="Profile"/>
      <sheetName val="Debt"/>
      <sheetName val="Formats"/>
      <sheetName val="CapEx"/>
      <sheetName val="Capital"/>
      <sheetName val="Tax"/>
      <sheetName val="VarName"/>
      <sheetName val="R_d Exp_ Details 08"/>
      <sheetName val="Pub Rts 1.5 Standalone"/>
      <sheetName val="Physical"/>
      <sheetName val="Investment_Adv"/>
      <sheetName val="RMF Annual"/>
      <sheetName val="Financials"/>
      <sheetName val="10-city points"/>
      <sheetName val="Calculation_(2)"/>
      <sheetName val="Cell_Input"/>
      <sheetName val="Fixed_Input"/>
      <sheetName val="Price_Performance"/>
      <sheetName val="Earnings_Estimates"/>
      <sheetName val="EV_Estimates"/>
      <sheetName val="Demand_Multiples"/>
      <sheetName val="Bal_Multiples"/>
      <sheetName val="Earnings_Multiples"/>
      <sheetName val="DCF_detailed"/>
      <sheetName val="Other_rev"/>
      <sheetName val="Int'l_Revenue"/>
      <sheetName val="Balance_Sheet"/>
      <sheetName val="Cash_Flow"/>
      <sheetName val="GS_Cash_"/>
      <sheetName val="GS_Assumptions-F"/>
      <sheetName val="Company_profile"/>
      <sheetName val="GS_data"/>
      <sheetName val="earn_mdl"/>
      <sheetName val="Inc_Mod_cigs"/>
      <sheetName val="Chemicals_-_REV"/>
      <sheetName val="FX_as_of_30_April_98"/>
      <sheetName val="IS_(USD)"/>
      <sheetName val="CUS_Image"/>
      <sheetName val="Inputs_&amp;_Assumptions"/>
      <sheetName val="REGISTRATION_BREAKDOWN"/>
      <sheetName val="sh_pri"/>
      <sheetName val="Inc_Mod"/>
      <sheetName val="Sample_Layout"/>
      <sheetName val="Calculation_(2)1"/>
      <sheetName val="Cell_Input1"/>
      <sheetName val="Fixed_Input1"/>
      <sheetName val="Price_Performance1"/>
      <sheetName val="Earnings_Estimates1"/>
      <sheetName val="EV_Estimates1"/>
      <sheetName val="Demand_Multiples1"/>
      <sheetName val="Bal_Multiples1"/>
      <sheetName val="Earnings_Multiples1"/>
      <sheetName val="DCF_detailed1"/>
      <sheetName val="Other_rev1"/>
      <sheetName val="Int'l_Revenue1"/>
      <sheetName val="Balance_Sheet1"/>
      <sheetName val="Cash_Flow1"/>
      <sheetName val="GS_Cash_1"/>
      <sheetName val="GS_Assumptions-F1"/>
      <sheetName val="Company_profile1"/>
      <sheetName val="GS_data1"/>
      <sheetName val="earn_mdl1"/>
      <sheetName val="Inc_Mod_cigs1"/>
      <sheetName val="Chemicals_-_REV1"/>
      <sheetName val="FX_as_of_30_April_981"/>
      <sheetName val="IS_(USD)1"/>
      <sheetName val="CUS_Image1"/>
      <sheetName val="Inputs_&amp;_Assumptions1"/>
      <sheetName val="REGISTRATION_BREAKDOWN1"/>
      <sheetName val="sh_pri1"/>
      <sheetName val="Inc_Mod1"/>
      <sheetName val="Sample_Layou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-- FAME Look Up --"/>
      <sheetName val="latest"/>
      <sheetName val="-- FAME Data Look Up --"/>
      <sheetName val="date"/>
      <sheetName val="range"/>
      <sheetName val="ticker"/>
      <sheetName val="LOWEXP"/>
      <sheetName val="LOWQORF"/>
      <sheetName val="LOWRETD"/>
      <sheetName val="Figures"/>
      <sheetName val="projections"/>
      <sheetName val="Data"/>
      <sheetName val="Interim"/>
      <sheetName val="Main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FAME Persistence"/>
      <sheetName val="swyval"/>
      <sheetName val="-- FAME Look Up --"/>
      <sheetName val="priceperf"/>
      <sheetName val="fame4"/>
      <sheetName val="FAME2"/>
      <sheetName val="FAME3"/>
      <sheetName val="FAME"/>
      <sheetName val="date"/>
      <sheetName val="rang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hares"/>
      <sheetName val="PriceHist"/>
      <sheetName val="MktCap"/>
      <sheetName val="S&amp;P-PEs"/>
      <sheetName val="FAME Persistence"/>
      <sheetName val="overallNDX"/>
      <sheetName val="dirctmktIndex"/>
      <sheetName val="jewelryINDEX"/>
      <sheetName val="specIndex"/>
      <sheetName val="OFFPRICINDEX"/>
      <sheetName val="RelPEvs.RelPerf"/>
      <sheetName val="qtrlychr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-- FAME Look Up --"/>
      <sheetName val="-- FAME Data Look Up --"/>
      <sheetName val="FaxGraphs"/>
      <sheetName val="CHGvsS&amp;P"/>
      <sheetName val="IndxGrph"/>
      <sheetName val="Data for Alan"/>
      <sheetName val="Macro1"/>
      <sheetName val="WKLYIDX"/>
      <sheetName val="SQORFA"/>
      <sheetName val="EVA"/>
      <sheetName val="FAME"/>
      <sheetName val="sales"/>
      <sheetName val="Interim"/>
      <sheetName val="date"/>
      <sheetName val="r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Annual Model"/>
      <sheetName val="For Report"/>
      <sheetName val="Interim Model"/>
      <sheetName val="Factsheet"/>
      <sheetName val="Sheet1"/>
      <sheetName val="HS"/>
      <sheetName val="HFX"/>
      <sheetName val="MktCap"/>
      <sheetName val="F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-- FAME Look Up --"/>
      <sheetName val="GQ"/>
      <sheetName val="annual-Quantum"/>
      <sheetName val="CORE"/>
      <sheetName val="qorfa"/>
      <sheetName val="Sales Detail"/>
      <sheetName val="OpProfit"/>
      <sheetName val="BSHT"/>
      <sheetName val="cash proj"/>
      <sheetName val="Sumqorfa"/>
      <sheetName val="Disclaimer"/>
      <sheetName val="DCF"/>
      <sheetName val="Notes table"/>
      <sheetName val="NKE_CVE deal"/>
      <sheetName val="NoteXpres"/>
      <sheetName val="Footnotes"/>
      <sheetName val="Chart2"/>
      <sheetName val="FAME Persistence2"/>
      <sheetName val="FIVEYEAR"/>
      <sheetName val="NKE ROIC"/>
      <sheetName val="Sales1pg"/>
      <sheetName val="dcf1"/>
      <sheetName val="dcf1b"/>
      <sheetName val="NKEBS"/>
      <sheetName val="Chart1"/>
      <sheetName val="Compare"/>
      <sheetName val="STOCKPRICE"/>
      <sheetName val="LIFO"/>
      <sheetName val="ROIC"/>
      <sheetName val="Inventory Analysis"/>
      <sheetName val="new cash"/>
      <sheetName val="NKECASH"/>
      <sheetName val="Old Nike 5yr"/>
      <sheetName val="oldoperinc"/>
      <sheetName val="NKEINC"/>
      <sheetName val="WORKCAP"/>
      <sheetName val="NKEDATA"/>
      <sheetName val="stores"/>
      <sheetName val="Sheet2"/>
      <sheetName val="DEBTCAP"/>
      <sheetName val="TURN"/>
      <sheetName val="restated categories"/>
      <sheetName val="sales"/>
      <sheetName val="Sheet1"/>
      <sheetName val="GSCOPE"/>
      <sheetName val="FAME Persistence"/>
      <sheetName val="Sheet3"/>
      <sheetName val="Sensitivities"/>
      <sheetName val="Multi Metric"/>
      <sheetName val="4Q05 Variance"/>
      <sheetName val="ER"/>
      <sheetName val="Model Changes"/>
      <sheetName val="1Q06 Variance"/>
      <sheetName val="ER 2"/>
      <sheetName val="ER 4"/>
      <sheetName val="ER 3"/>
      <sheetName val="Sheet4"/>
      <sheetName val="3Q06 Variance"/>
      <sheetName val="2Q06 Variance"/>
      <sheetName val="4Q06 Variance"/>
      <sheetName val="MktCap"/>
      <sheetName val="Stock"/>
      <sheetName val="Income Statement Summary"/>
      <sheetName val="EVA"/>
      <sheetName val="Annual Model"/>
      <sheetName val="VABQO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Update"/>
      <sheetName val="Segments_as_reported"/>
      <sheetName val="Reported_Historicals"/>
      <sheetName val="Vol &amp; Margins_Annual"/>
      <sheetName val="Detail_Segments"/>
      <sheetName val="Perf_Plastics"/>
      <sheetName val="Plastics"/>
      <sheetName val="Perf_Chem"/>
      <sheetName val="Chemicals"/>
      <sheetName val="DOW_Agro"/>
      <sheetName val="Hydro_Energy"/>
      <sheetName val="Allocated&amp;Others"/>
      <sheetName val="Ratios"/>
      <sheetName val="Dow_UK Capacities"/>
      <sheetName val="Interims"/>
      <sheetName val="Financials"/>
      <sheetName val="Sheet1 (2)"/>
      <sheetName val="Dow_Models"/>
      <sheetName val="merge"/>
      <sheetName val="APDSUM"/>
      <sheetName val="PROFSVC"/>
      <sheetName val="Q_MODEL"/>
      <sheetName val="Annual Model"/>
      <sheetName val="NKEBS"/>
      <sheetName val="qor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Welcome"/>
      <sheetName val="Income"/>
      <sheetName val="Cash Flow"/>
      <sheetName val="Bal Sheet"/>
      <sheetName val="Qtrly Inc"/>
      <sheetName val="Condensed Qtrly"/>
      <sheetName val="Datapage"/>
      <sheetName val="Valuation"/>
      <sheetName val="Comps"/>
      <sheetName val="Margin history"/>
      <sheetName val="report graphs"/>
      <sheetName val="ROE"/>
      <sheetName val="Chart1"/>
      <sheetName val="Sheet1"/>
      <sheetName val="Module1"/>
      <sheetName val="LVMH Model"/>
      <sheetName val="Reported_Historicals"/>
      <sheetName val="EVA"/>
      <sheetName val="Income Statement Summary"/>
      <sheetName val="WMTQORFA"/>
      <sheetName val="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Slide  S&amp;P Medians"/>
      <sheetName val="SP median 9597"/>
      <sheetName val="Comparison"/>
      <sheetName val="Airports"/>
      <sheetName val="EuroAirlines"/>
      <sheetName val="Exchange"/>
      <sheetName val="Airlines"/>
      <sheetName val="Operating profit"/>
      <sheetName val="Data "/>
      <sheetName val="Modeles (S)"/>
      <sheetName val="Annuels (S)"/>
      <sheetName val="Model Account (S)"/>
      <sheetName val="Trim Sem (S)"/>
      <sheetName val="Implied 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NEW SUMMARY SHEET"/>
      <sheetName val="PS Data"/>
      <sheetName val="Qsnap-p1-Overview"/>
      <sheetName val="Qsnap-p2-Valuation"/>
      <sheetName val="Qsnap-p3-Financials"/>
      <sheetName val="Qsnap-p4-Profile"/>
      <sheetName val="IS Life"/>
      <sheetName val="Data Life"/>
      <sheetName val="Aggregate Model"/>
      <sheetName val="Life &amp; VIF"/>
      <sheetName val="VOP"/>
      <sheetName val="Funds"/>
      <sheetName val="Inflow"/>
      <sheetName val="Bank"/>
      <sheetName val="Debt-Spread"/>
      <sheetName val="Div"/>
      <sheetName val="DCF"/>
      <sheetName val="Quarterly"/>
      <sheetName val="Comments"/>
      <sheetName val="Various"/>
      <sheetName val="Tables"/>
      <sheetName val="Chart PF"/>
      <sheetName val="FIBK"/>
      <sheetName val="REQUEST_TABLE"/>
      <sheetName val="Model"/>
      <sheetName val="EuroAirlines"/>
      <sheetName val="Exchange"/>
      <sheetName val="Airlines"/>
      <sheetName val="merge"/>
      <sheetName val="Reported_Historic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Interim Model"/>
      <sheetName val="Annual $"/>
      <sheetName val="Interim $"/>
      <sheetName val="Annual Model"/>
      <sheetName val="Factsheet"/>
      <sheetName val="ROCI"/>
      <sheetName val="Sheet1"/>
      <sheetName val="NEW SUMMARY SHEET"/>
      <sheetName val="Ind.holdings"/>
      <sheetName val="Reported_Historicals"/>
      <sheetName val="Report Graph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SOTP"/>
      <sheetName val="Divisional summary"/>
      <sheetName val="Consolidated"/>
      <sheetName val="Retail"/>
      <sheetName val="Corporate &amp; IB"/>
      <sheetName val="Corporate"/>
      <sheetName val="IB"/>
      <sheetName val="PB &amp; AM"/>
      <sheetName val="New Europe"/>
      <sheetName val="Parent Company &amp; Other Sub."/>
      <sheetName val="HVB"/>
      <sheetName val="Consolidation Adjustments"/>
      <sheetName val="BA-CA"/>
      <sheetName val="Interim Model"/>
      <sheetName val="Reported_Historicals"/>
      <sheetName val="Annual Model"/>
      <sheetName val="Datasheet"/>
      <sheetName val="NEW SUMMAR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odule1"/>
      <sheetName val="Module2"/>
      <sheetName val="Chart1"/>
      <sheetName val="Data for price chart"/>
      <sheetName val="NOPAT_VDF"/>
      <sheetName val="Invested capital_VDF"/>
      <sheetName val="HDF"/>
      <sheetName val="NEW SUMMARY SHEET"/>
      <sheetName val="EuroAirlines"/>
      <sheetName val="Exchange"/>
      <sheetName val="Airlines"/>
      <sheetName val="Operating Model"/>
      <sheetName val="teo model"/>
      <sheetName val="Monthly figures"/>
      <sheetName val="_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QtrlyDIV (2)"/>
      <sheetName val="REG AC"/>
      <sheetName val="ExpDiff"/>
      <sheetName val="ExpansionCheck"/>
      <sheetName val="DIVSQFT"/>
      <sheetName val="TotalCompanyEXP"/>
      <sheetName val="IntlEXP"/>
      <sheetName val="DiscEXP"/>
      <sheetName val="WMTDIV"/>
      <sheetName val="QtrlyDIV"/>
      <sheetName val="WMTQORFA"/>
      <sheetName val="DiscountOnly"/>
      <sheetName val="SuperEXP"/>
      <sheetName val="NeighborEXP"/>
      <sheetName val="SamEXP"/>
      <sheetName val="FAME Persistence"/>
      <sheetName val="TotalEXP"/>
      <sheetName val="WMTTURN"/>
      <sheetName val="WMTQTR"/>
      <sheetName val="WMTDTC"/>
      <sheetName val="WMTCASH"/>
      <sheetName val="WMTBALANCE"/>
      <sheetName val="WMTRETD"/>
      <sheetName val="WMTWORK"/>
      <sheetName val="WMTOPR"/>
      <sheetName val="WMTWORKsem00"/>
      <sheetName val="WACC"/>
      <sheetName val="WMTBALANCE OLD"/>
      <sheetName val="NewXPress"/>
      <sheetName val="DiscOld"/>
      <sheetName val="SamOld"/>
      <sheetName val="DIVSQFT OLD"/>
      <sheetName val="DCF"/>
      <sheetName val="QtrlyDIV Formatted"/>
      <sheetName val="WMTDIV Formatted"/>
      <sheetName val="WMTCASH Formatted"/>
      <sheetName val="IntlEXP Formatted"/>
      <sheetName val="DiscEXP Formatted"/>
      <sheetName val="SuperEXP Formatted"/>
      <sheetName val="SamEXP Formatted"/>
      <sheetName val="TotalEXP Formatted"/>
      <sheetName val="SamPRODUCT"/>
      <sheetName val="5-Year"/>
      <sheetName val="Figures"/>
      <sheetName val="projections"/>
      <sheetName val="AssetListing for Upload"/>
      <sheetName val="Macro1"/>
      <sheetName val="COST Work"/>
      <sheetName val="Dem-HH"/>
      <sheetName val="Income Statement Summary"/>
      <sheetName val="DHEXPTARDIS"/>
      <sheetName val="DHQORFA"/>
      <sheetName val="BBYQORF"/>
      <sheetName val="BBYQORF (2)"/>
      <sheetName val="SQORFA"/>
      <sheetName val="Rev sum"/>
      <sheetName val="AR1-F20"/>
      <sheetName val="Consolida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Model Navigation"/>
      <sheetName val="Summary"/>
      <sheetName val="FAME Persistence"/>
      <sheetName val="Group income"/>
      <sheetName val="Model"/>
      <sheetName val="Press release numbers"/>
      <sheetName val="Tablita"/>
      <sheetName val="Projected book value"/>
      <sheetName val="Banco Inbursa excl trading"/>
      <sheetName val="Sheet1"/>
      <sheetName val="NIM reworking"/>
      <sheetName val="NIM reworking (2)"/>
      <sheetName val="Identical"/>
      <sheetName val="COST Work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UPDATE"/>
      <sheetName val="Accounts"/>
      <sheetName val="Components of CYT Model"/>
      <sheetName val="LVMH Model"/>
      <sheetName val="E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New model"/>
      <sheetName val="domestic"/>
      <sheetName val="Latin America - Qtly"/>
      <sheetName val="HS"/>
      <sheetName val="Quarterly Model"/>
      <sheetName val="Divisional"/>
      <sheetName val="Annual Model"/>
      <sheetName val="Latin America"/>
      <sheetName val="E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Clean Equity"/>
      <sheetName val="Datasheet"/>
      <sheetName val="Report P&amp;L"/>
      <sheetName val="Report BS"/>
      <sheetName val="Report tables"/>
      <sheetName val="Graph Data"/>
      <sheetName val="Report Graphs"/>
      <sheetName val="Quantum 16"/>
      <sheetName val="Dupont"/>
      <sheetName val="Sensitivity"/>
      <sheetName val="Published"/>
      <sheetName val="temp"/>
      <sheetName val="securitisation"/>
      <sheetName val="INPUT"/>
      <sheetName val="int"/>
      <sheetName val="cs"/>
      <sheetName val="CF"/>
      <sheetName val="Bil"/>
      <sheetName val="QCF"/>
      <sheetName val="AUM"/>
      <sheetName val="DCF"/>
      <sheetName val="DCFpS"/>
      <sheetName val="aumcap"/>
      <sheetName val="prezzo"/>
      <sheetName val="Capital increase"/>
      <sheetName val="Net Tier 1"/>
      <sheetName val="Val 1"/>
      <sheetName val="Val 2"/>
      <sheetName val="sec"/>
      <sheetName val="INDEX"/>
      <sheetName val="GQ"/>
      <sheetName val="Asset quality"/>
      <sheetName val="ABNMerger"/>
      <sheetName val="Antonveneta1_bil"/>
      <sheetName val="CT1"/>
      <sheetName val="database"/>
      <sheetName val="CI"/>
      <sheetName val="Sheet1"/>
      <sheetName val="Quarterly Model"/>
      <sheetName val="New model"/>
      <sheetName val="Header"/>
      <sheetName val="EVA"/>
      <sheetName val="DCF_EP Summary"/>
      <sheetName val="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ublished"/>
      <sheetName val="Chart2"/>
      <sheetName val="Consolidated"/>
      <sheetName val="Valuation"/>
      <sheetName val="DCF"/>
      <sheetName val="DCFpS"/>
      <sheetName val="Chart3"/>
      <sheetName val="Report Graphs"/>
      <sheetName val="Sheet2"/>
      <sheetName val="Chart22"/>
      <sheetName val="Sheet3"/>
      <sheetName val="Chart21"/>
      <sheetName val="BP"/>
      <sheetName val="Gov_Bonds"/>
      <sheetName val="Market_share"/>
      <sheetName val="Assumption&gt;&gt;&gt;"/>
      <sheetName val="Sheet1"/>
      <sheetName val="NII"/>
      <sheetName val="Summary"/>
      <sheetName val="Liab&gt;&gt;"/>
      <sheetName val="Deposits"/>
      <sheetName val="Equity"/>
      <sheetName val="Assets&gt;&gt;"/>
      <sheetName val="New Graphs"/>
      <sheetName val="Loans"/>
      <sheetName val="Securities"/>
      <sheetName val="Intrabank"/>
      <sheetName val="Other&gt;&gt;"/>
      <sheetName val="Credit risk"/>
      <sheetName val="Capital"/>
      <sheetName val="Datasheet"/>
      <sheetName val="Comments"/>
      <sheetName val="Control"/>
      <sheetName val="P&amp;L"/>
      <sheetName val="Asset quality"/>
      <sheetName val="ctyr"/>
      <sheetName val="EVA"/>
      <sheetName val="Model"/>
      <sheetName val="DCF_EP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 Rev &amp; EBITDA wo Plt Closing"/>
      <sheetName val="Qtly Plan Bridge (2)"/>
      <sheetName val="Plan Month Bridge"/>
      <sheetName val="G &amp;G"/>
      <sheetName val="Capex"/>
      <sheetName val="revolverbal"/>
      <sheetName val="Sheet2"/>
      <sheetName val="Consulting"/>
      <sheetName val=" Ret Part"/>
      <sheetName val="Consol. Rev &amp; EBITDA"/>
      <sheetName val="2001 Estimate Bridge"/>
      <sheetName val="Qtly PL"/>
      <sheetName val="Monthly PL"/>
      <sheetName val="Intiative PL"/>
      <sheetName val="2000 vs 1999 Comp"/>
      <sheetName val="Sheet1"/>
      <sheetName val="2001 EBITDA COMP"/>
      <sheetName val="Tykes Rev"/>
      <sheetName val="Sheet3"/>
      <sheetName val="Monthly PL (2)"/>
      <sheetName val="Monthly Rev (2)"/>
      <sheetName val="Monthly Rev"/>
      <sheetName val="PL"/>
      <sheetName val="Assumpt. &amp; Trans"/>
      <sheetName val="Model"/>
      <sheetName val="INTERBREW"/>
      <sheetName val="Data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BNP"/>
      <sheetName val="div. summary"/>
      <sheetName val="Report P&amp;L"/>
      <sheetName val="SOTP"/>
      <sheetName val="Retail Bkg - FRB"/>
      <sheetName val="Retail Bkg - RFS"/>
      <sheetName val="Retail Bkg - IRB"/>
      <sheetName val="AM&amp;S"/>
      <sheetName val="CIB"/>
      <sheetName val="Paribas Capital"/>
      <sheetName val="Other"/>
      <sheetName val="Ind.holdings"/>
      <sheetName val="QUANTUM 16"/>
      <sheetName val="Datasheet"/>
      <sheetName val="P&amp;L NoteXppress"/>
      <sheetName val="Report tables"/>
      <sheetName val="Report BS"/>
      <sheetName val="Graph Data"/>
      <sheetName val="Report Graphs"/>
      <sheetName val="BNP-BNL PF"/>
      <sheetName val="GQ"/>
      <sheetName val="BNL"/>
      <sheetName val="International - New"/>
      <sheetName val="Index"/>
      <sheetName val="_BNPP.PA"/>
      <sheetName val="QP_BNPP.PA"/>
      <sheetName val="Layout consolidated"/>
      <sheetName val="Broker"/>
      <sheetName val="Fortis"/>
      <sheetName val="Asset quality"/>
      <sheetName val="Trevi"/>
      <sheetName val="Fineco"/>
      <sheetName val="MCC"/>
      <sheetName val="Trevi BS"/>
      <sheetName val="Trevi Graph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MonthlyComps"/>
      <sheetName val="ANF DIFF"/>
      <sheetName val="Qorfa"/>
      <sheetName val="ANF Comp Summary"/>
      <sheetName val="STORE COUNTS"/>
      <sheetName val="Sumqorfa"/>
      <sheetName val="Earnings Guidance Sheet by Date"/>
      <sheetName val="Sales"/>
      <sheetName val="FIVEYEAR"/>
      <sheetName val="GQ"/>
      <sheetName val="CORE"/>
      <sheetName val="Balance Sheet"/>
      <sheetName val="cash proj"/>
      <sheetName val="Annual-QUANTUM"/>
      <sheetName val="Notes Table"/>
      <sheetName val="Store Summary"/>
      <sheetName val="NOTEX"/>
      <sheetName val="IS PER SQ. FT"/>
      <sheetName val="Sales &amp; EBIT By Concept"/>
      <sheetName val="Individual Brand Worksheet"/>
      <sheetName val="dcf1"/>
      <sheetName val="dcf1b"/>
      <sheetName val="ROC"/>
      <sheetName val="Flow of Funds"/>
      <sheetName val="Income Statement Summary"/>
      <sheetName val="Comp comments"/>
      <sheetName val="EBIT"/>
      <sheetName val="Comps-Act vs Est"/>
      <sheetName val="Space Productivity"/>
      <sheetName val="Summary ROIC"/>
      <sheetName val="Store Growth"/>
      <sheetName val="Q Store Expansion"/>
      <sheetName val="Inventory Turns"/>
      <sheetName val="Working Capital"/>
      <sheetName val="Debt to Cap"/>
      <sheetName val="Disclaimer"/>
      <sheetName val="SGA SALES ANALYSIS WITH SQ FT"/>
      <sheetName val="SGA SALES ANALYSIS"/>
      <sheetName val="GQ COMPARE REPORT"/>
      <sheetName val="Trans Value &amp; Transactions"/>
      <sheetName val="F05 Q1 Variance"/>
      <sheetName val="Divisional Comps"/>
      <sheetName val="Preview Data"/>
      <sheetName val="F05 Q2 Variance"/>
      <sheetName val="FAME Persistence"/>
      <sheetName val="Ind.holdings"/>
      <sheetName val="Company specific"/>
      <sheetName val="Figures"/>
      <sheetName val="projections"/>
      <sheetName val="Datasheet"/>
      <sheetName val="Report tables"/>
      <sheetName val="PL"/>
      <sheetName val="COST Work"/>
      <sheetName val="5. FDO Expansion"/>
      <sheetName val="x. Quarterly Data"/>
      <sheetName val="NKEBS"/>
      <sheetName val="raw dat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ortfolio"/>
      <sheetName val="Performance"/>
      <sheetName val="Valuation"/>
      <sheetName val="Key ratios"/>
      <sheetName val="Revenues"/>
      <sheetName val="Sector aggregates"/>
      <sheetName val="Costs"/>
      <sheetName val="Provisions"/>
      <sheetName val="BS"/>
      <sheetName val="BS ratios"/>
      <sheetName val="Profitability"/>
      <sheetName val="Credit quality"/>
      <sheetName val="Consensus"/>
      <sheetName val="Market Data"/>
      <sheetName val="Interactive"/>
      <sheetName val="Inter Charts"/>
      <sheetName val="Rep charts"/>
      <sheetName val="Report charts"/>
      <sheetName val="Top 15"/>
      <sheetName val="Data"/>
      <sheetName val="Datastream"/>
      <sheetName val="MD Datastream"/>
      <sheetName val="MD Quantum"/>
      <sheetName val="Quantum"/>
      <sheetName val="Quantum2"/>
      <sheetName val="Quantum USD"/>
      <sheetName val="REQUEST_TABLE"/>
      <sheetName val="--&gt; Charts (not updated)"/>
      <sheetName val="---&gt;"/>
      <sheetName val="GQ"/>
      <sheetName val="GQUSD"/>
      <sheetName val="GQMD"/>
      <sheetName val="Datastream1"/>
      <sheetName val="Datastream2"/>
      <sheetName val="Macros"/>
      <sheetName val="Datasheet"/>
      <sheetName val="Ind.holdings"/>
      <sheetName val="NEW FINANCIAL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Aggregate"/>
      <sheetName val="Sheet1"/>
      <sheetName val="BIN"/>
      <sheetName val="CRDI"/>
      <sheetName val="SPI"/>
      <sheetName val="CPTA"/>
      <sheetName val="BMPS"/>
      <sheetName val="BANI"/>
      <sheetName val="BPVN"/>
      <sheetName val="BPUN"/>
      <sheetName val="NTV"/>
      <sheetName val="PMII"/>
      <sheetName val="BL"/>
      <sheetName val="EMBI"/>
      <sheetName val="Quantum"/>
      <sheetName val="Report tables"/>
      <sheetName val="Report BS"/>
      <sheetName val="Report P&amp;L"/>
      <sheetName val="Bil"/>
      <sheetName val="SOTP"/>
      <sheetName val="CF"/>
      <sheetName val="Ind.hold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UK"/>
      <sheetName val="Italy"/>
      <sheetName val="France"/>
      <sheetName val="Spain"/>
      <sheetName val="Germany"/>
      <sheetName val="Nordics"/>
      <sheetName val="Switzerland"/>
      <sheetName val="Netherlands"/>
      <sheetName val="Ireland"/>
      <sheetName val="TOTAL"/>
      <sheetName val="Quant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Stores by Grade"/>
      <sheetName val="Sheet1"/>
      <sheetName val="PL"/>
      <sheetName val="Quantum"/>
    </sheetNames>
    <definedNames>
      <definedName name="Ratings"/>
      <definedName name="view_comp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-- FAME Data Look Up --"/>
      <sheetName val="-- FAME Look Up --"/>
      <sheetName val="RETPRICE"/>
      <sheetName val="Macro1"/>
      <sheetName val="VABQORF"/>
      <sheetName val="RetailPrices"/>
      <sheetName val="ANNBIZ"/>
      <sheetName val="Income Statement Summary"/>
      <sheetName val="LVMH Model"/>
      <sheetName val="NKEBS"/>
      <sheetName val="qor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Trailing EPS charts"/>
      <sheetName val="Trailing EPS"/>
      <sheetName val="Quantum"/>
      <sheetName val="Price Vol charts"/>
      <sheetName val="Chart data"/>
      <sheetName val="Consensus"/>
      <sheetName val="Cons data"/>
      <sheetName val="Consensus fwd PE"/>
      <sheetName val="Sheet1"/>
      <sheetName val="Performance"/>
      <sheetName val="Relative &amp; Absolute performance"/>
      <sheetName val="12m fwd vs performance"/>
      <sheetName val="Sheet2"/>
      <sheetName val="REQUEST_TABLE"/>
      <sheetName val="Chart2"/>
      <sheetName val="Sheet3"/>
      <sheetName val="Datasheet"/>
      <sheetName val="Macro1"/>
      <sheetName val="BLOOMBERG"/>
      <sheetName val="QInter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OTP"/>
      <sheetName val="GQ"/>
      <sheetName val="Consolidated"/>
      <sheetName val="Datasheet"/>
      <sheetName val="Published"/>
      <sheetName val="Val"/>
      <sheetName val="int"/>
      <sheetName val="DCF"/>
      <sheetName val="CAR"/>
      <sheetName val="cs"/>
      <sheetName val="Asset_quality"/>
      <sheetName val="Loans"/>
      <sheetName val="Funding"/>
      <sheetName val="Fees"/>
      <sheetName val="Costs"/>
      <sheetName val="Divisions&gt;&gt;&gt;"/>
      <sheetName val="Retail"/>
      <sheetName val="ItBanks"/>
      <sheetName val="Corporate"/>
      <sheetName val="International"/>
      <sheetName val="EE"/>
      <sheetName val="CC"/>
      <sheetName val="DivisionSummary"/>
      <sheetName val="BPvsGS"/>
      <sheetName val="Report P&amp;L"/>
      <sheetName val="Report BS"/>
      <sheetName val="Bil"/>
      <sheetName val="Report tables"/>
      <sheetName val="CF"/>
      <sheetName val="QCF"/>
      <sheetName val="Report Graphs"/>
      <sheetName val="Sensitivity"/>
      <sheetName val="temp"/>
      <sheetName val="Dupont"/>
      <sheetName val="SOTP_new"/>
      <sheetName val="Rete"/>
      <sheetName val="Consolidated_OLD"/>
      <sheetName val="division"/>
      <sheetName val="Foreign"/>
      <sheetName val="ALM"/>
      <sheetName val="Latam"/>
      <sheetName val="Asset quality"/>
      <sheetName val="DCFpS"/>
      <sheetName val="AuM"/>
      <sheetName val="Clean Equity"/>
      <sheetName val="Val 2"/>
      <sheetName val="Val 1"/>
      <sheetName val="part"/>
      <sheetName val="diluizione"/>
      <sheetName val="Soci"/>
      <sheetName val="Profile"/>
      <sheetName val="Divi"/>
      <sheetName val="Graph Data"/>
      <sheetName val="Quantum 16"/>
      <sheetName val="PBAM"/>
      <sheetName val="Sheet1"/>
      <sheetName val="Group_t"/>
      <sheetName val="Valuation"/>
      <sheetName val="Val. ex FB"/>
      <sheetName val="Loan Book analysis"/>
      <sheetName val="NII"/>
      <sheetName val="Customer deposits"/>
      <sheetName val="Fees "/>
      <sheetName val="Divisions &gt;&gt;&gt;&gt;"/>
      <sheetName val="Summary"/>
      <sheetName val="Greece"/>
      <sheetName val="CIB"/>
      <sheetName val="AM"/>
      <sheetName val="Ins"/>
      <sheetName val="SEE"/>
      <sheetName val="Turkey&gt;&gt;&gt;"/>
      <sheetName val="FIN_Eur"/>
      <sheetName val="FIN_TL"/>
      <sheetName val="Macro"/>
      <sheetName val="DS"/>
      <sheetName val="Cons_exFIN"/>
      <sheetName val="Loan Book analysis_exFB"/>
      <sheetName val="SEE_t"/>
      <sheetName val="TUR_TL"/>
      <sheetName val="TUR_EUR"/>
      <sheetName val="GR_t"/>
      <sheetName val="GBP"/>
      <sheetName val="SOTP (Division)"/>
      <sheetName val="SOTP (Legal Entities)"/>
      <sheetName val="CapCalc"/>
      <sheetName val="BP"/>
      <sheetName val="Banking"/>
      <sheetName val="IB"/>
      <sheetName val="ProdCompanies"/>
      <sheetName val="Consumer Finance"/>
      <sheetName val="Ducato"/>
      <sheetName val="Delta"/>
      <sheetName val="Linea"/>
      <sheetName val="Real Estate"/>
      <sheetName val="BPVN-BPI"/>
      <sheetName val="_NBGr.AT"/>
      <sheetName val="QP_NBGr.AT"/>
      <sheetName val="Avg Ban assets, avg AUM"/>
      <sheetName val="Summary (2)"/>
      <sheetName val="M&amp;A scenario NBG Alpha"/>
      <sheetName val="Price Vol charts"/>
      <sheetName val="Quantum"/>
      <sheetName val="Income Statement Summary"/>
      <sheetName val="Macro1"/>
      <sheetName val="LVMH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Layout 1"/>
      <sheetName val="Overview"/>
      <sheetName val="Summary"/>
      <sheetName val="Capital"/>
      <sheetName val="Datasheet"/>
      <sheetName val="GQ"/>
      <sheetName val="SOTP"/>
      <sheetName val="Sheet1"/>
      <sheetName val="Consolidated"/>
      <sheetName val="CEE Tot"/>
      <sheetName val="CS"/>
      <sheetName val="SSP"/>
      <sheetName val="H"/>
      <sheetName val="C"/>
      <sheetName val="AUT Tot"/>
      <sheetName val="Savings"/>
      <sheetName val="Retail"/>
      <sheetName val="LC"/>
      <sheetName val="Int"/>
      <sheetName val="IB"/>
      <sheetName val="CC"/>
      <sheetName val="Loan Book &amp; Deposits"/>
      <sheetName val="==&gt;"/>
      <sheetName val="Economic P&amp;L"/>
      <sheetName val="Targets==&gt;"/>
      <sheetName val="BCR"/>
      <sheetName val="BCR (EUR)"/>
      <sheetName val="CEC"/>
      <sheetName val="CEC (EUR)"/>
      <sheetName val="Splitska Banka"/>
      <sheetName val="Splitska Banka (EUR)"/>
      <sheetName val="Croatia Targets"/>
      <sheetName val="&lt;=="/>
      <sheetName val="Costs"/>
      <sheetName val="Risk"/>
      <sheetName val="Layout"/>
      <sheetName val="Report Graphs"/>
      <sheetName val="Report P&amp;L"/>
      <sheetName val="Report tables"/>
      <sheetName val="Ratios"/>
      <sheetName val="Credit Risk"/>
      <sheetName val="Graph Data"/>
      <sheetName val="GQ (OLD)"/>
      <sheetName val="Exchange Rate"/>
      <sheetName val="QUANTUM 16 (OLD)"/>
      <sheetName val="Summary (2)"/>
      <sheetName val="Wages"/>
      <sheetName val="Report BS"/>
      <sheetName val="Bil"/>
      <sheetName val="CF"/>
      <sheetName val="Ind.holdings"/>
      <sheetName val="REQUEST_TABLE"/>
      <sheetName val="Price Vol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Profit (f)"/>
      <sheetName val="Price perf"/>
      <sheetName val="GDRs"/>
      <sheetName val="Mkt_value"/>
      <sheetName val="Regional Stock"/>
      <sheetName val="Cashflow"/>
      <sheetName val="WACC"/>
      <sheetName val="Valuation (2)"/>
      <sheetName val="Liberalization"/>
      <sheetName val="Bids"/>
      <sheetName val="Supply Demand"/>
      <sheetName val="Line Demand"/>
      <sheetName val="Waiting List"/>
      <sheetName val="Basic Tariff"/>
      <sheetName val="Non-Usage"/>
      <sheetName val="Usage"/>
      <sheetName val="Fixed Line"/>
      <sheetName val="Interconnect"/>
      <sheetName val="Income Distribution"/>
      <sheetName val="GDP"/>
      <sheetName val="Afford"/>
      <sheetName val="Line Summary"/>
      <sheetName val="Network"/>
      <sheetName val="1996 staff"/>
      <sheetName val="Subs potential"/>
      <sheetName val="Roll-out"/>
      <sheetName val="Use Dist"/>
      <sheetName val="Res Rev"/>
      <sheetName val="Bus Rev"/>
      <sheetName val="Rev sum"/>
      <sheetName val="Cost"/>
      <sheetName val="Earnings Sensitivity"/>
      <sheetName val="CAPEX"/>
      <sheetName val="CF Model"/>
      <sheetName val="Balance"/>
      <sheetName val="Adj. Balance"/>
      <sheetName val="Inc. Exps"/>
      <sheetName val="c1"/>
      <sheetName val="c2"/>
      <sheetName val="c3"/>
      <sheetName val="c4"/>
      <sheetName val="c5"/>
      <sheetName val="c6"/>
      <sheetName val="c7"/>
      <sheetName val="c8"/>
      <sheetName val="ARPU"/>
      <sheetName val="c9"/>
      <sheetName val="c10"/>
      <sheetName val="c11"/>
      <sheetName val="c12"/>
      <sheetName val="Links"/>
      <sheetName val="Margins"/>
      <sheetName val="PetroChina"/>
      <sheetName val="Results"/>
      <sheetName val="Graphs"/>
      <sheetName val="Assumptions"/>
      <sheetName val="Micro Assume"/>
      <sheetName val="Consolidated"/>
      <sheetName val="Tables-1015"/>
      <sheetName val="DATA"/>
      <sheetName val="Operating Model"/>
      <sheetName val="KUNGDEVI"/>
      <sheetName val="Dem-HH"/>
      <sheetName val="LVMH Model"/>
      <sheetName val="EMVD"/>
      <sheetName val="Inputs"/>
      <sheetName val="Global Assumptions"/>
      <sheetName val="Aladdin 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2003 plan"/>
      <sheetName val="ye bal sheet"/>
      <sheetName val="Annual CF"/>
      <sheetName val="avg bal sheet"/>
      <sheetName val="WORK CAP AVG"/>
      <sheetName val="2003 Bud func P&amp;L"/>
      <sheetName val="growth"/>
      <sheetName val="growth wo walmart"/>
      <sheetName val="AssetListing for Upload"/>
      <sheetName val="Financial statements wo walmart"/>
      <sheetName val="99 Act Sales"/>
      <sheetName val="DDETABLE "/>
      <sheetName val="Annual Model"/>
      <sheetName val="Dial cash  flow"/>
      <sheetName val="Dial P&amp;L"/>
      <sheetName val="Scatter"/>
      <sheetName val="Divisional_Geographic_Split"/>
      <sheetName val="EV&amp;Sales"/>
      <sheetName val="Price Data"/>
      <sheetName val="Report Graph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Dem-HH"/>
      <sheetName val="Dem-Indiv"/>
      <sheetName val="Output"/>
      <sheetName val="Tables"/>
      <sheetName val="Rev sum"/>
      <sheetName val="AssetListing for Upload"/>
      <sheetName val="AR1-F20"/>
      <sheetName val="chem"/>
      <sheetName val="row"/>
      <sheetName val="NAf, MEast"/>
      <sheetName val="chems"/>
      <sheetName val="LPG"/>
      <sheetName val="projections"/>
      <sheetName val="r&amp;m"/>
      <sheetName val="group E&amp;P"/>
      <sheetName val="LatAm"/>
      <sheetName val="WIRE"/>
      <sheetName val="debt"/>
      <sheetName val="GAS"/>
      <sheetName val="Model"/>
      <sheetName val="General"/>
      <sheetName val="NAV"/>
      <sheetName val="Margi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Oil price"/>
      <sheetName val="Main Model"/>
      <sheetName val="Valuation"/>
      <sheetName val="Table Cosmetics"/>
      <sheetName val="SOTP valuation"/>
      <sheetName val="Interim"/>
      <sheetName val="Nopat"/>
      <sheetName val="WACC"/>
      <sheetName val="CapEmployed"/>
      <sheetName val="EVA"/>
      <sheetName val="Q"/>
      <sheetName val="GQ"/>
      <sheetName val="Sheet1 (2)"/>
      <sheetName val="DCF"/>
      <sheetName val="Reg AC"/>
      <sheetName val="Disclosures"/>
      <sheetName val="Appendix A Charts"/>
      <sheetName val="Share price perf"/>
      <sheetName val="Ecolab Clorox selldown"/>
      <sheetName val="Appendix B Historical valuation"/>
      <sheetName val="Appendix C Historical multiples"/>
      <sheetName val="AcquisitionsDisposal dates"/>
      <sheetName val="Currency"/>
      <sheetName val="Dial segment"/>
      <sheetName val="Dial region"/>
      <sheetName val="Dial customers"/>
      <sheetName val="Dial channel"/>
      <sheetName val="Dial P&amp;L"/>
      <sheetName val="New Balance Sheet"/>
      <sheetName val="Dial Balance Sheet"/>
      <sheetName val="Dial cash  flow"/>
      <sheetName val="Divisional detail"/>
      <sheetName val="Sheet1"/>
      <sheetName val="Dial"/>
      <sheetName val="Module1"/>
      <sheetName val="Henkel Model"/>
      <sheetName val="Cash Flow"/>
      <sheetName val="_HNKG_p.DE"/>
      <sheetName val="QP_HNKG_p.de"/>
      <sheetName val="Sales and EBIT"/>
      <sheetName val="Interim 2004"/>
      <sheetName val="EVA New"/>
      <sheetName val="Nopat New"/>
      <sheetName val="WACC New"/>
      <sheetName val="CapEmployed New"/>
      <sheetName val="Sales (0ld)"/>
      <sheetName val="Main"/>
      <sheetName val="Sales"/>
      <sheetName val="Q205 Table"/>
      <sheetName val="Interim Old"/>
      <sheetName val="Interim IFRS"/>
      <sheetName val="EVA Old"/>
      <sheetName val="Nopat Old"/>
      <sheetName val="WACC Old"/>
      <sheetName val="EPS Calculations"/>
      <sheetName val="Q2 Table"/>
      <sheetName val="WMTQORFA"/>
      <sheetName val="ANNBIZ"/>
      <sheetName val="Profit and Loss"/>
      <sheetName val="Balance Sheet &amp; Cash Flow"/>
      <sheetName val="Publish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GQ UpdateForm"/>
      <sheetName val="Q"/>
      <sheetName val="GQ"/>
      <sheetName val="Chart3"/>
      <sheetName val="Stock performance"/>
      <sheetName val="Sales split"/>
      <sheetName val="EBIT split"/>
      <sheetName val="IFRS Impact"/>
      <sheetName val="IFRS assumptions"/>
      <sheetName val="LVMH Model"/>
      <sheetName val="interim"/>
      <sheetName val="Sheet2"/>
      <sheetName val="Regional Exposure"/>
      <sheetName val="Fashion&amp;L."/>
      <sheetName val="Selective Retail"/>
      <sheetName val="Cosm."/>
      <sheetName val="Sheet1"/>
      <sheetName val="Advertising Spend"/>
      <sheetName val="FX exposure"/>
      <sheetName val="DOS"/>
      <sheetName val="Notes&amp;News"/>
      <sheetName val="Base-Best Case"/>
      <sheetName val="currency"/>
      <sheetName val="LVMHVALUAT"/>
      <sheetName val="interim OLD"/>
      <sheetName val="Financials"/>
      <sheetName val="Report table"/>
      <sheetName val="Chart1"/>
      <sheetName val="Chart2"/>
      <sheetName val="Module3"/>
      <sheetName val="macrohold"/>
      <sheetName val="Module1"/>
      <sheetName val="Main model"/>
      <sheetName val="WMTQORFA"/>
      <sheetName val="Figures"/>
      <sheetName val="projections"/>
      <sheetName val="AssetListing for Upload"/>
      <sheetName val="Report Graph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CROCE"/>
      <sheetName val="Market Potential"/>
      <sheetName val="Competitors BPO Rev"/>
      <sheetName val="Benchmark"/>
      <sheetName val="Prices"/>
      <sheetName val="Capability_Customer"/>
      <sheetName val="Acq_Contract Summary"/>
      <sheetName val="EBITA MARGIN"/>
      <sheetName val="Management"/>
      <sheetName val="Tables"/>
      <sheetName val="WACC"/>
      <sheetName val="Sources"/>
      <sheetName val="Questions"/>
      <sheetName val="CE"/>
      <sheetName val="Market"/>
      <sheetName val="Sheet1"/>
      <sheetName val="Chart2"/>
      <sheetName val="Chart3"/>
      <sheetName val="Turnover_Seg"/>
      <sheetName val="Turnover_Cust"/>
      <sheetName val="EBITA marg. Chart"/>
      <sheetName val="WACC sense"/>
      <sheetName val="Price chart"/>
      <sheetName val="P&amp;L"/>
      <sheetName val="Sales Model"/>
      <sheetName val="FX model"/>
      <sheetName val="Publish"/>
      <sheetName val="EBI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RANDSTAD - EURO"/>
      <sheetName val="EBIT - Quarterly"/>
      <sheetName val="EBITA model (old 1)"/>
      <sheetName val="Half year - EURO (old 2)"/>
      <sheetName val="EBITA model - EURO (old 3)"/>
      <sheetName val="RANDSTAD (old 4)"/>
      <sheetName val="EBITA model (old 5)"/>
      <sheetName val="EBITA model (old 6)"/>
      <sheetName val="Half year (old 7)"/>
      <sheetName val="Multiples"/>
      <sheetName val="Tables"/>
      <sheetName val="Operating profit"/>
      <sheetName val="RandstadpreQ302tweek"/>
      <sheetName val="Annuels (S)"/>
      <sheetName val="Ventilation (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Valuation"/>
      <sheetName val="Profit and Loss"/>
      <sheetName val="Divisional"/>
      <sheetName val="Products"/>
      <sheetName val="Sum of the Parts"/>
      <sheetName val="Reg AC"/>
      <sheetName val="Disclosures"/>
      <sheetName val="Conversion"/>
      <sheetName val="Liquid Crystals"/>
      <sheetName val="SOTP"/>
      <sheetName val="Dial P&amp;L"/>
      <sheetName val="DCF"/>
      <sheetName val="Ratios"/>
      <sheetName val="VABQORF"/>
      <sheetName val="Merck KGaA for e-m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5-Year"/>
      <sheetName val="REG AC"/>
      <sheetName val="DHEXPTAR"/>
      <sheetName val="DHEXPSUPER"/>
      <sheetName val="DHEXPTARDIS"/>
      <sheetName val="DHQTR"/>
      <sheetName val="DHQORFA"/>
      <sheetName val="More Credit "/>
      <sheetName val="Interest Expense Calculation"/>
      <sheetName val="Credit"/>
      <sheetName val="Segment Earnings"/>
      <sheetName val="QtrlyDIV"/>
      <sheetName val="DHCASH"/>
      <sheetName val="DHRETD"/>
      <sheetName val="DHTURN"/>
      <sheetName val="DHDTC"/>
      <sheetName val="DHWORK"/>
      <sheetName val="DHEXPDS"/>
      <sheetName val="DHEXPMER"/>
      <sheetName val="DHEXPTOT"/>
      <sheetName val="CREDITEXP"/>
      <sheetName val="DHDIV"/>
      <sheetName val="Sheet2"/>
      <sheetName val="DHWORKsem99"/>
      <sheetName val="DHTURNLI"/>
      <sheetName val="FAME Persistence"/>
      <sheetName val="TARGOPR"/>
      <sheetName val="MERVOPR"/>
      <sheetName val="Profile"/>
      <sheetName val="QtrlyDIV (2)"/>
      <sheetName val="Sheet1"/>
      <sheetName val="Sheet1 (2)"/>
      <sheetName val="NewXpress"/>
      <sheetName val="QtrlyDIV Formatted"/>
      <sheetName val="DHQTR Formatted"/>
      <sheetName val="DHCASH Formatted"/>
      <sheetName val="DHEXPTOT Formatted"/>
      <sheetName val="DHEXPTAR Formatted"/>
      <sheetName val="DHQTRVAR Q3"/>
      <sheetName val="DHWORKsem98"/>
      <sheetName val="EVA"/>
      <sheetName val="SQORFA"/>
      <sheetName val="P-E Calculation"/>
      <sheetName val="WMTQORFA"/>
      <sheetName val="QORFA"/>
      <sheetName val="Merck KGaA"/>
      <sheetName val="P&amp;L"/>
      <sheetName val="FX model"/>
      <sheetName val="FIVEYEAR"/>
      <sheetName val="PRICES1"/>
      <sheetName val="BBYQORF"/>
      <sheetName val="BBYQORF (2)"/>
      <sheetName val="Datasheet"/>
      <sheetName val="DH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sales seg"/>
      <sheetName val="fivegrow"/>
      <sheetName val="QORFA"/>
      <sheetName val="Notes Table"/>
      <sheetName val="NOTEX"/>
      <sheetName val="retail sales"/>
      <sheetName val="BALSHEET"/>
      <sheetName val="Sumqorfa"/>
      <sheetName val="av $"/>
      <sheetName val="Sheet2"/>
      <sheetName val="growth"/>
      <sheetName val="comps HUT"/>
      <sheetName val="backlog"/>
      <sheetName val="what if"/>
      <sheetName val="what if 2"/>
      <sheetName val="what if retail"/>
      <sheetName val="inventory analysis"/>
      <sheetName val="retail"/>
      <sheetName val="Sheet10"/>
      <sheetName val="cash proj"/>
      <sheetName val="ROC"/>
      <sheetName val="dcf1"/>
      <sheetName val="dcf1b"/>
      <sheetName val="cash"/>
      <sheetName val="int'l"/>
      <sheetName val="Sheet7"/>
      <sheetName val="mkt sh"/>
      <sheetName val="Sheet5"/>
      <sheetName val="distribution"/>
      <sheetName val="Disclaimer"/>
      <sheetName val="FAME Persistence"/>
      <sheetName val="Sheet4"/>
      <sheetName val="comps RAYS"/>
      <sheetName val="world mkt"/>
      <sheetName val="Chart4"/>
      <sheetName val="Chart3"/>
      <sheetName val="stock vs eps"/>
      <sheetName val="sales by product"/>
      <sheetName val="Sheet1"/>
      <sheetName val="av price"/>
      <sheetName val="Chart1"/>
      <sheetName val="Chart5"/>
      <sheetName val="Chart2"/>
      <sheetName val="Char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Trailing EPS charts"/>
      <sheetName val="Trailing EPS"/>
      <sheetName val="Price Vol charts"/>
      <sheetName val="Chart data"/>
      <sheetName val="Consensus"/>
      <sheetName val="Cons data"/>
      <sheetName val="Performance"/>
      <sheetName val="REQUEST_TABLE"/>
      <sheetName val="Spanish price volume charts"/>
      <sheetName val="Model"/>
      <sheetName val="NEW FINANCIALS"/>
      <sheetName val="QORFA"/>
      <sheetName val="LVMH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Chart6"/>
      <sheetName val="Capex"/>
      <sheetName val="Chart1"/>
      <sheetName val="Capex Ind."/>
      <sheetName val="Chart2"/>
      <sheetName val="Chart3"/>
      <sheetName val="Privatisation"/>
      <sheetName val="Chart4"/>
      <sheetName val="Sheet1"/>
      <sheetName val="Chart5"/>
      <sheetName val="Weighting"/>
      <sheetName val="REQUEST_TABLE"/>
      <sheetName val="QORFA"/>
      <sheetName val="Synergies"/>
      <sheetName val="Div_assump"/>
      <sheetName val="SOTP"/>
      <sheetName val="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Sense (2)"/>
      <sheetName val="E&amp;V sen"/>
      <sheetName val="NX"/>
      <sheetName val="Monthly"/>
      <sheetName val="HoH (US)"/>
      <sheetName val="QoQ (US)"/>
      <sheetName val="HoH (ROC)"/>
      <sheetName val="QoQ (ROC)"/>
      <sheetName val="Revision"/>
      <sheetName val="P&amp;L"/>
      <sheetName val="Revenue"/>
      <sheetName val="Costs"/>
      <sheetName val="Capex &amp; Depreciation"/>
      <sheetName val="Balance sheet"/>
      <sheetName val="Cash flow"/>
      <sheetName val="DCF"/>
      <sheetName val="DDM"/>
      <sheetName val="F-Cashflow"/>
      <sheetName val="GEM"/>
      <sheetName val="03 Forecast"/>
      <sheetName val="Half"/>
      <sheetName val="Factsheet"/>
      <sheetName val="EVA1"/>
      <sheetName val="F-P&amp;L"/>
      <sheetName val="F-Balance"/>
      <sheetName val="F-Balance (2)"/>
      <sheetName val="F-Assumptions"/>
      <sheetName val="FCF"/>
      <sheetName val="Comps"/>
      <sheetName val="CHT"/>
      <sheetName val="CROCI (2)"/>
      <sheetName val="Costs (F)"/>
      <sheetName val="Local"/>
      <sheetName val="op sum"/>
      <sheetName val="Long Distance"/>
      <sheetName val="Internet"/>
      <sheetName val="Wireless"/>
      <sheetName val="Summary"/>
      <sheetName val="Financials Summary"/>
      <sheetName val="Sheet1"/>
      <sheetName val="QORFA"/>
      <sheetName val="EVA"/>
      <sheetName val="Valuation"/>
      <sheetName val="Datastream"/>
      <sheetName val="FX as of 30 April 98"/>
      <sheetName val="LVMH Model"/>
      <sheetName val="REQUEST_TABLE"/>
      <sheetName val="PROFSVC"/>
      <sheetName val="Q_MODEL"/>
      <sheetName val="EM-Chunghwa_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San Pedro"/>
      <sheetName val="Barranca"/>
      <sheetName val="CarterCo"/>
      <sheetName val="Linares"/>
      <sheetName val="Montemorelos"/>
      <sheetName val="Summary"/>
      <sheetName val="partial package duty - final"/>
      <sheetName val="partial package duty"/>
      <sheetName val="Assembly &amp; Assist"/>
      <sheetName val="Freight Analysis"/>
      <sheetName val="Freight Analysis - proj"/>
      <sheetName val="OS MV by Month"/>
      <sheetName val="OS MV by Month 2002 std"/>
      <sheetName val="SAH Comparison"/>
      <sheetName val="99 Act Sales"/>
      <sheetName val="x. Changes "/>
      <sheetName val="Credit"/>
      <sheetName val="Inputs"/>
      <sheetName val="Data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cash flow"/>
      <sheetName val="annual.income"/>
      <sheetName val="qtrly income"/>
      <sheetName val="Comps"/>
      <sheetName val="2QFY96 summary"/>
      <sheetName val="seganalysis"/>
      <sheetName val="cash"/>
      <sheetName val="merge"/>
      <sheetName val="APDSUM"/>
      <sheetName val="Annual Model"/>
      <sheetName val="NKEBS"/>
      <sheetName val="qor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Datasheet"/>
      <sheetName val="Report BS"/>
      <sheetName val="Report P&amp;L"/>
      <sheetName val="Report tables"/>
      <sheetName val="Graph Data"/>
      <sheetName val="Report Graphs"/>
      <sheetName val="Quantum 16"/>
      <sheetName val="GQ"/>
      <sheetName val="Dupont"/>
      <sheetName val="temp"/>
      <sheetName val="cs"/>
      <sheetName val="Retail template"/>
      <sheetName val="Retail"/>
      <sheetName val="MCC"/>
      <sheetName val="Minorities"/>
      <sheetName val="Fineco"/>
      <sheetName val="others"/>
      <sheetName val="Sensitivity"/>
      <sheetName val="Corporate center"/>
      <sheetName val="CF"/>
      <sheetName val="QCF"/>
      <sheetName val="Published"/>
      <sheetName val="Bil"/>
      <sheetName val="Clean Equity"/>
      <sheetName val="Trevi"/>
      <sheetName val="New trevi plan"/>
      <sheetName val="Trevi BS"/>
      <sheetName val="Trevi Graph"/>
      <sheetName val="SOTP"/>
      <sheetName val="AUM"/>
      <sheetName val="Asset quality"/>
      <sheetName val="int"/>
      <sheetName val="DCF"/>
      <sheetName val="DCFpS"/>
      <sheetName val="Val 2"/>
      <sheetName val="Val 1"/>
      <sheetName val="rest"/>
      <sheetName val="NTVCAP"/>
      <sheetName val="BNLCAP"/>
      <sheetName val="Consolidated"/>
      <sheetName val="DIVISIONS"/>
      <sheetName val="DivisionSummary"/>
      <sheetName val="Fineco1"/>
      <sheetName val="MCC1"/>
      <sheetName val="capitalia"/>
      <sheetName val="SOTP_new"/>
      <sheetName val="P&amp;L"/>
      <sheetName val="APDSUM"/>
      <sheetName val="REQUEST_TABLE"/>
      <sheetName val="Revenue"/>
      <sheetName val="Price Vol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EUR"/>
      <sheetName val="Foglio1"/>
      <sheetName val="Foglio2"/>
      <sheetName val="Foglio3"/>
      <sheetName val="Canali"/>
      <sheetName val="RH_M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Assmptns"/>
      <sheetName val="Plas_Forcst"/>
      <sheetName val="Scenarios"/>
      <sheetName val="Bal_Sht"/>
      <sheetName val="Bal_Graphs"/>
      <sheetName val="Valuation"/>
      <sheetName val="DCF"/>
      <sheetName val="Dial P&amp;L"/>
      <sheetName val="Ratios"/>
      <sheetName val="EPCVAL5"/>
      <sheetName val="Operating profit"/>
      <sheetName val="Publish"/>
      <sheetName val="Income"/>
      <sheetName val="Condensed Qtrly"/>
      <sheetName val="Qtrly Inc"/>
      <sheetName val="P&amp;L"/>
      <sheetName val="OHP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DS"/>
      <sheetName val="Master FX"/>
      <sheetName val="CHF rebased"/>
      <sheetName val="CHF qoq"/>
      <sheetName val="FX change YOY"/>
      <sheetName val="Chart2"/>
      <sheetName val="Data for charts"/>
      <sheetName val="Company specific USD impact"/>
      <sheetName val="Regional exposure"/>
      <sheetName val="FX impact by Co"/>
      <sheetName val="Fx vs margin"/>
      <sheetName val="AFOSHEET"/>
      <sheetName val="CFR, UHR Scatter Fx vs margin"/>
      <sheetName val="Fx vs Gross margin"/>
      <sheetName val="CFR, UHR Scatter Growth vs marg"/>
      <sheetName val="CFR UHR margins"/>
      <sheetName val="Indexed FX Chart"/>
      <sheetName val="Adidas - USD to EUR"/>
    </sheetNames>
    <sheetDataSet>
      <sheetData sheetId="0"/>
      <sheetData sheetId="1">
        <row r="9">
          <cell r="BF9">
            <v>133.297076923077</v>
          </cell>
        </row>
        <row r="10">
          <cell r="BF10">
            <v>1.17765314792899</v>
          </cell>
        </row>
        <row r="11">
          <cell r="BF11">
            <v>0.896481692307692</v>
          </cell>
        </row>
        <row r="16">
          <cell r="BF16">
            <v>7.79582846153846</v>
          </cell>
        </row>
        <row r="23">
          <cell r="BF23">
            <v>3.72918461538462</v>
          </cell>
        </row>
        <row r="24">
          <cell r="W24">
            <v>4.6244078125</v>
          </cell>
          <cell r="X24">
            <v>5.07969230769231</v>
          </cell>
          <cell r="Y24">
            <v>5.47735</v>
          </cell>
          <cell r="Z24">
            <v>5.6332053030303</v>
          </cell>
          <cell r="AA24">
            <v>5.3117890625</v>
          </cell>
          <cell r="AB24">
            <v>4.9672203125</v>
          </cell>
          <cell r="AC24">
            <v>5.09553636363636</v>
          </cell>
          <cell r="AD24">
            <v>5.38513484848485</v>
          </cell>
          <cell r="AE24">
            <v>5.49512265625</v>
          </cell>
          <cell r="AF24">
            <v>5.87570461538462</v>
          </cell>
          <cell r="AG24">
            <v>5.87980681818182</v>
          </cell>
          <cell r="AH24">
            <v>5.73451538461538</v>
          </cell>
          <cell r="AI24">
            <v>5.69109692307693</v>
          </cell>
          <cell r="AJ24">
            <v>5.70306</v>
          </cell>
          <cell r="AK24">
            <v>5.76417076923077</v>
          </cell>
          <cell r="AL24">
            <v>6.22732424242424</v>
          </cell>
          <cell r="AM24">
            <v>6.6169390625</v>
          </cell>
          <cell r="AN24">
            <v>6.83921923076923</v>
          </cell>
          <cell r="AO24">
            <v>7.39348257575758</v>
          </cell>
          <cell r="AP24">
            <v>8.25838560606061</v>
          </cell>
          <cell r="AQ24">
            <v>10.40700546875</v>
          </cell>
          <cell r="AR24">
            <v>11.0463392307692</v>
          </cell>
          <cell r="AS24">
            <v>10.9915045454545</v>
          </cell>
          <cell r="AT24">
            <v>10.6313439393939</v>
          </cell>
          <cell r="AU24">
            <v>9.78384921875</v>
          </cell>
          <cell r="AV24">
            <v>9.90318538461538</v>
          </cell>
          <cell r="AW24">
            <v>10.2814651515151</v>
          </cell>
          <cell r="AX24">
            <v>11.1316643939394</v>
          </cell>
          <cell r="AY24">
            <v>15.9470347692308</v>
          </cell>
          <cell r="AZ24">
            <v>16.0464838461539</v>
          </cell>
          <cell r="BA24">
            <v>16.6844648484849</v>
          </cell>
          <cell r="BB24">
            <v>16.6557230769231</v>
          </cell>
          <cell r="BC24">
            <v>16.6982023076923</v>
          </cell>
          <cell r="BD24">
            <v>17.3326610769231</v>
          </cell>
          <cell r="BE24">
            <v>20.3045783076923</v>
          </cell>
          <cell r="BF24">
            <v>20.4232653846154</v>
          </cell>
        </row>
        <row r="25">
          <cell r="BF25">
            <v>22.1543192307692</v>
          </cell>
        </row>
        <row r="27">
          <cell r="BF27">
            <v>67.6436461538461</v>
          </cell>
        </row>
        <row r="28">
          <cell r="BF28">
            <v>57.4388389230769</v>
          </cell>
        </row>
        <row r="42">
          <cell r="AA42">
            <v>0.0275933620561883</v>
          </cell>
          <cell r="AB42">
            <v>-0.112409941422011</v>
          </cell>
          <cell r="AC42">
            <v>-0.171655029293557</v>
          </cell>
          <cell r="AD42">
            <v>-0.153991361382179</v>
          </cell>
          <cell r="AE42">
            <v>-0.104232773970218</v>
          </cell>
          <cell r="AF42">
            <v>-0.000173331196672399</v>
          </cell>
          <cell r="AG42">
            <v>-0.00634253808189489</v>
          </cell>
          <cell r="AH42">
            <v>-0.070422554527388</v>
          </cell>
          <cell r="AI42">
            <v>-0.0757611035543734</v>
          </cell>
          <cell r="AJ42">
            <v>-0.124014130576998</v>
          </cell>
          <cell r="AK42">
            <v>-0.107217820885995</v>
          </cell>
          <cell r="AL42">
            <v>0.00961612185644389</v>
          </cell>
          <cell r="AM42">
            <v>0.170150282516787</v>
          </cell>
          <cell r="AN42">
            <v>0.251699735331194</v>
          </cell>
          <cell r="AO42">
            <v>0.333360725018783</v>
          </cell>
          <cell r="AP42">
            <v>0.298354332918378</v>
          </cell>
          <cell r="AQ42">
            <v>0.158398063486033</v>
          </cell>
          <cell r="AR42">
            <v>0.0870061202840464</v>
          </cell>
          <cell r="AS42">
            <v>0.0513582661917329</v>
          </cell>
          <cell r="AT42">
            <v>0.045360731039009</v>
          </cell>
          <cell r="AU42">
            <v>-0.0461993584807405</v>
          </cell>
          <cell r="AV42">
            <v>-0.0429146810956073</v>
          </cell>
          <cell r="AW42">
            <v>-0.0128625248244418</v>
          </cell>
          <cell r="AX42">
            <v>-0.0693771862948538</v>
          </cell>
          <cell r="AY42">
            <v>-0.053896622864896</v>
          </cell>
          <cell r="AZ42">
            <v>-0.0909980340745125</v>
          </cell>
          <cell r="BA42">
            <v>-0.159750203021314</v>
          </cell>
          <cell r="BB42">
            <v>-0.113825981370435</v>
          </cell>
          <cell r="BC42">
            <v>-0.0480525933385478</v>
          </cell>
          <cell r="BD42">
            <v>0.00268637770546243</v>
          </cell>
          <cell r="BE42">
            <v>0.14058948900938</v>
          </cell>
          <cell r="BF42">
            <v>0.13114492993915</v>
          </cell>
        </row>
        <row r="43">
          <cell r="W43">
            <v>-0.129613157107916</v>
          </cell>
          <cell r="X43">
            <v>-0.128107551870489</v>
          </cell>
          <cell r="Y43">
            <v>-0.0496227575133485</v>
          </cell>
          <cell r="Z43">
            <v>0.118417217479115</v>
          </cell>
          <cell r="AA43">
            <v>0.0606972993142716</v>
          </cell>
          <cell r="AB43">
            <v>-0.0649709003145983</v>
          </cell>
          <cell r="AC43">
            <v>-0.0960173955880679</v>
          </cell>
          <cell r="AD43">
            <v>-0.0807000785423444</v>
          </cell>
          <cell r="AE43">
            <v>-0.0104203722965135</v>
          </cell>
          <cell r="AF43">
            <v>0.130238725976947</v>
          </cell>
          <cell r="AG43">
            <v>0.0922370603022444</v>
          </cell>
          <cell r="AH43">
            <v>-0.00759689438639444</v>
          </cell>
          <cell r="AI43">
            <v>-0.0424920179962689</v>
          </cell>
          <cell r="AJ43">
            <v>-0.108797841217255</v>
          </cell>
          <cell r="AK43">
            <v>-0.114207485087629</v>
          </cell>
          <cell r="AL43">
            <v>-0.0369892023708993</v>
          </cell>
          <cell r="AM43">
            <v>0.00693744601737278</v>
          </cell>
          <cell r="AN43">
            <v>0.0178430740044782</v>
          </cell>
          <cell r="AO43">
            <v>0.0588343731444756</v>
          </cell>
          <cell r="AP43">
            <v>0.0493743898052514</v>
          </cell>
          <cell r="AQ43">
            <v>0.0381274731101977</v>
          </cell>
          <cell r="AR43">
            <v>0.0503164215820548</v>
          </cell>
          <cell r="AS43">
            <v>0.000784217269939935</v>
          </cell>
          <cell r="AT43">
            <v>-0.0826592474090557</v>
          </cell>
          <cell r="AU43">
            <v>-0.177753567790151</v>
          </cell>
          <cell r="AV43">
            <v>-0.193326614294055</v>
          </cell>
          <cell r="AW43">
            <v>-0.161271276872402</v>
          </cell>
          <cell r="AX43">
            <v>-0.123185100353275</v>
          </cell>
          <cell r="AY43">
            <v>-0.0213620765977417</v>
          </cell>
          <cell r="AZ43">
            <v>0.0206807653238945</v>
          </cell>
          <cell r="BA43">
            <v>0.00402535284020122</v>
          </cell>
          <cell r="BB43">
            <v>-0.01585391397193</v>
          </cell>
          <cell r="BC43">
            <v>-0.0335448371309145</v>
          </cell>
          <cell r="BD43">
            <v>-0.024771157149883</v>
          </cell>
          <cell r="BE43">
            <v>0.0527132092155069</v>
          </cell>
          <cell r="BF43">
            <v>0.0927350277887207</v>
          </cell>
        </row>
        <row r="44">
          <cell r="AA44">
            <v>-0.0242501485789665</v>
          </cell>
          <cell r="AB44">
            <v>-0.0294916590710489</v>
          </cell>
          <cell r="AC44">
            <v>-0.0440362987128636</v>
          </cell>
          <cell r="AD44">
            <v>-0.0498614007031744</v>
          </cell>
          <cell r="AE44">
            <v>-0.0375186598693108</v>
          </cell>
          <cell r="AF44">
            <v>0.0342977585312261</v>
          </cell>
          <cell r="AG44">
            <v>0.0524602410755424</v>
          </cell>
          <cell r="AH44">
            <v>-0.00256129929770099</v>
          </cell>
          <cell r="AI44">
            <v>-0.02326602617448</v>
          </cell>
          <cell r="AJ44">
            <v>-0.0816720274046849</v>
          </cell>
          <cell r="AK44">
            <v>-0.0975934312466145</v>
          </cell>
          <cell r="AL44">
            <v>-0.0574425741798166</v>
          </cell>
          <cell r="AM44">
            <v>0.0194403267484002</v>
          </cell>
          <cell r="AN44">
            <v>0.0491536022789494</v>
          </cell>
          <cell r="AO44">
            <v>0.0791630013135058</v>
          </cell>
          <cell r="AP44">
            <v>0.0409136861611639</v>
          </cell>
          <cell r="AQ44">
            <v>-0.0266535271081462</v>
          </cell>
          <cell r="AR44">
            <v>-0.0418725093115353</v>
          </cell>
          <cell r="AS44">
            <v>-0.0708950194723664</v>
          </cell>
          <cell r="AT44">
            <v>-0.0616535053538689</v>
          </cell>
          <cell r="AU44">
            <v>-0.101562271478756</v>
          </cell>
          <cell r="AV44">
            <v>-0.113997336034429</v>
          </cell>
          <cell r="AW44">
            <v>-0.0955812177896544</v>
          </cell>
          <cell r="AX44">
            <v>-0.0847891480951272</v>
          </cell>
          <cell r="AY44">
            <v>0.0360256293114711</v>
          </cell>
          <cell r="AZ44">
            <v>0.0904339932428622</v>
          </cell>
          <cell r="BA44">
            <v>0.184444678942648</v>
          </cell>
          <cell r="BB44">
            <v>0.202715473287985</v>
          </cell>
          <cell r="BC44">
            <v>0.115965636706083</v>
          </cell>
          <cell r="BD44">
            <v>0.0927684155706088</v>
          </cell>
          <cell r="BE44">
            <v>0.0561134759627504</v>
          </cell>
          <cell r="BF44">
            <v>0.0322065287765165</v>
          </cell>
        </row>
        <row r="49">
          <cell r="AA49">
            <v>0.0593576188683012</v>
          </cell>
          <cell r="AB49">
            <v>-0.0657017726278663</v>
          </cell>
          <cell r="AC49">
            <v>-0.104245227565922</v>
          </cell>
          <cell r="AD49">
            <v>-0.103812905983214</v>
          </cell>
          <cell r="AE49">
            <v>-0.0459140050493416</v>
          </cell>
          <cell r="AF49">
            <v>0.0763924902683073</v>
          </cell>
          <cell r="AG49">
            <v>0.0354501948711909</v>
          </cell>
          <cell r="AH49">
            <v>-0.0518349410671728</v>
          </cell>
          <cell r="AI49">
            <v>-0.0820496834786102</v>
          </cell>
          <cell r="AJ49">
            <v>-0.131894017950431</v>
          </cell>
          <cell r="AK49">
            <v>-0.123257803726636</v>
          </cell>
          <cell r="AL49">
            <v>-0.0543451648140633</v>
          </cell>
          <cell r="AM49">
            <v>-0.00696029465762116</v>
          </cell>
          <cell r="AN49">
            <v>-0.0105895277149056</v>
          </cell>
          <cell r="AO49">
            <v>0.0212255782699906</v>
          </cell>
          <cell r="AP49">
            <v>0.0235257010698193</v>
          </cell>
          <cell r="AQ49">
            <v>0.0176871607396434</v>
          </cell>
          <cell r="AR49">
            <v>0.0635018083783248</v>
          </cell>
          <cell r="AS49">
            <v>0.00730513454843718</v>
          </cell>
          <cell r="AT49">
            <v>-0.0739559718514252</v>
          </cell>
          <cell r="AU49">
            <v>-0.1595702551931</v>
          </cell>
          <cell r="AV49">
            <v>-0.196903207620326</v>
          </cell>
          <cell r="AW49">
            <v>-0.142391673744451</v>
          </cell>
          <cell r="AX49">
            <v>-0.0883297871112465</v>
          </cell>
          <cell r="AY49">
            <v>0.0264424737747528</v>
          </cell>
          <cell r="AZ49">
            <v>0.0750039700145941</v>
          </cell>
          <cell r="BA49">
            <v>0.0616536824837619</v>
          </cell>
          <cell r="BB49">
            <v>0.0515539486822549</v>
          </cell>
          <cell r="BC49">
            <v>0.0179865848259497</v>
          </cell>
          <cell r="BD49">
            <v>0.0239720729259758</v>
          </cell>
          <cell r="BE49">
            <v>0.0532355314044302</v>
          </cell>
          <cell r="BF49">
            <v>0.0589960110704442</v>
          </cell>
        </row>
        <row r="56">
          <cell r="Z56">
            <v>-0.146514751213692</v>
          </cell>
          <cell r="AA56">
            <v>-0.174760473635933</v>
          </cell>
          <cell r="AB56">
            <v>-0.193146862883905</v>
          </cell>
          <cell r="AC56">
            <v>-0.153123747254066</v>
          </cell>
          <cell r="AD56">
            <v>-0.10301258976891</v>
          </cell>
          <cell r="AE56">
            <v>-0.0846051295650737</v>
          </cell>
          <cell r="AF56">
            <v>0.00664450291857266</v>
          </cell>
          <cell r="AG56">
            <v>0.020539471422929</v>
          </cell>
          <cell r="AH56">
            <v>0.0521580389903293</v>
          </cell>
          <cell r="AI56">
            <v>0.0159266520427894</v>
          </cell>
          <cell r="AJ56">
            <v>0.0953334202186626</v>
          </cell>
          <cell r="AK56">
            <v>0.0996346894708997</v>
          </cell>
          <cell r="AL56">
            <v>0.101284823659754</v>
          </cell>
          <cell r="AM56">
            <v>0.137514466872366</v>
          </cell>
          <cell r="AN56">
            <v>0.0737950268648644</v>
          </cell>
          <cell r="AO56">
            <v>0.194089122107588</v>
          </cell>
          <cell r="AP56">
            <v>0.161521074400687</v>
          </cell>
          <cell r="AQ56">
            <v>0.228524872783282</v>
          </cell>
          <cell r="AR56">
            <v>0.132863573204018</v>
          </cell>
          <cell r="AS56">
            <v>-0.00538569883586104</v>
          </cell>
          <cell r="AT56">
            <v>0.025902291157311</v>
          </cell>
          <cell r="AU56">
            <v>-0.00507818680703764</v>
          </cell>
          <cell r="AV56">
            <v>0.111782580654083</v>
          </cell>
          <cell r="AW56">
            <v>0.308681046476117</v>
          </cell>
          <cell r="AX56">
            <v>0.324791647564964</v>
          </cell>
          <cell r="AY56">
            <v>0.333992611724754</v>
          </cell>
          <cell r="AZ56">
            <v>0.165438296209315</v>
          </cell>
          <cell r="BA56">
            <v>-0.0815594725214108</v>
          </cell>
          <cell r="BB56">
            <v>-0.156915465952106</v>
          </cell>
          <cell r="BC56">
            <v>-0.220410433199256</v>
          </cell>
          <cell r="BD56">
            <v>-0.106568428864013</v>
          </cell>
          <cell r="BE56">
            <v>0.025794254031861</v>
          </cell>
          <cell r="BF56">
            <v>0.0495948357909342</v>
          </cell>
        </row>
        <row r="57">
          <cell r="AA57">
            <v>0.148642005175663</v>
          </cell>
          <cell r="AB57">
            <v>-0.0221414976300807</v>
          </cell>
          <cell r="AC57">
            <v>-0.0697077302643865</v>
          </cell>
          <cell r="AD57">
            <v>-0.0440371762080125</v>
          </cell>
          <cell r="AE57">
            <v>0.0345144717896071</v>
          </cell>
          <cell r="AF57">
            <v>0.182895914763116</v>
          </cell>
          <cell r="AG57">
            <v>0.15391322886876</v>
          </cell>
          <cell r="AH57">
            <v>0.0648786977412159</v>
          </cell>
          <cell r="AI57">
            <v>0.0356633107368456</v>
          </cell>
          <cell r="AJ57">
            <v>-0.0293827935006417</v>
          </cell>
          <cell r="AK57">
            <v>-0.0196666408483818</v>
          </cell>
          <cell r="AL57">
            <v>0.0859373154932974</v>
          </cell>
          <cell r="AM57">
            <v>0.16268254642947</v>
          </cell>
          <cell r="AN57">
            <v>0.199219231565025</v>
          </cell>
          <cell r="AO57">
            <v>0.282661959847563</v>
          </cell>
          <cell r="AP57">
            <v>0.326153141312213</v>
          </cell>
          <cell r="AQ57">
            <v>0.572782425597561</v>
          </cell>
          <cell r="AR57">
            <v>0.615146240827085</v>
          </cell>
          <cell r="AS57">
            <v>0.486647791866649</v>
          </cell>
          <cell r="AT57">
            <v>0.287339250856957</v>
          </cell>
          <cell r="AU57">
            <v>-0.0598785358450331</v>
          </cell>
          <cell r="AV57">
            <v>-0.103487121142326</v>
          </cell>
          <cell r="AW57">
            <v>-0.0645989264711745</v>
          </cell>
          <cell r="AX57">
            <v>0.0470608850017107</v>
          </cell>
          <cell r="AY57">
            <v>0.629934641538577</v>
          </cell>
          <cell r="AZ57">
            <v>0.620335601419933</v>
          </cell>
          <cell r="BA57">
            <v>0.62277113257794</v>
          </cell>
          <cell r="BB57">
            <v>0.496247325421636</v>
          </cell>
          <cell r="BC57">
            <v>0.0471039004637333</v>
          </cell>
          <cell r="BD57">
            <v>0.0801532125729527</v>
          </cell>
          <cell r="BE57">
            <v>0.216975101813721</v>
          </cell>
          <cell r="BF57">
            <v>0.226201065561203</v>
          </cell>
        </row>
        <row r="58">
          <cell r="AI58">
            <v>0.0308581316919407</v>
          </cell>
          <cell r="AJ58">
            <v>0.0280972987238641</v>
          </cell>
          <cell r="AK58">
            <v>-0.0525545680486911</v>
          </cell>
          <cell r="AL58">
            <v>-0.0860067832596213</v>
          </cell>
          <cell r="AM58">
            <v>-0.0191011886534949</v>
          </cell>
          <cell r="AN58">
            <v>-0.0610227789642702</v>
          </cell>
          <cell r="AO58">
            <v>0.0380493234966759</v>
          </cell>
          <cell r="AP58">
            <v>0.0562090508753865</v>
          </cell>
          <cell r="AQ58">
            <v>0.0861734677790162</v>
          </cell>
          <cell r="AR58">
            <v>0.0942562174705122</v>
          </cell>
          <cell r="AS58">
            <v>0.016884378762283</v>
          </cell>
          <cell r="AT58">
            <v>-0.022341514347285</v>
          </cell>
          <cell r="AU58">
            <v>-0.0715874665507042</v>
          </cell>
          <cell r="AV58">
            <v>-0.0489008694226756</v>
          </cell>
          <cell r="AW58">
            <v>0.0508972256845244</v>
          </cell>
          <cell r="AX58">
            <v>0.0586012778702838</v>
          </cell>
          <cell r="AY58">
            <v>0.181062988720726</v>
          </cell>
          <cell r="AZ58">
            <v>0.205818576932631</v>
          </cell>
          <cell r="BA58">
            <v>0.146200367600516</v>
          </cell>
          <cell r="BB58">
            <v>0.165326035725583</v>
          </cell>
          <cell r="BC58">
            <v>0.0882718275120609</v>
          </cell>
          <cell r="BD58">
            <v>-0.00145505917899014</v>
          </cell>
          <cell r="BE58">
            <v>0.00019762765466913</v>
          </cell>
          <cell r="BF58">
            <v>0.0358066914675692</v>
          </cell>
        </row>
        <row r="60">
          <cell r="Z60">
            <v>0.205485417914422</v>
          </cell>
          <cell r="AA60">
            <v>-0.0682773830879926</v>
          </cell>
          <cell r="AB60">
            <v>-0.119730129391813</v>
          </cell>
          <cell r="AC60">
            <v>-0.116457528083651</v>
          </cell>
          <cell r="AD60">
            <v>-0.042486601406263</v>
          </cell>
          <cell r="AE60">
            <v>-0.0311445982911684</v>
          </cell>
          <cell r="AF60">
            <v>0.0448486777103911</v>
          </cell>
          <cell r="AG60">
            <v>0.0406716457216294</v>
          </cell>
          <cell r="AH60">
            <v>0.00807393169698134</v>
          </cell>
          <cell r="AI60">
            <v>-0.0121838879544273</v>
          </cell>
          <cell r="AJ60">
            <v>-0.0115606296216844</v>
          </cell>
          <cell r="AK60">
            <v>-0.0290664831160417</v>
          </cell>
          <cell r="AL60">
            <v>-0.0409667457154882</v>
          </cell>
          <cell r="AM60">
            <v>0.0158605169809549</v>
          </cell>
          <cell r="AN60">
            <v>0.0380427023534375</v>
          </cell>
          <cell r="AO60">
            <v>0.0865533913028762</v>
          </cell>
          <cell r="AP60">
            <v>0.0991217371007247</v>
          </cell>
          <cell r="AQ60">
            <v>0.195843606684538</v>
          </cell>
          <cell r="AR60">
            <v>0.160685169578886</v>
          </cell>
          <cell r="AS60">
            <v>0.106903943178461</v>
          </cell>
          <cell r="AT60">
            <v>0.353323243018761</v>
          </cell>
          <cell r="AU60">
            <v>0.476572456379016</v>
          </cell>
          <cell r="AV60">
            <v>0.217157453975562</v>
          </cell>
          <cell r="AW60">
            <v>0.461952128721216</v>
          </cell>
          <cell r="AX60">
            <v>0.207658324595849</v>
          </cell>
          <cell r="AY60">
            <v>0.160127333179825</v>
          </cell>
          <cell r="AZ60">
            <v>0.273092375085982</v>
          </cell>
          <cell r="BA60">
            <v>0.0258062885865589</v>
          </cell>
          <cell r="BB60">
            <v>-0.0619009390850906</v>
          </cell>
          <cell r="BC60">
            <v>-0.239266674473446</v>
          </cell>
          <cell r="BD60">
            <v>-0.152181637882194</v>
          </cell>
          <cell r="BE60">
            <v>-0.0391542643587846</v>
          </cell>
          <cell r="BF60">
            <v>-0.00420259296958225</v>
          </cell>
        </row>
        <row r="61">
          <cell r="AA61">
            <v>-0.123308371003993</v>
          </cell>
          <cell r="AB61">
            <v>-0.055722225053197</v>
          </cell>
          <cell r="AC61">
            <v>-0.0239378902035874</v>
          </cell>
          <cell r="AD61">
            <v>0.0421186420537594</v>
          </cell>
          <cell r="AE61">
            <v>-0.0198354340079436</v>
          </cell>
          <cell r="AF61">
            <v>-0.0790911546741541</v>
          </cell>
          <cell r="AG61">
            <v>-0.0454616745255835</v>
          </cell>
          <cell r="AH61">
            <v>0.0153569560187174</v>
          </cell>
          <cell r="AI61">
            <v>0.0315099436539719</v>
          </cell>
          <cell r="AJ61">
            <v>0.110200793336419</v>
          </cell>
          <cell r="AK61">
            <v>0.0956467029498096</v>
          </cell>
          <cell r="AL61">
            <v>-0.00436950989602791</v>
          </cell>
          <cell r="AM61">
            <v>0.008597074324878</v>
          </cell>
          <cell r="AN61">
            <v>0.0186653706293438</v>
          </cell>
          <cell r="AO61">
            <v>0.0259184640522534</v>
          </cell>
          <cell r="AP61">
            <v>0.0473152588266279</v>
          </cell>
          <cell r="AQ61">
            <v>0.151527779337061</v>
          </cell>
          <cell r="AR61">
            <v>0.105009736409974</v>
          </cell>
          <cell r="AS61">
            <v>0.106887545033816</v>
          </cell>
          <cell r="AT61">
            <v>0.477541904586051</v>
          </cell>
          <cell r="AU61">
            <v>0.795071212152784</v>
          </cell>
          <cell r="AV61">
            <v>0.509067278492475</v>
          </cell>
          <cell r="AW61">
            <v>0.740421945094917</v>
          </cell>
          <cell r="AX61">
            <v>0.375754303973228</v>
          </cell>
          <cell r="AY61">
            <v>0.18656046565244</v>
          </cell>
          <cell r="AZ61">
            <v>0.24725024702282</v>
          </cell>
          <cell r="BA61">
            <v>0.0223839626025522</v>
          </cell>
          <cell r="BB61">
            <v>-0.0472847591739967</v>
          </cell>
          <cell r="BC61">
            <v>-0.213101437972877</v>
          </cell>
          <cell r="BD61">
            <v>-0.130770613678813</v>
          </cell>
          <cell r="BE61">
            <v>-0.0871019933289947</v>
          </cell>
          <cell r="BF61">
            <v>-0.0886326429791915</v>
          </cell>
        </row>
        <row r="75">
          <cell r="AA75">
            <v>116.560710227273</v>
          </cell>
        </row>
        <row r="75">
          <cell r="AE75">
            <v>111.130393411276</v>
          </cell>
        </row>
        <row r="75">
          <cell r="AI75">
            <v>102.652534382284</v>
          </cell>
        </row>
        <row r="75">
          <cell r="AM75">
            <v>129.603662514569</v>
          </cell>
        </row>
        <row r="75">
          <cell r="AQ75">
            <v>140.461670472756</v>
          </cell>
        </row>
        <row r="75">
          <cell r="AU75">
            <v>134.40786509324</v>
          </cell>
        </row>
        <row r="75">
          <cell r="AY75">
            <v>120.327902680653</v>
          </cell>
        </row>
        <row r="75">
          <cell r="BC75">
            <v>126.761461538462</v>
          </cell>
        </row>
        <row r="76">
          <cell r="AA76">
            <v>1.32690896661932</v>
          </cell>
        </row>
        <row r="76">
          <cell r="AE76">
            <v>1.39200917431527</v>
          </cell>
        </row>
        <row r="76">
          <cell r="AI76">
            <v>1.28553307692308</v>
          </cell>
        </row>
        <row r="76">
          <cell r="AM76">
            <v>1.32794221244901</v>
          </cell>
        </row>
        <row r="76">
          <cell r="AQ76">
            <v>1.32907636227054</v>
          </cell>
        </row>
        <row r="76">
          <cell r="AU76">
            <v>1.10998815523019</v>
          </cell>
        </row>
        <row r="76">
          <cell r="AY76">
            <v>1.10646912004662</v>
          </cell>
        </row>
        <row r="76">
          <cell r="BC76">
            <v>1.12992290236686</v>
          </cell>
        </row>
        <row r="77">
          <cell r="G77">
            <v>0.683858430124563</v>
          </cell>
        </row>
        <row r="77">
          <cell r="K77">
            <v>0.681765384615385</v>
          </cell>
        </row>
        <row r="77">
          <cell r="O77">
            <v>0.684561637529138</v>
          </cell>
        </row>
        <row r="77">
          <cell r="S77">
            <v>0.797026576296838</v>
          </cell>
        </row>
        <row r="77">
          <cell r="W77">
            <v>0.89133998361014</v>
          </cell>
        </row>
        <row r="77">
          <cell r="AA77">
            <v>0.858468957149621</v>
          </cell>
        </row>
        <row r="77">
          <cell r="AE77">
            <v>0.867843630354021</v>
          </cell>
        </row>
        <row r="77">
          <cell r="AI77">
            <v>0.81113858974359</v>
          </cell>
        </row>
        <row r="77">
          <cell r="AM77">
            <v>0.849086033653846</v>
          </cell>
        </row>
        <row r="77">
          <cell r="AQ77">
            <v>0.806411954672931</v>
          </cell>
        </row>
        <row r="77">
          <cell r="AU77">
            <v>0.726473229075612</v>
          </cell>
        </row>
        <row r="77">
          <cell r="AY77">
            <v>0.819196028554779</v>
          </cell>
        </row>
        <row r="77">
          <cell r="BC77">
            <v>0.878719076923077</v>
          </cell>
        </row>
        <row r="82">
          <cell r="G82">
            <v>10.1995265996504</v>
          </cell>
        </row>
        <row r="82">
          <cell r="K82">
            <v>10.0119753846154</v>
          </cell>
        </row>
        <row r="82">
          <cell r="O82">
            <v>10.4182988141026</v>
          </cell>
        </row>
        <row r="82">
          <cell r="S82">
            <v>10.2326392482083</v>
          </cell>
        </row>
        <row r="82">
          <cell r="W82">
            <v>9.51805056799971</v>
          </cell>
        </row>
        <row r="82">
          <cell r="AA82">
            <v>8.98128603219697</v>
          </cell>
        </row>
        <row r="82">
          <cell r="AE82">
            <v>8.99933711793415</v>
          </cell>
        </row>
        <row r="82">
          <cell r="AI82">
            <v>8.11033960664336</v>
          </cell>
        </row>
        <row r="82">
          <cell r="AM82">
            <v>8.16424476061699</v>
          </cell>
        </row>
        <row r="82">
          <cell r="AQ82">
            <v>8.18965801027098</v>
          </cell>
        </row>
        <row r="82">
          <cell r="AU82">
            <v>6.97492091592002</v>
          </cell>
        </row>
        <row r="82">
          <cell r="AY82">
            <v>7.3483296969697</v>
          </cell>
        </row>
        <row r="82">
          <cell r="BC82">
            <v>7.63258403846154</v>
          </cell>
        </row>
        <row r="89">
          <cell r="G89">
            <v>3.03812043851981</v>
          </cell>
        </row>
        <row r="89">
          <cell r="K89">
            <v>2.73249980769231</v>
          </cell>
        </row>
        <row r="89">
          <cell r="O89">
            <v>2.66368690850816</v>
          </cell>
        </row>
        <row r="89">
          <cell r="S89">
            <v>2.67550293153985</v>
          </cell>
        </row>
        <row r="89">
          <cell r="W89">
            <v>2.77141821623689</v>
          </cell>
        </row>
        <row r="89">
          <cell r="AA89">
            <v>2.33460454545455</v>
          </cell>
        </row>
        <row r="89">
          <cell r="AE89">
            <v>2.32733085773601</v>
          </cell>
        </row>
        <row r="89">
          <cell r="AI89">
            <v>2.51000071386946</v>
          </cell>
        </row>
        <row r="89">
          <cell r="AM89">
            <v>2.86701591792322</v>
          </cell>
        </row>
        <row r="89">
          <cell r="AQ89">
            <v>3.12334078525641</v>
          </cell>
        </row>
        <row r="89">
          <cell r="AU89">
            <v>3.69560962285111</v>
          </cell>
        </row>
        <row r="89">
          <cell r="AY89">
            <v>3.85961662296037</v>
          </cell>
        </row>
        <row r="89">
          <cell r="BC89">
            <v>3.58454211538462</v>
          </cell>
        </row>
        <row r="90">
          <cell r="W90">
            <v>18.7839553395068</v>
          </cell>
        </row>
        <row r="90">
          <cell r="AA90">
            <v>16.7522020809659</v>
          </cell>
        </row>
        <row r="90">
          <cell r="AE90">
            <v>17.2853406011619</v>
          </cell>
        </row>
        <row r="90">
          <cell r="AI90">
            <v>16.9078725885781</v>
          </cell>
        </row>
        <row r="90">
          <cell r="AM90">
            <v>16.9544990877222</v>
          </cell>
        </row>
        <row r="90">
          <cell r="AQ90">
            <v>17.6711930537405</v>
          </cell>
        </row>
        <row r="90">
          <cell r="AU90">
            <v>17.6039281874454</v>
          </cell>
        </row>
        <row r="90">
          <cell r="AY90">
            <v>20.6648463706294</v>
          </cell>
        </row>
        <row r="90">
          <cell r="BC90">
            <v>21.2886941153846</v>
          </cell>
        </row>
        <row r="92">
          <cell r="G92">
            <v>35.1890122636218</v>
          </cell>
        </row>
        <row r="92">
          <cell r="K92">
            <v>34.1156769230769</v>
          </cell>
        </row>
        <row r="92">
          <cell r="O92">
            <v>35.0154693356643</v>
          </cell>
        </row>
        <row r="92">
          <cell r="S92">
            <v>36.4592889417423</v>
          </cell>
        </row>
        <row r="92">
          <cell r="W92">
            <v>44.1099169105114</v>
          </cell>
        </row>
        <row r="92">
          <cell r="AA92">
            <v>40.2763605705492</v>
          </cell>
        </row>
        <row r="92">
          <cell r="AE92">
            <v>40.873406572516</v>
          </cell>
        </row>
        <row r="92">
          <cell r="AI92">
            <v>39.9054985081585</v>
          </cell>
        </row>
        <row r="92">
          <cell r="AM92">
            <v>42.3046438029939</v>
          </cell>
        </row>
        <row r="92">
          <cell r="AQ92">
            <v>51.0051874007503</v>
          </cell>
        </row>
        <row r="92">
          <cell r="AU92">
            <v>67.994849667468</v>
          </cell>
        </row>
        <row r="92">
          <cell r="AY92">
            <v>74.1525691142191</v>
          </cell>
        </row>
        <row r="92">
          <cell r="BC92">
            <v>65.6270796153846</v>
          </cell>
        </row>
        <row r="93">
          <cell r="S93">
            <v>24.8799885804196</v>
          </cell>
        </row>
        <row r="93">
          <cell r="W93">
            <v>31.7553252744027</v>
          </cell>
        </row>
        <row r="93">
          <cell r="AA93">
            <v>30.3811129256854</v>
          </cell>
        </row>
        <row r="93">
          <cell r="AE93">
            <v>29.4029356786313</v>
          </cell>
        </row>
        <row r="93">
          <cell r="AI93">
            <v>31.0677959778555</v>
          </cell>
        </row>
        <row r="93">
          <cell r="AM93">
            <v>31.8522827468313</v>
          </cell>
        </row>
        <row r="93">
          <cell r="AQ93">
            <v>38.5971936969697</v>
          </cell>
        </row>
        <row r="93">
          <cell r="AU93">
            <v>61.2474579526697</v>
          </cell>
        </row>
        <row r="93">
          <cell r="AY93">
            <v>67.0144026247086</v>
          </cell>
        </row>
        <row r="93">
          <cell r="BC93">
            <v>58.0840131153846</v>
          </cell>
        </row>
        <row r="103">
          <cell r="AA103">
            <v>-0.105342809430253</v>
          </cell>
        </row>
        <row r="103">
          <cell r="AE103">
            <v>-0.046587883733793</v>
          </cell>
        </row>
        <row r="103">
          <cell r="AI103">
            <v>-0.0762874922760021</v>
          </cell>
        </row>
        <row r="104">
          <cell r="W104">
            <v>-0.0531259711874599</v>
          </cell>
        </row>
        <row r="104">
          <cell r="AA104">
            <v>-0.0476943438291936</v>
          </cell>
        </row>
        <row r="104">
          <cell r="AE104">
            <v>0.049061547802945</v>
          </cell>
        </row>
        <row r="104">
          <cell r="AI104">
            <v>-0.0764909451437824</v>
          </cell>
        </row>
        <row r="105">
          <cell r="AA105">
            <v>-0.036878213773585</v>
          </cell>
        </row>
        <row r="105">
          <cell r="AE105">
            <v>0.0109202238780146</v>
          </cell>
        </row>
        <row r="105">
          <cell r="AI105">
            <v>-0.0653401587879365</v>
          </cell>
        </row>
        <row r="110">
          <cell r="AA110">
            <v>-0.0563943773956583</v>
          </cell>
        </row>
        <row r="110">
          <cell r="AE110">
            <v>0.00200985534504361</v>
          </cell>
        </row>
        <row r="110">
          <cell r="AI110">
            <v>-0.0987847771053239</v>
          </cell>
        </row>
        <row r="117">
          <cell r="AA117">
            <v>-0.157613769088759</v>
          </cell>
        </row>
        <row r="117">
          <cell r="AE117">
            <v>-0.00311559734289624</v>
          </cell>
        </row>
        <row r="117">
          <cell r="AI117">
            <v>0.0784889933144906</v>
          </cell>
        </row>
        <row r="118">
          <cell r="AI118">
            <v>-0.0218374645483351</v>
          </cell>
        </row>
        <row r="120">
          <cell r="W120">
            <v>0.209840295596379</v>
          </cell>
        </row>
        <row r="120">
          <cell r="AA120">
            <v>-0.0869091716436353</v>
          </cell>
        </row>
        <row r="120">
          <cell r="AE120">
            <v>0.0148237326687197</v>
          </cell>
        </row>
        <row r="120">
          <cell r="AI120">
            <v>-0.0236806311370277</v>
          </cell>
        </row>
        <row r="121">
          <cell r="AA121">
            <v>-0.0432750203892566</v>
          </cell>
        </row>
        <row r="121">
          <cell r="AE121">
            <v>-0.032196886580385</v>
          </cell>
        </row>
        <row r="121">
          <cell r="AI121">
            <v>0.0566222474320537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_PUMG.DE"/>
      <sheetName val="Cover Sheet"/>
      <sheetName val="Sheet2"/>
      <sheetName val="Sheet1"/>
      <sheetName val="AFOSHEET"/>
      <sheetName val="P&amp;L"/>
      <sheetName val="Quarterly"/>
      <sheetName val="Worksheet"/>
      <sheetName val="Balance Sheet &amp; Cash Flow"/>
      <sheetName val="Stat Ab"/>
      <sheetName val="DCF"/>
      <sheetName val="PUMG.DE_Exchange_Sheet"/>
      <sheetName val="GSe vs Cons"/>
      <sheetName val="Sheet3"/>
      <sheetName val="DCF_scenarios"/>
      <sheetName val="Macro sensitivity"/>
      <sheetName val="Ccy vs CO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86">
          <cell r="IZ386">
            <v>183.6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Sheet2"/>
      <sheetName val="Sheet1"/>
      <sheetName val="Profit and Loss"/>
      <sheetName val="Interim"/>
      <sheetName val="Worksheet"/>
      <sheetName val="Balance Sheet &amp; Cash Flow"/>
      <sheetName val="ADSGn.DE_Exchange_Sheet"/>
      <sheetName val="DCF"/>
      <sheetName val="Stat Ab"/>
      <sheetName val="Macro sensitivity"/>
      <sheetName val="LFL GP"/>
      <sheetName val="Profit and Loss OLd"/>
      <sheetName val="Preview(old)"/>
      <sheetName val="Sales &amp; stores"/>
      <sheetName val="Cost split"/>
      <sheetName val="GSe vs Cons"/>
      <sheetName val="_ADSG.DE"/>
      <sheetName val="ADSGn.DE_Live_Sheet"/>
      <sheetName val="ADSGn.DE_Validation_Sheet"/>
      <sheetName val="ADSGn.DE_Annotation_Sheet"/>
    </sheetNames>
    <sheetDataSet>
      <sheetData sheetId="0"/>
      <sheetData sheetId="1"/>
      <sheetData sheetId="2"/>
      <sheetData sheetId="3">
        <row r="325">
          <cell r="AE325">
            <v>23033</v>
          </cell>
          <cell r="AF325">
            <v>24811</v>
          </cell>
          <cell r="AG325">
            <v>26411.4457815415</v>
          </cell>
          <cell r="AH325">
            <v>28438.9894344976</v>
          </cell>
          <cell r="AI325">
            <v>30444.5209291901</v>
          </cell>
        </row>
        <row r="325">
          <cell r="AK325">
            <v>34187.8065885808</v>
          </cell>
        </row>
        <row r="329">
          <cell r="AE329">
            <v>0.13754569060045</v>
          </cell>
          <cell r="AF329">
            <v>0.128168148743108</v>
          </cell>
          <cell r="AG329">
            <v>0.0996900568296319</v>
          </cell>
          <cell r="AH329">
            <v>0.073674227167075</v>
          </cell>
          <cell r="AI329">
            <v>0.0705204908673607</v>
          </cell>
        </row>
        <row r="329">
          <cell r="AK329">
            <v>0.059704221733401</v>
          </cell>
        </row>
      </sheetData>
      <sheetData sheetId="4"/>
      <sheetData sheetId="5"/>
      <sheetData sheetId="6"/>
      <sheetData sheetId="7"/>
      <sheetData sheetId="8">
        <row r="34">
          <cell r="O34">
            <v>0.0596865677438545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ver"/>
      <sheetName val="Income Statement"/>
      <sheetName val="Segment Analysis"/>
      <sheetName val="Cash Flow"/>
      <sheetName val="Balance Sheet"/>
      <sheetName val="Debt"/>
      <sheetName val="Summary model"/>
    </sheetNames>
    <sheetDataSet>
      <sheetData sheetId="0"/>
      <sheetData sheetId="1"/>
      <sheetData sheetId="2"/>
      <sheetData sheetId="3">
        <row r="16">
          <cell r="AQ16">
            <v>0.14</v>
          </cell>
        </row>
        <row r="22">
          <cell r="AV22">
            <v>0.122466259272573</v>
          </cell>
        </row>
        <row r="22">
          <cell r="BA22">
            <v>0.0801704966641957</v>
          </cell>
        </row>
        <row r="22">
          <cell r="BF22">
            <v>0.0347167394468705</v>
          </cell>
        </row>
        <row r="22">
          <cell r="BK22">
            <v>0.109377146468116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GIR Product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GIR Product">
      <a:majorFont>
        <a:latin typeface="Univers LT Std 65 Bold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Univers LT Std 55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IR Produc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ben.williams@gs.com" TargetMode="External"/><Relationship Id="rId4" Type="http://schemas.openxmlformats.org/officeDocument/2006/relationships/hyperlink" Target="https://publishing.gs.com/content/research/authors/72785129-f9c2-449e-809a-acbbefc7a059.html" TargetMode="External"/><Relationship Id="rId3" Type="http://schemas.openxmlformats.org/officeDocument/2006/relationships/hyperlink" Target="mailto:Richard.Edwards@gs.com" TargetMode="External"/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customProperty" Target="../customProperty6.bin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customProperty" Target="../customProperty7.bin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customProperty" Target="../customProperty9.bin"/><Relationship Id="rId4" Type="http://schemas.openxmlformats.org/officeDocument/2006/relationships/customProperty" Target="../customProperty8.bin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customProperty" Target="../customProperty17.bin"/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customProperty" Target="../customProperty18.bin"/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2" Type="http://schemas.openxmlformats.org/officeDocument/2006/relationships/customProperty" Target="../customProperty21.bin"/><Relationship Id="rId1" Type="http://schemas.openxmlformats.org/officeDocument/2006/relationships/customProperty" Target="../customProperty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F29"/>
  <sheetViews>
    <sheetView workbookViewId="0">
      <selection activeCell="A1" sqref="A1"/>
    </sheetView>
  </sheetViews>
  <sheetFormatPr defaultColWidth="23.2857142857143" defaultRowHeight="13.6" outlineLevelCol="5"/>
  <cols>
    <col min="1" max="1" width="16.1428571428571" style="2112" customWidth="1"/>
    <col min="2" max="2" width="26.8571428571429" style="2112" customWidth="1"/>
    <col min="3" max="3" width="34.2857142857143" style="2112" customWidth="1"/>
    <col min="4" max="16384" width="23.2857142857143" style="2112"/>
  </cols>
  <sheetData>
    <row r="1" spans="2:3">
      <c r="B1" s="2113"/>
    </row>
    <row r="3" s="2110" customFormat="1"/>
    <row r="4" s="2110" customFormat="1" ht="31.6" spans="2:3">
      <c r="C4" s="2114" t="s">
        <v>0</v>
      </c>
    </row>
    <row r="5" s="2110" customFormat="1" ht="20.4" spans="2:3">
      <c r="C5" s="2115" t="s">
        <v>1</v>
      </c>
    </row>
    <row r="6" s="2110" customFormat="1"/>
    <row r="7" s="2110" customFormat="1"/>
    <row r="8" s="2110" customFormat="1"/>
    <row r="9" s="2110" customFormat="1"/>
    <row r="10" s="2110" customFormat="1"/>
    <row r="11" s="2111" customFormat="1"/>
    <row r="13" spans="2:3">
      <c r="B13" s="2116" t="s">
        <v>2</v>
      </c>
    </row>
    <row r="14" spans="2:3">
      <c r="B14" s="2117"/>
    </row>
    <row r="15" ht="12" customHeight="1"/>
    <row r="16" ht="12" customHeight="1" spans="2:3">
      <c r="B16" s="2117" t="s">
        <v>3</v>
      </c>
    </row>
    <row r="17" ht="12" customHeight="1" spans="2:6">
      <c r="B17" s="2118" t="s">
        <v>4</v>
      </c>
    </row>
    <row r="18" ht="15.2" spans="2:6">
      <c r="B18" s="2119" t="s">
        <v>5</v>
      </c>
    </row>
    <row r="19" ht="15.6" spans="2:6">
      <c r="B19" s="2125" t="s">
        <v>6</v>
      </c>
      <c r="F19" s="2121"/>
    </row>
    <row r="20" ht="15.6" spans="2:6">
      <c r="B20" s="2122"/>
      <c r="F20" s="2123"/>
    </row>
    <row r="21" ht="15.6" spans="2:6">
      <c r="B21" s="2117" t="s">
        <v>7</v>
      </c>
      <c r="F21" s="2121"/>
    </row>
    <row r="22" ht="15.6" spans="2:6">
      <c r="B22" s="2118" t="s">
        <v>8</v>
      </c>
      <c r="F22" s="2121"/>
    </row>
    <row r="23" ht="15.2" spans="2:6">
      <c r="B23" s="2119" t="s">
        <v>9</v>
      </c>
    </row>
    <row r="24" ht="15.2" spans="2:6">
      <c r="B24" s="2125" t="s">
        <v>10</v>
      </c>
    </row>
    <row r="25" ht="12" customHeight="1" spans="2:6">
      <c r="B25" s="2120"/>
    </row>
    <row r="26" spans="2:6">
      <c r="B26" s="2117" t="s">
        <v>11</v>
      </c>
    </row>
    <row r="27" spans="2:6">
      <c r="B27" s="2118" t="s">
        <v>8</v>
      </c>
    </row>
    <row r="28" ht="15.2" spans="2:6">
      <c r="B28" s="2119" t="s">
        <v>12</v>
      </c>
    </row>
    <row r="29" spans="2:6">
      <c r="B29" s="2126" t="s">
        <v>13</v>
      </c>
    </row>
  </sheetData>
  <hyperlinks>
    <hyperlink ref="B18" r:id="rId3" display="Richard.Edwards@gs.com"/>
    <hyperlink ref="B21" r:id="rId4" display="Ben Williams"/>
    <hyperlink ref="B23" r:id="rId5" display="ben.williams@gs.com"/>
  </hyperlinks>
  <pageMargins left="0.7" right="0.7" top="0.75" bottom="0.75" header="0.3" footer="0.3"/>
  <pageSetup paperSize="9" orientation="portrait"/>
  <headerFooter/>
  <customProperties>
    <customPr name="Qube.Worksheet.Visibility" r:id="rId2"/>
  </customPropertie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"/>
  <sheetViews>
    <sheetView workbookViewId="0">
      <selection activeCell="A1" sqref="A1"/>
    </sheetView>
  </sheetViews>
  <sheetFormatPr defaultColWidth="9" defaultRowHeight="15.2"/>
  <sheetData/>
  <pageMargins left="0.7" right="0.7" top="0.75" bottom="0.75" header="0.3" footer="0.3"/>
  <pageSetup paperSize="9" orientation="portrait"/>
  <headerFooter/>
  <customProperties>
    <customPr name="Qube.Worksheet.Visibilit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"/>
  <sheetViews>
    <sheetView workbookViewId="0">
      <selection activeCell="A1" sqref="A1"/>
    </sheetView>
  </sheetViews>
  <sheetFormatPr defaultColWidth="9" defaultRowHeight="15.2"/>
  <cols>
    <col min="6" max="9" width="72.2857142857143" style="2107" customWidth="1"/>
    <col min="10" max="10" width="79.2857142857143" style="2107" customWidth="1"/>
    <col min="11" max="11" width="83.2857142857143" style="2107" customWidth="1"/>
    <col min="12" max="13" width="72.2857142857143" style="2107" customWidth="1"/>
    <col min="14" max="17" width="78.7142857142857" style="2108" customWidth="1"/>
    <col min="18" max="18" width="87" style="2108" customWidth="1"/>
    <col min="19" max="21" width="79.2857142857143" style="2108" customWidth="1"/>
    <col min="22" max="24" width="78.7142857142857" style="2109" customWidth="1"/>
    <col min="25" max="25" width="173.285714285714" style="2108" customWidth="1"/>
    <col min="26" max="26" width="80.2857142857143" style="2108" customWidth="1"/>
    <col min="27" max="27" width="76.2857142857143" style="2108" customWidth="1"/>
    <col min="28" max="29" width="78.7142857142857" style="2108" customWidth="1"/>
    <col min="30" max="30" width="77.7142857142857" style="2108" customWidth="1"/>
    <col min="31" max="31" width="76.2857142857143" style="2108" customWidth="1"/>
    <col min="32" max="34" width="72.2857142857143" style="2107" customWidth="1"/>
    <col min="35" max="36" width="77.7142857142857" style="2108" customWidth="1"/>
    <col min="37" max="37" width="84.7142857142857" style="2108" customWidth="1"/>
    <col min="38" max="38" width="84.7142857142857" style="2107" customWidth="1"/>
    <col min="39" max="41" width="84.7142857142857" style="2108" customWidth="1"/>
    <col min="42" max="42" width="77.7142857142857" style="2108" customWidth="1"/>
    <col min="43" max="43" width="76.2857142857143" style="2108" customWidth="1"/>
    <col min="44" max="46" width="72.2857142857143" style="2107" customWidth="1"/>
    <col min="47" max="48" width="77.7142857142857" style="2108" customWidth="1"/>
    <col min="49" max="49" width="84.7142857142857" style="2108" customWidth="1"/>
    <col min="50" max="50" width="84.7142857142857" style="2107" customWidth="1"/>
    <col min="51" max="53" width="84.7142857142857" style="2108" customWidth="1"/>
  </cols>
  <sheetData/>
  <pageMargins left="0.7" right="0.7" top="0.75" bottom="0.75" header="0.3" footer="0.3"/>
  <pageSetup paperSize="9" orientation="portrait"/>
  <headerFooter/>
  <customProperties>
    <customPr name="Qube.Worksheet.Visibility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pageSetUpPr fitToPage="1"/>
  </sheetPr>
  <dimension ref="A1:GX580"/>
  <sheetViews>
    <sheetView showGridLines="0" zoomScale="85" zoomScaleNormal="85" zoomScaleSheetLayoutView="70" workbookViewId="0">
      <pane xSplit="1" ySplit="2" topLeftCell="AA380" activePane="bottomRight" state="frozen"/>
      <selection/>
      <selection pane="topRight"/>
      <selection pane="bottomLeft"/>
      <selection pane="bottomRight" activeCell="AH417" sqref="AH417"/>
    </sheetView>
  </sheetViews>
  <sheetFormatPr defaultColWidth="66.2857142857143" defaultRowHeight="15" customHeight="1"/>
  <cols>
    <col min="1" max="1" width="37.8571428571429" style="1686" customWidth="1"/>
    <col min="2" max="10" width="12.7142857142857" style="1687" hidden="1" customWidth="1" outlineLevel="1"/>
    <col min="11" max="11" width="12.7142857142857" style="1687" hidden="1" customWidth="1" outlineLevel="1" collapsed="1"/>
    <col min="12" max="12" width="12.7142857142857" style="1688" hidden="1" customWidth="1" collapsed="1"/>
    <col min="13" max="16" width="12.7142857142857" style="1688" hidden="1" customWidth="1"/>
    <col min="17" max="17" width="18.1428571428571" style="1688" hidden="1" customWidth="1"/>
    <col min="18" max="18" width="16.7142857142857" style="1688" hidden="1" customWidth="1"/>
    <col min="19" max="19" width="14.5714285714286" style="1688" hidden="1" customWidth="1"/>
    <col min="20" max="26" width="10.2857142857143" style="1688" hidden="1" customWidth="1"/>
    <col min="27" max="27" width="10.7142857142857" style="1688" hidden="1" customWidth="1"/>
    <col min="28" max="28" width="10.7142857142857" style="1688" customWidth="1"/>
    <col min="29" max="29" width="11.1428571428571" style="1688" customWidth="1"/>
    <col min="30" max="30" width="10.7142857142857" style="1688" customWidth="1"/>
    <col min="31" max="31" width="11.7142857142857" style="1688" customWidth="1"/>
    <col min="32" max="32" width="10.5714285714286" style="1689" customWidth="1"/>
    <col min="33" max="36" width="10.5714285714286" style="1688" customWidth="1"/>
    <col min="37" max="37" width="11.4285714285714" style="1688" customWidth="1"/>
    <col min="38" max="38" width="9.71428571428571" style="1688" customWidth="1"/>
    <col min="39" max="45" width="15.7142857142857" style="1688" customWidth="1"/>
    <col min="46" max="48" width="15.7142857142857" style="1690" customWidth="1"/>
    <col min="49" max="49" width="15.7142857142857" style="1691" customWidth="1"/>
    <col min="50" max="54" width="15.7142857142857" style="1686" customWidth="1"/>
    <col min="55" max="62" width="81.7142857142857" style="1686" customWidth="1"/>
    <col min="63" max="16384" width="66.2857142857143" style="1686"/>
  </cols>
  <sheetData>
    <row r="1" customHeight="1" spans="1:65">
      <c r="A1" s="1692">
        <f ca="1">TODAY()</f>
        <v>46294</v>
      </c>
      <c r="B1" s="1693" t="s">
        <v>14</v>
      </c>
      <c r="C1" s="1693" t="s">
        <v>15</v>
      </c>
      <c r="D1" s="1693" t="s">
        <v>16</v>
      </c>
      <c r="E1" s="1693" t="s">
        <v>17</v>
      </c>
      <c r="F1" s="1693" t="s">
        <v>18</v>
      </c>
      <c r="G1" s="1693" t="s">
        <v>19</v>
      </c>
      <c r="H1" s="1693" t="s">
        <v>20</v>
      </c>
      <c r="I1" s="1693" t="s">
        <v>21</v>
      </c>
      <c r="J1" s="1693" t="s">
        <v>22</v>
      </c>
      <c r="K1" s="1693" t="s">
        <v>23</v>
      </c>
      <c r="L1" s="1694" t="s">
        <v>24</v>
      </c>
      <c r="M1" s="1694" t="s">
        <v>25</v>
      </c>
      <c r="N1" s="1694" t="s">
        <v>26</v>
      </c>
      <c r="O1" s="1694" t="s">
        <v>27</v>
      </c>
      <c r="P1" s="1694" t="s">
        <v>28</v>
      </c>
      <c r="Q1" s="1694" t="s">
        <v>29</v>
      </c>
      <c r="R1" s="1694" t="s">
        <v>30</v>
      </c>
      <c r="S1" s="1694" t="s">
        <v>31</v>
      </c>
      <c r="T1" s="1694" t="s">
        <v>32</v>
      </c>
      <c r="U1" s="1694" t="s">
        <v>33</v>
      </c>
      <c r="V1" s="1694" t="s">
        <v>34</v>
      </c>
      <c r="W1" s="1694" t="s">
        <v>35</v>
      </c>
      <c r="X1" s="1694" t="s">
        <v>36</v>
      </c>
      <c r="Y1" s="1694" t="s">
        <v>37</v>
      </c>
      <c r="Z1" s="1694" t="s">
        <v>38</v>
      </c>
      <c r="AA1" s="1694" t="s">
        <v>39</v>
      </c>
      <c r="AB1" s="1694" t="s">
        <v>40</v>
      </c>
      <c r="AC1" s="1694" t="s">
        <v>41</v>
      </c>
      <c r="AD1" s="1694" t="s">
        <v>42</v>
      </c>
      <c r="AE1" s="1694" t="s">
        <v>43</v>
      </c>
      <c r="AF1" s="1695" t="s">
        <v>44</v>
      </c>
      <c r="AG1" s="1694" t="s">
        <v>45</v>
      </c>
      <c r="AH1" s="1694" t="s">
        <v>46</v>
      </c>
      <c r="AI1" s="1694" t="s">
        <v>47</v>
      </c>
      <c r="AJ1" s="1694" t="s">
        <v>48</v>
      </c>
      <c r="AK1" s="1694" t="s">
        <v>49</v>
      </c>
      <c r="AL1" s="1694"/>
      <c r="AM1" s="1696"/>
      <c r="AN1" s="1696"/>
      <c r="AO1" s="1696"/>
      <c r="AP1" s="1696"/>
      <c r="AQ1" s="1696"/>
      <c r="AR1" s="1696"/>
      <c r="AS1" s="1696"/>
      <c r="AT1" s="1696"/>
      <c r="AU1" s="1696"/>
    </row>
    <row r="2" customHeight="1" spans="1:65">
      <c r="A2" s="1697" t="s">
        <v>50</v>
      </c>
      <c r="B2" s="1693"/>
      <c r="C2" s="1693"/>
      <c r="D2" s="1693"/>
      <c r="E2" s="1693"/>
      <c r="F2" s="1693"/>
      <c r="G2" s="1693"/>
      <c r="H2" s="1693"/>
      <c r="I2" s="1693"/>
      <c r="J2" s="1693"/>
      <c r="K2" s="1693"/>
      <c r="L2" s="1698" t="s">
        <v>51</v>
      </c>
      <c r="M2" s="1698" t="s">
        <v>51</v>
      </c>
      <c r="N2" s="1698" t="s">
        <v>51</v>
      </c>
      <c r="O2" s="1698" t="s">
        <v>51</v>
      </c>
      <c r="P2" s="1698" t="s">
        <v>51</v>
      </c>
      <c r="Q2" s="1698" t="s">
        <v>51</v>
      </c>
      <c r="R2" s="1698" t="s">
        <v>51</v>
      </c>
      <c r="S2" s="1698" t="s">
        <v>51</v>
      </c>
      <c r="T2" s="1698" t="s">
        <v>51</v>
      </c>
      <c r="U2" s="1698" t="s">
        <v>51</v>
      </c>
      <c r="V2" s="1698" t="s">
        <v>51</v>
      </c>
      <c r="W2" s="1698" t="s">
        <v>51</v>
      </c>
      <c r="X2" s="1698" t="s">
        <v>51</v>
      </c>
      <c r="Y2" s="1698" t="s">
        <v>51</v>
      </c>
      <c r="Z2" s="1698" t="s">
        <v>51</v>
      </c>
      <c r="AA2" s="1698" t="s">
        <v>51</v>
      </c>
      <c r="AB2" s="1698" t="s">
        <v>51</v>
      </c>
      <c r="AC2" s="1698" t="s">
        <v>51</v>
      </c>
      <c r="AD2" s="1698" t="s">
        <v>51</v>
      </c>
      <c r="AE2" s="1698" t="s">
        <v>51</v>
      </c>
      <c r="AF2" s="1699" t="s">
        <v>51</v>
      </c>
      <c r="AG2" s="1698" t="s">
        <v>51</v>
      </c>
      <c r="AH2" s="1698" t="s">
        <v>51</v>
      </c>
      <c r="AI2" s="1698" t="s">
        <v>51</v>
      </c>
      <c r="AJ2" s="1698" t="s">
        <v>51</v>
      </c>
      <c r="AK2" s="1698" t="s">
        <v>51</v>
      </c>
      <c r="AL2" s="1698"/>
      <c r="AM2" s="1700"/>
      <c r="AN2" s="1700"/>
      <c r="AO2" s="1696"/>
      <c r="AP2" s="1696"/>
      <c r="AQ2" s="1696"/>
      <c r="AR2" s="1696"/>
      <c r="AS2" s="1696"/>
      <c r="AT2" s="1696"/>
      <c r="AU2" s="1696"/>
    </row>
    <row r="3" customHeight="1" spans="1:65">
      <c r="AT3" s="1688"/>
      <c r="AU3" s="1686"/>
      <c r="AV3" s="1686"/>
      <c r="AW3" s="1686"/>
      <c r="BC3" s="1688"/>
      <c r="BD3" s="1690"/>
      <c r="BE3" s="1690"/>
      <c r="BF3" s="1690"/>
      <c r="BG3" s="1691"/>
    </row>
    <row r="4" customHeight="1" spans="1:65">
      <c r="A4" s="1697" t="s">
        <v>52</v>
      </c>
      <c r="B4" s="1701"/>
      <c r="C4" s="1701"/>
      <c r="D4" s="1701"/>
      <c r="E4" s="1701"/>
      <c r="F4" s="1701"/>
      <c r="G4" s="1701"/>
      <c r="H4" s="1701"/>
      <c r="I4" s="1701"/>
      <c r="J4" s="1701"/>
      <c r="K4" s="1701"/>
      <c r="L4" s="1694"/>
      <c r="M4" s="1694"/>
      <c r="N4" s="1694"/>
      <c r="O4" s="1694"/>
      <c r="P4" s="1694"/>
      <c r="Q4" s="1694"/>
      <c r="R4" s="1694"/>
      <c r="S4" s="1694"/>
      <c r="T4" s="1694" t="s">
        <v>32</v>
      </c>
      <c r="U4" s="1694" t="s">
        <v>33</v>
      </c>
      <c r="V4" s="1694" t="s">
        <v>34</v>
      </c>
      <c r="W4" s="1694" t="s">
        <v>35</v>
      </c>
      <c r="X4" s="1694" t="s">
        <v>36</v>
      </c>
      <c r="Y4" s="1694" t="s">
        <v>37</v>
      </c>
      <c r="Z4" s="1694" t="s">
        <v>38</v>
      </c>
      <c r="AA4" s="1694" t="s">
        <v>39</v>
      </c>
      <c r="AB4" s="1694" t="s">
        <v>40</v>
      </c>
      <c r="AC4" s="1694" t="s">
        <v>41</v>
      </c>
      <c r="AD4" s="1694" t="s">
        <v>42</v>
      </c>
      <c r="AE4" s="1694" t="str">
        <f>AE1</f>
        <v>FY 24</v>
      </c>
      <c r="AF4" s="1695" t="str">
        <f>AF1</f>
        <v>FY 25</v>
      </c>
      <c r="AG4" s="1694" t="str">
        <f t="shared" ref="AG4:AI4" si="0">AG1</f>
        <v>FY 26E</v>
      </c>
      <c r="AH4" s="1694" t="str">
        <f t="shared" si="0"/>
        <v>FY 27E</v>
      </c>
      <c r="AI4" s="1694" t="str">
        <f t="shared" si="0"/>
        <v>FY 28E</v>
      </c>
      <c r="AJ4" s="1694" t="str">
        <f t="shared" ref="AJ4:AK4" si="1">AJ1</f>
        <v>FY 29E</v>
      </c>
      <c r="AK4" s="1694" t="str">
        <f t="shared" si="1"/>
        <v>FY 30E</v>
      </c>
      <c r="AL4" s="1694"/>
      <c r="AO4" s="1694" t="s">
        <v>31</v>
      </c>
      <c r="AP4" s="1694" t="s">
        <v>32</v>
      </c>
      <c r="AQ4" s="1694" t="s">
        <v>33</v>
      </c>
      <c r="AR4" s="1694" t="s">
        <v>34</v>
      </c>
      <c r="AS4" s="1695" t="s">
        <v>35</v>
      </c>
      <c r="AT4" s="1694" t="s">
        <v>53</v>
      </c>
      <c r="AU4" s="1694" t="s">
        <v>54</v>
      </c>
      <c r="AV4" s="1694" t="s">
        <v>55</v>
      </c>
      <c r="AW4" s="1694" t="s">
        <v>39</v>
      </c>
      <c r="AX4" s="1694" t="s">
        <v>40</v>
      </c>
      <c r="AY4" s="1694" t="s">
        <v>56</v>
      </c>
      <c r="AZ4" s="1694" t="s">
        <v>57</v>
      </c>
      <c r="BA4" s="1694" t="s">
        <v>58</v>
      </c>
      <c r="BB4" s="1694" t="s">
        <v>59</v>
      </c>
      <c r="BC4" s="1688"/>
      <c r="BD4" s="1690"/>
      <c r="BE4" s="1690"/>
      <c r="BF4" s="1690"/>
      <c r="BG4" s="1691"/>
    </row>
    <row r="5" s="1673" customFormat="1" customHeight="1" spans="1:65">
      <c r="A5" s="1673" t="s">
        <v>60</v>
      </c>
      <c r="B5" s="1702"/>
      <c r="C5" s="1702"/>
      <c r="D5" s="1702"/>
      <c r="E5" s="1702"/>
      <c r="F5" s="1702"/>
      <c r="G5" s="1702"/>
      <c r="H5" s="1702"/>
      <c r="I5" s="1702"/>
      <c r="J5" s="1702"/>
      <c r="K5" s="1702"/>
      <c r="L5" s="1703"/>
      <c r="M5" s="1703">
        <f>M9*M$32</f>
        <v>8571.4</v>
      </c>
      <c r="N5" s="1703">
        <f>N9*N32</f>
        <v>8548.17</v>
      </c>
      <c r="O5" s="1703">
        <v>7758</v>
      </c>
      <c r="P5" s="1703">
        <v>7164</v>
      </c>
      <c r="Q5" s="1703">
        <v>8181</v>
      </c>
      <c r="R5" s="1703">
        <v>8971</v>
      </c>
      <c r="S5" s="1703">
        <f>+Interim!EO5</f>
        <v>9533</v>
      </c>
      <c r="T5" s="1703">
        <f>Interim!EW5</f>
        <v>9100</v>
      </c>
      <c r="U5" s="1703">
        <v>9376</v>
      </c>
      <c r="V5" s="1703">
        <f t="shared" ref="V5:AA5" si="2">V32-V27-V10</f>
        <v>11227</v>
      </c>
      <c r="W5" s="1703">
        <f t="shared" si="2"/>
        <v>12812</v>
      </c>
      <c r="X5" s="1703">
        <f t="shared" si="2"/>
        <v>14617</v>
      </c>
      <c r="Y5" s="1703">
        <f t="shared" si="2"/>
        <v>14596</v>
      </c>
      <c r="Z5" s="1703">
        <f t="shared" si="2"/>
        <v>15222</v>
      </c>
      <c r="AA5" s="1703">
        <f t="shared" si="2"/>
        <v>11237</v>
      </c>
      <c r="AB5" s="1703">
        <f t="shared" ref="AB5:AG5" si="3">AB32-AB27-AB10</f>
        <v>12796.0030336626</v>
      </c>
      <c r="AC5" s="1703">
        <f t="shared" si="3"/>
        <v>13523</v>
      </c>
      <c r="AD5" s="1703">
        <f t="shared" si="3"/>
        <v>11792</v>
      </c>
      <c r="AE5" s="1703">
        <f t="shared" si="3"/>
        <v>13439</v>
      </c>
      <c r="AF5" s="1704">
        <f t="shared" si="3"/>
        <v>14808</v>
      </c>
      <c r="AG5" s="1703">
        <f t="shared" si="3"/>
        <v>16372.9626240683</v>
      </c>
      <c r="AH5" s="1703">
        <f t="shared" ref="AH5" si="4">AH32-AH27-AH10</f>
        <v>17593.791044557</v>
      </c>
      <c r="AI5" s="1703">
        <f t="shared" ref="AI5:AJ5" si="5">AI32-AI27-AI10</f>
        <v>18769.7897270003</v>
      </c>
      <c r="AJ5" s="1703">
        <f t="shared" si="5"/>
        <v>19769.7575467396</v>
      </c>
      <c r="AK5" s="1703">
        <f t="shared" ref="AK5" si="6">AK32-AK27-AK10</f>
        <v>20822.778337874</v>
      </c>
      <c r="AL5" s="1703"/>
      <c r="AN5" s="1688" t="s">
        <v>60</v>
      </c>
      <c r="AO5" s="1688">
        <f t="shared" ref="AO5:BB5" si="7">S5</f>
        <v>9533</v>
      </c>
      <c r="AP5" s="1688">
        <f t="shared" si="7"/>
        <v>9100</v>
      </c>
      <c r="AQ5" s="1688">
        <f t="shared" si="7"/>
        <v>9376</v>
      </c>
      <c r="AR5" s="1688">
        <f t="shared" si="7"/>
        <v>11227</v>
      </c>
      <c r="AS5" s="1688">
        <f t="shared" si="7"/>
        <v>12812</v>
      </c>
      <c r="AT5" s="1688">
        <f t="shared" si="7"/>
        <v>14617</v>
      </c>
      <c r="AU5" s="1688">
        <f t="shared" si="7"/>
        <v>14596</v>
      </c>
      <c r="AV5" s="1688">
        <f t="shared" si="7"/>
        <v>15222</v>
      </c>
      <c r="AW5" s="1688">
        <f t="shared" si="7"/>
        <v>11237</v>
      </c>
      <c r="AX5" s="1688">
        <f t="shared" si="7"/>
        <v>12796.0030336626</v>
      </c>
      <c r="AY5" s="1688">
        <f t="shared" si="7"/>
        <v>13523</v>
      </c>
      <c r="AZ5" s="1688">
        <f t="shared" si="7"/>
        <v>11792</v>
      </c>
      <c r="BA5" s="1688">
        <f t="shared" si="7"/>
        <v>13439</v>
      </c>
      <c r="BB5" s="1688">
        <f t="shared" si="7"/>
        <v>14808</v>
      </c>
      <c r="BC5" s="1703"/>
      <c r="BD5" s="1705"/>
      <c r="BE5" s="1706"/>
      <c r="BF5" s="1706"/>
      <c r="BG5" s="1707"/>
    </row>
    <row r="6" customHeight="1" spans="1:65">
      <c r="A6" s="1708" t="s">
        <v>61</v>
      </c>
      <c r="L6" s="1246"/>
      <c r="M6" s="1246"/>
      <c r="N6" s="1246">
        <f>N5/M5-1</f>
        <v>-0.00271017570058563</v>
      </c>
      <c r="O6" s="1246">
        <f>O5/N5-1</f>
        <v>-0.0924373286914041</v>
      </c>
      <c r="P6" s="1246">
        <f>P5/O5-1</f>
        <v>-0.0765661252900232</v>
      </c>
      <c r="Q6" s="1709">
        <f>Q5/P5-1</f>
        <v>0.141959798994975</v>
      </c>
      <c r="R6" s="1709">
        <f>R5/Q5-1</f>
        <v>0.0965652120767633</v>
      </c>
      <c r="S6" s="1709">
        <f>+S5/R5-1</f>
        <v>0.0626463047597816</v>
      </c>
      <c r="T6" s="1709">
        <f t="shared" ref="T6:AE6" si="8">T5/S5-1</f>
        <v>-0.0454211685723277</v>
      </c>
      <c r="U6" s="1709">
        <f t="shared" si="8"/>
        <v>0.0303296703296703</v>
      </c>
      <c r="V6" s="1709">
        <f t="shared" si="8"/>
        <v>0.197418941979522</v>
      </c>
      <c r="W6" s="1710">
        <f t="shared" si="8"/>
        <v>0.14117751848223</v>
      </c>
      <c r="X6" s="1709">
        <f t="shared" si="8"/>
        <v>0.140883546674992</v>
      </c>
      <c r="Y6" s="1709">
        <f t="shared" si="8"/>
        <v>-0.00143668331394931</v>
      </c>
      <c r="Z6" s="1709">
        <f t="shared" si="8"/>
        <v>0.0428884625924908</v>
      </c>
      <c r="AA6" s="1709">
        <f t="shared" si="8"/>
        <v>-0.261792142950993</v>
      </c>
      <c r="AB6" s="1709">
        <f t="shared" si="8"/>
        <v>0.138738367327807</v>
      </c>
      <c r="AC6" s="1709">
        <f t="shared" si="8"/>
        <v>0.0568143790232714</v>
      </c>
      <c r="AD6" s="1709">
        <f t="shared" si="8"/>
        <v>-0.128004141092953</v>
      </c>
      <c r="AE6" s="1709">
        <f t="shared" si="8"/>
        <v>0.139670963364993</v>
      </c>
      <c r="AF6" s="1711">
        <f>Interim!IO6</f>
        <v>0.07</v>
      </c>
      <c r="AG6" s="1709">
        <f>AG5/AF5-1</f>
        <v>0.105683591576734</v>
      </c>
      <c r="AH6" s="1709">
        <f>AH5/AG5-1</f>
        <v>0.0745636845645805</v>
      </c>
      <c r="AI6" s="1709">
        <f>AI5/AH5-1</f>
        <v>0.0668416874717359</v>
      </c>
      <c r="AJ6" s="1709">
        <f>AJ5/AI5-1</f>
        <v>0.0532753874328615</v>
      </c>
      <c r="AK6" s="1709">
        <f>AK5/AJ5-1</f>
        <v>0.0532642238350611</v>
      </c>
      <c r="AL6" s="1709"/>
      <c r="AN6" s="1688" t="s">
        <v>62</v>
      </c>
      <c r="AO6" s="1688">
        <f t="shared" ref="AO6:BB6" si="9">S10</f>
        <v>3373</v>
      </c>
      <c r="AP6" s="1688">
        <f t="shared" si="9"/>
        <v>3446</v>
      </c>
      <c r="AQ6" s="1688">
        <f t="shared" si="9"/>
        <v>3820.56519251861</v>
      </c>
      <c r="AR6" s="1688">
        <f t="shared" si="9"/>
        <v>4221</v>
      </c>
      <c r="AS6" s="1688">
        <f t="shared" si="9"/>
        <v>5003</v>
      </c>
      <c r="AT6" s="1688">
        <f t="shared" si="9"/>
        <v>5860</v>
      </c>
      <c r="AU6" s="1688">
        <f t="shared" si="9"/>
        <v>6488</v>
      </c>
      <c r="AV6" s="1688">
        <f t="shared" si="9"/>
        <v>7814</v>
      </c>
      <c r="AW6" s="1688">
        <f t="shared" si="9"/>
        <v>8131.00000000001</v>
      </c>
      <c r="AX6" s="1688">
        <f t="shared" si="9"/>
        <v>8293.99696633744</v>
      </c>
      <c r="AY6" s="1688">
        <f t="shared" si="9"/>
        <v>8838</v>
      </c>
      <c r="AZ6" s="1688">
        <f t="shared" si="9"/>
        <v>8687</v>
      </c>
      <c r="BA6" s="1688">
        <f t="shared" si="9"/>
        <v>9490</v>
      </c>
      <c r="BB6" s="1688">
        <f t="shared" si="9"/>
        <v>9931</v>
      </c>
      <c r="BC6" s="1709"/>
      <c r="BD6" s="1712"/>
      <c r="BE6" s="1712"/>
      <c r="BF6" s="1712"/>
      <c r="BG6" s="1707"/>
    </row>
    <row r="7" customHeight="1" spans="1:65">
      <c r="A7" s="1708" t="s">
        <v>63</v>
      </c>
      <c r="L7" s="1246"/>
      <c r="M7" s="1246"/>
      <c r="N7" s="1246"/>
      <c r="O7" s="1246"/>
      <c r="P7" s="1246">
        <f>P6-P8</f>
        <v>0.0134338747099768</v>
      </c>
      <c r="Q7" s="1709">
        <f>Q6-Q8</f>
        <v>0.0669597989949748</v>
      </c>
      <c r="R7" s="1709">
        <f>R6-R8</f>
        <v>-0.0134347879232367</v>
      </c>
      <c r="S7" s="1709">
        <f>+S6-S8</f>
        <v>0.0417392656536364</v>
      </c>
      <c r="T7" s="1709">
        <f t="shared" ref="T7:AA7" si="10">T6-T8</f>
        <v>-0.0492242735759992</v>
      </c>
      <c r="U7" s="1709">
        <f t="shared" si="10"/>
        <v>-0.0296703296703297</v>
      </c>
      <c r="V7" s="1709">
        <f t="shared" si="10"/>
        <v>0.0890495765882298</v>
      </c>
      <c r="W7" s="1710">
        <f t="shared" si="10"/>
        <v>-0.0446917253050681</v>
      </c>
      <c r="X7" s="1709">
        <f t="shared" si="10"/>
        <v>-0.0181819182340618</v>
      </c>
      <c r="Y7" s="1709">
        <f t="shared" si="10"/>
        <v>-0.0636598481220496</v>
      </c>
      <c r="Z7" s="1709">
        <f t="shared" si="10"/>
        <v>0.0347613878354964</v>
      </c>
      <c r="AA7" s="1709">
        <f t="shared" si="10"/>
        <v>-0.0266075962526758</v>
      </c>
      <c r="AB7" s="1709">
        <f t="shared" ref="AB7:AG7" si="11">AB6-AB8</f>
        <v>-0.0926803839606521</v>
      </c>
      <c r="AC7" s="1709">
        <f t="shared" si="11"/>
        <v>0.051796255457978</v>
      </c>
      <c r="AD7" s="1709">
        <f t="shared" si="11"/>
        <v>-0.0310825781858086</v>
      </c>
      <c r="AE7" s="1709">
        <f t="shared" si="11"/>
        <v>-0.0286377204884665</v>
      </c>
      <c r="AF7" s="1711">
        <f t="shared" si="11"/>
        <v>-0.05</v>
      </c>
      <c r="AG7" s="1709">
        <f t="shared" si="11"/>
        <v>-0.0118650307895546</v>
      </c>
      <c r="AH7" s="1709">
        <f t="shared" ref="AH7" si="12">AH6-AH8</f>
        <v>0.00806666670071735</v>
      </c>
      <c r="AI7" s="1709">
        <f t="shared" ref="AI7:AJ7" si="13">AI6-AI8</f>
        <v>0</v>
      </c>
      <c r="AJ7" s="1709">
        <f t="shared" si="13"/>
        <v>1.73472347597681e-16</v>
      </c>
      <c r="AK7" s="1709">
        <f t="shared" ref="AK7" si="14">AK6-AK8</f>
        <v>2.42861286636753e-16</v>
      </c>
      <c r="AL7" s="1709"/>
      <c r="AN7" s="1688" t="s">
        <v>64</v>
      </c>
      <c r="AO7" s="1688">
        <f t="shared" ref="AO7:BB7" si="15">S27</f>
        <v>1977</v>
      </c>
      <c r="AP7" s="1688">
        <f t="shared" si="15"/>
        <v>1659</v>
      </c>
      <c r="AQ7" s="1688">
        <f t="shared" si="15"/>
        <v>1358</v>
      </c>
      <c r="AR7" s="1688">
        <f t="shared" si="15"/>
        <v>1467</v>
      </c>
      <c r="AS7" s="1688">
        <f t="shared" si="15"/>
        <v>1475</v>
      </c>
      <c r="AT7" s="1688">
        <f t="shared" si="15"/>
        <v>741</v>
      </c>
      <c r="AU7" s="1688">
        <f t="shared" si="15"/>
        <v>831</v>
      </c>
      <c r="AV7" s="1688">
        <f t="shared" si="15"/>
        <v>605</v>
      </c>
      <c r="AW7" s="1688">
        <f t="shared" si="15"/>
        <v>476</v>
      </c>
      <c r="AX7" s="1688">
        <f t="shared" si="15"/>
        <v>144.000000000002</v>
      </c>
      <c r="AY7" s="1688">
        <f t="shared" si="15"/>
        <v>150</v>
      </c>
      <c r="AZ7" s="1688">
        <f t="shared" si="15"/>
        <v>199</v>
      </c>
      <c r="BA7" s="1688">
        <f t="shared" si="15"/>
        <v>104</v>
      </c>
      <c r="BB7" s="1688">
        <f t="shared" si="15"/>
        <v>72</v>
      </c>
      <c r="BC7" s="1713"/>
      <c r="BD7" s="1712"/>
      <c r="BE7" s="1712"/>
      <c r="BF7" s="1712"/>
      <c r="BG7" s="1707"/>
      <c r="BH7" s="1679"/>
      <c r="BI7" s="1679"/>
      <c r="BJ7" s="1679"/>
      <c r="BK7" s="1679"/>
      <c r="BL7" s="1679"/>
      <c r="BM7" s="1679"/>
    </row>
    <row r="8" customHeight="1" spans="1:65">
      <c r="A8" s="1708" t="s">
        <v>65</v>
      </c>
      <c r="L8" s="1246"/>
      <c r="M8" s="1246"/>
      <c r="N8" s="1246"/>
      <c r="O8" s="1246"/>
      <c r="P8" s="1246">
        <v>-0.09</v>
      </c>
      <c r="Q8" s="1709">
        <v>0.075</v>
      </c>
      <c r="R8" s="1709">
        <f>Interim!EG8</f>
        <v>0.11</v>
      </c>
      <c r="S8" s="1709">
        <f>+Interim!EO8</f>
        <v>0.0209070391061453</v>
      </c>
      <c r="T8" s="1709">
        <f>Interim!EW8</f>
        <v>0.00380310500367146</v>
      </c>
      <c r="U8" s="1709">
        <v>0.06</v>
      </c>
      <c r="V8" s="1709">
        <f t="shared" ref="V8:AE8" si="16">(U32*V35-U27*V30-U10*V13)/U5</f>
        <v>0.108369365391292</v>
      </c>
      <c r="W8" s="1710">
        <f t="shared" si="16"/>
        <v>0.185869243787298</v>
      </c>
      <c r="X8" s="1709">
        <f t="shared" si="16"/>
        <v>0.159065464909054</v>
      </c>
      <c r="Y8" s="1709">
        <f t="shared" si="16"/>
        <v>0.0622231648081003</v>
      </c>
      <c r="Z8" s="1709">
        <f t="shared" si="16"/>
        <v>0.00812707475699435</v>
      </c>
      <c r="AA8" s="1709">
        <f t="shared" si="16"/>
        <v>-0.235184546698317</v>
      </c>
      <c r="AB8" s="1709">
        <f t="shared" si="16"/>
        <v>0.231418751288459</v>
      </c>
      <c r="AC8" s="1709">
        <f t="shared" si="16"/>
        <v>0.00501812356529337</v>
      </c>
      <c r="AD8" s="1709">
        <f t="shared" si="16"/>
        <v>-0.0969215629071439</v>
      </c>
      <c r="AE8" s="1709">
        <f t="shared" si="16"/>
        <v>0.16830868385346</v>
      </c>
      <c r="AF8" s="1711">
        <f>Interim!IO8</f>
        <v>0.12</v>
      </c>
      <c r="AG8" s="1709">
        <f>(AF32*AG35-AF27*AG30-AF10*AG13)/AF5</f>
        <v>0.117548622366289</v>
      </c>
      <c r="AH8" s="1709">
        <f>(AG32*AH35-AG27*AH30-AG10*AH13)/AG5</f>
        <v>0.0664970178638632</v>
      </c>
      <c r="AI8" s="1709">
        <f>(AH32*AI35-AH27*AI30-AH10*AI13)/AH5</f>
        <v>0.0668416874717359</v>
      </c>
      <c r="AJ8" s="1709">
        <f>(AI32*AJ35-AI27*AJ30-AI10*AJ13)/AI5</f>
        <v>0.0532753874328614</v>
      </c>
      <c r="AK8" s="1709">
        <f>(AJ32*AK35-AJ27*AK30-AJ10*AK13)/AJ5</f>
        <v>0.0532642238350609</v>
      </c>
      <c r="AL8" s="1709"/>
      <c r="AM8" s="1714"/>
      <c r="AS8" s="1715">
        <f>AS6/SUM(AS5:AS7)</f>
        <v>0.259357179885951</v>
      </c>
      <c r="AT8" s="1715">
        <f t="shared" ref="AT8:BB8" si="17">AT6/SUM(AT5:AT7)</f>
        <v>0.27618060137619</v>
      </c>
      <c r="AU8" s="1715">
        <f t="shared" si="17"/>
        <v>0.296052931781885</v>
      </c>
      <c r="AV8" s="1715">
        <f t="shared" si="17"/>
        <v>0.33052747345713</v>
      </c>
      <c r="AW8" s="1715">
        <f t="shared" si="17"/>
        <v>0.409746018947793</v>
      </c>
      <c r="AX8" s="1715">
        <f t="shared" si="17"/>
        <v>0.390599838294124</v>
      </c>
      <c r="AY8" s="1715">
        <f t="shared" si="17"/>
        <v>0.392608058282618</v>
      </c>
      <c r="AZ8" s="1715">
        <f t="shared" si="17"/>
        <v>0.420108327691266</v>
      </c>
      <c r="BA8" s="1715">
        <f t="shared" si="17"/>
        <v>0.412017540051231</v>
      </c>
      <c r="BB8" s="1715">
        <f t="shared" si="17"/>
        <v>0.400266011043489</v>
      </c>
      <c r="BC8" s="1713"/>
      <c r="BD8" s="1690"/>
      <c r="BE8" s="1712"/>
      <c r="BF8" s="1712"/>
      <c r="BG8" s="1707"/>
      <c r="BH8" s="1679"/>
      <c r="BI8" s="1679"/>
      <c r="BJ8" s="1679"/>
      <c r="BK8" s="1679"/>
      <c r="BL8" s="1679"/>
      <c r="BM8" s="1679"/>
    </row>
    <row r="9" customHeight="1" spans="1:65">
      <c r="A9" s="1708" t="s">
        <v>66</v>
      </c>
      <c r="L9" s="1246"/>
      <c r="M9" s="1246">
        <v>0.85</v>
      </c>
      <c r="N9" s="1246">
        <v>0.83</v>
      </c>
      <c r="O9" s="1246">
        <f t="shared" ref="O9:AA9" si="18">O5/O32</f>
        <v>0.719599295056117</v>
      </c>
      <c r="P9" s="1246">
        <f t="shared" si="18"/>
        <v>0.691305606484609</v>
      </c>
      <c r="Q9" s="1246">
        <f t="shared" si="18"/>
        <v>0.68231859883236</v>
      </c>
      <c r="R9" s="1246">
        <f t="shared" si="18"/>
        <v>0.673346843803948</v>
      </c>
      <c r="S9" s="1246">
        <f t="shared" si="18"/>
        <v>0.640529463145871</v>
      </c>
      <c r="T9" s="1246">
        <f t="shared" si="18"/>
        <v>0.640619500175994</v>
      </c>
      <c r="U9" s="1246">
        <f t="shared" si="18"/>
        <v>0.645108022567772</v>
      </c>
      <c r="V9" s="1246">
        <f t="shared" si="18"/>
        <v>0.663730416789831</v>
      </c>
      <c r="W9" s="1716">
        <f t="shared" si="18"/>
        <v>0.664178330741317</v>
      </c>
      <c r="X9" s="1246">
        <f t="shared" si="18"/>
        <v>0.688896220190404</v>
      </c>
      <c r="Y9" s="1246">
        <f t="shared" si="18"/>
        <v>0.666027834816336</v>
      </c>
      <c r="Z9" s="1246">
        <f t="shared" si="18"/>
        <v>0.643881392496087</v>
      </c>
      <c r="AA9" s="1246">
        <f t="shared" si="18"/>
        <v>0.566266881677081</v>
      </c>
      <c r="AB9" s="1246">
        <f t="shared" ref="AB9:AG9" si="19">AB5/AB32</f>
        <v>0.602618584989289</v>
      </c>
      <c r="AC9" s="1246">
        <f t="shared" si="19"/>
        <v>0.600728532717338</v>
      </c>
      <c r="AD9" s="1246">
        <f t="shared" si="19"/>
        <v>0.570267917593578</v>
      </c>
      <c r="AE9" s="1246">
        <f t="shared" si="19"/>
        <v>0.583467199235879</v>
      </c>
      <c r="AF9" s="1717">
        <f t="shared" si="19"/>
        <v>0.59683205030027</v>
      </c>
      <c r="AG9" s="1246">
        <f t="shared" si="19"/>
        <v>0.603435085201477</v>
      </c>
      <c r="AH9" s="1246">
        <f t="shared" ref="AH9" si="20">AH5/AH32</f>
        <v>0.602864636544953</v>
      </c>
      <c r="AI9" s="1246">
        <f t="shared" ref="AI9:AJ9" si="21">AI5/AI32</f>
        <v>0.602364043811027</v>
      </c>
      <c r="AJ9" s="1246">
        <f t="shared" si="21"/>
        <v>0.598779159663091</v>
      </c>
      <c r="AK9" s="1246">
        <f t="shared" ref="AK9" si="22">AK5/AK32</f>
        <v>0.595168502630926</v>
      </c>
      <c r="AL9" s="1246"/>
      <c r="AM9" s="1715"/>
      <c r="AT9" s="1688"/>
      <c r="AU9" s="1686"/>
      <c r="AV9" s="1686"/>
      <c r="AW9" s="1686"/>
      <c r="BC9" s="1713"/>
      <c r="BD9" s="1690"/>
      <c r="BE9" s="1712"/>
      <c r="BF9" s="1712"/>
      <c r="BG9" s="1707"/>
      <c r="BH9" s="1679"/>
      <c r="BI9" s="1679"/>
      <c r="BJ9" s="1679"/>
      <c r="BK9" s="1679"/>
      <c r="BL9" s="1679"/>
      <c r="BM9" s="1679"/>
    </row>
    <row r="10" s="1673" customFormat="1" customHeight="1" spans="1:65">
      <c r="A10" s="1673" t="s">
        <v>62</v>
      </c>
      <c r="B10" s="1702"/>
      <c r="C10" s="1702"/>
      <c r="D10" s="1702"/>
      <c r="E10" s="1702"/>
      <c r="F10" s="1702"/>
      <c r="G10" s="1702"/>
      <c r="H10" s="1702"/>
      <c r="I10" s="1702"/>
      <c r="J10" s="1702"/>
      <c r="K10" s="1702"/>
      <c r="L10" s="1703"/>
      <c r="M10" s="1703">
        <f>M32-M5-M27</f>
        <v>656.6</v>
      </c>
      <c r="N10" s="1703">
        <f>N32-N5-N27</f>
        <v>946.83</v>
      </c>
      <c r="O10" s="1703">
        <v>1738</v>
      </c>
      <c r="P10" s="1703">
        <v>1906</v>
      </c>
      <c r="Q10" s="1703">
        <v>2389</v>
      </c>
      <c r="R10" s="1703">
        <v>2793</v>
      </c>
      <c r="S10" s="1703">
        <f>+Interim!EO10</f>
        <v>3373</v>
      </c>
      <c r="T10" s="1703">
        <f>Interim!EW10</f>
        <v>3446</v>
      </c>
      <c r="U10" s="1703">
        <f>Interim!FE10</f>
        <v>3820.56519251861</v>
      </c>
      <c r="V10" s="1703">
        <f>Interim!FM10</f>
        <v>4221</v>
      </c>
      <c r="W10" s="1718">
        <f>Interim!FU10</f>
        <v>5003</v>
      </c>
      <c r="X10" s="1703">
        <f>Interim!GC10</f>
        <v>5860</v>
      </c>
      <c r="Y10" s="1703">
        <f>Interim!GK10</f>
        <v>6488</v>
      </c>
      <c r="Z10" s="1703">
        <f t="shared" ref="Z10:AE10" si="23">Y10*(1+Z11)</f>
        <v>7814</v>
      </c>
      <c r="AA10" s="1703">
        <f t="shared" si="23"/>
        <v>8131.00000000001</v>
      </c>
      <c r="AB10" s="1703">
        <f t="shared" si="23"/>
        <v>8293.99696633744</v>
      </c>
      <c r="AC10" s="1703">
        <f t="shared" si="23"/>
        <v>8838</v>
      </c>
      <c r="AD10" s="1703">
        <f t="shared" si="23"/>
        <v>8687</v>
      </c>
      <c r="AE10" s="1703">
        <f t="shared" si="23"/>
        <v>9490</v>
      </c>
      <c r="AF10" s="1704">
        <f>Interim!IO10</f>
        <v>9931</v>
      </c>
      <c r="AG10" s="1703">
        <f>AF10*(1+AG11)</f>
        <v>10608.2185322327</v>
      </c>
      <c r="AH10" s="1703">
        <f>AG10*(1+AH11)</f>
        <v>11436.56965477</v>
      </c>
      <c r="AI10" s="1703">
        <f>AH10*(1+AI11)</f>
        <v>12237.1295306039</v>
      </c>
      <c r="AJ10" s="1703">
        <f>AI10*(1+AJ11)</f>
        <v>13093.7285977462</v>
      </c>
      <c r="AK10" s="1703">
        <f>AJ10*(1+AK11)</f>
        <v>14010.2895995884</v>
      </c>
      <c r="AL10" s="1703"/>
      <c r="AN10" s="1688"/>
      <c r="AO10" s="1688"/>
      <c r="AP10" s="1688"/>
      <c r="AQ10" s="1688"/>
      <c r="AR10" s="1688"/>
      <c r="AS10" s="1688"/>
      <c r="AT10" s="1688"/>
      <c r="AU10" s="1686"/>
      <c r="AV10" s="1686"/>
      <c r="AW10" s="1686"/>
      <c r="AX10" s="1686"/>
      <c r="BB10" s="1686"/>
      <c r="BC10" s="1713"/>
      <c r="BD10" s="1690"/>
      <c r="BE10" s="1712"/>
      <c r="BF10" s="1712"/>
      <c r="BG10" s="1707"/>
      <c r="BH10" s="1679"/>
      <c r="BI10" s="1679"/>
      <c r="BJ10" s="1679"/>
      <c r="BK10" s="1679"/>
      <c r="BL10" s="1679"/>
      <c r="BM10" s="1679"/>
    </row>
    <row r="11" customHeight="1" spans="1:65">
      <c r="A11" s="1708" t="s">
        <v>61</v>
      </c>
      <c r="L11" s="1246"/>
      <c r="M11" s="1246"/>
      <c r="N11" s="1246">
        <f>N10/M10-1</f>
        <v>0.442019494364909</v>
      </c>
      <c r="O11" s="1246">
        <f>O10/N10-1</f>
        <v>0.835598787533137</v>
      </c>
      <c r="P11" s="1246">
        <f>P10/O10-1</f>
        <v>0.0966628308400461</v>
      </c>
      <c r="Q11" s="1709">
        <f>Q10/P10-1</f>
        <v>0.253410283315845</v>
      </c>
      <c r="R11" s="1709">
        <f>+R10/Q10-1</f>
        <v>0.16910841356216</v>
      </c>
      <c r="S11" s="1709">
        <f>+S10/R10-1</f>
        <v>0.20766201217329</v>
      </c>
      <c r="T11" s="1709">
        <f t="shared" ref="T11:Y11" si="24">T10/S10-1</f>
        <v>0.0216424547880225</v>
      </c>
      <c r="U11" s="1709">
        <f t="shared" si="24"/>
        <v>0.108695644956068</v>
      </c>
      <c r="V11" s="1709">
        <f t="shared" si="24"/>
        <v>0.104810358494999</v>
      </c>
      <c r="W11" s="1710">
        <f t="shared" si="24"/>
        <v>0.185264155413409</v>
      </c>
      <c r="X11" s="1709">
        <f t="shared" si="24"/>
        <v>0.171297221667</v>
      </c>
      <c r="Y11" s="1709">
        <f t="shared" si="24"/>
        <v>0.10716723549488</v>
      </c>
      <c r="Z11" s="1709">
        <f t="shared" ref="Z11:AD11" si="25">Z12+Z13</f>
        <v>0.204377311960542</v>
      </c>
      <c r="AA11" s="1709">
        <f t="shared" si="25"/>
        <v>0.0405682109035074</v>
      </c>
      <c r="AB11" s="1709">
        <f t="shared" si="25"/>
        <v>0.020046361620641</v>
      </c>
      <c r="AC11" s="1709">
        <f t="shared" si="25"/>
        <v>0.0655899725874618</v>
      </c>
      <c r="AD11" s="1709">
        <f t="shared" si="25"/>
        <v>-0.0170853134193256</v>
      </c>
      <c r="AE11" s="1709">
        <f t="shared" ref="AE11:AF11" si="26">AE12+AE13</f>
        <v>0.0924369747899155</v>
      </c>
      <c r="AF11" s="1711">
        <f t="shared" si="26"/>
        <v>0.1</v>
      </c>
      <c r="AG11" s="1709">
        <f t="shared" ref="AG11:AH11" si="27">AG12+AG13</f>
        <v>0.0681923806497495</v>
      </c>
      <c r="AH11" s="1709">
        <f t="shared" si="27"/>
        <v>0.0780857898072563</v>
      </c>
      <c r="AI11" s="1709">
        <f t="shared" ref="AI11:AJ11" si="28">AI12+AI13</f>
        <v>0.07</v>
      </c>
      <c r="AJ11" s="1709">
        <f t="shared" si="28"/>
        <v>0.0700000000000002</v>
      </c>
      <c r="AK11" s="1709">
        <f t="shared" ref="AK11" si="29">AK12+AK13</f>
        <v>0.07</v>
      </c>
      <c r="AL11" s="1709"/>
      <c r="AM11" s="1719"/>
      <c r="AT11" s="1688"/>
      <c r="AU11" s="1686"/>
      <c r="AV11" s="1686"/>
      <c r="AW11" s="1686"/>
      <c r="BC11" s="1713"/>
      <c r="BD11" s="1690"/>
      <c r="BE11" s="1712"/>
      <c r="BF11" s="1712"/>
      <c r="BG11" s="1707"/>
      <c r="BH11" s="1679"/>
      <c r="BI11" s="1679"/>
      <c r="BJ11" s="1679"/>
      <c r="BK11" s="1679"/>
      <c r="BL11" s="1679"/>
      <c r="BM11" s="1679"/>
    </row>
    <row r="12" customHeight="1" spans="1:65">
      <c r="A12" s="1708" t="s">
        <v>63</v>
      </c>
      <c r="L12" s="1246"/>
      <c r="M12" s="1246"/>
      <c r="N12" s="1246"/>
      <c r="O12" s="1246"/>
      <c r="P12" s="1246">
        <f>P11-P13</f>
        <v>0.0266628308400461</v>
      </c>
      <c r="Q12" s="1709">
        <f>Q11-Q13</f>
        <v>0.0754102833158447</v>
      </c>
      <c r="R12" s="1709">
        <f>+R11-R13</f>
        <v>-0.0308915864378401</v>
      </c>
      <c r="S12" s="1709">
        <f>+S11-S13</f>
        <v>0.0701543143573219</v>
      </c>
      <c r="T12" s="1709">
        <f t="shared" ref="T12:Y12" si="30">T11-T13</f>
        <v>-0.0595040023717759</v>
      </c>
      <c r="U12" s="1709">
        <f t="shared" si="30"/>
        <v>-0.100304355043932</v>
      </c>
      <c r="V12" s="1709">
        <f t="shared" si="30"/>
        <v>-0.00518964150500113</v>
      </c>
      <c r="W12" s="1710">
        <f t="shared" si="30"/>
        <v>-0.0447358445865909</v>
      </c>
      <c r="X12" s="1709">
        <f t="shared" si="30"/>
        <v>-0.000601639016589994</v>
      </c>
      <c r="Y12" s="1709">
        <f t="shared" si="30"/>
        <v>-0.0425255972696246</v>
      </c>
      <c r="Z12" s="1709">
        <f t="shared" ref="Z12:AK12" si="31">Z$34</f>
        <v>0.0182392699064566</v>
      </c>
      <c r="AA12" s="1709">
        <f t="shared" si="31"/>
        <v>-0.0261258601521352</v>
      </c>
      <c r="AB12" s="1709">
        <f t="shared" si="31"/>
        <v>-0.089953638379359</v>
      </c>
      <c r="AC12" s="1709">
        <v>0.0455899725874618</v>
      </c>
      <c r="AD12" s="1709">
        <v>-0.0470853134193256</v>
      </c>
      <c r="AE12" s="1709">
        <v>-0.0175630252100845</v>
      </c>
      <c r="AF12" s="1711">
        <f>Interim!IO12</f>
        <v>-0.04</v>
      </c>
      <c r="AG12" s="1709">
        <f t="shared" si="31"/>
        <v>-0.0118076193502505</v>
      </c>
      <c r="AH12" s="1709">
        <f t="shared" si="31"/>
        <v>0.00808578980725629</v>
      </c>
      <c r="AI12" s="1709">
        <f t="shared" si="31"/>
        <v>0</v>
      </c>
      <c r="AJ12" s="1709">
        <f t="shared" si="31"/>
        <v>1.52655665885959e-16</v>
      </c>
      <c r="AK12" s="1709">
        <f t="shared" si="31"/>
        <v>0</v>
      </c>
      <c r="AL12" s="1709"/>
      <c r="AM12" s="1719"/>
      <c r="AT12" s="1688"/>
      <c r="AU12" s="1686"/>
      <c r="AV12" s="1686"/>
      <c r="AW12" s="1686"/>
      <c r="BC12" s="1713"/>
      <c r="BD12" s="1690"/>
      <c r="BE12" s="1712"/>
      <c r="BF12" s="1712"/>
      <c r="BG12" s="1707"/>
      <c r="BH12" s="1679"/>
      <c r="BI12" s="1679"/>
      <c r="BJ12" s="1679"/>
      <c r="BK12" s="1679"/>
      <c r="BL12" s="1679"/>
      <c r="BM12" s="1679"/>
    </row>
    <row r="13" customHeight="1" spans="1:65">
      <c r="A13" s="1708" t="s">
        <v>65</v>
      </c>
      <c r="L13" s="1246"/>
      <c r="M13" s="1246"/>
      <c r="N13" s="1246"/>
      <c r="O13" s="1246"/>
      <c r="P13" s="1246">
        <v>0.07</v>
      </c>
      <c r="Q13" s="1709">
        <v>0.178</v>
      </c>
      <c r="R13" s="1709">
        <f>Interim!EG13</f>
        <v>0.2</v>
      </c>
      <c r="S13" s="1709">
        <f>+Interim!EO13</f>
        <v>0.137507697815968</v>
      </c>
      <c r="T13" s="1709">
        <f>Interim!EW13</f>
        <v>0.0811464571597984</v>
      </c>
      <c r="U13" s="1709">
        <v>0.209</v>
      </c>
      <c r="V13" s="1709">
        <f>Interim!FM13</f>
        <v>0.11</v>
      </c>
      <c r="W13" s="1710">
        <f>Interim!FU13</f>
        <v>0.23</v>
      </c>
      <c r="X13" s="1709">
        <f>Interim!GC13</f>
        <v>0.17189886068359</v>
      </c>
      <c r="Y13" s="1709">
        <f>Interim!GK13</f>
        <v>0.149692832764505</v>
      </c>
      <c r="Z13" s="1709">
        <v>0.186138042054086</v>
      </c>
      <c r="AA13" s="1709">
        <v>0.0666940710556427</v>
      </c>
      <c r="AB13" s="1709">
        <v>0.11</v>
      </c>
      <c r="AC13" s="1709">
        <v>0.02</v>
      </c>
      <c r="AD13" s="1709">
        <v>0.03</v>
      </c>
      <c r="AE13" s="1709">
        <v>0.11</v>
      </c>
      <c r="AF13" s="1711">
        <f>Interim!IO13</f>
        <v>0.14</v>
      </c>
      <c r="AG13" s="1709">
        <v>0.08</v>
      </c>
      <c r="AH13" s="1709">
        <v>0.07</v>
      </c>
      <c r="AI13" s="1709">
        <f>AH13</f>
        <v>0.07</v>
      </c>
      <c r="AJ13" s="1709">
        <f>AI13</f>
        <v>0.07</v>
      </c>
      <c r="AK13" s="1709">
        <f>AJ13</f>
        <v>0.07</v>
      </c>
      <c r="AL13" s="1709"/>
      <c r="AM13" s="1714"/>
      <c r="AT13" s="1688"/>
      <c r="AU13" s="1686"/>
      <c r="AV13" s="1686"/>
      <c r="AW13" s="1686"/>
      <c r="BC13" s="1713"/>
      <c r="BD13" s="1690"/>
      <c r="BE13" s="1712"/>
      <c r="BF13" s="1712"/>
      <c r="BG13" s="1707"/>
      <c r="BH13" s="1679"/>
      <c r="BI13" s="1679"/>
      <c r="BJ13" s="1679"/>
      <c r="BK13" s="1679"/>
      <c r="BL13" s="1679"/>
      <c r="BM13" s="1679"/>
    </row>
    <row r="14" customHeight="1" spans="1:65">
      <c r="A14" s="1708" t="s">
        <v>66</v>
      </c>
      <c r="K14" s="1687"/>
      <c r="L14" s="1246"/>
      <c r="M14" s="1246">
        <f>M10/M$32</f>
        <v>0.0651130503768346</v>
      </c>
      <c r="N14" s="1246">
        <f>N10/$N$32</f>
        <v>0.0919341683658607</v>
      </c>
      <c r="O14" s="1246">
        <f t="shared" ref="O14:AA14" si="32">O10/O32</f>
        <v>0.161209535293572</v>
      </c>
      <c r="P14" s="1246">
        <f t="shared" si="32"/>
        <v>0.183923574254559</v>
      </c>
      <c r="Q14" s="1246">
        <f t="shared" si="32"/>
        <v>0.199249374478732</v>
      </c>
      <c r="R14" s="1246">
        <f t="shared" si="32"/>
        <v>0.209637469038505</v>
      </c>
      <c r="S14" s="1246">
        <f t="shared" si="32"/>
        <v>0.226634415104482</v>
      </c>
      <c r="T14" s="1246">
        <f t="shared" si="32"/>
        <v>0.242590637099613</v>
      </c>
      <c r="U14" s="1246">
        <f t="shared" si="32"/>
        <v>0.262870867794042</v>
      </c>
      <c r="V14" s="1246">
        <f t="shared" si="32"/>
        <v>0.249541826780964</v>
      </c>
      <c r="W14" s="1716">
        <f t="shared" si="32"/>
        <v>0.259357179885951</v>
      </c>
      <c r="X14" s="1246">
        <f t="shared" si="32"/>
        <v>0.27618060137619</v>
      </c>
      <c r="Y14" s="1246">
        <f t="shared" si="32"/>
        <v>0.296052931781885</v>
      </c>
      <c r="Z14" s="1246">
        <f t="shared" si="32"/>
        <v>0.33052747345713</v>
      </c>
      <c r="AA14" s="1246">
        <f t="shared" si="32"/>
        <v>0.409746018947793</v>
      </c>
      <c r="AB14" s="1246">
        <f t="shared" ref="AB14:AG14" si="33">AB10/AB32</f>
        <v>0.390599838294124</v>
      </c>
      <c r="AC14" s="1246">
        <f t="shared" si="33"/>
        <v>0.392608058282618</v>
      </c>
      <c r="AD14" s="1246">
        <f t="shared" si="33"/>
        <v>0.420108327691266</v>
      </c>
      <c r="AE14" s="1246">
        <f t="shared" si="33"/>
        <v>0.412017540051231</v>
      </c>
      <c r="AF14" s="1717">
        <f t="shared" si="33"/>
        <v>0.400266011043489</v>
      </c>
      <c r="AG14" s="1246">
        <f t="shared" si="33"/>
        <v>0.39097208005738</v>
      </c>
      <c r="AH14" s="1246">
        <f t="shared" ref="AH14" si="34">AH10/AH32</f>
        <v>0.391882760843462</v>
      </c>
      <c r="AI14" s="1246">
        <f t="shared" ref="AI14:AJ14" si="35">AI10/AI32</f>
        <v>0.392716537366983</v>
      </c>
      <c r="AJ14" s="1246">
        <f t="shared" si="35"/>
        <v>0.396578045435265</v>
      </c>
      <c r="AK14" s="1246">
        <f t="shared" ref="AK14" si="36">AK10/AK32</f>
        <v>0.400450071892954</v>
      </c>
      <c r="AL14" s="1246"/>
      <c r="AM14" s="1720"/>
      <c r="AT14" s="1688"/>
      <c r="AU14" s="1686"/>
      <c r="AV14" s="1686"/>
      <c r="AW14" s="1686"/>
      <c r="BC14" s="1713"/>
      <c r="BD14" s="1690"/>
      <c r="BE14" s="1712"/>
      <c r="BF14" s="1712"/>
      <c r="BG14" s="1707"/>
      <c r="BH14" s="1679"/>
      <c r="BI14" s="1679"/>
      <c r="BJ14" s="1679"/>
      <c r="BK14" s="1679"/>
      <c r="BL14" s="1679"/>
      <c r="BM14" s="1679"/>
    </row>
    <row r="15" customHeight="1" outlineLevel="1" spans="1:65">
      <c r="A15" s="1721" t="s">
        <v>67</v>
      </c>
      <c r="L15" s="1722"/>
      <c r="M15" s="1722"/>
      <c r="N15" s="1722"/>
      <c r="O15" s="1722">
        <f t="shared" ref="O15:AA15" si="37">O10-O21</f>
        <v>1722.00313668502</v>
      </c>
      <c r="P15" s="1722">
        <f t="shared" si="37"/>
        <v>1876.41420118343</v>
      </c>
      <c r="Q15" s="1723">
        <f t="shared" si="37"/>
        <v>2334</v>
      </c>
      <c r="R15" s="1723">
        <f t="shared" si="37"/>
        <v>2704</v>
      </c>
      <c r="S15" s="1723">
        <f t="shared" si="37"/>
        <v>3215</v>
      </c>
      <c r="T15" s="1723">
        <f t="shared" si="37"/>
        <v>3196</v>
      </c>
      <c r="U15" s="1723">
        <f t="shared" si="37"/>
        <v>3398.56519251861</v>
      </c>
      <c r="V15" s="1723">
        <f t="shared" si="37"/>
        <v>3593.24893896649</v>
      </c>
      <c r="W15" s="1723">
        <f t="shared" si="37"/>
        <v>4002.48494055915</v>
      </c>
      <c r="X15" s="1723">
        <f t="shared" si="37"/>
        <v>4349.27191296146</v>
      </c>
      <c r="Y15" s="1723">
        <f t="shared" si="37"/>
        <v>4510.99791398951</v>
      </c>
      <c r="Z15" s="1723">
        <f t="shared" si="37"/>
        <v>5148.52815095367</v>
      </c>
      <c r="AA15" s="1723">
        <f t="shared" si="37"/>
        <v>4122.46581572676</v>
      </c>
      <c r="AB15" s="1723">
        <f t="shared" ref="AB15:AG15" si="38">AB10-AB21</f>
        <v>4485.70364913668</v>
      </c>
      <c r="AC15" s="1723">
        <f t="shared" si="38"/>
        <v>4688.08695367844</v>
      </c>
      <c r="AD15" s="1723">
        <f t="shared" si="38"/>
        <v>4899.9008122108</v>
      </c>
      <c r="AE15" s="1723">
        <f t="shared" si="38"/>
        <v>5565.26449801155</v>
      </c>
      <c r="AF15" s="1724">
        <f t="shared" si="38"/>
        <v>5578.36847101411</v>
      </c>
      <c r="AG15" s="1723">
        <f t="shared" si="38"/>
        <v>5958.77069719407</v>
      </c>
      <c r="AH15" s="1723">
        <f t="shared" ref="AH15" si="39">AH10-AH21</f>
        <v>6377.57153501441</v>
      </c>
      <c r="AI15" s="1723">
        <f t="shared" ref="AI15:AJ15" si="40">AI10-AI21</f>
        <v>6773.41156126787</v>
      </c>
      <c r="AJ15" s="1723">
        <f t="shared" si="40"/>
        <v>7192.91319086326</v>
      </c>
      <c r="AK15" s="1723">
        <f t="shared" ref="AK15" si="41">AK10-AK21</f>
        <v>7637.40896015486</v>
      </c>
      <c r="AL15" s="1723"/>
      <c r="AT15" s="1688"/>
      <c r="AU15" s="1686"/>
      <c r="AV15" s="1686"/>
      <c r="AW15" s="1686"/>
      <c r="BC15" s="1713"/>
      <c r="BD15" s="1690"/>
      <c r="BE15" s="1712"/>
      <c r="BF15" s="1712"/>
      <c r="BG15" s="1707"/>
      <c r="BH15" s="1679"/>
      <c r="BI15" s="1679"/>
      <c r="BJ15" s="1679"/>
      <c r="BK15" s="1679"/>
      <c r="BL15" s="1679"/>
      <c r="BM15" s="1679"/>
    </row>
    <row r="16" customHeight="1" outlineLevel="1" spans="1:65">
      <c r="A16" s="1725" t="s">
        <v>61</v>
      </c>
      <c r="L16" s="1726"/>
      <c r="M16" s="1726"/>
      <c r="N16" s="1726"/>
      <c r="O16" s="1726"/>
      <c r="P16" s="1726">
        <f t="shared" ref="P16:AK16" si="42">P15/O15-1</f>
        <v>0.0896694443865327</v>
      </c>
      <c r="Q16" s="1727">
        <f t="shared" si="42"/>
        <v>0.243861828869113</v>
      </c>
      <c r="R16" s="1727">
        <f t="shared" si="42"/>
        <v>0.158526135389889</v>
      </c>
      <c r="S16" s="1727">
        <f t="shared" si="42"/>
        <v>0.188979289940828</v>
      </c>
      <c r="T16" s="1727">
        <f t="shared" si="42"/>
        <v>-0.00590979782270606</v>
      </c>
      <c r="U16" s="1727">
        <f t="shared" si="42"/>
        <v>0.0633808487229692</v>
      </c>
      <c r="V16" s="1727">
        <f t="shared" si="42"/>
        <v>0.05728409944186</v>
      </c>
      <c r="W16" s="1727">
        <f t="shared" si="42"/>
        <v>0.113890244885277</v>
      </c>
      <c r="X16" s="1727">
        <f t="shared" si="42"/>
        <v>0.0866429174756289</v>
      </c>
      <c r="Y16" s="1727">
        <f t="shared" si="42"/>
        <v>0.0371846148653254</v>
      </c>
      <c r="Z16" s="1727">
        <f t="shared" si="42"/>
        <v>0.141327983102598</v>
      </c>
      <c r="AA16" s="1727">
        <f t="shared" si="42"/>
        <v>-0.199292361844589</v>
      </c>
      <c r="AB16" s="1727">
        <f t="shared" si="42"/>
        <v>0.0881117878586655</v>
      </c>
      <c r="AC16" s="1727">
        <f t="shared" si="42"/>
        <v>0.0451174041737501</v>
      </c>
      <c r="AD16" s="1727">
        <f t="shared" si="42"/>
        <v>0.0451812990299079</v>
      </c>
      <c r="AE16" s="1727">
        <f t="shared" si="42"/>
        <v>0.135791256048005</v>
      </c>
      <c r="AF16" s="1728">
        <f t="shared" si="42"/>
        <v>0.00235460021841649</v>
      </c>
      <c r="AG16" s="1727">
        <f t="shared" si="42"/>
        <v>0.0681923806497495</v>
      </c>
      <c r="AH16" s="1727">
        <f t="shared" si="42"/>
        <v>0.0702830934604612</v>
      </c>
      <c r="AI16" s="1727">
        <f t="shared" si="42"/>
        <v>0.0620675164645659</v>
      </c>
      <c r="AJ16" s="1727">
        <f t="shared" si="42"/>
        <v>0.0619335804123007</v>
      </c>
      <c r="AK16" s="1727">
        <f t="shared" si="42"/>
        <v>0.0617963483635831</v>
      </c>
      <c r="AL16" s="1727"/>
      <c r="AT16" s="1688"/>
      <c r="AU16" s="1686"/>
      <c r="AV16" s="1686"/>
      <c r="AW16" s="1686"/>
      <c r="BC16" s="1713"/>
      <c r="BD16" s="1690"/>
      <c r="BE16" s="1712"/>
      <c r="BF16" s="1712"/>
      <c r="BG16" s="1707"/>
      <c r="BH16" s="1679"/>
      <c r="BI16" s="1679"/>
      <c r="BJ16" s="1679"/>
      <c r="BK16" s="1679"/>
      <c r="BL16" s="1679"/>
      <c r="BM16" s="1679"/>
    </row>
    <row r="17" customHeight="1" outlineLevel="1" spans="1:158">
      <c r="A17" s="1725" t="s">
        <v>63</v>
      </c>
      <c r="L17" s="1726"/>
      <c r="M17" s="1726"/>
      <c r="N17" s="1726"/>
      <c r="O17" s="1726"/>
      <c r="P17" s="1726">
        <f t="shared" ref="P17:AA17" si="43">P16-P18</f>
        <v>0.0267296034886753</v>
      </c>
      <c r="Q17" s="1727">
        <f t="shared" si="43"/>
        <v>0.0754889941998374</v>
      </c>
      <c r="R17" s="1727">
        <f t="shared" si="43"/>
        <v>-0.0311759549696155</v>
      </c>
      <c r="S17" s="1727">
        <f t="shared" si="43"/>
        <v>0.0707086265876025</v>
      </c>
      <c r="T17" s="1727">
        <f t="shared" si="43"/>
        <v>-0.0595916018662519</v>
      </c>
      <c r="U17" s="1727">
        <f t="shared" si="43"/>
        <v>-0.105647311477281</v>
      </c>
      <c r="V17" s="1727">
        <f t="shared" si="43"/>
        <v>-0.0142231859596445</v>
      </c>
      <c r="W17" s="1727">
        <f t="shared" si="43"/>
        <v>-0.0532167060077318</v>
      </c>
      <c r="X17" s="1727">
        <f t="shared" si="43"/>
        <v>0.014258781015083</v>
      </c>
      <c r="Y17" s="1727">
        <f t="shared" si="43"/>
        <v>-0.0394576129229005</v>
      </c>
      <c r="Z17" s="1727">
        <f t="shared" si="43"/>
        <v>0.0182392699064568</v>
      </c>
      <c r="AA17" s="1727">
        <f t="shared" si="43"/>
        <v>-0.0261258601521354</v>
      </c>
      <c r="AB17" s="1727">
        <f t="shared" ref="AB17:AG17" si="44">AB16-AB18</f>
        <v>-0.0899536383793589</v>
      </c>
      <c r="AC17" s="1727">
        <f t="shared" si="44"/>
        <v>0.0420970961689344</v>
      </c>
      <c r="AD17" s="1727">
        <f t="shared" si="44"/>
        <v>-0.0748187009700921</v>
      </c>
      <c r="AE17" s="1727">
        <f t="shared" si="44"/>
        <v>-0.0142087439519945</v>
      </c>
      <c r="AF17" s="1728">
        <f t="shared" si="44"/>
        <v>-0.123541000957805</v>
      </c>
      <c r="AG17" s="1727">
        <f t="shared" si="44"/>
        <v>-0.0118076193502505</v>
      </c>
      <c r="AH17" s="1727">
        <f t="shared" ref="AH17" si="45">AH16-AH18</f>
        <v>0.00808578980725636</v>
      </c>
      <c r="AI17" s="1727">
        <f t="shared" ref="AI17:AJ17" si="46">AI16-AI18</f>
        <v>1.38777878078145e-16</v>
      </c>
      <c r="AJ17" s="1727">
        <f t="shared" si="46"/>
        <v>0</v>
      </c>
      <c r="AK17" s="1727">
        <f t="shared" ref="AK17" si="47">AK16-AK18</f>
        <v>-1.45716771982052e-16</v>
      </c>
      <c r="AL17" s="1727"/>
      <c r="AT17" s="1688"/>
      <c r="AU17" s="1686"/>
      <c r="AV17" s="1686"/>
      <c r="AW17" s="1686"/>
      <c r="BC17" s="1713"/>
      <c r="BD17" s="1690"/>
      <c r="BE17" s="1712"/>
      <c r="BF17" s="1712"/>
      <c r="BG17" s="1707"/>
      <c r="BH17" s="1679"/>
      <c r="BI17" s="1679"/>
      <c r="BJ17" s="1679"/>
      <c r="BK17" s="1679"/>
      <c r="BL17" s="1679"/>
      <c r="BM17" s="1679"/>
    </row>
    <row r="18" customHeight="1" outlineLevel="1" spans="1:158">
      <c r="A18" s="1725" t="s">
        <v>65</v>
      </c>
      <c r="L18" s="1726"/>
      <c r="M18" s="1726"/>
      <c r="N18" s="1726"/>
      <c r="O18" s="1726"/>
      <c r="P18" s="1726">
        <f t="shared" ref="P18:AK18" si="48">(O10*P13-O21*P24)/O15</f>
        <v>0.0629398408978573</v>
      </c>
      <c r="Q18" s="1727">
        <f t="shared" si="48"/>
        <v>0.168372834669276</v>
      </c>
      <c r="R18" s="1727">
        <f t="shared" si="48"/>
        <v>0.189702090359504</v>
      </c>
      <c r="S18" s="1727">
        <f t="shared" si="48"/>
        <v>0.118270663353226</v>
      </c>
      <c r="T18" s="1727">
        <f t="shared" si="48"/>
        <v>0.0536818040435459</v>
      </c>
      <c r="U18" s="1727">
        <f t="shared" si="48"/>
        <v>0.16902816020025</v>
      </c>
      <c r="V18" s="1727">
        <f t="shared" si="48"/>
        <v>0.0715072854015044</v>
      </c>
      <c r="W18" s="1727">
        <f t="shared" si="48"/>
        <v>0.167106950893009</v>
      </c>
      <c r="X18" s="1727">
        <f t="shared" si="48"/>
        <v>0.0723841364605459</v>
      </c>
      <c r="Y18" s="1727">
        <f t="shared" si="48"/>
        <v>0.0766422277882259</v>
      </c>
      <c r="Z18" s="1727">
        <f t="shared" si="48"/>
        <v>0.123088713196141</v>
      </c>
      <c r="AA18" s="1727">
        <f t="shared" si="48"/>
        <v>-0.173166501692453</v>
      </c>
      <c r="AB18" s="1727">
        <f t="shared" si="48"/>
        <v>0.178065426238024</v>
      </c>
      <c r="AC18" s="1727">
        <f t="shared" si="48"/>
        <v>0.00302030800481567</v>
      </c>
      <c r="AD18" s="1727">
        <v>0.12</v>
      </c>
      <c r="AE18" s="1727">
        <v>0.15</v>
      </c>
      <c r="AF18" s="1728">
        <f t="shared" si="48"/>
        <v>0.125895601176222</v>
      </c>
      <c r="AG18" s="1727">
        <f t="shared" si="48"/>
        <v>0.08</v>
      </c>
      <c r="AH18" s="1727">
        <f t="shared" si="48"/>
        <v>0.0621973036532049</v>
      </c>
      <c r="AI18" s="1727">
        <f t="shared" si="48"/>
        <v>0.0620675164645657</v>
      </c>
      <c r="AJ18" s="1727">
        <f t="shared" si="48"/>
        <v>0.0619335804123006</v>
      </c>
      <c r="AK18" s="1727">
        <f t="shared" si="48"/>
        <v>0.0617963483635832</v>
      </c>
      <c r="AL18" s="1727"/>
      <c r="AT18" s="1688"/>
      <c r="AU18" s="1686"/>
      <c r="AV18" s="1686"/>
      <c r="AW18" s="1686"/>
      <c r="BC18" s="1713"/>
      <c r="BD18" s="1690"/>
      <c r="BE18" s="1712"/>
      <c r="BF18" s="1712"/>
      <c r="BG18" s="1707"/>
      <c r="BH18" s="1679"/>
      <c r="BI18" s="1679"/>
      <c r="BJ18" s="1679"/>
      <c r="BK18" s="1679"/>
      <c r="BL18" s="1679"/>
      <c r="BM18" s="1679"/>
    </row>
    <row r="19" customHeight="1" outlineLevel="1" spans="1:158">
      <c r="A19" s="1725" t="s">
        <v>66</v>
      </c>
      <c r="L19" s="1726"/>
      <c r="M19" s="1726"/>
      <c r="N19" s="1726"/>
      <c r="O19" s="1726"/>
      <c r="P19" s="1726">
        <f t="shared" ref="P19:AA19" si="49">P15/P$32</f>
        <v>0.181068628889649</v>
      </c>
      <c r="Q19" s="1727">
        <f t="shared" si="49"/>
        <v>0.19466221851543</v>
      </c>
      <c r="R19" s="1727">
        <f t="shared" si="49"/>
        <v>0.202957291901223</v>
      </c>
      <c r="S19" s="1727">
        <f t="shared" si="49"/>
        <v>0.216018275885238</v>
      </c>
      <c r="T19" s="1727">
        <f t="shared" si="49"/>
        <v>0.224991200281591</v>
      </c>
      <c r="U19" s="1727">
        <f t="shared" si="49"/>
        <v>0.233835502443829</v>
      </c>
      <c r="V19" s="1727">
        <f t="shared" si="49"/>
        <v>0.212429733311646</v>
      </c>
      <c r="W19" s="1727">
        <f t="shared" si="49"/>
        <v>0.207490147255529</v>
      </c>
      <c r="X19" s="1727">
        <f t="shared" si="49"/>
        <v>0.20498029564339</v>
      </c>
      <c r="Y19" s="1727">
        <f t="shared" si="49"/>
        <v>0.205840653159457</v>
      </c>
      <c r="Z19" s="1727">
        <f t="shared" si="49"/>
        <v>0.217779626536681</v>
      </c>
      <c r="AA19" s="1727">
        <f t="shared" si="49"/>
        <v>0.207743691580667</v>
      </c>
      <c r="AB19" s="1727">
        <f t="shared" ref="AB19:AG19" si="50">AB15/AB$32</f>
        <v>0.211250996003423</v>
      </c>
      <c r="AC19" s="1727">
        <f t="shared" si="50"/>
        <v>0.208257605334212</v>
      </c>
      <c r="AD19" s="1727">
        <f t="shared" si="50"/>
        <v>0.236962027865886</v>
      </c>
      <c r="AE19" s="1727">
        <f t="shared" si="50"/>
        <v>0.241621347545328</v>
      </c>
      <c r="AF19" s="1728">
        <f t="shared" si="50"/>
        <v>0.224834487566568</v>
      </c>
      <c r="AG19" s="1727">
        <f t="shared" si="50"/>
        <v>0.219613968828808</v>
      </c>
      <c r="AH19" s="1727">
        <f t="shared" ref="AH19" si="51">AH15/AH$32</f>
        <v>0.218532341083213</v>
      </c>
      <c r="AI19" s="1727">
        <f t="shared" ref="AI19:AJ19" si="52">AI15/AI$32</f>
        <v>0.217373749934584</v>
      </c>
      <c r="AJ19" s="1727">
        <f t="shared" si="52"/>
        <v>0.21785631441216</v>
      </c>
      <c r="AK19" s="1727">
        <f t="shared" ref="AK19" si="53">AK15/AK$32</f>
        <v>0.218296770058183</v>
      </c>
      <c r="AL19" s="1727"/>
      <c r="AT19" s="1688"/>
      <c r="AU19" s="1686"/>
      <c r="AV19" s="1686"/>
      <c r="AW19" s="1686"/>
      <c r="BC19" s="1713"/>
      <c r="BD19" s="1690"/>
      <c r="BE19" s="1712"/>
      <c r="BF19" s="1712"/>
      <c r="BG19" s="1707"/>
      <c r="BH19" s="1679"/>
      <c r="BI19" s="1679"/>
      <c r="BJ19" s="1679"/>
      <c r="BK19" s="1679"/>
      <c r="BL19" s="1679"/>
      <c r="BM19" s="1679"/>
    </row>
    <row r="20" customHeight="1" outlineLevel="1" spans="1:158">
      <c r="A20" s="1725" t="s">
        <v>68</v>
      </c>
      <c r="L20" s="1726"/>
      <c r="M20" s="1726"/>
      <c r="N20" s="1726"/>
      <c r="O20" s="1726"/>
      <c r="P20" s="1726">
        <f t="shared" ref="P20:U20" si="54">P15/P$10</f>
        <v>0.984477545216911</v>
      </c>
      <c r="Q20" s="1727">
        <f t="shared" si="54"/>
        <v>0.97697781498535</v>
      </c>
      <c r="R20" s="1727">
        <f t="shared" si="54"/>
        <v>0.968134622269961</v>
      </c>
      <c r="S20" s="1727">
        <f t="shared" si="54"/>
        <v>0.953157426623184</v>
      </c>
      <c r="T20" s="1727">
        <f t="shared" si="54"/>
        <v>0.927452118398143</v>
      </c>
      <c r="U20" s="1727">
        <f t="shared" si="54"/>
        <v>0.889545138288346</v>
      </c>
      <c r="V20" s="1727">
        <f t="shared" ref="V20:AA20" si="55">V15/V$10</f>
        <v>0.851279066327053</v>
      </c>
      <c r="W20" s="1727">
        <f t="shared" si="55"/>
        <v>0.800016977925074</v>
      </c>
      <c r="X20" s="1727">
        <f t="shared" si="55"/>
        <v>0.742196572177723</v>
      </c>
      <c r="Y20" s="1727">
        <f t="shared" si="55"/>
        <v>0.695283278974955</v>
      </c>
      <c r="Z20" s="1727">
        <f t="shared" si="55"/>
        <v>0.658885097383373</v>
      </c>
      <c r="AA20" s="1727">
        <f t="shared" si="55"/>
        <v>0.507006003655978</v>
      </c>
      <c r="AB20" s="1727">
        <f t="shared" ref="AB20:AG20" si="56">AB15/AB$10</f>
        <v>0.540837387250399</v>
      </c>
      <c r="AC20" s="1727">
        <f t="shared" si="56"/>
        <v>0.530446589010912</v>
      </c>
      <c r="AD20" s="1727">
        <f t="shared" si="56"/>
        <v>0.564049822978105</v>
      </c>
      <c r="AE20" s="1727">
        <f t="shared" si="56"/>
        <v>0.586434615175084</v>
      </c>
      <c r="AF20" s="1728">
        <f t="shared" si="56"/>
        <v>0.561712664486367</v>
      </c>
      <c r="AG20" s="1727">
        <f t="shared" si="56"/>
        <v>0.561712664486367</v>
      </c>
      <c r="AH20" s="1727">
        <f t="shared" ref="AH20" si="57">AH15/AH$10</f>
        <v>0.557647242794908</v>
      </c>
      <c r="AI20" s="1727">
        <f t="shared" ref="AI20:AJ20" si="58">AI15/AI$10</f>
        <v>0.553513104877103</v>
      </c>
      <c r="AJ20" s="1727">
        <f t="shared" si="58"/>
        <v>0.549340330156329</v>
      </c>
      <c r="AK20" s="1727">
        <f t="shared" ref="AK20" si="59">AK15/AK$10</f>
        <v>0.545128557540967</v>
      </c>
      <c r="AL20" s="1727"/>
      <c r="AT20" s="1688"/>
      <c r="AU20" s="1686"/>
      <c r="AV20" s="1686"/>
      <c r="AW20" s="1686"/>
      <c r="BC20" s="1713"/>
      <c r="BD20" s="1690"/>
      <c r="BE20" s="1712"/>
      <c r="BF20" s="1712"/>
      <c r="BG20" s="1707"/>
      <c r="BH20" s="1679"/>
      <c r="BI20" s="1679"/>
      <c r="BJ20" s="1679"/>
      <c r="BK20" s="1679"/>
      <c r="BL20" s="1679"/>
      <c r="BM20" s="1679"/>
    </row>
    <row r="21" s="1674" customFormat="1" customHeight="1" outlineLevel="1" spans="1:158">
      <c r="A21" s="1721" t="s">
        <v>69</v>
      </c>
      <c r="B21" s="1729"/>
      <c r="C21" s="1729"/>
      <c r="D21" s="1729"/>
      <c r="E21" s="1729"/>
      <c r="F21" s="1729"/>
      <c r="G21" s="1729"/>
      <c r="H21" s="1729"/>
      <c r="I21" s="1729"/>
      <c r="J21" s="1729"/>
      <c r="K21" s="1729"/>
      <c r="L21" s="1722"/>
      <c r="M21" s="1722"/>
      <c r="N21" s="1722"/>
      <c r="O21" s="1722">
        <f>P21/(1+P22)</f>
        <v>15.9968633149802</v>
      </c>
      <c r="P21" s="1722">
        <f>Q21/(1+Q22)</f>
        <v>29.585798816568</v>
      </c>
      <c r="Q21" s="1723">
        <v>55</v>
      </c>
      <c r="R21" s="1723">
        <v>89</v>
      </c>
      <c r="S21" s="1723">
        <v>158</v>
      </c>
      <c r="T21" s="1723">
        <v>250</v>
      </c>
      <c r="U21" s="1723">
        <v>422</v>
      </c>
      <c r="V21" s="1723">
        <f t="shared" ref="V21:AK21" si="60">U21*(1+V22)</f>
        <v>627.75106103351</v>
      </c>
      <c r="W21" s="1723">
        <f t="shared" si="60"/>
        <v>1000.51505944085</v>
      </c>
      <c r="X21" s="1723">
        <f t="shared" si="60"/>
        <v>1510.72808703854</v>
      </c>
      <c r="Y21" s="1723">
        <f t="shared" si="60"/>
        <v>1977.00208601049</v>
      </c>
      <c r="Z21" s="1723">
        <f t="shared" si="60"/>
        <v>2665.47184904633</v>
      </c>
      <c r="AA21" s="1723">
        <f t="shared" si="60"/>
        <v>4008.53418427324</v>
      </c>
      <c r="AB21" s="1723">
        <f t="shared" si="60"/>
        <v>3808.29331720076</v>
      </c>
      <c r="AC21" s="1723">
        <f t="shared" si="60"/>
        <v>4149.91304632156</v>
      </c>
      <c r="AD21" s="1723">
        <f t="shared" si="60"/>
        <v>3787.0991877892</v>
      </c>
      <c r="AE21" s="1723">
        <f t="shared" si="60"/>
        <v>3924.73550198845</v>
      </c>
      <c r="AF21" s="1724">
        <f t="shared" si="60"/>
        <v>4352.63152898589</v>
      </c>
      <c r="AG21" s="1723">
        <f t="shared" si="60"/>
        <v>4649.4478350386</v>
      </c>
      <c r="AH21" s="1723">
        <f t="shared" si="60"/>
        <v>5058.99811975561</v>
      </c>
      <c r="AI21" s="1723">
        <f t="shared" si="60"/>
        <v>5463.71796933606</v>
      </c>
      <c r="AJ21" s="1723">
        <f t="shared" si="60"/>
        <v>5900.81540688294</v>
      </c>
      <c r="AK21" s="1723">
        <f t="shared" si="60"/>
        <v>6372.88063943358</v>
      </c>
      <c r="AL21" s="1723"/>
      <c r="AM21" s="1688"/>
      <c r="AN21" s="1688"/>
      <c r="AO21" s="1688"/>
      <c r="AP21" s="1688"/>
      <c r="AQ21" s="1688"/>
      <c r="AR21" s="1688"/>
      <c r="AS21" s="1688"/>
      <c r="AT21" s="1688"/>
      <c r="AU21" s="1686"/>
      <c r="AV21" s="1686"/>
      <c r="AW21" s="1686"/>
      <c r="AX21" s="1686"/>
      <c r="AZ21" s="1730"/>
      <c r="BA21" s="1730"/>
      <c r="BB21" s="1686"/>
      <c r="BC21" s="1713"/>
      <c r="BD21" s="1690"/>
      <c r="BE21" s="1712"/>
      <c r="BF21" s="1712"/>
      <c r="BG21" s="1707"/>
      <c r="BH21" s="1679"/>
      <c r="BI21" s="1679"/>
      <c r="BJ21" s="1679"/>
      <c r="BK21" s="1679"/>
      <c r="BL21" s="1679"/>
      <c r="BM21" s="1679"/>
      <c r="BN21" s="1686"/>
      <c r="BO21" s="1686"/>
      <c r="BP21" s="1686"/>
      <c r="BQ21" s="1686"/>
      <c r="BR21" s="1686"/>
      <c r="BS21" s="1686"/>
      <c r="BT21" s="1686"/>
      <c r="BU21" s="1686"/>
      <c r="BV21" s="1686"/>
      <c r="BW21" s="1686"/>
      <c r="BX21" s="1686"/>
      <c r="BY21" s="1686"/>
      <c r="BZ21" s="1686"/>
      <c r="CA21" s="1686"/>
      <c r="CB21" s="1686"/>
      <c r="CC21" s="1686"/>
      <c r="CD21" s="1686"/>
      <c r="CE21" s="1686"/>
      <c r="CF21" s="1686"/>
      <c r="CG21" s="1686"/>
      <c r="CH21" s="1686"/>
      <c r="CI21" s="1686"/>
      <c r="CJ21" s="1686"/>
      <c r="CK21" s="1686"/>
      <c r="CL21" s="1686"/>
      <c r="CM21" s="1686"/>
      <c r="CN21" s="1686"/>
      <c r="CO21" s="1686"/>
      <c r="CP21" s="1686"/>
      <c r="CQ21" s="1686"/>
      <c r="CR21" s="1686"/>
      <c r="CS21" s="1686"/>
      <c r="CT21" s="1686"/>
      <c r="CU21" s="1686"/>
      <c r="CV21" s="1686"/>
      <c r="CW21" s="1686"/>
      <c r="CX21" s="1686"/>
      <c r="CY21" s="1686"/>
      <c r="CZ21" s="1686"/>
      <c r="DA21" s="1686"/>
      <c r="DB21" s="1686"/>
      <c r="DC21" s="1686"/>
      <c r="DD21" s="1686"/>
      <c r="DE21" s="1686"/>
      <c r="DF21" s="1686"/>
      <c r="DG21" s="1686"/>
      <c r="DH21" s="1686"/>
      <c r="DI21" s="1686"/>
      <c r="DJ21" s="1686"/>
      <c r="DK21" s="1686"/>
      <c r="DL21" s="1686"/>
      <c r="DM21" s="1686"/>
      <c r="DN21" s="1686"/>
      <c r="DO21" s="1686"/>
      <c r="DP21" s="1686"/>
      <c r="DQ21" s="1686"/>
      <c r="DR21" s="1686"/>
      <c r="DS21" s="1686"/>
      <c r="DT21" s="1686"/>
      <c r="DU21" s="1686"/>
      <c r="DV21" s="1686"/>
      <c r="DW21" s="1686"/>
      <c r="DX21" s="1686"/>
      <c r="DY21" s="1686"/>
      <c r="DZ21" s="1686"/>
      <c r="EA21" s="1686"/>
      <c r="EB21" s="1686"/>
      <c r="EC21" s="1686"/>
      <c r="ED21" s="1686"/>
      <c r="EE21" s="1686"/>
      <c r="EF21" s="1686"/>
      <c r="EG21" s="1686"/>
      <c r="EH21" s="1686"/>
      <c r="EI21" s="1686"/>
      <c r="EJ21" s="1686"/>
      <c r="EK21" s="1686"/>
      <c r="EL21" s="1686"/>
      <c r="EM21" s="1686"/>
      <c r="EN21" s="1686"/>
      <c r="EO21" s="1686"/>
      <c r="EP21" s="1686"/>
      <c r="EQ21" s="1686"/>
      <c r="ER21" s="1686"/>
      <c r="ES21" s="1686"/>
      <c r="ET21" s="1686"/>
      <c r="EU21" s="1686"/>
      <c r="EV21" s="1686"/>
      <c r="EW21" s="1686"/>
      <c r="EX21" s="1686"/>
      <c r="EY21" s="1686"/>
      <c r="EZ21" s="1686"/>
      <c r="FA21" s="1686"/>
      <c r="FB21" s="1686"/>
    </row>
    <row r="22" s="1675" customFormat="1" customHeight="1" outlineLevel="1" spans="1:158">
      <c r="A22" s="1725" t="s">
        <v>61</v>
      </c>
      <c r="B22" s="1731"/>
      <c r="C22" s="1731"/>
      <c r="D22" s="1731"/>
      <c r="E22" s="1731"/>
      <c r="F22" s="1731"/>
      <c r="G22" s="1731"/>
      <c r="H22" s="1731"/>
      <c r="I22" s="1731"/>
      <c r="J22" s="1731"/>
      <c r="K22" s="1731"/>
      <c r="L22" s="1726"/>
      <c r="M22" s="1726"/>
      <c r="N22" s="1726"/>
      <c r="O22" s="1726"/>
      <c r="P22" s="1726">
        <f>P23+P24</f>
        <v>0.849475002318894</v>
      </c>
      <c r="Q22" s="1727">
        <v>0.859</v>
      </c>
      <c r="R22" s="1727">
        <f>R21/Q21-1</f>
        <v>0.618181818181818</v>
      </c>
      <c r="S22" s="1727">
        <f>S21/R21-1</f>
        <v>0.775280898876404</v>
      </c>
      <c r="T22" s="1727">
        <f>T21/S21-1</f>
        <v>0.582278481012658</v>
      </c>
      <c r="U22" s="1727">
        <f>U21/T21-1</f>
        <v>0.688</v>
      </c>
      <c r="V22" s="1727">
        <f t="shared" ref="V22:AA22" si="61">V23+V24</f>
        <v>0.487561756003578</v>
      </c>
      <c r="W22" s="1727">
        <f t="shared" si="61"/>
        <v>0.593808631392255</v>
      </c>
      <c r="X22" s="1727">
        <f t="shared" si="61"/>
        <v>0.509950372843786</v>
      </c>
      <c r="Y22" s="1727">
        <f t="shared" si="61"/>
        <v>0.30864190781412</v>
      </c>
      <c r="Z22" s="1727">
        <f t="shared" si="61"/>
        <v>0.348239269906457</v>
      </c>
      <c r="AA22" s="1727">
        <f t="shared" si="61"/>
        <v>0.503874139847865</v>
      </c>
      <c r="AB22" s="1727">
        <f t="shared" ref="AB22:AG22" si="62">AB23+AB24</f>
        <v>-0.049953638379359</v>
      </c>
      <c r="AC22" s="1727">
        <f t="shared" si="62"/>
        <v>0.089704153715739</v>
      </c>
      <c r="AD22" s="1727">
        <f t="shared" si="62"/>
        <v>-0.0874268579805427</v>
      </c>
      <c r="AE22" s="1727">
        <f t="shared" si="62"/>
        <v>0.036343466958308</v>
      </c>
      <c r="AF22" s="1728">
        <f t="shared" si="62"/>
        <v>0.109025443059957</v>
      </c>
      <c r="AG22" s="1727">
        <f t="shared" si="62"/>
        <v>0.0681923806497495</v>
      </c>
      <c r="AH22" s="1727">
        <f t="shared" ref="AH22" si="63">AH23+AH24</f>
        <v>0.0880857898072563</v>
      </c>
      <c r="AI22" s="1727">
        <f t="shared" ref="AI22:AJ22" si="64">AI23+AI24</f>
        <v>0.08</v>
      </c>
      <c r="AJ22" s="1727">
        <f t="shared" si="64"/>
        <v>0.0800000000000002</v>
      </c>
      <c r="AK22" s="1727">
        <f t="shared" ref="AK22" si="65">AK23+AK24</f>
        <v>0.08</v>
      </c>
      <c r="AL22" s="1727"/>
      <c r="AM22" s="1688"/>
      <c r="AN22" s="1688"/>
      <c r="AO22" s="1688"/>
      <c r="AP22" s="1688"/>
      <c r="AQ22" s="1688"/>
      <c r="AR22" s="1688"/>
      <c r="AS22" s="1688"/>
      <c r="AT22" s="1688"/>
      <c r="AU22" s="1686"/>
      <c r="AV22" s="1686"/>
      <c r="AW22" s="1686"/>
      <c r="AX22" s="1686"/>
      <c r="AZ22" s="1677"/>
      <c r="BA22" s="1677"/>
      <c r="BB22" s="1686"/>
      <c r="BC22" s="1713"/>
      <c r="BD22" s="1690"/>
      <c r="BE22" s="1712"/>
      <c r="BF22" s="1712"/>
      <c r="BG22" s="1707"/>
      <c r="BH22" s="1679"/>
      <c r="BI22" s="1679"/>
      <c r="BJ22" s="1679"/>
      <c r="BK22" s="1679"/>
      <c r="BL22" s="1679"/>
      <c r="BM22" s="1679"/>
      <c r="BN22" s="1686"/>
      <c r="BO22" s="1686"/>
      <c r="BP22" s="1686"/>
      <c r="BQ22" s="1686"/>
      <c r="BR22" s="1686"/>
      <c r="BS22" s="1686"/>
      <c r="BT22" s="1686"/>
      <c r="BU22" s="1686"/>
      <c r="BV22" s="1686"/>
      <c r="BW22" s="1686"/>
      <c r="BX22" s="1686"/>
      <c r="BY22" s="1686"/>
      <c r="BZ22" s="1686"/>
      <c r="CA22" s="1686"/>
      <c r="CB22" s="1686"/>
      <c r="CC22" s="1686"/>
      <c r="CD22" s="1686"/>
      <c r="CE22" s="1686"/>
      <c r="CF22" s="1686"/>
      <c r="CG22" s="1686"/>
      <c r="CH22" s="1686"/>
      <c r="CI22" s="1686"/>
      <c r="CJ22" s="1686"/>
      <c r="CK22" s="1686"/>
      <c r="CL22" s="1686"/>
      <c r="CM22" s="1686"/>
      <c r="CN22" s="1686"/>
      <c r="CO22" s="1686"/>
      <c r="CP22" s="1686"/>
      <c r="CQ22" s="1686"/>
      <c r="CR22" s="1686"/>
      <c r="CS22" s="1686"/>
      <c r="CT22" s="1686"/>
      <c r="CU22" s="1686"/>
      <c r="CV22" s="1686"/>
      <c r="CW22" s="1686"/>
      <c r="CX22" s="1686"/>
      <c r="CY22" s="1686"/>
      <c r="CZ22" s="1686"/>
      <c r="DA22" s="1686"/>
      <c r="DB22" s="1686"/>
      <c r="DC22" s="1686"/>
      <c r="DD22" s="1686"/>
      <c r="DE22" s="1686"/>
      <c r="DF22" s="1686"/>
      <c r="DG22" s="1686"/>
      <c r="DH22" s="1686"/>
      <c r="DI22" s="1686"/>
      <c r="DJ22" s="1686"/>
      <c r="DK22" s="1686"/>
      <c r="DL22" s="1686"/>
      <c r="DM22" s="1686"/>
      <c r="DN22" s="1686"/>
      <c r="DO22" s="1686"/>
      <c r="DP22" s="1686"/>
      <c r="DQ22" s="1686"/>
      <c r="DR22" s="1686"/>
      <c r="DS22" s="1686"/>
      <c r="DT22" s="1686"/>
      <c r="DU22" s="1686"/>
      <c r="DV22" s="1686"/>
      <c r="DW22" s="1686"/>
      <c r="DX22" s="1686"/>
      <c r="DY22" s="1686"/>
      <c r="DZ22" s="1686"/>
      <c r="EA22" s="1686"/>
      <c r="EB22" s="1686"/>
      <c r="EC22" s="1686"/>
      <c r="ED22" s="1686"/>
      <c r="EE22" s="1686"/>
      <c r="EF22" s="1686"/>
      <c r="EG22" s="1686"/>
      <c r="EH22" s="1686"/>
      <c r="EI22" s="1686"/>
      <c r="EJ22" s="1686"/>
      <c r="EK22" s="1686"/>
      <c r="EL22" s="1686"/>
      <c r="EM22" s="1686"/>
      <c r="EN22" s="1686"/>
      <c r="EO22" s="1686"/>
      <c r="EP22" s="1686"/>
      <c r="EQ22" s="1686"/>
      <c r="ER22" s="1686"/>
      <c r="ES22" s="1686"/>
      <c r="ET22" s="1686"/>
      <c r="EU22" s="1686"/>
      <c r="EV22" s="1686"/>
      <c r="EW22" s="1686"/>
      <c r="EX22" s="1686"/>
      <c r="EY22" s="1686"/>
      <c r="EZ22" s="1686"/>
      <c r="FA22" s="1686"/>
      <c r="FB22" s="1686"/>
    </row>
    <row r="23" s="1675" customFormat="1" customHeight="1" outlineLevel="1" spans="1:158">
      <c r="A23" s="1725" t="s">
        <v>63</v>
      </c>
      <c r="B23" s="1731"/>
      <c r="C23" s="1731"/>
      <c r="D23" s="1731"/>
      <c r="E23" s="1731"/>
      <c r="F23" s="1731"/>
      <c r="G23" s="1731"/>
      <c r="H23" s="1731"/>
      <c r="I23" s="1731"/>
      <c r="J23" s="1731"/>
      <c r="K23" s="1731"/>
      <c r="L23" s="1726"/>
      <c r="M23" s="1726"/>
      <c r="N23" s="1726"/>
      <c r="O23" s="1726"/>
      <c r="P23" s="1726">
        <f>P$34</f>
        <v>0.0194750023188944</v>
      </c>
      <c r="Q23" s="1727">
        <f>Q$34</f>
        <v>0.0704182186625495</v>
      </c>
      <c r="R23" s="1727">
        <f>R$34</f>
        <v>-0.0188240200166806</v>
      </c>
      <c r="S23" s="1727">
        <f>S$34</f>
        <v>0.0533131877204833</v>
      </c>
      <c r="T23" s="1727">
        <f>T22-T24</f>
        <v>-0.0577215189873418</v>
      </c>
      <c r="U23" s="1727">
        <f>U22-U24</f>
        <v>-0.032</v>
      </c>
      <c r="V23" s="1727">
        <f>V145</f>
        <v>0.0675617560035781</v>
      </c>
      <c r="W23" s="1727">
        <f>W145+4.5%</f>
        <v>0.00380863139225542</v>
      </c>
      <c r="X23" s="1727">
        <f t="shared" ref="X23:AK23" si="66">X$34</f>
        <v>-0.0600496271562142</v>
      </c>
      <c r="Y23" s="1727">
        <f t="shared" si="66"/>
        <v>-0.0513580921858798</v>
      </c>
      <c r="Z23" s="1727">
        <f t="shared" si="66"/>
        <v>0.0182392699064566</v>
      </c>
      <c r="AA23" s="1727">
        <f t="shared" si="66"/>
        <v>-0.0261258601521352</v>
      </c>
      <c r="AB23" s="1727">
        <f t="shared" si="66"/>
        <v>-0.089953638379359</v>
      </c>
      <c r="AC23" s="1727">
        <f t="shared" si="66"/>
        <v>0.049704153715739</v>
      </c>
      <c r="AD23" s="1727">
        <f t="shared" si="66"/>
        <v>-0.0374268579805427</v>
      </c>
      <c r="AE23" s="1727">
        <f t="shared" si="66"/>
        <v>-0.023656533041692</v>
      </c>
      <c r="AF23" s="1728">
        <f t="shared" si="66"/>
        <v>-0.0509745569400427</v>
      </c>
      <c r="AG23" s="1727">
        <f t="shared" si="66"/>
        <v>-0.0118076193502505</v>
      </c>
      <c r="AH23" s="1727">
        <f t="shared" si="66"/>
        <v>0.00808578980725629</v>
      </c>
      <c r="AI23" s="1727">
        <f t="shared" si="66"/>
        <v>0</v>
      </c>
      <c r="AJ23" s="1727">
        <f t="shared" si="66"/>
        <v>1.52655665885959e-16</v>
      </c>
      <c r="AK23" s="1727">
        <f t="shared" si="66"/>
        <v>0</v>
      </c>
      <c r="AL23" s="1727"/>
      <c r="AM23" s="1688"/>
      <c r="AN23" s="1688"/>
      <c r="AO23" s="1688"/>
      <c r="AP23" s="1688"/>
      <c r="AQ23" s="1688"/>
      <c r="AR23" s="1688"/>
      <c r="AS23" s="1688"/>
      <c r="AT23" s="1688"/>
      <c r="AU23" s="1686"/>
      <c r="AV23" s="1686"/>
      <c r="AW23" s="1686"/>
      <c r="AX23" s="1686"/>
      <c r="AZ23" s="1677"/>
      <c r="BA23" s="1677"/>
      <c r="BB23" s="1686"/>
      <c r="BC23" s="1713"/>
      <c r="BD23" s="1690"/>
      <c r="BE23" s="1712"/>
      <c r="BF23" s="1712"/>
      <c r="BG23" s="1707"/>
      <c r="BH23" s="1679"/>
      <c r="BI23" s="1679"/>
      <c r="BJ23" s="1679"/>
      <c r="BK23" s="1679"/>
      <c r="BL23" s="1679"/>
      <c r="BM23" s="1679"/>
      <c r="BN23" s="1686"/>
      <c r="BO23" s="1686"/>
      <c r="BP23" s="1686"/>
      <c r="BQ23" s="1686"/>
      <c r="BR23" s="1686"/>
      <c r="BS23" s="1686"/>
      <c r="BT23" s="1686"/>
      <c r="BU23" s="1686"/>
      <c r="BV23" s="1686"/>
      <c r="BW23" s="1686"/>
      <c r="BX23" s="1686"/>
      <c r="BY23" s="1686"/>
      <c r="BZ23" s="1686"/>
      <c r="CA23" s="1686"/>
      <c r="CB23" s="1686"/>
      <c r="CC23" s="1686"/>
      <c r="CD23" s="1686"/>
      <c r="CE23" s="1686"/>
      <c r="CF23" s="1686"/>
      <c r="CG23" s="1686"/>
      <c r="CH23" s="1686"/>
      <c r="CI23" s="1686"/>
      <c r="CJ23" s="1686"/>
      <c r="CK23" s="1686"/>
      <c r="CL23" s="1686"/>
      <c r="CM23" s="1686"/>
      <c r="CN23" s="1686"/>
      <c r="CO23" s="1686"/>
      <c r="CP23" s="1686"/>
      <c r="CQ23" s="1686"/>
      <c r="CR23" s="1686"/>
      <c r="CS23" s="1686"/>
      <c r="CT23" s="1686"/>
      <c r="CU23" s="1686"/>
      <c r="CV23" s="1686"/>
      <c r="CW23" s="1686"/>
      <c r="CX23" s="1686"/>
      <c r="CY23" s="1686"/>
      <c r="CZ23" s="1686"/>
      <c r="DA23" s="1686"/>
      <c r="DB23" s="1686"/>
      <c r="DC23" s="1686"/>
      <c r="DD23" s="1686"/>
      <c r="DE23" s="1686"/>
      <c r="DF23" s="1686"/>
      <c r="DG23" s="1686"/>
      <c r="DH23" s="1686"/>
      <c r="DI23" s="1686"/>
      <c r="DJ23" s="1686"/>
      <c r="DK23" s="1686"/>
      <c r="DL23" s="1686"/>
      <c r="DM23" s="1686"/>
      <c r="DN23" s="1686"/>
      <c r="DO23" s="1686"/>
      <c r="DP23" s="1686"/>
      <c r="DQ23" s="1686"/>
      <c r="DR23" s="1686"/>
      <c r="DS23" s="1686"/>
      <c r="DT23" s="1686"/>
      <c r="DU23" s="1686"/>
      <c r="DV23" s="1686"/>
      <c r="DW23" s="1686"/>
      <c r="DX23" s="1686"/>
      <c r="DY23" s="1686"/>
      <c r="DZ23" s="1686"/>
      <c r="EA23" s="1686"/>
      <c r="EB23" s="1686"/>
      <c r="EC23" s="1686"/>
      <c r="ED23" s="1686"/>
      <c r="EE23" s="1686"/>
      <c r="EF23" s="1686"/>
      <c r="EG23" s="1686"/>
      <c r="EH23" s="1686"/>
      <c r="EI23" s="1686"/>
      <c r="EJ23" s="1686"/>
      <c r="EK23" s="1686"/>
      <c r="EL23" s="1686"/>
      <c r="EM23" s="1686"/>
      <c r="EN23" s="1686"/>
      <c r="EO23" s="1686"/>
      <c r="EP23" s="1686"/>
      <c r="EQ23" s="1686"/>
      <c r="ER23" s="1686"/>
      <c r="ES23" s="1686"/>
      <c r="ET23" s="1686"/>
      <c r="EU23" s="1686"/>
      <c r="EV23" s="1686"/>
      <c r="EW23" s="1686"/>
      <c r="EX23" s="1686"/>
      <c r="EY23" s="1686"/>
      <c r="EZ23" s="1686"/>
      <c r="FA23" s="1686"/>
      <c r="FB23" s="1686"/>
    </row>
    <row r="24" s="1675" customFormat="1" customHeight="1" outlineLevel="1" spans="1:158">
      <c r="A24" s="1725" t="s">
        <v>65</v>
      </c>
      <c r="B24" s="1731"/>
      <c r="C24" s="1731"/>
      <c r="D24" s="1731"/>
      <c r="E24" s="1731"/>
      <c r="F24" s="1731"/>
      <c r="G24" s="1731"/>
      <c r="H24" s="1731"/>
      <c r="I24" s="1731"/>
      <c r="J24" s="1731"/>
      <c r="K24" s="1731"/>
      <c r="L24" s="1726"/>
      <c r="M24" s="1726"/>
      <c r="N24" s="1726"/>
      <c r="O24" s="1726"/>
      <c r="P24" s="1726">
        <v>0.83</v>
      </c>
      <c r="Q24" s="1727">
        <f>Q22-Q23</f>
        <v>0.78858178133745</v>
      </c>
      <c r="R24" s="1727">
        <f>R22-R23</f>
        <v>0.637005838198499</v>
      </c>
      <c r="S24" s="1727">
        <f>S22-S23</f>
        <v>0.721967711155921</v>
      </c>
      <c r="T24" s="1727">
        <v>0.64</v>
      </c>
      <c r="U24" s="1727">
        <v>0.72</v>
      </c>
      <c r="V24" s="1727">
        <f>Interim!FM19</f>
        <v>0.42</v>
      </c>
      <c r="W24" s="1727">
        <f>Interim!FU19</f>
        <v>0.59</v>
      </c>
      <c r="X24" s="1727">
        <v>0.57</v>
      </c>
      <c r="Y24" s="1727">
        <v>0.36</v>
      </c>
      <c r="Z24" s="1727">
        <v>0.33</v>
      </c>
      <c r="AA24" s="1727">
        <v>0.53</v>
      </c>
      <c r="AB24" s="1727">
        <v>0.04</v>
      </c>
      <c r="AC24" s="1727">
        <v>0.04</v>
      </c>
      <c r="AD24" s="1727">
        <v>-0.05</v>
      </c>
      <c r="AE24" s="1727">
        <v>0.06</v>
      </c>
      <c r="AF24" s="1728">
        <f>Interim!IO19</f>
        <v>0.16</v>
      </c>
      <c r="AG24" s="1727">
        <v>0.08</v>
      </c>
      <c r="AH24" s="1727">
        <v>0.08</v>
      </c>
      <c r="AI24" s="1727">
        <v>0.08</v>
      </c>
      <c r="AJ24" s="1727">
        <v>0.08</v>
      </c>
      <c r="AK24" s="1727">
        <v>0.08</v>
      </c>
      <c r="AL24" s="1727"/>
      <c r="AM24" s="1688"/>
      <c r="AN24" s="1688"/>
      <c r="AO24" s="1688"/>
      <c r="AP24" s="1688"/>
      <c r="AQ24" s="1688"/>
      <c r="AR24" s="1688"/>
      <c r="AS24" s="1688"/>
      <c r="AT24" s="1688"/>
      <c r="AU24" s="1686"/>
      <c r="AV24" s="1686"/>
      <c r="AW24" s="1686"/>
      <c r="AX24" s="1686"/>
      <c r="AZ24" s="1677"/>
      <c r="BA24" s="1677"/>
      <c r="BB24" s="1686"/>
      <c r="BC24" s="1713"/>
      <c r="BD24" s="1690"/>
      <c r="BE24" s="1712"/>
      <c r="BF24" s="1712"/>
      <c r="BG24" s="1707"/>
      <c r="BH24" s="1679"/>
      <c r="BI24" s="1679"/>
      <c r="BJ24" s="1679"/>
      <c r="BK24" s="1679"/>
      <c r="BL24" s="1679"/>
      <c r="BM24" s="1679"/>
      <c r="BN24" s="1686"/>
      <c r="BO24" s="1686"/>
      <c r="BP24" s="1686"/>
      <c r="BQ24" s="1686"/>
      <c r="BR24" s="1686"/>
      <c r="BS24" s="1686"/>
      <c r="BT24" s="1686"/>
      <c r="BU24" s="1686"/>
      <c r="BV24" s="1686"/>
      <c r="BW24" s="1686"/>
      <c r="BX24" s="1686"/>
      <c r="BY24" s="1686"/>
      <c r="BZ24" s="1686"/>
      <c r="CA24" s="1686"/>
      <c r="CB24" s="1686"/>
      <c r="CC24" s="1686"/>
      <c r="CD24" s="1686"/>
      <c r="CE24" s="1686"/>
      <c r="CF24" s="1686"/>
      <c r="CG24" s="1686"/>
      <c r="CH24" s="1686"/>
      <c r="CI24" s="1686"/>
      <c r="CJ24" s="1686"/>
      <c r="CK24" s="1686"/>
      <c r="CL24" s="1686"/>
      <c r="CM24" s="1686"/>
      <c r="CN24" s="1686"/>
      <c r="CO24" s="1686"/>
      <c r="CP24" s="1686"/>
      <c r="CQ24" s="1686"/>
      <c r="CR24" s="1686"/>
      <c r="CS24" s="1686"/>
      <c r="CT24" s="1686"/>
      <c r="CU24" s="1686"/>
      <c r="CV24" s="1686"/>
      <c r="CW24" s="1686"/>
      <c r="CX24" s="1686"/>
      <c r="CY24" s="1686"/>
      <c r="CZ24" s="1686"/>
      <c r="DA24" s="1686"/>
      <c r="DB24" s="1686"/>
      <c r="DC24" s="1686"/>
      <c r="DD24" s="1686"/>
      <c r="DE24" s="1686"/>
      <c r="DF24" s="1686"/>
      <c r="DG24" s="1686"/>
      <c r="DH24" s="1686"/>
      <c r="DI24" s="1686"/>
      <c r="DJ24" s="1686"/>
      <c r="DK24" s="1686"/>
      <c r="DL24" s="1686"/>
      <c r="DM24" s="1686"/>
      <c r="DN24" s="1686"/>
      <c r="DO24" s="1686"/>
      <c r="DP24" s="1686"/>
      <c r="DQ24" s="1686"/>
      <c r="DR24" s="1686"/>
      <c r="DS24" s="1686"/>
      <c r="DT24" s="1686"/>
      <c r="DU24" s="1686"/>
      <c r="DV24" s="1686"/>
      <c r="DW24" s="1686"/>
      <c r="DX24" s="1686"/>
      <c r="DY24" s="1686"/>
      <c r="DZ24" s="1686"/>
      <c r="EA24" s="1686"/>
      <c r="EB24" s="1686"/>
      <c r="EC24" s="1686"/>
      <c r="ED24" s="1686"/>
      <c r="EE24" s="1686"/>
      <c r="EF24" s="1686"/>
      <c r="EG24" s="1686"/>
      <c r="EH24" s="1686"/>
      <c r="EI24" s="1686"/>
      <c r="EJ24" s="1686"/>
      <c r="EK24" s="1686"/>
      <c r="EL24" s="1686"/>
      <c r="EM24" s="1686"/>
      <c r="EN24" s="1686"/>
      <c r="EO24" s="1686"/>
      <c r="EP24" s="1686"/>
      <c r="EQ24" s="1686"/>
      <c r="ER24" s="1686"/>
      <c r="ES24" s="1686"/>
      <c r="ET24" s="1686"/>
      <c r="EU24" s="1686"/>
      <c r="EV24" s="1686"/>
      <c r="EW24" s="1686"/>
      <c r="EX24" s="1686"/>
      <c r="EY24" s="1686"/>
      <c r="EZ24" s="1686"/>
      <c r="FA24" s="1686"/>
      <c r="FB24" s="1686"/>
    </row>
    <row r="25" s="1675" customFormat="1" customHeight="1" outlineLevel="1" spans="1:158">
      <c r="A25" s="1725" t="s">
        <v>66</v>
      </c>
      <c r="B25" s="1731"/>
      <c r="C25" s="1731"/>
      <c r="D25" s="1731"/>
      <c r="E25" s="1731"/>
      <c r="F25" s="1731"/>
      <c r="G25" s="1731"/>
      <c r="H25" s="1731"/>
      <c r="I25" s="1731"/>
      <c r="J25" s="1731"/>
      <c r="K25" s="1731"/>
      <c r="L25" s="1726"/>
      <c r="M25" s="1726"/>
      <c r="N25" s="1726"/>
      <c r="O25" s="1726"/>
      <c r="P25" s="1726">
        <f t="shared" ref="P25:AA25" si="67">P21/P32</f>
        <v>0.00285494536491055</v>
      </c>
      <c r="Q25" s="1727">
        <f t="shared" si="67"/>
        <v>0.00458715596330275</v>
      </c>
      <c r="R25" s="1727">
        <f t="shared" si="67"/>
        <v>0.00668017713728139</v>
      </c>
      <c r="S25" s="1727">
        <f t="shared" si="67"/>
        <v>0.0106161392192434</v>
      </c>
      <c r="T25" s="1727">
        <f t="shared" si="67"/>
        <v>0.0175994368180218</v>
      </c>
      <c r="U25" s="1727">
        <f t="shared" si="67"/>
        <v>0.0290353653502133</v>
      </c>
      <c r="V25" s="1727">
        <f t="shared" si="67"/>
        <v>0.0371120934693178</v>
      </c>
      <c r="W25" s="1727">
        <f t="shared" si="67"/>
        <v>0.0518670326304227</v>
      </c>
      <c r="X25" s="1727">
        <f t="shared" si="67"/>
        <v>0.0712003057327995</v>
      </c>
      <c r="Y25" s="1727">
        <f t="shared" si="67"/>
        <v>0.0902122786224272</v>
      </c>
      <c r="Z25" s="1727">
        <f t="shared" si="67"/>
        <v>0.112747846920449</v>
      </c>
      <c r="AA25" s="1727">
        <f t="shared" si="67"/>
        <v>0.202002327367126</v>
      </c>
      <c r="AB25" s="1727">
        <f t="shared" ref="AB25:AG25" si="68">AB21/AB32</f>
        <v>0.179348842290702</v>
      </c>
      <c r="AC25" s="1727">
        <f t="shared" si="68"/>
        <v>0.184350452948406</v>
      </c>
      <c r="AD25" s="1727">
        <f t="shared" si="68"/>
        <v>0.18314629982538</v>
      </c>
      <c r="AE25" s="1727">
        <f t="shared" si="68"/>
        <v>0.170396192505903</v>
      </c>
      <c r="AF25" s="1728">
        <f t="shared" si="68"/>
        <v>0.175431523476921</v>
      </c>
      <c r="AG25" s="1727">
        <f t="shared" si="68"/>
        <v>0.171358111228572</v>
      </c>
      <c r="AH25" s="1727">
        <f t="shared" ref="AH25" si="69">AH21/AH32</f>
        <v>0.173350419760249</v>
      </c>
      <c r="AI25" s="1727">
        <f t="shared" ref="AI25:AJ25" si="70">AI21/AI32</f>
        <v>0.175342787432399</v>
      </c>
      <c r="AJ25" s="1727">
        <f t="shared" si="70"/>
        <v>0.178721731023105</v>
      </c>
      <c r="AK25" s="1727">
        <f t="shared" ref="AK25" si="71">AK21/AK32</f>
        <v>0.182153301834771</v>
      </c>
      <c r="AL25" s="1727"/>
      <c r="AM25" s="1688"/>
      <c r="AN25" s="1688"/>
      <c r="AO25" s="1688"/>
      <c r="AP25" s="1688"/>
      <c r="AQ25" s="1688"/>
      <c r="AR25" s="1688"/>
      <c r="AS25" s="1688"/>
      <c r="AT25" s="1688"/>
      <c r="AU25" s="1686"/>
      <c r="AV25" s="1686"/>
      <c r="AW25" s="1686"/>
      <c r="AX25" s="1686"/>
      <c r="AZ25" s="1677"/>
      <c r="BA25" s="1677"/>
      <c r="BB25" s="1686"/>
      <c r="BC25" s="1713"/>
      <c r="BD25" s="1690"/>
      <c r="BE25" s="1712"/>
      <c r="BF25" s="1712"/>
      <c r="BG25" s="1707"/>
      <c r="BH25" s="1679"/>
      <c r="BI25" s="1679"/>
      <c r="BJ25" s="1679"/>
      <c r="BK25" s="1679"/>
      <c r="BL25" s="1679"/>
      <c r="BM25" s="1679"/>
      <c r="BN25" s="1686"/>
      <c r="BO25" s="1686"/>
      <c r="BP25" s="1686"/>
      <c r="BQ25" s="1686"/>
      <c r="BR25" s="1686"/>
      <c r="BS25" s="1686"/>
      <c r="BT25" s="1686"/>
      <c r="BU25" s="1686"/>
      <c r="BV25" s="1686"/>
      <c r="BW25" s="1686"/>
      <c r="BX25" s="1686"/>
      <c r="BY25" s="1686"/>
      <c r="BZ25" s="1686"/>
      <c r="CA25" s="1686"/>
      <c r="CB25" s="1686"/>
      <c r="CC25" s="1686"/>
      <c r="CD25" s="1686"/>
      <c r="CE25" s="1686"/>
      <c r="CF25" s="1686"/>
      <c r="CG25" s="1686"/>
      <c r="CH25" s="1686"/>
      <c r="CI25" s="1686"/>
      <c r="CJ25" s="1686"/>
      <c r="CK25" s="1686"/>
      <c r="CL25" s="1686"/>
      <c r="CM25" s="1686"/>
      <c r="CN25" s="1686"/>
      <c r="CO25" s="1686"/>
      <c r="CP25" s="1686"/>
      <c r="CQ25" s="1686"/>
      <c r="CR25" s="1686"/>
      <c r="CS25" s="1686"/>
      <c r="CT25" s="1686"/>
      <c r="CU25" s="1686"/>
      <c r="CV25" s="1686"/>
      <c r="CW25" s="1686"/>
      <c r="CX25" s="1686"/>
      <c r="CY25" s="1686"/>
      <c r="CZ25" s="1686"/>
      <c r="DA25" s="1686"/>
      <c r="DB25" s="1686"/>
      <c r="DC25" s="1686"/>
      <c r="DD25" s="1686"/>
      <c r="DE25" s="1686"/>
      <c r="DF25" s="1686"/>
      <c r="DG25" s="1686"/>
      <c r="DH25" s="1686"/>
      <c r="DI25" s="1686"/>
      <c r="DJ25" s="1686"/>
      <c r="DK25" s="1686"/>
      <c r="DL25" s="1686"/>
      <c r="DM25" s="1686"/>
      <c r="DN25" s="1686"/>
      <c r="DO25" s="1686"/>
      <c r="DP25" s="1686"/>
      <c r="DQ25" s="1686"/>
      <c r="DR25" s="1686"/>
      <c r="DS25" s="1686"/>
      <c r="DT25" s="1686"/>
      <c r="DU25" s="1686"/>
      <c r="DV25" s="1686"/>
      <c r="DW25" s="1686"/>
      <c r="DX25" s="1686"/>
      <c r="DY25" s="1686"/>
      <c r="DZ25" s="1686"/>
      <c r="EA25" s="1686"/>
      <c r="EB25" s="1686"/>
      <c r="EC25" s="1686"/>
      <c r="ED25" s="1686"/>
      <c r="EE25" s="1686"/>
      <c r="EF25" s="1686"/>
      <c r="EG25" s="1686"/>
      <c r="EH25" s="1686"/>
      <c r="EI25" s="1686"/>
      <c r="EJ25" s="1686"/>
      <c r="EK25" s="1686"/>
      <c r="EL25" s="1686"/>
      <c r="EM25" s="1686"/>
      <c r="EN25" s="1686"/>
      <c r="EO25" s="1686"/>
      <c r="EP25" s="1686"/>
      <c r="EQ25" s="1686"/>
      <c r="ER25" s="1686"/>
      <c r="ES25" s="1686"/>
      <c r="ET25" s="1686"/>
      <c r="EU25" s="1686"/>
      <c r="EV25" s="1686"/>
      <c r="EW25" s="1686"/>
      <c r="EX25" s="1686"/>
      <c r="EY25" s="1686"/>
      <c r="EZ25" s="1686"/>
      <c r="FA25" s="1686"/>
      <c r="FB25" s="1686"/>
    </row>
    <row r="26" s="1675" customFormat="1" customHeight="1" outlineLevel="1" spans="1:158">
      <c r="A26" s="1725" t="s">
        <v>68</v>
      </c>
      <c r="B26" s="1731"/>
      <c r="C26" s="1731"/>
      <c r="D26" s="1731"/>
      <c r="E26" s="1731"/>
      <c r="F26" s="1731"/>
      <c r="G26" s="1731"/>
      <c r="H26" s="1731"/>
      <c r="I26" s="1731"/>
      <c r="J26" s="1731"/>
      <c r="K26" s="1731"/>
      <c r="L26" s="1726"/>
      <c r="M26" s="1726"/>
      <c r="N26" s="1726"/>
      <c r="O26" s="1726"/>
      <c r="P26" s="1726">
        <f t="shared" ref="P26:U26" si="72">P21/P$10</f>
        <v>0.0155224547830892</v>
      </c>
      <c r="Q26" s="1727">
        <f t="shared" si="72"/>
        <v>0.0230221850146505</v>
      </c>
      <c r="R26" s="1727">
        <f t="shared" si="72"/>
        <v>0.0318653777300394</v>
      </c>
      <c r="S26" s="1727">
        <f t="shared" si="72"/>
        <v>0.0468425733768159</v>
      </c>
      <c r="T26" s="1727">
        <f t="shared" si="72"/>
        <v>0.0725478816018572</v>
      </c>
      <c r="U26" s="1727">
        <f t="shared" si="72"/>
        <v>0.110454861711654</v>
      </c>
      <c r="V26" s="1727">
        <f t="shared" ref="V26:AA26" si="73">V21/V$10</f>
        <v>0.148720933672947</v>
      </c>
      <c r="W26" s="1727">
        <f t="shared" si="73"/>
        <v>0.199983022074926</v>
      </c>
      <c r="X26" s="1727">
        <f t="shared" si="73"/>
        <v>0.257803427822277</v>
      </c>
      <c r="Y26" s="1727">
        <f t="shared" si="73"/>
        <v>0.304716721025045</v>
      </c>
      <c r="Z26" s="1727">
        <f t="shared" si="73"/>
        <v>0.341114902616628</v>
      </c>
      <c r="AA26" s="1727">
        <f t="shared" si="73"/>
        <v>0.492993996344022</v>
      </c>
      <c r="AB26" s="1727">
        <f t="shared" ref="AB26:AG26" si="74">AB21/AB$10</f>
        <v>0.459162612749601</v>
      </c>
      <c r="AC26" s="1727">
        <f t="shared" si="74"/>
        <v>0.469553410989088</v>
      </c>
      <c r="AD26" s="1727">
        <f t="shared" si="74"/>
        <v>0.435950177021895</v>
      </c>
      <c r="AE26" s="1727">
        <f t="shared" si="74"/>
        <v>0.413565384824916</v>
      </c>
      <c r="AF26" s="1728">
        <f t="shared" si="74"/>
        <v>0.438287335513633</v>
      </c>
      <c r="AG26" s="1727">
        <f t="shared" si="74"/>
        <v>0.438287335513633</v>
      </c>
      <c r="AH26" s="1727">
        <f t="shared" ref="AH26" si="75">AH21/AH$10</f>
        <v>0.442352757205092</v>
      </c>
      <c r="AI26" s="1727">
        <f t="shared" ref="AI26:AJ26" si="76">AI21/AI$10</f>
        <v>0.446486895122897</v>
      </c>
      <c r="AJ26" s="1727">
        <f t="shared" si="76"/>
        <v>0.450659669843671</v>
      </c>
      <c r="AK26" s="1727">
        <f t="shared" ref="AK26" si="77">AK21/AK$10</f>
        <v>0.454871442459033</v>
      </c>
      <c r="AL26" s="1727"/>
      <c r="AM26" s="1688"/>
      <c r="AN26" s="1688"/>
      <c r="AO26" s="1688"/>
      <c r="AP26" s="1688"/>
      <c r="AQ26" s="1688"/>
      <c r="AR26" s="1688"/>
      <c r="AS26" s="1688"/>
      <c r="AT26" s="1688"/>
      <c r="AU26" s="1686"/>
      <c r="AV26" s="1686"/>
      <c r="AW26" s="1686"/>
      <c r="AX26" s="1686"/>
      <c r="AZ26" s="1677"/>
      <c r="BA26" s="1677"/>
      <c r="BB26" s="1686"/>
      <c r="BC26" s="1713"/>
      <c r="BD26" s="1690"/>
      <c r="BE26" s="1712"/>
      <c r="BF26" s="1712"/>
      <c r="BG26" s="1707"/>
      <c r="BH26" s="1679"/>
      <c r="BI26" s="1679"/>
      <c r="BJ26" s="1679"/>
      <c r="BK26" s="1679"/>
      <c r="BL26" s="1679"/>
      <c r="BM26" s="1679"/>
      <c r="BN26" s="1686"/>
      <c r="BO26" s="1686"/>
      <c r="BP26" s="1686"/>
      <c r="BQ26" s="1686"/>
      <c r="BR26" s="1686"/>
      <c r="BS26" s="1686"/>
      <c r="BT26" s="1686"/>
      <c r="BU26" s="1686"/>
      <c r="BV26" s="1686"/>
      <c r="BW26" s="1686"/>
      <c r="BX26" s="1686"/>
      <c r="BY26" s="1686"/>
      <c r="BZ26" s="1686"/>
      <c r="CA26" s="1686"/>
      <c r="CB26" s="1686"/>
      <c r="CC26" s="1686"/>
      <c r="CD26" s="1686"/>
      <c r="CE26" s="1686"/>
      <c r="CF26" s="1686"/>
      <c r="CG26" s="1686"/>
      <c r="CH26" s="1686"/>
      <c r="CI26" s="1686"/>
      <c r="CJ26" s="1686"/>
      <c r="CK26" s="1686"/>
      <c r="CL26" s="1686"/>
      <c r="CM26" s="1686"/>
      <c r="CN26" s="1686"/>
      <c r="CO26" s="1686"/>
      <c r="CP26" s="1686"/>
      <c r="CQ26" s="1686"/>
      <c r="CR26" s="1686"/>
      <c r="CS26" s="1686"/>
      <c r="CT26" s="1686"/>
      <c r="CU26" s="1686"/>
      <c r="CV26" s="1686"/>
      <c r="CW26" s="1686"/>
      <c r="CX26" s="1686"/>
      <c r="CY26" s="1686"/>
      <c r="CZ26" s="1686"/>
      <c r="DA26" s="1686"/>
      <c r="DB26" s="1686"/>
      <c r="DC26" s="1686"/>
      <c r="DD26" s="1686"/>
      <c r="DE26" s="1686"/>
      <c r="DF26" s="1686"/>
      <c r="DG26" s="1686"/>
      <c r="DH26" s="1686"/>
      <c r="DI26" s="1686"/>
      <c r="DJ26" s="1686"/>
      <c r="DK26" s="1686"/>
      <c r="DL26" s="1686"/>
      <c r="DM26" s="1686"/>
      <c r="DN26" s="1686"/>
      <c r="DO26" s="1686"/>
      <c r="DP26" s="1686"/>
      <c r="DQ26" s="1686"/>
      <c r="DR26" s="1686"/>
      <c r="DS26" s="1686"/>
      <c r="DT26" s="1686"/>
      <c r="DU26" s="1686"/>
      <c r="DV26" s="1686"/>
      <c r="DW26" s="1686"/>
      <c r="DX26" s="1686"/>
      <c r="DY26" s="1686"/>
      <c r="DZ26" s="1686"/>
      <c r="EA26" s="1686"/>
      <c r="EB26" s="1686"/>
      <c r="EC26" s="1686"/>
      <c r="ED26" s="1686"/>
      <c r="EE26" s="1686"/>
      <c r="EF26" s="1686"/>
      <c r="EG26" s="1686"/>
      <c r="EH26" s="1686"/>
      <c r="EI26" s="1686"/>
      <c r="EJ26" s="1686"/>
      <c r="EK26" s="1686"/>
      <c r="EL26" s="1686"/>
      <c r="EM26" s="1686"/>
      <c r="EN26" s="1686"/>
      <c r="EO26" s="1686"/>
      <c r="EP26" s="1686"/>
      <c r="EQ26" s="1686"/>
      <c r="ER26" s="1686"/>
      <c r="ES26" s="1686"/>
      <c r="ET26" s="1686"/>
      <c r="EU26" s="1686"/>
      <c r="EV26" s="1686"/>
      <c r="EW26" s="1686"/>
      <c r="EX26" s="1686"/>
      <c r="EY26" s="1686"/>
      <c r="EZ26" s="1686"/>
      <c r="FA26" s="1686"/>
      <c r="FB26" s="1686"/>
    </row>
    <row r="27" s="1673" customFormat="1" customHeight="1" spans="1:158">
      <c r="A27" s="1673" t="s">
        <v>70</v>
      </c>
      <c r="B27" s="1702"/>
      <c r="C27" s="1702"/>
      <c r="D27" s="1702"/>
      <c r="E27" s="1702"/>
      <c r="F27" s="1702"/>
      <c r="G27" s="1702"/>
      <c r="H27" s="1702"/>
      <c r="I27" s="1702"/>
      <c r="J27" s="1702"/>
      <c r="K27" s="1702"/>
      <c r="L27" s="1703"/>
      <c r="M27" s="1703">
        <f>M31*M$32</f>
        <v>856</v>
      </c>
      <c r="N27" s="1703">
        <f>N31*N$32</f>
        <v>804</v>
      </c>
      <c r="O27" s="1703">
        <v>1285</v>
      </c>
      <c r="P27" s="1703">
        <v>1293</v>
      </c>
      <c r="Q27" s="1703">
        <v>1420</v>
      </c>
      <c r="R27" s="1703">
        <v>1580</v>
      </c>
      <c r="S27" s="1703">
        <f>+Interim!EO21</f>
        <v>1977</v>
      </c>
      <c r="T27" s="1703">
        <f>T32-T5-T10</f>
        <v>1659</v>
      </c>
      <c r="U27" s="1703">
        <f>U137</f>
        <v>1358</v>
      </c>
      <c r="V27" s="1703">
        <f t="shared" ref="V27:AA27" si="78">V137</f>
        <v>1467</v>
      </c>
      <c r="W27" s="1703">
        <f t="shared" si="78"/>
        <v>1475</v>
      </c>
      <c r="X27" s="1703">
        <f t="shared" si="78"/>
        <v>741</v>
      </c>
      <c r="Y27" s="1703">
        <f t="shared" si="78"/>
        <v>831</v>
      </c>
      <c r="Z27" s="1703">
        <f t="shared" si="78"/>
        <v>605</v>
      </c>
      <c r="AA27" s="1703">
        <f t="shared" si="78"/>
        <v>476</v>
      </c>
      <c r="AB27" s="1703">
        <f t="shared" ref="AB27:AG27" si="79">AB137</f>
        <v>144.000000000002</v>
      </c>
      <c r="AC27" s="1703">
        <f t="shared" si="79"/>
        <v>150</v>
      </c>
      <c r="AD27" s="1703">
        <f t="shared" si="79"/>
        <v>199</v>
      </c>
      <c r="AE27" s="1703">
        <f t="shared" si="79"/>
        <v>104</v>
      </c>
      <c r="AF27" s="1704">
        <f t="shared" si="79"/>
        <v>72</v>
      </c>
      <c r="AG27" s="1703">
        <f t="shared" si="79"/>
        <v>151.749999999994</v>
      </c>
      <c r="AH27" s="1703">
        <f t="shared" ref="AH27" si="80">AH137</f>
        <v>153.290120511858</v>
      </c>
      <c r="AI27" s="1703">
        <f t="shared" ref="AI27:AJ27" si="81">AI137</f>
        <v>153.290120511858</v>
      </c>
      <c r="AJ27" s="1703">
        <f t="shared" si="81"/>
        <v>153.290120511858</v>
      </c>
      <c r="AK27" s="1703">
        <f t="shared" ref="AK27" si="82">AK137</f>
        <v>153.290120511858</v>
      </c>
      <c r="AL27" s="1703"/>
      <c r="AM27" s="1688"/>
      <c r="AN27" s="1688"/>
      <c r="AO27" s="1688"/>
      <c r="AP27" s="1688"/>
      <c r="AQ27" s="1688"/>
      <c r="AR27" s="1688"/>
      <c r="AS27" s="1688"/>
      <c r="AT27" s="1688"/>
      <c r="AU27" s="1686"/>
      <c r="AV27" s="1686"/>
      <c r="AW27" s="1686"/>
      <c r="AX27" s="1686"/>
      <c r="BB27" s="1686"/>
      <c r="BC27" s="1713"/>
      <c r="BD27" s="1690"/>
      <c r="BE27" s="1712"/>
      <c r="BF27" s="1712"/>
      <c r="BG27" s="1707"/>
      <c r="BH27" s="1679"/>
      <c r="BI27" s="1679"/>
      <c r="BJ27" s="1679"/>
      <c r="BK27" s="1679"/>
      <c r="BL27" s="1679"/>
      <c r="BM27" s="1679"/>
    </row>
    <row r="28" customHeight="1" spans="1:158">
      <c r="A28" s="1708" t="s">
        <v>61</v>
      </c>
      <c r="L28" s="1246"/>
      <c r="M28" s="1246"/>
      <c r="N28" s="1246">
        <f>N27/M27-1</f>
        <v>-0.0607476635514017</v>
      </c>
      <c r="O28" s="1246">
        <f>O27/N27-1</f>
        <v>0.598258706467661</v>
      </c>
      <c r="P28" s="1246">
        <f>P27/O27-1</f>
        <v>0.00622568093385212</v>
      </c>
      <c r="Q28" s="1709">
        <f>Q27/P27-1</f>
        <v>0.0982211910286157</v>
      </c>
      <c r="R28" s="1709">
        <f>+R27/Q27-1</f>
        <v>0.112676056338028</v>
      </c>
      <c r="S28" s="1709">
        <f>+S27/R27-1</f>
        <v>0.25126582278481</v>
      </c>
      <c r="T28" s="1709">
        <f t="shared" ref="T28:AK28" si="83">T27/S27-1</f>
        <v>-0.160849772382398</v>
      </c>
      <c r="U28" s="1709">
        <f t="shared" si="83"/>
        <v>-0.181434599156118</v>
      </c>
      <c r="V28" s="1709">
        <f t="shared" si="83"/>
        <v>0.0802650957290132</v>
      </c>
      <c r="W28" s="1709">
        <f t="shared" si="83"/>
        <v>0.00545330606680294</v>
      </c>
      <c r="X28" s="1709">
        <f t="shared" si="83"/>
        <v>-0.497627118644068</v>
      </c>
      <c r="Y28" s="1709">
        <f t="shared" si="83"/>
        <v>0.121457489878543</v>
      </c>
      <c r="Z28" s="1709">
        <f t="shared" si="83"/>
        <v>-0.271961492178099</v>
      </c>
      <c r="AA28" s="1709">
        <f t="shared" si="83"/>
        <v>-0.213223140495868</v>
      </c>
      <c r="AB28" s="1709">
        <f t="shared" si="83"/>
        <v>-0.697478991596635</v>
      </c>
      <c r="AC28" s="1709">
        <f t="shared" si="83"/>
        <v>0.0416666666666539</v>
      </c>
      <c r="AD28" s="1709">
        <f t="shared" si="83"/>
        <v>0.326666666666667</v>
      </c>
      <c r="AE28" s="1709">
        <f t="shared" si="83"/>
        <v>-0.477386934673367</v>
      </c>
      <c r="AF28" s="1711">
        <f t="shared" si="83"/>
        <v>-0.307692307692308</v>
      </c>
      <c r="AG28" s="1709">
        <f t="shared" si="83"/>
        <v>1.1076388888888</v>
      </c>
      <c r="AH28" s="1709">
        <f t="shared" si="83"/>
        <v>0.0101490643285971</v>
      </c>
      <c r="AI28" s="1709">
        <f t="shared" si="83"/>
        <v>0</v>
      </c>
      <c r="AJ28" s="1709">
        <f t="shared" si="83"/>
        <v>0</v>
      </c>
      <c r="AK28" s="1709">
        <f t="shared" si="83"/>
        <v>0</v>
      </c>
      <c r="AL28" s="1709"/>
      <c r="AT28" s="1688"/>
      <c r="AU28" s="1686"/>
      <c r="AV28" s="1686"/>
      <c r="AW28" s="1686"/>
      <c r="BC28" s="1713"/>
      <c r="BD28" s="1690"/>
      <c r="BE28" s="1712"/>
      <c r="BF28" s="1712"/>
      <c r="BG28" s="1707"/>
      <c r="BH28" s="1679"/>
      <c r="BI28" s="1679"/>
      <c r="BJ28" s="1679"/>
      <c r="BK28" s="1679"/>
      <c r="BL28" s="1679"/>
      <c r="BM28" s="1679"/>
    </row>
    <row r="29" customHeight="1" spans="1:158">
      <c r="A29" s="1708" t="s">
        <v>63</v>
      </c>
      <c r="L29" s="1246"/>
      <c r="M29" s="1246"/>
      <c r="N29" s="1246"/>
      <c r="O29" s="1246"/>
      <c r="P29" s="1246">
        <f>P28-P30</f>
        <v>0.0462256809338521</v>
      </c>
      <c r="Q29" s="1709">
        <f>Q28-Q30</f>
        <v>0.0822211910286157</v>
      </c>
      <c r="R29" s="1709">
        <f>+R28-R30</f>
        <v>-0.0173239436619718</v>
      </c>
      <c r="S29" s="1709">
        <f>+S28-S30</f>
        <v>0.0828569620253164</v>
      </c>
      <c r="T29" s="1709">
        <f t="shared" ref="T29:AA29" si="84">T28-T30</f>
        <v>-0.209562468386444</v>
      </c>
      <c r="U29" s="1709">
        <f t="shared" si="84"/>
        <v>0.00956540084388185</v>
      </c>
      <c r="V29" s="1709">
        <f t="shared" si="84"/>
        <v>0.106857142857143</v>
      </c>
      <c r="W29" s="1709">
        <f t="shared" si="84"/>
        <v>-0.00420449897750517</v>
      </c>
      <c r="X29" s="1709">
        <f t="shared" si="84"/>
        <v>-0.625356319612591</v>
      </c>
      <c r="Y29" s="1709">
        <f t="shared" si="84"/>
        <v>0.121457489878543</v>
      </c>
      <c r="Z29" s="1709">
        <f t="shared" si="84"/>
        <v>-0.271961492178099</v>
      </c>
      <c r="AA29" s="1709">
        <f t="shared" si="84"/>
        <v>-0.0140052206109311</v>
      </c>
      <c r="AB29" s="1709">
        <f t="shared" ref="AB29:AG29" si="85">AB28-AB30</f>
        <v>-0.0255829659066866</v>
      </c>
      <c r="AC29" s="1709">
        <f t="shared" si="85"/>
        <v>0.100762942302335</v>
      </c>
      <c r="AD29" s="1709">
        <f t="shared" si="85"/>
        <v>-0.0403086346220484</v>
      </c>
      <c r="AE29" s="1709">
        <f t="shared" si="85"/>
        <v>0.00550859177833524</v>
      </c>
      <c r="AF29" s="1711">
        <f t="shared" si="85"/>
        <v>-0.201307692307692</v>
      </c>
      <c r="AG29" s="1709">
        <f t="shared" si="85"/>
        <v>0</v>
      </c>
      <c r="AH29" s="1709">
        <f t="shared" ref="AH29" si="86">AH28-AH30</f>
        <v>0.0101490643285971</v>
      </c>
      <c r="AI29" s="1709">
        <f t="shared" ref="AI29:AJ29" si="87">AI28-AI30</f>
        <v>0</v>
      </c>
      <c r="AJ29" s="1709">
        <f t="shared" si="87"/>
        <v>0</v>
      </c>
      <c r="AK29" s="1709">
        <f t="shared" ref="AK29" si="88">AK28-AK30</f>
        <v>0</v>
      </c>
      <c r="AL29" s="1709"/>
      <c r="AT29" s="1688"/>
      <c r="AU29" s="1686"/>
      <c r="AV29" s="1686"/>
      <c r="AW29" s="1686"/>
      <c r="BC29" s="1713"/>
      <c r="BD29" s="1690"/>
      <c r="BE29" s="1712"/>
      <c r="BF29" s="1712"/>
      <c r="BG29" s="1707"/>
      <c r="BH29" s="1679"/>
      <c r="BI29" s="1679"/>
      <c r="BJ29" s="1679"/>
      <c r="BK29" s="1679"/>
      <c r="BL29" s="1679"/>
      <c r="BM29" s="1679"/>
    </row>
    <row r="30" customHeight="1" spans="1:158">
      <c r="A30" s="1708" t="s">
        <v>65</v>
      </c>
      <c r="L30" s="1246"/>
      <c r="M30" s="1246"/>
      <c r="N30" s="1246"/>
      <c r="O30" s="1246"/>
      <c r="P30" s="1246">
        <v>-0.04</v>
      </c>
      <c r="Q30" s="1709">
        <v>0.016</v>
      </c>
      <c r="R30" s="1709">
        <f>Interim!EG24</f>
        <v>0.13</v>
      </c>
      <c r="S30" s="1709">
        <f>+Interim!EO24</f>
        <v>0.168408860759494</v>
      </c>
      <c r="T30" s="1709">
        <f>Interim!EW24</f>
        <v>0.0487126960040465</v>
      </c>
      <c r="U30" s="1709">
        <v>-0.191</v>
      </c>
      <c r="V30" s="1709">
        <f t="shared" ref="V30:AA30" si="89">V140</f>
        <v>-0.0265920471281296</v>
      </c>
      <c r="W30" s="1709">
        <f t="shared" si="89"/>
        <v>0.00965780504430811</v>
      </c>
      <c r="X30" s="1709">
        <f t="shared" si="89"/>
        <v>0.127729200968523</v>
      </c>
      <c r="Y30" s="1709">
        <f t="shared" si="89"/>
        <v>0</v>
      </c>
      <c r="Z30" s="1709">
        <f t="shared" si="89"/>
        <v>0</v>
      </c>
      <c r="AA30" s="1709">
        <f t="shared" si="89"/>
        <v>-0.199217919884937</v>
      </c>
      <c r="AB30" s="1709">
        <f t="shared" ref="AB30:AG30" si="90">AB140</f>
        <v>-0.671896025689948</v>
      </c>
      <c r="AC30" s="1709">
        <f t="shared" si="90"/>
        <v>-0.059096275635681</v>
      </c>
      <c r="AD30" s="1709">
        <f t="shared" si="90"/>
        <v>0.366975301288716</v>
      </c>
      <c r="AE30" s="1709">
        <f t="shared" si="90"/>
        <v>-0.482895526451702</v>
      </c>
      <c r="AF30" s="1711">
        <f t="shared" si="90"/>
        <v>-0.106384615384615</v>
      </c>
      <c r="AG30" s="1709">
        <f t="shared" si="90"/>
        <v>1.1076388888888</v>
      </c>
      <c r="AH30" s="1709">
        <f t="shared" ref="AH30" si="91">AH140</f>
        <v>0</v>
      </c>
      <c r="AI30" s="1709">
        <f t="shared" ref="AI30:AJ30" si="92">AI140</f>
        <v>0</v>
      </c>
      <c r="AJ30" s="1709">
        <f t="shared" si="92"/>
        <v>0</v>
      </c>
      <c r="AK30" s="1709">
        <f t="shared" ref="AK30" si="93">AK140</f>
        <v>0</v>
      </c>
      <c r="AL30" s="1709"/>
      <c r="AT30" s="1688"/>
      <c r="AU30" s="1686"/>
      <c r="AV30" s="1686"/>
      <c r="AW30" s="1686"/>
      <c r="BC30" s="1713"/>
      <c r="BD30" s="1690"/>
      <c r="BE30" s="1712"/>
      <c r="BF30" s="1712"/>
      <c r="BG30" s="1707"/>
      <c r="BH30" s="1679"/>
      <c r="BI30" s="1679"/>
      <c r="BJ30" s="1679"/>
      <c r="BK30" s="1679"/>
      <c r="BL30" s="1679"/>
      <c r="BM30" s="1679"/>
    </row>
    <row r="31" customHeight="1" spans="1:158">
      <c r="A31" s="1708" t="s">
        <v>66</v>
      </c>
      <c r="L31" s="1246"/>
      <c r="M31" s="1246">
        <v>0.0848869496231654</v>
      </c>
      <c r="N31" s="1246">
        <v>0.0780658316341392</v>
      </c>
      <c r="O31" s="1246">
        <f t="shared" ref="O31:AA31" si="94">O27/O32</f>
        <v>0.119191169650311</v>
      </c>
      <c r="P31" s="1246">
        <f t="shared" si="94"/>
        <v>0.124770819260832</v>
      </c>
      <c r="Q31" s="1246">
        <f t="shared" si="94"/>
        <v>0.118432026688907</v>
      </c>
      <c r="R31" s="1246">
        <f t="shared" si="94"/>
        <v>0.118591908729265</v>
      </c>
      <c r="S31" s="1246">
        <f t="shared" si="94"/>
        <v>0.132836121749647</v>
      </c>
      <c r="T31" s="1246">
        <f t="shared" si="94"/>
        <v>0.116789862724393</v>
      </c>
      <c r="U31" s="1246">
        <f t="shared" si="94"/>
        <v>0.0934360809137195</v>
      </c>
      <c r="V31" s="1246">
        <f t="shared" si="94"/>
        <v>0.0867277564292048</v>
      </c>
      <c r="W31" s="1246">
        <f t="shared" si="94"/>
        <v>0.076464489372732</v>
      </c>
      <c r="X31" s="1246">
        <f t="shared" si="94"/>
        <v>0.0349231784334056</v>
      </c>
      <c r="Y31" s="1246">
        <f t="shared" si="94"/>
        <v>0.0379192334017796</v>
      </c>
      <c r="Z31" s="1246">
        <f t="shared" si="94"/>
        <v>0.0255911340467831</v>
      </c>
      <c r="AA31" s="1246">
        <f t="shared" si="94"/>
        <v>0.023987099375126</v>
      </c>
      <c r="AB31" s="1246">
        <f t="shared" ref="AB31:AG31" si="95">AB27/AB32</f>
        <v>0.00678157671658669</v>
      </c>
      <c r="AC31" s="1246">
        <f t="shared" si="95"/>
        <v>0.00666340900004442</v>
      </c>
      <c r="AD31" s="1246">
        <f t="shared" si="95"/>
        <v>0.0096237547151562</v>
      </c>
      <c r="AE31" s="1246">
        <f t="shared" si="95"/>
        <v>0.0045152607128902</v>
      </c>
      <c r="AF31" s="1717">
        <f t="shared" si="95"/>
        <v>0.00290193865624118</v>
      </c>
      <c r="AG31" s="1246">
        <f t="shared" si="95"/>
        <v>0.00559283474114273</v>
      </c>
      <c r="AH31" s="1246">
        <f t="shared" ref="AH31" si="96">AH27/AH32</f>
        <v>0.00525260261158459</v>
      </c>
      <c r="AI31" s="1246">
        <f t="shared" ref="AI31:AJ31" si="97">AI27/AI32</f>
        <v>0.00491941882199015</v>
      </c>
      <c r="AJ31" s="1246">
        <f t="shared" si="97"/>
        <v>0.0046427949016442</v>
      </c>
      <c r="AK31" s="1246">
        <f t="shared" ref="AK31" si="98">AK27/AK32</f>
        <v>0.00438142547611981</v>
      </c>
      <c r="AL31" s="1246"/>
      <c r="AT31" s="1688"/>
      <c r="AU31" s="1686"/>
      <c r="AV31" s="1686"/>
      <c r="AW31" s="1686"/>
      <c r="BC31" s="1713"/>
      <c r="BD31" s="1690"/>
      <c r="BE31" s="1712"/>
      <c r="BF31" s="1712"/>
      <c r="BG31" s="1707"/>
      <c r="BH31" s="1679"/>
      <c r="BI31" s="1679"/>
      <c r="BJ31" s="1679"/>
      <c r="BK31" s="1679"/>
      <c r="BL31" s="1679"/>
      <c r="BM31" s="1679"/>
    </row>
    <row r="32" s="1676" customFormat="1" customHeight="1" spans="1:158">
      <c r="A32" s="1732" t="s">
        <v>71</v>
      </c>
      <c r="B32" s="1733"/>
      <c r="C32" s="1733"/>
      <c r="D32" s="1733"/>
      <c r="E32" s="1733"/>
      <c r="F32" s="1733"/>
      <c r="G32" s="1733"/>
      <c r="H32" s="1733"/>
      <c r="I32" s="1733"/>
      <c r="J32" s="1733"/>
      <c r="K32" s="1733">
        <f>K325</f>
        <v>5860</v>
      </c>
      <c r="L32" s="1734">
        <v>6636</v>
      </c>
      <c r="M32" s="1734">
        <v>10084</v>
      </c>
      <c r="N32" s="1734">
        <v>10299</v>
      </c>
      <c r="O32" s="1734">
        <f>SUM(O27,O10,O5)</f>
        <v>10781</v>
      </c>
      <c r="P32" s="1734">
        <f>SUM(P27,P10,P5)</f>
        <v>10363</v>
      </c>
      <c r="Q32" s="1734">
        <f>SUM(Q27,Q10,Q5)</f>
        <v>11990</v>
      </c>
      <c r="R32" s="1734">
        <f>Interim!EG26</f>
        <v>13323</v>
      </c>
      <c r="S32" s="1734">
        <f>+Interim!EO26</f>
        <v>14883</v>
      </c>
      <c r="T32" s="1734">
        <f>T325</f>
        <v>14205</v>
      </c>
      <c r="U32" s="1734">
        <f>U325</f>
        <v>14534</v>
      </c>
      <c r="V32" s="1734">
        <f t="shared" ref="V32:AA32" si="99">V143</f>
        <v>16915</v>
      </c>
      <c r="W32" s="1734">
        <f t="shared" si="99"/>
        <v>19290</v>
      </c>
      <c r="X32" s="1734">
        <f t="shared" si="99"/>
        <v>21218</v>
      </c>
      <c r="Y32" s="1734">
        <f t="shared" si="99"/>
        <v>21915</v>
      </c>
      <c r="Z32" s="1734">
        <f t="shared" si="99"/>
        <v>23641</v>
      </c>
      <c r="AA32" s="1734">
        <f t="shared" si="99"/>
        <v>19844</v>
      </c>
      <c r="AB32" s="1734">
        <f t="shared" ref="AB32:AG32" si="100">AB143</f>
        <v>21234</v>
      </c>
      <c r="AC32" s="1734">
        <f t="shared" si="100"/>
        <v>22511</v>
      </c>
      <c r="AD32" s="1734">
        <f t="shared" si="100"/>
        <v>20678</v>
      </c>
      <c r="AE32" s="1734">
        <f t="shared" si="100"/>
        <v>23033</v>
      </c>
      <c r="AF32" s="1735">
        <f t="shared" si="100"/>
        <v>24811</v>
      </c>
      <c r="AG32" s="1734">
        <f t="shared" si="100"/>
        <v>27132.9311563009</v>
      </c>
      <c r="AH32" s="1734">
        <f t="shared" ref="AH32" si="101">AH143</f>
        <v>29183.6508198389</v>
      </c>
      <c r="AI32" s="1734">
        <f t="shared" ref="AI32:AJ32" si="102">AI143</f>
        <v>31160.2093781161</v>
      </c>
      <c r="AJ32" s="1734">
        <f t="shared" si="102"/>
        <v>33016.7762649976</v>
      </c>
      <c r="AK32" s="1734">
        <f t="shared" ref="AK32" si="103">AK143</f>
        <v>34986.3580579743</v>
      </c>
      <c r="AL32" s="1734"/>
      <c r="AM32" s="1736">
        <f>((AF32/AB32)^0.25)-1</f>
        <v>0.0396881975540018</v>
      </c>
      <c r="AN32" s="1688"/>
      <c r="AO32" s="1688"/>
      <c r="AP32" s="1688"/>
      <c r="AQ32" s="1688"/>
      <c r="AR32" s="1688"/>
      <c r="AS32" s="1688"/>
      <c r="AT32" s="1688"/>
      <c r="AU32" s="1686"/>
      <c r="AV32" s="1686"/>
      <c r="AW32" s="1686"/>
      <c r="AX32" s="1686"/>
      <c r="BB32" s="1686"/>
      <c r="BC32" s="1713"/>
      <c r="BD32" s="1690"/>
      <c r="BE32" s="1712"/>
      <c r="BF32" s="1712"/>
      <c r="BG32" s="1707"/>
      <c r="BH32" s="1679"/>
      <c r="BI32" s="1679"/>
      <c r="BJ32" s="1679"/>
      <c r="BK32" s="1679"/>
      <c r="BL32" s="1679"/>
      <c r="BM32" s="1679"/>
    </row>
    <row r="33" customHeight="1" spans="1:67">
      <c r="A33" s="1708" t="s">
        <v>61</v>
      </c>
      <c r="L33" s="1246">
        <f t="shared" ref="L33:AK33" si="104">L32/K32-1</f>
        <v>0.132423208191126</v>
      </c>
      <c r="M33" s="1246">
        <v>0.14</v>
      </c>
      <c r="N33" s="1246">
        <f t="shared" si="104"/>
        <v>0.0213209044030147</v>
      </c>
      <c r="O33" s="1246">
        <f t="shared" si="104"/>
        <v>0.0468006602582776</v>
      </c>
      <c r="P33" s="1246">
        <f t="shared" si="104"/>
        <v>-0.0387719135516186</v>
      </c>
      <c r="Q33" s="1709">
        <f t="shared" si="104"/>
        <v>0.15700086847438</v>
      </c>
      <c r="R33" s="1709">
        <f t="shared" si="104"/>
        <v>0.111175979983319</v>
      </c>
      <c r="S33" s="1709">
        <f t="shared" si="104"/>
        <v>0.117090745327629</v>
      </c>
      <c r="T33" s="1709">
        <f t="shared" si="104"/>
        <v>-0.0455553315863737</v>
      </c>
      <c r="U33" s="1709">
        <f t="shared" si="104"/>
        <v>0.0231608588525167</v>
      </c>
      <c r="V33" s="1709">
        <f t="shared" si="104"/>
        <v>0.163822760423834</v>
      </c>
      <c r="W33" s="1709">
        <f t="shared" si="104"/>
        <v>0.140407921962755</v>
      </c>
      <c r="X33" s="1709">
        <f t="shared" si="104"/>
        <v>0.0999481596682219</v>
      </c>
      <c r="Y33" s="1709">
        <f t="shared" si="104"/>
        <v>0.0328494674333115</v>
      </c>
      <c r="Z33" s="1709">
        <f t="shared" si="104"/>
        <v>0.0787588409764999</v>
      </c>
      <c r="AA33" s="1709">
        <f t="shared" si="104"/>
        <v>-0.160610803265513</v>
      </c>
      <c r="AB33" s="1709">
        <f t="shared" si="104"/>
        <v>0.070046361620641</v>
      </c>
      <c r="AC33" s="1709">
        <f t="shared" si="104"/>
        <v>0.0601393990769521</v>
      </c>
      <c r="AD33" s="1709">
        <f t="shared" si="104"/>
        <v>-0.0814268579805427</v>
      </c>
      <c r="AE33" s="1709">
        <f t="shared" si="104"/>
        <v>0.113889157558758</v>
      </c>
      <c r="AF33" s="1711">
        <f t="shared" si="104"/>
        <v>0.0771935918030651</v>
      </c>
      <c r="AG33" s="1709">
        <f t="shared" si="104"/>
        <v>0.0935847469388953</v>
      </c>
      <c r="AH33" s="1709">
        <f t="shared" si="104"/>
        <v>0.0755804690515973</v>
      </c>
      <c r="AI33" s="1709">
        <f t="shared" si="104"/>
        <v>0.0677282828827417</v>
      </c>
      <c r="AJ33" s="1709">
        <f t="shared" si="104"/>
        <v>0.0595813354253465</v>
      </c>
      <c r="AK33" s="1709">
        <f t="shared" si="104"/>
        <v>0.059653970368533</v>
      </c>
      <c r="AL33" s="1709"/>
      <c r="AT33" s="1688"/>
      <c r="AU33" s="1686"/>
      <c r="AV33" s="1686"/>
      <c r="AW33" s="1686"/>
      <c r="BC33" s="1713"/>
      <c r="BD33" s="1690"/>
      <c r="BE33" s="1712"/>
      <c r="BF33" s="1712"/>
      <c r="BG33" s="1707"/>
      <c r="BH33" s="1679"/>
      <c r="BI33" s="1679"/>
      <c r="BJ33" s="1679"/>
      <c r="BK33" s="1679"/>
      <c r="BL33" s="1679"/>
      <c r="BM33" s="1679"/>
    </row>
    <row r="34" customHeight="1" spans="1:67">
      <c r="A34" s="1708" t="s">
        <v>63</v>
      </c>
      <c r="L34" s="1737"/>
      <c r="M34" s="1737"/>
      <c r="N34" s="1737"/>
      <c r="O34" s="1737"/>
      <c r="P34" s="1246">
        <f t="shared" ref="P34:V34" si="105">P33-P35</f>
        <v>0.0194750023188944</v>
      </c>
      <c r="Q34" s="1246">
        <f t="shared" si="105"/>
        <v>0.0704182186625495</v>
      </c>
      <c r="R34" s="1246">
        <f t="shared" si="105"/>
        <v>-0.0188240200166806</v>
      </c>
      <c r="S34" s="1246">
        <f t="shared" si="105"/>
        <v>0.0533131877204833</v>
      </c>
      <c r="T34" s="1246">
        <f t="shared" si="105"/>
        <v>-0.0749744003225156</v>
      </c>
      <c r="U34" s="1246">
        <f t="shared" si="105"/>
        <v>-0.0415310401262302</v>
      </c>
      <c r="V34" s="1246">
        <f t="shared" si="105"/>
        <v>0.0674816746191135</v>
      </c>
      <c r="W34" s="1246">
        <f>W149</f>
        <v>-0.0433789067363964</v>
      </c>
      <c r="X34" s="1246">
        <f>X33-X35</f>
        <v>-0.0600496271562142</v>
      </c>
      <c r="Y34" s="1246">
        <f>Y33-Y35</f>
        <v>-0.0513580921858798</v>
      </c>
      <c r="Z34" s="1246">
        <f t="shared" ref="Z34:AB34" si="106">Z33-Z35</f>
        <v>0.0182392699064566</v>
      </c>
      <c r="AA34" s="1246">
        <f t="shared" si="106"/>
        <v>-0.0261258601521352</v>
      </c>
      <c r="AB34" s="1246">
        <f t="shared" si="106"/>
        <v>-0.089953638379359</v>
      </c>
      <c r="AC34" s="1246">
        <f t="shared" ref="AC34:AD34" si="107">AC33-AC35</f>
        <v>0.049704153715739</v>
      </c>
      <c r="AD34" s="1246">
        <f t="shared" si="107"/>
        <v>-0.0374268579805427</v>
      </c>
      <c r="AE34" s="1246">
        <f t="shared" ref="AE34:AF34" si="108">AE33-AE35</f>
        <v>-0.023656533041692</v>
      </c>
      <c r="AF34" s="1717">
        <f t="shared" si="108"/>
        <v>-0.0509745569400427</v>
      </c>
      <c r="AG34" s="1246">
        <f t="shared" ref="AG34:AH34" si="109">AG33-AG35</f>
        <v>-0.0118076193502505</v>
      </c>
      <c r="AH34" s="1246">
        <f t="shared" si="109"/>
        <v>0.00808578980725629</v>
      </c>
      <c r="AI34" s="1246">
        <f t="shared" ref="AI34:AJ34" si="110">AI33-AI35</f>
        <v>0</v>
      </c>
      <c r="AJ34" s="1246">
        <f t="shared" si="110"/>
        <v>1.52655665885959e-16</v>
      </c>
      <c r="AK34" s="1246">
        <f t="shared" ref="AK34" si="111">AK33-AK35</f>
        <v>0</v>
      </c>
      <c r="AL34" s="1246"/>
      <c r="AT34" s="1688"/>
      <c r="AU34" s="1686"/>
      <c r="AV34" s="1686"/>
      <c r="AW34" s="1686"/>
      <c r="BC34" s="1713"/>
      <c r="BD34" s="1690"/>
      <c r="BE34" s="1712"/>
      <c r="BF34" s="1712"/>
      <c r="BG34" s="1707"/>
      <c r="BH34" s="1679"/>
      <c r="BI34" s="1679"/>
      <c r="BJ34" s="1679"/>
      <c r="BK34" s="1679"/>
      <c r="BL34" s="1679"/>
      <c r="BM34" s="1679"/>
    </row>
    <row r="35" customHeight="1" spans="1:67">
      <c r="A35" s="1708" t="s">
        <v>65</v>
      </c>
      <c r="L35" s="1737"/>
      <c r="M35" s="1737"/>
      <c r="N35" s="1737"/>
      <c r="O35" s="1737"/>
      <c r="P35" s="1246">
        <f>(P8*$O$5+P13*$O$10+P30*$O$27)/$O$32</f>
        <v>-0.0582469158705129</v>
      </c>
      <c r="Q35" s="1246">
        <f>(Q8*$P$5+Q13*$P$10+Q30*$P$27)/$P$32</f>
        <v>0.0865826498118305</v>
      </c>
      <c r="R35" s="1246">
        <f>Interim!EG29</f>
        <v>0.13</v>
      </c>
      <c r="S35" s="1246">
        <f>Interim!EO29</f>
        <v>0.0637775576071455</v>
      </c>
      <c r="T35" s="1246">
        <f>Interim!EW29</f>
        <v>0.0294190687361419</v>
      </c>
      <c r="U35" s="1246">
        <f>Interim!FE29</f>
        <v>0.0646918989787469</v>
      </c>
      <c r="V35" s="1246">
        <f t="shared" ref="V35:AA35" si="112">V146</f>
        <v>0.0963410858047203</v>
      </c>
      <c r="W35" s="1246">
        <f t="shared" si="112"/>
        <v>0.1815992905705</v>
      </c>
      <c r="X35" s="1246">
        <f t="shared" si="112"/>
        <v>0.159997786824436</v>
      </c>
      <c r="Y35" s="1246">
        <f t="shared" si="112"/>
        <v>0.0842075596191913</v>
      </c>
      <c r="Z35" s="1246">
        <f t="shared" si="112"/>
        <v>0.0605195710700433</v>
      </c>
      <c r="AA35" s="1246">
        <f t="shared" si="112"/>
        <v>-0.134484943113378</v>
      </c>
      <c r="AB35" s="1246">
        <f t="shared" ref="AB35:AG35" si="113">AB146</f>
        <v>0.16</v>
      </c>
      <c r="AC35" s="1246">
        <f t="shared" si="113"/>
        <v>0.0104352453612131</v>
      </c>
      <c r="AD35" s="1246">
        <f t="shared" si="113"/>
        <v>-0.044</v>
      </c>
      <c r="AE35" s="1246">
        <f t="shared" si="113"/>
        <v>0.13754569060045</v>
      </c>
      <c r="AF35" s="1717">
        <f t="shared" si="113"/>
        <v>0.128168148743108</v>
      </c>
      <c r="AG35" s="1246">
        <f t="shared" si="113"/>
        <v>0.105392366289146</v>
      </c>
      <c r="AH35" s="1246">
        <f t="shared" ref="AH35" si="114">AH146</f>
        <v>0.067494679244341</v>
      </c>
      <c r="AI35" s="1246">
        <f t="shared" ref="AI35:AJ35" si="115">AI146</f>
        <v>0.0677282828827418</v>
      </c>
      <c r="AJ35" s="1246">
        <f t="shared" si="115"/>
        <v>0.0595813354253463</v>
      </c>
      <c r="AK35" s="1246">
        <f t="shared" ref="AK35" si="116">AK146</f>
        <v>0.0596539703685331</v>
      </c>
      <c r="AL35" s="1246"/>
      <c r="AM35" s="1736"/>
      <c r="AT35" s="1688"/>
      <c r="AU35" s="1686"/>
      <c r="AV35" s="1686"/>
      <c r="AW35" s="1686"/>
      <c r="BC35" s="1713"/>
      <c r="BD35" s="1690"/>
      <c r="BE35" s="1712"/>
      <c r="BF35" s="1712"/>
      <c r="BG35" s="1707"/>
      <c r="BH35" s="1679"/>
      <c r="BI35" s="1679"/>
      <c r="BJ35" s="1679"/>
      <c r="BK35" s="1679"/>
      <c r="BL35" s="1679"/>
      <c r="BM35" s="1679"/>
    </row>
    <row r="36" s="1677" customFormat="1" customHeight="1" spans="1:67">
      <c r="A36" s="1738" t="s">
        <v>72</v>
      </c>
      <c r="B36" s="1739"/>
      <c r="C36" s="1739"/>
      <c r="D36" s="1739"/>
      <c r="E36" s="1739"/>
      <c r="F36" s="1739"/>
      <c r="G36" s="1739"/>
      <c r="H36" s="1739"/>
      <c r="I36" s="1739"/>
      <c r="J36" s="1739"/>
      <c r="K36" s="1739"/>
      <c r="L36" s="1740"/>
      <c r="M36" s="1740"/>
      <c r="N36" s="1740"/>
      <c r="O36" s="1740"/>
      <c r="P36" s="1740"/>
      <c r="Q36" s="1740"/>
      <c r="R36" s="1740"/>
      <c r="S36" s="1740"/>
      <c r="T36" s="1741"/>
      <c r="U36" s="1741"/>
      <c r="V36" s="1741"/>
      <c r="W36" s="1742"/>
      <c r="X36" s="1743"/>
      <c r="Y36" s="1743">
        <f t="shared" ref="Y36:AK36" si="117">(Y14-X14)*25%</f>
        <v>0.00496808260142362</v>
      </c>
      <c r="Z36" s="1743">
        <f t="shared" si="117"/>
        <v>0.00861863541881126</v>
      </c>
      <c r="AA36" s="1743">
        <f t="shared" si="117"/>
        <v>0.0198046363726659</v>
      </c>
      <c r="AB36" s="1743">
        <f t="shared" si="117"/>
        <v>-0.00478654516341717</v>
      </c>
      <c r="AC36" s="1743">
        <f t="shared" si="117"/>
        <v>0.000502054997123261</v>
      </c>
      <c r="AD36" s="1743">
        <f t="shared" si="117"/>
        <v>0.00687506735216216</v>
      </c>
      <c r="AE36" s="1743">
        <f t="shared" si="117"/>
        <v>-0.00202269691000882</v>
      </c>
      <c r="AF36" s="1744">
        <f t="shared" si="117"/>
        <v>-0.00293788225193552</v>
      </c>
      <c r="AG36" s="1743">
        <f t="shared" si="117"/>
        <v>-0.00232348274652726</v>
      </c>
      <c r="AH36" s="1743">
        <f t="shared" si="117"/>
        <v>0.000227670196520632</v>
      </c>
      <c r="AI36" s="1743">
        <f t="shared" si="117"/>
        <v>0.000208444130880142</v>
      </c>
      <c r="AJ36" s="1743">
        <f t="shared" si="117"/>
        <v>0.000965377017070487</v>
      </c>
      <c r="AK36" s="1743">
        <f t="shared" si="117"/>
        <v>0.000968006614422326</v>
      </c>
      <c r="AL36" s="1743"/>
      <c r="AM36" s="1688"/>
      <c r="AN36" s="1688"/>
      <c r="AO36" s="1688"/>
      <c r="AP36" s="1688"/>
      <c r="AQ36" s="1688"/>
      <c r="AR36" s="1688"/>
      <c r="AS36" s="1688"/>
      <c r="AT36" s="1688"/>
      <c r="AU36" s="1686"/>
      <c r="AV36" s="1686"/>
      <c r="AW36" s="1686"/>
      <c r="AX36" s="1686"/>
      <c r="BB36" s="1686"/>
      <c r="BC36" s="1713"/>
      <c r="BD36" s="1690"/>
      <c r="BE36" s="1712"/>
      <c r="BF36" s="1712"/>
      <c r="BG36" s="1707"/>
      <c r="BH36" s="1679"/>
      <c r="BI36" s="1679"/>
      <c r="BJ36" s="1679"/>
      <c r="BK36" s="1679"/>
      <c r="BL36" s="1679"/>
      <c r="BM36" s="1679"/>
    </row>
    <row r="37" customHeight="1" spans="1:67">
      <c r="Q37" s="1745"/>
      <c r="R37" s="1745"/>
      <c r="S37" s="1745"/>
      <c r="T37" s="1741"/>
      <c r="U37" s="1741"/>
      <c r="V37" s="1741"/>
      <c r="W37" s="1746"/>
      <c r="X37" s="1747"/>
      <c r="Y37" s="1747"/>
      <c r="Z37" s="1747"/>
      <c r="AA37" s="1748"/>
      <c r="AB37" s="1748"/>
      <c r="AC37" s="1748"/>
      <c r="AD37" s="1748"/>
      <c r="AE37" s="1748"/>
      <c r="AF37" s="1749"/>
      <c r="AG37" s="1748"/>
      <c r="AH37" s="1748"/>
      <c r="AI37" s="1748"/>
      <c r="AJ37" s="1748"/>
      <c r="AK37" s="1748"/>
      <c r="AL37" s="1748"/>
      <c r="AT37" s="1688"/>
      <c r="AU37" s="1686"/>
      <c r="AV37" s="1686"/>
      <c r="AW37" s="1686"/>
      <c r="BC37" s="1713"/>
      <c r="BD37" s="1690"/>
      <c r="BE37" s="1691"/>
      <c r="BG37" s="1750"/>
    </row>
    <row r="38" hidden="1" customHeight="1" spans="1:67">
      <c r="A38" s="1751" t="s">
        <v>73</v>
      </c>
      <c r="L38" s="1752"/>
      <c r="M38" s="1752"/>
      <c r="N38" s="1752"/>
      <c r="O38" s="1752"/>
      <c r="P38" s="1752"/>
      <c r="Q38" s="1752"/>
      <c r="R38" s="1752"/>
      <c r="S38" s="1752"/>
      <c r="T38" s="1753"/>
      <c r="U38" s="1753"/>
      <c r="V38" s="1753"/>
      <c r="W38" s="1752"/>
      <c r="X38" s="1752"/>
      <c r="Y38" s="1752"/>
      <c r="Z38" s="1752"/>
      <c r="AA38" s="1752"/>
      <c r="AB38" s="1752"/>
      <c r="AC38" s="1752"/>
      <c r="AD38" s="1752"/>
      <c r="AE38" s="1752"/>
      <c r="AF38" s="1754"/>
      <c r="AG38" s="1752"/>
      <c r="AH38" s="1752"/>
      <c r="AI38" s="1752"/>
      <c r="AJ38" s="1752"/>
      <c r="AK38" s="1752"/>
      <c r="AL38" s="1752"/>
      <c r="AT38" s="1688"/>
      <c r="AU38" s="1688"/>
      <c r="AV38" s="1688"/>
      <c r="AW38" s="1688"/>
      <c r="BC38" s="1713"/>
      <c r="BD38" s="1690"/>
      <c r="BE38" s="1755"/>
      <c r="BF38" s="1755"/>
      <c r="BG38" s="1756"/>
      <c r="BH38" s="1756"/>
      <c r="BI38" s="1756"/>
      <c r="BJ38" s="1756"/>
      <c r="BK38" s="1755"/>
      <c r="BL38" s="1756"/>
      <c r="BM38" s="1756"/>
      <c r="BN38" s="1756"/>
      <c r="BO38" s="1756"/>
    </row>
    <row r="39" s="1673" customFormat="1" hidden="1" customHeight="1" spans="1:67">
      <c r="A39" s="1673" t="s">
        <v>60</v>
      </c>
      <c r="B39" s="1702"/>
      <c r="C39" s="1702"/>
      <c r="D39" s="1702"/>
      <c r="E39" s="1702"/>
      <c r="F39" s="1702"/>
      <c r="G39" s="1702"/>
      <c r="H39" s="1702"/>
      <c r="I39" s="1702"/>
      <c r="J39" s="1702"/>
      <c r="K39" s="1702"/>
      <c r="L39" s="1703"/>
      <c r="M39" s="1703"/>
      <c r="N39" s="1703"/>
      <c r="O39" s="1703">
        <v>3387</v>
      </c>
      <c r="P39" s="1703">
        <v>2978</v>
      </c>
      <c r="Q39" s="1703">
        <v>3379</v>
      </c>
      <c r="R39" s="1703">
        <v>3585</v>
      </c>
      <c r="S39" s="1703">
        <f>Interim!EO33</f>
        <v>3840</v>
      </c>
      <c r="T39" s="1703">
        <v>3884</v>
      </c>
      <c r="U39" s="1703">
        <v>3911</v>
      </c>
      <c r="V39" s="1703">
        <f>Interim!FM33</f>
        <v>5064.752</v>
      </c>
      <c r="W39" s="1703">
        <f t="shared" ref="W39:AB39" si="118">W5*W40</f>
        <v>5736.90766548211</v>
      </c>
      <c r="X39" s="1757">
        <f t="shared" si="118"/>
        <v>6691.31356434218</v>
      </c>
      <c r="Y39" s="1757">
        <f t="shared" si="118"/>
        <v>6725.48826579589</v>
      </c>
      <c r="Z39" s="1757">
        <f t="shared" si="118"/>
        <v>7090.04411769971</v>
      </c>
      <c r="AA39" s="1757">
        <f t="shared" si="118"/>
        <v>5245.16327451003</v>
      </c>
      <c r="AB39" s="1757">
        <f t="shared" si="118"/>
        <v>5985.66466661699</v>
      </c>
      <c r="AC39" s="1757">
        <f t="shared" ref="AC39:AD39" si="119">AC5*AC40</f>
        <v>6339.25948769237</v>
      </c>
      <c r="AD39" s="1757">
        <f t="shared" si="119"/>
        <v>5539.60002180495</v>
      </c>
      <c r="AE39" s="1757">
        <f t="shared" ref="AE39:AF39" si="120">AE5*AE40</f>
        <v>6326.76029350719</v>
      </c>
      <c r="AF39" s="1758">
        <f t="shared" si="120"/>
        <v>6986.06080350134</v>
      </c>
      <c r="AG39" s="1757">
        <f t="shared" ref="AG39:AH39" si="121">AG5*AG40</f>
        <v>7740.74576281287</v>
      </c>
      <c r="AH39" s="1757">
        <f t="shared" si="121"/>
        <v>8335.51807921042</v>
      </c>
      <c r="AI39" s="1757">
        <f t="shared" ref="AI39:AJ39" si="122">AI5*AI40</f>
        <v>8911.44796330301</v>
      </c>
      <c r="AJ39" s="1757">
        <f t="shared" si="122"/>
        <v>9405.9785636825</v>
      </c>
      <c r="AK39" s="1757">
        <f t="shared" ref="AK39" si="123">AK5*AK40</f>
        <v>9927.80348962415</v>
      </c>
      <c r="AL39" s="1757"/>
      <c r="AM39" s="1688"/>
      <c r="AN39" s="1688"/>
      <c r="AO39" s="1688"/>
      <c r="AP39" s="1688"/>
      <c r="AQ39" s="1688"/>
      <c r="AR39" s="1688"/>
      <c r="AS39" s="1688"/>
      <c r="AT39" s="1688"/>
      <c r="AU39" s="1688"/>
      <c r="AV39" s="1688"/>
      <c r="AW39" s="1688"/>
      <c r="AX39" s="1759"/>
      <c r="AY39" s="1759"/>
      <c r="BC39" s="1705"/>
      <c r="BD39" s="1760"/>
      <c r="BE39" s="1756"/>
      <c r="BG39" s="1761"/>
      <c r="BH39" s="1762"/>
      <c r="BI39" s="1763"/>
      <c r="BJ39" s="1763"/>
      <c r="BK39" s="1756"/>
      <c r="BL39" s="1762"/>
      <c r="BM39" s="1762"/>
      <c r="BN39" s="1756"/>
      <c r="BO39" s="1756"/>
    </row>
    <row r="40" s="1673" customFormat="1" hidden="1" customHeight="1" spans="1:67">
      <c r="A40" s="1676" t="s">
        <v>74</v>
      </c>
      <c r="B40" s="1702"/>
      <c r="C40" s="1702"/>
      <c r="D40" s="1702"/>
      <c r="E40" s="1702"/>
      <c r="F40" s="1702"/>
      <c r="G40" s="1702"/>
      <c r="H40" s="1702"/>
      <c r="I40" s="1702"/>
      <c r="J40" s="1702"/>
      <c r="K40" s="1702"/>
      <c r="L40" s="1703"/>
      <c r="M40" s="1703"/>
      <c r="N40" s="1703"/>
      <c r="O40" s="1246">
        <f>O39/O$5</f>
        <v>0.436581593194122</v>
      </c>
      <c r="P40" s="1246">
        <f>P39/P$5</f>
        <v>0.415689558905639</v>
      </c>
      <c r="Q40" s="1764">
        <f>Q39/Q5</f>
        <v>0.41303019190808</v>
      </c>
      <c r="R40" s="1764">
        <f>Interim!EG35</f>
        <v>0.398882681564246</v>
      </c>
      <c r="S40" s="1764">
        <f>+S39/S5</f>
        <v>0.402811287107941</v>
      </c>
      <c r="T40" s="1764">
        <f>T39/T5</f>
        <v>0.426813186813187</v>
      </c>
      <c r="U40" s="1764">
        <f>U39/U5</f>
        <v>0.417128839590444</v>
      </c>
      <c r="V40" s="1764">
        <f>V39/V5</f>
        <v>0.451122472610671</v>
      </c>
      <c r="W40" s="1764">
        <v>0.447776121252116</v>
      </c>
      <c r="X40" s="1765">
        <f>W40+0.01</f>
        <v>0.457776121252116</v>
      </c>
      <c r="Y40" s="1765">
        <f>X40+0.3%</f>
        <v>0.460776121252116</v>
      </c>
      <c r="Z40" s="1765">
        <f>Y40+0.5%</f>
        <v>0.465776121252116</v>
      </c>
      <c r="AA40" s="1765">
        <f t="shared" ref="AA40:AK40" si="124">Z40+0.1%</f>
        <v>0.466776121252116</v>
      </c>
      <c r="AB40" s="1765">
        <f t="shared" si="124"/>
        <v>0.467776121252116</v>
      </c>
      <c r="AC40" s="1765">
        <f t="shared" si="124"/>
        <v>0.468776121252116</v>
      </c>
      <c r="AD40" s="1765">
        <f t="shared" si="124"/>
        <v>0.469776121252116</v>
      </c>
      <c r="AE40" s="1765">
        <f t="shared" si="124"/>
        <v>0.470776121252116</v>
      </c>
      <c r="AF40" s="1766">
        <f t="shared" si="124"/>
        <v>0.471776121252116</v>
      </c>
      <c r="AG40" s="1765">
        <f t="shared" si="124"/>
        <v>0.472776121252116</v>
      </c>
      <c r="AH40" s="1765">
        <f t="shared" si="124"/>
        <v>0.473776121252116</v>
      </c>
      <c r="AI40" s="1765">
        <f t="shared" si="124"/>
        <v>0.474776121252116</v>
      </c>
      <c r="AJ40" s="1765">
        <f t="shared" si="124"/>
        <v>0.475776121252116</v>
      </c>
      <c r="AK40" s="1765">
        <f t="shared" si="124"/>
        <v>0.476776121252116</v>
      </c>
      <c r="AL40" s="1765"/>
      <c r="AM40" s="1688"/>
      <c r="AN40" s="1688"/>
      <c r="AO40" s="1688"/>
      <c r="AP40" s="1688"/>
      <c r="AQ40" s="1688"/>
      <c r="AR40" s="1688"/>
      <c r="AS40" s="1688"/>
      <c r="AT40" s="1688"/>
      <c r="AU40" s="1688"/>
      <c r="AV40" s="1688"/>
      <c r="AW40" s="1688"/>
      <c r="BC40" s="1712"/>
      <c r="BD40" s="1767"/>
      <c r="BE40" s="1768"/>
      <c r="BF40" s="1768"/>
      <c r="BG40" s="1768"/>
      <c r="BH40" s="1769"/>
      <c r="BI40" s="1769"/>
      <c r="BJ40" s="1679"/>
      <c r="BK40" s="1769"/>
      <c r="BL40" s="1769"/>
      <c r="BM40" s="1769"/>
      <c r="BN40" s="1769"/>
      <c r="BO40" s="1769"/>
    </row>
    <row r="41" s="1673" customFormat="1" hidden="1" customHeight="1" spans="1:67">
      <c r="A41" s="1673" t="s">
        <v>62</v>
      </c>
      <c r="B41" s="1702"/>
      <c r="C41" s="1702"/>
      <c r="D41" s="1702"/>
      <c r="E41" s="1702"/>
      <c r="F41" s="1702"/>
      <c r="G41" s="1702"/>
      <c r="H41" s="1702"/>
      <c r="I41" s="1702"/>
      <c r="J41" s="1702"/>
      <c r="K41" s="1702"/>
      <c r="L41" s="1703"/>
      <c r="M41" s="1703"/>
      <c r="N41" s="1703"/>
      <c r="O41" s="1703">
        <v>1069</v>
      </c>
      <c r="P41" s="1703">
        <v>1116</v>
      </c>
      <c r="Q41" s="1770">
        <v>1476</v>
      </c>
      <c r="R41" s="1770">
        <v>1749</v>
      </c>
      <c r="S41" s="1770">
        <f>Interim!EO36</f>
        <v>2055</v>
      </c>
      <c r="T41" s="1770">
        <v>2143</v>
      </c>
      <c r="U41" s="1770">
        <v>2281</v>
      </c>
      <c r="V41" s="1770">
        <f>Interim!FM36</f>
        <v>2606.248</v>
      </c>
      <c r="W41" s="1770">
        <f t="shared" ref="W41:AB41" si="125">W10*W42</f>
        <v>3089.09233451789</v>
      </c>
      <c r="X41" s="1757">
        <f t="shared" si="125"/>
        <v>3687.5356743905</v>
      </c>
      <c r="Y41" s="1757">
        <f t="shared" si="125"/>
        <v>4092.91645948273</v>
      </c>
      <c r="Z41" s="1757">
        <f t="shared" si="125"/>
        <v>4953.89884320221</v>
      </c>
      <c r="AA41" s="1757">
        <f t="shared" si="125"/>
        <v>5163.45922154707</v>
      </c>
      <c r="AB41" s="1757">
        <f t="shared" si="125"/>
        <v>5360.99491514525</v>
      </c>
      <c r="AC41" s="1757">
        <f t="shared" ref="AC41:AD41" si="126">AC10*AC42</f>
        <v>5712.62242467115</v>
      </c>
      <c r="AD41" s="1757">
        <f t="shared" si="126"/>
        <v>5615.02048009938</v>
      </c>
      <c r="AE41" s="1757">
        <f t="shared" ref="AE41:AF41" si="127">AE10*AE42</f>
        <v>6134.05598666318</v>
      </c>
      <c r="AF41" s="1758">
        <f t="shared" si="127"/>
        <v>6419.10537445227</v>
      </c>
      <c r="AG41" s="1757">
        <f t="shared" ref="AG41:AH41" si="128">AG10*AG42</f>
        <v>6856.83945157778</v>
      </c>
      <c r="AH41" s="1757">
        <f t="shared" si="128"/>
        <v>7392.26117573578</v>
      </c>
      <c r="AI41" s="1757">
        <f t="shared" ref="AI41:AJ41" si="129">AI10*AI42</f>
        <v>7909.71945803729</v>
      </c>
      <c r="AJ41" s="1757">
        <f t="shared" si="129"/>
        <v>8463.3998200999</v>
      </c>
      <c r="AK41" s="1757">
        <f t="shared" ref="AK41" si="130">AK10*AK42</f>
        <v>9055.83780750689</v>
      </c>
      <c r="AL41" s="1757"/>
      <c r="AM41" s="1688"/>
      <c r="AN41" s="1688"/>
      <c r="AO41" s="1688"/>
      <c r="AP41" s="1688"/>
      <c r="AQ41" s="1688"/>
      <c r="AR41" s="1688"/>
      <c r="AS41" s="1688"/>
      <c r="AT41" s="1688"/>
      <c r="AU41" s="1688"/>
      <c r="AV41" s="1688"/>
      <c r="AW41" s="1688"/>
      <c r="AX41" s="1759"/>
      <c r="AY41" s="1759"/>
      <c r="BC41" s="1705"/>
      <c r="BD41" s="1705"/>
      <c r="BE41" s="1771"/>
      <c r="BJ41" s="1769"/>
      <c r="BK41" s="1246"/>
    </row>
    <row r="42" hidden="1" customHeight="1" spans="1:67">
      <c r="A42" s="1676" t="s">
        <v>74</v>
      </c>
      <c r="L42" s="1715"/>
      <c r="M42" s="1715"/>
      <c r="N42" s="1715"/>
      <c r="O42" s="1246">
        <f>O41/O$10</f>
        <v>0.615074798619102</v>
      </c>
      <c r="P42" s="1246">
        <f>P41/P$10</f>
        <v>0.585519412381952</v>
      </c>
      <c r="Q42" s="1764">
        <f>Q41/Q10</f>
        <v>0.617831728756802</v>
      </c>
      <c r="R42" s="1764">
        <f>Interim!EG38</f>
        <v>0.626208378088077</v>
      </c>
      <c r="S42" s="1764">
        <f>+S41/S10</f>
        <v>0.609249925882004</v>
      </c>
      <c r="T42" s="1764">
        <f>T41/T10</f>
        <v>0.62188044109112</v>
      </c>
      <c r="U42" s="1764">
        <f>U41/U10</f>
        <v>0.597032084275549</v>
      </c>
      <c r="V42" s="1764">
        <f>V41/V10</f>
        <v>0.617447998104715</v>
      </c>
      <c r="W42" s="1764">
        <f>V42</f>
        <v>0.617447998104715</v>
      </c>
      <c r="X42" s="1765">
        <v>0.629272299384044</v>
      </c>
      <c r="Y42" s="1765">
        <v>0.630844090549127</v>
      </c>
      <c r="Z42" s="1765">
        <v>0.633977328282852</v>
      </c>
      <c r="AA42" s="1765">
        <v>0.635033725439315</v>
      </c>
      <c r="AB42" s="1765">
        <v>0.646370493852812</v>
      </c>
      <c r="AC42" s="1765">
        <v>0.646370493852812</v>
      </c>
      <c r="AD42" s="1765">
        <v>0.646370493852812</v>
      </c>
      <c r="AE42" s="1765">
        <v>0.646370493852812</v>
      </c>
      <c r="AF42" s="1766">
        <v>0.646370493852812</v>
      </c>
      <c r="AG42" s="1765">
        <v>0.646370493852812</v>
      </c>
      <c r="AH42" s="1765">
        <v>0.646370493852812</v>
      </c>
      <c r="AI42" s="1765">
        <v>0.646370493852812</v>
      </c>
      <c r="AJ42" s="1765">
        <v>0.646370493852812</v>
      </c>
      <c r="AK42" s="1765">
        <v>0.646370493852812</v>
      </c>
      <c r="AL42" s="1765"/>
      <c r="AT42" s="1688"/>
      <c r="AU42" s="1688"/>
      <c r="AV42" s="1688"/>
      <c r="AW42" s="1688"/>
      <c r="BC42" s="1712"/>
      <c r="BD42" s="1772"/>
      <c r="BE42" s="1771"/>
      <c r="BG42" s="1707"/>
      <c r="BJ42" s="1762"/>
    </row>
    <row r="43" s="1673" customFormat="1" hidden="1" customHeight="1" spans="1:67">
      <c r="A43" s="1673" t="s">
        <v>70</v>
      </c>
      <c r="B43" s="1702"/>
      <c r="C43" s="1702"/>
      <c r="D43" s="1702"/>
      <c r="E43" s="1702"/>
      <c r="F43" s="1702"/>
      <c r="G43" s="1702"/>
      <c r="H43" s="1702"/>
      <c r="I43" s="1702"/>
      <c r="J43" s="1702"/>
      <c r="K43" s="1702"/>
      <c r="L43" s="1703"/>
      <c r="M43" s="1703"/>
      <c r="N43" s="1703"/>
      <c r="O43" s="1703">
        <v>543</v>
      </c>
      <c r="P43" s="1703">
        <v>509</v>
      </c>
      <c r="Q43" s="1770">
        <v>618</v>
      </c>
      <c r="R43" s="1770">
        <v>688</v>
      </c>
      <c r="S43" s="1770">
        <f>Interim!EO42</f>
        <v>845</v>
      </c>
      <c r="T43" s="1770">
        <v>799</v>
      </c>
      <c r="U43" s="1770">
        <v>457</v>
      </c>
      <c r="V43" s="1770">
        <f>Interim!FM42</f>
        <v>497</v>
      </c>
      <c r="W43" s="1770">
        <f t="shared" ref="W43:AB43" si="131">W27*W44</f>
        <v>553</v>
      </c>
      <c r="X43" s="1757">
        <f t="shared" si="131"/>
        <v>280.77620338983</v>
      </c>
      <c r="Y43" s="1757">
        <f t="shared" si="131"/>
        <v>314.878576271186</v>
      </c>
      <c r="Z43" s="1757">
        <f t="shared" si="131"/>
        <v>229.243728813559</v>
      </c>
      <c r="AA43" s="1757">
        <f t="shared" si="131"/>
        <v>180.363661016949</v>
      </c>
      <c r="AB43" s="1757">
        <f t="shared" si="131"/>
        <v>54.5637966101701</v>
      </c>
      <c r="AC43" s="1757">
        <f t="shared" ref="AC43:AD43" si="132">AC27*AC44</f>
        <v>56.8372881355932</v>
      </c>
      <c r="AD43" s="1757">
        <f t="shared" si="132"/>
        <v>75.4041355932203</v>
      </c>
      <c r="AE43" s="1757">
        <f t="shared" ref="AE43:AF43" si="133">AE27*AE44</f>
        <v>39.407186440678</v>
      </c>
      <c r="AF43" s="1758">
        <f t="shared" si="133"/>
        <v>27.2818983050847</v>
      </c>
      <c r="AG43" s="1757">
        <f t="shared" ref="AG43:AH43" si="134">AG27*AG44</f>
        <v>57.5003898305061</v>
      </c>
      <c r="AH43" s="1757">
        <f t="shared" si="134"/>
        <v>58.0839649858153</v>
      </c>
      <c r="AI43" s="1757">
        <f t="shared" ref="AI43:AJ43" si="135">AI27*AI44</f>
        <v>58.0839649858153</v>
      </c>
      <c r="AJ43" s="1757">
        <f t="shared" si="135"/>
        <v>58.0839649858153</v>
      </c>
      <c r="AK43" s="1757">
        <f t="shared" ref="AK43" si="136">AK27*AK44</f>
        <v>58.0839649858153</v>
      </c>
      <c r="AL43" s="1757"/>
      <c r="AM43" s="1688"/>
      <c r="AN43" s="1688"/>
      <c r="AO43" s="1688"/>
      <c r="AP43" s="1688"/>
      <c r="AQ43" s="1688"/>
      <c r="AR43" s="1688"/>
      <c r="AS43" s="1688"/>
      <c r="AT43" s="1688"/>
      <c r="AU43" s="1688"/>
      <c r="AV43" s="1688"/>
      <c r="AW43" s="1688"/>
      <c r="BC43" s="1705"/>
      <c r="BD43" s="1705"/>
      <c r="BE43" s="1771"/>
      <c r="BF43" s="1755"/>
      <c r="BG43" s="1756"/>
      <c r="BH43" s="1756"/>
      <c r="BI43" s="1756"/>
      <c r="BJ43" s="1756"/>
      <c r="BK43" s="1755"/>
    </row>
    <row r="44" hidden="1" customHeight="1" spans="1:67">
      <c r="A44" s="1676" t="s">
        <v>74</v>
      </c>
      <c r="L44" s="1715"/>
      <c r="M44" s="1715"/>
      <c r="N44" s="1715"/>
      <c r="O44" s="1246">
        <f>O43/O$27</f>
        <v>0.422568093385214</v>
      </c>
      <c r="P44" s="1246">
        <f>P43/P$27</f>
        <v>0.393658159319412</v>
      </c>
      <c r="Q44" s="1764">
        <f>Q43/Q27</f>
        <v>0.435211267605634</v>
      </c>
      <c r="R44" s="1764">
        <f>Interim!EG44</f>
        <v>0.435443037974684</v>
      </c>
      <c r="S44" s="1764">
        <f>+S43/S27</f>
        <v>0.427415275670207</v>
      </c>
      <c r="T44" s="1764">
        <f>T43/T27</f>
        <v>0.48161543098252</v>
      </c>
      <c r="U44" s="1764">
        <f>U43/U27</f>
        <v>0.336524300441826</v>
      </c>
      <c r="V44" s="1764">
        <f>V43/V27</f>
        <v>0.338786639400136</v>
      </c>
      <c r="W44" s="1764">
        <f>W316</f>
        <v>0.374915254237288</v>
      </c>
      <c r="X44" s="1765">
        <f>W44+0.4%</f>
        <v>0.378915254237288</v>
      </c>
      <c r="Y44" s="1765">
        <f t="shared" ref="Y44:AK44" si="137">X44</f>
        <v>0.378915254237288</v>
      </c>
      <c r="Z44" s="1765">
        <f t="shared" si="137"/>
        <v>0.378915254237288</v>
      </c>
      <c r="AA44" s="1765">
        <f t="shared" si="137"/>
        <v>0.378915254237288</v>
      </c>
      <c r="AB44" s="1765">
        <f t="shared" si="137"/>
        <v>0.378915254237288</v>
      </c>
      <c r="AC44" s="1765">
        <f t="shared" si="137"/>
        <v>0.378915254237288</v>
      </c>
      <c r="AD44" s="1765">
        <f t="shared" si="137"/>
        <v>0.378915254237288</v>
      </c>
      <c r="AE44" s="1765">
        <f t="shared" si="137"/>
        <v>0.378915254237288</v>
      </c>
      <c r="AF44" s="1766">
        <f t="shared" si="137"/>
        <v>0.378915254237288</v>
      </c>
      <c r="AG44" s="1765">
        <f t="shared" si="137"/>
        <v>0.378915254237288</v>
      </c>
      <c r="AH44" s="1765">
        <f t="shared" si="137"/>
        <v>0.378915254237288</v>
      </c>
      <c r="AI44" s="1765">
        <f t="shared" si="137"/>
        <v>0.378915254237288</v>
      </c>
      <c r="AJ44" s="1765">
        <f t="shared" si="137"/>
        <v>0.378915254237288</v>
      </c>
      <c r="AK44" s="1765">
        <f t="shared" si="137"/>
        <v>0.378915254237288</v>
      </c>
      <c r="AL44" s="1765"/>
      <c r="AT44" s="1688"/>
      <c r="AU44" s="1688"/>
      <c r="AV44" s="1688"/>
      <c r="AW44" s="1688"/>
      <c r="BC44" s="1712"/>
      <c r="BD44" s="1712"/>
      <c r="BE44" s="1771"/>
      <c r="BF44" s="1773"/>
      <c r="BG44" s="1774"/>
      <c r="BH44" s="1775"/>
      <c r="BI44" s="1776"/>
      <c r="BJ44" s="1776"/>
      <c r="BK44" s="1777"/>
    </row>
    <row r="45" s="1676" customFormat="1" hidden="1" customHeight="1" spans="1:67">
      <c r="A45" s="1732" t="s">
        <v>75</v>
      </c>
      <c r="B45" s="1733"/>
      <c r="C45" s="1733"/>
      <c r="D45" s="1733"/>
      <c r="E45" s="1733"/>
      <c r="F45" s="1733"/>
      <c r="G45" s="1733"/>
      <c r="H45" s="1733"/>
      <c r="I45" s="1733"/>
      <c r="J45" s="1733"/>
      <c r="K45" s="1733"/>
      <c r="L45" s="1734"/>
      <c r="M45" s="1734"/>
      <c r="N45" s="1734"/>
      <c r="O45" s="1734">
        <f>SUM(O43,O41,O39,)</f>
        <v>4999</v>
      </c>
      <c r="P45" s="1734">
        <f>SUM(P43,P41,P39,)</f>
        <v>4603</v>
      </c>
      <c r="Q45" s="1734">
        <f>SUM(Q43,Q41,Q39)-Interim!DY49</f>
        <v>5728</v>
      </c>
      <c r="R45" s="1734">
        <f>+R39+R41+R43-Interim!EG49</f>
        <v>6359</v>
      </c>
      <c r="S45" s="1734">
        <f>Interim!EO395</f>
        <v>7104</v>
      </c>
      <c r="T45" s="1734">
        <f>Interim!EW45</f>
        <v>7140</v>
      </c>
      <c r="U45" s="1734">
        <f>U333</f>
        <v>6924</v>
      </c>
      <c r="V45" s="1734">
        <f t="shared" ref="V45:AA45" si="138">SUM(V43,V41,V39)</f>
        <v>8168</v>
      </c>
      <c r="W45" s="1734">
        <f t="shared" si="138"/>
        <v>9379</v>
      </c>
      <c r="X45" s="1734">
        <f t="shared" si="138"/>
        <v>10659.6254421225</v>
      </c>
      <c r="Y45" s="1734">
        <f t="shared" si="138"/>
        <v>11133.2833015498</v>
      </c>
      <c r="Z45" s="1734">
        <f t="shared" si="138"/>
        <v>12273.1866897155</v>
      </c>
      <c r="AA45" s="1734">
        <f t="shared" si="138"/>
        <v>10588.9861570741</v>
      </c>
      <c r="AB45" s="1734">
        <f t="shared" ref="AB45:AG45" si="139">SUM(AB43,AB41,AB39)</f>
        <v>11401.2233783724</v>
      </c>
      <c r="AC45" s="1734">
        <f t="shared" si="139"/>
        <v>12108.7192004991</v>
      </c>
      <c r="AD45" s="1734">
        <f t="shared" si="139"/>
        <v>11230.0246374976</v>
      </c>
      <c r="AE45" s="1734">
        <f t="shared" si="139"/>
        <v>12500.2234666111</v>
      </c>
      <c r="AF45" s="1735">
        <f t="shared" si="139"/>
        <v>13432.4480762587</v>
      </c>
      <c r="AG45" s="1734">
        <f t="shared" si="139"/>
        <v>14655.0856042212</v>
      </c>
      <c r="AH45" s="1734">
        <f t="shared" ref="AH45" si="140">SUM(AH43,AH41,AH39)</f>
        <v>15785.863219932</v>
      </c>
      <c r="AI45" s="1734">
        <f t="shared" ref="AI45:AJ45" si="141">SUM(AI43,AI41,AI39)</f>
        <v>16879.2513863261</v>
      </c>
      <c r="AJ45" s="1734">
        <f t="shared" si="141"/>
        <v>17927.4623487682</v>
      </c>
      <c r="AK45" s="1734">
        <f t="shared" ref="AK45" si="142">SUM(AK43,AK41,AK39)</f>
        <v>19041.7252621169</v>
      </c>
      <c r="AL45" s="1734"/>
      <c r="AM45" s="1688"/>
      <c r="AN45" s="1688"/>
      <c r="AO45" s="1688"/>
      <c r="AP45" s="1688"/>
      <c r="AQ45" s="1688"/>
      <c r="AR45" s="1688"/>
      <c r="AS45" s="1688"/>
      <c r="AT45" s="1688"/>
      <c r="AU45" s="1688"/>
      <c r="AV45" s="1688"/>
      <c r="AW45" s="1688"/>
      <c r="AX45" s="1679"/>
      <c r="AY45" s="1679"/>
      <c r="AZ45" s="1750"/>
      <c r="BA45" s="1750"/>
      <c r="BC45" s="1705"/>
      <c r="BD45" s="1705"/>
      <c r="BE45" s="1778"/>
      <c r="BF45" s="1779"/>
      <c r="BG45" s="1774"/>
      <c r="BH45" s="1775"/>
      <c r="BI45" s="1775"/>
      <c r="BJ45" s="1776"/>
      <c r="BK45" s="1775"/>
    </row>
    <row r="46" hidden="1" customHeight="1" spans="1:67">
      <c r="A46" s="1676" t="s">
        <v>74</v>
      </c>
      <c r="L46" s="1715"/>
      <c r="M46" s="1715"/>
      <c r="N46" s="1715"/>
      <c r="O46" s="1246">
        <f>O45/O$32</f>
        <v>0.463686114460625</v>
      </c>
      <c r="P46" s="1246">
        <f>P45/P$32</f>
        <v>0.444176396796295</v>
      </c>
      <c r="Q46" s="1764">
        <f>Q45/Q$32</f>
        <v>0.477731442869058</v>
      </c>
      <c r="R46" s="1764">
        <f>R45/R$32</f>
        <v>0.477294903550251</v>
      </c>
      <c r="S46" s="1764">
        <f>S45/S32</f>
        <v>0.477323120338641</v>
      </c>
      <c r="T46" s="1764">
        <f t="shared" ref="T46:AA46" si="143">T45/T$32</f>
        <v>0.502639915522703</v>
      </c>
      <c r="U46" s="1764">
        <f t="shared" si="143"/>
        <v>0.47640016513004</v>
      </c>
      <c r="V46" s="1764">
        <f t="shared" si="143"/>
        <v>0.482885013301803</v>
      </c>
      <c r="W46" s="1764">
        <f t="shared" si="143"/>
        <v>0.486210471747019</v>
      </c>
      <c r="X46" s="1246">
        <f t="shared" si="143"/>
        <v>0.502385966732138</v>
      </c>
      <c r="Y46" s="1246">
        <f t="shared" si="143"/>
        <v>0.50802114084188</v>
      </c>
      <c r="Z46" s="1246">
        <f t="shared" si="143"/>
        <v>0.519148373153229</v>
      </c>
      <c r="AA46" s="1246">
        <f t="shared" si="143"/>
        <v>0.533611477377245</v>
      </c>
      <c r="AB46" s="1246">
        <f t="shared" ref="AB46:AG46" si="144">AB45/AB$32</f>
        <v>0.536932437523425</v>
      </c>
      <c r="AC46" s="1246">
        <f t="shared" si="144"/>
        <v>0.537902323330777</v>
      </c>
      <c r="AD46" s="1246">
        <f t="shared" si="144"/>
        <v>0.543090465107726</v>
      </c>
      <c r="AE46" s="1246">
        <f t="shared" si="144"/>
        <v>0.54270930693401</v>
      </c>
      <c r="AF46" s="1717">
        <f t="shared" si="144"/>
        <v>0.541390837783995</v>
      </c>
      <c r="AG46" s="1246">
        <f t="shared" si="144"/>
        <v>0.540121725876192</v>
      </c>
      <c r="AH46" s="1246">
        <f t="shared" ref="AH46" si="145">AH45/AH$32</f>
        <v>0.540914614055103</v>
      </c>
      <c r="AI46" s="1246">
        <f t="shared" ref="AI46:AJ46" si="146">AI45/AI$32</f>
        <v>0.541692489338036</v>
      </c>
      <c r="AJ46" s="1246">
        <f t="shared" si="146"/>
        <v>0.54298039896081</v>
      </c>
      <c r="AK46" s="1246">
        <f t="shared" ref="AK46" si="147">AK45/AK$32</f>
        <v>0.544261429856851</v>
      </c>
      <c r="AL46" s="1246"/>
      <c r="AT46" s="1688"/>
      <c r="AU46" s="1688"/>
      <c r="AV46" s="1688"/>
      <c r="AW46" s="1688"/>
      <c r="AX46" s="1679"/>
      <c r="AY46" s="1679"/>
      <c r="BA46" s="1750"/>
      <c r="BB46" s="1676"/>
      <c r="BC46" s="1712"/>
      <c r="BD46" s="1712"/>
      <c r="BE46" s="1691"/>
    </row>
    <row r="47" hidden="1" customHeight="1" spans="1:67">
      <c r="A47" s="1676" t="s">
        <v>61</v>
      </c>
      <c r="L47" s="1715"/>
      <c r="M47" s="1715"/>
      <c r="N47" s="1715"/>
      <c r="O47" s="1246"/>
      <c r="P47" s="1246"/>
      <c r="Q47" s="1764">
        <f t="shared" ref="Q47:AK47" si="148">Q45/P45-1</f>
        <v>0.244405822289811</v>
      </c>
      <c r="R47" s="1764">
        <f t="shared" si="148"/>
        <v>0.11016061452514</v>
      </c>
      <c r="S47" s="1764">
        <f t="shared" si="148"/>
        <v>0.117156785658122</v>
      </c>
      <c r="T47" s="1764">
        <f t="shared" si="148"/>
        <v>0.00506756756756754</v>
      </c>
      <c r="U47" s="1764">
        <f t="shared" si="148"/>
        <v>-0.0302521008403361</v>
      </c>
      <c r="V47" s="1764">
        <f t="shared" si="148"/>
        <v>0.179664933564414</v>
      </c>
      <c r="W47" s="1764">
        <f t="shared" si="148"/>
        <v>0.148261508325171</v>
      </c>
      <c r="X47" s="1246">
        <f t="shared" si="148"/>
        <v>0.13654178932962</v>
      </c>
      <c r="Y47" s="1246">
        <f t="shared" si="148"/>
        <v>0.0444347563616634</v>
      </c>
      <c r="Z47" s="1246">
        <f t="shared" si="148"/>
        <v>0.102386991985284</v>
      </c>
      <c r="AA47" s="1246">
        <f t="shared" si="148"/>
        <v>-0.137226017595963</v>
      </c>
      <c r="AB47" s="1246">
        <f t="shared" si="148"/>
        <v>0.0767058535396929</v>
      </c>
      <c r="AC47" s="1246">
        <f t="shared" si="148"/>
        <v>0.0620543777318485</v>
      </c>
      <c r="AD47" s="1246">
        <f t="shared" si="148"/>
        <v>-0.0725670938810224</v>
      </c>
      <c r="AE47" s="1246">
        <f t="shared" si="148"/>
        <v>0.113107394695489</v>
      </c>
      <c r="AF47" s="1717">
        <f t="shared" si="148"/>
        <v>0.0745766355407709</v>
      </c>
      <c r="AG47" s="1246">
        <f t="shared" si="148"/>
        <v>0.09102119889251</v>
      </c>
      <c r="AH47" s="1246">
        <f t="shared" si="148"/>
        <v>0.0771594002415901</v>
      </c>
      <c r="AI47" s="1246">
        <f t="shared" si="148"/>
        <v>0.0692637552448527</v>
      </c>
      <c r="AJ47" s="1246">
        <f t="shared" si="148"/>
        <v>0.0621005599390063</v>
      </c>
      <c r="AK47" s="1246">
        <f t="shared" si="148"/>
        <v>0.0621539675650302</v>
      </c>
      <c r="AL47" s="1246"/>
      <c r="AT47" s="1688"/>
      <c r="AU47" s="1688"/>
      <c r="AV47" s="1688"/>
      <c r="AW47" s="1688"/>
      <c r="AX47" s="1679"/>
      <c r="AY47" s="1679"/>
      <c r="BA47" s="1750"/>
      <c r="BB47" s="1676"/>
      <c r="BC47" s="1780"/>
      <c r="BD47" s="1780"/>
      <c r="BE47" s="1691"/>
      <c r="BG47" s="1678"/>
    </row>
    <row r="48" hidden="1" customHeight="1" spans="1:67">
      <c r="A48" s="1676"/>
      <c r="L48" s="1715"/>
      <c r="M48" s="1715"/>
      <c r="N48" s="1715"/>
      <c r="O48" s="1781">
        <f t="shared" ref="O48:AA48" si="149">O46/O335</f>
        <v>0.952691466906448</v>
      </c>
      <c r="P48" s="1781">
        <f t="shared" si="149"/>
        <v>0.978564341074349</v>
      </c>
      <c r="Q48" s="1781">
        <f t="shared" si="149"/>
        <v>0.999650959860384</v>
      </c>
      <c r="R48" s="1781">
        <f t="shared" si="149"/>
        <v>1.00474008532154</v>
      </c>
      <c r="S48" s="1781">
        <f t="shared" si="149"/>
        <v>1.00014078558356</v>
      </c>
      <c r="T48" s="1781">
        <f t="shared" si="149"/>
        <v>1.01985430652764</v>
      </c>
      <c r="U48" s="1781">
        <f t="shared" si="149"/>
        <v>1</v>
      </c>
      <c r="V48" s="1781">
        <f t="shared" si="149"/>
        <v>1</v>
      </c>
      <c r="W48" s="1781">
        <f t="shared" si="149"/>
        <v>1</v>
      </c>
      <c r="X48" s="1781">
        <f t="shared" si="149"/>
        <v>0.995947439234094</v>
      </c>
      <c r="Y48" s="1781">
        <f t="shared" si="149"/>
        <v>0.979783798429095</v>
      </c>
      <c r="Z48" s="1781">
        <f t="shared" si="149"/>
        <v>0.998388244506262</v>
      </c>
      <c r="AA48" s="1781">
        <f t="shared" si="149"/>
        <v>1.0744785547513</v>
      </c>
      <c r="AB48" s="1781">
        <f t="shared" ref="AB48:AG48" si="150">AB46/AB335</f>
        <v>1.05910110342521</v>
      </c>
      <c r="AC48" s="1781">
        <f t="shared" si="150"/>
        <v>1.13760984596948</v>
      </c>
      <c r="AD48" s="1781">
        <f t="shared" si="150"/>
        <v>1.17174714498096</v>
      </c>
      <c r="AE48" s="1781">
        <f t="shared" si="150"/>
        <v>1.07467189491883</v>
      </c>
      <c r="AF48" s="1782">
        <f t="shared" si="150"/>
        <v>1.04900024023887</v>
      </c>
      <c r="AG48" s="1781">
        <f t="shared" si="150"/>
        <v>1.04674753076781</v>
      </c>
      <c r="AH48" s="1781">
        <f t="shared" ref="AH48" si="151">AH46/AH335</f>
        <v>1.03031355058115</v>
      </c>
      <c r="AI48" s="1781">
        <f t="shared" ref="AI48:AJ48" si="152">AI46/AI335</f>
        <v>1.03179521778674</v>
      </c>
      <c r="AJ48" s="1781">
        <f t="shared" si="152"/>
        <v>1.03424837897297</v>
      </c>
      <c r="AK48" s="1781">
        <f t="shared" ref="AK48" si="153">AK46/AK335</f>
        <v>1.03668843782257</v>
      </c>
      <c r="AL48" s="1781"/>
      <c r="AT48" s="1688"/>
      <c r="AU48" s="1688"/>
      <c r="AV48" s="1688"/>
      <c r="AW48" s="1688"/>
      <c r="BC48" s="1783"/>
      <c r="BD48" s="1783"/>
      <c r="BE48" s="1691"/>
      <c r="BG48" s="1678"/>
    </row>
    <row r="49" hidden="1" customHeight="1" spans="1:206">
      <c r="A49" s="1751" t="s">
        <v>76</v>
      </c>
      <c r="B49" s="1784" t="s">
        <v>14</v>
      </c>
      <c r="C49" s="1784" t="s">
        <v>15</v>
      </c>
      <c r="D49" s="1784" t="s">
        <v>16</v>
      </c>
      <c r="E49" s="1784" t="s">
        <v>17</v>
      </c>
      <c r="F49" s="1784" t="s">
        <v>18</v>
      </c>
      <c r="G49" s="1784" t="s">
        <v>19</v>
      </c>
      <c r="H49" s="1784" t="s">
        <v>20</v>
      </c>
      <c r="I49" s="1784" t="s">
        <v>21</v>
      </c>
      <c r="J49" s="1784" t="s">
        <v>22</v>
      </c>
      <c r="K49" s="1784" t="s">
        <v>23</v>
      </c>
      <c r="L49" s="1752" t="s">
        <v>24</v>
      </c>
      <c r="M49" s="1752" t="s">
        <v>25</v>
      </c>
      <c r="N49" s="1752" t="s">
        <v>26</v>
      </c>
      <c r="O49" s="1752" t="s">
        <v>27</v>
      </c>
      <c r="P49" s="1752" t="s">
        <v>28</v>
      </c>
      <c r="Q49" s="1752" t="s">
        <v>29</v>
      </c>
      <c r="R49" s="1752" t="s">
        <v>30</v>
      </c>
      <c r="S49" s="1752" t="s">
        <v>77</v>
      </c>
      <c r="T49" s="1752" t="s">
        <v>78</v>
      </c>
      <c r="U49" s="1752" t="s">
        <v>79</v>
      </c>
      <c r="V49" s="1752" t="str">
        <f t="shared" ref="V49:AA49" si="154">V1</f>
        <v>FY 15</v>
      </c>
      <c r="W49" s="1752" t="str">
        <f t="shared" si="154"/>
        <v>FY 16</v>
      </c>
      <c r="X49" s="1752" t="str">
        <f t="shared" si="154"/>
        <v>FY 17</v>
      </c>
      <c r="Y49" s="1752" t="str">
        <f t="shared" si="154"/>
        <v>FY 18</v>
      </c>
      <c r="Z49" s="1752" t="str">
        <f t="shared" si="154"/>
        <v>FY 19</v>
      </c>
      <c r="AA49" s="1752" t="str">
        <f t="shared" si="154"/>
        <v>FY 20</v>
      </c>
      <c r="AB49" s="1752" t="str">
        <f t="shared" ref="AB49:AG49" si="155">AB1</f>
        <v>FY 21</v>
      </c>
      <c r="AC49" s="1752" t="str">
        <f t="shared" si="155"/>
        <v>FY 22</v>
      </c>
      <c r="AD49" s="1752" t="str">
        <f t="shared" si="155"/>
        <v>FY 23</v>
      </c>
      <c r="AE49" s="1752" t="str">
        <f t="shared" si="155"/>
        <v>FY 24</v>
      </c>
      <c r="AF49" s="1754" t="str">
        <f t="shared" si="155"/>
        <v>FY 25</v>
      </c>
      <c r="AG49" s="1752" t="str">
        <f t="shared" si="155"/>
        <v>FY 26E</v>
      </c>
      <c r="AH49" s="1752" t="str">
        <f t="shared" ref="AH49" si="156">AH1</f>
        <v>FY 27E</v>
      </c>
      <c r="AI49" s="1752" t="str">
        <f t="shared" ref="AI49:AJ49" si="157">AI1</f>
        <v>FY 28E</v>
      </c>
      <c r="AJ49" s="1752" t="str">
        <f t="shared" si="157"/>
        <v>FY 29E</v>
      </c>
      <c r="AK49" s="1752" t="str">
        <f t="shared" ref="AK49" si="158">AK1</f>
        <v>FY 30E</v>
      </c>
      <c r="AL49" s="1752"/>
      <c r="AT49" s="1688"/>
      <c r="AU49" s="1688"/>
      <c r="AV49" s="1688"/>
      <c r="AW49" s="1688"/>
      <c r="BB49" s="1750"/>
      <c r="BC49" s="1690"/>
      <c r="BD49" s="1785"/>
      <c r="BE49" s="1687"/>
      <c r="BF49" s="1687"/>
      <c r="BG49" s="1687"/>
      <c r="BH49" s="1687"/>
      <c r="BI49" s="1687"/>
      <c r="BJ49" s="1687"/>
      <c r="BK49" s="1687"/>
      <c r="BL49" s="1687"/>
      <c r="BM49" s="1687"/>
      <c r="BN49" s="1687"/>
      <c r="BO49" s="1687"/>
      <c r="BP49" s="1687"/>
      <c r="BQ49" s="1687"/>
      <c r="BR49" s="1687"/>
      <c r="BS49" s="1687"/>
      <c r="BT49" s="1687"/>
      <c r="BU49" s="1687"/>
      <c r="BV49" s="1687"/>
      <c r="BW49" s="1687"/>
      <c r="BX49" s="1687"/>
      <c r="CE49" s="1687"/>
      <c r="CF49" s="1687"/>
      <c r="CG49" s="1687"/>
      <c r="CH49" s="1786"/>
      <c r="CI49" s="1687"/>
      <c r="CJ49" s="1687"/>
      <c r="CK49" s="1687"/>
      <c r="CL49" s="1687"/>
      <c r="CM49" s="1687"/>
      <c r="CN49" s="1687"/>
      <c r="CO49" s="1687"/>
      <c r="CP49" s="1687"/>
      <c r="CQ49" s="1787"/>
      <c r="CR49" s="1687"/>
      <c r="CS49" s="1687"/>
      <c r="CT49" s="1687"/>
      <c r="CU49" s="1687"/>
      <c r="CV49" s="1687"/>
      <c r="CW49" s="1687"/>
      <c r="CX49" s="1786"/>
      <c r="CY49" s="1787"/>
      <c r="CZ49" s="1687"/>
      <c r="DA49" s="1687"/>
      <c r="DB49" s="1687"/>
      <c r="DC49" s="1687"/>
      <c r="DD49" s="1687"/>
      <c r="DE49" s="1687"/>
      <c r="DF49" s="1786"/>
      <c r="DG49" s="1787"/>
      <c r="DH49" s="1687"/>
      <c r="DI49" s="1687"/>
      <c r="DJ49" s="1687"/>
      <c r="DK49" s="1687"/>
      <c r="DL49" s="1687"/>
      <c r="DM49" s="1788"/>
      <c r="DN49" s="1786"/>
      <c r="DO49" s="1787"/>
      <c r="DP49" s="1687"/>
      <c r="DQ49" s="1687"/>
      <c r="DR49" s="1687"/>
      <c r="DS49" s="1687"/>
      <c r="DT49" s="1687"/>
      <c r="DU49" s="1687"/>
      <c r="DV49" s="1786"/>
      <c r="DW49" s="1751"/>
      <c r="DX49" s="1751"/>
      <c r="DY49" s="1751"/>
      <c r="DZ49" s="1751"/>
      <c r="EA49" s="1751"/>
      <c r="EB49" s="1751"/>
      <c r="EC49" s="1751"/>
      <c r="ED49" s="1751"/>
      <c r="EE49" s="1752">
        <f>EE$2</f>
        <v>0</v>
      </c>
      <c r="EF49" s="1752">
        <f t="shared" ref="EF49:FB49" si="159">EF$2</f>
        <v>0</v>
      </c>
      <c r="EG49" s="1752">
        <f t="shared" si="159"/>
        <v>0</v>
      </c>
      <c r="EH49" s="1752">
        <f t="shared" si="159"/>
        <v>0</v>
      </c>
      <c r="EI49" s="1752">
        <f t="shared" si="159"/>
        <v>0</v>
      </c>
      <c r="EJ49" s="1752">
        <f t="shared" si="159"/>
        <v>0</v>
      </c>
      <c r="EK49" s="1752">
        <f t="shared" si="159"/>
        <v>0</v>
      </c>
      <c r="EL49" s="1754">
        <f t="shared" si="159"/>
        <v>0</v>
      </c>
      <c r="EM49" s="1752">
        <f t="shared" si="159"/>
        <v>0</v>
      </c>
      <c r="EN49" s="1752">
        <f t="shared" si="159"/>
        <v>0</v>
      </c>
      <c r="EO49" s="1752">
        <f t="shared" si="159"/>
        <v>0</v>
      </c>
      <c r="EP49" s="1752">
        <f t="shared" si="159"/>
        <v>0</v>
      </c>
      <c r="EQ49" s="1752">
        <f t="shared" si="159"/>
        <v>0</v>
      </c>
      <c r="ER49" s="1752">
        <f t="shared" si="159"/>
        <v>0</v>
      </c>
      <c r="ES49" s="1752">
        <f t="shared" si="159"/>
        <v>0</v>
      </c>
      <c r="ET49" s="1754">
        <f t="shared" si="159"/>
        <v>0</v>
      </c>
      <c r="EU49" s="1752">
        <f t="shared" si="159"/>
        <v>0</v>
      </c>
      <c r="EV49" s="1752">
        <f t="shared" si="159"/>
        <v>0</v>
      </c>
      <c r="EW49" s="1752">
        <f t="shared" si="159"/>
        <v>0</v>
      </c>
      <c r="EX49" s="1752">
        <f t="shared" si="159"/>
        <v>0</v>
      </c>
      <c r="EY49" s="1752">
        <f t="shared" si="159"/>
        <v>0</v>
      </c>
      <c r="EZ49" s="1752">
        <f t="shared" si="159"/>
        <v>0</v>
      </c>
      <c r="FA49" s="1752">
        <f t="shared" si="159"/>
        <v>0</v>
      </c>
      <c r="FB49" s="1754">
        <f t="shared" si="159"/>
        <v>0</v>
      </c>
      <c r="FC49" s="1789"/>
      <c r="FE49" s="1687"/>
      <c r="GX49" s="1708"/>
    </row>
    <row r="50" hidden="1" customHeight="1" spans="1:206">
      <c r="A50" s="1673" t="s">
        <v>60</v>
      </c>
      <c r="O50" s="1246"/>
      <c r="P50" s="1246"/>
      <c r="Q50" s="1246"/>
      <c r="R50" s="1246"/>
      <c r="S50" s="1246"/>
      <c r="W50" s="1246"/>
      <c r="X50" s="1246"/>
      <c r="Y50" s="1246"/>
      <c r="Z50" s="1246"/>
      <c r="AA50" s="1246"/>
      <c r="AB50" s="1246"/>
      <c r="AC50" s="1246"/>
      <c r="AD50" s="1246"/>
      <c r="AE50" s="1246"/>
      <c r="AF50" s="1717"/>
      <c r="AG50" s="1246"/>
      <c r="AH50" s="1246"/>
      <c r="AI50" s="1246"/>
      <c r="AJ50" s="1246"/>
      <c r="AK50" s="1246"/>
      <c r="AL50" s="1246"/>
      <c r="AT50" s="1688"/>
      <c r="AU50" s="1688"/>
      <c r="AV50" s="1688"/>
      <c r="AW50" s="1688"/>
      <c r="BC50" s="1690"/>
      <c r="BD50" s="1690"/>
      <c r="BE50" s="1691"/>
      <c r="BN50" s="1687"/>
      <c r="BO50" s="1687"/>
      <c r="BP50" s="1687"/>
      <c r="BQ50" s="1687"/>
      <c r="BR50" s="1687"/>
      <c r="BS50" s="1687"/>
      <c r="BT50" s="1687"/>
      <c r="BU50" s="1687"/>
      <c r="BV50" s="1687"/>
      <c r="BW50" s="1687"/>
      <c r="BX50" s="1687"/>
      <c r="CE50" s="1687"/>
      <c r="CF50" s="1687"/>
      <c r="CG50" s="1687"/>
      <c r="CH50" s="1786"/>
      <c r="CI50" s="1687"/>
      <c r="CJ50" s="1687"/>
      <c r="CK50" s="1687"/>
      <c r="CL50" s="1687"/>
      <c r="CM50" s="1687"/>
      <c r="CN50" s="1687"/>
      <c r="CO50" s="1687"/>
      <c r="CP50" s="1687"/>
      <c r="CQ50" s="1787"/>
      <c r="CR50" s="1687"/>
      <c r="CS50" s="1687"/>
      <c r="CT50" s="1687"/>
      <c r="CU50" s="1687"/>
      <c r="CV50" s="1687"/>
      <c r="CW50" s="1687"/>
      <c r="CX50" s="1786"/>
      <c r="CY50" s="1787"/>
      <c r="CZ50" s="1687"/>
      <c r="DA50" s="1687"/>
      <c r="DB50" s="1687"/>
      <c r="DC50" s="1687"/>
      <c r="DD50" s="1687"/>
      <c r="DE50" s="1687"/>
      <c r="DF50" s="1786"/>
      <c r="DG50" s="1787"/>
      <c r="DH50" s="1687"/>
      <c r="DI50" s="1687"/>
      <c r="DJ50" s="1687"/>
      <c r="DK50" s="1687"/>
      <c r="DL50" s="1687"/>
      <c r="DM50" s="1788"/>
      <c r="DN50" s="1786"/>
      <c r="DO50" s="1787"/>
      <c r="DP50" s="1687"/>
      <c r="DQ50" s="1687"/>
      <c r="DR50" s="1687"/>
      <c r="DS50" s="1687"/>
      <c r="DT50" s="1687"/>
      <c r="DU50" s="1687"/>
      <c r="DV50" s="1786"/>
      <c r="DW50" s="1676"/>
      <c r="DX50" s="1676"/>
      <c r="DY50" s="1676"/>
      <c r="DZ50" s="1676"/>
      <c r="EA50" s="1676"/>
      <c r="EB50" s="1676"/>
      <c r="EC50" s="1676"/>
      <c r="ED50" s="1676"/>
      <c r="EE50" s="1745"/>
      <c r="EF50" s="1745"/>
      <c r="EG50" s="1745"/>
      <c r="EH50" s="1745"/>
      <c r="EI50" s="1745"/>
      <c r="EJ50" s="1745"/>
      <c r="EK50" s="1745"/>
      <c r="EL50" s="1790"/>
      <c r="EM50" s="1745"/>
      <c r="EN50" s="1745"/>
      <c r="EO50" s="1745"/>
      <c r="EP50" s="1745"/>
      <c r="EQ50" s="1745"/>
      <c r="ER50" s="1745"/>
      <c r="ES50" s="1745"/>
      <c r="ET50" s="1790"/>
      <c r="EU50" s="1745"/>
      <c r="EV50" s="1745"/>
      <c r="EW50" s="1745"/>
      <c r="EX50" s="1745"/>
      <c r="EY50" s="1745"/>
      <c r="EZ50" s="1745"/>
      <c r="FA50" s="1745"/>
      <c r="FB50" s="1790"/>
      <c r="FC50" s="1789"/>
      <c r="FE50" s="1687"/>
      <c r="GX50" s="1676"/>
    </row>
    <row r="51" s="1678" customFormat="1" hidden="1" customHeight="1" spans="1:206">
      <c r="A51" s="1791" t="s">
        <v>80</v>
      </c>
      <c r="B51" s="1756"/>
      <c r="C51" s="1756"/>
      <c r="D51" s="1756"/>
      <c r="E51" s="1756"/>
      <c r="F51" s="1756"/>
      <c r="G51" s="1756"/>
      <c r="H51" s="1756"/>
      <c r="I51" s="1756"/>
      <c r="J51" s="1756"/>
      <c r="K51" s="1756"/>
      <c r="L51" s="1792"/>
      <c r="M51" s="1792"/>
      <c r="N51" s="1792"/>
      <c r="O51" s="1793">
        <f>Interim!DI58</f>
        <v>0.46</v>
      </c>
      <c r="P51" s="1793">
        <f>Interim!DQ58</f>
        <v>0.444</v>
      </c>
      <c r="Q51" s="1794">
        <v>0.437</v>
      </c>
      <c r="R51" s="1794">
        <f>+Interim!EG58</f>
        <v>0.42</v>
      </c>
      <c r="S51" s="1794">
        <f>+Interim!EO58</f>
        <v>0.421</v>
      </c>
      <c r="T51" s="1794">
        <v>0.442</v>
      </c>
      <c r="U51" s="1794">
        <v>0.433</v>
      </c>
      <c r="V51" s="1794">
        <f t="shared" ref="V51:AK51" si="160">U51+((V40-U40)+0.1%)</f>
        <v>0.467993633020227</v>
      </c>
      <c r="W51" s="1794">
        <f t="shared" si="160"/>
        <v>0.465647281661673</v>
      </c>
      <c r="X51" s="1795">
        <f t="shared" si="160"/>
        <v>0.476647281661673</v>
      </c>
      <c r="Y51" s="1795">
        <f t="shared" si="160"/>
        <v>0.480647281661673</v>
      </c>
      <c r="Z51" s="1795">
        <f t="shared" si="160"/>
        <v>0.486647281661673</v>
      </c>
      <c r="AA51" s="1795">
        <f t="shared" si="160"/>
        <v>0.488647281661673</v>
      </c>
      <c r="AB51" s="1795">
        <f t="shared" si="160"/>
        <v>0.490647281661673</v>
      </c>
      <c r="AC51" s="1795">
        <f t="shared" si="160"/>
        <v>0.492647281661673</v>
      </c>
      <c r="AD51" s="1795">
        <f t="shared" si="160"/>
        <v>0.494647281661673</v>
      </c>
      <c r="AE51" s="1795">
        <f t="shared" si="160"/>
        <v>0.496647281661673</v>
      </c>
      <c r="AF51" s="1796">
        <f t="shared" si="160"/>
        <v>0.498647281661673</v>
      </c>
      <c r="AG51" s="1795">
        <f t="shared" si="160"/>
        <v>0.500647281661673</v>
      </c>
      <c r="AH51" s="1795">
        <f t="shared" si="160"/>
        <v>0.502647281661673</v>
      </c>
      <c r="AI51" s="1795">
        <f t="shared" si="160"/>
        <v>0.504647281661673</v>
      </c>
      <c r="AJ51" s="1795">
        <f t="shared" si="160"/>
        <v>0.506647281661673</v>
      </c>
      <c r="AK51" s="1795">
        <f t="shared" si="160"/>
        <v>0.508647281661673</v>
      </c>
      <c r="AL51" s="1795"/>
      <c r="AM51" s="1688"/>
      <c r="AN51" s="1688"/>
      <c r="AO51" s="1688"/>
      <c r="AP51" s="1688"/>
      <c r="AQ51" s="1688"/>
      <c r="AR51" s="1688"/>
      <c r="AS51" s="1688"/>
      <c r="AT51" s="1688"/>
      <c r="AU51" s="1688"/>
      <c r="AV51" s="1688"/>
      <c r="AW51" s="1688"/>
      <c r="BC51" s="1760"/>
      <c r="BD51" s="1797"/>
      <c r="BF51" s="1797"/>
      <c r="BN51" s="1756"/>
      <c r="BO51" s="1756"/>
      <c r="BP51" s="1756"/>
      <c r="BQ51" s="1756"/>
      <c r="BR51" s="1756"/>
      <c r="BS51" s="1756"/>
      <c r="BT51" s="1756"/>
      <c r="BU51" s="1756"/>
      <c r="BV51" s="1756"/>
      <c r="BW51" s="1756"/>
      <c r="BX51" s="1756"/>
      <c r="BY51" s="1686"/>
      <c r="BZ51" s="1686"/>
      <c r="CA51" s="1686"/>
      <c r="CB51" s="1686"/>
      <c r="CC51" s="1686"/>
      <c r="CD51" s="1686"/>
      <c r="CE51" s="1756"/>
      <c r="CF51" s="1756"/>
      <c r="CG51" s="1756"/>
      <c r="CH51" s="1798"/>
      <c r="CI51" s="1756"/>
      <c r="CJ51" s="1756"/>
      <c r="CK51" s="1756"/>
      <c r="CL51" s="1756"/>
      <c r="CM51" s="1756"/>
      <c r="CN51" s="1756"/>
      <c r="CO51" s="1756"/>
      <c r="CP51" s="1756"/>
      <c r="CQ51" s="1799"/>
      <c r="CR51" s="1756"/>
      <c r="CS51" s="1756"/>
      <c r="CT51" s="1756"/>
      <c r="CU51" s="1756"/>
      <c r="CV51" s="1756"/>
      <c r="CW51" s="1756"/>
      <c r="CX51" s="1798"/>
      <c r="CY51" s="1799"/>
      <c r="CZ51" s="1756"/>
      <c r="DA51" s="1756"/>
      <c r="DB51" s="1756"/>
      <c r="DC51" s="1756"/>
      <c r="DD51" s="1756"/>
      <c r="DE51" s="1756"/>
      <c r="DF51" s="1798"/>
      <c r="DG51" s="1799"/>
      <c r="DH51" s="1756"/>
      <c r="DI51" s="1756"/>
      <c r="DJ51" s="1756"/>
      <c r="DK51" s="1756"/>
      <c r="DL51" s="1756"/>
      <c r="DM51" s="1800"/>
      <c r="DN51" s="1798"/>
      <c r="DO51" s="1799"/>
      <c r="DP51" s="1756"/>
      <c r="DQ51" s="1756"/>
      <c r="DR51" s="1756"/>
      <c r="DS51" s="1756"/>
      <c r="DT51" s="1756"/>
      <c r="DU51" s="1756"/>
      <c r="DV51" s="1798"/>
      <c r="DW51" s="1673"/>
      <c r="DX51" s="1673"/>
      <c r="DY51" s="1673"/>
      <c r="DZ51" s="1673"/>
      <c r="EA51" s="1673"/>
      <c r="EB51" s="1673"/>
      <c r="EC51" s="1673"/>
      <c r="ED51" s="1673"/>
      <c r="EE51" s="1793">
        <v>0.475</v>
      </c>
      <c r="EF51" s="1793">
        <v>0.454</v>
      </c>
      <c r="EG51" s="1793"/>
      <c r="EH51" s="1793">
        <v>0.474</v>
      </c>
      <c r="EI51" s="1793"/>
      <c r="EJ51" s="1793">
        <v>0.433</v>
      </c>
      <c r="EK51" s="1793"/>
      <c r="EL51" s="1801">
        <v>0.46</v>
      </c>
      <c r="EM51" s="1793">
        <v>0.456</v>
      </c>
      <c r="EN51" s="1793">
        <v>0.424</v>
      </c>
      <c r="EO51" s="1793"/>
      <c r="EP51" s="1793">
        <v>0.446</v>
      </c>
      <c r="EQ51" s="1793"/>
      <c r="ER51" s="1793">
        <v>0.446</v>
      </c>
      <c r="ES51" s="1793"/>
      <c r="ET51" s="1801">
        <v>0.444</v>
      </c>
      <c r="EU51" s="1793"/>
      <c r="EV51" s="1793"/>
      <c r="EW51" s="1793"/>
      <c r="EX51" s="1793"/>
      <c r="EY51" s="1793"/>
      <c r="EZ51" s="1793"/>
      <c r="FA51" s="1793"/>
      <c r="FB51" s="1801"/>
      <c r="FC51" s="1802"/>
      <c r="FE51" s="1756"/>
      <c r="GX51" s="1673"/>
    </row>
    <row r="52" hidden="1" customHeight="1" spans="1:206">
      <c r="A52" s="1803" t="s">
        <v>81</v>
      </c>
      <c r="P52" s="1688">
        <f>Interim!DQ59</f>
        <v>-160</v>
      </c>
      <c r="Q52" s="1804">
        <f>(Q51-P51)*10000</f>
        <v>-70.0000000000001</v>
      </c>
      <c r="R52" s="1804">
        <f>+Interim!EG59</f>
        <v>-170</v>
      </c>
      <c r="S52" s="1804">
        <f>+Interim!EO59</f>
        <v>10</v>
      </c>
      <c r="T52" s="1804">
        <f t="shared" ref="T52:AK52" si="161">(T51-S51)*10000</f>
        <v>210</v>
      </c>
      <c r="U52" s="1804">
        <f t="shared" si="161"/>
        <v>-90.0000000000001</v>
      </c>
      <c r="V52" s="1804">
        <f t="shared" si="161"/>
        <v>349.936330202271</v>
      </c>
      <c r="W52" s="1804">
        <f t="shared" si="161"/>
        <v>-23.4635135855449</v>
      </c>
      <c r="X52" s="1804">
        <f t="shared" si="161"/>
        <v>110</v>
      </c>
      <c r="Y52" s="1804">
        <f t="shared" si="161"/>
        <v>40</v>
      </c>
      <c r="Z52" s="1804">
        <f t="shared" si="161"/>
        <v>60.0000000000001</v>
      </c>
      <c r="AA52" s="1804">
        <f t="shared" si="161"/>
        <v>20</v>
      </c>
      <c r="AB52" s="1804">
        <f t="shared" si="161"/>
        <v>20</v>
      </c>
      <c r="AC52" s="1804">
        <f t="shared" si="161"/>
        <v>20</v>
      </c>
      <c r="AD52" s="1804">
        <f t="shared" si="161"/>
        <v>20</v>
      </c>
      <c r="AE52" s="1804">
        <f t="shared" si="161"/>
        <v>20</v>
      </c>
      <c r="AF52" s="1805">
        <f t="shared" si="161"/>
        <v>20</v>
      </c>
      <c r="AG52" s="1804">
        <f t="shared" si="161"/>
        <v>20</v>
      </c>
      <c r="AH52" s="1804">
        <f t="shared" si="161"/>
        <v>20</v>
      </c>
      <c r="AI52" s="1804">
        <f t="shared" si="161"/>
        <v>20</v>
      </c>
      <c r="AJ52" s="1804">
        <f t="shared" si="161"/>
        <v>20</v>
      </c>
      <c r="AK52" s="1804">
        <f t="shared" si="161"/>
        <v>20</v>
      </c>
      <c r="AL52" s="1804"/>
      <c r="AT52" s="1688"/>
      <c r="AU52" s="1688"/>
      <c r="AV52" s="1688"/>
      <c r="AW52" s="1688"/>
      <c r="BC52" s="1806"/>
      <c r="BD52" s="1712"/>
      <c r="BE52" s="1750"/>
      <c r="BF52" s="1750"/>
      <c r="BN52" s="1687"/>
      <c r="BO52" s="1687"/>
      <c r="BP52" s="1687"/>
      <c r="BQ52" s="1687"/>
      <c r="BR52" s="1687"/>
      <c r="BS52" s="1687"/>
      <c r="BT52" s="1687"/>
      <c r="BU52" s="1687"/>
      <c r="BV52" s="1687"/>
      <c r="BW52" s="1687"/>
      <c r="BX52" s="1687"/>
      <c r="CE52" s="1687"/>
      <c r="CF52" s="1687"/>
      <c r="CG52" s="1687"/>
      <c r="CH52" s="1786"/>
      <c r="CI52" s="1687"/>
      <c r="CJ52" s="1687"/>
      <c r="CK52" s="1687"/>
      <c r="CL52" s="1687"/>
      <c r="CM52" s="1687"/>
      <c r="CN52" s="1687"/>
      <c r="CO52" s="1687"/>
      <c r="CP52" s="1687"/>
      <c r="CQ52" s="1787"/>
      <c r="CR52" s="1687"/>
      <c r="CS52" s="1687"/>
      <c r="CT52" s="1687"/>
      <c r="CU52" s="1687"/>
      <c r="CV52" s="1687"/>
      <c r="CW52" s="1687"/>
      <c r="CX52" s="1786"/>
      <c r="CY52" s="1787"/>
      <c r="CZ52" s="1687"/>
      <c r="DA52" s="1687"/>
      <c r="DB52" s="1687"/>
      <c r="DC52" s="1687"/>
      <c r="DD52" s="1687"/>
      <c r="DE52" s="1687"/>
      <c r="DF52" s="1786"/>
      <c r="DG52" s="1787"/>
      <c r="DH52" s="1687"/>
      <c r="DI52" s="1687"/>
      <c r="DJ52" s="1687"/>
      <c r="DK52" s="1687"/>
      <c r="DL52" s="1687"/>
      <c r="DM52" s="1788"/>
      <c r="DN52" s="1786"/>
      <c r="DO52" s="1787"/>
      <c r="DP52" s="1687"/>
      <c r="DQ52" s="1687"/>
      <c r="DR52" s="1687"/>
      <c r="DS52" s="1687"/>
      <c r="DT52" s="1687"/>
      <c r="DU52" s="1687"/>
      <c r="DV52" s="1786"/>
      <c r="DW52" s="1676"/>
      <c r="DX52" s="1676"/>
      <c r="DY52" s="1676"/>
      <c r="DZ52" s="1676"/>
      <c r="EA52" s="1676"/>
      <c r="EB52" s="1676"/>
      <c r="EC52" s="1676"/>
      <c r="ED52" s="1676"/>
      <c r="EE52" s="1246"/>
      <c r="EF52" s="1246"/>
      <c r="EG52" s="1246"/>
      <c r="EH52" s="1246"/>
      <c r="EI52" s="1246"/>
      <c r="EJ52" s="1246"/>
      <c r="EK52" s="1246"/>
      <c r="EL52" s="1717"/>
      <c r="EM52" s="1807">
        <f>(EM51-EE51)*10000</f>
        <v>-190</v>
      </c>
      <c r="EN52" s="1807">
        <f>(EN51-EF51)*10000</f>
        <v>-300</v>
      </c>
      <c r="EO52" s="1246"/>
      <c r="EP52" s="1807">
        <f>(EP51-EH51)*10000</f>
        <v>-280</v>
      </c>
      <c r="EQ52" s="1246"/>
      <c r="ER52" s="1807">
        <f>(ER51-EJ51)*10000</f>
        <v>130</v>
      </c>
      <c r="ES52" s="1246"/>
      <c r="ET52" s="1808">
        <f>(ET51-EL51)*10000</f>
        <v>-160</v>
      </c>
      <c r="EU52" s="1246"/>
      <c r="EV52" s="1246"/>
      <c r="EW52" s="1246"/>
      <c r="EX52" s="1246"/>
      <c r="EY52" s="1246"/>
      <c r="EZ52" s="1246"/>
      <c r="FA52" s="1246"/>
      <c r="FB52" s="1717"/>
      <c r="FC52" s="1789"/>
      <c r="FE52" s="1687"/>
      <c r="GX52" s="1676"/>
    </row>
    <row r="53" s="1678" customFormat="1" hidden="1" customHeight="1" spans="1:206">
      <c r="A53" s="1791" t="s">
        <v>82</v>
      </c>
      <c r="B53" s="1756"/>
      <c r="C53" s="1756"/>
      <c r="D53" s="1756"/>
      <c r="E53" s="1756"/>
      <c r="F53" s="1756"/>
      <c r="G53" s="1756"/>
      <c r="H53" s="1756"/>
      <c r="I53" s="1756"/>
      <c r="J53" s="1756"/>
      <c r="K53" s="1756"/>
      <c r="L53" s="1792"/>
      <c r="M53" s="1792"/>
      <c r="N53" s="1792"/>
      <c r="O53" s="1793">
        <f>Interim!DI60</f>
        <v>0.33</v>
      </c>
      <c r="P53" s="1793">
        <f>Interim!DQ60</f>
        <v>0.284</v>
      </c>
      <c r="Q53" s="1794">
        <v>0.307</v>
      </c>
      <c r="R53" s="1794">
        <f>+Interim!EG60</f>
        <v>0.291</v>
      </c>
      <c r="S53" s="1794">
        <f>+Interim!EO60</f>
        <v>0.262</v>
      </c>
      <c r="T53" s="1794">
        <v>0.31</v>
      </c>
      <c r="U53" s="1794">
        <v>0.286</v>
      </c>
      <c r="V53" s="1794">
        <f>(V39-(('Sales &amp; stores'!$O372+'Sales &amp; stores'!$O373)*'Profit and Loss'!V5*'Profit and Loss'!V51))/(V$5*'Sales &amp; stores'!$O374)</f>
        <v>0.341536417211921</v>
      </c>
      <c r="W53" s="1794">
        <f>(W39-(('Sales &amp; stores'!$O372+'Sales &amp; stores'!$O373)*'Profit and Loss'!W5*'Profit and Loss'!W51))/(W$5*'Sales &amp; stores'!$O374)</f>
        <v>0.330500941002351</v>
      </c>
      <c r="X53" s="1742">
        <f>(X39-(('Sales &amp; stores'!$O372+'Sales &amp; stores'!$O373)*'Profit and Loss'!X5*'Profit and Loss'!X51))/(X$5*'Sales &amp; stores'!$O374)</f>
        <v>0.333341337756184</v>
      </c>
      <c r="Y53" s="1742">
        <f>(Y39-(('Sales &amp; stores'!$O372+'Sales &amp; stores'!$O373)*'Profit and Loss'!Y5*'Profit and Loss'!Y51))/(Y$5*'Sales &amp; stores'!$O374)</f>
        <v>0.328904006827419</v>
      </c>
      <c r="Z53" s="1742">
        <f>(Z39-(('Sales &amp; stores'!$O372+'Sales &amp; stores'!$O373)*'Profit and Loss'!Z5*'Profit and Loss'!Z51))/(Z$5*'Sales &amp; stores'!$O374)</f>
        <v>0.326546026665111</v>
      </c>
      <c r="AA53" s="1742">
        <f>(AA39-(('Sales &amp; stores'!$O372+'Sales &amp; stores'!$O373)*'Profit and Loss'!AA5*'Profit and Loss'!AA51))/(AA$5*'Sales &amp; stores'!$O374)</f>
        <v>0.32002934496989</v>
      </c>
      <c r="AB53" s="1742">
        <f>(AB39-(('Sales &amp; stores'!$O372+'Sales &amp; stores'!$O373)*'Profit and Loss'!AB5*'Profit and Loss'!AB51))/(AB$5*'Sales &amp; stores'!$O374)</f>
        <v>0.313512663274669</v>
      </c>
      <c r="AC53" s="1742">
        <f>(AC39-(('Sales &amp; stores'!$O372+'Sales &amp; stores'!$O373)*'Profit and Loss'!AC5*'Profit and Loss'!AC51))/(AC$5*'Sales &amp; stores'!$O374)</f>
        <v>0.306995981579449</v>
      </c>
      <c r="AD53" s="1742">
        <f>(AD39-(('Sales &amp; stores'!$O372+'Sales &amp; stores'!$O373)*'Profit and Loss'!AD5*'Profit and Loss'!AD51))/(AD$5*'Sales &amp; stores'!$O374)</f>
        <v>0.300479299884227</v>
      </c>
      <c r="AE53" s="1742">
        <f>(AE39-(('Sales &amp; stores'!$O372+'Sales &amp; stores'!$O373)*'Profit and Loss'!AE5*'Profit and Loss'!AE51))/(AE$5*'Sales &amp; stores'!$O374)</f>
        <v>0.293962618189006</v>
      </c>
      <c r="AF53" s="1809">
        <f>(AF39-(('Sales &amp; stores'!$O372+'Sales &amp; stores'!$O373)*'Profit and Loss'!AF5*'Profit and Loss'!AF51))/(AF$5*'Sales &amp; stores'!$O374)</f>
        <v>0.287445936493785</v>
      </c>
      <c r="AG53" s="1742">
        <f>(AG39-(('Sales &amp; stores'!$O372+'Sales &amp; stores'!$O373)*'Profit and Loss'!AG5*'Profit and Loss'!AG51))/(AG$5*'Sales &amp; stores'!$O374)</f>
        <v>0.280929254798565</v>
      </c>
      <c r="AH53" s="1742">
        <f>(AH39-(('Sales &amp; stores'!$O372+'Sales &amp; stores'!$O373)*'Profit and Loss'!AH5*'Profit and Loss'!AH51))/(AH$5*'Sales &amp; stores'!$O374)</f>
        <v>0.274412573103343</v>
      </c>
      <c r="AI53" s="1742">
        <f>(AI39-(('Sales &amp; stores'!$O372+'Sales &amp; stores'!$O373)*'Profit and Loss'!AI5*'Profit and Loss'!AI51))/(AI$5*'Sales &amp; stores'!$O374)</f>
        <v>0.267895891408123</v>
      </c>
      <c r="AJ53" s="1742">
        <f>(AJ39-(('Sales &amp; stores'!$O372+'Sales &amp; stores'!$O373)*'Profit and Loss'!AJ5*'Profit and Loss'!AJ51))/(AJ$5*'Sales &amp; stores'!$O374)</f>
        <v>0.261379209712901</v>
      </c>
      <c r="AK53" s="1742">
        <f>(AK39-(('Sales &amp; stores'!$O372+'Sales &amp; stores'!$O373)*'Profit and Loss'!AK5*'Profit and Loss'!AK51))/(AK$5*'Sales &amp; stores'!$O374)</f>
        <v>0.25486252801768</v>
      </c>
      <c r="AL53" s="1742"/>
      <c r="AM53" s="1688"/>
      <c r="AN53" s="1688"/>
      <c r="AO53" s="1688"/>
      <c r="AP53" s="1688"/>
      <c r="AQ53" s="1688"/>
      <c r="AR53" s="1688"/>
      <c r="AS53" s="1688"/>
      <c r="AT53" s="1688"/>
      <c r="AU53" s="1688"/>
      <c r="AV53" s="1688"/>
      <c r="AW53" s="1688"/>
      <c r="BC53" s="1760"/>
      <c r="BD53" s="1810"/>
      <c r="BE53" s="1756"/>
      <c r="BF53" s="1811"/>
      <c r="BG53" s="1756"/>
      <c r="BH53" s="1756"/>
      <c r="BI53" s="1756"/>
      <c r="BJ53" s="1756"/>
      <c r="BK53" s="1756"/>
      <c r="BL53" s="1756"/>
      <c r="BM53" s="1756"/>
      <c r="BN53" s="1756"/>
      <c r="BO53" s="1756"/>
      <c r="BP53" s="1756"/>
      <c r="BQ53" s="1756"/>
      <c r="BR53" s="1756"/>
      <c r="BS53" s="1756"/>
      <c r="BT53" s="1756"/>
      <c r="BU53" s="1756"/>
      <c r="BV53" s="1756"/>
      <c r="BW53" s="1756"/>
      <c r="BX53" s="1756"/>
      <c r="BY53" s="1686"/>
      <c r="BZ53" s="1686"/>
      <c r="CA53" s="1686"/>
      <c r="CB53" s="1686"/>
      <c r="CC53" s="1686"/>
      <c r="CD53" s="1686"/>
      <c r="CE53" s="1756"/>
      <c r="CF53" s="1756"/>
      <c r="CG53" s="1756"/>
      <c r="CH53" s="1798"/>
      <c r="CI53" s="1756"/>
      <c r="CJ53" s="1756"/>
      <c r="CK53" s="1756"/>
      <c r="CL53" s="1756"/>
      <c r="CM53" s="1756"/>
      <c r="CN53" s="1756"/>
      <c r="CO53" s="1756"/>
      <c r="CP53" s="1756"/>
      <c r="CQ53" s="1799"/>
      <c r="CR53" s="1756"/>
      <c r="CS53" s="1756"/>
      <c r="CT53" s="1756"/>
      <c r="CU53" s="1756"/>
      <c r="CV53" s="1756"/>
      <c r="CW53" s="1756"/>
      <c r="CX53" s="1798"/>
      <c r="CY53" s="1799"/>
      <c r="CZ53" s="1756"/>
      <c r="DA53" s="1756"/>
      <c r="DB53" s="1756"/>
      <c r="DC53" s="1756"/>
      <c r="DD53" s="1756"/>
      <c r="DE53" s="1756"/>
      <c r="DF53" s="1798"/>
      <c r="DG53" s="1799"/>
      <c r="DH53" s="1756"/>
      <c r="DI53" s="1756"/>
      <c r="DJ53" s="1756"/>
      <c r="DK53" s="1756"/>
      <c r="DL53" s="1756"/>
      <c r="DM53" s="1800"/>
      <c r="DN53" s="1798"/>
      <c r="DO53" s="1799"/>
      <c r="DP53" s="1756"/>
      <c r="DQ53" s="1756"/>
      <c r="DR53" s="1756"/>
      <c r="DS53" s="1756"/>
      <c r="DT53" s="1756"/>
      <c r="DU53" s="1756"/>
      <c r="DV53" s="1798"/>
      <c r="DW53" s="1673"/>
      <c r="DX53" s="1673"/>
      <c r="DY53" s="1673"/>
      <c r="DZ53" s="1673"/>
      <c r="EA53" s="1673"/>
      <c r="EB53" s="1673"/>
      <c r="EC53" s="1673"/>
      <c r="ED53" s="1673"/>
      <c r="EE53" s="1793">
        <v>0.32</v>
      </c>
      <c r="EF53" s="1793">
        <v>0.33</v>
      </c>
      <c r="EG53" s="1793"/>
      <c r="EH53" s="1793">
        <v>0.367</v>
      </c>
      <c r="EI53" s="1793"/>
      <c r="EJ53" s="1793">
        <v>0.293</v>
      </c>
      <c r="EK53" s="1793"/>
      <c r="EL53" s="1801">
        <v>0.33</v>
      </c>
      <c r="EM53" s="1793">
        <v>0.27</v>
      </c>
      <c r="EN53" s="1793">
        <v>0.254</v>
      </c>
      <c r="EO53" s="1793"/>
      <c r="EP53" s="1793">
        <v>0.309</v>
      </c>
      <c r="EQ53" s="1793"/>
      <c r="ER53" s="1793">
        <v>0.292</v>
      </c>
      <c r="ES53" s="1793"/>
      <c r="ET53" s="1801">
        <v>0.284</v>
      </c>
      <c r="EU53" s="1793"/>
      <c r="EV53" s="1793"/>
      <c r="EW53" s="1793"/>
      <c r="EX53" s="1793"/>
      <c r="EY53" s="1793"/>
      <c r="EZ53" s="1793"/>
      <c r="FA53" s="1793"/>
      <c r="FB53" s="1801"/>
      <c r="FC53" s="1802"/>
      <c r="FE53" s="1756"/>
      <c r="GX53" s="1673"/>
    </row>
    <row r="54" hidden="1" customHeight="1" spans="1:206">
      <c r="A54" s="1803" t="s">
        <v>81</v>
      </c>
      <c r="P54" s="1688">
        <f>Interim!DQ61</f>
        <v>-460</v>
      </c>
      <c r="Q54" s="1804">
        <f>(Q53-P53)*10000</f>
        <v>230</v>
      </c>
      <c r="R54" s="1804">
        <f>+Interim!EG61</f>
        <v>-160</v>
      </c>
      <c r="S54" s="1804">
        <f>+Interim!EO61</f>
        <v>-290</v>
      </c>
      <c r="T54" s="1804">
        <f t="shared" ref="T54:AK54" si="162">(T53-S53)*10000</f>
        <v>480</v>
      </c>
      <c r="U54" s="1804">
        <f t="shared" si="162"/>
        <v>-240</v>
      </c>
      <c r="V54" s="1804">
        <f t="shared" si="162"/>
        <v>555.364172119214</v>
      </c>
      <c r="W54" s="1804">
        <f t="shared" si="162"/>
        <v>-110.354762095702</v>
      </c>
      <c r="X54" s="1804">
        <f t="shared" si="162"/>
        <v>28.4039675383263</v>
      </c>
      <c r="Y54" s="1804">
        <f t="shared" si="162"/>
        <v>-44.3733092876436</v>
      </c>
      <c r="Z54" s="1804">
        <f t="shared" si="162"/>
        <v>-23.579801623087</v>
      </c>
      <c r="AA54" s="1804">
        <f t="shared" si="162"/>
        <v>-65.1668169522124</v>
      </c>
      <c r="AB54" s="1804">
        <f t="shared" si="162"/>
        <v>-65.1668169522085</v>
      </c>
      <c r="AC54" s="1804">
        <f t="shared" si="162"/>
        <v>-65.1668169522007</v>
      </c>
      <c r="AD54" s="1804">
        <f t="shared" si="162"/>
        <v>-65.1668169522185</v>
      </c>
      <c r="AE54" s="1804">
        <f t="shared" si="162"/>
        <v>-65.1668169522107</v>
      </c>
      <c r="AF54" s="1805">
        <f t="shared" si="162"/>
        <v>-65.1668169522074</v>
      </c>
      <c r="AG54" s="1804">
        <f t="shared" si="162"/>
        <v>-65.1668169522046</v>
      </c>
      <c r="AH54" s="1804">
        <f t="shared" si="162"/>
        <v>-65.1668169522107</v>
      </c>
      <c r="AI54" s="1804">
        <f t="shared" si="162"/>
        <v>-65.1668169522068</v>
      </c>
      <c r="AJ54" s="1804">
        <f t="shared" si="162"/>
        <v>-65.166816952219</v>
      </c>
      <c r="AK54" s="1804">
        <f t="shared" si="162"/>
        <v>-65.1668169522057</v>
      </c>
      <c r="AL54" s="1804"/>
      <c r="AT54" s="1688"/>
      <c r="AU54" s="1688"/>
      <c r="AV54" s="1688"/>
      <c r="AW54" s="1688"/>
      <c r="BC54" s="1806"/>
      <c r="BD54" s="1812"/>
      <c r="BE54" s="1687"/>
      <c r="BF54" s="1687"/>
      <c r="BG54" s="1687"/>
      <c r="BH54" s="1687"/>
      <c r="BI54" s="1687"/>
      <c r="BJ54" s="1687"/>
      <c r="BK54" s="1687"/>
      <c r="BL54" s="1687"/>
      <c r="BM54" s="1687"/>
      <c r="BN54" s="1687"/>
      <c r="BO54" s="1687"/>
      <c r="BP54" s="1687"/>
      <c r="BQ54" s="1687"/>
      <c r="BR54" s="1687"/>
      <c r="BS54" s="1687"/>
      <c r="BT54" s="1687"/>
      <c r="BU54" s="1687"/>
      <c r="BV54" s="1687"/>
      <c r="BW54" s="1687"/>
      <c r="BX54" s="1687"/>
      <c r="CE54" s="1687"/>
      <c r="CF54" s="1687"/>
      <c r="CG54" s="1687"/>
      <c r="CH54" s="1786"/>
      <c r="CI54" s="1687"/>
      <c r="CJ54" s="1687"/>
      <c r="CK54" s="1687"/>
      <c r="CL54" s="1687"/>
      <c r="CM54" s="1687"/>
      <c r="CN54" s="1687"/>
      <c r="CO54" s="1687"/>
      <c r="CP54" s="1687"/>
      <c r="CQ54" s="1787"/>
      <c r="CR54" s="1687"/>
      <c r="CS54" s="1687"/>
      <c r="CT54" s="1687"/>
      <c r="CU54" s="1687"/>
      <c r="CV54" s="1687"/>
      <c r="CW54" s="1687"/>
      <c r="CX54" s="1786"/>
      <c r="CY54" s="1787"/>
      <c r="CZ54" s="1687"/>
      <c r="DA54" s="1687"/>
      <c r="DB54" s="1687"/>
      <c r="DC54" s="1687"/>
      <c r="DD54" s="1687"/>
      <c r="DE54" s="1687"/>
      <c r="DF54" s="1786"/>
      <c r="DG54" s="1787"/>
      <c r="DH54" s="1687"/>
      <c r="DI54" s="1687"/>
      <c r="DJ54" s="1687"/>
      <c r="DK54" s="1687"/>
      <c r="DL54" s="1687"/>
      <c r="DM54" s="1788"/>
      <c r="DN54" s="1786"/>
      <c r="DO54" s="1787"/>
      <c r="DP54" s="1687"/>
      <c r="DQ54" s="1687"/>
      <c r="DR54" s="1687"/>
      <c r="DS54" s="1687"/>
      <c r="DT54" s="1687"/>
      <c r="DU54" s="1687"/>
      <c r="DV54" s="1786"/>
      <c r="DW54" s="1676"/>
      <c r="DX54" s="1676"/>
      <c r="DY54" s="1676"/>
      <c r="DZ54" s="1676"/>
      <c r="EA54" s="1676"/>
      <c r="EB54" s="1676"/>
      <c r="EC54" s="1676"/>
      <c r="ED54" s="1676"/>
      <c r="EE54" s="1246"/>
      <c r="EF54" s="1246"/>
      <c r="EG54" s="1246"/>
      <c r="EH54" s="1246"/>
      <c r="EI54" s="1246"/>
      <c r="EJ54" s="1246"/>
      <c r="EK54" s="1246"/>
      <c r="EL54" s="1717"/>
      <c r="EM54" s="1807">
        <f>(EM53-EE53)*10000</f>
        <v>-500</v>
      </c>
      <c r="EN54" s="1807">
        <f>(EN53-EF53)*10000</f>
        <v>-760</v>
      </c>
      <c r="EO54" s="1246"/>
      <c r="EP54" s="1807">
        <f>(EP53-EH53)*10000</f>
        <v>-580</v>
      </c>
      <c r="EQ54" s="1246"/>
      <c r="ER54" s="1807">
        <f>(ER53-EJ53)*10000</f>
        <v>-10</v>
      </c>
      <c r="ES54" s="1246"/>
      <c r="ET54" s="1808">
        <f>(ET53-EL53)*10000</f>
        <v>-460</v>
      </c>
      <c r="EU54" s="1246"/>
      <c r="EV54" s="1246"/>
      <c r="EW54" s="1246"/>
      <c r="EX54" s="1246"/>
      <c r="EY54" s="1246"/>
      <c r="EZ54" s="1246"/>
      <c r="FA54" s="1246"/>
      <c r="FB54" s="1717"/>
      <c r="FC54" s="1789"/>
      <c r="FE54" s="1687"/>
      <c r="GX54" s="1676"/>
    </row>
    <row r="55" hidden="1" customHeight="1" spans="1:206">
      <c r="A55" s="1678" t="s">
        <v>83</v>
      </c>
      <c r="O55" s="1246"/>
      <c r="P55" s="1246">
        <f>(('Sales &amp; stores'!L372+'Sales &amp; stores'!L373)*'Profit and Loss'!P51)+('Sales &amp; stores'!L374*'Profit and Loss'!P53)</f>
        <v>0.4152</v>
      </c>
      <c r="Q55" s="1246">
        <f>(('Sales &amp; stores'!M372+'Sales &amp; stores'!M373)*'Profit and Loss'!Q51)+('Sales &amp; stores'!M374*'Profit and Loss'!Q53)</f>
        <v>0.4136</v>
      </c>
      <c r="R55" s="1246">
        <f>(('Sales &amp; stores'!N372+'Sales &amp; stores'!N373)*'Profit and Loss'!R51)+('Sales &amp; stores'!N374*'Profit and Loss'!R53)</f>
        <v>0.398132731971756</v>
      </c>
      <c r="S55" s="1246">
        <f>(('Sales &amp; stores'!$O372+'Sales &amp; stores'!$O373)*'Profit and Loss'!S51)+('Sales &amp; stores'!$O374*'Profit and Loss'!S53)</f>
        <v>0.400559949648589</v>
      </c>
      <c r="T55" s="1246">
        <f>(('Sales &amp; stores'!$O372+'Sales &amp; stores'!$O373)*'Profit and Loss'!T51)+('Sales &amp; stores'!$O374*'Profit and Loss'!T53)</f>
        <v>0.424604007133117</v>
      </c>
      <c r="U55" s="1246">
        <f>(('Sales &amp; stores'!$O372+'Sales &amp; stores'!$O373)*'Profit and Loss'!U51)+('Sales &amp; stores'!$O374*'Profit and Loss'!U53)</f>
        <v>0.413900555963495</v>
      </c>
      <c r="V55" s="1246">
        <f>(('Sales &amp; stores'!$O372+'Sales &amp; stores'!$O373)*'Profit and Loss'!V51)+('Sales &amp; stores'!$O374*'Profit and Loss'!V53)</f>
        <v>0.451122472610671</v>
      </c>
      <c r="W55" s="1246">
        <f>(('Sales &amp; stores'!$O372+'Sales &amp; stores'!$O373)*'Profit and Loss'!W51)+('Sales &amp; stores'!$O374*'Profit and Loss'!W53)</f>
        <v>0.447776121252116</v>
      </c>
      <c r="X55" s="1246">
        <f>(('Sales &amp; stores'!$O372+'Sales &amp; stores'!$O373)*'Profit and Loss'!X51)+('Sales &amp; stores'!$O374*'Profit and Loss'!X53)</f>
        <v>0.457776121252116</v>
      </c>
      <c r="Y55" s="1246">
        <f>(('Sales &amp; stores'!$O372+'Sales &amp; stores'!$O373)*'Profit and Loss'!Y51)+('Sales &amp; stores'!$O374*'Profit and Loss'!Y53)</f>
        <v>0.460776121252116</v>
      </c>
      <c r="Z55" s="1246">
        <f>(('Sales &amp; stores'!$O372+'Sales &amp; stores'!$O373)*'Profit and Loss'!Z51)+('Sales &amp; stores'!$O374*'Profit and Loss'!Z53)</f>
        <v>0.465776121252116</v>
      </c>
      <c r="AA55" s="1246">
        <f>(('Sales &amp; stores'!$O372+'Sales &amp; stores'!$O373)*'Profit and Loss'!AA51)+('Sales &amp; stores'!$O374*'Profit and Loss'!AA53)</f>
        <v>0.466776121252116</v>
      </c>
      <c r="AB55" s="1246">
        <f>(('Sales &amp; stores'!$O372+'Sales &amp; stores'!$O373)*'Profit and Loss'!AB51)+('Sales &amp; stores'!$O374*'Profit and Loss'!AB53)</f>
        <v>0.467776121252116</v>
      </c>
      <c r="AC55" s="1246">
        <f>(('Sales &amp; stores'!$O372+'Sales &amp; stores'!$O373)*'Profit and Loss'!AC51)+('Sales &amp; stores'!$O374*'Profit and Loss'!AC53)</f>
        <v>0.468776121252116</v>
      </c>
      <c r="AD55" s="1246">
        <f>(('Sales &amp; stores'!$O372+'Sales &amp; stores'!$O373)*'Profit and Loss'!AD51)+('Sales &amp; stores'!$O374*'Profit and Loss'!AD53)</f>
        <v>0.469776121252116</v>
      </c>
      <c r="AE55" s="1246">
        <f>(('Sales &amp; stores'!$O372+'Sales &amp; stores'!$O373)*'Profit and Loss'!AE51)+('Sales &amp; stores'!$O374*'Profit and Loss'!AE53)</f>
        <v>0.470776121252116</v>
      </c>
      <c r="AF55" s="1717">
        <f>(('Sales &amp; stores'!$O372+'Sales &amp; stores'!$O373)*'Profit and Loss'!AF51)+('Sales &amp; stores'!$O374*'Profit and Loss'!AF53)</f>
        <v>0.471776121252116</v>
      </c>
      <c r="AG55" s="1246">
        <f>(('Sales &amp; stores'!$O372+'Sales &amp; stores'!$O373)*'Profit and Loss'!AG51)+('Sales &amp; stores'!$O374*'Profit and Loss'!AG53)</f>
        <v>0.472776121252116</v>
      </c>
      <c r="AH55" s="1246">
        <f>(('Sales &amp; stores'!$O372+'Sales &amp; stores'!$O373)*'Profit and Loss'!AH51)+('Sales &amp; stores'!$O374*'Profit and Loss'!AH53)</f>
        <v>0.473776121252116</v>
      </c>
      <c r="AI55" s="1246">
        <f>(('Sales &amp; stores'!$O372+'Sales &amp; stores'!$O373)*'Profit and Loss'!AI51)+('Sales &amp; stores'!$O374*'Profit and Loss'!AI53)</f>
        <v>0.474776121252116</v>
      </c>
      <c r="AJ55" s="1246">
        <f>(('Sales &amp; stores'!$O372+'Sales &amp; stores'!$O373)*'Profit and Loss'!AJ51)+('Sales &amp; stores'!$O374*'Profit and Loss'!AJ53)</f>
        <v>0.475776121252116</v>
      </c>
      <c r="AK55" s="1246">
        <f>(('Sales &amp; stores'!$O372+'Sales &amp; stores'!$O373)*'Profit and Loss'!AK51)+('Sales &amp; stores'!$O374*'Profit and Loss'!AK53)</f>
        <v>0.476776121252116</v>
      </c>
      <c r="AL55" s="1246"/>
      <c r="AT55" s="1688"/>
      <c r="AU55" s="1688"/>
      <c r="AV55" s="1688"/>
      <c r="AW55" s="1688"/>
      <c r="BC55" s="1767"/>
      <c r="BD55" s="1812"/>
      <c r="BE55" s="1687"/>
      <c r="BF55" s="1687"/>
      <c r="BG55" s="1687"/>
      <c r="BH55" s="1687"/>
      <c r="BI55" s="1687"/>
      <c r="BJ55" s="1687"/>
      <c r="BK55" s="1687"/>
      <c r="BL55" s="1687"/>
      <c r="BM55" s="1687"/>
      <c r="BN55" s="1687"/>
      <c r="BO55" s="1687"/>
      <c r="BP55" s="1687"/>
      <c r="BQ55" s="1687"/>
      <c r="BR55" s="1687"/>
      <c r="BS55" s="1687"/>
      <c r="BT55" s="1687"/>
      <c r="BU55" s="1687"/>
      <c r="BV55" s="1687"/>
      <c r="BW55" s="1687"/>
      <c r="BX55" s="1687"/>
      <c r="CE55" s="1687"/>
      <c r="CF55" s="1687"/>
      <c r="CG55" s="1687"/>
      <c r="CH55" s="1786"/>
      <c r="CI55" s="1687"/>
      <c r="CJ55" s="1687"/>
      <c r="CK55" s="1687"/>
      <c r="CL55" s="1687"/>
      <c r="CM55" s="1687"/>
      <c r="CN55" s="1687"/>
      <c r="CO55" s="1687"/>
      <c r="CP55" s="1687"/>
      <c r="CQ55" s="1787"/>
      <c r="CR55" s="1687"/>
      <c r="CS55" s="1687"/>
      <c r="CT55" s="1687"/>
      <c r="CU55" s="1687"/>
      <c r="CV55" s="1687"/>
      <c r="CW55" s="1687"/>
      <c r="CX55" s="1786"/>
      <c r="CY55" s="1787"/>
      <c r="CZ55" s="1687"/>
      <c r="DA55" s="1687"/>
      <c r="DB55" s="1687"/>
      <c r="DC55" s="1687"/>
      <c r="DD55" s="1687"/>
      <c r="DE55" s="1687"/>
      <c r="DF55" s="1786"/>
      <c r="DG55" s="1787"/>
      <c r="DH55" s="1687"/>
      <c r="DI55" s="1687"/>
      <c r="DJ55" s="1687"/>
      <c r="DK55" s="1687"/>
      <c r="DL55" s="1687"/>
      <c r="DM55" s="1788"/>
      <c r="DN55" s="1786"/>
      <c r="DO55" s="1787"/>
      <c r="DP55" s="1687"/>
      <c r="DQ55" s="1687"/>
      <c r="DR55" s="1687"/>
      <c r="DS55" s="1687"/>
      <c r="DT55" s="1687"/>
      <c r="DU55" s="1687"/>
      <c r="DV55" s="1786"/>
      <c r="DW55" s="1676"/>
      <c r="DX55" s="1676"/>
      <c r="DY55" s="1676"/>
      <c r="DZ55" s="1676"/>
      <c r="EA55" s="1676"/>
      <c r="EB55" s="1676"/>
      <c r="EC55" s="1676"/>
      <c r="ED55" s="1676"/>
      <c r="EE55" s="1246"/>
      <c r="EF55" s="1246"/>
      <c r="EG55" s="1246"/>
      <c r="EH55" s="1246"/>
      <c r="EI55" s="1246"/>
      <c r="EJ55" s="1246"/>
      <c r="EK55" s="1246"/>
      <c r="EL55" s="1717"/>
      <c r="EM55" s="1246"/>
      <c r="EN55" s="1246"/>
      <c r="EO55" s="1246"/>
      <c r="EP55" s="1246"/>
      <c r="EQ55" s="1246"/>
      <c r="ER55" s="1246"/>
      <c r="ES55" s="1246"/>
      <c r="ET55" s="1717"/>
      <c r="EU55" s="1246"/>
      <c r="EV55" s="1246"/>
      <c r="EW55" s="1246"/>
      <c r="EX55" s="1246"/>
      <c r="EY55" s="1246"/>
      <c r="EZ55" s="1246"/>
      <c r="FA55" s="1246"/>
      <c r="FB55" s="1717"/>
      <c r="FC55" s="1789"/>
      <c r="FE55" s="1687"/>
      <c r="GX55" s="1676"/>
    </row>
    <row r="56" s="1678" customFormat="1" hidden="1" customHeight="1" spans="1:206">
      <c r="A56" s="1673" t="s">
        <v>62</v>
      </c>
      <c r="B56" s="1687"/>
      <c r="C56" s="1687"/>
      <c r="D56" s="1687"/>
      <c r="E56" s="1687"/>
      <c r="F56" s="1687"/>
      <c r="G56" s="1687"/>
      <c r="H56" s="1687"/>
      <c r="I56" s="1687"/>
      <c r="J56" s="1687"/>
      <c r="K56" s="1687"/>
      <c r="L56" s="1736"/>
      <c r="M56" s="1736"/>
      <c r="N56" s="1736"/>
      <c r="O56" s="1792"/>
      <c r="P56" s="1736"/>
      <c r="Q56" s="1813"/>
      <c r="R56" s="1813"/>
      <c r="S56" s="1813"/>
      <c r="T56" s="1813"/>
      <c r="U56" s="1813"/>
      <c r="V56" s="1813"/>
      <c r="W56" s="1813"/>
      <c r="X56" s="1737"/>
      <c r="Y56" s="1737"/>
      <c r="Z56" s="1737"/>
      <c r="AA56" s="1737"/>
      <c r="AB56" s="1737"/>
      <c r="AC56" s="1737"/>
      <c r="AD56" s="1737"/>
      <c r="AE56" s="1737"/>
      <c r="AF56" s="1814"/>
      <c r="AG56" s="1737"/>
      <c r="AH56" s="1737"/>
      <c r="AI56" s="1737"/>
      <c r="AJ56" s="1737"/>
      <c r="AK56" s="1737"/>
      <c r="AL56" s="1737"/>
      <c r="AM56" s="1688"/>
      <c r="AN56" s="1688"/>
      <c r="AO56" s="1688"/>
      <c r="AP56" s="1688"/>
      <c r="AQ56" s="1688"/>
      <c r="AR56" s="1688"/>
      <c r="AS56" s="1688"/>
      <c r="AT56" s="1688"/>
      <c r="AU56" s="1688"/>
      <c r="AV56" s="1688"/>
      <c r="AW56" s="1688"/>
      <c r="BC56" s="1760"/>
      <c r="BD56" s="1760"/>
      <c r="BE56" s="1756"/>
      <c r="BF56" s="1756"/>
      <c r="BG56" s="1756"/>
      <c r="BH56" s="1756"/>
      <c r="BI56" s="1756"/>
      <c r="BJ56" s="1756"/>
      <c r="BK56" s="1756"/>
      <c r="BL56" s="1756"/>
      <c r="BM56" s="1756"/>
      <c r="BN56" s="1756"/>
      <c r="BO56" s="1756"/>
      <c r="BP56" s="1756"/>
      <c r="BQ56" s="1756"/>
      <c r="BR56" s="1756"/>
      <c r="BS56" s="1756"/>
      <c r="BT56" s="1756"/>
      <c r="BU56" s="1756"/>
      <c r="BV56" s="1756"/>
      <c r="BW56" s="1756"/>
      <c r="BX56" s="1756"/>
      <c r="BY56" s="1686"/>
      <c r="BZ56" s="1686"/>
      <c r="CA56" s="1686"/>
      <c r="CB56" s="1686"/>
      <c r="CC56" s="1686"/>
      <c r="CD56" s="1686"/>
      <c r="CE56" s="1756"/>
      <c r="CF56" s="1756"/>
      <c r="CG56" s="1756"/>
      <c r="CH56" s="1798"/>
      <c r="CI56" s="1756"/>
      <c r="CJ56" s="1756"/>
      <c r="CK56" s="1756"/>
      <c r="CL56" s="1756"/>
      <c r="CM56" s="1756"/>
      <c r="CN56" s="1756"/>
      <c r="CO56" s="1756"/>
      <c r="CP56" s="1756"/>
      <c r="CQ56" s="1799"/>
      <c r="CR56" s="1756"/>
      <c r="CS56" s="1756"/>
      <c r="CT56" s="1756"/>
      <c r="CU56" s="1756"/>
      <c r="CV56" s="1756"/>
      <c r="CW56" s="1756"/>
      <c r="CX56" s="1798"/>
      <c r="CY56" s="1799"/>
      <c r="CZ56" s="1756"/>
      <c r="DA56" s="1756"/>
      <c r="DB56" s="1756"/>
      <c r="DC56" s="1756"/>
      <c r="DD56" s="1756"/>
      <c r="DE56" s="1756"/>
      <c r="DF56" s="1798"/>
      <c r="DG56" s="1799"/>
      <c r="DH56" s="1756"/>
      <c r="DI56" s="1756"/>
      <c r="DJ56" s="1756"/>
      <c r="DK56" s="1756"/>
      <c r="DL56" s="1756"/>
      <c r="DM56" s="1800"/>
      <c r="DN56" s="1798"/>
      <c r="DO56" s="1799"/>
      <c r="DP56" s="1756"/>
      <c r="DQ56" s="1756"/>
      <c r="DR56" s="1756"/>
      <c r="DS56" s="1756"/>
      <c r="DT56" s="1756"/>
      <c r="DU56" s="1756"/>
      <c r="DV56" s="1798"/>
      <c r="DW56" s="1673"/>
      <c r="DX56" s="1673"/>
      <c r="DY56" s="1673"/>
      <c r="DZ56" s="1673"/>
      <c r="EA56" s="1673"/>
      <c r="EB56" s="1673"/>
      <c r="EC56" s="1673"/>
      <c r="ED56" s="1673"/>
      <c r="EE56" s="1793">
        <v>0.61</v>
      </c>
      <c r="EF56" s="1793">
        <v>0.65</v>
      </c>
      <c r="EG56" s="1793"/>
      <c r="EH56" s="1793">
        <v>0.643</v>
      </c>
      <c r="EI56" s="1793"/>
      <c r="EJ56" s="1793">
        <v>0.635</v>
      </c>
      <c r="EK56" s="1793"/>
      <c r="EL56" s="1801">
        <v>0.636</v>
      </c>
      <c r="EM56" s="1793">
        <v>0.573</v>
      </c>
      <c r="EN56" s="1793">
        <v>0.628</v>
      </c>
      <c r="EO56" s="1793"/>
      <c r="EP56" s="1793">
        <v>0.605</v>
      </c>
      <c r="EQ56" s="1793"/>
      <c r="ER56" s="1793">
        <v>0.622</v>
      </c>
      <c r="ES56" s="1793"/>
      <c r="ET56" s="1801">
        <v>0.609</v>
      </c>
      <c r="EU56" s="1793"/>
      <c r="EV56" s="1793"/>
      <c r="EW56" s="1793"/>
      <c r="EX56" s="1793"/>
      <c r="EY56" s="1793"/>
      <c r="EZ56" s="1793"/>
      <c r="FA56" s="1793"/>
      <c r="FB56" s="1801"/>
      <c r="FC56" s="1802"/>
      <c r="FE56" s="1756"/>
      <c r="GX56" s="1673"/>
    </row>
    <row r="57" hidden="1" customHeight="1" spans="1:206">
      <c r="A57" s="1791" t="s">
        <v>80</v>
      </c>
      <c r="B57" s="1756"/>
      <c r="C57" s="1756"/>
      <c r="D57" s="1756"/>
      <c r="E57" s="1756"/>
      <c r="F57" s="1756"/>
      <c r="G57" s="1756"/>
      <c r="H57" s="1756"/>
      <c r="I57" s="1756"/>
      <c r="J57" s="1756"/>
      <c r="K57" s="1756"/>
      <c r="L57" s="1792"/>
      <c r="M57" s="1792"/>
      <c r="N57" s="1792"/>
      <c r="O57" s="1793">
        <f>Interim!DI63</f>
        <v>0.636</v>
      </c>
      <c r="P57" s="1793">
        <f>Interim!DQ63</f>
        <v>0.609</v>
      </c>
      <c r="Q57" s="1794">
        <v>0.632</v>
      </c>
      <c r="R57" s="1794">
        <f>+Interim!EG63</f>
        <v>0.636</v>
      </c>
      <c r="S57" s="1794">
        <f>+Interim!EO63</f>
        <v>0.621</v>
      </c>
      <c r="T57" s="1794">
        <v>0.631</v>
      </c>
      <c r="U57" s="1794">
        <v>0.603</v>
      </c>
      <c r="V57" s="1794">
        <f t="shared" ref="V57:AK57" si="163">U57+((V42-U42)+0.25%)</f>
        <v>0.625915913829165</v>
      </c>
      <c r="W57" s="1794">
        <f t="shared" si="163"/>
        <v>0.628415913829165</v>
      </c>
      <c r="X57" s="1795">
        <f t="shared" si="163"/>
        <v>0.642740215108494</v>
      </c>
      <c r="Y57" s="1795">
        <f t="shared" si="163"/>
        <v>0.646812006273577</v>
      </c>
      <c r="Z57" s="1795">
        <f t="shared" si="163"/>
        <v>0.652445244007303</v>
      </c>
      <c r="AA57" s="1795">
        <f t="shared" si="163"/>
        <v>0.656001641163766</v>
      </c>
      <c r="AB57" s="1795">
        <f t="shared" si="163"/>
        <v>0.669838409577262</v>
      </c>
      <c r="AC57" s="1795">
        <f t="shared" si="163"/>
        <v>0.672338409577262</v>
      </c>
      <c r="AD57" s="1795">
        <f t="shared" si="163"/>
        <v>0.674838409577262</v>
      </c>
      <c r="AE57" s="1795">
        <f t="shared" si="163"/>
        <v>0.677338409577262</v>
      </c>
      <c r="AF57" s="1796">
        <f t="shared" si="163"/>
        <v>0.679838409577262</v>
      </c>
      <c r="AG57" s="1795">
        <f t="shared" si="163"/>
        <v>0.682338409577262</v>
      </c>
      <c r="AH57" s="1795">
        <f t="shared" si="163"/>
        <v>0.684838409577262</v>
      </c>
      <c r="AI57" s="1795">
        <f t="shared" si="163"/>
        <v>0.687338409577262</v>
      </c>
      <c r="AJ57" s="1795">
        <f t="shared" si="163"/>
        <v>0.689838409577262</v>
      </c>
      <c r="AK57" s="1795">
        <f t="shared" si="163"/>
        <v>0.692338409577262</v>
      </c>
      <c r="AL57" s="1795"/>
      <c r="AT57" s="1688"/>
      <c r="AU57" s="1688"/>
      <c r="AV57" s="1688"/>
      <c r="AW57" s="1688"/>
      <c r="BC57" s="1767"/>
      <c r="BD57" s="1767"/>
      <c r="BE57" s="1687"/>
      <c r="BF57" s="1687"/>
      <c r="BG57" s="1687"/>
      <c r="BH57" s="1687"/>
      <c r="BI57" s="1687"/>
      <c r="BJ57" s="1687"/>
      <c r="BK57" s="1687"/>
      <c r="BL57" s="1687"/>
      <c r="BM57" s="1687"/>
      <c r="BN57" s="1687"/>
      <c r="BO57" s="1687"/>
      <c r="BP57" s="1687"/>
      <c r="BQ57" s="1687"/>
      <c r="BR57" s="1687"/>
      <c r="BS57" s="1687"/>
      <c r="BT57" s="1687"/>
      <c r="BU57" s="1687"/>
      <c r="BV57" s="1687"/>
      <c r="BW57" s="1687"/>
      <c r="BX57" s="1687"/>
      <c r="CE57" s="1687"/>
      <c r="CF57" s="1687"/>
      <c r="CG57" s="1687"/>
      <c r="CH57" s="1786"/>
      <c r="CI57" s="1687"/>
      <c r="CJ57" s="1687"/>
      <c r="CK57" s="1687"/>
      <c r="CL57" s="1687"/>
      <c r="CM57" s="1687"/>
      <c r="CN57" s="1687"/>
      <c r="CO57" s="1687"/>
      <c r="CP57" s="1687"/>
      <c r="CQ57" s="1787"/>
      <c r="CR57" s="1687"/>
      <c r="CS57" s="1687"/>
      <c r="CT57" s="1687"/>
      <c r="CU57" s="1687"/>
      <c r="CV57" s="1687"/>
      <c r="CW57" s="1687"/>
      <c r="CX57" s="1786"/>
      <c r="CY57" s="1787"/>
      <c r="CZ57" s="1687"/>
      <c r="DA57" s="1687"/>
      <c r="DB57" s="1687"/>
      <c r="DC57" s="1687"/>
      <c r="DD57" s="1687"/>
      <c r="DE57" s="1687"/>
      <c r="DF57" s="1786"/>
      <c r="DG57" s="1787"/>
      <c r="DH57" s="1687"/>
      <c r="DI57" s="1687"/>
      <c r="DJ57" s="1687"/>
      <c r="DK57" s="1687"/>
      <c r="DL57" s="1687"/>
      <c r="DM57" s="1788"/>
      <c r="DN57" s="1786"/>
      <c r="DO57" s="1787"/>
      <c r="DP57" s="1687"/>
      <c r="DQ57" s="1687"/>
      <c r="DR57" s="1687"/>
      <c r="DS57" s="1687"/>
      <c r="DT57" s="1687"/>
      <c r="DU57" s="1687"/>
      <c r="DV57" s="1786"/>
      <c r="DW57" s="1676"/>
      <c r="DX57" s="1676"/>
      <c r="DY57" s="1676"/>
      <c r="DZ57" s="1676"/>
      <c r="EA57" s="1676"/>
      <c r="EB57" s="1676"/>
      <c r="EC57" s="1676"/>
      <c r="ED57" s="1676"/>
      <c r="EE57" s="1246"/>
      <c r="EF57" s="1246"/>
      <c r="EG57" s="1246"/>
      <c r="EH57" s="1246"/>
      <c r="EI57" s="1246"/>
      <c r="EJ57" s="1246"/>
      <c r="EK57" s="1246"/>
      <c r="EL57" s="1717"/>
      <c r="EM57" s="1807">
        <f>(EM56-EE56)*10000</f>
        <v>-370</v>
      </c>
      <c r="EN57" s="1807">
        <f>(EN56-EF56)*10000</f>
        <v>-220</v>
      </c>
      <c r="EO57" s="1246"/>
      <c r="EP57" s="1807">
        <f>(EP56-EH56)*10000</f>
        <v>-380</v>
      </c>
      <c r="EQ57" s="1246"/>
      <c r="ER57" s="1807">
        <f>(ER56-EJ56)*10000</f>
        <v>-130</v>
      </c>
      <c r="ES57" s="1246"/>
      <c r="ET57" s="1808">
        <f>(ET56-EL56)*10000</f>
        <v>-270</v>
      </c>
      <c r="EU57" s="1246"/>
      <c r="EV57" s="1246"/>
      <c r="EW57" s="1246"/>
      <c r="EX57" s="1246"/>
      <c r="EY57" s="1246"/>
      <c r="EZ57" s="1246"/>
      <c r="FA57" s="1246"/>
      <c r="FB57" s="1717"/>
      <c r="FC57" s="1789"/>
      <c r="FE57" s="1687"/>
      <c r="GX57" s="1676"/>
    </row>
    <row r="58" s="1678" customFormat="1" hidden="1" customHeight="1" spans="1:206">
      <c r="A58" s="1803" t="s">
        <v>81</v>
      </c>
      <c r="B58" s="1687"/>
      <c r="C58" s="1687"/>
      <c r="D58" s="1687"/>
      <c r="E58" s="1687"/>
      <c r="F58" s="1687"/>
      <c r="G58" s="1687"/>
      <c r="H58" s="1687"/>
      <c r="I58" s="1687"/>
      <c r="J58" s="1687"/>
      <c r="K58" s="1687"/>
      <c r="L58" s="1688"/>
      <c r="M58" s="1688"/>
      <c r="N58" s="1688"/>
      <c r="O58" s="1688"/>
      <c r="P58" s="1688">
        <f>Interim!DQ64</f>
        <v>-270</v>
      </c>
      <c r="Q58" s="1804">
        <f>(Q57-P57)*10000</f>
        <v>230</v>
      </c>
      <c r="R58" s="1804">
        <f>+Interim!EG64</f>
        <v>40</v>
      </c>
      <c r="S58" s="1804">
        <f>+Interim!EO64</f>
        <v>-150</v>
      </c>
      <c r="T58" s="1804">
        <f t="shared" ref="T58:AK58" si="164">(T57-S57)*10000</f>
        <v>100</v>
      </c>
      <c r="U58" s="1804">
        <f t="shared" si="164"/>
        <v>-280</v>
      </c>
      <c r="V58" s="1804">
        <f t="shared" si="164"/>
        <v>229.159138291654</v>
      </c>
      <c r="W58" s="1804">
        <f t="shared" si="164"/>
        <v>24.9999999999995</v>
      </c>
      <c r="X58" s="1804">
        <f t="shared" si="164"/>
        <v>143.24301279329</v>
      </c>
      <c r="Y58" s="1804">
        <f t="shared" si="164"/>
        <v>40.7179116508316</v>
      </c>
      <c r="Z58" s="1804">
        <f t="shared" si="164"/>
        <v>56.3323773372548</v>
      </c>
      <c r="AA58" s="1804">
        <f t="shared" si="164"/>
        <v>35.5639715646261</v>
      </c>
      <c r="AB58" s="1804">
        <f t="shared" si="164"/>
        <v>138.367684134967</v>
      </c>
      <c r="AC58" s="1804">
        <f t="shared" si="164"/>
        <v>24.9999999999995</v>
      </c>
      <c r="AD58" s="1804">
        <f t="shared" si="164"/>
        <v>24.9999999999995</v>
      </c>
      <c r="AE58" s="1804">
        <f t="shared" si="164"/>
        <v>24.9999999999995</v>
      </c>
      <c r="AF58" s="1805">
        <f t="shared" si="164"/>
        <v>24.9999999999995</v>
      </c>
      <c r="AG58" s="1804">
        <f t="shared" si="164"/>
        <v>24.9999999999995</v>
      </c>
      <c r="AH58" s="1804">
        <f t="shared" si="164"/>
        <v>24.9999999999995</v>
      </c>
      <c r="AI58" s="1804">
        <f t="shared" si="164"/>
        <v>24.9999999999995</v>
      </c>
      <c r="AJ58" s="1804">
        <f t="shared" si="164"/>
        <v>24.9999999999995</v>
      </c>
      <c r="AK58" s="1804">
        <f t="shared" si="164"/>
        <v>24.9999999999995</v>
      </c>
      <c r="AL58" s="1804"/>
      <c r="AM58" s="1688"/>
      <c r="AN58" s="1688"/>
      <c r="AO58" s="1688"/>
      <c r="AP58" s="1688"/>
      <c r="AQ58" s="1688"/>
      <c r="AR58" s="1688"/>
      <c r="AS58" s="1688"/>
      <c r="AT58" s="1688"/>
      <c r="AU58" s="1688"/>
      <c r="AV58" s="1688"/>
      <c r="AW58" s="1688"/>
      <c r="BC58" s="1760"/>
      <c r="BD58" s="1760"/>
      <c r="BE58" s="1756"/>
      <c r="BF58" s="1756"/>
      <c r="BG58" s="1756"/>
      <c r="BH58" s="1756"/>
      <c r="BI58" s="1756"/>
      <c r="BJ58" s="1756"/>
      <c r="BK58" s="1756"/>
      <c r="BL58" s="1756"/>
      <c r="BM58" s="1756"/>
      <c r="BN58" s="1756"/>
      <c r="BO58" s="1756"/>
      <c r="BP58" s="1756"/>
      <c r="BQ58" s="1756"/>
      <c r="BR58" s="1756"/>
      <c r="BS58" s="1756"/>
      <c r="BT58" s="1756"/>
      <c r="BU58" s="1756"/>
      <c r="BV58" s="1756"/>
      <c r="BW58" s="1756"/>
      <c r="BX58" s="1756"/>
      <c r="BY58" s="1686"/>
      <c r="BZ58" s="1686"/>
      <c r="CA58" s="1686"/>
      <c r="CB58" s="1686"/>
      <c r="CC58" s="1686"/>
      <c r="CD58" s="1686"/>
      <c r="CE58" s="1756"/>
      <c r="CF58" s="1756"/>
      <c r="CG58" s="1756"/>
      <c r="CH58" s="1798"/>
      <c r="CI58" s="1756"/>
      <c r="CJ58" s="1756"/>
      <c r="CK58" s="1756"/>
      <c r="CL58" s="1756"/>
      <c r="CM58" s="1756"/>
      <c r="CN58" s="1756"/>
      <c r="CO58" s="1756"/>
      <c r="CP58" s="1756"/>
      <c r="CQ58" s="1799"/>
      <c r="CR58" s="1756"/>
      <c r="CS58" s="1756"/>
      <c r="CT58" s="1756"/>
      <c r="CU58" s="1756"/>
      <c r="CV58" s="1756"/>
      <c r="CW58" s="1756"/>
      <c r="CX58" s="1798"/>
      <c r="CY58" s="1799"/>
      <c r="CZ58" s="1756"/>
      <c r="DA58" s="1756"/>
      <c r="DB58" s="1756"/>
      <c r="DC58" s="1756"/>
      <c r="DD58" s="1756"/>
      <c r="DE58" s="1756"/>
      <c r="DF58" s="1798"/>
      <c r="DG58" s="1799"/>
      <c r="DH58" s="1756"/>
      <c r="DI58" s="1756"/>
      <c r="DJ58" s="1756"/>
      <c r="DK58" s="1756"/>
      <c r="DL58" s="1756"/>
      <c r="DM58" s="1800"/>
      <c r="DN58" s="1798"/>
      <c r="DO58" s="1799"/>
      <c r="DP58" s="1756"/>
      <c r="DQ58" s="1756"/>
      <c r="DR58" s="1756"/>
      <c r="DS58" s="1756"/>
      <c r="DT58" s="1756"/>
      <c r="DU58" s="1756"/>
      <c r="DV58" s="1798"/>
      <c r="DW58" s="1673"/>
      <c r="DX58" s="1673"/>
      <c r="DY58" s="1673"/>
      <c r="DZ58" s="1673"/>
      <c r="EA58" s="1673"/>
      <c r="EB58" s="1673"/>
      <c r="EC58" s="1673"/>
      <c r="ED58" s="1673"/>
      <c r="EE58" s="1793">
        <v>0.477</v>
      </c>
      <c r="EF58" s="1793">
        <v>0.532</v>
      </c>
      <c r="EG58" s="1793"/>
      <c r="EH58" s="1793">
        <v>0.533</v>
      </c>
      <c r="EI58" s="1793"/>
      <c r="EJ58" s="1793">
        <v>0.523</v>
      </c>
      <c r="EK58" s="1793"/>
      <c r="EL58" s="1801">
        <v>0.519</v>
      </c>
      <c r="EM58" s="1793">
        <v>0.407</v>
      </c>
      <c r="EN58" s="1793">
        <v>0.51</v>
      </c>
      <c r="EO58" s="1793"/>
      <c r="EP58" s="1793">
        <v>0.446</v>
      </c>
      <c r="EQ58" s="1793"/>
      <c r="ER58" s="1793">
        <v>0.543</v>
      </c>
      <c r="ES58" s="1793"/>
      <c r="ET58" s="1801">
        <v>0.481</v>
      </c>
      <c r="EU58" s="1793"/>
      <c r="EV58" s="1793"/>
      <c r="EW58" s="1793"/>
      <c r="EX58" s="1793"/>
      <c r="EY58" s="1793"/>
      <c r="EZ58" s="1793"/>
      <c r="FA58" s="1793"/>
      <c r="FB58" s="1801"/>
      <c r="FC58" s="1802"/>
      <c r="FE58" s="1756"/>
      <c r="GX58" s="1673"/>
    </row>
    <row r="59" hidden="1" customHeight="1" spans="1:206">
      <c r="A59" s="1791" t="s">
        <v>82</v>
      </c>
      <c r="B59" s="1756"/>
      <c r="C59" s="1756"/>
      <c r="D59" s="1756"/>
      <c r="E59" s="1756"/>
      <c r="F59" s="1756"/>
      <c r="G59" s="1756"/>
      <c r="H59" s="1756"/>
      <c r="I59" s="1756"/>
      <c r="J59" s="1756"/>
      <c r="K59" s="1756"/>
      <c r="L59" s="1792"/>
      <c r="M59" s="1792"/>
      <c r="N59" s="1792"/>
      <c r="O59" s="1793">
        <f>Interim!DI65</f>
        <v>0.519</v>
      </c>
      <c r="P59" s="1793">
        <f>Interim!DQ65</f>
        <v>0.481</v>
      </c>
      <c r="Q59" s="1794">
        <v>0.548</v>
      </c>
      <c r="R59" s="1794">
        <f>+Interim!EG65</f>
        <v>0.578</v>
      </c>
      <c r="S59" s="1794">
        <f>+Interim!EO65</f>
        <v>0.551</v>
      </c>
      <c r="T59" s="1794">
        <v>0.574</v>
      </c>
      <c r="U59" s="1794">
        <v>0.541</v>
      </c>
      <c r="V59" s="1794">
        <f>(V41-(('Sales &amp; stores'!$O388+'Sales &amp; stores'!$O389)*'Profit and Loss'!V10*'Profit and Loss'!V57))/(V$10*'Sales &amp; stores'!$O390)</f>
        <v>0.58482445054223</v>
      </c>
      <c r="W59" s="1794">
        <f>(W41-(('Sales &amp; stores'!$O388+'Sales &amp; stores'!$O389)*'Profit and Loss'!W10*'Profit and Loss'!W57))/(W$10*'Sales &amp; stores'!$O390)</f>
        <v>0.572252765954416</v>
      </c>
      <c r="X59" s="1742">
        <f>(X41-(('Sales &amp; stores'!$O388+'Sales &amp; stores'!$O389)*'Profit and Loss'!X10*'Profit and Loss'!X57))/(X$10*'Sales &amp; stores'!$O390)</f>
        <v>0.571696097182695</v>
      </c>
      <c r="Y59" s="1742">
        <f>(Y41-(('Sales &amp; stores'!$O388+'Sales &amp; stores'!$O389)*'Profit and Loss'!Y10*'Profit and Loss'!Y57))/(Y$10*'Sales &amp; stores'!$O390)</f>
        <v>0.560721555230369</v>
      </c>
      <c r="Z59" s="1742">
        <f>(Z41-(('Sales &amp; stores'!$O388+'Sales &amp; stores'!$O389)*'Profit and Loss'!Z10*'Profit and Loss'!Z57))/(Z$10*'Sales &amp; stores'!$O390)</f>
        <v>0.551333644468761</v>
      </c>
      <c r="AA59" s="1742">
        <f>(AA41-(('Sales &amp; stores'!$O388+'Sales &amp; stores'!$O389)*'Profit and Loss'!AA10*'Profit and Loss'!AA57))/(AA$10*'Sales &amp; stores'!$O390)</f>
        <v>0.539835395701225</v>
      </c>
      <c r="AB59" s="1742">
        <f>(AB41-(('Sales &amp; stores'!$O388+'Sales &amp; stores'!$O389)*'Profit and Loss'!AB10*'Profit and Loss'!AB57))/(AB$10*'Sales &amp; stores'!$O390)</f>
        <v>0.538783330630351</v>
      </c>
      <c r="AC59" s="1742">
        <f>(AC41-(('Sales &amp; stores'!$O388+'Sales &amp; stores'!$O389)*'Profit and Loss'!AC10*'Profit and Loss'!AC57))/(AC$10*'Sales &amp; stores'!$O390)</f>
        <v>0.526211646042538</v>
      </c>
      <c r="AD59" s="1742">
        <f>(AD41-(('Sales &amp; stores'!$O388+'Sales &amp; stores'!$O389)*'Profit and Loss'!AD10*'Profit and Loss'!AD57))/(AD$10*'Sales &amp; stores'!$O390)</f>
        <v>0.513639961454725</v>
      </c>
      <c r="AE59" s="1742">
        <f>(AE41-(('Sales &amp; stores'!$O388+'Sales &amp; stores'!$O389)*'Profit and Loss'!AE10*'Profit and Loss'!AE57))/(AE$10*'Sales &amp; stores'!$O390)</f>
        <v>0.501068276866911</v>
      </c>
      <c r="AF59" s="1809">
        <f>(AF41-(('Sales &amp; stores'!$O388+'Sales &amp; stores'!$O389)*'Profit and Loss'!AF10*'Profit and Loss'!AF57))/(AF$10*'Sales &amp; stores'!$O390)</f>
        <v>0.488496592279098</v>
      </c>
      <c r="AG59" s="1742">
        <f>(AG41-(('Sales &amp; stores'!$O388+'Sales &amp; stores'!$O389)*'Profit and Loss'!AG10*'Profit and Loss'!AG57))/(AG$10*'Sales &amp; stores'!$O390)</f>
        <v>0.475924907691284</v>
      </c>
      <c r="AH59" s="1742">
        <f>(AH41-(('Sales &amp; stores'!$O388+'Sales &amp; stores'!$O389)*'Profit and Loss'!AH10*'Profit and Loss'!AH57))/(AH$10*'Sales &amp; stores'!$O390)</f>
        <v>0.463353223103471</v>
      </c>
      <c r="AI59" s="1742">
        <f>(AI41-(('Sales &amp; stores'!$O388+'Sales &amp; stores'!$O389)*'Profit and Loss'!AI10*'Profit and Loss'!AI57))/(AI$10*'Sales &amp; stores'!$O390)</f>
        <v>0.450781538515658</v>
      </c>
      <c r="AJ59" s="1742">
        <f>(AJ41-(('Sales &amp; stores'!$O388+'Sales &amp; stores'!$O389)*'Profit and Loss'!AJ10*'Profit and Loss'!AJ57))/(AJ$10*'Sales &amp; stores'!$O390)</f>
        <v>0.438209853927845</v>
      </c>
      <c r="AK59" s="1742">
        <f>(AK41-(('Sales &amp; stores'!$O388+'Sales &amp; stores'!$O389)*'Profit and Loss'!AK10*'Profit and Loss'!AK57))/(AK$10*'Sales &amp; stores'!$O390)</f>
        <v>0.425638169340031</v>
      </c>
      <c r="AL59" s="1742"/>
      <c r="AT59" s="1688"/>
      <c r="AU59" s="1688"/>
      <c r="AV59" s="1688"/>
      <c r="AW59" s="1688"/>
      <c r="BC59" s="1767"/>
      <c r="BD59" s="1767"/>
      <c r="BE59" s="1687"/>
      <c r="BF59" s="1687"/>
      <c r="BG59" s="1687"/>
      <c r="BH59" s="1687"/>
      <c r="BI59" s="1687"/>
      <c r="BJ59" s="1687"/>
      <c r="BK59" s="1687"/>
      <c r="BL59" s="1687"/>
      <c r="BM59" s="1687"/>
      <c r="BN59" s="1687"/>
      <c r="BO59" s="1687"/>
      <c r="BP59" s="1687"/>
      <c r="BQ59" s="1687"/>
      <c r="BR59" s="1687"/>
      <c r="BS59" s="1687"/>
      <c r="BT59" s="1687"/>
      <c r="BU59" s="1687"/>
      <c r="BV59" s="1687"/>
      <c r="BW59" s="1687"/>
      <c r="BX59" s="1687"/>
      <c r="CE59" s="1687"/>
      <c r="CF59" s="1687"/>
      <c r="CG59" s="1687"/>
      <c r="CH59" s="1786"/>
      <c r="CI59" s="1687"/>
      <c r="CJ59" s="1687"/>
      <c r="CK59" s="1687"/>
      <c r="CL59" s="1687"/>
      <c r="CM59" s="1687"/>
      <c r="CN59" s="1687"/>
      <c r="CO59" s="1687"/>
      <c r="CP59" s="1687"/>
      <c r="CQ59" s="1787"/>
      <c r="CR59" s="1687"/>
      <c r="CS59" s="1687"/>
      <c r="CT59" s="1687"/>
      <c r="CU59" s="1687"/>
      <c r="CV59" s="1687"/>
      <c r="CW59" s="1687"/>
      <c r="CX59" s="1786"/>
      <c r="CY59" s="1787"/>
      <c r="CZ59" s="1687"/>
      <c r="DA59" s="1687"/>
      <c r="DB59" s="1687"/>
      <c r="DC59" s="1687"/>
      <c r="DD59" s="1687"/>
      <c r="DE59" s="1687"/>
      <c r="DF59" s="1786"/>
      <c r="DG59" s="1787"/>
      <c r="DH59" s="1687"/>
      <c r="DI59" s="1687"/>
      <c r="DJ59" s="1687"/>
      <c r="DK59" s="1687"/>
      <c r="DL59" s="1687"/>
      <c r="DM59" s="1788"/>
      <c r="DN59" s="1786"/>
      <c r="DO59" s="1787"/>
      <c r="DP59" s="1687"/>
      <c r="DQ59" s="1687"/>
      <c r="DR59" s="1687"/>
      <c r="DS59" s="1687"/>
      <c r="DT59" s="1687"/>
      <c r="DU59" s="1687"/>
      <c r="DV59" s="1786"/>
      <c r="DW59" s="1676"/>
      <c r="DX59" s="1676"/>
      <c r="DY59" s="1676"/>
      <c r="DZ59" s="1676"/>
      <c r="EA59" s="1676"/>
      <c r="EB59" s="1676"/>
      <c r="EC59" s="1676"/>
      <c r="ED59" s="1676"/>
      <c r="EE59" s="1246"/>
      <c r="EF59" s="1246"/>
      <c r="EG59" s="1246"/>
      <c r="EH59" s="1246"/>
      <c r="EI59" s="1246"/>
      <c r="EJ59" s="1246"/>
      <c r="EK59" s="1246"/>
      <c r="EL59" s="1717"/>
      <c r="EM59" s="1807">
        <f>(EM58-EE58)*10000</f>
        <v>-700</v>
      </c>
      <c r="EN59" s="1807">
        <f>(EN58-EF58)*10000</f>
        <v>-220</v>
      </c>
      <c r="EO59" s="1246"/>
      <c r="EP59" s="1807">
        <f>(EP58-EH58)*10000</f>
        <v>-870</v>
      </c>
      <c r="EQ59" s="1246"/>
      <c r="ER59" s="1807">
        <f>(ER58-EJ58)*10000</f>
        <v>200</v>
      </c>
      <c r="ES59" s="1246"/>
      <c r="ET59" s="1808">
        <f>(ET58-EL58)*10000</f>
        <v>-380</v>
      </c>
      <c r="EU59" s="1246"/>
      <c r="EV59" s="1246"/>
      <c r="EW59" s="1246"/>
      <c r="EX59" s="1246"/>
      <c r="EY59" s="1246"/>
      <c r="EZ59" s="1246"/>
      <c r="FA59" s="1246"/>
      <c r="FB59" s="1717"/>
      <c r="FC59" s="1789"/>
      <c r="FE59" s="1687"/>
      <c r="GX59" s="1676"/>
    </row>
    <row r="60" hidden="1" customHeight="1" spans="1:206">
      <c r="A60" s="1803" t="s">
        <v>81</v>
      </c>
      <c r="P60" s="1688">
        <f>Interim!DQ66</f>
        <v>-380</v>
      </c>
      <c r="Q60" s="1804">
        <f>(Q59-P59)*10000</f>
        <v>670.000000000001</v>
      </c>
      <c r="R60" s="1804">
        <f>+Interim!EG66</f>
        <v>299.999999999999</v>
      </c>
      <c r="S60" s="1804">
        <f>+Interim!EO66</f>
        <v>-269.999999999999</v>
      </c>
      <c r="T60" s="1804">
        <f t="shared" ref="T60:AK60" si="165">(T59-S59)*10000</f>
        <v>229.999999999999</v>
      </c>
      <c r="U60" s="1804">
        <f t="shared" si="165"/>
        <v>-329.999999999999</v>
      </c>
      <c r="V60" s="1804">
        <f t="shared" si="165"/>
        <v>438.244505422298</v>
      </c>
      <c r="W60" s="1804">
        <f t="shared" si="165"/>
        <v>-125.716845878142</v>
      </c>
      <c r="X60" s="1804">
        <f t="shared" si="165"/>
        <v>-5.56668771720337</v>
      </c>
      <c r="Y60" s="1804">
        <f t="shared" si="165"/>
        <v>-109.745419523261</v>
      </c>
      <c r="Z60" s="1804">
        <f t="shared" si="165"/>
        <v>-93.8791076160839</v>
      </c>
      <c r="AA60" s="1804">
        <f t="shared" si="165"/>
        <v>-114.982487675362</v>
      </c>
      <c r="AB60" s="1804">
        <f t="shared" si="165"/>
        <v>-10.5206507087374</v>
      </c>
      <c r="AC60" s="1804">
        <f t="shared" si="165"/>
        <v>-125.716845878129</v>
      </c>
      <c r="AD60" s="1804">
        <f t="shared" si="165"/>
        <v>-125.716845878132</v>
      </c>
      <c r="AE60" s="1804">
        <f t="shared" si="165"/>
        <v>-125.716845878139</v>
      </c>
      <c r="AF60" s="1805">
        <f t="shared" si="165"/>
        <v>-125.716845878133</v>
      </c>
      <c r="AG60" s="1804">
        <f t="shared" si="165"/>
        <v>-125.716845878133</v>
      </c>
      <c r="AH60" s="1804">
        <f t="shared" si="165"/>
        <v>-125.716845878129</v>
      </c>
      <c r="AI60" s="1804">
        <f t="shared" si="165"/>
        <v>-125.716845878136</v>
      </c>
      <c r="AJ60" s="1804">
        <f t="shared" si="165"/>
        <v>-125.716845878132</v>
      </c>
      <c r="AK60" s="1804">
        <f t="shared" si="165"/>
        <v>-125.716845878132</v>
      </c>
      <c r="AL60" s="1804"/>
      <c r="AT60" s="1688"/>
      <c r="AU60" s="1688"/>
      <c r="AV60" s="1688"/>
      <c r="AW60" s="1688"/>
      <c r="BC60" s="1767"/>
      <c r="BD60" s="1767"/>
      <c r="BE60" s="1687"/>
      <c r="BF60" s="1687"/>
      <c r="BG60" s="1687"/>
      <c r="BH60" s="1687"/>
      <c r="BI60" s="1687"/>
      <c r="BJ60" s="1687"/>
      <c r="BK60" s="1687"/>
      <c r="BL60" s="1687"/>
      <c r="BM60" s="1687"/>
      <c r="BN60" s="1687"/>
      <c r="BO60" s="1687"/>
      <c r="BP60" s="1687"/>
      <c r="BQ60" s="1687"/>
      <c r="BR60" s="1687"/>
      <c r="BS60" s="1687"/>
      <c r="BT60" s="1687"/>
      <c r="BU60" s="1687"/>
      <c r="BV60" s="1687"/>
      <c r="BW60" s="1687"/>
      <c r="BX60" s="1687"/>
      <c r="CE60" s="1687"/>
      <c r="CF60" s="1687"/>
      <c r="CG60" s="1687"/>
      <c r="CH60" s="1687"/>
      <c r="CI60" s="1687"/>
      <c r="CJ60" s="1687"/>
      <c r="CK60" s="1687"/>
      <c r="CL60" s="1687"/>
      <c r="CM60" s="1687"/>
      <c r="CN60" s="1687"/>
      <c r="CO60" s="1687"/>
      <c r="CP60" s="1687"/>
      <c r="CQ60" s="1687"/>
      <c r="CR60" s="1687"/>
      <c r="CS60" s="1687"/>
      <c r="CT60" s="1687"/>
      <c r="CU60" s="1687"/>
      <c r="CV60" s="1687"/>
      <c r="CW60" s="1687"/>
      <c r="CX60" s="1687"/>
      <c r="CY60" s="1687"/>
      <c r="CZ60" s="1687"/>
      <c r="DA60" s="1687"/>
      <c r="DB60" s="1687"/>
      <c r="DC60" s="1687"/>
      <c r="DD60" s="1687"/>
      <c r="DE60" s="1687"/>
      <c r="DF60" s="1687"/>
      <c r="DG60" s="1687"/>
      <c r="DH60" s="1687"/>
      <c r="DI60" s="1687"/>
      <c r="DJ60" s="1687"/>
      <c r="DK60" s="1687"/>
      <c r="DL60" s="1687"/>
      <c r="DM60" s="1788"/>
      <c r="DN60" s="1687"/>
      <c r="DO60" s="1687"/>
      <c r="DP60" s="1687"/>
      <c r="DQ60" s="1687"/>
      <c r="DR60" s="1687"/>
      <c r="DS60" s="1687"/>
      <c r="DT60" s="1687"/>
      <c r="DU60" s="1687"/>
      <c r="DV60" s="1687"/>
      <c r="DW60" s="1676"/>
      <c r="DX60" s="1676"/>
      <c r="DY60" s="1676"/>
      <c r="DZ60" s="1676"/>
      <c r="EA60" s="1676"/>
      <c r="EB60" s="1676"/>
      <c r="EC60" s="1676"/>
      <c r="ED60" s="1676"/>
      <c r="EE60" s="1246"/>
      <c r="EF60" s="1246"/>
      <c r="EG60" s="1246"/>
      <c r="EH60" s="1246"/>
      <c r="EI60" s="1246"/>
      <c r="EJ60" s="1246"/>
      <c r="EK60" s="1246"/>
      <c r="EL60" s="1246"/>
      <c r="EM60" s="1807"/>
      <c r="EN60" s="1807"/>
      <c r="EO60" s="1246"/>
      <c r="EP60" s="1807"/>
      <c r="EQ60" s="1246"/>
      <c r="ER60" s="1807"/>
      <c r="ES60" s="1246"/>
      <c r="ET60" s="1807"/>
      <c r="EU60" s="1246"/>
      <c r="EV60" s="1246"/>
      <c r="EW60" s="1246"/>
      <c r="EX60" s="1246"/>
      <c r="EY60" s="1246"/>
      <c r="EZ60" s="1246"/>
      <c r="FA60" s="1246"/>
      <c r="FB60" s="1246"/>
      <c r="FC60" s="1789"/>
      <c r="FE60" s="1687"/>
      <c r="GX60" s="1676"/>
    </row>
    <row r="61" hidden="1" customHeight="1" spans="1:206">
      <c r="A61" s="1678" t="s">
        <v>84</v>
      </c>
      <c r="Q61" s="1804"/>
      <c r="R61" s="1804"/>
      <c r="S61" s="1804"/>
      <c r="T61" s="1804"/>
      <c r="U61" s="1804"/>
      <c r="V61" s="1804"/>
      <c r="W61" s="1804"/>
      <c r="X61" s="1737"/>
      <c r="Y61" s="1737"/>
      <c r="Z61" s="1737"/>
      <c r="AA61" s="1737"/>
      <c r="AB61" s="1737"/>
      <c r="AC61" s="1737"/>
      <c r="AD61" s="1737"/>
      <c r="AE61" s="1737"/>
      <c r="AF61" s="1814"/>
      <c r="AG61" s="1737"/>
      <c r="AH61" s="1737"/>
      <c r="AI61" s="1737"/>
      <c r="AJ61" s="1737"/>
      <c r="AK61" s="1737"/>
      <c r="AL61" s="1737"/>
      <c r="AT61" s="1688"/>
      <c r="AU61" s="1688"/>
      <c r="AV61" s="1688"/>
      <c r="AW61" s="1688"/>
      <c r="BC61" s="1767"/>
      <c r="BD61" s="1767"/>
      <c r="BE61" s="1687"/>
      <c r="BF61" s="1687"/>
      <c r="BG61" s="1687"/>
      <c r="BH61" s="1687"/>
      <c r="BI61" s="1687"/>
      <c r="BJ61" s="1687"/>
      <c r="BK61" s="1687"/>
      <c r="BL61" s="1687"/>
      <c r="BM61" s="1687"/>
      <c r="BN61" s="1687"/>
      <c r="BO61" s="1687"/>
      <c r="BP61" s="1687"/>
      <c r="BQ61" s="1687"/>
      <c r="BR61" s="1687"/>
      <c r="BS61" s="1687"/>
      <c r="BT61" s="1687"/>
      <c r="BU61" s="1687"/>
      <c r="BV61" s="1687"/>
      <c r="BW61" s="1687"/>
      <c r="BX61" s="1687"/>
      <c r="CE61" s="1687"/>
      <c r="CF61" s="1687"/>
      <c r="CG61" s="1687"/>
      <c r="CH61" s="1687"/>
      <c r="CI61" s="1687"/>
      <c r="CJ61" s="1687"/>
      <c r="CK61" s="1687"/>
      <c r="CL61" s="1687"/>
      <c r="CM61" s="1687"/>
      <c r="CN61" s="1687"/>
      <c r="CO61" s="1687"/>
      <c r="CP61" s="1687"/>
      <c r="CQ61" s="1687"/>
      <c r="CR61" s="1687"/>
      <c r="CS61" s="1687"/>
      <c r="CT61" s="1687"/>
      <c r="CU61" s="1687"/>
      <c r="CV61" s="1687"/>
      <c r="CW61" s="1687"/>
      <c r="CX61" s="1687"/>
      <c r="CY61" s="1687"/>
      <c r="CZ61" s="1687"/>
      <c r="DA61" s="1687"/>
      <c r="DB61" s="1687"/>
      <c r="DC61" s="1687"/>
      <c r="DD61" s="1687"/>
      <c r="DE61" s="1687"/>
      <c r="DF61" s="1687"/>
      <c r="DG61" s="1687"/>
      <c r="DH61" s="1687"/>
      <c r="DI61" s="1687"/>
      <c r="DJ61" s="1687"/>
      <c r="DK61" s="1687"/>
      <c r="DL61" s="1687"/>
      <c r="DM61" s="1788"/>
      <c r="DN61" s="1687"/>
      <c r="DO61" s="1687"/>
      <c r="DP61" s="1687"/>
      <c r="DQ61" s="1687"/>
      <c r="DR61" s="1687"/>
      <c r="DS61" s="1687"/>
      <c r="DT61" s="1687"/>
      <c r="DU61" s="1687"/>
      <c r="DV61" s="1687"/>
      <c r="DW61" s="1676"/>
      <c r="DX61" s="1676"/>
      <c r="DY61" s="1676"/>
      <c r="DZ61" s="1676"/>
      <c r="EA61" s="1676"/>
      <c r="EB61" s="1676"/>
      <c r="EC61" s="1676"/>
      <c r="ED61" s="1676"/>
      <c r="EE61" s="1246"/>
      <c r="EF61" s="1246"/>
      <c r="EG61" s="1246"/>
      <c r="EH61" s="1246"/>
      <c r="EI61" s="1246"/>
      <c r="EJ61" s="1246"/>
      <c r="EK61" s="1246"/>
      <c r="EL61" s="1246"/>
      <c r="EM61" s="1807"/>
      <c r="EN61" s="1807"/>
      <c r="EO61" s="1246"/>
      <c r="EP61" s="1807"/>
      <c r="EQ61" s="1246"/>
      <c r="ER61" s="1807"/>
      <c r="ES61" s="1246"/>
      <c r="ET61" s="1807"/>
      <c r="EU61" s="1246"/>
      <c r="EV61" s="1246"/>
      <c r="EW61" s="1246"/>
      <c r="EX61" s="1246"/>
      <c r="EY61" s="1246"/>
      <c r="EZ61" s="1246"/>
      <c r="FA61" s="1246"/>
      <c r="FB61" s="1246"/>
      <c r="FC61" s="1789"/>
      <c r="FE61" s="1687"/>
      <c r="GX61" s="1676"/>
    </row>
    <row r="62" hidden="1" customHeight="1" spans="1:206">
      <c r="B62" s="1686"/>
      <c r="C62" s="1686"/>
      <c r="D62" s="1686"/>
      <c r="E62" s="1686"/>
      <c r="F62" s="1686"/>
      <c r="G62" s="1686"/>
      <c r="H62" s="1686"/>
      <c r="I62" s="1686"/>
      <c r="J62" s="1686"/>
      <c r="K62" s="1686"/>
      <c r="L62" s="1686"/>
      <c r="M62" s="1686"/>
      <c r="N62" s="1686"/>
      <c r="O62" s="1686"/>
      <c r="P62" s="1686"/>
      <c r="Q62" s="1686"/>
      <c r="R62" s="1686"/>
      <c r="S62" s="1686"/>
      <c r="T62" s="1686"/>
      <c r="U62" s="1686"/>
      <c r="V62" s="1686"/>
      <c r="W62" s="1794"/>
      <c r="X62" s="1794"/>
      <c r="Y62" s="1794"/>
      <c r="Z62" s="1794"/>
      <c r="AA62" s="1794"/>
      <c r="AB62" s="1794"/>
      <c r="AC62" s="1794"/>
      <c r="AD62" s="1794"/>
      <c r="AE62" s="1794"/>
      <c r="AF62" s="1815"/>
      <c r="AG62" s="1794"/>
      <c r="AH62" s="1794"/>
      <c r="AI62" s="1794"/>
      <c r="AJ62" s="1794"/>
      <c r="AK62" s="1794"/>
      <c r="AL62" s="1794"/>
      <c r="AT62" s="1688"/>
      <c r="AU62" s="1688"/>
      <c r="AV62" s="1688"/>
      <c r="AW62" s="1688"/>
      <c r="BC62" s="1767"/>
      <c r="BD62" s="1767"/>
      <c r="BE62" s="1687"/>
      <c r="BF62" s="1687"/>
      <c r="BG62" s="1687"/>
      <c r="BH62" s="1687"/>
      <c r="BI62" s="1687"/>
      <c r="BJ62" s="1687"/>
      <c r="BK62" s="1687"/>
      <c r="BL62" s="1687"/>
      <c r="BM62" s="1687"/>
      <c r="BN62" s="1687"/>
      <c r="BO62" s="1687"/>
      <c r="BP62" s="1687"/>
      <c r="BQ62" s="1687"/>
      <c r="BR62" s="1687"/>
      <c r="BS62" s="1687"/>
      <c r="BT62" s="1687"/>
      <c r="BU62" s="1687"/>
      <c r="BV62" s="1687"/>
      <c r="BW62" s="1687"/>
      <c r="BX62" s="1687"/>
      <c r="CE62" s="1687"/>
      <c r="CF62" s="1687"/>
      <c r="CG62" s="1687"/>
      <c r="CH62" s="1687"/>
      <c r="CI62" s="1687"/>
      <c r="CJ62" s="1687"/>
      <c r="CK62" s="1687"/>
      <c r="CL62" s="1687"/>
      <c r="CM62" s="1687"/>
      <c r="CN62" s="1687"/>
      <c r="CO62" s="1687"/>
      <c r="CP62" s="1687"/>
      <c r="CQ62" s="1687"/>
      <c r="CR62" s="1687"/>
      <c r="CS62" s="1687"/>
      <c r="CT62" s="1687"/>
      <c r="CU62" s="1687"/>
      <c r="CV62" s="1687"/>
      <c r="CW62" s="1687"/>
      <c r="CX62" s="1687"/>
      <c r="CY62" s="1687"/>
      <c r="CZ62" s="1687"/>
      <c r="DA62" s="1687"/>
      <c r="DB62" s="1687"/>
      <c r="DC62" s="1687"/>
      <c r="DD62" s="1687"/>
      <c r="DE62" s="1687"/>
      <c r="DF62" s="1687"/>
      <c r="DG62" s="1687"/>
      <c r="DH62" s="1687"/>
      <c r="DI62" s="1687"/>
      <c r="DJ62" s="1687"/>
      <c r="DK62" s="1687"/>
      <c r="DL62" s="1687"/>
      <c r="DM62" s="1788"/>
      <c r="DN62" s="1687"/>
      <c r="DO62" s="1687"/>
      <c r="DP62" s="1687"/>
      <c r="DQ62" s="1687"/>
      <c r="DR62" s="1687"/>
      <c r="DS62" s="1687"/>
      <c r="DT62" s="1687"/>
      <c r="DU62" s="1687"/>
      <c r="DV62" s="1687"/>
      <c r="DW62" s="1676"/>
      <c r="DX62" s="1676"/>
      <c r="DY62" s="1676"/>
      <c r="DZ62" s="1676"/>
      <c r="EA62" s="1676"/>
      <c r="EB62" s="1676"/>
      <c r="EC62" s="1676"/>
      <c r="ED62" s="1676"/>
      <c r="EE62" s="1246"/>
      <c r="EF62" s="1246"/>
      <c r="EG62" s="1246"/>
      <c r="EH62" s="1246"/>
      <c r="EI62" s="1246"/>
      <c r="EJ62" s="1246"/>
      <c r="EK62" s="1246"/>
      <c r="EL62" s="1246"/>
      <c r="EM62" s="1807"/>
      <c r="EN62" s="1807"/>
      <c r="EO62" s="1246"/>
      <c r="EP62" s="1807"/>
      <c r="EQ62" s="1246"/>
      <c r="ER62" s="1807"/>
      <c r="ES62" s="1246"/>
      <c r="ET62" s="1807"/>
      <c r="EU62" s="1246"/>
      <c r="EV62" s="1246"/>
      <c r="EW62" s="1246"/>
      <c r="EX62" s="1246"/>
      <c r="EY62" s="1246"/>
      <c r="EZ62" s="1246"/>
      <c r="FA62" s="1246"/>
      <c r="FB62" s="1246"/>
      <c r="FC62" s="1789"/>
      <c r="FE62" s="1687"/>
      <c r="GX62" s="1676"/>
    </row>
    <row r="63" hidden="1" customHeight="1" spans="1:206">
      <c r="A63" s="1676"/>
      <c r="L63" s="1715"/>
      <c r="M63" s="1715"/>
      <c r="N63" s="1715"/>
      <c r="O63" s="1246"/>
      <c r="P63" s="1816"/>
      <c r="Q63" s="1246"/>
      <c r="R63" s="1246"/>
      <c r="S63" s="1816"/>
      <c r="T63" s="1816"/>
      <c r="U63" s="1816"/>
      <c r="V63" s="1816"/>
      <c r="W63" s="1817"/>
      <c r="X63" s="1816"/>
      <c r="Y63" s="1816"/>
      <c r="Z63" s="1816"/>
      <c r="AA63" s="1816"/>
      <c r="AB63" s="1816"/>
      <c r="AC63" s="1816"/>
      <c r="AD63" s="1816"/>
      <c r="AE63" s="1816"/>
      <c r="AF63" s="1818"/>
      <c r="AG63" s="1816"/>
      <c r="AH63" s="1816"/>
      <c r="AI63" s="1816"/>
      <c r="AJ63" s="1816"/>
      <c r="AK63" s="1816"/>
      <c r="AL63" s="1816"/>
      <c r="AT63" s="1688"/>
      <c r="AU63" s="1688"/>
      <c r="AV63" s="1688"/>
      <c r="AW63" s="1688"/>
      <c r="AY63" s="1679"/>
    </row>
    <row r="64" hidden="1" customHeight="1" spans="1:206">
      <c r="A64" s="1697" t="s">
        <v>85</v>
      </c>
      <c r="B64" s="1701"/>
      <c r="C64" s="1701"/>
      <c r="D64" s="1701"/>
      <c r="E64" s="1701"/>
      <c r="F64" s="1701"/>
      <c r="G64" s="1701"/>
      <c r="H64" s="1701"/>
      <c r="I64" s="1701"/>
      <c r="J64" s="1701"/>
      <c r="K64" s="1701"/>
      <c r="L64" s="1694"/>
      <c r="M64" s="1694"/>
      <c r="N64" s="1694"/>
      <c r="O64" s="1694"/>
      <c r="P64" s="1694"/>
      <c r="Q64" s="1694"/>
      <c r="R64" s="1694"/>
      <c r="S64" s="1694"/>
      <c r="T64" s="1694"/>
      <c r="U64" s="1694"/>
      <c r="V64" s="1694"/>
      <c r="W64" s="1694"/>
      <c r="X64" s="1694"/>
      <c r="Y64" s="1694"/>
      <c r="Z64" s="1694"/>
      <c r="AA64" s="1694"/>
      <c r="AB64" s="1694"/>
      <c r="AC64" s="1694"/>
      <c r="AD64" s="1694"/>
      <c r="AE64" s="1694"/>
      <c r="AF64" s="1695"/>
      <c r="AG64" s="1694"/>
      <c r="AH64" s="1694"/>
      <c r="AI64" s="1694"/>
      <c r="AJ64" s="1694"/>
      <c r="AK64" s="1694"/>
      <c r="AL64" s="1694"/>
      <c r="AT64" s="1688"/>
      <c r="AU64" s="1688"/>
      <c r="AV64" s="1688"/>
      <c r="AW64" s="1688"/>
      <c r="AX64" s="1678"/>
      <c r="AY64" s="1819"/>
      <c r="AZ64" s="1678"/>
      <c r="BA64" s="1819"/>
    </row>
    <row r="65" hidden="1" customHeight="1" spans="1:53">
      <c r="A65" s="1673" t="s">
        <v>80</v>
      </c>
      <c r="L65" s="1772"/>
      <c r="M65" s="1772"/>
      <c r="N65" s="1772"/>
      <c r="O65" s="1772">
        <f t="shared" ref="O65:U65" si="166">O71+O74</f>
        <v>7743</v>
      </c>
      <c r="P65" s="1772">
        <f t="shared" si="166"/>
        <v>7483</v>
      </c>
      <c r="Q65" s="1772">
        <f t="shared" si="166"/>
        <v>8657</v>
      </c>
      <c r="R65" s="1772">
        <f t="shared" si="166"/>
        <v>9802</v>
      </c>
      <c r="S65" s="1772">
        <f t="shared" si="166"/>
        <v>11186</v>
      </c>
      <c r="T65" s="1772">
        <f t="shared" si="166"/>
        <v>11021</v>
      </c>
      <c r="U65" s="1772">
        <f t="shared" si="166"/>
        <v>11676</v>
      </c>
      <c r="V65" s="1772">
        <f t="shared" ref="V65:AA65" si="167">V202</f>
        <v>13708</v>
      </c>
      <c r="W65" s="1772">
        <f t="shared" si="167"/>
        <v>16051</v>
      </c>
      <c r="X65" s="1772">
        <f t="shared" si="167"/>
        <v>18647</v>
      </c>
      <c r="Y65" s="1772">
        <f t="shared" si="167"/>
        <v>19406</v>
      </c>
      <c r="Z65" s="1772">
        <f t="shared" si="167"/>
        <v>21289</v>
      </c>
      <c r="AA65" s="1772">
        <f t="shared" si="167"/>
        <v>17961</v>
      </c>
      <c r="AB65" s="1772"/>
      <c r="AC65" s="1772"/>
      <c r="AD65" s="1772"/>
      <c r="AE65" s="1772"/>
      <c r="AF65" s="1820"/>
      <c r="AG65" s="1772"/>
      <c r="AH65" s="1772"/>
      <c r="AI65" s="1772"/>
      <c r="AJ65" s="1772"/>
      <c r="AK65" s="1772"/>
      <c r="AL65" s="1772"/>
      <c r="AT65" s="1688"/>
      <c r="AU65" s="1688"/>
      <c r="AV65" s="1688"/>
      <c r="AW65" s="1688"/>
      <c r="AX65" s="1821"/>
      <c r="AY65" s="1821"/>
      <c r="AZ65" s="1821"/>
      <c r="BA65" s="1821"/>
    </row>
    <row r="66" hidden="1" customHeight="1" spans="1:53">
      <c r="A66" s="1676" t="s">
        <v>61</v>
      </c>
      <c r="L66" s="1772"/>
      <c r="M66" s="1772"/>
      <c r="N66" s="1772"/>
      <c r="P66" s="1246">
        <f>P65/O65-1</f>
        <v>-0.0335787162598477</v>
      </c>
      <c r="Q66" s="1246">
        <f t="shared" ref="Q66:X66" si="168">Q65/P65-1</f>
        <v>0.156888948282774</v>
      </c>
      <c r="R66" s="1246">
        <f t="shared" si="168"/>
        <v>0.132262908628855</v>
      </c>
      <c r="S66" s="1246">
        <f t="shared" si="168"/>
        <v>0.141195674352173</v>
      </c>
      <c r="T66" s="1246">
        <f t="shared" si="168"/>
        <v>-0.0147505810834972</v>
      </c>
      <c r="U66" s="1246">
        <f t="shared" si="168"/>
        <v>0.0594319934670176</v>
      </c>
      <c r="V66" s="1246">
        <f t="shared" si="168"/>
        <v>0.174032202809181</v>
      </c>
      <c r="W66" s="1246">
        <f t="shared" si="168"/>
        <v>0.170922089290925</v>
      </c>
      <c r="X66" s="1246">
        <f t="shared" si="168"/>
        <v>0.1617344713725</v>
      </c>
      <c r="Y66" s="1246">
        <f t="shared" ref="Y66:AA66" si="169">Y65/X65-1</f>
        <v>0.0407035984340645</v>
      </c>
      <c r="Z66" s="1246">
        <f t="shared" si="169"/>
        <v>0.0970318458208801</v>
      </c>
      <c r="AA66" s="1246">
        <f t="shared" si="169"/>
        <v>-0.156324862605101</v>
      </c>
      <c r="AB66" s="1246"/>
      <c r="AC66" s="1246"/>
      <c r="AD66" s="1246"/>
      <c r="AE66" s="1246"/>
      <c r="AF66" s="1717"/>
      <c r="AG66" s="1246"/>
      <c r="AH66" s="1246"/>
      <c r="AI66" s="1246"/>
      <c r="AJ66" s="1246"/>
      <c r="AK66" s="1246"/>
      <c r="AL66" s="1246"/>
      <c r="AT66" s="1688"/>
      <c r="AU66" s="1688"/>
      <c r="AV66" s="1688"/>
      <c r="AW66" s="1688"/>
      <c r="AX66" s="1772"/>
      <c r="AY66" s="1772"/>
      <c r="AZ66" s="1772"/>
      <c r="BA66" s="1772"/>
    </row>
    <row r="67" hidden="1" customHeight="1" spans="1:53">
      <c r="A67" s="1676" t="s">
        <v>86</v>
      </c>
      <c r="L67" s="1772"/>
      <c r="M67" s="1772"/>
      <c r="N67" s="1772"/>
      <c r="O67" s="1246">
        <f t="shared" ref="O67:AA67" si="170">O65/O$89</f>
        <v>0.720614239181014</v>
      </c>
      <c r="P67" s="1246">
        <f t="shared" si="170"/>
        <v>0.721600771456123</v>
      </c>
      <c r="Q67" s="1246">
        <f t="shared" si="170"/>
        <v>0.722018348623853</v>
      </c>
      <c r="R67" s="1246">
        <f t="shared" si="170"/>
        <v>0.735720183141935</v>
      </c>
      <c r="S67" s="1246">
        <f t="shared" si="170"/>
        <v>0.751595780420614</v>
      </c>
      <c r="T67" s="1246">
        <f t="shared" si="170"/>
        <v>0.775853572685674</v>
      </c>
      <c r="U67" s="1246">
        <f t="shared" si="170"/>
        <v>0.803357644144764</v>
      </c>
      <c r="V67" s="1246">
        <f t="shared" si="170"/>
        <v>0.810404966006503</v>
      </c>
      <c r="W67" s="1246">
        <f t="shared" si="170"/>
        <v>0.832089165370658</v>
      </c>
      <c r="X67" s="1246">
        <f t="shared" si="170"/>
        <v>0.878829295880856</v>
      </c>
      <c r="Y67" s="1246">
        <f t="shared" si="170"/>
        <v>0.885512206251426</v>
      </c>
      <c r="Z67" s="1246">
        <f t="shared" si="170"/>
        <v>0.900511822680936</v>
      </c>
      <c r="AA67" s="1246">
        <f t="shared" si="170"/>
        <v>0.905109856883693</v>
      </c>
      <c r="AB67" s="1246"/>
      <c r="AC67" s="1246"/>
      <c r="AD67" s="1246"/>
      <c r="AE67" s="1246"/>
      <c r="AF67" s="1717"/>
      <c r="AG67" s="1246"/>
      <c r="AH67" s="1246"/>
      <c r="AI67" s="1246"/>
      <c r="AJ67" s="1246"/>
      <c r="AK67" s="1246"/>
      <c r="AL67" s="1246"/>
      <c r="AT67" s="1688"/>
      <c r="AU67" s="1688"/>
      <c r="AV67" s="1688"/>
      <c r="AW67" s="1688"/>
      <c r="AX67" s="1772"/>
      <c r="AY67" s="1772"/>
      <c r="AZ67" s="1772"/>
      <c r="BA67" s="1772"/>
    </row>
    <row r="68" hidden="1" customHeight="1" spans="1:53">
      <c r="A68" s="1673" t="s">
        <v>82</v>
      </c>
      <c r="L68" s="1772"/>
      <c r="M68" s="1772"/>
      <c r="N68" s="1772"/>
      <c r="O68" s="1772">
        <f t="shared" ref="O68:AA68" si="171">O77+O83+O85</f>
        <v>2148</v>
      </c>
      <c r="P68" s="1772">
        <f t="shared" si="171"/>
        <v>2013</v>
      </c>
      <c r="Q68" s="1772">
        <f t="shared" si="171"/>
        <v>2365</v>
      </c>
      <c r="R68" s="1772">
        <f t="shared" si="171"/>
        <v>2433</v>
      </c>
      <c r="S68" s="1772">
        <f t="shared" si="171"/>
        <v>2195</v>
      </c>
      <c r="T68" s="1772">
        <f t="shared" si="171"/>
        <v>2148</v>
      </c>
      <c r="U68" s="1772">
        <f t="shared" si="171"/>
        <v>1847</v>
      </c>
      <c r="V68" s="1772">
        <f t="shared" si="171"/>
        <v>2002.47</v>
      </c>
      <c r="W68" s="1772">
        <f t="shared" si="171"/>
        <v>2136.9939</v>
      </c>
      <c r="X68" s="1772">
        <f t="shared" si="171"/>
        <v>1969.250898</v>
      </c>
      <c r="Y68" s="1772">
        <f t="shared" si="171"/>
        <v>2107.09846086</v>
      </c>
      <c r="Z68" s="1772">
        <f t="shared" si="171"/>
        <v>2254.5953531202</v>
      </c>
      <c r="AA68" s="1772">
        <f t="shared" si="171"/>
        <v>2412.41702783862</v>
      </c>
      <c r="AB68" s="1772"/>
      <c r="AC68" s="1772"/>
      <c r="AD68" s="1772"/>
      <c r="AE68" s="1772"/>
      <c r="AF68" s="1820"/>
      <c r="AG68" s="1772"/>
      <c r="AH68" s="1772"/>
      <c r="AI68" s="1772"/>
      <c r="AJ68" s="1772"/>
      <c r="AK68" s="1772"/>
      <c r="AL68" s="1772"/>
      <c r="AT68" s="1688"/>
      <c r="AU68" s="1688"/>
      <c r="AV68" s="1688"/>
      <c r="AW68" s="1688"/>
      <c r="AX68" s="1678"/>
      <c r="AY68" s="1819"/>
      <c r="AZ68" s="1678"/>
      <c r="BA68" s="1819"/>
    </row>
    <row r="69" hidden="1" customHeight="1" spans="1:53">
      <c r="A69" s="1676" t="s">
        <v>61</v>
      </c>
      <c r="L69" s="1772"/>
      <c r="M69" s="1772"/>
      <c r="N69" s="1772"/>
      <c r="P69" s="1246">
        <f t="shared" ref="P69:X69" si="172">P68/O68-1</f>
        <v>-0.0628491620111732</v>
      </c>
      <c r="Q69" s="1246">
        <f t="shared" si="172"/>
        <v>0.174863387978142</v>
      </c>
      <c r="R69" s="1246">
        <f t="shared" si="172"/>
        <v>0.0287526427061311</v>
      </c>
      <c r="S69" s="1246">
        <f t="shared" si="172"/>
        <v>-0.0978216193999178</v>
      </c>
      <c r="T69" s="1246">
        <f t="shared" si="172"/>
        <v>-0.0214123006833713</v>
      </c>
      <c r="U69" s="1246">
        <f t="shared" si="172"/>
        <v>-0.140130353817505</v>
      </c>
      <c r="V69" s="1246">
        <f t="shared" si="172"/>
        <v>0.0841743367623173</v>
      </c>
      <c r="W69" s="1246">
        <f t="shared" si="172"/>
        <v>0.0671789839548158</v>
      </c>
      <c r="X69" s="1246">
        <f t="shared" si="172"/>
        <v>-0.0784948436212195</v>
      </c>
      <c r="Y69" s="1246">
        <f t="shared" ref="Y69:AA69" si="173">Y68/X68-1</f>
        <v>0.0700000000000001</v>
      </c>
      <c r="Z69" s="1246">
        <f t="shared" si="173"/>
        <v>0.0700000000000001</v>
      </c>
      <c r="AA69" s="1246">
        <f t="shared" si="173"/>
        <v>0.0700000000000001</v>
      </c>
      <c r="AB69" s="1246"/>
      <c r="AC69" s="1246"/>
      <c r="AD69" s="1246"/>
      <c r="AE69" s="1246"/>
      <c r="AF69" s="1717"/>
      <c r="AG69" s="1246"/>
      <c r="AH69" s="1246"/>
      <c r="AI69" s="1246"/>
      <c r="AJ69" s="1246"/>
      <c r="AK69" s="1246"/>
      <c r="AL69" s="1246"/>
      <c r="AT69" s="1688"/>
      <c r="AU69" s="1688"/>
      <c r="AV69" s="1688"/>
      <c r="AW69" s="1688"/>
      <c r="AX69" s="1678"/>
      <c r="AY69" s="1819"/>
      <c r="AZ69" s="1678"/>
      <c r="BA69" s="1819"/>
    </row>
    <row r="70" hidden="1" customHeight="1" spans="1:53">
      <c r="A70" s="1676" t="s">
        <v>86</v>
      </c>
      <c r="L70" s="1772"/>
      <c r="M70" s="1772"/>
      <c r="N70" s="1772"/>
      <c r="O70" s="1246">
        <f t="shared" ref="O70:AA70" si="174">O68/O$89</f>
        <v>0.199906933457422</v>
      </c>
      <c r="P70" s="1246">
        <f t="shared" si="174"/>
        <v>0.194117647058824</v>
      </c>
      <c r="Q70" s="1246">
        <f t="shared" si="174"/>
        <v>0.197247706422018</v>
      </c>
      <c r="R70" s="1246">
        <f t="shared" si="174"/>
        <v>0.182616527809052</v>
      </c>
      <c r="S70" s="1246">
        <f t="shared" si="174"/>
        <v>0.147483706242021</v>
      </c>
      <c r="T70" s="1246">
        <f t="shared" si="174"/>
        <v>0.151214361140444</v>
      </c>
      <c r="U70" s="1246">
        <f t="shared" si="174"/>
        <v>0.127081326544654</v>
      </c>
      <c r="V70" s="1246">
        <f t="shared" si="174"/>
        <v>0.11838427431274</v>
      </c>
      <c r="W70" s="1246">
        <f t="shared" si="174"/>
        <v>0.110782472783826</v>
      </c>
      <c r="X70" s="1246">
        <f t="shared" si="174"/>
        <v>0.0928103920256386</v>
      </c>
      <c r="Y70" s="1246">
        <f t="shared" si="174"/>
        <v>0.0961486863271732</v>
      </c>
      <c r="Z70" s="1246">
        <f t="shared" si="174"/>
        <v>0.0953680196743032</v>
      </c>
      <c r="AA70" s="1246">
        <f t="shared" si="174"/>
        <v>0.121569090296241</v>
      </c>
      <c r="AB70" s="1246"/>
      <c r="AC70" s="1246"/>
      <c r="AD70" s="1246"/>
      <c r="AE70" s="1246"/>
      <c r="AF70" s="1717"/>
      <c r="AG70" s="1246"/>
      <c r="AH70" s="1246"/>
      <c r="AI70" s="1246"/>
      <c r="AJ70" s="1246"/>
      <c r="AK70" s="1246"/>
      <c r="AL70" s="1246"/>
      <c r="AT70" s="1688"/>
      <c r="AU70" s="1688"/>
      <c r="AV70" s="1688"/>
      <c r="AW70" s="1688"/>
      <c r="AX70" s="1678"/>
      <c r="AY70" s="1819"/>
      <c r="AZ70" s="1678"/>
      <c r="BA70" s="1819"/>
    </row>
    <row r="71" hidden="1" customHeight="1" spans="1:53">
      <c r="A71" s="1673" t="s">
        <v>87</v>
      </c>
      <c r="L71" s="1772"/>
      <c r="M71" s="1772"/>
      <c r="N71" s="1772"/>
      <c r="O71" s="1772">
        <v>6246</v>
      </c>
      <c r="P71" s="1772">
        <v>5838</v>
      </c>
      <c r="Q71" s="1772">
        <v>6523</v>
      </c>
      <c r="R71" s="1772">
        <v>7189</v>
      </c>
      <c r="S71" s="1772">
        <v>8035</v>
      </c>
      <c r="T71" s="1772">
        <v>7845</v>
      </c>
      <c r="U71" s="1772">
        <v>8259</v>
      </c>
      <c r="V71" s="1772">
        <f t="shared" ref="V71:AA71" si="175">V65-V74</f>
        <v>9312.65553774561</v>
      </c>
      <c r="W71" s="1772">
        <f t="shared" si="175"/>
        <v>9787.63414128749</v>
      </c>
      <c r="X71" s="1822">
        <f t="shared" si="175"/>
        <v>9897.96854339789</v>
      </c>
      <c r="Y71" s="1822">
        <f t="shared" si="175"/>
        <v>10300.8514803014</v>
      </c>
      <c r="Z71" s="1822">
        <f t="shared" si="175"/>
        <v>11127.3642910875</v>
      </c>
      <c r="AA71" s="1822">
        <f t="shared" si="175"/>
        <v>7253.93709825468</v>
      </c>
      <c r="AB71" s="1822"/>
      <c r="AC71" s="1822"/>
      <c r="AD71" s="1822"/>
      <c r="AE71" s="1822"/>
      <c r="AF71" s="1823"/>
      <c r="AG71" s="1822"/>
      <c r="AH71" s="1822"/>
      <c r="AI71" s="1822"/>
      <c r="AJ71" s="1822"/>
      <c r="AK71" s="1822"/>
      <c r="AL71" s="1822"/>
      <c r="AT71" s="1688"/>
      <c r="AU71" s="1688"/>
      <c r="AV71" s="1688"/>
      <c r="AW71" s="1688"/>
    </row>
    <row r="72" hidden="1" customHeight="1" spans="1:53">
      <c r="A72" s="1676" t="s">
        <v>61</v>
      </c>
      <c r="L72" s="1772"/>
      <c r="M72" s="1772"/>
      <c r="N72" s="1772"/>
      <c r="O72" s="1246"/>
      <c r="P72" s="1246">
        <f t="shared" ref="P72:X72" si="176">P71/O71-1</f>
        <v>-0.0653218059558117</v>
      </c>
      <c r="Q72" s="1246">
        <f t="shared" si="176"/>
        <v>0.117334703665639</v>
      </c>
      <c r="R72" s="1246">
        <f t="shared" si="176"/>
        <v>0.102100260616281</v>
      </c>
      <c r="S72" s="1246">
        <f t="shared" si="176"/>
        <v>0.117679788565864</v>
      </c>
      <c r="T72" s="1246">
        <f t="shared" si="176"/>
        <v>-0.0236465463596764</v>
      </c>
      <c r="U72" s="1246">
        <f t="shared" si="176"/>
        <v>0.0527724665391969</v>
      </c>
      <c r="V72" s="1246">
        <f t="shared" si="176"/>
        <v>0.1275766482317</v>
      </c>
      <c r="W72" s="1246">
        <f t="shared" si="176"/>
        <v>0.0510035619396336</v>
      </c>
      <c r="X72" s="1824">
        <f t="shared" si="176"/>
        <v>0.0112728367772734</v>
      </c>
      <c r="Y72" s="1824">
        <f t="shared" ref="Y72:AA72" si="177">Y71/X71-1</f>
        <v>0.0407035984340645</v>
      </c>
      <c r="Z72" s="1824">
        <f t="shared" si="177"/>
        <v>0.0802373291534859</v>
      </c>
      <c r="AA72" s="1824">
        <f t="shared" si="177"/>
        <v>-0.348099252572798</v>
      </c>
      <c r="AB72" s="1824"/>
      <c r="AC72" s="1824"/>
      <c r="AD72" s="1824"/>
      <c r="AE72" s="1824"/>
      <c r="AF72" s="1825"/>
      <c r="AG72" s="1824"/>
      <c r="AH72" s="1824"/>
      <c r="AI72" s="1824"/>
      <c r="AJ72" s="1824"/>
      <c r="AK72" s="1824"/>
      <c r="AL72" s="1824"/>
      <c r="AN72" s="1246"/>
      <c r="AO72" s="1246"/>
      <c r="AP72" s="1246"/>
      <c r="AQ72" s="1246"/>
      <c r="AR72" s="1246"/>
      <c r="AS72" s="1246"/>
      <c r="AU72" s="1826"/>
      <c r="AV72" s="1826"/>
      <c r="AW72" s="1826"/>
      <c r="AX72" s="1708"/>
      <c r="AY72" s="1827"/>
      <c r="BA72" s="1750"/>
    </row>
    <row r="73" hidden="1" customHeight="1" spans="1:53">
      <c r="A73" s="1686" t="s">
        <v>88</v>
      </c>
      <c r="B73" s="1686"/>
      <c r="C73" s="1686"/>
      <c r="D73" s="1686"/>
      <c r="E73" s="1686"/>
      <c r="F73" s="1686"/>
      <c r="G73" s="1686"/>
      <c r="H73" s="1686"/>
      <c r="I73" s="1686"/>
      <c r="J73" s="1686"/>
      <c r="K73" s="1686"/>
      <c r="L73" s="1686"/>
      <c r="M73" s="1686"/>
      <c r="N73" s="1686"/>
      <c r="O73" s="1246">
        <f>O71/O$65</f>
        <v>0.806664083688493</v>
      </c>
      <c r="P73" s="1246">
        <f t="shared" ref="P73:AA73" si="178">P71/P$65</f>
        <v>0.780168381665108</v>
      </c>
      <c r="Q73" s="1246">
        <f t="shared" si="178"/>
        <v>0.753494282083863</v>
      </c>
      <c r="R73" s="1246">
        <f t="shared" si="178"/>
        <v>0.73342175066313</v>
      </c>
      <c r="S73" s="1246">
        <f t="shared" si="178"/>
        <v>0.718308600035759</v>
      </c>
      <c r="T73" s="1246">
        <f t="shared" si="178"/>
        <v>0.711822883585882</v>
      </c>
      <c r="U73" s="1246">
        <f t="shared" si="178"/>
        <v>0.707348406988695</v>
      </c>
      <c r="V73" s="1246">
        <f t="shared" si="178"/>
        <v>0.679359172581384</v>
      </c>
      <c r="W73" s="1246">
        <f t="shared" si="178"/>
        <v>0.609783449086505</v>
      </c>
      <c r="X73" s="1824">
        <f t="shared" si="178"/>
        <v>0.530807558502595</v>
      </c>
      <c r="Y73" s="1824">
        <f t="shared" si="178"/>
        <v>0.530807558502595</v>
      </c>
      <c r="Z73" s="1824">
        <f t="shared" si="178"/>
        <v>0.522681398425829</v>
      </c>
      <c r="AA73" s="1824">
        <f t="shared" si="178"/>
        <v>0.403871560506357</v>
      </c>
      <c r="AB73" s="1824"/>
      <c r="AC73" s="1824"/>
      <c r="AD73" s="1824"/>
      <c r="AE73" s="1824"/>
      <c r="AF73" s="1825"/>
      <c r="AG73" s="1824"/>
      <c r="AH73" s="1824"/>
      <c r="AI73" s="1824"/>
      <c r="AJ73" s="1824"/>
      <c r="AK73" s="1824"/>
      <c r="AL73" s="1824"/>
      <c r="AN73" s="1772"/>
      <c r="AO73" s="1772"/>
      <c r="AP73" s="1772"/>
      <c r="AQ73" s="1772"/>
      <c r="AR73" s="1772"/>
      <c r="AS73" s="1772"/>
      <c r="AU73" s="1785"/>
      <c r="AV73" s="1828"/>
      <c r="AW73" s="1828"/>
      <c r="AY73" s="1679"/>
    </row>
    <row r="74" hidden="1" customHeight="1" spans="1:53">
      <c r="A74" s="1673" t="s">
        <v>89</v>
      </c>
      <c r="L74" s="1772"/>
      <c r="M74" s="1772"/>
      <c r="N74" s="1772"/>
      <c r="O74" s="1772">
        <v>1497</v>
      </c>
      <c r="P74" s="1772">
        <v>1645</v>
      </c>
      <c r="Q74" s="1772">
        <v>2134</v>
      </c>
      <c r="R74" s="1772">
        <v>2613</v>
      </c>
      <c r="S74" s="1772">
        <v>3151</v>
      </c>
      <c r="T74" s="1772">
        <v>3176</v>
      </c>
      <c r="U74" s="1772">
        <v>3417</v>
      </c>
      <c r="V74" s="1772">
        <f t="shared" ref="V74:AA74" si="179">U74*(1+V75)</f>
        <v>4395.34446225439</v>
      </c>
      <c r="W74" s="1772">
        <f t="shared" si="179"/>
        <v>6263.36585871251</v>
      </c>
      <c r="X74" s="1822">
        <f t="shared" si="179"/>
        <v>8749.03145660211</v>
      </c>
      <c r="Y74" s="1822">
        <f t="shared" si="179"/>
        <v>9105.14851969864</v>
      </c>
      <c r="Z74" s="1822">
        <f t="shared" si="179"/>
        <v>10161.6357089125</v>
      </c>
      <c r="AA74" s="1822">
        <f t="shared" si="179"/>
        <v>10707.0629017453</v>
      </c>
      <c r="AB74" s="1822"/>
      <c r="AC74" s="1822"/>
      <c r="AD74" s="1822"/>
      <c r="AE74" s="1822"/>
      <c r="AF74" s="1823"/>
      <c r="AG74" s="1822"/>
      <c r="AH74" s="1822"/>
      <c r="AI74" s="1822"/>
      <c r="AJ74" s="1822"/>
      <c r="AK74" s="1822"/>
      <c r="AL74" s="1822"/>
      <c r="AN74" s="1696"/>
      <c r="AO74" s="1829"/>
      <c r="AP74" s="1829"/>
      <c r="AQ74" s="1829"/>
      <c r="AR74" s="1829"/>
      <c r="AS74" s="1829"/>
      <c r="AU74" s="1826"/>
      <c r="AV74" s="1826"/>
      <c r="AW74" s="1826"/>
      <c r="AX74" s="1708"/>
      <c r="AY74" s="1679"/>
      <c r="BA74" s="1750"/>
    </row>
    <row r="75" hidden="1" customHeight="1" spans="1:53">
      <c r="A75" s="1676" t="s">
        <v>61</v>
      </c>
      <c r="L75" s="1772"/>
      <c r="M75" s="1772"/>
      <c r="N75" s="1772"/>
      <c r="P75" s="1246">
        <f t="shared" ref="P75:U75" si="180">P74/O74-1</f>
        <v>0.0988643954575819</v>
      </c>
      <c r="Q75" s="1246">
        <f t="shared" si="180"/>
        <v>0.29726443768997</v>
      </c>
      <c r="R75" s="1246">
        <f t="shared" si="180"/>
        <v>0.224461105904405</v>
      </c>
      <c r="S75" s="1246">
        <f t="shared" si="180"/>
        <v>0.205893608878684</v>
      </c>
      <c r="T75" s="1246">
        <f t="shared" si="180"/>
        <v>0.00793398920977473</v>
      </c>
      <c r="U75" s="1246">
        <f t="shared" si="180"/>
        <v>0.07588161209068</v>
      </c>
      <c r="V75" s="1246">
        <f>22.5%+(V203-V204)</f>
        <v>0.286316787314719</v>
      </c>
      <c r="W75" s="1716">
        <v>0.425</v>
      </c>
      <c r="X75" s="1830">
        <v>0.396857800416045</v>
      </c>
      <c r="Y75" s="1830">
        <f>9%+(Y203-Y204)</f>
        <v>0.0407035984340645</v>
      </c>
      <c r="Z75" s="1830">
        <f>8.5%+(Z203-Z204)</f>
        <v>0.11603184582088</v>
      </c>
      <c r="AA75" s="1830">
        <f t="shared" ref="AA75" si="181">8%+(AA203-AA204)</f>
        <v>0.0536751373948988</v>
      </c>
      <c r="AB75" s="1830"/>
      <c r="AC75" s="1830"/>
      <c r="AD75" s="1830"/>
      <c r="AE75" s="1830"/>
      <c r="AF75" s="1831"/>
      <c r="AG75" s="1830"/>
      <c r="AH75" s="1830"/>
      <c r="AI75" s="1830"/>
      <c r="AJ75" s="1830"/>
      <c r="AK75" s="1830"/>
      <c r="AL75" s="1830"/>
      <c r="AN75" s="1832"/>
      <c r="AO75" s="1772"/>
      <c r="AU75" s="1785"/>
      <c r="AV75" s="1828"/>
      <c r="AW75" s="1828"/>
    </row>
    <row r="76" hidden="1" customHeight="1" spans="1:53">
      <c r="A76" s="1686" t="s">
        <v>88</v>
      </c>
      <c r="B76" s="1686"/>
      <c r="C76" s="1686"/>
      <c r="D76" s="1686"/>
      <c r="E76" s="1686"/>
      <c r="F76" s="1686"/>
      <c r="G76" s="1686"/>
      <c r="H76" s="1686"/>
      <c r="I76" s="1686"/>
      <c r="J76" s="1686"/>
      <c r="K76" s="1686"/>
      <c r="L76" s="1686"/>
      <c r="M76" s="1686"/>
      <c r="N76" s="1686"/>
      <c r="O76" s="1246">
        <f>O74/O$65</f>
        <v>0.193335916311507</v>
      </c>
      <c r="P76" s="1246">
        <f t="shared" ref="P76:AA76" si="182">P74/P$65</f>
        <v>0.219831618334892</v>
      </c>
      <c r="Q76" s="1246">
        <f t="shared" si="182"/>
        <v>0.246505717916137</v>
      </c>
      <c r="R76" s="1246">
        <f t="shared" si="182"/>
        <v>0.26657824933687</v>
      </c>
      <c r="S76" s="1246">
        <f t="shared" si="182"/>
        <v>0.281691399964241</v>
      </c>
      <c r="T76" s="1246">
        <f t="shared" si="182"/>
        <v>0.288177116414119</v>
      </c>
      <c r="U76" s="1246">
        <f t="shared" si="182"/>
        <v>0.292651593011305</v>
      </c>
      <c r="V76" s="1246">
        <f t="shared" si="182"/>
        <v>0.320640827418616</v>
      </c>
      <c r="W76" s="1716">
        <f t="shared" si="182"/>
        <v>0.390216550913495</v>
      </c>
      <c r="X76" s="1824">
        <f t="shared" si="182"/>
        <v>0.469192441497405</v>
      </c>
      <c r="Y76" s="1824">
        <f t="shared" si="182"/>
        <v>0.469192441497405</v>
      </c>
      <c r="Z76" s="1824">
        <f t="shared" si="182"/>
        <v>0.477318601574171</v>
      </c>
      <c r="AA76" s="1824">
        <f t="shared" si="182"/>
        <v>0.596128439493643</v>
      </c>
      <c r="AB76" s="1824"/>
      <c r="AC76" s="1824"/>
      <c r="AD76" s="1824"/>
      <c r="AE76" s="1824"/>
      <c r="AF76" s="1825"/>
      <c r="AG76" s="1824"/>
      <c r="AH76" s="1824"/>
      <c r="AI76" s="1824"/>
      <c r="AJ76" s="1824"/>
      <c r="AK76" s="1824"/>
      <c r="AL76" s="1824"/>
      <c r="AN76" s="1829"/>
      <c r="AO76" s="1829"/>
      <c r="AT76" s="1826"/>
      <c r="AU76" s="1826"/>
      <c r="AV76" s="1826"/>
      <c r="AX76" s="1708"/>
      <c r="AY76" s="1679"/>
      <c r="BA76" s="1750"/>
    </row>
    <row r="77" hidden="1" customHeight="1" spans="1:53">
      <c r="A77" s="1673" t="s">
        <v>82</v>
      </c>
      <c r="L77" s="1772"/>
      <c r="M77" s="1772"/>
      <c r="N77" s="1772"/>
      <c r="O77" s="1772">
        <v>1717</v>
      </c>
      <c r="P77" s="1772">
        <v>1604</v>
      </c>
      <c r="Q77" s="1772">
        <v>1913</v>
      </c>
      <c r="R77" s="1772">
        <v>1962</v>
      </c>
      <c r="S77" s="1772">
        <v>1667</v>
      </c>
      <c r="T77" s="1772">
        <v>1599</v>
      </c>
      <c r="U77" s="1772">
        <v>1578</v>
      </c>
      <c r="V77" s="1772">
        <f t="shared" ref="V77:AA77" si="183">U77*(1+V78)</f>
        <v>1720.02</v>
      </c>
      <c r="W77" s="1833">
        <f t="shared" si="183"/>
        <v>1840.4214</v>
      </c>
      <c r="X77" s="1772">
        <f t="shared" si="183"/>
        <v>1969.250898</v>
      </c>
      <c r="Y77" s="1772">
        <f t="shared" si="183"/>
        <v>2107.09846086</v>
      </c>
      <c r="Z77" s="1772">
        <f t="shared" si="183"/>
        <v>2254.5953531202</v>
      </c>
      <c r="AA77" s="1772">
        <f t="shared" si="183"/>
        <v>2412.41702783862</v>
      </c>
      <c r="AB77" s="1772"/>
      <c r="AC77" s="1772"/>
      <c r="AD77" s="1772"/>
      <c r="AE77" s="1772"/>
      <c r="AF77" s="1820"/>
      <c r="AG77" s="1772"/>
      <c r="AH77" s="1772"/>
      <c r="AI77" s="1772"/>
      <c r="AJ77" s="1772"/>
      <c r="AK77" s="1772"/>
      <c r="AL77" s="1772"/>
      <c r="AN77" s="1770"/>
      <c r="AO77" s="1770"/>
      <c r="AP77" s="1770"/>
      <c r="AQ77" s="1770"/>
      <c r="AR77" s="1770"/>
      <c r="AS77" s="1770"/>
      <c r="AT77" s="1834"/>
      <c r="AU77" s="1783"/>
      <c r="AV77" s="1783"/>
      <c r="AY77" s="1835"/>
    </row>
    <row r="78" hidden="1" customHeight="1" spans="1:53">
      <c r="A78" s="1676" t="s">
        <v>61</v>
      </c>
      <c r="L78" s="1772"/>
      <c r="M78" s="1772"/>
      <c r="N78" s="1772"/>
      <c r="P78" s="1246">
        <f t="shared" ref="P78:U78" si="184">P77/O77-1</f>
        <v>-0.0658124635993012</v>
      </c>
      <c r="Q78" s="1246">
        <f t="shared" si="184"/>
        <v>0.192643391521197</v>
      </c>
      <c r="R78" s="1246">
        <f t="shared" si="184"/>
        <v>0.0256142185049659</v>
      </c>
      <c r="S78" s="1246">
        <f t="shared" si="184"/>
        <v>-0.150356778797146</v>
      </c>
      <c r="T78" s="1246">
        <f t="shared" si="184"/>
        <v>-0.0407918416316737</v>
      </c>
      <c r="U78" s="1246">
        <f t="shared" si="184"/>
        <v>-0.0131332082551595</v>
      </c>
      <c r="V78" s="1246">
        <v>0.09</v>
      </c>
      <c r="W78" s="1716">
        <f>V78-2%</f>
        <v>0.07</v>
      </c>
      <c r="X78" s="1836">
        <f t="shared" ref="X78:AA78" si="185">W78</f>
        <v>0.07</v>
      </c>
      <c r="Y78" s="1836">
        <f t="shared" si="185"/>
        <v>0.07</v>
      </c>
      <c r="Z78" s="1836">
        <f t="shared" si="185"/>
        <v>0.07</v>
      </c>
      <c r="AA78" s="1836">
        <f t="shared" si="185"/>
        <v>0.07</v>
      </c>
      <c r="AB78" s="1836"/>
      <c r="AC78" s="1836"/>
      <c r="AD78" s="1836"/>
      <c r="AE78" s="1836"/>
      <c r="AF78" s="1837"/>
      <c r="AG78" s="1836"/>
      <c r="AH78" s="1836"/>
      <c r="AI78" s="1836"/>
      <c r="AJ78" s="1836"/>
      <c r="AK78" s="1836"/>
      <c r="AL78" s="1836"/>
      <c r="AN78" s="1764"/>
      <c r="AO78" s="1764"/>
      <c r="AP78" s="1764"/>
      <c r="AQ78" s="1764"/>
      <c r="AR78" s="1764"/>
      <c r="AS78" s="1764"/>
      <c r="AT78" s="1826"/>
      <c r="AU78" s="1826"/>
      <c r="AV78" s="1826"/>
      <c r="AY78" s="1827"/>
    </row>
    <row r="79" s="1678" customFormat="1" hidden="1" customHeight="1" spans="1:53">
      <c r="A79" s="1673" t="s">
        <v>90</v>
      </c>
      <c r="B79" s="1838"/>
      <c r="C79" s="1838"/>
      <c r="D79" s="1838"/>
      <c r="E79" s="1838"/>
      <c r="F79" s="1838"/>
      <c r="G79" s="1838"/>
      <c r="H79" s="1838"/>
      <c r="I79" s="1838"/>
      <c r="J79" s="1838"/>
      <c r="K79" s="1838"/>
      <c r="L79" s="1839"/>
      <c r="M79" s="1839"/>
      <c r="N79" s="1839"/>
      <c r="O79" s="1703">
        <v>1285</v>
      </c>
      <c r="P79" s="1703">
        <v>1283</v>
      </c>
      <c r="Q79" s="1703">
        <v>1420</v>
      </c>
      <c r="R79" s="1703">
        <v>1580</v>
      </c>
      <c r="S79" s="1703">
        <v>1976</v>
      </c>
      <c r="T79" s="1703">
        <v>1946</v>
      </c>
      <c r="U79" s="1703">
        <v>1316</v>
      </c>
      <c r="V79" s="1703">
        <f t="shared" ref="V79:AA79" si="186">V27</f>
        <v>1467</v>
      </c>
      <c r="W79" s="1840">
        <f t="shared" si="186"/>
        <v>1475</v>
      </c>
      <c r="X79" s="1841">
        <f t="shared" si="186"/>
        <v>741</v>
      </c>
      <c r="Y79" s="1841">
        <f t="shared" si="186"/>
        <v>831</v>
      </c>
      <c r="Z79" s="1841">
        <f t="shared" si="186"/>
        <v>605</v>
      </c>
      <c r="AA79" s="1841">
        <f t="shared" si="186"/>
        <v>476</v>
      </c>
      <c r="AB79" s="1841"/>
      <c r="AC79" s="1841"/>
      <c r="AD79" s="1841"/>
      <c r="AE79" s="1841"/>
      <c r="AF79" s="1842"/>
      <c r="AG79" s="1841"/>
      <c r="AH79" s="1841"/>
      <c r="AI79" s="1841"/>
      <c r="AJ79" s="1841"/>
      <c r="AK79" s="1841"/>
      <c r="AL79" s="1841"/>
      <c r="AM79" s="1688"/>
      <c r="AN79" s="1772"/>
      <c r="AO79" s="1772"/>
      <c r="AP79" s="1772"/>
      <c r="AQ79" s="1772"/>
      <c r="AR79" s="1772"/>
      <c r="AS79" s="1772"/>
      <c r="AT79" s="1785"/>
      <c r="AU79" s="1785"/>
      <c r="AV79" s="1785"/>
      <c r="AW79" s="1691"/>
      <c r="AY79" s="1679"/>
    </row>
    <row r="80" s="1678" customFormat="1" hidden="1" customHeight="1" spans="1:53">
      <c r="A80" s="1676" t="s">
        <v>61</v>
      </c>
      <c r="B80" s="1838"/>
      <c r="C80" s="1838"/>
      <c r="D80" s="1838"/>
      <c r="E80" s="1838"/>
      <c r="F80" s="1838"/>
      <c r="G80" s="1838"/>
      <c r="H80" s="1838"/>
      <c r="I80" s="1838"/>
      <c r="J80" s="1838"/>
      <c r="K80" s="1838"/>
      <c r="L80" s="1839"/>
      <c r="M80" s="1839"/>
      <c r="N80" s="1839"/>
      <c r="O80" s="1843"/>
      <c r="P80" s="1246">
        <f t="shared" ref="P80:U80" si="187">P79/O79-1</f>
        <v>-0.00155642023346303</v>
      </c>
      <c r="Q80" s="1246">
        <f t="shared" si="187"/>
        <v>0.106780982073266</v>
      </c>
      <c r="R80" s="1246">
        <f t="shared" si="187"/>
        <v>0.112676056338028</v>
      </c>
      <c r="S80" s="1246">
        <f t="shared" si="187"/>
        <v>0.250632911392405</v>
      </c>
      <c r="T80" s="1246">
        <f t="shared" si="187"/>
        <v>-0.0151821862348178</v>
      </c>
      <c r="U80" s="1246">
        <f t="shared" si="187"/>
        <v>-0.323741007194245</v>
      </c>
      <c r="V80" s="1246">
        <f t="shared" ref="V80:AA80" si="188">V79/U79-1</f>
        <v>0.114741641337386</v>
      </c>
      <c r="W80" s="1844">
        <f t="shared" si="188"/>
        <v>0.00545330606680294</v>
      </c>
      <c r="X80" s="1764">
        <f t="shared" si="188"/>
        <v>-0.497627118644068</v>
      </c>
      <c r="Y80" s="1764">
        <f t="shared" si="188"/>
        <v>0.121457489878543</v>
      </c>
      <c r="Z80" s="1764">
        <f t="shared" si="188"/>
        <v>-0.271961492178099</v>
      </c>
      <c r="AA80" s="1764">
        <f t="shared" si="188"/>
        <v>-0.213223140495868</v>
      </c>
      <c r="AB80" s="1764"/>
      <c r="AC80" s="1764"/>
      <c r="AD80" s="1764"/>
      <c r="AE80" s="1764"/>
      <c r="AF80" s="1845"/>
      <c r="AG80" s="1764"/>
      <c r="AH80" s="1764"/>
      <c r="AI80" s="1764"/>
      <c r="AJ80" s="1764"/>
      <c r="AK80" s="1764"/>
      <c r="AL80" s="1764"/>
      <c r="AM80" s="1688"/>
      <c r="AN80" s="1829"/>
      <c r="AO80" s="1829"/>
      <c r="AP80" s="1829"/>
      <c r="AQ80" s="1829"/>
      <c r="AR80" s="1829"/>
      <c r="AS80" s="1829"/>
      <c r="AT80" s="1826"/>
      <c r="AU80" s="1826"/>
      <c r="AV80" s="1826"/>
      <c r="AW80" s="1691"/>
      <c r="AY80" s="1679"/>
    </row>
    <row r="81" s="1678" customFormat="1" hidden="1" customHeight="1" spans="1:58">
      <c r="A81" s="1846" t="s">
        <v>91</v>
      </c>
      <c r="B81" s="1756"/>
      <c r="C81" s="1756"/>
      <c r="D81" s="1756"/>
      <c r="E81" s="1756"/>
      <c r="F81" s="1756"/>
      <c r="G81" s="1756"/>
      <c r="H81" s="1756"/>
      <c r="I81" s="1756"/>
      <c r="J81" s="1756"/>
      <c r="K81" s="1756"/>
      <c r="L81" s="1772"/>
      <c r="M81" s="1772"/>
      <c r="N81" s="1772"/>
      <c r="O81" s="1703">
        <v>812</v>
      </c>
      <c r="P81" s="1703">
        <v>831</v>
      </c>
      <c r="Q81" s="1703">
        <v>909</v>
      </c>
      <c r="R81" s="1703">
        <v>1044</v>
      </c>
      <c r="S81" s="1703">
        <v>1344</v>
      </c>
      <c r="T81" s="1703">
        <v>1285</v>
      </c>
      <c r="U81" s="1703">
        <v>913</v>
      </c>
      <c r="V81" s="1703">
        <f t="shared" ref="V81:W81" si="189">V79-V85-V87</f>
        <v>1030.45</v>
      </c>
      <c r="W81" s="1833">
        <f t="shared" si="189"/>
        <v>1008.9175</v>
      </c>
      <c r="X81" s="1772"/>
      <c r="Y81" s="1772"/>
      <c r="Z81" s="1772"/>
      <c r="AA81" s="1772"/>
      <c r="AB81" s="1772"/>
      <c r="AC81" s="1772"/>
      <c r="AD81" s="1772"/>
      <c r="AE81" s="1772"/>
      <c r="AF81" s="1820"/>
      <c r="AG81" s="1772"/>
      <c r="AH81" s="1772"/>
      <c r="AI81" s="1772"/>
      <c r="AJ81" s="1772"/>
      <c r="AK81" s="1772"/>
      <c r="AL81" s="1772"/>
      <c r="AM81" s="1688"/>
      <c r="AO81" s="1714"/>
      <c r="AP81" s="1772"/>
      <c r="AQ81" s="1772"/>
      <c r="AR81" s="1772"/>
      <c r="AS81" s="1772"/>
      <c r="AY81" s="1679"/>
    </row>
    <row r="82" s="1678" customFormat="1" hidden="1" customHeight="1" spans="1:58">
      <c r="A82" s="1803" t="s">
        <v>61</v>
      </c>
      <c r="B82" s="1756"/>
      <c r="C82" s="1756"/>
      <c r="D82" s="1756"/>
      <c r="E82" s="1756"/>
      <c r="F82" s="1756"/>
      <c r="G82" s="1756"/>
      <c r="H82" s="1756"/>
      <c r="I82" s="1756"/>
      <c r="J82" s="1756"/>
      <c r="K82" s="1756"/>
      <c r="L82" s="1772"/>
      <c r="M82" s="1772"/>
      <c r="N82" s="1772"/>
      <c r="O82" s="1745"/>
      <c r="P82" s="1246">
        <f t="shared" ref="P82:U82" si="190">P81/O81-1</f>
        <v>0.0233990147783252</v>
      </c>
      <c r="Q82" s="1246">
        <f t="shared" si="190"/>
        <v>0.0938628158844765</v>
      </c>
      <c r="R82" s="1246">
        <f t="shared" si="190"/>
        <v>0.148514851485148</v>
      </c>
      <c r="S82" s="1246">
        <f t="shared" si="190"/>
        <v>0.28735632183908</v>
      </c>
      <c r="T82" s="1246">
        <f t="shared" si="190"/>
        <v>-0.0438988095238095</v>
      </c>
      <c r="U82" s="1246">
        <f t="shared" si="190"/>
        <v>-0.289494163424124</v>
      </c>
      <c r="V82" s="1246">
        <f t="shared" ref="V82:W82" si="191">V81/U81-1</f>
        <v>0.128641840087623</v>
      </c>
      <c r="W82" s="1716">
        <f t="shared" si="191"/>
        <v>-0.0208962103935174</v>
      </c>
      <c r="X82" s="1246"/>
      <c r="Y82" s="1246"/>
      <c r="Z82" s="1246"/>
      <c r="AA82" s="1246"/>
      <c r="AB82" s="1246"/>
      <c r="AC82" s="1246"/>
      <c r="AD82" s="1246"/>
      <c r="AE82" s="1246"/>
      <c r="AF82" s="1717"/>
      <c r="AG82" s="1246"/>
      <c r="AH82" s="1246"/>
      <c r="AI82" s="1246"/>
      <c r="AJ82" s="1246"/>
      <c r="AK82" s="1246"/>
      <c r="AL82" s="1246"/>
      <c r="AM82" s="1688"/>
      <c r="AN82" s="1696"/>
      <c r="AO82" s="1714"/>
      <c r="AP82" s="1829"/>
      <c r="AQ82" s="1829"/>
      <c r="AR82" s="1829"/>
      <c r="AS82" s="1829"/>
      <c r="AY82" s="1679"/>
    </row>
    <row r="83" s="1678" customFormat="1" hidden="1" customHeight="1" spans="1:58">
      <c r="A83" s="1846" t="s">
        <v>92</v>
      </c>
      <c r="B83" s="1756"/>
      <c r="C83" s="1756"/>
      <c r="D83" s="1756"/>
      <c r="E83" s="1756"/>
      <c r="F83" s="1756"/>
      <c r="G83" s="1756"/>
      <c r="H83" s="1756"/>
      <c r="I83" s="1756"/>
      <c r="J83" s="1756"/>
      <c r="K83" s="1756"/>
      <c r="L83" s="1772"/>
      <c r="M83" s="1772"/>
      <c r="N83" s="1772"/>
      <c r="O83" s="1772">
        <v>243</v>
      </c>
      <c r="P83" s="1772">
        <v>232</v>
      </c>
      <c r="Q83" s="1772">
        <v>252</v>
      </c>
      <c r="R83" s="1772">
        <v>261</v>
      </c>
      <c r="S83" s="1772">
        <v>285</v>
      </c>
      <c r="T83" s="1772">
        <v>289</v>
      </c>
      <c r="U83" s="1772">
        <v>0</v>
      </c>
      <c r="V83" s="1772">
        <f t="shared" ref="V83:W83" si="192">U83*(1+V84)</f>
        <v>0</v>
      </c>
      <c r="W83" s="1833">
        <f t="shared" si="192"/>
        <v>0</v>
      </c>
      <c r="X83" s="1772"/>
      <c r="Y83" s="1772"/>
      <c r="Z83" s="1772"/>
      <c r="AA83" s="1772"/>
      <c r="AB83" s="1772"/>
      <c r="AC83" s="1772"/>
      <c r="AD83" s="1772"/>
      <c r="AE83" s="1772"/>
      <c r="AF83" s="1820"/>
      <c r="AG83" s="1772"/>
      <c r="AH83" s="1772"/>
      <c r="AI83" s="1772"/>
      <c r="AJ83" s="1772"/>
      <c r="AK83" s="1772"/>
      <c r="AL83" s="1772"/>
      <c r="AM83" s="1688"/>
      <c r="AN83" s="1772"/>
      <c r="AO83" s="1772"/>
      <c r="AP83" s="1772"/>
      <c r="AQ83" s="1772"/>
      <c r="AR83" s="1772"/>
      <c r="AS83" s="1772"/>
      <c r="AY83" s="1679"/>
    </row>
    <row r="84" s="1678" customFormat="1" hidden="1" customHeight="1" spans="1:58">
      <c r="A84" s="1803" t="s">
        <v>61</v>
      </c>
      <c r="B84" s="1756"/>
      <c r="C84" s="1756"/>
      <c r="D84" s="1756"/>
      <c r="E84" s="1756"/>
      <c r="F84" s="1756"/>
      <c r="G84" s="1756"/>
      <c r="H84" s="1756"/>
      <c r="I84" s="1756"/>
      <c r="J84" s="1756"/>
      <c r="K84" s="1756"/>
      <c r="L84" s="1772"/>
      <c r="M84" s="1772"/>
      <c r="N84" s="1772"/>
      <c r="O84" s="1688"/>
      <c r="P84" s="1246">
        <f t="shared" ref="P84:U84" si="193">P83/O83-1</f>
        <v>-0.0452674897119342</v>
      </c>
      <c r="Q84" s="1246">
        <f t="shared" si="193"/>
        <v>0.0862068965517242</v>
      </c>
      <c r="R84" s="1246">
        <f t="shared" si="193"/>
        <v>0.0357142857142858</v>
      </c>
      <c r="S84" s="1246">
        <f t="shared" si="193"/>
        <v>0.0919540229885059</v>
      </c>
      <c r="T84" s="1246">
        <f t="shared" si="193"/>
        <v>0.0140350877192983</v>
      </c>
      <c r="U84" s="1246">
        <f t="shared" si="193"/>
        <v>-1</v>
      </c>
      <c r="V84" s="1246"/>
      <c r="W84" s="1716"/>
      <c r="X84" s="1829"/>
      <c r="Y84" s="1829"/>
      <c r="Z84" s="1829"/>
      <c r="AA84" s="1829"/>
      <c r="AB84" s="1829"/>
      <c r="AC84" s="1829"/>
      <c r="AD84" s="1829"/>
      <c r="AE84" s="1829"/>
      <c r="AF84" s="1847"/>
      <c r="AG84" s="1829"/>
      <c r="AH84" s="1829"/>
      <c r="AI84" s="1829"/>
      <c r="AJ84" s="1829"/>
      <c r="AK84" s="1829"/>
      <c r="AL84" s="1829"/>
      <c r="AM84" s="1688"/>
      <c r="AN84" s="1829"/>
      <c r="AO84" s="1829"/>
      <c r="AP84" s="1829"/>
      <c r="AQ84" s="1829"/>
      <c r="AR84" s="1829"/>
      <c r="AS84" s="1829"/>
      <c r="AY84" s="1679"/>
    </row>
    <row r="85" s="1678" customFormat="1" hidden="1" customHeight="1" spans="1:58">
      <c r="A85" s="1846" t="s">
        <v>93</v>
      </c>
      <c r="B85" s="1756"/>
      <c r="C85" s="1756"/>
      <c r="D85" s="1756"/>
      <c r="E85" s="1756"/>
      <c r="F85" s="1756"/>
      <c r="G85" s="1756"/>
      <c r="H85" s="1756"/>
      <c r="I85" s="1756"/>
      <c r="J85" s="1756"/>
      <c r="K85" s="1756"/>
      <c r="L85" s="1772"/>
      <c r="M85" s="1772"/>
      <c r="N85" s="1772"/>
      <c r="O85" s="1703">
        <v>188</v>
      </c>
      <c r="P85" s="1703">
        <v>177</v>
      </c>
      <c r="Q85" s="1703">
        <v>200</v>
      </c>
      <c r="R85" s="1703">
        <v>210</v>
      </c>
      <c r="S85" s="1703">
        <v>243</v>
      </c>
      <c r="T85" s="1703">
        <v>260</v>
      </c>
      <c r="U85" s="1703">
        <v>269</v>
      </c>
      <c r="V85" s="1703">
        <f t="shared" ref="V85:W85" si="194">U85*(1+V86)</f>
        <v>282.45</v>
      </c>
      <c r="W85" s="1833">
        <f t="shared" si="194"/>
        <v>296.5725</v>
      </c>
      <c r="X85" s="1772"/>
      <c r="Y85" s="1772"/>
      <c r="Z85" s="1772"/>
      <c r="AA85" s="1772"/>
      <c r="AB85" s="1772"/>
      <c r="AC85" s="1772"/>
      <c r="AD85" s="1772"/>
      <c r="AE85" s="1772"/>
      <c r="AF85" s="1820"/>
      <c r="AG85" s="1772"/>
      <c r="AH85" s="1772"/>
      <c r="AI85" s="1772"/>
      <c r="AJ85" s="1772"/>
      <c r="AK85" s="1772"/>
      <c r="AL85" s="1772"/>
      <c r="AM85" s="1688"/>
      <c r="AN85" s="1772"/>
      <c r="AO85" s="1772"/>
      <c r="AP85" s="1772"/>
      <c r="AQ85" s="1772"/>
      <c r="AR85" s="1772"/>
      <c r="AS85" s="1772"/>
      <c r="AY85" s="1679"/>
    </row>
    <row r="86" s="1678" customFormat="1" hidden="1" customHeight="1" spans="1:58">
      <c r="A86" s="1803" t="s">
        <v>61</v>
      </c>
      <c r="B86" s="1756"/>
      <c r="C86" s="1756"/>
      <c r="D86" s="1756"/>
      <c r="E86" s="1756"/>
      <c r="F86" s="1756"/>
      <c r="G86" s="1756"/>
      <c r="H86" s="1756"/>
      <c r="I86" s="1756"/>
      <c r="J86" s="1756"/>
      <c r="K86" s="1756"/>
      <c r="L86" s="1772"/>
      <c r="M86" s="1772"/>
      <c r="N86" s="1772"/>
      <c r="O86" s="1745"/>
      <c r="P86" s="1246">
        <f t="shared" ref="P86:U86" si="195">P85/O85-1</f>
        <v>-0.0585106382978723</v>
      </c>
      <c r="Q86" s="1246">
        <f t="shared" si="195"/>
        <v>0.129943502824859</v>
      </c>
      <c r="R86" s="1246">
        <f t="shared" si="195"/>
        <v>0.05</v>
      </c>
      <c r="S86" s="1246">
        <f t="shared" si="195"/>
        <v>0.157142857142857</v>
      </c>
      <c r="T86" s="1246">
        <f t="shared" si="195"/>
        <v>0.0699588477366255</v>
      </c>
      <c r="U86" s="1246">
        <f t="shared" si="195"/>
        <v>0.0346153846153847</v>
      </c>
      <c r="V86" s="1246">
        <v>0.05</v>
      </c>
      <c r="W86" s="1716">
        <f t="shared" ref="W86" si="196">V86</f>
        <v>0.05</v>
      </c>
      <c r="X86" s="1829"/>
      <c r="Y86" s="1829"/>
      <c r="Z86" s="1829"/>
      <c r="AA86" s="1829"/>
      <c r="AB86" s="1829"/>
      <c r="AC86" s="1829"/>
      <c r="AD86" s="1829"/>
      <c r="AE86" s="1829"/>
      <c r="AF86" s="1847"/>
      <c r="AG86" s="1829"/>
      <c r="AH86" s="1829"/>
      <c r="AI86" s="1829"/>
      <c r="AJ86" s="1829"/>
      <c r="AK86" s="1829"/>
      <c r="AL86" s="1829"/>
      <c r="AM86" s="1688"/>
      <c r="AN86" s="1772"/>
      <c r="AO86" s="1772"/>
      <c r="AP86" s="1772"/>
      <c r="AQ86" s="1772"/>
      <c r="AR86" s="1772"/>
      <c r="AS86" s="1772"/>
      <c r="AY86" s="1679"/>
    </row>
    <row r="87" hidden="1" customHeight="1" spans="1:58">
      <c r="A87" s="1846" t="s">
        <v>94</v>
      </c>
      <c r="B87" s="1756"/>
      <c r="C87" s="1756"/>
      <c r="D87" s="1756"/>
      <c r="E87" s="1756"/>
      <c r="F87" s="1756"/>
      <c r="G87" s="1756"/>
      <c r="H87" s="1756"/>
      <c r="I87" s="1756"/>
      <c r="J87" s="1756"/>
      <c r="K87" s="1756"/>
      <c r="L87" s="1772"/>
      <c r="M87" s="1772"/>
      <c r="N87" s="1772"/>
      <c r="O87" s="1703">
        <v>42</v>
      </c>
      <c r="P87" s="1703">
        <v>43</v>
      </c>
      <c r="Q87" s="1703">
        <v>59</v>
      </c>
      <c r="R87" s="1703">
        <v>65</v>
      </c>
      <c r="S87" s="1703">
        <v>104</v>
      </c>
      <c r="T87" s="1703">
        <v>112</v>
      </c>
      <c r="U87" s="1703">
        <v>134</v>
      </c>
      <c r="V87" s="1703">
        <f t="shared" ref="V87:AA87" si="197">U87*(1+V88)</f>
        <v>154.1</v>
      </c>
      <c r="W87" s="1833">
        <f t="shared" si="197"/>
        <v>169.51</v>
      </c>
      <c r="X87" s="1772">
        <f t="shared" si="197"/>
        <v>177.9855</v>
      </c>
      <c r="Y87" s="1772">
        <f t="shared" si="197"/>
        <v>186.884775</v>
      </c>
      <c r="Z87" s="1772">
        <f t="shared" si="197"/>
        <v>196.22901375</v>
      </c>
      <c r="AA87" s="1772">
        <f t="shared" si="197"/>
        <v>206.0404644375</v>
      </c>
      <c r="AB87" s="1772"/>
      <c r="AC87" s="1772"/>
      <c r="AD87" s="1772"/>
      <c r="AE87" s="1772"/>
      <c r="AF87" s="1820"/>
      <c r="AG87" s="1772"/>
      <c r="AH87" s="1772"/>
      <c r="AI87" s="1772"/>
      <c r="AJ87" s="1772"/>
      <c r="AK87" s="1772"/>
      <c r="AL87" s="1772"/>
      <c r="AN87" s="1772"/>
      <c r="AO87" s="1772"/>
      <c r="AP87" s="1772"/>
      <c r="AQ87" s="1772"/>
      <c r="AR87" s="1772"/>
      <c r="AS87" s="1772"/>
      <c r="AY87" s="1679"/>
      <c r="AZ87" s="1678"/>
      <c r="BA87" s="1678"/>
      <c r="BB87" s="1678"/>
      <c r="BC87" s="1678"/>
      <c r="BD87" s="1678"/>
      <c r="BE87" s="1678"/>
      <c r="BF87" s="1678"/>
    </row>
    <row r="88" hidden="1" customHeight="1" spans="1:58">
      <c r="A88" s="1803" t="s">
        <v>61</v>
      </c>
      <c r="B88" s="1756"/>
      <c r="C88" s="1756"/>
      <c r="D88" s="1756"/>
      <c r="E88" s="1756"/>
      <c r="F88" s="1756"/>
      <c r="G88" s="1756"/>
      <c r="H88" s="1756"/>
      <c r="I88" s="1756"/>
      <c r="J88" s="1756"/>
      <c r="K88" s="1756"/>
      <c r="L88" s="1772"/>
      <c r="M88" s="1772"/>
      <c r="N88" s="1772"/>
      <c r="O88" s="1745"/>
      <c r="P88" s="1246">
        <f t="shared" ref="P88:U88" si="198">P87/O87-1</f>
        <v>0.0238095238095237</v>
      </c>
      <c r="Q88" s="1246">
        <f t="shared" si="198"/>
        <v>0.372093023255814</v>
      </c>
      <c r="R88" s="1246">
        <f t="shared" si="198"/>
        <v>0.101694915254237</v>
      </c>
      <c r="S88" s="1246">
        <f t="shared" si="198"/>
        <v>0.6</v>
      </c>
      <c r="T88" s="1246">
        <f t="shared" si="198"/>
        <v>0.0769230769230769</v>
      </c>
      <c r="U88" s="1246">
        <f t="shared" si="198"/>
        <v>0.196428571428571</v>
      </c>
      <c r="V88" s="1246">
        <v>0.15</v>
      </c>
      <c r="W88" s="1716">
        <v>0.1</v>
      </c>
      <c r="X88" s="1829">
        <v>0.05</v>
      </c>
      <c r="Y88" s="1829">
        <f t="shared" ref="Y88:AA88" si="199">X88</f>
        <v>0.05</v>
      </c>
      <c r="Z88" s="1829">
        <f t="shared" si="199"/>
        <v>0.05</v>
      </c>
      <c r="AA88" s="1829">
        <f t="shared" si="199"/>
        <v>0.05</v>
      </c>
      <c r="AB88" s="1829"/>
      <c r="AC88" s="1829"/>
      <c r="AD88" s="1829"/>
      <c r="AE88" s="1829"/>
      <c r="AF88" s="1847"/>
      <c r="AG88" s="1829"/>
      <c r="AH88" s="1829"/>
      <c r="AI88" s="1829"/>
      <c r="AJ88" s="1829"/>
      <c r="AK88" s="1829"/>
      <c r="AL88" s="1829"/>
      <c r="AN88" s="1772"/>
      <c r="AO88" s="1772"/>
      <c r="AP88" s="1772"/>
      <c r="AQ88" s="1772"/>
      <c r="AR88" s="1772"/>
      <c r="AS88" s="1772"/>
      <c r="AT88" s="1848"/>
      <c r="AU88" s="1848"/>
      <c r="AV88" s="1848"/>
      <c r="AW88" s="1848"/>
      <c r="AX88" s="1848"/>
      <c r="AY88" s="1848"/>
      <c r="AZ88" s="1712"/>
      <c r="BA88" s="1712"/>
      <c r="BB88" s="1712"/>
      <c r="BC88" s="1691"/>
      <c r="BE88" s="1849"/>
    </row>
    <row r="89" hidden="1" customHeight="1" spans="1:58">
      <c r="A89" s="1732" t="s">
        <v>71</v>
      </c>
      <c r="L89" s="1850"/>
      <c r="M89" s="1850"/>
      <c r="N89" s="1850"/>
      <c r="O89" s="1734">
        <f>SUM(O87,O85,O83,O81,O77,O74,O71)</f>
        <v>10745</v>
      </c>
      <c r="P89" s="1734">
        <f>SUM(P87,P85,P83,P81,P77,P74,P71)</f>
        <v>10370</v>
      </c>
      <c r="Q89" s="1734">
        <f t="shared" ref="Q89:AA89" si="200">Q32</f>
        <v>11990</v>
      </c>
      <c r="R89" s="1734">
        <f t="shared" si="200"/>
        <v>13323</v>
      </c>
      <c r="S89" s="1734">
        <f t="shared" si="200"/>
        <v>14883</v>
      </c>
      <c r="T89" s="1734">
        <f t="shared" si="200"/>
        <v>14205</v>
      </c>
      <c r="U89" s="1734">
        <f t="shared" si="200"/>
        <v>14534</v>
      </c>
      <c r="V89" s="1734">
        <f t="shared" si="200"/>
        <v>16915</v>
      </c>
      <c r="W89" s="1734">
        <f t="shared" si="200"/>
        <v>19290</v>
      </c>
      <c r="X89" s="1734">
        <f t="shared" si="200"/>
        <v>21218</v>
      </c>
      <c r="Y89" s="1734">
        <f t="shared" si="200"/>
        <v>21915</v>
      </c>
      <c r="Z89" s="1734">
        <f t="shared" si="200"/>
        <v>23641</v>
      </c>
      <c r="AA89" s="1734">
        <f t="shared" si="200"/>
        <v>19844</v>
      </c>
      <c r="AB89" s="1734"/>
      <c r="AC89" s="1734"/>
      <c r="AD89" s="1734"/>
      <c r="AE89" s="1734"/>
      <c r="AF89" s="1735"/>
      <c r="AG89" s="1734"/>
      <c r="AH89" s="1734"/>
      <c r="AI89" s="1734"/>
      <c r="AJ89" s="1734"/>
      <c r="AK89" s="1734"/>
      <c r="AL89" s="1734"/>
      <c r="AZ89" s="1712"/>
      <c r="BA89" s="1783"/>
      <c r="BB89" s="1783"/>
      <c r="BC89" s="1691"/>
      <c r="BE89" s="1750"/>
    </row>
    <row r="90" hidden="1" customHeight="1" spans="1:58">
      <c r="A90" s="1708" t="s">
        <v>61</v>
      </c>
      <c r="O90" s="1715"/>
      <c r="P90" s="1246">
        <f t="shared" ref="P90:X90" si="201">P89/O89-1</f>
        <v>-0.0348999534667287</v>
      </c>
      <c r="Q90" s="1246">
        <f t="shared" si="201"/>
        <v>0.156219864995178</v>
      </c>
      <c r="R90" s="1246">
        <f t="shared" si="201"/>
        <v>0.111175979983319</v>
      </c>
      <c r="S90" s="1246">
        <f t="shared" si="201"/>
        <v>0.117090745327629</v>
      </c>
      <c r="T90" s="1246">
        <f t="shared" si="201"/>
        <v>-0.0455553315863737</v>
      </c>
      <c r="U90" s="1246">
        <f t="shared" si="201"/>
        <v>0.0231608588525167</v>
      </c>
      <c r="V90" s="1246">
        <f t="shared" si="201"/>
        <v>0.163822760423834</v>
      </c>
      <c r="W90" s="1246">
        <f t="shared" si="201"/>
        <v>0.140407921962755</v>
      </c>
      <c r="X90" s="1246">
        <f t="shared" si="201"/>
        <v>0.0999481596682219</v>
      </c>
      <c r="Y90" s="1246">
        <f t="shared" ref="Y90:AA90" si="202">Y89/X89-1</f>
        <v>0.0328494674333115</v>
      </c>
      <c r="Z90" s="1246">
        <f t="shared" si="202"/>
        <v>0.0787588409764999</v>
      </c>
      <c r="AA90" s="1246">
        <f t="shared" si="202"/>
        <v>-0.160610803265513</v>
      </c>
      <c r="AB90" s="1246"/>
      <c r="AC90" s="1246"/>
      <c r="AD90" s="1246"/>
      <c r="AE90" s="1246"/>
      <c r="AF90" s="1717"/>
      <c r="AG90" s="1246"/>
      <c r="AH90" s="1246"/>
      <c r="AI90" s="1246"/>
      <c r="AJ90" s="1246"/>
      <c r="AK90" s="1246"/>
      <c r="AL90" s="1246"/>
      <c r="AZ90" s="1783"/>
      <c r="BA90" s="1783"/>
      <c r="BB90" s="1783"/>
      <c r="BC90" s="1691"/>
      <c r="BE90" s="1750"/>
    </row>
    <row r="91" hidden="1" customHeight="1" spans="1:58">
      <c r="A91" s="1708" t="s">
        <v>72</v>
      </c>
      <c r="O91" s="1715"/>
      <c r="P91" s="1715"/>
      <c r="Q91" s="1688">
        <f t="shared" ref="Q91:AA91" si="203">SUM(Q87,Q85,Q83,Q81,Q77,Q74,Q71,-Q89)</f>
        <v>0</v>
      </c>
      <c r="R91" s="1688">
        <f t="shared" si="203"/>
        <v>21</v>
      </c>
      <c r="S91" s="1688">
        <f t="shared" si="203"/>
        <v>-54</v>
      </c>
      <c r="T91" s="1688">
        <f t="shared" si="203"/>
        <v>361</v>
      </c>
      <c r="U91" s="1688">
        <f t="shared" si="203"/>
        <v>36</v>
      </c>
      <c r="V91" s="1688">
        <f t="shared" si="203"/>
        <v>-19.9799999999996</v>
      </c>
      <c r="W91" s="1688">
        <f t="shared" si="203"/>
        <v>76.4213999999993</v>
      </c>
      <c r="X91" s="1688">
        <f t="shared" si="203"/>
        <v>-423.763601999999</v>
      </c>
      <c r="Y91" s="1688">
        <f t="shared" si="203"/>
        <v>-215.01676414</v>
      </c>
      <c r="Z91" s="1688">
        <f t="shared" si="203"/>
        <v>98.824366870198</v>
      </c>
      <c r="AA91" s="1688">
        <f t="shared" si="203"/>
        <v>735.457492276117</v>
      </c>
      <c r="AZ91" s="1783"/>
      <c r="BA91" s="1783"/>
      <c r="BB91" s="1783"/>
      <c r="BC91" s="1691"/>
      <c r="BE91" s="1750"/>
    </row>
    <row r="92" customHeight="1" spans="1:58">
      <c r="W92" s="1816"/>
      <c r="AZ92" s="1690"/>
      <c r="BA92" s="1690"/>
      <c r="BB92" s="1690"/>
      <c r="BC92" s="1691"/>
    </row>
    <row r="93" customHeight="1" spans="1:58">
      <c r="A93" s="1697" t="s">
        <v>95</v>
      </c>
      <c r="B93" s="1701"/>
      <c r="C93" s="1701"/>
      <c r="D93" s="1701"/>
      <c r="E93" s="1701"/>
      <c r="F93" s="1701"/>
      <c r="G93" s="1701"/>
      <c r="H93" s="1701"/>
      <c r="I93" s="1701"/>
      <c r="J93" s="1701"/>
      <c r="K93" s="1701"/>
      <c r="L93" s="1694"/>
      <c r="M93" s="1694"/>
      <c r="N93" s="1694"/>
      <c r="O93" s="1694"/>
      <c r="P93" s="1694"/>
      <c r="Q93" s="1694"/>
      <c r="R93" s="1694"/>
      <c r="S93" s="1694"/>
      <c r="T93" s="1694"/>
      <c r="U93" s="1694"/>
      <c r="V93" s="1694"/>
      <c r="W93" s="1694"/>
      <c r="X93" s="1694"/>
      <c r="Y93" s="1694"/>
      <c r="Z93" s="1694"/>
      <c r="AA93" s="1694"/>
      <c r="AB93" s="1694"/>
      <c r="AC93" s="1694"/>
      <c r="AD93" s="1694"/>
      <c r="AE93" s="1694"/>
      <c r="AF93" s="1695"/>
      <c r="AG93" s="1694"/>
      <c r="AH93" s="1694"/>
      <c r="AI93" s="1694"/>
      <c r="AJ93" s="1694"/>
      <c r="AK93" s="1694"/>
      <c r="AL93" s="1694"/>
      <c r="AM93" s="1694"/>
      <c r="AN93" s="1694"/>
      <c r="AO93" s="1694"/>
      <c r="AP93" s="1694"/>
      <c r="AQ93" s="1694"/>
      <c r="AR93" s="1694"/>
      <c r="AS93" s="1694"/>
      <c r="AZ93" s="1785"/>
      <c r="BA93" s="1785"/>
      <c r="BB93" s="1785"/>
      <c r="BC93" s="1691"/>
      <c r="BE93" s="1678"/>
    </row>
    <row r="94" customHeight="1" spans="1:58">
      <c r="G94" s="1851">
        <f>5.5/100</f>
        <v>0.055</v>
      </c>
      <c r="H94" s="1851">
        <f>4.6/100</f>
        <v>0.046</v>
      </c>
      <c r="I94" s="1851">
        <f>3.5/100</f>
        <v>0.035</v>
      </c>
      <c r="J94" s="1851">
        <f>2.9/100</f>
        <v>0.029</v>
      </c>
      <c r="K94" s="1851">
        <f>4/100</f>
        <v>0.04</v>
      </c>
      <c r="L94" s="1679">
        <f>3.7/100</f>
        <v>0.037</v>
      </c>
      <c r="M94" s="1679">
        <f>5.4/100</f>
        <v>0.054</v>
      </c>
      <c r="N94" s="1679">
        <f>5.6/100</f>
        <v>0.056</v>
      </c>
      <c r="O94" s="1679">
        <f>2.4/100</f>
        <v>0.024</v>
      </c>
      <c r="P94" s="1679">
        <f>-3.5/100</f>
        <v>-0.035</v>
      </c>
      <c r="Q94" s="1679">
        <f>2.7/100</f>
        <v>0.027</v>
      </c>
      <c r="R94" s="1679">
        <f>2.7/100</f>
        <v>0.027</v>
      </c>
      <c r="S94" s="1679">
        <f>0.4/100</f>
        <v>0.004</v>
      </c>
      <c r="T94" s="1679">
        <f>1/100</f>
        <v>0.01</v>
      </c>
      <c r="U94" s="1679">
        <f>1.8/100</f>
        <v>0.018</v>
      </c>
      <c r="V94" s="1679">
        <f>2.8/100</f>
        <v>0.028</v>
      </c>
      <c r="W94" s="1679"/>
      <c r="AZ94" s="1690"/>
      <c r="BA94" s="1690"/>
      <c r="BB94" s="1690"/>
      <c r="BC94" s="1691"/>
    </row>
    <row r="95" customHeight="1" spans="1:58">
      <c r="A95" s="1852" t="s">
        <v>96</v>
      </c>
      <c r="B95" s="1853"/>
      <c r="C95" s="1853"/>
      <c r="D95" s="1853"/>
      <c r="E95" s="1853"/>
      <c r="F95" s="1853"/>
      <c r="G95" s="1853"/>
      <c r="H95" s="1853"/>
      <c r="I95" s="1853"/>
      <c r="J95" s="1853"/>
      <c r="K95" s="1853"/>
      <c r="L95" s="1854"/>
      <c r="M95" s="1854"/>
      <c r="N95" s="1854"/>
      <c r="O95" s="1854"/>
      <c r="P95" s="1010"/>
      <c r="Q95" s="1010"/>
      <c r="R95" s="1854"/>
      <c r="S95" s="1010"/>
      <c r="T95" s="1010"/>
      <c r="U95" s="1010"/>
      <c r="V95" s="1010"/>
      <c r="W95" s="1855"/>
      <c r="X95" s="1855"/>
      <c r="Y95" s="1855"/>
      <c r="Z95" s="1855"/>
      <c r="AA95" s="1855"/>
      <c r="AB95" s="1855"/>
      <c r="AC95" s="1855"/>
      <c r="AD95" s="1855"/>
      <c r="AE95" s="1855"/>
      <c r="AF95" s="1856"/>
      <c r="AG95" s="1855"/>
      <c r="AH95" s="1855"/>
      <c r="AI95" s="1855"/>
      <c r="AJ95" s="1855"/>
      <c r="AK95" s="1855"/>
      <c r="AL95" s="1855"/>
      <c r="AM95" s="1857"/>
      <c r="AZ95" s="1690"/>
      <c r="BA95" s="1690"/>
      <c r="BB95" s="1690"/>
      <c r="BC95" s="1691"/>
    </row>
    <row r="96" customHeight="1" spans="1:58">
      <c r="A96" s="1852" t="s">
        <v>97</v>
      </c>
      <c r="B96" s="1853"/>
      <c r="C96" s="1853"/>
      <c r="D96" s="1853"/>
      <c r="E96" s="1853"/>
      <c r="F96" s="1853"/>
      <c r="G96" s="1853"/>
      <c r="H96" s="1853"/>
      <c r="I96" s="1853"/>
      <c r="J96" s="1853"/>
      <c r="K96" s="1853"/>
      <c r="L96" s="1854"/>
      <c r="M96" s="1854"/>
      <c r="N96" s="1854"/>
      <c r="O96" s="1854"/>
      <c r="P96" s="1010"/>
      <c r="Q96" s="1010"/>
      <c r="R96" s="1854"/>
      <c r="S96" s="1010" t="str">
        <f>S49</f>
        <v>FY 12E</v>
      </c>
      <c r="T96" s="1010" t="str">
        <f t="shared" ref="T96:AB96" si="204">T49</f>
        <v>FY 13E</v>
      </c>
      <c r="U96" s="1010" t="str">
        <f t="shared" si="204"/>
        <v>FY 14E</v>
      </c>
      <c r="V96" s="1010" t="str">
        <f t="shared" si="204"/>
        <v>FY 15</v>
      </c>
      <c r="W96" s="1010" t="str">
        <f t="shared" si="204"/>
        <v>FY 16</v>
      </c>
      <c r="X96" s="1010" t="str">
        <f t="shared" si="204"/>
        <v>FY 17</v>
      </c>
      <c r="Y96" s="1010" t="str">
        <f t="shared" si="204"/>
        <v>FY 18</v>
      </c>
      <c r="Z96" s="1010" t="str">
        <f t="shared" si="204"/>
        <v>FY 19</v>
      </c>
      <c r="AA96" s="1010" t="str">
        <f t="shared" si="204"/>
        <v>FY 20</v>
      </c>
      <c r="AB96" s="1010" t="str">
        <f t="shared" si="204"/>
        <v>FY 21</v>
      </c>
      <c r="AC96" s="1010" t="str">
        <f t="shared" ref="AC96" si="205">AC49</f>
        <v>FY 22</v>
      </c>
      <c r="AD96" s="1010" t="str">
        <f t="shared" ref="AD96" si="206">AD49</f>
        <v>FY 23</v>
      </c>
      <c r="AE96" s="1010" t="str">
        <f t="shared" ref="AE96:AF96" si="207">AE49</f>
        <v>FY 24</v>
      </c>
      <c r="AF96" s="1858" t="str">
        <f t="shared" si="207"/>
        <v>FY 25</v>
      </c>
      <c r="AG96" s="1010" t="str">
        <f t="shared" ref="AG96:AH96" si="208">AG49</f>
        <v>FY 26E</v>
      </c>
      <c r="AH96" s="1010" t="str">
        <f t="shared" si="208"/>
        <v>FY 27E</v>
      </c>
      <c r="AI96" s="1010" t="str">
        <f t="shared" ref="AI96:AJ96" si="209">AI49</f>
        <v>FY 28E</v>
      </c>
      <c r="AJ96" s="1010" t="str">
        <f t="shared" si="209"/>
        <v>FY 29E</v>
      </c>
      <c r="AK96" s="1010" t="str">
        <f t="shared" ref="AK96" si="210">AK49</f>
        <v>FY 30E</v>
      </c>
      <c r="AL96" s="1010"/>
      <c r="AM96" s="1857"/>
      <c r="AO96" s="1696"/>
      <c r="AZ96" s="1690"/>
      <c r="BA96" s="1690"/>
      <c r="BB96" s="1690"/>
      <c r="BC96" s="1691"/>
    </row>
    <row r="97" customHeight="1" spans="1:55">
      <c r="A97" s="969" t="s">
        <v>98</v>
      </c>
      <c r="L97" s="1246"/>
      <c r="M97" s="1246"/>
      <c r="N97" s="1246"/>
      <c r="O97" s="1246"/>
      <c r="P97" s="1859"/>
      <c r="Q97" s="1859"/>
      <c r="R97" s="1246"/>
      <c r="S97" s="1859"/>
      <c r="T97" s="1859"/>
      <c r="U97" s="1833">
        <f>Interim!FE169</f>
        <v>3793</v>
      </c>
      <c r="V97" s="1833">
        <f>Interim!FM169</f>
        <v>4539</v>
      </c>
      <c r="W97" s="1772">
        <f>Interim!FU169</f>
        <v>5291</v>
      </c>
      <c r="X97" s="1772">
        <f>Interim!GC169</f>
        <v>5883</v>
      </c>
      <c r="Y97" s="1772">
        <f>Interim!GK169</f>
        <v>5884</v>
      </c>
      <c r="Z97" s="1772">
        <f>Interim!GS169</f>
        <v>6071.42</v>
      </c>
      <c r="AA97" s="1772">
        <f>Interim!HA169</f>
        <v>5320</v>
      </c>
      <c r="AB97" s="1772">
        <f>Interim!HI169</f>
        <v>7760</v>
      </c>
      <c r="AC97" s="1772">
        <f>Interim!HQ169</f>
        <v>8550</v>
      </c>
      <c r="AD97" s="1772">
        <f>Interim!HY169</f>
        <v>6114.5</v>
      </c>
      <c r="AE97" s="1772">
        <f>Interim!IG169</f>
        <v>7389.004</v>
      </c>
      <c r="AF97" s="1820">
        <f>Interim!IO169</f>
        <v>8136</v>
      </c>
      <c r="AG97" s="1772">
        <f>Interim!IW169</f>
        <v>8563.68</v>
      </c>
      <c r="AH97" s="1772">
        <f>AG97*(1+AH98)</f>
        <v>9001.29372587656</v>
      </c>
      <c r="AI97" s="1772">
        <f>AH97*(1+AI98)</f>
        <v>9451.35841217039</v>
      </c>
      <c r="AJ97" s="1772">
        <f>AI97*(1+AJ98)</f>
        <v>9923.92633277891</v>
      </c>
      <c r="AK97" s="1772">
        <f>AJ97*(1+AK98)</f>
        <v>10420.1226494179</v>
      </c>
      <c r="AL97" s="1772"/>
      <c r="AM97" s="1857"/>
      <c r="AQ97" s="1246"/>
      <c r="AR97" s="1736"/>
      <c r="AZ97" s="1690"/>
      <c r="BA97" s="1690"/>
      <c r="BB97" s="1690"/>
      <c r="BC97" s="1691"/>
    </row>
    <row r="98" customHeight="1" spans="1:55">
      <c r="A98" s="1708" t="s">
        <v>61</v>
      </c>
      <c r="L98" s="1246"/>
      <c r="M98" s="1246"/>
      <c r="N98" s="1246"/>
      <c r="O98" s="1246"/>
      <c r="P98" s="1859"/>
      <c r="Q98" s="1859"/>
      <c r="R98" s="1246"/>
      <c r="S98" s="1859"/>
      <c r="T98" s="1859"/>
      <c r="U98" s="1716"/>
      <c r="V98" s="1716">
        <f>V97/U97-1</f>
        <v>0.19667809122067</v>
      </c>
      <c r="W98" s="1246">
        <f>W97/V97-1</f>
        <v>0.165675258867592</v>
      </c>
      <c r="X98" s="1246">
        <f>X97/W97-1</f>
        <v>0.111888111888112</v>
      </c>
      <c r="Y98" s="1246">
        <f>Interim!GK170</f>
        <v>0.00016998130205681</v>
      </c>
      <c r="Z98" s="1246">
        <f>Interim!GS170</f>
        <v>0.0318524813052343</v>
      </c>
      <c r="AA98" s="1246">
        <f>Interim!HA170</f>
        <v>-0.123763468842544</v>
      </c>
      <c r="AB98" s="1246">
        <f>Interim!HI170</f>
        <v>0.230183893468611</v>
      </c>
      <c r="AC98" s="1246">
        <f>Interim!HQ170</f>
        <v>0.10180412371134</v>
      </c>
      <c r="AD98" s="1246">
        <f>Interim!HY170</f>
        <v>-0.0574269005847953</v>
      </c>
      <c r="AE98" s="1246">
        <f>Interim!IG170</f>
        <v>0.208439610761305</v>
      </c>
      <c r="AF98" s="1717">
        <f>Interim!IO170</f>
        <v>0.101095628044051</v>
      </c>
      <c r="AG98" s="1246">
        <f>Interim!IW170</f>
        <v>0.0525663716814162</v>
      </c>
      <c r="AH98" s="1246">
        <f>AH100+AH99</f>
        <v>0.0511011301072153</v>
      </c>
      <c r="AI98" s="1246">
        <f>AI100+AI99</f>
        <v>0.05</v>
      </c>
      <c r="AJ98" s="1246">
        <f>AJ100+AJ99</f>
        <v>0.05</v>
      </c>
      <c r="AK98" s="1246">
        <f>AK100+AK99</f>
        <v>0.05</v>
      </c>
      <c r="AL98" s="1246"/>
      <c r="AM98" s="1857"/>
      <c r="AQ98" s="1246"/>
      <c r="AR98" s="1246"/>
      <c r="AZ98" s="1690"/>
      <c r="BA98" s="1690"/>
      <c r="BB98" s="1690"/>
      <c r="BC98" s="1691"/>
    </row>
    <row r="99" customHeight="1" spans="1:55">
      <c r="A99" s="1708" t="s">
        <v>99</v>
      </c>
      <c r="L99" s="1246"/>
      <c r="M99" s="1246"/>
      <c r="N99" s="1246"/>
      <c r="O99" s="1246"/>
      <c r="P99" s="1859"/>
      <c r="Q99" s="1859"/>
      <c r="R99" s="1246"/>
      <c r="S99" s="1859"/>
      <c r="T99" s="1859"/>
      <c r="U99" s="1716"/>
      <c r="V99" s="1716">
        <f>V98-V100</f>
        <v>0.0228977063010809</v>
      </c>
      <c r="W99" s="1246">
        <f>W98-W100</f>
        <v>-0.030908790482485</v>
      </c>
      <c r="X99" s="1246">
        <f>X98-X100</f>
        <v>-0.0156000257824231</v>
      </c>
      <c r="Y99" s="1246">
        <f>Interim!GK171</f>
        <v>0.00436947251780765</v>
      </c>
      <c r="Z99" s="1246">
        <f>Interim!GS171</f>
        <v>0.0012890890550646</v>
      </c>
      <c r="AA99" s="1246">
        <f>Interim!HA171</f>
        <v>-0.00513935125555469</v>
      </c>
      <c r="AB99" s="1246">
        <f>Interim!HI171</f>
        <v>-0.00836255548509829</v>
      </c>
      <c r="AC99" s="1246">
        <f>Interim!HQ171</f>
        <v>0.0140211340206187</v>
      </c>
      <c r="AD99" s="1246">
        <f>Interim!HY171</f>
        <v>-0.0191605847953216</v>
      </c>
      <c r="AE99" s="1246">
        <f>Interim!IG171</f>
        <v>0.00690195437075805</v>
      </c>
      <c r="AF99" s="1717">
        <f>Interim!IO171</f>
        <v>-0.00252799294735759</v>
      </c>
      <c r="AG99" s="1246">
        <f>Interim!IW171</f>
        <v>-0.00186332350049159</v>
      </c>
      <c r="AH99" s="1246">
        <f>20%*AH457</f>
        <v>0.00110113010721531</v>
      </c>
      <c r="AI99" s="1246">
        <f>20%*AI457</f>
        <v>0</v>
      </c>
      <c r="AJ99" s="1246">
        <f>20%*AJ457</f>
        <v>0</v>
      </c>
      <c r="AK99" s="1246">
        <f>20%*AK457</f>
        <v>0</v>
      </c>
      <c r="AL99" s="1246"/>
      <c r="AM99" s="1860"/>
      <c r="AQ99" s="1246"/>
      <c r="AZ99" s="1690"/>
      <c r="BA99" s="1690"/>
      <c r="BB99" s="1690"/>
      <c r="BC99" s="1691"/>
    </row>
    <row r="100" customHeight="1" spans="1:55">
      <c r="A100" s="1708" t="s">
        <v>100</v>
      </c>
      <c r="L100" s="1246"/>
      <c r="M100" s="1246"/>
      <c r="N100" s="1246"/>
      <c r="O100" s="1246"/>
      <c r="P100" s="1859"/>
      <c r="Q100" s="1859"/>
      <c r="R100" s="1246"/>
      <c r="S100" s="1859"/>
      <c r="T100" s="1859"/>
      <c r="U100" s="1716"/>
      <c r="V100" s="1716">
        <f>Interim!FM172</f>
        <v>0.173780384919589</v>
      </c>
      <c r="W100" s="1246">
        <f>Interim!FU172</f>
        <v>0.196584049350077</v>
      </c>
      <c r="X100" s="1246">
        <f>Interim!GC172</f>
        <v>0.127488137670535</v>
      </c>
      <c r="Y100" s="1246">
        <f>Interim!GK172</f>
        <v>-0.00419949121575084</v>
      </c>
      <c r="Z100" s="1246">
        <f>Interim!GS172</f>
        <v>0.0305633922501697</v>
      </c>
      <c r="AA100" s="1246">
        <f>Interim!HA172</f>
        <v>-0.118624117586989</v>
      </c>
      <c r="AB100" s="1246">
        <f>Interim!HI172</f>
        <v>0.23854644895371</v>
      </c>
      <c r="AC100" s="1246">
        <f>Interim!HQ172</f>
        <v>0.0877829896907216</v>
      </c>
      <c r="AD100" s="1246">
        <f>Interim!HY172</f>
        <v>-0.0382663157894737</v>
      </c>
      <c r="AE100" s="1246">
        <f>Interim!IG172</f>
        <v>0.201537656390547</v>
      </c>
      <c r="AF100" s="1717">
        <f>Interim!IO172</f>
        <v>0.103623620991408</v>
      </c>
      <c r="AG100" s="1246">
        <f>Interim!IW172</f>
        <v>0.0544296951819078</v>
      </c>
      <c r="AH100" s="1861">
        <v>0.05</v>
      </c>
      <c r="AI100" s="1861">
        <v>0.05</v>
      </c>
      <c r="AJ100" s="1861">
        <v>0.05</v>
      </c>
      <c r="AK100" s="1861">
        <v>0.05</v>
      </c>
      <c r="AL100" s="1861"/>
      <c r="AM100" s="1857"/>
      <c r="AN100" s="1862"/>
      <c r="AO100" s="1714"/>
      <c r="AZ100" s="1690"/>
      <c r="BA100" s="1690"/>
      <c r="BB100" s="1690"/>
      <c r="BC100" s="1691"/>
    </row>
    <row r="101" customHeight="1" spans="1:55">
      <c r="A101" s="1708" t="s">
        <v>66</v>
      </c>
      <c r="L101" s="1246"/>
      <c r="M101" s="1246"/>
      <c r="N101" s="1246"/>
      <c r="O101" s="1246"/>
      <c r="P101" s="1859"/>
      <c r="Q101" s="1859"/>
      <c r="R101" s="1246"/>
      <c r="S101" s="1859"/>
      <c r="T101" s="1859"/>
      <c r="U101" s="1716">
        <f t="shared" ref="U101:Z101" si="211">U97/U$143</f>
        <v>0.260992224592307</v>
      </c>
      <c r="V101" s="1716">
        <f t="shared" si="211"/>
        <v>0.268341708542714</v>
      </c>
      <c r="W101" s="1246">
        <f t="shared" si="211"/>
        <v>0.274287195438051</v>
      </c>
      <c r="X101" s="1246">
        <f t="shared" si="211"/>
        <v>0.277264586671694</v>
      </c>
      <c r="Y101" s="1246">
        <f t="shared" si="211"/>
        <v>0.268491900524755</v>
      </c>
      <c r="Z101" s="1246">
        <f t="shared" si="211"/>
        <v>0.256817393511273</v>
      </c>
      <c r="AA101" s="1246">
        <f t="shared" ref="AA101:AB101" si="212">AA97/AA$143</f>
        <v>0.268091110663173</v>
      </c>
      <c r="AB101" s="1246">
        <f t="shared" si="212"/>
        <v>0.365451634171612</v>
      </c>
      <c r="AC101" s="1246">
        <f t="shared" ref="AC101:AD101" si="213">AC97/AC$143</f>
        <v>0.379814313002532</v>
      </c>
      <c r="AD101" s="1246">
        <f t="shared" si="213"/>
        <v>0.295700744752877</v>
      </c>
      <c r="AE101" s="1246">
        <f t="shared" ref="AE101:AJ101" si="214">AE97/AE$143</f>
        <v>0.320800764121044</v>
      </c>
      <c r="AF101" s="1717">
        <f t="shared" si="214"/>
        <v>0.327919068155254</v>
      </c>
      <c r="AG101" s="1246">
        <f t="shared" ref="AG101" si="215">AG97/AG$143</f>
        <v>0.315619420204489</v>
      </c>
      <c r="AH101" s="1246">
        <f t="shared" si="214"/>
        <v>0.308436178237081</v>
      </c>
      <c r="AI101" s="1246">
        <f t="shared" si="214"/>
        <v>0.303314984103031</v>
      </c>
      <c r="AJ101" s="1246">
        <f t="shared" si="214"/>
        <v>0.300572237977687</v>
      </c>
      <c r="AK101" s="1246">
        <f t="shared" ref="AK101" si="216">AK97/AK$143</f>
        <v>0.297833876625602</v>
      </c>
      <c r="AL101" s="1246"/>
      <c r="AM101" s="1863"/>
      <c r="AN101" s="1864"/>
      <c r="AZ101" s="1690"/>
      <c r="BA101" s="1690"/>
      <c r="BB101" s="1690"/>
      <c r="BC101" s="1691"/>
    </row>
    <row r="102" customHeight="1" spans="1:55">
      <c r="A102" s="1678" t="s">
        <v>101</v>
      </c>
      <c r="L102" s="1246"/>
      <c r="M102" s="1246"/>
      <c r="N102" s="1246"/>
      <c r="O102" s="1246"/>
      <c r="P102" s="1859"/>
      <c r="Q102" s="1859"/>
      <c r="R102" s="1246"/>
      <c r="S102" s="1859"/>
      <c r="T102" s="1859"/>
      <c r="U102" s="1833">
        <f>Interim!FE174</f>
        <v>2217</v>
      </c>
      <c r="V102" s="1833">
        <f>Interim!FM174</f>
        <v>2754</v>
      </c>
      <c r="W102" s="1772">
        <f>Interim!FU174</f>
        <v>3412</v>
      </c>
      <c r="X102" s="1772">
        <f>Interim!GC174</f>
        <v>4275</v>
      </c>
      <c r="Y102" s="1772">
        <f>Interim!GK174</f>
        <v>4688</v>
      </c>
      <c r="Z102" s="1772">
        <f>Interim!GS174</f>
        <v>5313</v>
      </c>
      <c r="AA102" s="1772">
        <f>Interim!HA174</f>
        <v>4762</v>
      </c>
      <c r="AB102" s="1772">
        <f>Interim!HI174</f>
        <v>5105</v>
      </c>
      <c r="AC102" s="1772">
        <f>Interim!HQ174</f>
        <v>6398</v>
      </c>
      <c r="AD102" s="1772">
        <f>Interim!HY174</f>
        <v>4844</v>
      </c>
      <c r="AE102" s="1772">
        <f>Interim!IG174</f>
        <v>4927.017</v>
      </c>
      <c r="AF102" s="1820">
        <f>Interim!IO174</f>
        <v>5087</v>
      </c>
      <c r="AG102" s="1772">
        <f>Interim!IW174</f>
        <v>5551.73336590442</v>
      </c>
      <c r="AH102" s="1772">
        <f>AG102*(1+AH103)</f>
        <v>5992.35004137101</v>
      </c>
      <c r="AI102" s="1772">
        <f>AH102*(1+AI103)</f>
        <v>6411.81454426698</v>
      </c>
      <c r="AJ102" s="1772">
        <f>AI102*(1+AJ103)</f>
        <v>6796.523416923</v>
      </c>
      <c r="AK102" s="1772">
        <f>AJ102*(1+AK103)</f>
        <v>7204.31482193838</v>
      </c>
      <c r="AL102" s="1772"/>
      <c r="AM102" s="1857"/>
      <c r="AN102" s="1864"/>
      <c r="AO102" s="1246"/>
      <c r="AQ102" s="1715"/>
      <c r="AZ102" s="1690"/>
      <c r="BA102" s="1690"/>
      <c r="BB102" s="1690"/>
      <c r="BC102" s="1691"/>
    </row>
    <row r="103" customHeight="1" spans="1:55">
      <c r="A103" s="1708" t="s">
        <v>61</v>
      </c>
      <c r="L103" s="1246"/>
      <c r="M103" s="1246"/>
      <c r="N103" s="1246"/>
      <c r="O103" s="1246"/>
      <c r="P103" s="1859"/>
      <c r="Q103" s="1859"/>
      <c r="R103" s="1246"/>
      <c r="S103" s="1859"/>
      <c r="T103" s="1859"/>
      <c r="U103" s="1716"/>
      <c r="V103" s="1716">
        <f>V102/U102-1</f>
        <v>0.242219215155616</v>
      </c>
      <c r="W103" s="1246">
        <f>W102/V102-1</f>
        <v>0.238925199709513</v>
      </c>
      <c r="X103" s="1246">
        <f>X102/W102-1</f>
        <v>0.252930832356389</v>
      </c>
      <c r="Y103" s="1246">
        <f>Interim!GK175</f>
        <v>0.096608187134503</v>
      </c>
      <c r="Z103" s="1246">
        <f>Interim!GS175</f>
        <v>0.133319112627986</v>
      </c>
      <c r="AA103" s="1246">
        <f>Interim!HA175</f>
        <v>-0.103707886316582</v>
      </c>
      <c r="AB103" s="1246">
        <f>Interim!HI175</f>
        <v>0.129674706793539</v>
      </c>
      <c r="AC103" s="1246">
        <f>Interim!HQ175</f>
        <v>0.253281096963761</v>
      </c>
      <c r="AD103" s="1246">
        <f>Interim!HY175</f>
        <v>-0.24288840262582</v>
      </c>
      <c r="AE103" s="1246">
        <f>Interim!IG175</f>
        <v>0.0171381090008258</v>
      </c>
      <c r="AF103" s="1717">
        <f>Interim!IO175</f>
        <v>0.0324705597727786</v>
      </c>
      <c r="AG103" s="1246">
        <f>Interim!IW175</f>
        <v>0.0913570603311229</v>
      </c>
      <c r="AH103" s="1246">
        <f>AH105+AH104</f>
        <v>0.079365604654684</v>
      </c>
      <c r="AI103" s="1246">
        <f>AI105+AI104</f>
        <v>0.07</v>
      </c>
      <c r="AJ103" s="1246">
        <f>AJ105+AJ104</f>
        <v>0.06</v>
      </c>
      <c r="AK103" s="1246">
        <f>AK105+AK104</f>
        <v>0.06</v>
      </c>
      <c r="AL103" s="1246"/>
      <c r="AM103" s="1863"/>
      <c r="AN103" s="1864"/>
      <c r="AZ103" s="1690"/>
      <c r="BA103" s="1690"/>
      <c r="BB103" s="1690"/>
      <c r="BC103" s="1691"/>
    </row>
    <row r="104" customHeight="1" spans="1:55">
      <c r="A104" s="1708" t="s">
        <v>99</v>
      </c>
      <c r="L104" s="1246"/>
      <c r="M104" s="1246"/>
      <c r="N104" s="1246"/>
      <c r="O104" s="1246"/>
      <c r="P104" s="1859"/>
      <c r="Q104" s="1859"/>
      <c r="R104" s="1246"/>
      <c r="S104" s="1859"/>
      <c r="T104" s="1859"/>
      <c r="U104" s="1716"/>
      <c r="V104" s="1716">
        <f>V103-V105</f>
        <v>0.188811456923771</v>
      </c>
      <c r="W104" s="1246">
        <f>W103-W105</f>
        <v>-0.00164996368917938</v>
      </c>
      <c r="X104" s="1246">
        <f>X103-X105</f>
        <v>-0.0216562133645955</v>
      </c>
      <c r="Y104" s="1246">
        <f>Interim!GK176</f>
        <v>-0.0559798830409355</v>
      </c>
      <c r="Z104" s="1246">
        <f>Interim!GS176</f>
        <v>0.0582226962457339</v>
      </c>
      <c r="AA104" s="1246">
        <f>Interim!HA176</f>
        <v>-0.0181450705546077</v>
      </c>
      <c r="AB104" s="1246">
        <f>Interim!HI176</f>
        <v>-0.0453190971453858</v>
      </c>
      <c r="AC104" s="1246">
        <f>Interim!HQ176</f>
        <v>0.134475808031342</v>
      </c>
      <c r="AD104" s="1246">
        <f>Interim!HY176</f>
        <v>-0.0396827133479211</v>
      </c>
      <c r="AE104" s="1246">
        <f>Interim!IG176</f>
        <v>-0.00100227085053671</v>
      </c>
      <c r="AF104" s="1717">
        <f>Interim!IO176</f>
        <v>-0.0618379335813138</v>
      </c>
      <c r="AG104" s="1246">
        <f>Interim!IW176</f>
        <v>-0.0239867109634553</v>
      </c>
      <c r="AH104" s="1246">
        <f>AH450</f>
        <v>0.00936560465468395</v>
      </c>
      <c r="AI104" s="1246">
        <f>AI450</f>
        <v>0</v>
      </c>
      <c r="AJ104" s="1246">
        <f>AJ450</f>
        <v>0</v>
      </c>
      <c r="AK104" s="1246">
        <f>AK450</f>
        <v>0</v>
      </c>
      <c r="AL104" s="1246"/>
      <c r="AM104" s="1857"/>
      <c r="AN104" s="1864"/>
      <c r="AZ104" s="1690"/>
      <c r="BA104" s="1690"/>
      <c r="BB104" s="1690"/>
      <c r="BC104" s="1691"/>
    </row>
    <row r="105" customHeight="1" spans="1:55">
      <c r="A105" s="1708" t="s">
        <v>100</v>
      </c>
      <c r="L105" s="1246"/>
      <c r="M105" s="1246"/>
      <c r="N105" s="1246"/>
      <c r="O105" s="1246"/>
      <c r="P105" s="1859"/>
      <c r="Q105" s="1859"/>
      <c r="R105" s="1246"/>
      <c r="S105" s="1859"/>
      <c r="T105" s="1859"/>
      <c r="U105" s="1865"/>
      <c r="V105" s="1865">
        <f>Interim!FM177</f>
        <v>0.0534077582318448</v>
      </c>
      <c r="W105" s="1246">
        <f>Interim!FU177</f>
        <v>0.240575163398693</v>
      </c>
      <c r="X105" s="1866">
        <f>Interim!GC177</f>
        <v>0.274587045720985</v>
      </c>
      <c r="Y105" s="1246">
        <f>Interim!GK177</f>
        <v>0.152588070175439</v>
      </c>
      <c r="Z105" s="1246">
        <f>Interim!GS177</f>
        <v>0.0750964163822525</v>
      </c>
      <c r="AA105" s="1246">
        <f>Interim!HA177</f>
        <v>-0.0855628157619744</v>
      </c>
      <c r="AB105" s="1246">
        <f>Interim!HI177</f>
        <v>0.174993803938924</v>
      </c>
      <c r="AC105" s="1246">
        <f>Interim!HQ177</f>
        <v>0.118805288932419</v>
      </c>
      <c r="AD105" s="1246">
        <f>Interim!HY177</f>
        <v>-0.203205689277899</v>
      </c>
      <c r="AE105" s="1246">
        <f>Interim!IG177</f>
        <v>0.0181403798513625</v>
      </c>
      <c r="AF105" s="1717">
        <f>Interim!IO177</f>
        <v>0.0943084933540924</v>
      </c>
      <c r="AG105" s="1246">
        <f>Interim!IW177</f>
        <v>0.115614310988795</v>
      </c>
      <c r="AH105" s="1867">
        <v>0.07</v>
      </c>
      <c r="AI105" s="1867">
        <v>0.07</v>
      </c>
      <c r="AJ105" s="1867">
        <v>0.06</v>
      </c>
      <c r="AK105" s="1867">
        <v>0.06</v>
      </c>
      <c r="AL105" s="1867"/>
      <c r="AM105" s="1857"/>
      <c r="AN105" s="1862"/>
      <c r="AO105" s="1714"/>
      <c r="AZ105" s="1690"/>
      <c r="BA105" s="1690"/>
      <c r="BB105" s="1690"/>
      <c r="BC105" s="1691"/>
    </row>
    <row r="106" customHeight="1" spans="1:55">
      <c r="A106" s="1708" t="s">
        <v>66</v>
      </c>
      <c r="L106" s="1246"/>
      <c r="M106" s="1246"/>
      <c r="N106" s="1246"/>
      <c r="O106" s="1246"/>
      <c r="P106" s="1859"/>
      <c r="Q106" s="1859"/>
      <c r="R106" s="1246"/>
      <c r="S106" s="1859"/>
      <c r="T106" s="1859"/>
      <c r="U106" s="1716">
        <f t="shared" ref="U106:Z106" si="217">U102/U$143</f>
        <v>0.152549370398404</v>
      </c>
      <c r="V106" s="1716">
        <f t="shared" si="217"/>
        <v>0.162814070351759</v>
      </c>
      <c r="W106" s="1246">
        <f t="shared" si="217"/>
        <v>0.176879212026957</v>
      </c>
      <c r="X106" s="1246">
        <f t="shared" si="217"/>
        <v>0.20147987557734</v>
      </c>
      <c r="Y106" s="1246">
        <f t="shared" si="217"/>
        <v>0.213917408167921</v>
      </c>
      <c r="Z106" s="1246">
        <f t="shared" si="217"/>
        <v>0.224736686265386</v>
      </c>
      <c r="AA106" s="1246">
        <f t="shared" ref="AA106" si="218">AA102/AA$143</f>
        <v>0.239971779883088</v>
      </c>
      <c r="AB106" s="1246">
        <f t="shared" ref="AB106:AG106" si="219">AB102/AB$143</f>
        <v>0.240416313459546</v>
      </c>
      <c r="AC106" s="1246">
        <f t="shared" si="219"/>
        <v>0.284216605215228</v>
      </c>
      <c r="AD106" s="1246">
        <f t="shared" ref="AD106" si="220">AD102/AD$143</f>
        <v>0.234258632362898</v>
      </c>
      <c r="AE106" s="1246">
        <f t="shared" si="219"/>
        <v>0.213911214344636</v>
      </c>
      <c r="AF106" s="1717">
        <f t="shared" si="219"/>
        <v>0.205030027004151</v>
      </c>
      <c r="AG106" s="1246">
        <f t="shared" si="219"/>
        <v>0.204612370625323</v>
      </c>
      <c r="AH106" s="1246">
        <f t="shared" ref="AH106" si="221">AH102/AH$143</f>
        <v>0.205332433504085</v>
      </c>
      <c r="AI106" s="1246">
        <f t="shared" ref="AI106:AJ106" si="222">AI102/AI$143</f>
        <v>0.205769302332417</v>
      </c>
      <c r="AJ106" s="1246">
        <f t="shared" si="222"/>
        <v>0.205850606442406</v>
      </c>
      <c r="AK106" s="1246">
        <f t="shared" ref="AK106" si="223">AK102/AK$143</f>
        <v>0.205917826885566</v>
      </c>
      <c r="AL106" s="1246"/>
      <c r="AM106" s="1863"/>
      <c r="AN106" s="1864"/>
      <c r="AZ106" s="1690"/>
      <c r="BA106" s="1690"/>
      <c r="BB106" s="1690"/>
      <c r="BC106" s="1691"/>
    </row>
    <row r="107" customHeight="1" spans="1:55">
      <c r="A107" s="1678" t="s">
        <v>102</v>
      </c>
      <c r="L107" s="1246"/>
      <c r="M107" s="1246"/>
      <c r="N107" s="1246"/>
      <c r="O107" s="1246"/>
      <c r="P107" s="1859"/>
      <c r="Q107" s="1859"/>
      <c r="R107" s="1246"/>
      <c r="S107" s="1859"/>
      <c r="T107" s="1859"/>
      <c r="U107" s="1833">
        <f>Interim!FE179</f>
        <v>1612</v>
      </c>
      <c r="V107" s="1833">
        <f>Interim!FM179</f>
        <v>1783</v>
      </c>
      <c r="W107" s="1772">
        <f>Interim!FU179</f>
        <v>1731</v>
      </c>
      <c r="X107" s="1772">
        <f>Interim!GC179</f>
        <v>1907</v>
      </c>
      <c r="Y107" s="1772">
        <f>Interim!GK179</f>
        <v>1633</v>
      </c>
      <c r="Z107" s="1772">
        <f>Interim!GS179</f>
        <v>1660</v>
      </c>
      <c r="AA107" s="1772">
        <f>Interim!HA179</f>
        <v>1158</v>
      </c>
      <c r="AB107" s="1772">
        <f>Interim!HI179</f>
        <v>1447</v>
      </c>
      <c r="AC107" s="1772">
        <f>Interim!HQ179</f>
        <v>2110</v>
      </c>
      <c r="AD107" s="1772">
        <f>Interim!HY179</f>
        <v>2291</v>
      </c>
      <c r="AE107" s="1772">
        <f>Interim!IG179</f>
        <v>2777.4195</v>
      </c>
      <c r="AF107" s="1820">
        <f>Interim!IO179</f>
        <v>2926</v>
      </c>
      <c r="AG107" s="1772">
        <f>Interim!IW179</f>
        <v>3515.33330033015</v>
      </c>
      <c r="AH107" s="1772">
        <f>AG107*(1+AH108)</f>
        <v>3820.94021871221</v>
      </c>
      <c r="AI107" s="1772">
        <f>AH107*(1+AI108)</f>
        <v>4126.61543620919</v>
      </c>
      <c r="AJ107" s="1772">
        <f>AI107*(1+AJ108)</f>
        <v>4415.47851674383</v>
      </c>
      <c r="AK107" s="1772">
        <f>AJ107*(1+AK108)</f>
        <v>4724.5620129159</v>
      </c>
      <c r="AL107" s="1772"/>
      <c r="AM107" s="1857"/>
      <c r="AN107" s="1864"/>
      <c r="AZ107" s="1690"/>
      <c r="BA107" s="1690"/>
      <c r="BB107" s="1690"/>
      <c r="BC107" s="1691"/>
    </row>
    <row r="108" customHeight="1" spans="1:55">
      <c r="A108" s="1708" t="s">
        <v>61</v>
      </c>
      <c r="L108" s="1246"/>
      <c r="M108" s="1246"/>
      <c r="N108" s="1246"/>
      <c r="O108" s="1246"/>
      <c r="P108" s="1859"/>
      <c r="Q108" s="1859"/>
      <c r="R108" s="1246"/>
      <c r="S108" s="1859"/>
      <c r="T108" s="1859"/>
      <c r="U108" s="1716"/>
      <c r="V108" s="1716">
        <f>V107/U107-1</f>
        <v>0.106079404466501</v>
      </c>
      <c r="W108" s="1246">
        <f>W107/V107-1</f>
        <v>-0.0291643297812675</v>
      </c>
      <c r="X108" s="1246">
        <f>X107/W107-1</f>
        <v>0.101675332177932</v>
      </c>
      <c r="Y108" s="1246">
        <f>Interim!GK180</f>
        <v>-0.143681174619822</v>
      </c>
      <c r="Z108" s="1246">
        <f>Interim!GS180</f>
        <v>0.0165339865278626</v>
      </c>
      <c r="AA108" s="1246">
        <f>Interim!HA180</f>
        <v>-0.302409638554217</v>
      </c>
      <c r="AB108" s="1246">
        <f>Interim!HI180</f>
        <v>0.398067632850242</v>
      </c>
      <c r="AC108" s="1246">
        <f>Interim!HQ180</f>
        <v>0.458189357290947</v>
      </c>
      <c r="AD108" s="1246">
        <f>Interim!HY180</f>
        <v>0.0857819905213271</v>
      </c>
      <c r="AE108" s="1246">
        <f>Interim!IG180</f>
        <v>0.21231754692274</v>
      </c>
      <c r="AF108" s="1717">
        <f>Interim!IO180</f>
        <v>0.0534958798985901</v>
      </c>
      <c r="AG108" s="1246">
        <f>Interim!IW180</f>
        <v>0.201412611185971</v>
      </c>
      <c r="AH108" s="1246">
        <f>AH110+AH109</f>
        <v>0.0869354033523253</v>
      </c>
      <c r="AI108" s="1246">
        <f>AI110+AI109</f>
        <v>0.08</v>
      </c>
      <c r="AJ108" s="1246">
        <f>AJ110+AJ109</f>
        <v>0.07</v>
      </c>
      <c r="AK108" s="1246">
        <f>AK110+AK109</f>
        <v>0.07</v>
      </c>
      <c r="AL108" s="1246"/>
      <c r="AN108" s="1864"/>
      <c r="AP108" s="1863"/>
      <c r="AZ108" s="1690"/>
      <c r="BA108" s="1690"/>
      <c r="BB108" s="1690"/>
      <c r="BC108" s="1691"/>
    </row>
    <row r="109" customHeight="1" spans="1:55">
      <c r="A109" s="1708" t="s">
        <v>99</v>
      </c>
      <c r="L109" s="1246"/>
      <c r="M109" s="1246"/>
      <c r="N109" s="1246"/>
      <c r="O109" s="1246"/>
      <c r="P109" s="1859"/>
      <c r="Q109" s="1859"/>
      <c r="R109" s="1246"/>
      <c r="S109" s="1859"/>
      <c r="T109" s="1859"/>
      <c r="U109" s="1716"/>
      <c r="V109" s="1716">
        <f>V108-V110</f>
        <v>-0.0144503722084368</v>
      </c>
      <c r="W109" s="1246">
        <f>W108-W110</f>
        <v>-0.188503645541223</v>
      </c>
      <c r="X109" s="1246">
        <f>X108-X110</f>
        <v>-0.023891969959561</v>
      </c>
      <c r="Y109" s="1246">
        <f>Interim!GK181</f>
        <v>-0.200200839014158</v>
      </c>
      <c r="Z109" s="1246">
        <f>Interim!GS181</f>
        <v>-0.0570780159216169</v>
      </c>
      <c r="AA109" s="1246">
        <f>Interim!HA181</f>
        <v>-0.141</v>
      </c>
      <c r="AB109" s="1246">
        <f>Interim!HI181</f>
        <v>-0.0553961352657005</v>
      </c>
      <c r="AC109" s="1246">
        <f>Interim!HQ181</f>
        <v>0.0203386316516936</v>
      </c>
      <c r="AD109" s="1246">
        <f>Interim!HY181</f>
        <v>-0.0800988120302092</v>
      </c>
      <c r="AE109" s="1246">
        <f>Interim!IG181</f>
        <v>-0.0681342208642522</v>
      </c>
      <c r="AF109" s="1717">
        <f>Interim!IO181</f>
        <v>-0.16421331563345</v>
      </c>
      <c r="AG109" s="1246">
        <f>Interim!IW181</f>
        <v>-0.0162507994467654</v>
      </c>
      <c r="AH109" s="1246">
        <f>15%*AH455+20%*AH458+15%*AH455+20%*AH459+30%*AH450</f>
        <v>0.0069354033523253</v>
      </c>
      <c r="AI109" s="1246">
        <f>15%*AI455+20%*AI458+15%*AI455+20%*AI459+30%*AI450</f>
        <v>0</v>
      </c>
      <c r="AJ109" s="1246">
        <f>15%*AJ455+20%*AJ458+15%*AJ455+20%*AJ459+30%*AJ450</f>
        <v>0</v>
      </c>
      <c r="AK109" s="1246">
        <f>15%*AK455+20%*AK458+15%*AK455+20%*AK459+30%*AK450</f>
        <v>0</v>
      </c>
      <c r="AL109" s="1246"/>
      <c r="AN109" s="1864"/>
      <c r="AP109" s="1857"/>
      <c r="AZ109" s="1690"/>
      <c r="BA109" s="1690"/>
      <c r="BB109" s="1690"/>
      <c r="BC109" s="1691"/>
    </row>
    <row r="110" customHeight="1" spans="1:55">
      <c r="A110" s="1708" t="s">
        <v>100</v>
      </c>
      <c r="L110" s="1246"/>
      <c r="M110" s="1246"/>
      <c r="N110" s="1246"/>
      <c r="O110" s="1246"/>
      <c r="P110" s="1859"/>
      <c r="Q110" s="1859"/>
      <c r="R110" s="1246"/>
      <c r="S110" s="1859"/>
      <c r="T110" s="1859"/>
      <c r="U110" s="1865"/>
      <c r="V110" s="1865">
        <f>Interim!FM182</f>
        <v>0.120529776674938</v>
      </c>
      <c r="W110" s="1246">
        <f>Interim!FU182</f>
        <v>0.159339315759955</v>
      </c>
      <c r="X110" s="1866">
        <f>Interim!GC182</f>
        <v>0.125567302137493</v>
      </c>
      <c r="Y110" s="1246">
        <f>Interim!GK182</f>
        <v>0.0565196643943366</v>
      </c>
      <c r="Z110" s="1246">
        <f>Interim!GS182</f>
        <v>0.0736120024494796</v>
      </c>
      <c r="AA110" s="1246">
        <f>Interim!HA182</f>
        <v>-0.161409638554217</v>
      </c>
      <c r="AB110" s="1246">
        <f>Interim!HI182</f>
        <v>0.453463768115942</v>
      </c>
      <c r="AC110" s="1246">
        <f>Interim!HQ182</f>
        <v>0.437850725639254</v>
      </c>
      <c r="AD110" s="1246">
        <f>Interim!HY182</f>
        <v>0.165880802551536</v>
      </c>
      <c r="AE110" s="1246">
        <f>Interim!IG182</f>
        <v>0.280451767786992</v>
      </c>
      <c r="AF110" s="1717">
        <f>Interim!IO182</f>
        <v>0.21770919553204</v>
      </c>
      <c r="AG110" s="1246">
        <f>Interim!IW182</f>
        <v>0.186165413533835</v>
      </c>
      <c r="AH110" s="1867">
        <v>0.08</v>
      </c>
      <c r="AI110" s="1867">
        <v>0.08</v>
      </c>
      <c r="AJ110" s="1867">
        <v>0.07</v>
      </c>
      <c r="AK110" s="1867">
        <v>0.07</v>
      </c>
      <c r="AL110" s="1867"/>
      <c r="AM110" s="1857"/>
      <c r="AN110" s="1862"/>
      <c r="AO110" s="1714"/>
      <c r="AZ110" s="1690"/>
      <c r="BA110" s="1690"/>
      <c r="BB110" s="1690"/>
      <c r="BC110" s="1691"/>
    </row>
    <row r="111" customHeight="1" spans="1:55">
      <c r="A111" s="1708" t="s">
        <v>66</v>
      </c>
      <c r="L111" s="1246"/>
      <c r="M111" s="1246"/>
      <c r="N111" s="1246"/>
      <c r="O111" s="1246"/>
      <c r="P111" s="1859"/>
      <c r="Q111" s="1859"/>
      <c r="R111" s="1246"/>
      <c r="S111" s="1859"/>
      <c r="T111" s="1859"/>
      <c r="U111" s="1716">
        <f t="shared" ref="U111:Z111" si="224">U107/U$143</f>
        <v>0.11091997522879</v>
      </c>
      <c r="V111" s="1716">
        <f t="shared" si="224"/>
        <v>0.105409399940881</v>
      </c>
      <c r="W111" s="1246">
        <f t="shared" si="224"/>
        <v>0.0897356143079316</v>
      </c>
      <c r="X111" s="1246">
        <f t="shared" si="224"/>
        <v>0.0898765199359035</v>
      </c>
      <c r="Y111" s="1246">
        <f t="shared" si="224"/>
        <v>0.0745151722564453</v>
      </c>
      <c r="Z111" s="1246">
        <f t="shared" si="224"/>
        <v>0.0702169958969587</v>
      </c>
      <c r="AA111" s="1246">
        <f t="shared" ref="AA111:AB111" si="225">AA107/AA$143</f>
        <v>0.0583551703285628</v>
      </c>
      <c r="AB111" s="1246">
        <f t="shared" si="225"/>
        <v>0.0681454271451446</v>
      </c>
      <c r="AC111" s="1246">
        <f t="shared" ref="AC111:AH111" si="226">AC107/AC$143</f>
        <v>0.0937319532672916</v>
      </c>
      <c r="AD111" s="1246">
        <f t="shared" si="226"/>
        <v>0.110794080665442</v>
      </c>
      <c r="AE111" s="1246">
        <f t="shared" si="226"/>
        <v>0.120584357226588</v>
      </c>
      <c r="AF111" s="1717">
        <f t="shared" si="226"/>
        <v>0.117931562613357</v>
      </c>
      <c r="AG111" s="1246">
        <f t="shared" ref="AG111" si="227">AG107/AG$143</f>
        <v>0.129559658706973</v>
      </c>
      <c r="AH111" s="1246">
        <f t="shared" si="226"/>
        <v>0.130927423792871</v>
      </c>
      <c r="AI111" s="1246">
        <f t="shared" ref="AI111:AJ111" si="228">AI107/AI$143</f>
        <v>0.132432211418558</v>
      </c>
      <c r="AJ111" s="1246">
        <f t="shared" si="228"/>
        <v>0.133734392519262</v>
      </c>
      <c r="AK111" s="1246">
        <f t="shared" ref="AK111" si="229">AK107/AK$143</f>
        <v>0.135040120640366</v>
      </c>
      <c r="AL111" s="1246"/>
      <c r="AM111" s="1863"/>
      <c r="AN111" s="1864"/>
      <c r="AZ111" s="1690"/>
      <c r="BA111" s="1690"/>
      <c r="BB111" s="1690"/>
      <c r="BC111" s="1691"/>
    </row>
    <row r="112" customHeight="1" spans="1:55">
      <c r="A112" s="969" t="s">
        <v>103</v>
      </c>
      <c r="L112" s="1246"/>
      <c r="M112" s="1246"/>
      <c r="N112" s="1246"/>
      <c r="O112" s="1246"/>
      <c r="P112" s="1859"/>
      <c r="Q112" s="1859"/>
      <c r="R112" s="1246"/>
      <c r="S112" s="1859"/>
      <c r="T112" s="1859"/>
      <c r="U112" s="1833">
        <f>Interim!FE184</f>
        <v>1786</v>
      </c>
      <c r="V112" s="1833">
        <f>Interim!FM184</f>
        <v>2469</v>
      </c>
      <c r="W112" s="1772">
        <f>Interim!FU184</f>
        <v>3010</v>
      </c>
      <c r="X112" s="1772">
        <f>Interim!GC184</f>
        <v>3789</v>
      </c>
      <c r="Y112" s="1772">
        <f>Interim!GK184</f>
        <v>7141</v>
      </c>
      <c r="Z112" s="1772">
        <f>Interim!GS184</f>
        <v>8030.58</v>
      </c>
      <c r="AA112" s="1772">
        <f>Interim!HA184</f>
        <v>6546</v>
      </c>
      <c r="AB112" s="1772">
        <f>Interim!HI184</f>
        <v>4597</v>
      </c>
      <c r="AC112" s="1772">
        <f>Interim!HQ184</f>
        <v>3179</v>
      </c>
      <c r="AD112" s="1772">
        <f>Interim!HY184</f>
        <v>3040</v>
      </c>
      <c r="AE112" s="1772">
        <f>Interim!IG184</f>
        <v>3256.716</v>
      </c>
      <c r="AF112" s="1820">
        <f>Interim!IO184</f>
        <v>3622</v>
      </c>
      <c r="AG112" s="1772">
        <f>Interim!IW184</f>
        <v>4169.00714089513</v>
      </c>
      <c r="AH112" s="1772">
        <f>AG112*(1+AH113)</f>
        <v>4573.99640601066</v>
      </c>
      <c r="AI112" s="1772">
        <f>AH112*(1+AI113)</f>
        <v>4939.91611849152</v>
      </c>
      <c r="AJ112" s="1772">
        <f>AI112*(1+AJ113)</f>
        <v>5285.71024678592</v>
      </c>
      <c r="AK112" s="1772">
        <f>AJ112*(1+AK113)</f>
        <v>5655.70996406094</v>
      </c>
      <c r="AL112" s="1868"/>
      <c r="AM112" s="1857"/>
      <c r="AN112" s="1864"/>
      <c r="AZ112" s="1690"/>
      <c r="BA112" s="1690"/>
      <c r="BB112" s="1690"/>
      <c r="BC112" s="1691"/>
    </row>
    <row r="113" customHeight="1" spans="1:55">
      <c r="A113" s="1708" t="s">
        <v>61</v>
      </c>
      <c r="L113" s="1246"/>
      <c r="M113" s="1246"/>
      <c r="N113" s="1246"/>
      <c r="O113" s="1246"/>
      <c r="P113" s="1859"/>
      <c r="Q113" s="1859"/>
      <c r="R113" s="1246"/>
      <c r="S113" s="1859"/>
      <c r="T113" s="1859"/>
      <c r="U113" s="1716"/>
      <c r="V113" s="1716">
        <f>V112/U112-1</f>
        <v>0.382418812989922</v>
      </c>
      <c r="W113" s="1246">
        <f>W112/V112-1</f>
        <v>0.219117051437829</v>
      </c>
      <c r="X113" s="1246">
        <f>X112/W112-1</f>
        <v>0.258803986710963</v>
      </c>
      <c r="Y113" s="1246">
        <f>Interim!GK185</f>
        <v>0.115258472590973</v>
      </c>
      <c r="Z113" s="1246">
        <f>Interim!GS185</f>
        <v>0.124573589133175</v>
      </c>
      <c r="AA113" s="1246">
        <f>Interim!HA185</f>
        <v>-0.184865850287277</v>
      </c>
      <c r="AB113" s="1246">
        <f>Interim!HI185</f>
        <v>0.0587286964532474</v>
      </c>
      <c r="AC113" s="1246">
        <f>Interim!HQ185</f>
        <v>-0.30846204046117</v>
      </c>
      <c r="AD113" s="1246">
        <f>Interim!HY185</f>
        <v>-0.0333438188109472</v>
      </c>
      <c r="AE113" s="1246">
        <f>Interim!IG185</f>
        <v>0.0712881578947369</v>
      </c>
      <c r="AF113" s="1717">
        <f>Interim!IO185</f>
        <v>0.112163295786307</v>
      </c>
      <c r="AG113" s="1246">
        <f>Interim!IW185</f>
        <v>0.151023506597221</v>
      </c>
      <c r="AH113" s="1246">
        <f>AH115+AH114</f>
        <v>0.0971428571428571</v>
      </c>
      <c r="AI113" s="1246">
        <f>AI115+AI114</f>
        <v>0.08</v>
      </c>
      <c r="AJ113" s="1246">
        <f>AJ115+AJ114</f>
        <v>0.07</v>
      </c>
      <c r="AK113" s="1246">
        <f>AK115+AK114</f>
        <v>0.07</v>
      </c>
      <c r="AL113" s="1246"/>
      <c r="AM113" s="1869"/>
      <c r="AN113" s="1864"/>
      <c r="AZ113" s="1690"/>
      <c r="BA113" s="1690"/>
      <c r="BB113" s="1690"/>
      <c r="BC113" s="1691"/>
    </row>
    <row r="114" customHeight="1" spans="1:55">
      <c r="A114" s="1708" t="s">
        <v>99</v>
      </c>
      <c r="L114" s="1246"/>
      <c r="M114" s="1246"/>
      <c r="N114" s="1246"/>
      <c r="O114" s="1246"/>
      <c r="P114" s="1859"/>
      <c r="Q114" s="1859"/>
      <c r="R114" s="1246"/>
      <c r="S114" s="1859"/>
      <c r="T114" s="1859"/>
      <c r="U114" s="1716"/>
      <c r="V114" s="1716">
        <f>V113-V115</f>
        <v>0.20652967525196</v>
      </c>
      <c r="W114" s="1246">
        <f>W113-W115</f>
        <v>-0.055946132037262</v>
      </c>
      <c r="X114" s="1246">
        <f>X113-X115</f>
        <v>-0.0173079734219269</v>
      </c>
      <c r="Y114" s="1246">
        <f>Interim!GK186</f>
        <v>-0.0364131578371895</v>
      </c>
      <c r="Z114" s="1246">
        <f>Interim!GS186</f>
        <v>0.0239943985436212</v>
      </c>
      <c r="AA114" s="1246">
        <f>Interim!HA186</f>
        <v>-0.0130000000000002</v>
      </c>
      <c r="AB114" s="1246">
        <f>Interim!HI186</f>
        <v>0.0172406725011516</v>
      </c>
      <c r="AC114" s="1246">
        <f>Interim!HQ186</f>
        <v>0.052555144659561</v>
      </c>
      <c r="AD114" s="1246">
        <f>Interim!HY186</f>
        <v>-0.08547534773035</v>
      </c>
      <c r="AE114" s="1246">
        <f>Interim!IG186</f>
        <v>-0.0180644736842106</v>
      </c>
      <c r="AF114" s="1717">
        <f>Interim!IO186</f>
        <v>-0.0200585989076114</v>
      </c>
      <c r="AG114" s="1246">
        <f>Interim!IW186</f>
        <v>0.0340188902972564</v>
      </c>
      <c r="AH114" s="1246">
        <f>AH456</f>
        <v>0.0171428571428571</v>
      </c>
      <c r="AI114" s="1246">
        <f>AI456</f>
        <v>0</v>
      </c>
      <c r="AJ114" s="1246">
        <f>AJ456</f>
        <v>0</v>
      </c>
      <c r="AK114" s="1246">
        <f>AK456</f>
        <v>0</v>
      </c>
      <c r="AL114" s="1246"/>
      <c r="AM114" s="1857"/>
      <c r="AN114" s="1864"/>
      <c r="AQ114" s="1715"/>
      <c r="AZ114" s="1690"/>
      <c r="BA114" s="1690"/>
      <c r="BB114" s="1690"/>
      <c r="BC114" s="1691"/>
    </row>
    <row r="115" customHeight="1" spans="1:55">
      <c r="A115" s="1708" t="s">
        <v>100</v>
      </c>
      <c r="L115" s="1246"/>
      <c r="M115" s="1246"/>
      <c r="N115" s="1246"/>
      <c r="O115" s="1246"/>
      <c r="P115" s="1859"/>
      <c r="Q115" s="1859"/>
      <c r="R115" s="1246"/>
      <c r="S115" s="1859"/>
      <c r="T115" s="1859"/>
      <c r="U115" s="1716"/>
      <c r="V115" s="1716">
        <f>Interim!FM187</f>
        <v>0.175889137737962</v>
      </c>
      <c r="W115" s="1246">
        <f>Interim!FU187</f>
        <v>0.275063183475091</v>
      </c>
      <c r="X115" s="1866">
        <f>Interim!GC187</f>
        <v>0.27611196013289</v>
      </c>
      <c r="Y115" s="1246">
        <f>Interim!GK187</f>
        <v>0.151671630428163</v>
      </c>
      <c r="Z115" s="1246">
        <f>Interim!GS187</f>
        <v>0.100579190589553</v>
      </c>
      <c r="AA115" s="1246">
        <f>Interim!HA187</f>
        <v>-0.171865850287277</v>
      </c>
      <c r="AB115" s="1246">
        <f>Interim!HI187</f>
        <v>0.0414880239520958</v>
      </c>
      <c r="AC115" s="1246">
        <f>Interim!HQ187</f>
        <v>-0.361017185120731</v>
      </c>
      <c r="AD115" s="1246">
        <f>Interim!HY187</f>
        <v>0.0521315289194028</v>
      </c>
      <c r="AE115" s="1246">
        <f>Interim!IG187</f>
        <v>0.0893526315789474</v>
      </c>
      <c r="AF115" s="1717">
        <f>Interim!IO187</f>
        <v>0.132221894693919</v>
      </c>
      <c r="AG115" s="1246">
        <f>Interim!IW187</f>
        <v>0.126220320265047</v>
      </c>
      <c r="AH115" s="1870">
        <v>0.08</v>
      </c>
      <c r="AI115" s="1870">
        <v>0.08</v>
      </c>
      <c r="AJ115" s="1870">
        <v>0.07</v>
      </c>
      <c r="AK115" s="1870">
        <v>0.07</v>
      </c>
      <c r="AL115" s="1870"/>
      <c r="AM115" s="1857"/>
      <c r="AN115" s="1862"/>
      <c r="AO115" s="1714"/>
      <c r="AP115" s="1719"/>
      <c r="AQ115" s="1246"/>
      <c r="AZ115" s="1690"/>
      <c r="BA115" s="1690"/>
      <c r="BB115" s="1690"/>
      <c r="BC115" s="1691"/>
    </row>
    <row r="116" customHeight="1" spans="1:55">
      <c r="A116" s="1708" t="s">
        <v>66</v>
      </c>
      <c r="L116" s="1246"/>
      <c r="M116" s="1246"/>
      <c r="N116" s="1246"/>
      <c r="O116" s="1246"/>
      <c r="P116" s="1859"/>
      <c r="Q116" s="1859"/>
      <c r="R116" s="1246"/>
      <c r="S116" s="1859"/>
      <c r="T116" s="1859"/>
      <c r="U116" s="1716">
        <f t="shared" ref="U116:Z116" si="230">U112/U$143</f>
        <v>0.122892726897406</v>
      </c>
      <c r="V116" s="1716">
        <f t="shared" si="230"/>
        <v>0.145965119716228</v>
      </c>
      <c r="W116" s="1246">
        <f t="shared" si="230"/>
        <v>0.156039398652151</v>
      </c>
      <c r="X116" s="1246">
        <f t="shared" si="230"/>
        <v>0.17857479498539</v>
      </c>
      <c r="Y116" s="1246">
        <f t="shared" si="230"/>
        <v>0.325849874515172</v>
      </c>
      <c r="Z116" s="1246">
        <f t="shared" si="230"/>
        <v>0.339688676451927</v>
      </c>
      <c r="AA116" s="1246">
        <f t="shared" ref="AA116:AB116" si="231">AA112/AA$143</f>
        <v>0.329873009473896</v>
      </c>
      <c r="AB116" s="1246">
        <f t="shared" si="231"/>
        <v>0.216492417820477</v>
      </c>
      <c r="AC116" s="1246">
        <f t="shared" ref="AC116:AH116" si="232">AC112/AC$143</f>
        <v>0.141219848074275</v>
      </c>
      <c r="AD116" s="1246">
        <f t="shared" si="232"/>
        <v>0.147016152432537</v>
      </c>
      <c r="AE116" s="1246">
        <f t="shared" si="232"/>
        <v>0.141393478921547</v>
      </c>
      <c r="AF116" s="1717">
        <f t="shared" si="232"/>
        <v>0.145983636290355</v>
      </c>
      <c r="AG116" s="1246">
        <f t="shared" ref="AG116" si="233">AG112/AG$143</f>
        <v>0.153651189282843</v>
      </c>
      <c r="AH116" s="1246">
        <f t="shared" si="232"/>
        <v>0.156731467020613</v>
      </c>
      <c r="AI116" s="1246">
        <f t="shared" ref="AI116:AJ116" si="234">AI112/AI$143</f>
        <v>0.158532828151047</v>
      </c>
      <c r="AJ116" s="1246">
        <f t="shared" si="234"/>
        <v>0.160091651721598</v>
      </c>
      <c r="AK116" s="1246">
        <f t="shared" ref="AK116" si="235">AK112/AK$143</f>
        <v>0.161654721382806</v>
      </c>
      <c r="AL116" s="1246"/>
      <c r="AM116" s="1860"/>
      <c r="AN116" s="1864"/>
      <c r="AQ116" s="1715"/>
      <c r="AZ116" s="1690"/>
      <c r="BA116" s="1690"/>
      <c r="BB116" s="1690"/>
      <c r="BC116" s="1691"/>
    </row>
    <row r="117" hidden="1" customHeight="1" spans="1:55">
      <c r="A117" s="1678" t="s">
        <v>104</v>
      </c>
      <c r="L117" s="1246"/>
      <c r="M117" s="1246"/>
      <c r="N117" s="1246"/>
      <c r="O117" s="1246"/>
      <c r="P117" s="1859"/>
      <c r="Q117" s="1859"/>
      <c r="R117" s="1246"/>
      <c r="S117" s="1859"/>
      <c r="T117" s="1859"/>
      <c r="U117" s="1833">
        <f>Interim!FE189</f>
        <v>744</v>
      </c>
      <c r="V117" s="1833">
        <f>Interim!FM189</f>
        <v>776</v>
      </c>
      <c r="W117" s="1772">
        <f>Interim!FU189</f>
        <v>1007</v>
      </c>
      <c r="X117" s="1772">
        <f>Interim!GC189</f>
        <v>1056</v>
      </c>
      <c r="Y117" s="1772"/>
      <c r="Z117" s="1772"/>
      <c r="AA117" s="1772"/>
      <c r="AB117" s="1772"/>
      <c r="AC117" s="1772"/>
      <c r="AD117" s="1772"/>
      <c r="AE117" s="1772"/>
      <c r="AF117" s="1820"/>
      <c r="AG117" s="1772"/>
      <c r="AH117" s="1772"/>
      <c r="AI117" s="1772"/>
      <c r="AJ117" s="1772"/>
      <c r="AK117" s="1772"/>
      <c r="AL117" s="1772"/>
      <c r="AM117" s="1857"/>
      <c r="AN117" s="1864"/>
      <c r="AZ117" s="1690"/>
      <c r="BA117" s="1690"/>
      <c r="BB117" s="1690"/>
      <c r="BC117" s="1691"/>
    </row>
    <row r="118" hidden="1" customHeight="1" spans="1:55">
      <c r="A118" s="1708" t="s">
        <v>61</v>
      </c>
      <c r="L118" s="1246"/>
      <c r="M118" s="1246"/>
      <c r="N118" s="1246"/>
      <c r="O118" s="1246"/>
      <c r="P118" s="1859"/>
      <c r="Q118" s="1859"/>
      <c r="R118" s="1246"/>
      <c r="S118" s="1859"/>
      <c r="T118" s="1859"/>
      <c r="U118" s="1716"/>
      <c r="V118" s="1716">
        <f>V117/U117-1</f>
        <v>0.043010752688172</v>
      </c>
      <c r="W118" s="1246">
        <f>W117/V117-1</f>
        <v>0.297680412371134</v>
      </c>
      <c r="X118" s="1246">
        <f>X117/W117-1</f>
        <v>0.0486593843098311</v>
      </c>
      <c r="Y118" s="1246"/>
      <c r="Z118" s="1246"/>
      <c r="AA118" s="1246"/>
      <c r="AB118" s="1246"/>
      <c r="AC118" s="1246"/>
      <c r="AD118" s="1246"/>
      <c r="AE118" s="1246"/>
      <c r="AF118" s="1717"/>
      <c r="AG118" s="1246"/>
      <c r="AH118" s="1246"/>
      <c r="AI118" s="1246"/>
      <c r="AJ118" s="1246"/>
      <c r="AK118" s="1246"/>
      <c r="AL118" s="1246"/>
      <c r="AM118" s="1857"/>
      <c r="AN118" s="1864"/>
      <c r="AZ118" s="1690"/>
      <c r="BA118" s="1690"/>
      <c r="BB118" s="1690"/>
      <c r="BC118" s="1691"/>
    </row>
    <row r="119" hidden="1" customHeight="1" spans="1:55">
      <c r="A119" s="1708" t="s">
        <v>99</v>
      </c>
      <c r="L119" s="1246"/>
      <c r="M119" s="1246"/>
      <c r="N119" s="1246"/>
      <c r="O119" s="1246"/>
      <c r="P119" s="1859"/>
      <c r="Q119" s="1859"/>
      <c r="R119" s="1246"/>
      <c r="S119" s="1859"/>
      <c r="T119" s="1859"/>
      <c r="U119" s="1716"/>
      <c r="V119" s="1716">
        <f>V118-V120</f>
        <v>0.0447029569892473</v>
      </c>
      <c r="W119" s="1246">
        <f>W118-W120</f>
        <v>0.131675257731959</v>
      </c>
      <c r="X119" s="1246">
        <f>X118-X120</f>
        <v>-0.0150446871896724</v>
      </c>
      <c r="Y119" s="1246"/>
      <c r="Z119" s="1246"/>
      <c r="AA119" s="1246"/>
      <c r="AB119" s="1246"/>
      <c r="AC119" s="1246"/>
      <c r="AD119" s="1246"/>
      <c r="AE119" s="1246"/>
      <c r="AF119" s="1717"/>
      <c r="AG119" s="1246"/>
      <c r="AH119" s="1246"/>
      <c r="AI119" s="1246"/>
      <c r="AJ119" s="1246"/>
      <c r="AK119" s="1246"/>
      <c r="AL119" s="1246"/>
      <c r="AM119" s="1857"/>
      <c r="AN119" s="1864"/>
      <c r="AZ119" s="1690"/>
      <c r="BA119" s="1690"/>
      <c r="BB119" s="1690"/>
      <c r="BC119" s="1691"/>
    </row>
    <row r="120" hidden="1" customHeight="1" spans="1:55">
      <c r="A120" s="1708" t="s">
        <v>100</v>
      </c>
      <c r="L120" s="1246"/>
      <c r="M120" s="1246"/>
      <c r="N120" s="1246"/>
      <c r="O120" s="1246"/>
      <c r="P120" s="1859"/>
      <c r="Q120" s="1859"/>
      <c r="R120" s="1246"/>
      <c r="S120" s="1859"/>
      <c r="T120" s="1859"/>
      <c r="U120" s="1716"/>
      <c r="V120" s="1716">
        <f>Interim!FM192</f>
        <v>-0.00169220430107527</v>
      </c>
      <c r="W120" s="1246">
        <f>Interim!FU192</f>
        <v>0.166005154639175</v>
      </c>
      <c r="X120" s="1246">
        <f>Interim!GC192</f>
        <v>0.0637040714995035</v>
      </c>
      <c r="Y120" s="1861"/>
      <c r="Z120" s="1861"/>
      <c r="AA120" s="1861"/>
      <c r="AB120" s="1861"/>
      <c r="AC120" s="1861"/>
      <c r="AD120" s="1861"/>
      <c r="AE120" s="1861"/>
      <c r="AF120" s="1871"/>
      <c r="AG120" s="1861"/>
      <c r="AH120" s="1861"/>
      <c r="AI120" s="1861"/>
      <c r="AJ120" s="1861"/>
      <c r="AK120" s="1861"/>
      <c r="AL120" s="1861"/>
      <c r="AM120" s="1857"/>
      <c r="AN120" s="1862"/>
      <c r="AO120" s="1714"/>
      <c r="AZ120" s="1690"/>
      <c r="BA120" s="1690"/>
      <c r="BB120" s="1690"/>
      <c r="BC120" s="1691"/>
    </row>
    <row r="121" hidden="1" customHeight="1" spans="1:55">
      <c r="A121" s="1708" t="s">
        <v>66</v>
      </c>
      <c r="L121" s="1246"/>
      <c r="M121" s="1246"/>
      <c r="N121" s="1246"/>
      <c r="O121" s="1246"/>
      <c r="P121" s="1859"/>
      <c r="Q121" s="1859"/>
      <c r="R121" s="1246"/>
      <c r="S121" s="1859"/>
      <c r="T121" s="1859"/>
      <c r="U121" s="1716">
        <f t="shared" ref="U121:X121" si="236">U117/U$143</f>
        <v>0.0511938347209798</v>
      </c>
      <c r="V121" s="1716">
        <f t="shared" si="236"/>
        <v>0.0458764410286728</v>
      </c>
      <c r="W121" s="1246">
        <f t="shared" si="236"/>
        <v>0.0522032141005702</v>
      </c>
      <c r="X121" s="1246">
        <f t="shared" si="236"/>
        <v>0.0497690640022622</v>
      </c>
      <c r="Y121" s="1246"/>
      <c r="Z121" s="1246"/>
      <c r="AA121" s="1246"/>
      <c r="AB121" s="1246"/>
      <c r="AC121" s="1246"/>
      <c r="AD121" s="1246"/>
      <c r="AE121" s="1246"/>
      <c r="AF121" s="1717"/>
      <c r="AG121" s="1246"/>
      <c r="AH121" s="1246"/>
      <c r="AI121" s="1246"/>
      <c r="AJ121" s="1246"/>
      <c r="AK121" s="1246"/>
      <c r="AL121" s="1246"/>
      <c r="AM121" s="1863"/>
      <c r="AN121" s="1864"/>
      <c r="AZ121" s="1690"/>
      <c r="BA121" s="1690"/>
      <c r="BB121" s="1690"/>
      <c r="BC121" s="1691"/>
    </row>
    <row r="122" hidden="1" customHeight="1" spans="1:55">
      <c r="A122" s="1678" t="s">
        <v>105</v>
      </c>
      <c r="L122" s="1246"/>
      <c r="M122" s="1246"/>
      <c r="N122" s="1246"/>
      <c r="O122" s="1246"/>
      <c r="P122" s="1859"/>
      <c r="Q122" s="1859"/>
      <c r="R122" s="1246"/>
      <c r="S122" s="1859"/>
      <c r="T122" s="1859"/>
      <c r="U122" s="1833">
        <f>Interim!FE194</f>
        <v>1098</v>
      </c>
      <c r="V122" s="1833">
        <f>Interim!FM194</f>
        <v>739</v>
      </c>
      <c r="W122" s="1772">
        <f>Interim!FU194</f>
        <v>679</v>
      </c>
      <c r="X122" s="1772">
        <f>Interim!GC194</f>
        <v>660</v>
      </c>
      <c r="Y122" s="1772">
        <f>Interim!GK194</f>
        <v>594</v>
      </c>
      <c r="Z122" s="1772">
        <f>Interim!GS194</f>
        <v>659</v>
      </c>
      <c r="AA122" s="1772">
        <f>Interim!HA194</f>
        <v>584</v>
      </c>
      <c r="AB122" s="1772"/>
      <c r="AC122" s="1772"/>
      <c r="AD122" s="1772"/>
      <c r="AE122" s="1772"/>
      <c r="AF122" s="1820"/>
      <c r="AG122" s="1772"/>
      <c r="AH122" s="1772"/>
      <c r="AI122" s="1772"/>
      <c r="AJ122" s="1772"/>
      <c r="AK122" s="1772"/>
      <c r="AL122" s="1772"/>
      <c r="AM122" s="1857"/>
      <c r="AN122" s="1864"/>
      <c r="AZ122" s="1690"/>
      <c r="BA122" s="1690"/>
      <c r="BB122" s="1690"/>
      <c r="BC122" s="1691"/>
    </row>
    <row r="123" hidden="1" customHeight="1" spans="1:55">
      <c r="A123" s="1708" t="s">
        <v>61</v>
      </c>
      <c r="L123" s="1246"/>
      <c r="M123" s="1246"/>
      <c r="N123" s="1246"/>
      <c r="O123" s="1246"/>
      <c r="P123" s="1859"/>
      <c r="Q123" s="1859"/>
      <c r="R123" s="1246"/>
      <c r="S123" s="1859"/>
      <c r="T123" s="1859"/>
      <c r="U123" s="1716"/>
      <c r="V123" s="1716">
        <f>V122/U122-1</f>
        <v>-0.32695810564663</v>
      </c>
      <c r="W123" s="1246">
        <f>W122/V122-1</f>
        <v>-0.081190798376184</v>
      </c>
      <c r="X123" s="1246">
        <f>X122/W122-1</f>
        <v>-0.0279823269513991</v>
      </c>
      <c r="Y123" s="1246">
        <f>Interim!GK195</f>
        <v>-0.0999999999999996</v>
      </c>
      <c r="Z123" s="1246">
        <f>Interim!GS195</f>
        <v>0.109427609427609</v>
      </c>
      <c r="AA123" s="1246">
        <f>Interim!HA195</f>
        <v>-0.113808801213961</v>
      </c>
      <c r="AB123" s="1246"/>
      <c r="AC123" s="1246"/>
      <c r="AD123" s="1246"/>
      <c r="AE123" s="1246"/>
      <c r="AF123" s="1717"/>
      <c r="AG123" s="1246"/>
      <c r="AH123" s="1246"/>
      <c r="AI123" s="1246"/>
      <c r="AJ123" s="1246"/>
      <c r="AK123" s="1246"/>
      <c r="AL123" s="1246"/>
      <c r="AM123" s="1857"/>
      <c r="AN123" s="1864"/>
      <c r="AP123" s="1246"/>
      <c r="AZ123" s="1690"/>
      <c r="BA123" s="1690"/>
      <c r="BB123" s="1690"/>
      <c r="BC123" s="1691"/>
    </row>
    <row r="124" hidden="1" customHeight="1" spans="1:55">
      <c r="A124" s="1708" t="s">
        <v>99</v>
      </c>
      <c r="L124" s="1246"/>
      <c r="M124" s="1246"/>
      <c r="N124" s="1246"/>
      <c r="O124" s="1246"/>
      <c r="P124" s="1859"/>
      <c r="Q124" s="1859"/>
      <c r="R124" s="1246"/>
      <c r="S124" s="1859"/>
      <c r="T124" s="1859"/>
      <c r="U124" s="1716"/>
      <c r="V124" s="1716">
        <f>V123-V125</f>
        <v>-0.224724043715847</v>
      </c>
      <c r="W124" s="1246">
        <f>W123-W125</f>
        <v>-0.112013531799729</v>
      </c>
      <c r="X124" s="1246">
        <f>X123-X125</f>
        <v>0.10800147275405</v>
      </c>
      <c r="Y124" s="1246">
        <f>Interim!GK196</f>
        <v>-0.113159090909091</v>
      </c>
      <c r="Z124" s="1246">
        <f>Interim!GS196</f>
        <v>0.0253282828282828</v>
      </c>
      <c r="AA124" s="1246">
        <f>Interim!HA196</f>
        <v>-0.114</v>
      </c>
      <c r="AB124" s="1246"/>
      <c r="AC124" s="1246"/>
      <c r="AD124" s="1246"/>
      <c r="AE124" s="1246"/>
      <c r="AF124" s="1717"/>
      <c r="AG124" s="1246"/>
      <c r="AH124" s="1246"/>
      <c r="AI124" s="1246"/>
      <c r="AJ124" s="1246"/>
      <c r="AK124" s="1246"/>
      <c r="AL124" s="1246"/>
      <c r="AM124" s="1857"/>
      <c r="AN124" s="1864"/>
      <c r="AP124" s="1246"/>
      <c r="AQ124" s="1246"/>
      <c r="AZ124" s="1690"/>
      <c r="BA124" s="1690"/>
      <c r="BB124" s="1690"/>
      <c r="BC124" s="1691"/>
    </row>
    <row r="125" hidden="1" customHeight="1" spans="1:55">
      <c r="A125" s="1708" t="s">
        <v>100</v>
      </c>
      <c r="L125" s="1246"/>
      <c r="M125" s="1246"/>
      <c r="N125" s="1246"/>
      <c r="O125" s="1246"/>
      <c r="P125" s="1859"/>
      <c r="Q125" s="1859"/>
      <c r="R125" s="1246"/>
      <c r="S125" s="1859"/>
      <c r="T125" s="1859"/>
      <c r="U125" s="1865"/>
      <c r="V125" s="1865">
        <f>Interim!FM197</f>
        <v>-0.102234061930783</v>
      </c>
      <c r="W125" s="1246">
        <f>Interim!FU197</f>
        <v>0.0308227334235453</v>
      </c>
      <c r="X125" s="1866">
        <f>Interim!GC197</f>
        <v>-0.135983799705449</v>
      </c>
      <c r="Y125" s="1246">
        <f>Interim!GK197</f>
        <v>0.0131590909090909</v>
      </c>
      <c r="Z125" s="1246">
        <f>Interim!GS197</f>
        <v>0.0840993265993267</v>
      </c>
      <c r="AA125" s="1246">
        <f>Interim!HA197</f>
        <v>0.000191198786038943</v>
      </c>
      <c r="AB125" s="1246"/>
      <c r="AC125" s="1246"/>
      <c r="AD125" s="1870"/>
      <c r="AE125" s="1870"/>
      <c r="AF125" s="1872"/>
      <c r="AG125" s="1870"/>
      <c r="AH125" s="1870"/>
      <c r="AI125" s="1870"/>
      <c r="AJ125" s="1870"/>
      <c r="AK125" s="1870"/>
      <c r="AL125" s="1870"/>
      <c r="AM125" s="1857"/>
      <c r="AN125" s="1862"/>
      <c r="AO125" s="1714"/>
      <c r="AP125" s="1246"/>
      <c r="AZ125" s="1690"/>
      <c r="BA125" s="1690"/>
      <c r="BB125" s="1690"/>
      <c r="BC125" s="1691"/>
    </row>
    <row r="126" hidden="1" customHeight="1" spans="1:55">
      <c r="A126" s="1708" t="s">
        <v>66</v>
      </c>
      <c r="L126" s="1246"/>
      <c r="M126" s="1246"/>
      <c r="N126" s="1246"/>
      <c r="O126" s="1246"/>
      <c r="P126" s="1859"/>
      <c r="Q126" s="1859"/>
      <c r="R126" s="1246"/>
      <c r="S126" s="1859"/>
      <c r="T126" s="1859"/>
      <c r="U126" s="1716">
        <f t="shared" ref="U126:Z126" si="237">U122/U$143</f>
        <v>0.0755521915640267</v>
      </c>
      <c r="V126" s="1716">
        <f t="shared" si="237"/>
        <v>0.0436890334023056</v>
      </c>
      <c r="W126" s="1246">
        <f t="shared" si="237"/>
        <v>0.0351995852773458</v>
      </c>
      <c r="X126" s="1246">
        <f t="shared" si="237"/>
        <v>0.0311056650014139</v>
      </c>
      <c r="Y126" s="1246">
        <f t="shared" si="237"/>
        <v>0.0271047227926078</v>
      </c>
      <c r="Z126" s="1246">
        <f t="shared" si="237"/>
        <v>0.0278753013831902</v>
      </c>
      <c r="AA126" s="1246">
        <f t="shared" ref="AA126" si="238">AA122/AA$143</f>
        <v>0.029429550493852</v>
      </c>
      <c r="AB126" s="1246"/>
      <c r="AC126" s="1246"/>
      <c r="AD126" s="1246"/>
      <c r="AE126" s="1246"/>
      <c r="AF126" s="1717"/>
      <c r="AG126" s="1246"/>
      <c r="AH126" s="1246"/>
      <c r="AI126" s="1246"/>
      <c r="AJ126" s="1246"/>
      <c r="AK126" s="1246"/>
      <c r="AL126" s="1246"/>
      <c r="AM126" s="1863"/>
      <c r="AN126" s="1864"/>
      <c r="AZ126" s="1690"/>
      <c r="BA126" s="1690"/>
      <c r="BB126" s="1690"/>
      <c r="BC126" s="1691"/>
    </row>
    <row r="127" customHeight="1" spans="1:55">
      <c r="A127" s="969" t="s">
        <v>106</v>
      </c>
      <c r="L127" s="1246"/>
      <c r="M127" s="1246"/>
      <c r="N127" s="1246"/>
      <c r="O127" s="1246"/>
      <c r="P127" s="1859"/>
      <c r="Q127" s="1859"/>
      <c r="R127" s="1246"/>
      <c r="S127" s="1859"/>
      <c r="T127" s="1859"/>
      <c r="U127" s="1833">
        <f>Interim!FE199</f>
        <v>1925</v>
      </c>
      <c r="V127" s="1833">
        <f>Interim!FM199</f>
        <v>2388</v>
      </c>
      <c r="W127" s="1772">
        <f>Interim!FU199</f>
        <v>2685</v>
      </c>
      <c r="X127" s="1772">
        <f>Interim!GC199</f>
        <v>2907</v>
      </c>
      <c r="Y127" s="1772">
        <f>Interim!GK199</f>
        <v>1144</v>
      </c>
      <c r="Z127" s="1772">
        <f>Interim!GS199</f>
        <v>1302</v>
      </c>
      <c r="AA127" s="1772">
        <f>Interim!HA199</f>
        <v>998</v>
      </c>
      <c r="AB127" s="1772">
        <f>Interim!HI199</f>
        <v>2181</v>
      </c>
      <c r="AC127" s="1772">
        <f>Interim!HQ199</f>
        <v>2241</v>
      </c>
      <c r="AD127" s="1772">
        <f>Interim!HY199</f>
        <v>1255.5</v>
      </c>
      <c r="AE127" s="1772">
        <f>Interim!IG199</f>
        <v>1320.8465</v>
      </c>
      <c r="AF127" s="1820">
        <f>Interim!IO199</f>
        <v>1406</v>
      </c>
      <c r="AG127" s="1772">
        <f>Interim!IW199</f>
        <v>1473.82734917123</v>
      </c>
      <c r="AH127" s="1772">
        <f>AG127*(1+AH128)</f>
        <v>1590.79854789482</v>
      </c>
      <c r="AI127" s="1772">
        <f>AH127*(1+AI128)</f>
        <v>1702.15444624746</v>
      </c>
      <c r="AJ127" s="1772">
        <f>AI127*(1+AJ128)</f>
        <v>1804.2837130223</v>
      </c>
      <c r="AK127" s="1772">
        <f>AJ127*(1+AK128)</f>
        <v>1912.54073580364</v>
      </c>
      <c r="AL127" s="1772"/>
      <c r="AM127" s="1857"/>
      <c r="AN127" s="1864"/>
      <c r="AZ127" s="1690"/>
      <c r="BA127" s="1690"/>
      <c r="BB127" s="1690"/>
      <c r="BC127" s="1691"/>
    </row>
    <row r="128" customHeight="1" spans="1:55">
      <c r="A128" s="1708" t="s">
        <v>61</v>
      </c>
      <c r="L128" s="1246"/>
      <c r="M128" s="1246"/>
      <c r="N128" s="1246"/>
      <c r="O128" s="1246"/>
      <c r="P128" s="1859"/>
      <c r="Q128" s="1859"/>
      <c r="R128" s="1246"/>
      <c r="S128" s="1859"/>
      <c r="T128" s="1859"/>
      <c r="U128" s="1716"/>
      <c r="V128" s="1716">
        <f>V127/U127-1</f>
        <v>0.240519480519481</v>
      </c>
      <c r="W128" s="1246">
        <f>W127/V127-1</f>
        <v>0.124371859296482</v>
      </c>
      <c r="X128" s="1246">
        <f>X127/W127-1</f>
        <v>0.0826815642458101</v>
      </c>
      <c r="Y128" s="1246">
        <f>Interim!GK200</f>
        <v>-0.12</v>
      </c>
      <c r="Z128" s="1246">
        <f>Interim!GS200</f>
        <v>0.138111888111888</v>
      </c>
      <c r="AA128" s="1246">
        <f>Interim!HA200</f>
        <v>-0.233486943164362</v>
      </c>
      <c r="AB128" s="1246">
        <f>Interim!HI200</f>
        <v>0.0470475276044167</v>
      </c>
      <c r="AC128" s="1246">
        <f>Interim!HQ200</f>
        <v>0.0275103163686383</v>
      </c>
      <c r="AD128" s="1246"/>
      <c r="AE128" s="1246">
        <f>Interim!IG200</f>
        <v>0.0520481879729193</v>
      </c>
      <c r="AF128" s="1717">
        <f>Interim!IO200</f>
        <v>0.0644688841587568</v>
      </c>
      <c r="AG128" s="1246">
        <f>Interim!IW200</f>
        <v>0.0482413578742773</v>
      </c>
      <c r="AH128" s="1246">
        <f>AH130+AH129</f>
        <v>0.079365604654684</v>
      </c>
      <c r="AI128" s="1246">
        <f>AI130+AI129</f>
        <v>0.07</v>
      </c>
      <c r="AJ128" s="1246">
        <f>AJ130+AJ129</f>
        <v>0.06</v>
      </c>
      <c r="AK128" s="1246">
        <f>AK130+AK129</f>
        <v>0.06</v>
      </c>
      <c r="AL128" s="1246"/>
      <c r="AM128" s="1863"/>
      <c r="AN128" s="1864"/>
      <c r="AZ128" s="1690"/>
      <c r="BA128" s="1690"/>
      <c r="BB128" s="1690"/>
      <c r="BC128" s="1691"/>
    </row>
    <row r="129" customHeight="1" spans="1:62">
      <c r="A129" s="1708" t="s">
        <v>99</v>
      </c>
      <c r="L129" s="1246"/>
      <c r="M129" s="1246"/>
      <c r="N129" s="1246"/>
      <c r="O129" s="1246"/>
      <c r="P129" s="1859"/>
      <c r="Q129" s="1859"/>
      <c r="R129" s="1246"/>
      <c r="S129" s="1859"/>
      <c r="T129" s="1859"/>
      <c r="U129" s="1716"/>
      <c r="V129" s="1716">
        <f>V128-V130</f>
        <v>0.10349974025974</v>
      </c>
      <c r="W129" s="1246">
        <f>W128-W130</f>
        <v>-0.038071189279732</v>
      </c>
      <c r="X129" s="1246">
        <f>X128-X130</f>
        <v>-0.0164823091247672</v>
      </c>
      <c r="Y129" s="1246">
        <f>Interim!GK201</f>
        <v>-0.0921300309597524</v>
      </c>
      <c r="Z129" s="1246">
        <f>Interim!GS201</f>
        <v>0.013825174825175</v>
      </c>
      <c r="AA129" s="1246">
        <f>Interim!HA201</f>
        <v>-0.0549999999999985</v>
      </c>
      <c r="AB129" s="1246">
        <f>Interim!HI201</f>
        <v>-0.071329100962523</v>
      </c>
      <c r="AC129" s="1246">
        <f>Interim!HQ201</f>
        <v>-0.0562384111024028</v>
      </c>
      <c r="AD129" s="1246"/>
      <c r="AE129" s="1246">
        <f>Interim!IG201</f>
        <v>-0.0488494623655912</v>
      </c>
      <c r="AF129" s="1717">
        <f>Interim!IO201</f>
        <v>-0.0709344613473257</v>
      </c>
      <c r="AG129" s="1246">
        <f>Interim!IW201</f>
        <v>-0.0979492115199525</v>
      </c>
      <c r="AH129" s="1246">
        <f>AH450</f>
        <v>0.00936560465468395</v>
      </c>
      <c r="AI129" s="1246">
        <f>AI450</f>
        <v>0</v>
      </c>
      <c r="AJ129" s="1246">
        <f>AJ450</f>
        <v>0</v>
      </c>
      <c r="AK129" s="1246">
        <f>AK450</f>
        <v>0</v>
      </c>
      <c r="AL129" s="1246"/>
      <c r="AM129" s="1857"/>
      <c r="AN129" s="1864"/>
      <c r="AZ129" s="1690"/>
      <c r="BA129" s="1690"/>
      <c r="BB129" s="1690"/>
      <c r="BC129" s="1691"/>
    </row>
    <row r="130" customHeight="1" spans="1:62">
      <c r="A130" s="1708" t="s">
        <v>100</v>
      </c>
      <c r="L130" s="1246"/>
      <c r="M130" s="1246"/>
      <c r="N130" s="1246"/>
      <c r="O130" s="1246"/>
      <c r="P130" s="1859"/>
      <c r="Q130" s="1859"/>
      <c r="R130" s="1246"/>
      <c r="S130" s="1859"/>
      <c r="T130" s="1859"/>
      <c r="U130" s="1716"/>
      <c r="V130" s="1716">
        <f>Interim!FM202</f>
        <v>0.13701974025974</v>
      </c>
      <c r="W130" s="1246">
        <f>Interim!FU202</f>
        <v>0.162443048576214</v>
      </c>
      <c r="X130" s="1246">
        <f>Interim!GC202</f>
        <v>0.0991638733705773</v>
      </c>
      <c r="Y130" s="1246">
        <f>Interim!GK202</f>
        <v>-0.0278699690402476</v>
      </c>
      <c r="Z130" s="1246">
        <f>Interim!GS202</f>
        <v>0.124286713286713</v>
      </c>
      <c r="AA130" s="1246">
        <f>Interim!HA202</f>
        <v>-0.178486943164364</v>
      </c>
      <c r="AB130" s="1246">
        <f>Interim!HI202</f>
        <v>0.0797004320691312</v>
      </c>
      <c r="AC130" s="1246">
        <f>Interim!HQ202</f>
        <v>0.0366313617606603</v>
      </c>
      <c r="AD130" s="1246"/>
      <c r="AE130" s="1246">
        <f>Interim!IG202</f>
        <v>0.100897650338511</v>
      </c>
      <c r="AF130" s="1717">
        <f>Interim!IO202</f>
        <v>0.135403345506083</v>
      </c>
      <c r="AG130" s="1246">
        <f>Interim!IW202</f>
        <v>0.150241820768137</v>
      </c>
      <c r="AH130" s="1861">
        <v>0.07</v>
      </c>
      <c r="AI130" s="1861">
        <v>0.07</v>
      </c>
      <c r="AJ130" s="1861">
        <v>0.06</v>
      </c>
      <c r="AK130" s="1861">
        <v>0.06</v>
      </c>
      <c r="AL130" s="1861"/>
      <c r="AM130" s="1857"/>
      <c r="AN130" s="1862"/>
      <c r="AO130" s="1714"/>
      <c r="AP130" s="1719"/>
      <c r="AZ130" s="1690"/>
      <c r="BA130" s="1690"/>
      <c r="BB130" s="1690"/>
      <c r="BC130" s="1691"/>
    </row>
    <row r="131" customHeight="1" spans="1:62">
      <c r="A131" s="1708" t="s">
        <v>66</v>
      </c>
      <c r="L131" s="1246"/>
      <c r="M131" s="1246"/>
      <c r="N131" s="1246"/>
      <c r="O131" s="1246"/>
      <c r="P131" s="1859"/>
      <c r="Q131" s="1859"/>
      <c r="R131" s="1246"/>
      <c r="S131" s="1859"/>
      <c r="T131" s="1859"/>
      <c r="U131" s="1716">
        <f t="shared" ref="U131:Z131" si="239">U127/U$143</f>
        <v>0.132457166448772</v>
      </c>
      <c r="V131" s="1716">
        <f t="shared" si="239"/>
        <v>0.141176470588235</v>
      </c>
      <c r="W131" s="1246">
        <f t="shared" si="239"/>
        <v>0.139191290824261</v>
      </c>
      <c r="X131" s="1246">
        <f t="shared" si="239"/>
        <v>0.137006315392591</v>
      </c>
      <c r="Y131" s="1246">
        <f t="shared" si="239"/>
        <v>0.0522016883413187</v>
      </c>
      <c r="Z131" s="1246">
        <f t="shared" si="239"/>
        <v>0.055073812444482</v>
      </c>
      <c r="AA131" s="1246">
        <f t="shared" ref="AA131:AB131" si="240">AA127/AA$143</f>
        <v>0.050292279782302</v>
      </c>
      <c r="AB131" s="1246">
        <f t="shared" si="240"/>
        <v>0.102712630686635</v>
      </c>
      <c r="AC131" s="1246">
        <f t="shared" ref="AC131" si="241">AC127/AC$143</f>
        <v>0.0995513304606637</v>
      </c>
      <c r="AD131" s="1246"/>
      <c r="AE131" s="1246">
        <f t="shared" ref="AE131:AJ131" si="242">AE127/AE$143</f>
        <v>0.0573458298962358</v>
      </c>
      <c r="AF131" s="1717">
        <f t="shared" si="242"/>
        <v>0.0566684132038209</v>
      </c>
      <c r="AG131" s="1246">
        <f t="shared" ref="AG131" si="243">AG127/AG$143</f>
        <v>0.0543187663979671</v>
      </c>
      <c r="AH131" s="1246">
        <f t="shared" si="242"/>
        <v>0.0545099226178174</v>
      </c>
      <c r="AI131" s="1246">
        <f t="shared" si="242"/>
        <v>0.0546258988696939</v>
      </c>
      <c r="AJ131" s="1246">
        <f t="shared" si="242"/>
        <v>0.0546474827990731</v>
      </c>
      <c r="AK131" s="1246">
        <f t="shared" ref="AK131" si="244">AK127/AK$143</f>
        <v>0.054665327915368</v>
      </c>
      <c r="AL131" s="1246"/>
      <c r="AM131" s="1863"/>
      <c r="AN131" s="1864"/>
      <c r="AX131" s="1678"/>
      <c r="AZ131" s="1690"/>
      <c r="BA131" s="1690"/>
      <c r="BB131" s="1690"/>
      <c r="BC131" s="1691"/>
    </row>
    <row r="132" customHeight="1" spans="1:62">
      <c r="A132" s="969" t="s">
        <v>107</v>
      </c>
      <c r="L132" s="1246"/>
      <c r="M132" s="1246"/>
      <c r="N132" s="1246"/>
      <c r="O132" s="1246"/>
      <c r="P132" s="1859"/>
      <c r="Q132" s="1859"/>
      <c r="R132" s="1246"/>
      <c r="S132" s="1859"/>
      <c r="T132" s="1859"/>
      <c r="U132" s="1716"/>
      <c r="V132" s="1716"/>
      <c r="W132" s="1246"/>
      <c r="X132" s="1246"/>
      <c r="Y132" s="1246"/>
      <c r="Z132" s="1246"/>
      <c r="AA132" s="1246"/>
      <c r="AB132" s="1246"/>
      <c r="AC132" s="1246"/>
      <c r="AD132" s="1772">
        <f>Interim!HY204</f>
        <v>2850</v>
      </c>
      <c r="AE132" s="1772">
        <f>Interim!IG204</f>
        <v>3237.99700000001</v>
      </c>
      <c r="AF132" s="1820">
        <f>Interim!IO204</f>
        <v>3510</v>
      </c>
      <c r="AG132" s="1772">
        <f>Interim!IW204</f>
        <v>3707.6</v>
      </c>
      <c r="AH132" s="1772">
        <f>AG132*(1+AH133)</f>
        <v>4050.98175946173</v>
      </c>
      <c r="AI132" s="1772">
        <f>AH132*(1+AI133)</f>
        <v>4375.06030021867</v>
      </c>
      <c r="AJ132" s="1772">
        <f>AI132*(1+AJ133)</f>
        <v>4637.56391823179</v>
      </c>
      <c r="AK132" s="1772">
        <f>AJ132*(1+AK133)</f>
        <v>4915.8177533257</v>
      </c>
      <c r="AL132" s="1246"/>
      <c r="AM132" s="1863"/>
      <c r="AN132" s="1864"/>
      <c r="AX132" s="1678"/>
      <c r="AZ132" s="1690"/>
      <c r="BA132" s="1690"/>
      <c r="BB132" s="1690"/>
      <c r="BC132" s="1691"/>
    </row>
    <row r="133" customHeight="1" spans="1:62">
      <c r="A133" s="1708" t="s">
        <v>61</v>
      </c>
      <c r="L133" s="1246"/>
      <c r="M133" s="1246"/>
      <c r="N133" s="1246"/>
      <c r="O133" s="1246"/>
      <c r="P133" s="1859"/>
      <c r="Q133" s="1859"/>
      <c r="R133" s="1246"/>
      <c r="S133" s="1859"/>
      <c r="T133" s="1859"/>
      <c r="U133" s="1716"/>
      <c r="V133" s="1716"/>
      <c r="W133" s="1246"/>
      <c r="X133" s="1246"/>
      <c r="Y133" s="1246"/>
      <c r="Z133" s="1246"/>
      <c r="AA133" s="1246"/>
      <c r="AB133" s="1246"/>
      <c r="AC133" s="1246"/>
      <c r="AD133" s="1246"/>
      <c r="AE133" s="1246">
        <f>Interim!IG205</f>
        <v>0.136139298245616</v>
      </c>
      <c r="AF133" s="1717">
        <f>Interim!IO205</f>
        <v>0.0840034749877763</v>
      </c>
      <c r="AG133" s="1246">
        <f>Interim!IW205</f>
        <v>0.0562962962962965</v>
      </c>
      <c r="AH133" s="1246">
        <f>AH135+AH134</f>
        <v>0.0926156433978133</v>
      </c>
      <c r="AI133" s="1246">
        <f>AI135+AI134</f>
        <v>0.08</v>
      </c>
      <c r="AJ133" s="1246">
        <f>AJ135+AJ134</f>
        <v>0.06</v>
      </c>
      <c r="AK133" s="1246">
        <f>AK135+AK134</f>
        <v>0.06</v>
      </c>
      <c r="AL133" s="1246"/>
      <c r="AM133" s="1863"/>
      <c r="AN133" s="1864"/>
      <c r="AX133" s="1678"/>
      <c r="AZ133" s="1690"/>
      <c r="BA133" s="1690"/>
      <c r="BB133" s="1690"/>
      <c r="BC133" s="1691"/>
    </row>
    <row r="134" customHeight="1" spans="1:62">
      <c r="A134" s="1708" t="s">
        <v>99</v>
      </c>
      <c r="L134" s="1246"/>
      <c r="M134" s="1246"/>
      <c r="N134" s="1246"/>
      <c r="O134" s="1246"/>
      <c r="P134" s="1859"/>
      <c r="Q134" s="1859"/>
      <c r="R134" s="1246"/>
      <c r="S134" s="1859"/>
      <c r="T134" s="1859"/>
      <c r="U134" s="1716"/>
      <c r="V134" s="1716"/>
      <c r="W134" s="1246"/>
      <c r="X134" s="1246"/>
      <c r="Y134" s="1246"/>
      <c r="Z134" s="1246"/>
      <c r="AA134" s="1246"/>
      <c r="AB134" s="1246"/>
      <c r="AC134" s="1246"/>
      <c r="AD134" s="1246"/>
      <c r="AE134" s="1246">
        <f>Interim!IG206</f>
        <v>-0.0671126315789454</v>
      </c>
      <c r="AF134" s="1717">
        <f>Interim!IO206</f>
        <v>-0.0761881836209254</v>
      </c>
      <c r="AG134" s="1246">
        <f>Interim!IW206</f>
        <v>-0.0266210826210824</v>
      </c>
      <c r="AH134" s="1246">
        <f>AH455</f>
        <v>0.0126156433978133</v>
      </c>
      <c r="AI134" s="1246">
        <f>AI455</f>
        <v>0</v>
      </c>
      <c r="AJ134" s="1246">
        <f>AJ455</f>
        <v>0</v>
      </c>
      <c r="AK134" s="1246">
        <f>AK455</f>
        <v>0</v>
      </c>
      <c r="AL134" s="1246"/>
      <c r="AM134" s="1863"/>
      <c r="AN134" s="1864"/>
      <c r="AX134" s="1678"/>
      <c r="AZ134" s="1690"/>
      <c r="BA134" s="1690"/>
      <c r="BB134" s="1690"/>
      <c r="BC134" s="1691"/>
    </row>
    <row r="135" customHeight="1" spans="1:62">
      <c r="A135" s="1708" t="s">
        <v>100</v>
      </c>
      <c r="L135" s="1246"/>
      <c r="M135" s="1246"/>
      <c r="N135" s="1246"/>
      <c r="O135" s="1246"/>
      <c r="P135" s="1859"/>
      <c r="Q135" s="1859"/>
      <c r="R135" s="1246"/>
      <c r="S135" s="1859"/>
      <c r="T135" s="1859"/>
      <c r="U135" s="1716"/>
      <c r="V135" s="1716"/>
      <c r="W135" s="1246"/>
      <c r="X135" s="1246"/>
      <c r="Y135" s="1246"/>
      <c r="Z135" s="1246"/>
      <c r="AA135" s="1246"/>
      <c r="AB135" s="1246"/>
      <c r="AC135" s="1246"/>
      <c r="AD135" s="1246"/>
      <c r="AE135" s="1246">
        <f>Interim!IG207</f>
        <v>0.203251929824561</v>
      </c>
      <c r="AF135" s="1717">
        <f>Interim!IO207</f>
        <v>0.160191658608702</v>
      </c>
      <c r="AG135" s="1246">
        <f>Interim!IW207</f>
        <v>0.0829173789173789</v>
      </c>
      <c r="AH135" s="1861">
        <v>0.08</v>
      </c>
      <c r="AI135" s="1861">
        <v>0.08</v>
      </c>
      <c r="AJ135" s="1861">
        <v>0.06</v>
      </c>
      <c r="AK135" s="1861">
        <v>0.06</v>
      </c>
      <c r="AL135" s="1246"/>
      <c r="AM135" s="1863"/>
      <c r="AN135" s="1864"/>
      <c r="AX135" s="1678"/>
      <c r="AZ135" s="1690"/>
      <c r="BA135" s="1690"/>
      <c r="BB135" s="1690"/>
      <c r="BC135" s="1691"/>
    </row>
    <row r="136" customHeight="1" spans="1:62">
      <c r="A136" s="1708" t="s">
        <v>66</v>
      </c>
      <c r="L136" s="1246"/>
      <c r="M136" s="1246"/>
      <c r="N136" s="1246"/>
      <c r="O136" s="1246"/>
      <c r="P136" s="1859"/>
      <c r="Q136" s="1859"/>
      <c r="R136" s="1246"/>
      <c r="S136" s="1859"/>
      <c r="T136" s="1859"/>
      <c r="U136" s="1716"/>
      <c r="V136" s="1716"/>
      <c r="W136" s="1246"/>
      <c r="X136" s="1246"/>
      <c r="Y136" s="1246"/>
      <c r="Z136" s="1246"/>
      <c r="AA136" s="1246"/>
      <c r="AB136" s="1246"/>
      <c r="AC136" s="1246"/>
      <c r="AD136" s="1246"/>
      <c r="AE136" s="1246">
        <f t="shared" ref="AE136:AJ136" si="245">AE132/AE$143</f>
        <v>0.140580775409196</v>
      </c>
      <c r="AF136" s="1717">
        <f t="shared" si="245"/>
        <v>0.141469509491758</v>
      </c>
      <c r="AG136" s="1246">
        <f t="shared" si="245"/>
        <v>0.136645760041263</v>
      </c>
      <c r="AH136" s="1246">
        <f t="shared" si="245"/>
        <v>0.138809972215947</v>
      </c>
      <c r="AI136" s="1246">
        <f t="shared" si="245"/>
        <v>0.140405356303263</v>
      </c>
      <c r="AJ136" s="1246">
        <f t="shared" si="245"/>
        <v>0.14046083363833</v>
      </c>
      <c r="AK136" s="1246">
        <f t="shared" ref="AK136" si="246">AK132/AK$143</f>
        <v>0.140506701074171</v>
      </c>
      <c r="AL136" s="1246"/>
      <c r="AM136" s="1863"/>
      <c r="AN136" s="1864"/>
      <c r="AX136" s="1678"/>
      <c r="AZ136" s="1690"/>
      <c r="BA136" s="1690"/>
      <c r="BB136" s="1690"/>
      <c r="BC136" s="1691"/>
    </row>
    <row r="137" customHeight="1" spans="1:62">
      <c r="A137" s="1678" t="s">
        <v>70</v>
      </c>
      <c r="L137" s="1246"/>
      <c r="M137" s="1246"/>
      <c r="N137" s="1246"/>
      <c r="O137" s="1246"/>
      <c r="P137" s="1859"/>
      <c r="Q137" s="1859"/>
      <c r="R137" s="1246"/>
      <c r="S137" s="1859"/>
      <c r="T137" s="1859"/>
      <c r="U137" s="1833">
        <f>Interim!FE209</f>
        <v>1358</v>
      </c>
      <c r="V137" s="1833">
        <f>Interim!FM209</f>
        <v>1467</v>
      </c>
      <c r="W137" s="1772">
        <f>Interim!FU209</f>
        <v>1475</v>
      </c>
      <c r="X137" s="1772">
        <f>Interim!GC209</f>
        <v>741</v>
      </c>
      <c r="Y137" s="1772">
        <f>Interim!GK209+Interim!GK210</f>
        <v>831</v>
      </c>
      <c r="Z137" s="1772">
        <f>Interim!GS209+Interim!GS210</f>
        <v>605</v>
      </c>
      <c r="AA137" s="1772">
        <f>Interim!HA209+Interim!HA210</f>
        <v>476</v>
      </c>
      <c r="AB137" s="1772">
        <f>Interim!HI209+Interim!HI210</f>
        <v>144.000000000002</v>
      </c>
      <c r="AC137" s="1772">
        <f>Interim!HQ209+Interim!HQ210</f>
        <v>150</v>
      </c>
      <c r="AD137" s="1772">
        <f>Interim!HY209+Interim!HY210</f>
        <v>199</v>
      </c>
      <c r="AE137" s="1772">
        <f>Interim!IG209+Interim!IG210</f>
        <v>104</v>
      </c>
      <c r="AF137" s="1820">
        <f>Interim!IO209</f>
        <v>72</v>
      </c>
      <c r="AG137" s="1772">
        <f>Interim!IW209</f>
        <v>151.749999999994</v>
      </c>
      <c r="AH137" s="1772">
        <f>AG137*(1+AH138)</f>
        <v>153.290120511858</v>
      </c>
      <c r="AI137" s="1772">
        <f>AH137*(1+AI138)</f>
        <v>153.290120511858</v>
      </c>
      <c r="AJ137" s="1772">
        <f>AI137*(1+AJ138)</f>
        <v>153.290120511858</v>
      </c>
      <c r="AK137" s="1772">
        <f>AJ137*(1+AK138)</f>
        <v>153.290120511858</v>
      </c>
      <c r="AL137" s="1772"/>
      <c r="AM137" s="1857"/>
      <c r="AX137" s="1873"/>
      <c r="AY137" s="1873"/>
      <c r="AZ137" s="1873"/>
      <c r="BA137" s="1873"/>
      <c r="BB137" s="1873"/>
      <c r="BC137" s="1873"/>
    </row>
    <row r="138" customHeight="1" spans="1:62">
      <c r="A138" s="1708" t="s">
        <v>61</v>
      </c>
      <c r="L138" s="1246"/>
      <c r="M138" s="1246"/>
      <c r="N138" s="1246"/>
      <c r="O138" s="1246"/>
      <c r="P138" s="1859"/>
      <c r="Q138" s="1859"/>
      <c r="R138" s="1246"/>
      <c r="S138" s="1859"/>
      <c r="T138" s="1859"/>
      <c r="U138" s="1716"/>
      <c r="V138" s="1716">
        <f>V137/U137-1</f>
        <v>0.0802650957290132</v>
      </c>
      <c r="W138" s="1246">
        <f>W137/V137-1</f>
        <v>0.00545330606680294</v>
      </c>
      <c r="X138" s="1246">
        <f>X137/W137-1</f>
        <v>-0.497627118644068</v>
      </c>
      <c r="Y138" s="1246">
        <f t="shared" ref="Y138:AE138" si="247">(Y137/X137)-1</f>
        <v>0.121457489878543</v>
      </c>
      <c r="Z138" s="1246">
        <f t="shared" si="247"/>
        <v>-0.271961492178099</v>
      </c>
      <c r="AA138" s="1246">
        <f t="shared" si="247"/>
        <v>-0.213223140495868</v>
      </c>
      <c r="AB138" s="1246">
        <f t="shared" si="247"/>
        <v>-0.697478991596635</v>
      </c>
      <c r="AC138" s="1246">
        <f t="shared" si="247"/>
        <v>0.0416666666666539</v>
      </c>
      <c r="AD138" s="1246">
        <f t="shared" si="247"/>
        <v>0.326666666666667</v>
      </c>
      <c r="AE138" s="1246">
        <f t="shared" si="247"/>
        <v>-0.477386934673367</v>
      </c>
      <c r="AF138" s="1717">
        <f>Interim!IO211</f>
        <v>-0.307692307692308</v>
      </c>
      <c r="AG138" s="1246">
        <f>Interim!IW211</f>
        <v>1.1076388888888</v>
      </c>
      <c r="AH138" s="1246">
        <f>AH140+AH139</f>
        <v>0.0101490643285971</v>
      </c>
      <c r="AI138" s="1246">
        <f>AI140+AI139</f>
        <v>0</v>
      </c>
      <c r="AJ138" s="1246">
        <f>AJ140+AJ139</f>
        <v>0</v>
      </c>
      <c r="AK138" s="1246">
        <f>AK140+AK139</f>
        <v>0</v>
      </c>
      <c r="AL138" s="1246"/>
      <c r="AM138" s="1857"/>
      <c r="AQ138" s="1715"/>
      <c r="AS138" s="1715"/>
      <c r="AX138" s="1874"/>
      <c r="AY138" s="1874"/>
      <c r="AZ138" s="1874"/>
      <c r="BA138" s="1874"/>
      <c r="BB138" s="1874"/>
      <c r="BC138" s="1874"/>
      <c r="BG138" s="1679"/>
    </row>
    <row r="139" customHeight="1" spans="1:62">
      <c r="A139" s="1708" t="s">
        <v>99</v>
      </c>
      <c r="L139" s="1246"/>
      <c r="M139" s="1246"/>
      <c r="N139" s="1246"/>
      <c r="O139" s="1246"/>
      <c r="P139" s="1859"/>
      <c r="Q139" s="1859"/>
      <c r="R139" s="1246"/>
      <c r="S139" s="1859"/>
      <c r="T139" s="1859"/>
      <c r="U139" s="1716"/>
      <c r="V139" s="1716">
        <f>V138-V140</f>
        <v>0.106857142857143</v>
      </c>
      <c r="W139" s="1246">
        <f>W138-W140</f>
        <v>-0.00420449897750517</v>
      </c>
      <c r="X139" s="1246">
        <f>X138-X140</f>
        <v>-0.625356319612591</v>
      </c>
      <c r="Y139" s="1246"/>
      <c r="Z139" s="1246">
        <f t="shared" ref="Z139:AD139" si="248">60%*Z450+20%*Z457+20%*Z456</f>
        <v>0.0313123417448936</v>
      </c>
      <c r="AA139" s="1246">
        <f t="shared" si="248"/>
        <v>-0.0140052206109311</v>
      </c>
      <c r="AB139" s="1246">
        <f t="shared" si="248"/>
        <v>-0.0255829659066866</v>
      </c>
      <c r="AC139" s="1246">
        <f t="shared" si="248"/>
        <v>0.100762942302335</v>
      </c>
      <c r="AD139" s="1246">
        <f t="shared" si="248"/>
        <v>-0.0403086346220484</v>
      </c>
      <c r="AE139" s="1246">
        <f t="shared" ref="AE139" si="249">60%*AE450+20%*AE457+20%*AE456</f>
        <v>0.00550859177833523</v>
      </c>
      <c r="AF139" s="1717">
        <f>Interim!IO212</f>
        <v>-0.201307692307692</v>
      </c>
      <c r="AG139" s="1246">
        <f>Interim!IW212</f>
        <v>0</v>
      </c>
      <c r="AH139" s="1246">
        <f t="shared" ref="AH139" si="250">60%*AH450+20%*AH457+20%*AH456</f>
        <v>0.0101490643285971</v>
      </c>
      <c r="AI139" s="1246">
        <f t="shared" ref="AI139:AJ139" si="251">60%*AI450+20%*AI457+20%*AI456</f>
        <v>0</v>
      </c>
      <c r="AJ139" s="1246">
        <f t="shared" si="251"/>
        <v>0</v>
      </c>
      <c r="AK139" s="1246">
        <f t="shared" ref="AK139" si="252">60%*AK450+20%*AK457+20%*AK456</f>
        <v>0</v>
      </c>
      <c r="AL139" s="1246"/>
      <c r="AM139" s="1857"/>
      <c r="AQ139" s="1715"/>
      <c r="AW139" s="1875"/>
      <c r="AX139" s="1876"/>
      <c r="AY139" s="1716"/>
      <c r="AZ139" s="1716"/>
      <c r="BA139" s="1716"/>
      <c r="BB139" s="1716"/>
      <c r="BC139" s="1716"/>
      <c r="BD139" s="1679"/>
    </row>
    <row r="140" customHeight="1" spans="1:62">
      <c r="A140" s="1708" t="s">
        <v>100</v>
      </c>
      <c r="L140" s="1246"/>
      <c r="M140" s="1246"/>
      <c r="N140" s="1246"/>
      <c r="O140" s="1246"/>
      <c r="P140" s="1859"/>
      <c r="Q140" s="1859"/>
      <c r="R140" s="1246"/>
      <c r="S140" s="1859"/>
      <c r="T140" s="1859"/>
      <c r="U140" s="1716"/>
      <c r="V140" s="1716">
        <f>Interim!FM213</f>
        <v>-0.0265920471281296</v>
      </c>
      <c r="W140" s="1246">
        <f>Interim!FU213</f>
        <v>0.00965780504430811</v>
      </c>
      <c r="X140" s="1246">
        <f>Interim!GC213</f>
        <v>0.127729200968523</v>
      </c>
      <c r="Y140" s="1861"/>
      <c r="Z140" s="1861">
        <v>0</v>
      </c>
      <c r="AA140" s="1861">
        <f>AA138-AA139</f>
        <v>-0.199217919884937</v>
      </c>
      <c r="AB140" s="1861">
        <f>AB138-AB139</f>
        <v>-0.671896025689948</v>
      </c>
      <c r="AC140" s="1861">
        <f>AC138-AC139</f>
        <v>-0.059096275635681</v>
      </c>
      <c r="AD140" s="1861">
        <f>AD138-AD139</f>
        <v>0.366975301288716</v>
      </c>
      <c r="AE140" s="1861">
        <f>AE138-AE139</f>
        <v>-0.482895526451702</v>
      </c>
      <c r="AF140" s="1717">
        <f>Interim!IO213</f>
        <v>-0.106384615384615</v>
      </c>
      <c r="AG140" s="1246">
        <f>Interim!IW213</f>
        <v>1.1076388888888</v>
      </c>
      <c r="AH140" s="1861">
        <v>0</v>
      </c>
      <c r="AI140" s="1861">
        <v>0</v>
      </c>
      <c r="AJ140" s="1861">
        <v>0</v>
      </c>
      <c r="AK140" s="1861">
        <v>0</v>
      </c>
      <c r="AL140" s="1861"/>
      <c r="AM140" s="1857"/>
      <c r="AN140" s="1696"/>
      <c r="AW140" s="1875"/>
      <c r="AX140" s="1876"/>
      <c r="AY140" s="1716"/>
      <c r="AZ140" s="1716"/>
      <c r="BA140" s="1716"/>
      <c r="BB140" s="1716"/>
      <c r="BC140" s="1716"/>
    </row>
    <row r="141" customHeight="1" spans="1:62">
      <c r="A141" s="1708" t="s">
        <v>66</v>
      </c>
      <c r="L141" s="1246"/>
      <c r="M141" s="1246"/>
      <c r="N141" s="1246"/>
      <c r="O141" s="1246"/>
      <c r="P141" s="1859"/>
      <c r="Q141" s="1859"/>
      <c r="R141" s="1246"/>
      <c r="S141" s="1859"/>
      <c r="T141" s="1859"/>
      <c r="U141" s="1716">
        <f t="shared" ref="U141:Z141" si="253">U137/U$143</f>
        <v>0.0934425101493154</v>
      </c>
      <c r="V141" s="1716">
        <f t="shared" si="253"/>
        <v>0.0867277564292048</v>
      </c>
      <c r="W141" s="1246">
        <f t="shared" si="253"/>
        <v>0.076464489372732</v>
      </c>
      <c r="X141" s="1246">
        <f t="shared" si="253"/>
        <v>0.0349231784334056</v>
      </c>
      <c r="Y141" s="1246">
        <f t="shared" si="253"/>
        <v>0.0379192334017796</v>
      </c>
      <c r="Z141" s="1246">
        <f t="shared" si="253"/>
        <v>0.0255911340467831</v>
      </c>
      <c r="AA141" s="1246">
        <f t="shared" ref="AA141:AB141" si="254">AA137/AA$143</f>
        <v>0.023987099375126</v>
      </c>
      <c r="AB141" s="1246">
        <f t="shared" si="254"/>
        <v>0.00678157671658669</v>
      </c>
      <c r="AC141" s="1246">
        <f t="shared" ref="AC141:AH141" si="255">AC137/AC$143</f>
        <v>0.00666340900004442</v>
      </c>
      <c r="AD141" s="1246">
        <f t="shared" si="255"/>
        <v>0.0096237547151562</v>
      </c>
      <c r="AE141" s="1246">
        <f t="shared" si="255"/>
        <v>0.0045152607128902</v>
      </c>
      <c r="AF141" s="1717">
        <f t="shared" si="255"/>
        <v>0.00290193865624118</v>
      </c>
      <c r="AG141" s="1246">
        <f t="shared" si="255"/>
        <v>0.00559283474114273</v>
      </c>
      <c r="AH141" s="1246">
        <f t="shared" si="255"/>
        <v>0.00525260261158459</v>
      </c>
      <c r="AI141" s="1246">
        <f t="shared" ref="AI141:AJ141" si="256">AI137/AI$143</f>
        <v>0.00491941882199015</v>
      </c>
      <c r="AJ141" s="1246">
        <f t="shared" si="256"/>
        <v>0.0046427949016442</v>
      </c>
      <c r="AK141" s="1246">
        <f t="shared" ref="AK141" si="257">AK137/AK$143</f>
        <v>0.00438142547611981</v>
      </c>
      <c r="AL141" s="1246"/>
      <c r="AM141" s="1736"/>
      <c r="AX141" s="1876"/>
      <c r="AY141" s="1876"/>
      <c r="AZ141" s="1877"/>
      <c r="BA141" s="1877"/>
      <c r="BB141" s="1877"/>
      <c r="BC141" s="1878"/>
    </row>
    <row r="142" customHeight="1" spans="1:62">
      <c r="A142" s="1678" t="s">
        <v>108</v>
      </c>
      <c r="L142" s="1246"/>
      <c r="M142" s="1246"/>
      <c r="N142" s="1246"/>
      <c r="O142" s="1246"/>
      <c r="P142" s="1859"/>
      <c r="Q142" s="1859"/>
      <c r="R142" s="1246"/>
      <c r="S142" s="1859"/>
      <c r="T142" s="1859"/>
      <c r="U142" s="1716"/>
      <c r="V142" s="1716"/>
      <c r="W142" s="1246"/>
      <c r="X142" s="1246"/>
      <c r="Y142" s="1772">
        <v>0</v>
      </c>
      <c r="Z142" s="1772">
        <v>0</v>
      </c>
      <c r="AA142" s="1772">
        <v>0</v>
      </c>
      <c r="AB142" s="1772">
        <v>0</v>
      </c>
      <c r="AC142" s="1772">
        <f>Interim!HQ215</f>
        <v>-117</v>
      </c>
      <c r="AD142" s="1772">
        <f>Interim!HY215</f>
        <v>84</v>
      </c>
      <c r="AE142" s="1772">
        <f>Interim!IG215</f>
        <v>20</v>
      </c>
      <c r="AF142" s="1820">
        <f>Interim!IO215</f>
        <v>52</v>
      </c>
      <c r="AG142" s="1772">
        <f>Interim!IW215</f>
        <v>0</v>
      </c>
      <c r="AH142" s="1772">
        <v>0</v>
      </c>
      <c r="AI142" s="1772">
        <v>0</v>
      </c>
      <c r="AJ142" s="1772">
        <v>0</v>
      </c>
      <c r="AK142" s="1772">
        <v>0</v>
      </c>
      <c r="AL142" s="1246"/>
      <c r="AM142" s="1736"/>
      <c r="AX142" s="1876"/>
      <c r="AY142" s="1876"/>
      <c r="AZ142" s="1877"/>
      <c r="BA142" s="1877"/>
      <c r="BB142" s="1877"/>
      <c r="BC142" s="1878"/>
    </row>
    <row r="143" customHeight="1" spans="1:62">
      <c r="A143" s="1678" t="s">
        <v>109</v>
      </c>
      <c r="L143" s="1246"/>
      <c r="M143" s="1246"/>
      <c r="N143" s="1246"/>
      <c r="O143" s="1246"/>
      <c r="P143" s="1859"/>
      <c r="Q143" s="1859"/>
      <c r="R143" s="1246"/>
      <c r="S143" s="1859"/>
      <c r="T143" s="1859"/>
      <c r="U143" s="1833">
        <f t="shared" ref="U143:AA143" si="258">U97+U102+U107+U112+U117+U122+U127+U137</f>
        <v>14533</v>
      </c>
      <c r="V143" s="1833">
        <f t="shared" si="258"/>
        <v>16915</v>
      </c>
      <c r="W143" s="1772">
        <f t="shared" si="258"/>
        <v>19290</v>
      </c>
      <c r="X143" s="1772">
        <f t="shared" si="258"/>
        <v>21218</v>
      </c>
      <c r="Y143" s="1772">
        <f t="shared" si="258"/>
        <v>21915</v>
      </c>
      <c r="Z143" s="1772">
        <f t="shared" si="258"/>
        <v>23641</v>
      </c>
      <c r="AA143" s="1772">
        <f t="shared" si="258"/>
        <v>19844</v>
      </c>
      <c r="AB143" s="1772">
        <f t="shared" ref="AB143" si="259">AB97+AB102+AB107+AB112+AB117+AB122+AB127+AB137</f>
        <v>21234</v>
      </c>
      <c r="AC143" s="1772">
        <f>AC97+AC102+AC107+AC112+AC117+AC122+AC127+AC137+AC142</f>
        <v>22511</v>
      </c>
      <c r="AD143" s="1772">
        <f>AD97+AD102+AD107+AD112+AD117+AD122+AD127+AD137+AD142+AD132</f>
        <v>20678</v>
      </c>
      <c r="AE143" s="1772">
        <f>AE97+AE102+AE107+AE112+AE117+AE122+AE127+AE137+AE142+AE132</f>
        <v>23033</v>
      </c>
      <c r="AF143" s="1820">
        <f>AF97+AF102+AF107+AF112+AF117+AF122+AF127+AF137+AF142+AF132</f>
        <v>24811</v>
      </c>
      <c r="AG143" s="1772">
        <f>AG97+AG102+AG107+AG112+AG117+AG122+AG127+AG137+AG142+AG132</f>
        <v>27132.9311563009</v>
      </c>
      <c r="AH143" s="1772">
        <f t="shared" ref="AH143:AI143" si="260">AH97+AH102+AH107+AH112+AH117+AH122+AH127+AH137+AH142+AH132</f>
        <v>29183.6508198389</v>
      </c>
      <c r="AI143" s="1772">
        <f t="shared" si="260"/>
        <v>31160.2093781161</v>
      </c>
      <c r="AJ143" s="1772">
        <f t="shared" ref="AJ143:AK143" si="261">AJ97+AJ102+AJ107+AJ112+AJ117+AJ122+AJ127+AJ137+AJ142+AJ132</f>
        <v>33016.7762649976</v>
      </c>
      <c r="AK143" s="1772">
        <f t="shared" si="261"/>
        <v>34986.3580579743</v>
      </c>
      <c r="AL143" s="1772"/>
      <c r="AP143" s="1772"/>
      <c r="AQ143" s="1772"/>
      <c r="AR143" s="1772"/>
      <c r="AS143" s="1772"/>
      <c r="AT143" s="1772"/>
      <c r="AU143" s="1772"/>
      <c r="AV143" s="1826"/>
      <c r="AX143" s="1874"/>
      <c r="AY143" s="1874"/>
      <c r="AZ143" s="1874"/>
      <c r="BA143" s="1874"/>
      <c r="BB143" s="1874"/>
      <c r="BC143" s="1874"/>
      <c r="BE143" s="1716"/>
      <c r="BF143" s="1678"/>
      <c r="BG143" s="1678"/>
      <c r="BH143" s="1678"/>
      <c r="BI143" s="1678"/>
      <c r="BJ143" s="1678"/>
    </row>
    <row r="144" customHeight="1" spans="1:62">
      <c r="A144" s="1708" t="s">
        <v>61</v>
      </c>
      <c r="L144" s="1246"/>
      <c r="M144" s="1246"/>
      <c r="N144" s="1246"/>
      <c r="O144" s="1246"/>
      <c r="P144" s="1859"/>
      <c r="Q144" s="1859"/>
      <c r="R144" s="1246"/>
      <c r="S144" s="1859"/>
      <c r="T144" s="1859"/>
      <c r="U144" s="1716"/>
      <c r="V144" s="1716">
        <f t="shared" ref="V144:AA144" si="262">V143/U143-1</f>
        <v>0.163902841808298</v>
      </c>
      <c r="W144" s="1246">
        <f t="shared" si="262"/>
        <v>0.140407921962755</v>
      </c>
      <c r="X144" s="1246">
        <f t="shared" si="262"/>
        <v>0.0999481596682219</v>
      </c>
      <c r="Y144" s="1246">
        <f t="shared" si="262"/>
        <v>0.0328494674333115</v>
      </c>
      <c r="Z144" s="1246">
        <f t="shared" si="262"/>
        <v>0.0787588409764999</v>
      </c>
      <c r="AA144" s="1246">
        <f t="shared" si="262"/>
        <v>-0.160610803265513</v>
      </c>
      <c r="AB144" s="1246">
        <f>Interim!HI217</f>
        <v>0.151830756712775</v>
      </c>
      <c r="AC144" s="1246">
        <f>Interim!HQ217</f>
        <v>0.0601393990769521</v>
      </c>
      <c r="AD144" s="1246">
        <f t="shared" ref="AD144:AK144" si="263">AD143/AC143-1</f>
        <v>-0.0814268579805427</v>
      </c>
      <c r="AE144" s="1246">
        <f t="shared" si="263"/>
        <v>0.113889157558758</v>
      </c>
      <c r="AF144" s="1717">
        <f t="shared" si="263"/>
        <v>0.0771935918030651</v>
      </c>
      <c r="AG144" s="1246">
        <f t="shared" si="263"/>
        <v>0.0935847469388953</v>
      </c>
      <c r="AH144" s="1246">
        <f t="shared" si="263"/>
        <v>0.0755804690515973</v>
      </c>
      <c r="AI144" s="1246">
        <f t="shared" si="263"/>
        <v>0.0677282828827417</v>
      </c>
      <c r="AJ144" s="1246">
        <f t="shared" si="263"/>
        <v>0.0595813354253465</v>
      </c>
      <c r="AK144" s="1246">
        <f t="shared" si="263"/>
        <v>0.059653970368533</v>
      </c>
      <c r="AL144" s="1246"/>
      <c r="AW144" s="1875"/>
      <c r="AX144" s="1876"/>
      <c r="AY144" s="1716"/>
      <c r="AZ144" s="1716"/>
      <c r="BA144" s="1716"/>
      <c r="BB144" s="1716"/>
      <c r="BC144" s="1716"/>
    </row>
    <row r="145" customHeight="1" spans="1:63">
      <c r="A145" s="1708" t="s">
        <v>99</v>
      </c>
      <c r="L145" s="1246"/>
      <c r="M145" s="1246"/>
      <c r="N145" s="1246"/>
      <c r="O145" s="1246"/>
      <c r="P145" s="1859"/>
      <c r="Q145" s="1859"/>
      <c r="R145" s="1246"/>
      <c r="S145" s="1859"/>
      <c r="T145" s="1859"/>
      <c r="U145" s="1716"/>
      <c r="V145" s="1716">
        <f t="shared" ref="V145:AA145" si="264">V144-V146</f>
        <v>0.0675617560035781</v>
      </c>
      <c r="W145" s="1246">
        <f t="shared" si="264"/>
        <v>-0.0411913686077446</v>
      </c>
      <c r="X145" s="1246">
        <f t="shared" si="264"/>
        <v>-0.0600496271562142</v>
      </c>
      <c r="Y145" s="1246">
        <f t="shared" si="264"/>
        <v>-0.0513580921858798</v>
      </c>
      <c r="Z145" s="1246">
        <f t="shared" si="264"/>
        <v>0.0182392699064566</v>
      </c>
      <c r="AA145" s="1246">
        <f t="shared" si="264"/>
        <v>-0.0261258601521352</v>
      </c>
      <c r="AB145" s="1246">
        <f t="shared" ref="AB145:AG145" si="265">AB144-AB146</f>
        <v>-0.00816924328722543</v>
      </c>
      <c r="AC145" s="1246">
        <f t="shared" si="265"/>
        <v>0.049704153715739</v>
      </c>
      <c r="AD145" s="1246">
        <f t="shared" si="265"/>
        <v>-0.0374268579805427</v>
      </c>
      <c r="AE145" s="1246">
        <f t="shared" si="265"/>
        <v>-0.023656533041692</v>
      </c>
      <c r="AF145" s="1717">
        <f t="shared" si="265"/>
        <v>-0.0509745569400427</v>
      </c>
      <c r="AG145" s="1246">
        <f t="shared" si="265"/>
        <v>-0.0118076193502505</v>
      </c>
      <c r="AH145" s="1246">
        <f t="shared" ref="AH145" si="266">AH144-AH146</f>
        <v>0.00808578980725629</v>
      </c>
      <c r="AI145" s="1246">
        <f t="shared" ref="AI145:AJ145" si="267">AI144-AI146</f>
        <v>0</v>
      </c>
      <c r="AJ145" s="1246">
        <f t="shared" si="267"/>
        <v>1.52655665885959e-16</v>
      </c>
      <c r="AK145" s="1246">
        <f t="shared" ref="AK145" si="268">AK144-AK146</f>
        <v>0</v>
      </c>
      <c r="AL145" s="1246"/>
      <c r="AR145" s="1736"/>
      <c r="AW145" s="1875"/>
      <c r="AX145" s="1716"/>
      <c r="AY145" s="1716"/>
      <c r="AZ145" s="1716"/>
      <c r="BA145" s="1716"/>
      <c r="BB145" s="1716"/>
      <c r="BC145" s="1716"/>
    </row>
    <row r="146" customHeight="1" spans="1:63">
      <c r="A146" s="1708" t="s">
        <v>100</v>
      </c>
      <c r="L146" s="1246"/>
      <c r="M146" s="1246"/>
      <c r="N146" s="1246"/>
      <c r="O146" s="1246"/>
      <c r="P146" s="1859"/>
      <c r="Q146" s="1716">
        <v>0.0863378678244091</v>
      </c>
      <c r="R146" s="1716">
        <v>0.128348926931913</v>
      </c>
      <c r="S146" s="1716">
        <v>0.0638574087974779</v>
      </c>
      <c r="T146" s="1716">
        <v>0.0294132248570953</v>
      </c>
      <c r="U146" s="1716">
        <v>0.0681704329461457</v>
      </c>
      <c r="V146" s="1716">
        <f t="shared" ref="V146:X146" si="269">(U97*V100+U102*V105+U107*V110+U112*V115+U117*V120+U122*V125+U127*V130+U137*V140)/U143</f>
        <v>0.0963410858047203</v>
      </c>
      <c r="W146" s="1246">
        <f t="shared" si="269"/>
        <v>0.1815992905705</v>
      </c>
      <c r="X146" s="1246">
        <f t="shared" si="269"/>
        <v>0.159997786824436</v>
      </c>
      <c r="Y146" s="1246">
        <f>Interim!GK390</f>
        <v>0.0842075596191913</v>
      </c>
      <c r="Z146" s="1246">
        <f>Interim!GS390</f>
        <v>0.0605195710700433</v>
      </c>
      <c r="AA146" s="1246">
        <f>Interim!HA390</f>
        <v>-0.134484943113378</v>
      </c>
      <c r="AB146" s="1246">
        <f>Interim!HI219</f>
        <v>0.16</v>
      </c>
      <c r="AC146" s="1246">
        <f>Interim!HQ219</f>
        <v>0.0104352453612131</v>
      </c>
      <c r="AD146" s="1246">
        <v>-0.044</v>
      </c>
      <c r="AE146" s="1246">
        <f t="shared" ref="AE146:AK146" si="270">(AD97*AE100+AD102*AE105+AD107*AE110+AD112*AE115+AD117*AE120+AD122*AE125+AD127*AE130+AD137*AE140+AE135*AD132)/AD143</f>
        <v>0.13754569060045</v>
      </c>
      <c r="AF146" s="1717">
        <f t="shared" si="270"/>
        <v>0.128168148743108</v>
      </c>
      <c r="AG146" s="1246">
        <f t="shared" si="270"/>
        <v>0.105392366289146</v>
      </c>
      <c r="AH146" s="1246">
        <f t="shared" si="270"/>
        <v>0.067494679244341</v>
      </c>
      <c r="AI146" s="1246">
        <f t="shared" si="270"/>
        <v>0.0677282828827418</v>
      </c>
      <c r="AJ146" s="1246">
        <f t="shared" si="270"/>
        <v>0.0595813354253463</v>
      </c>
      <c r="AK146" s="1246">
        <f t="shared" si="270"/>
        <v>0.0596539703685331</v>
      </c>
      <c r="AL146" s="1246"/>
      <c r="AM146" s="1696"/>
      <c r="AN146" s="1696"/>
      <c r="AO146" s="1714"/>
      <c r="AU146" s="1879"/>
      <c r="AV146" s="1879"/>
      <c r="AX146" s="1876"/>
      <c r="AY146" s="1876"/>
      <c r="AZ146" s="1877"/>
      <c r="BA146" s="1877"/>
      <c r="BB146" s="1877"/>
      <c r="BC146" s="1878"/>
    </row>
    <row r="147" hidden="1" customHeight="1" outlineLevel="1" spans="1:63">
      <c r="A147" s="1678" t="s">
        <v>110</v>
      </c>
      <c r="L147" s="1246"/>
      <c r="M147" s="1246"/>
      <c r="N147" s="1246"/>
      <c r="O147" s="1246"/>
      <c r="P147" s="1859"/>
      <c r="Q147" s="1859"/>
      <c r="R147" s="1246"/>
      <c r="S147" s="1859"/>
      <c r="T147" s="1859"/>
      <c r="U147" s="1833"/>
      <c r="V147" s="1833">
        <f t="shared" ref="V147:W147" si="271">V143-V219</f>
        <v>16062</v>
      </c>
      <c r="W147" s="1772">
        <f t="shared" si="271"/>
        <v>18482</v>
      </c>
      <c r="X147" s="1772"/>
      <c r="Y147" s="1772"/>
      <c r="Z147" s="1772"/>
      <c r="AA147" s="1772"/>
      <c r="AB147" s="1772"/>
      <c r="AC147" s="1772"/>
      <c r="AD147" s="1772"/>
      <c r="AE147" s="1772"/>
      <c r="AF147" s="1820"/>
      <c r="AG147" s="1772"/>
      <c r="AH147" s="1772"/>
      <c r="AI147" s="1772"/>
      <c r="AJ147" s="1772"/>
      <c r="AK147" s="1772"/>
      <c r="AL147" s="1772"/>
      <c r="AM147" s="1696"/>
      <c r="AN147" s="1696"/>
      <c r="AO147" s="1714"/>
      <c r="AU147" s="1879"/>
      <c r="AV147" s="1879"/>
      <c r="AX147" s="1876"/>
      <c r="AY147" s="1876"/>
      <c r="AZ147" s="1877"/>
      <c r="BA147" s="1877"/>
      <c r="BB147" s="1877"/>
      <c r="BC147" s="1878"/>
      <c r="BF147" s="1678"/>
      <c r="BG147" s="1678"/>
      <c r="BH147" s="1678"/>
      <c r="BI147" s="1678"/>
      <c r="BJ147" s="1678"/>
      <c r="BK147" s="1678"/>
    </row>
    <row r="148" hidden="1" customHeight="1" outlineLevel="1" spans="1:63">
      <c r="A148" s="1708" t="s">
        <v>61</v>
      </c>
      <c r="L148" s="1246"/>
      <c r="M148" s="1246"/>
      <c r="N148" s="1246"/>
      <c r="O148" s="1246"/>
      <c r="P148" s="1859"/>
      <c r="Q148" s="1859"/>
      <c r="R148" s="1246"/>
      <c r="S148" s="1859"/>
      <c r="T148" s="1859"/>
      <c r="U148" s="1716"/>
      <c r="V148" s="1716"/>
      <c r="W148" s="1246">
        <f t="shared" ref="W148" si="272">W147/V147-1</f>
        <v>0.150666168596688</v>
      </c>
      <c r="X148" s="1246"/>
      <c r="Y148" s="1246"/>
      <c r="Z148" s="1246"/>
      <c r="AA148" s="1246"/>
      <c r="AB148" s="1246"/>
      <c r="AC148" s="1246"/>
      <c r="AD148" s="1246"/>
      <c r="AE148" s="1246"/>
      <c r="AF148" s="1717"/>
      <c r="AG148" s="1246"/>
      <c r="AH148" s="1246"/>
      <c r="AI148" s="1246"/>
      <c r="AJ148" s="1246"/>
      <c r="AK148" s="1246"/>
      <c r="AL148" s="1246"/>
      <c r="AM148" s="1696"/>
      <c r="AN148" s="1696"/>
      <c r="AO148" s="1714"/>
      <c r="AU148" s="1879"/>
      <c r="AV148" s="1879"/>
      <c r="AX148" s="1876"/>
      <c r="AY148" s="1876"/>
      <c r="AZ148" s="1877"/>
      <c r="BA148" s="1877"/>
      <c r="BB148" s="1877"/>
      <c r="BC148" s="1878"/>
      <c r="BG148" s="1679"/>
      <c r="BJ148" s="1679"/>
      <c r="BK148" s="1679"/>
    </row>
    <row r="149" hidden="1" customHeight="1" outlineLevel="1" spans="1:63">
      <c r="A149" s="1708" t="s">
        <v>99</v>
      </c>
      <c r="L149" s="1246"/>
      <c r="M149" s="1246"/>
      <c r="N149" s="1246"/>
      <c r="O149" s="1246"/>
      <c r="P149" s="1859"/>
      <c r="Q149" s="1859"/>
      <c r="R149" s="1246"/>
      <c r="S149" s="1859"/>
      <c r="T149" s="1859"/>
      <c r="U149" s="1716"/>
      <c r="V149" s="1716"/>
      <c r="W149" s="1246">
        <f t="shared" ref="W149" si="273">W148-W150</f>
        <v>-0.0433789067363964</v>
      </c>
      <c r="X149" s="1246"/>
      <c r="Y149" s="1246"/>
      <c r="Z149" s="1246"/>
      <c r="AA149" s="1246"/>
      <c r="AB149" s="1246"/>
      <c r="AC149" s="1246"/>
      <c r="AD149" s="1246"/>
      <c r="AE149" s="1246"/>
      <c r="AF149" s="1717"/>
      <c r="AG149" s="1246"/>
      <c r="AH149" s="1246"/>
      <c r="AI149" s="1246"/>
      <c r="AJ149" s="1246"/>
      <c r="AK149" s="1246"/>
      <c r="AL149" s="1246"/>
      <c r="AM149" s="1696"/>
      <c r="AN149" s="1696"/>
      <c r="AO149" s="1714"/>
      <c r="AU149" s="1879"/>
      <c r="AV149" s="1879"/>
      <c r="AX149" s="1876"/>
      <c r="AY149" s="1876"/>
      <c r="AZ149" s="1877"/>
      <c r="BA149" s="1877"/>
      <c r="BB149" s="1877"/>
      <c r="BC149" s="1878"/>
    </row>
    <row r="150" hidden="1" customHeight="1" outlineLevel="1" spans="1:63">
      <c r="A150" s="1708" t="s">
        <v>100</v>
      </c>
      <c r="L150" s="1246"/>
      <c r="M150" s="1246"/>
      <c r="N150" s="1246"/>
      <c r="O150" s="1246"/>
      <c r="P150" s="1859"/>
      <c r="Q150" s="1859"/>
      <c r="R150" s="1246"/>
      <c r="S150" s="1859"/>
      <c r="T150" s="1859"/>
      <c r="U150" s="1716"/>
      <c r="V150" s="1716"/>
      <c r="W150" s="1246">
        <f t="shared" ref="W150" si="274">(V143*W146-V219*W220)/V147</f>
        <v>0.194045075333084</v>
      </c>
      <c r="X150" s="1246"/>
      <c r="Y150" s="1246"/>
      <c r="Z150" s="1246"/>
      <c r="AA150" s="1246"/>
      <c r="AB150" s="1246"/>
      <c r="AC150" s="1246"/>
      <c r="AD150" s="1246"/>
      <c r="AE150" s="1246"/>
      <c r="AF150" s="1717"/>
      <c r="AG150" s="1246"/>
      <c r="AH150" s="1246"/>
      <c r="AI150" s="1246"/>
      <c r="AJ150" s="1246"/>
      <c r="AK150" s="1246"/>
      <c r="AL150" s="1246"/>
      <c r="AM150" s="1696"/>
      <c r="AN150" s="1696"/>
      <c r="AO150" s="1714"/>
      <c r="AU150" s="1879"/>
      <c r="AV150" s="1879"/>
      <c r="AX150" s="1876"/>
      <c r="AY150" s="1876"/>
      <c r="AZ150" s="1877"/>
      <c r="BA150" s="1877"/>
      <c r="BB150" s="1877"/>
      <c r="BC150" s="1878"/>
    </row>
    <row r="151" customHeight="1" collapsed="1" spans="1:63">
      <c r="L151" s="1246"/>
      <c r="M151" s="1246"/>
      <c r="N151" s="1246"/>
      <c r="O151" s="1246"/>
      <c r="P151" s="1859"/>
      <c r="Q151" s="1859"/>
      <c r="R151" s="1246">
        <f t="shared" ref="R151:S151" si="275">1*(1+Q146)*(1+R146)-1</f>
        <v>0.225768167445175</v>
      </c>
      <c r="S151" s="1246">
        <f t="shared" si="275"/>
        <v>0.2004023656252</v>
      </c>
      <c r="T151" s="1246"/>
      <c r="U151" s="1246"/>
      <c r="V151" s="1246"/>
      <c r="W151" s="1246"/>
      <c r="X151" s="1246"/>
      <c r="Y151" s="1246"/>
      <c r="Z151" s="1246"/>
      <c r="AA151" s="1246"/>
      <c r="AB151" s="1246">
        <f>1700/AB143</f>
        <v>0.0800602806819252</v>
      </c>
      <c r="AC151" s="1246"/>
      <c r="AD151" s="1246"/>
      <c r="AE151" s="1246"/>
      <c r="AF151" s="1717"/>
      <c r="AG151" s="1246"/>
      <c r="AH151" s="1246"/>
      <c r="AI151" s="1246"/>
      <c r="AJ151" s="1246"/>
      <c r="AK151" s="1246"/>
      <c r="AL151" s="1246"/>
      <c r="AM151" s="1246"/>
      <c r="AO151" s="1246"/>
      <c r="AU151" s="1879"/>
      <c r="AX151" s="1876"/>
      <c r="AY151" s="1876"/>
      <c r="AZ151" s="1877"/>
      <c r="BA151" s="1877"/>
      <c r="BB151" s="1877"/>
      <c r="BC151" s="1878"/>
      <c r="BF151" s="1678"/>
      <c r="BG151" s="1678"/>
      <c r="BH151" s="1678"/>
      <c r="BI151" s="1678"/>
      <c r="BJ151" s="1678"/>
    </row>
    <row r="152" hidden="1" customHeight="1" spans="1:63">
      <c r="A152" s="1852" t="s">
        <v>111</v>
      </c>
      <c r="B152" s="1853"/>
      <c r="C152" s="1853"/>
      <c r="D152" s="1853"/>
      <c r="E152" s="1853"/>
      <c r="F152" s="1853"/>
      <c r="G152" s="1853"/>
      <c r="H152" s="1853"/>
      <c r="I152" s="1853"/>
      <c r="J152" s="1853"/>
      <c r="K152" s="1853"/>
      <c r="L152" s="1854"/>
      <c r="M152" s="1854"/>
      <c r="N152" s="1854"/>
      <c r="O152" s="1854"/>
      <c r="P152" s="1010"/>
      <c r="Q152" s="1010"/>
      <c r="R152" s="1854"/>
      <c r="S152" s="1010" t="str">
        <f>S96</f>
        <v>FY 12E</v>
      </c>
      <c r="T152" s="1010" t="str">
        <f t="shared" ref="T152:AB152" si="276">T96</f>
        <v>FY 13E</v>
      </c>
      <c r="U152" s="1010" t="str">
        <f t="shared" si="276"/>
        <v>FY 14E</v>
      </c>
      <c r="V152" s="1010" t="str">
        <f t="shared" si="276"/>
        <v>FY 15</v>
      </c>
      <c r="W152" s="1010" t="str">
        <f t="shared" si="276"/>
        <v>FY 16</v>
      </c>
      <c r="X152" s="1010" t="str">
        <f t="shared" si="276"/>
        <v>FY 17</v>
      </c>
      <c r="Y152" s="1010" t="str">
        <f t="shared" si="276"/>
        <v>FY 18</v>
      </c>
      <c r="Z152" s="1010" t="str">
        <f t="shared" si="276"/>
        <v>FY 19</v>
      </c>
      <c r="AA152" s="1010" t="str">
        <f t="shared" si="276"/>
        <v>FY 20</v>
      </c>
      <c r="AB152" s="1010" t="str">
        <f t="shared" si="276"/>
        <v>FY 21</v>
      </c>
      <c r="AC152" s="1010" t="str">
        <f t="shared" ref="AC152:AD152" si="277">AC96</f>
        <v>FY 22</v>
      </c>
      <c r="AD152" s="1010" t="str">
        <f t="shared" si="277"/>
        <v>FY 23</v>
      </c>
      <c r="AE152" s="1010" t="str">
        <f t="shared" ref="AE152:AF152" si="278">AE96</f>
        <v>FY 24</v>
      </c>
      <c r="AF152" s="1858" t="str">
        <f t="shared" si="278"/>
        <v>FY 25</v>
      </c>
      <c r="AG152" s="1010" t="str">
        <f t="shared" ref="AG152:AH152" si="279">AG96</f>
        <v>FY 26E</v>
      </c>
      <c r="AH152" s="1010" t="str">
        <f t="shared" si="279"/>
        <v>FY 27E</v>
      </c>
      <c r="AI152" s="1010" t="str">
        <f t="shared" ref="AI152:AJ152" si="280">AI96</f>
        <v>FY 28E</v>
      </c>
      <c r="AJ152" s="1010" t="str">
        <f t="shared" si="280"/>
        <v>FY 29E</v>
      </c>
      <c r="AK152" s="1010" t="str">
        <f t="shared" ref="AK152" si="281">AK96</f>
        <v>FY 30E</v>
      </c>
      <c r="AL152" s="1010"/>
      <c r="AM152" s="1857"/>
      <c r="AZ152" s="1690"/>
      <c r="BA152" s="1690"/>
      <c r="BB152" s="1690"/>
      <c r="BC152" s="1691"/>
      <c r="BJ152" s="1679"/>
    </row>
    <row r="153" hidden="1" customHeight="1" spans="1:63">
      <c r="A153" s="1802" t="s">
        <v>112</v>
      </c>
      <c r="L153" s="1246"/>
      <c r="M153" s="1246"/>
      <c r="N153" s="1246"/>
      <c r="O153" s="1246"/>
      <c r="P153" s="1859"/>
      <c r="Q153" s="1859"/>
      <c r="R153" s="1246"/>
      <c r="S153" s="1859"/>
      <c r="T153" s="1859"/>
      <c r="U153" s="1880">
        <f>Interim!FE222</f>
        <v>3793</v>
      </c>
      <c r="V153" s="1880">
        <f>Interim!FM222</f>
        <v>4539</v>
      </c>
      <c r="W153" s="1703">
        <f t="shared" ref="W153:AA153" si="282">W97</f>
        <v>5291</v>
      </c>
      <c r="X153" s="1703">
        <f t="shared" ref="X153:Y153" si="283">X97</f>
        <v>5883</v>
      </c>
      <c r="Y153" s="1703">
        <f t="shared" si="283"/>
        <v>5884</v>
      </c>
      <c r="Z153" s="1703">
        <f t="shared" si="282"/>
        <v>6071.42</v>
      </c>
      <c r="AA153" s="1703">
        <f t="shared" si="282"/>
        <v>5320</v>
      </c>
      <c r="AB153" s="1703"/>
      <c r="AC153" s="1703"/>
      <c r="AD153" s="1703"/>
      <c r="AE153" s="1703"/>
      <c r="AF153" s="1704"/>
      <c r="AG153" s="1703"/>
      <c r="AH153" s="1703"/>
      <c r="AI153" s="1703"/>
      <c r="AJ153" s="1703"/>
      <c r="AK153" s="1703"/>
      <c r="AL153" s="1703"/>
      <c r="AN153" s="1686"/>
      <c r="AO153" s="1719"/>
      <c r="AZ153" s="1690"/>
      <c r="BA153" s="1690"/>
      <c r="BB153" s="1690"/>
      <c r="BC153" s="1691"/>
      <c r="BF153" s="1678"/>
      <c r="BJ153" s="1679"/>
    </row>
    <row r="154" hidden="1" customHeight="1" spans="1:63">
      <c r="A154" s="1708" t="s">
        <v>80</v>
      </c>
      <c r="L154" s="1246"/>
      <c r="M154" s="1246"/>
      <c r="N154" s="1246"/>
      <c r="O154" s="1246"/>
      <c r="P154" s="1859"/>
      <c r="Q154" s="1859"/>
      <c r="R154" s="1246"/>
      <c r="S154" s="1859"/>
      <c r="T154" s="1859"/>
      <c r="U154" s="1859">
        <f>Interim!FE223</f>
        <v>3485</v>
      </c>
      <c r="V154" s="1859">
        <f>Interim!FM223</f>
        <v>4193</v>
      </c>
      <c r="W154" s="1745">
        <f>Interim!FU223</f>
        <v>4889</v>
      </c>
      <c r="X154" s="1745">
        <f>Interim!GC223</f>
        <v>5388</v>
      </c>
      <c r="Y154" s="1745">
        <f>Interim!GK223</f>
        <v>5405</v>
      </c>
      <c r="Z154" s="1745">
        <f>Interim!GS223</f>
        <v>5599</v>
      </c>
      <c r="AA154" s="1745">
        <f>Interim!HA223</f>
        <v>4925</v>
      </c>
      <c r="AB154" s="1745"/>
      <c r="AC154" s="1745"/>
      <c r="AD154" s="1745"/>
      <c r="AE154" s="1745"/>
      <c r="AF154" s="1790"/>
      <c r="AG154" s="1745"/>
      <c r="AH154" s="1745"/>
      <c r="AI154" s="1745"/>
      <c r="AJ154" s="1745"/>
      <c r="AK154" s="1745"/>
      <c r="AL154" s="1745"/>
      <c r="AN154" s="1686"/>
      <c r="AZ154" s="1690"/>
      <c r="BA154" s="1690"/>
      <c r="BB154" s="1690"/>
      <c r="BC154" s="1691"/>
    </row>
    <row r="155" hidden="1" customHeight="1" spans="1:63">
      <c r="A155" s="1708" t="s">
        <v>113</v>
      </c>
      <c r="L155" s="1246"/>
      <c r="M155" s="1246"/>
      <c r="N155" s="1246"/>
      <c r="O155" s="1246"/>
      <c r="P155" s="1859"/>
      <c r="Q155" s="1859"/>
      <c r="R155" s="1246"/>
      <c r="S155" s="1859"/>
      <c r="T155" s="1859"/>
      <c r="U155" s="1736">
        <f>Interim!FE224</f>
        <v>0</v>
      </c>
      <c r="V155" s="1736">
        <f t="shared" ref="V155:AA155" si="284">V154/U154-1</f>
        <v>0.203156384505021</v>
      </c>
      <c r="W155" s="1881">
        <f t="shared" si="284"/>
        <v>0.165990937276413</v>
      </c>
      <c r="X155" s="1881">
        <f t="shared" si="284"/>
        <v>0.102065862139497</v>
      </c>
      <c r="Y155" s="1881">
        <f t="shared" si="284"/>
        <v>0.00315515961395696</v>
      </c>
      <c r="Z155" s="1881">
        <f t="shared" si="284"/>
        <v>0.0358926919518965</v>
      </c>
      <c r="AA155" s="1881">
        <f t="shared" si="284"/>
        <v>-0.120378639042686</v>
      </c>
      <c r="AB155" s="1882"/>
      <c r="AC155" s="1882"/>
      <c r="AD155" s="1882"/>
      <c r="AE155" s="1882"/>
      <c r="AF155" s="1883"/>
      <c r="AG155" s="1882"/>
      <c r="AH155" s="1882"/>
      <c r="AI155" s="1882"/>
      <c r="AJ155" s="1882"/>
      <c r="AK155" s="1882"/>
      <c r="AL155" s="1882"/>
      <c r="AN155" s="1686"/>
      <c r="AZ155" s="1690"/>
      <c r="BA155" s="1690"/>
      <c r="BB155" s="1690"/>
      <c r="BC155" s="1691"/>
    </row>
    <row r="156" hidden="1" customHeight="1" spans="1:63">
      <c r="A156" s="1708" t="s">
        <v>100</v>
      </c>
      <c r="L156" s="1246"/>
      <c r="M156" s="1246"/>
      <c r="N156" s="1246"/>
      <c r="O156" s="1246"/>
      <c r="P156" s="1859"/>
      <c r="Q156" s="1859"/>
      <c r="R156" s="1246"/>
      <c r="S156" s="1859"/>
      <c r="T156" s="1859"/>
      <c r="U156" s="1736">
        <f>Interim!FE225</f>
        <v>0</v>
      </c>
      <c r="V156" s="1736">
        <f>Interim!FM225</f>
        <v>0.18</v>
      </c>
      <c r="W156" s="1881">
        <f>Interim!FU225</f>
        <v>0.2</v>
      </c>
      <c r="X156" s="1881">
        <f>Interim!GC225</f>
        <v>0.12</v>
      </c>
      <c r="Y156" s="1881">
        <f>Interim!GK225</f>
        <v>0</v>
      </c>
      <c r="Z156" s="1881">
        <f>Interim!GS225</f>
        <v>0.04</v>
      </c>
      <c r="AA156" s="1881">
        <f>Interim!HA225</f>
        <v>-0.12</v>
      </c>
      <c r="AB156" s="1881"/>
      <c r="AC156" s="1881"/>
      <c r="AD156" s="1881"/>
      <c r="AE156" s="1881"/>
      <c r="AF156" s="1884"/>
      <c r="AG156" s="1881"/>
      <c r="AH156" s="1881"/>
      <c r="AI156" s="1881"/>
      <c r="AJ156" s="1881"/>
      <c r="AK156" s="1881"/>
      <c r="AL156" s="1881"/>
      <c r="AN156" s="1686"/>
      <c r="AZ156" s="1690"/>
      <c r="BA156" s="1690"/>
      <c r="BB156" s="1690"/>
      <c r="BC156" s="1691"/>
    </row>
    <row r="157" hidden="1" customHeight="1" spans="1:63">
      <c r="A157" s="1708" t="s">
        <v>82</v>
      </c>
      <c r="L157" s="1246"/>
      <c r="M157" s="1246"/>
      <c r="N157" s="1246"/>
      <c r="O157" s="1246"/>
      <c r="P157" s="1859"/>
      <c r="Q157" s="1859"/>
      <c r="R157" s="1246"/>
      <c r="S157" s="1859"/>
      <c r="T157" s="1859"/>
      <c r="U157" s="1859">
        <f>Interim!FE226</f>
        <v>308</v>
      </c>
      <c r="V157" s="1859">
        <f>Interim!FM226</f>
        <v>347</v>
      </c>
      <c r="W157" s="1745">
        <f>Interim!FU226</f>
        <v>402</v>
      </c>
      <c r="X157" s="1745">
        <f>Interim!GC226</f>
        <v>496</v>
      </c>
      <c r="Y157" s="1745">
        <f>Interim!GK226</f>
        <v>479</v>
      </c>
      <c r="Z157" s="1745">
        <f>Interim!GS226</f>
        <v>472.419999999998</v>
      </c>
      <c r="AA157" s="1745">
        <f>Interim!HA226</f>
        <v>395</v>
      </c>
      <c r="AB157" s="1745"/>
      <c r="AC157" s="1745"/>
      <c r="AD157" s="1745"/>
      <c r="AE157" s="1745"/>
      <c r="AF157" s="1790"/>
      <c r="AG157" s="1745"/>
      <c r="AH157" s="1745"/>
      <c r="AI157" s="1745"/>
      <c r="AJ157" s="1745"/>
      <c r="AK157" s="1745"/>
      <c r="AL157" s="1745"/>
      <c r="AN157" s="1686"/>
      <c r="AZ157" s="1690"/>
      <c r="BA157" s="1690"/>
      <c r="BB157" s="1690"/>
      <c r="BC157" s="1691"/>
    </row>
    <row r="158" hidden="1" customHeight="1" spans="1:63">
      <c r="A158" s="1708" t="s">
        <v>113</v>
      </c>
      <c r="L158" s="1246"/>
      <c r="M158" s="1246"/>
      <c r="N158" s="1246"/>
      <c r="O158" s="1246"/>
      <c r="P158" s="1859"/>
      <c r="Q158" s="1859"/>
      <c r="R158" s="1246"/>
      <c r="S158" s="1859"/>
      <c r="T158" s="1859"/>
      <c r="U158" s="1736">
        <f>Interim!FE227</f>
        <v>0</v>
      </c>
      <c r="V158" s="1736">
        <f t="shared" ref="V158:AA158" si="285">V157/U157-1</f>
        <v>0.126623376623377</v>
      </c>
      <c r="W158" s="1881">
        <f t="shared" si="285"/>
        <v>0.15850144092219</v>
      </c>
      <c r="X158" s="1881">
        <f t="shared" si="285"/>
        <v>0.233830845771144</v>
      </c>
      <c r="Y158" s="1881">
        <f t="shared" si="285"/>
        <v>-0.0342741935483871</v>
      </c>
      <c r="Z158" s="1881">
        <f t="shared" si="285"/>
        <v>-0.0137369519833022</v>
      </c>
      <c r="AA158" s="1881">
        <f t="shared" si="285"/>
        <v>-0.163879598662204</v>
      </c>
      <c r="AB158" s="1881"/>
      <c r="AC158" s="1881"/>
      <c r="AD158" s="1881"/>
      <c r="AE158" s="1881"/>
      <c r="AF158" s="1884"/>
      <c r="AG158" s="1881"/>
      <c r="AH158" s="1881"/>
      <c r="AI158" s="1881"/>
      <c r="AJ158" s="1881"/>
      <c r="AK158" s="1881"/>
      <c r="AL158" s="1881"/>
      <c r="AN158" s="1686"/>
      <c r="AZ158" s="1690"/>
      <c r="BA158" s="1690"/>
      <c r="BB158" s="1690"/>
      <c r="BC158" s="1691"/>
    </row>
    <row r="159" hidden="1" customHeight="1" spans="1:63">
      <c r="A159" s="1708" t="s">
        <v>100</v>
      </c>
      <c r="L159" s="1246"/>
      <c r="M159" s="1246"/>
      <c r="N159" s="1246"/>
      <c r="O159" s="1246"/>
      <c r="P159" s="1859"/>
      <c r="Q159" s="1859"/>
      <c r="R159" s="1246"/>
      <c r="S159" s="1859"/>
      <c r="T159" s="1859"/>
      <c r="U159" s="1736">
        <f>Interim!FE228</f>
        <v>0</v>
      </c>
      <c r="V159" s="1736">
        <f>Interim!FM228</f>
        <v>0.11</v>
      </c>
      <c r="W159" s="1881">
        <f>Interim!FU228</f>
        <v>0.18</v>
      </c>
      <c r="X159" s="1881">
        <f>Interim!GC228</f>
        <v>0.24</v>
      </c>
      <c r="Y159" s="1881">
        <f>Interim!GK228</f>
        <v>-0.03</v>
      </c>
      <c r="Z159" s="1881">
        <f>Interim!GS228</f>
        <v>-0.02</v>
      </c>
      <c r="AA159" s="1881">
        <f>Interim!HA228</f>
        <v>-0.16</v>
      </c>
      <c r="AB159" s="1881"/>
      <c r="AC159" s="1881"/>
      <c r="AD159" s="1881"/>
      <c r="AE159" s="1881"/>
      <c r="AF159" s="1884"/>
      <c r="AG159" s="1881"/>
      <c r="AH159" s="1881"/>
      <c r="AI159" s="1881"/>
      <c r="AJ159" s="1881"/>
      <c r="AK159" s="1881"/>
      <c r="AL159" s="1881"/>
      <c r="AN159" s="1686"/>
      <c r="AZ159" s="1690"/>
      <c r="BA159" s="1690"/>
      <c r="BB159" s="1690"/>
      <c r="BC159" s="1691"/>
    </row>
    <row r="160" hidden="1" customHeight="1" spans="1:63">
      <c r="A160" s="1802" t="s">
        <v>101</v>
      </c>
      <c r="L160" s="1246"/>
      <c r="M160" s="1246"/>
      <c r="N160" s="1246"/>
      <c r="O160" s="1246"/>
      <c r="P160" s="1859"/>
      <c r="Q160" s="1859"/>
      <c r="R160" s="1246"/>
      <c r="S160" s="1859"/>
      <c r="T160" s="1859"/>
      <c r="U160" s="1880">
        <f>Interim!FE229</f>
        <v>2217</v>
      </c>
      <c r="V160" s="1880">
        <f>Interim!FM229</f>
        <v>2754</v>
      </c>
      <c r="W160" s="1703">
        <f t="shared" ref="W160:AA160" si="286">W102</f>
        <v>3412</v>
      </c>
      <c r="X160" s="1703">
        <f t="shared" si="286"/>
        <v>4275</v>
      </c>
      <c r="Y160" s="1703">
        <f t="shared" si="286"/>
        <v>4688</v>
      </c>
      <c r="Z160" s="1703">
        <f t="shared" si="286"/>
        <v>5313</v>
      </c>
      <c r="AA160" s="1703">
        <f t="shared" si="286"/>
        <v>4762</v>
      </c>
      <c r="AB160" s="1703"/>
      <c r="AC160" s="1703"/>
      <c r="AD160" s="1703"/>
      <c r="AE160" s="1703"/>
      <c r="AF160" s="1704"/>
      <c r="AG160" s="1703"/>
      <c r="AH160" s="1703"/>
      <c r="AI160" s="1703"/>
      <c r="AJ160" s="1703"/>
      <c r="AK160" s="1703"/>
      <c r="AL160" s="1703"/>
      <c r="AN160" s="1686"/>
      <c r="AZ160" s="1690"/>
      <c r="BA160" s="1690"/>
      <c r="BB160" s="1690"/>
      <c r="BC160" s="1691"/>
    </row>
    <row r="161" hidden="1" customHeight="1" spans="1:55">
      <c r="A161" s="1708" t="s">
        <v>80</v>
      </c>
      <c r="L161" s="1246"/>
      <c r="M161" s="1246"/>
      <c r="N161" s="1246"/>
      <c r="O161" s="1246"/>
      <c r="P161" s="1859"/>
      <c r="Q161" s="1859"/>
      <c r="R161" s="1246"/>
      <c r="S161" s="1859"/>
      <c r="T161" s="1859"/>
      <c r="U161" s="1859">
        <f>Interim!FE230</f>
        <v>1740</v>
      </c>
      <c r="V161" s="1859">
        <f>Interim!FM230</f>
        <v>2231</v>
      </c>
      <c r="W161" s="1745">
        <f>Interim!FU230</f>
        <v>2897</v>
      </c>
      <c r="X161" s="1745">
        <f>Interim!GC230</f>
        <v>3843</v>
      </c>
      <c r="Y161" s="1745">
        <f>Interim!GK230</f>
        <v>4277</v>
      </c>
      <c r="Z161" s="1745">
        <f>Interim!GS230</f>
        <v>4828</v>
      </c>
      <c r="AA161" s="1745">
        <f>Interim!HA230</f>
        <v>4365</v>
      </c>
      <c r="AB161" s="1745"/>
      <c r="AC161" s="1745"/>
      <c r="AD161" s="1745"/>
      <c r="AE161" s="1745"/>
      <c r="AF161" s="1790"/>
      <c r="AG161" s="1745"/>
      <c r="AH161" s="1745"/>
      <c r="AI161" s="1745"/>
      <c r="AJ161" s="1745"/>
      <c r="AK161" s="1745"/>
      <c r="AL161" s="1745"/>
      <c r="AM161" s="1719"/>
      <c r="AN161" s="1686"/>
      <c r="AZ161" s="1690"/>
      <c r="BA161" s="1690"/>
      <c r="BB161" s="1690"/>
      <c r="BC161" s="1691"/>
    </row>
    <row r="162" hidden="1" customHeight="1" spans="1:55">
      <c r="A162" s="1708" t="s">
        <v>113</v>
      </c>
      <c r="L162" s="1246"/>
      <c r="M162" s="1246"/>
      <c r="N162" s="1246"/>
      <c r="O162" s="1246"/>
      <c r="P162" s="1859"/>
      <c r="Q162" s="1859"/>
      <c r="R162" s="1246"/>
      <c r="S162" s="1859"/>
      <c r="T162" s="1736"/>
      <c r="U162" s="1736">
        <f>Interim!FE231</f>
        <v>0</v>
      </c>
      <c r="V162" s="1736">
        <f t="shared" ref="V162:AA162" si="287">V161/U161-1</f>
        <v>0.282183908045977</v>
      </c>
      <c r="W162" s="1881">
        <f t="shared" si="287"/>
        <v>0.298520842671448</v>
      </c>
      <c r="X162" s="1881">
        <f t="shared" si="287"/>
        <v>0.326544701415257</v>
      </c>
      <c r="Y162" s="1881">
        <f t="shared" si="287"/>
        <v>0.112932604735883</v>
      </c>
      <c r="Z162" s="1881">
        <f t="shared" si="287"/>
        <v>0.12882861819032</v>
      </c>
      <c r="AA162" s="1881">
        <f t="shared" si="287"/>
        <v>-0.0958989229494615</v>
      </c>
      <c r="AB162" s="1882"/>
      <c r="AC162" s="1882"/>
      <c r="AD162" s="1882"/>
      <c r="AE162" s="1882"/>
      <c r="AF162" s="1883"/>
      <c r="AG162" s="1882"/>
      <c r="AH162" s="1882"/>
      <c r="AI162" s="1882"/>
      <c r="AJ162" s="1882"/>
      <c r="AK162" s="1882"/>
      <c r="AL162" s="1882"/>
      <c r="AM162" s="1715"/>
      <c r="AN162" s="1686"/>
      <c r="AZ162" s="1690"/>
      <c r="BA162" s="1690"/>
      <c r="BB162" s="1690"/>
      <c r="BC162" s="1691"/>
    </row>
    <row r="163" hidden="1" customHeight="1" spans="1:55">
      <c r="A163" s="1708" t="s">
        <v>100</v>
      </c>
      <c r="L163" s="1246"/>
      <c r="M163" s="1246"/>
      <c r="N163" s="1246"/>
      <c r="O163" s="1246"/>
      <c r="P163" s="1859"/>
      <c r="Q163" s="1859"/>
      <c r="R163" s="1246"/>
      <c r="S163" s="1859"/>
      <c r="T163" s="1885"/>
      <c r="U163" s="1736">
        <f>Interim!FE232</f>
        <v>0</v>
      </c>
      <c r="V163" s="1736">
        <f>Interim!FM232</f>
        <v>0.09</v>
      </c>
      <c r="W163" s="1881">
        <f>Interim!FU232</f>
        <v>0.3</v>
      </c>
      <c r="X163" s="1881">
        <f>Interim!GC232</f>
        <v>0.35</v>
      </c>
      <c r="Y163" s="1881">
        <f>Interim!GK232</f>
        <v>0.17</v>
      </c>
      <c r="Z163" s="1881">
        <f>Interim!GS232</f>
        <v>0.07</v>
      </c>
      <c r="AA163" s="1881">
        <f>Interim!HA232</f>
        <v>-0.08</v>
      </c>
      <c r="AB163" s="1881"/>
      <c r="AC163" s="1881"/>
      <c r="AD163" s="1881"/>
      <c r="AE163" s="1881"/>
      <c r="AF163" s="1884"/>
      <c r="AG163" s="1881"/>
      <c r="AH163" s="1881"/>
      <c r="AI163" s="1881"/>
      <c r="AJ163" s="1881"/>
      <c r="AK163" s="1881"/>
      <c r="AL163" s="1881"/>
      <c r="AN163" s="1686"/>
      <c r="AZ163" s="1690"/>
      <c r="BA163" s="1690"/>
      <c r="BB163" s="1690"/>
      <c r="BC163" s="1691"/>
    </row>
    <row r="164" hidden="1" customHeight="1" spans="1:55">
      <c r="A164" s="1708" t="s">
        <v>82</v>
      </c>
      <c r="L164" s="1246"/>
      <c r="M164" s="1246"/>
      <c r="N164" s="1246"/>
      <c r="O164" s="1246"/>
      <c r="P164" s="1859"/>
      <c r="Q164" s="1859"/>
      <c r="R164" s="1246"/>
      <c r="S164" s="1859"/>
      <c r="T164" s="1859"/>
      <c r="U164" s="1859">
        <f>Interim!FE233</f>
        <v>477</v>
      </c>
      <c r="V164" s="1859">
        <f>Interim!FM233</f>
        <v>523</v>
      </c>
      <c r="W164" s="1745">
        <f>Interim!FU233</f>
        <v>514</v>
      </c>
      <c r="X164" s="1745">
        <f>Interim!GC233</f>
        <v>432</v>
      </c>
      <c r="Y164" s="1745">
        <f>Interim!GK233</f>
        <v>411</v>
      </c>
      <c r="Z164" s="1745">
        <f>Interim!GS233</f>
        <v>485.000000000001</v>
      </c>
      <c r="AA164" s="1745">
        <f>Interim!HA233</f>
        <v>397</v>
      </c>
      <c r="AB164" s="1745"/>
      <c r="AC164" s="1745"/>
      <c r="AD164" s="1745"/>
      <c r="AE164" s="1745"/>
      <c r="AF164" s="1790"/>
      <c r="AG164" s="1745"/>
      <c r="AH164" s="1745"/>
      <c r="AI164" s="1745"/>
      <c r="AJ164" s="1745"/>
      <c r="AK164" s="1745"/>
      <c r="AL164" s="1745"/>
      <c r="AN164" s="1686"/>
      <c r="AZ164" s="1690"/>
      <c r="BA164" s="1690"/>
      <c r="BB164" s="1690"/>
      <c r="BC164" s="1691"/>
    </row>
    <row r="165" hidden="1" customHeight="1" spans="1:55">
      <c r="A165" s="1708" t="s">
        <v>113</v>
      </c>
      <c r="L165" s="1246"/>
      <c r="M165" s="1246"/>
      <c r="N165" s="1246"/>
      <c r="O165" s="1246"/>
      <c r="P165" s="1859"/>
      <c r="Q165" s="1859"/>
      <c r="R165" s="1246"/>
      <c r="S165" s="1859"/>
      <c r="T165" s="1736"/>
      <c r="U165" s="1736">
        <f>Interim!FE234</f>
        <v>0</v>
      </c>
      <c r="V165" s="1736">
        <f t="shared" ref="V165:AA165" si="288">V164/U164-1</f>
        <v>0.0964360587002095</v>
      </c>
      <c r="W165" s="1881">
        <f t="shared" si="288"/>
        <v>-0.017208413001912</v>
      </c>
      <c r="X165" s="1881">
        <f t="shared" si="288"/>
        <v>-0.159533073929961</v>
      </c>
      <c r="Y165" s="1881">
        <f t="shared" si="288"/>
        <v>-0.0486111111111112</v>
      </c>
      <c r="Z165" s="1881">
        <f t="shared" si="288"/>
        <v>0.180048661800489</v>
      </c>
      <c r="AA165" s="1881">
        <f t="shared" si="288"/>
        <v>-0.181443298969074</v>
      </c>
      <c r="AB165" s="1881"/>
      <c r="AC165" s="1881"/>
      <c r="AD165" s="1881"/>
      <c r="AE165" s="1881"/>
      <c r="AF165" s="1884"/>
      <c r="AG165" s="1881"/>
      <c r="AH165" s="1881"/>
      <c r="AI165" s="1881"/>
      <c r="AJ165" s="1881"/>
      <c r="AK165" s="1881"/>
      <c r="AL165" s="1881"/>
      <c r="AN165" s="1686"/>
      <c r="AZ165" s="1690"/>
      <c r="BA165" s="1690"/>
      <c r="BB165" s="1690"/>
      <c r="BC165" s="1691"/>
    </row>
    <row r="166" hidden="1" customHeight="1" spans="1:55">
      <c r="A166" s="1708" t="s">
        <v>100</v>
      </c>
      <c r="L166" s="1246"/>
      <c r="M166" s="1246"/>
      <c r="N166" s="1246"/>
      <c r="O166" s="1246"/>
      <c r="P166" s="1859"/>
      <c r="Q166" s="1859"/>
      <c r="R166" s="1246"/>
      <c r="S166" s="1859"/>
      <c r="T166" s="1859"/>
      <c r="U166" s="1736">
        <f>Interim!FE235</f>
        <v>0</v>
      </c>
      <c r="V166" s="1736">
        <f>Interim!FM235</f>
        <v>-0.07</v>
      </c>
      <c r="W166" s="1881">
        <f>Interim!FU235</f>
        <v>-0.01</v>
      </c>
      <c r="X166" s="1881">
        <f>Interim!GC235</f>
        <v>-0.16</v>
      </c>
      <c r="Y166" s="1881">
        <f>Interim!GK235</f>
        <v>0</v>
      </c>
      <c r="Z166" s="1881">
        <f>Interim!GS235</f>
        <v>0.12</v>
      </c>
      <c r="AA166" s="1881">
        <f>Interim!HA235</f>
        <v>-0.17</v>
      </c>
      <c r="AB166" s="1881"/>
      <c r="AC166" s="1881"/>
      <c r="AD166" s="1881"/>
      <c r="AE166" s="1881"/>
      <c r="AF166" s="1884"/>
      <c r="AG166" s="1881"/>
      <c r="AH166" s="1881"/>
      <c r="AI166" s="1881"/>
      <c r="AJ166" s="1881"/>
      <c r="AK166" s="1881"/>
      <c r="AL166" s="1881"/>
      <c r="AN166" s="1686"/>
      <c r="AZ166" s="1690"/>
      <c r="BA166" s="1690"/>
      <c r="BB166" s="1690"/>
      <c r="BC166" s="1691"/>
    </row>
    <row r="167" hidden="1" customHeight="1" spans="1:55">
      <c r="A167" s="1802" t="s">
        <v>102</v>
      </c>
      <c r="L167" s="1246"/>
      <c r="M167" s="1246"/>
      <c r="N167" s="1246"/>
      <c r="O167" s="1246"/>
      <c r="P167" s="1859"/>
      <c r="Q167" s="1859"/>
      <c r="R167" s="1246"/>
      <c r="S167" s="1859"/>
      <c r="T167" s="1859"/>
      <c r="U167" s="1880">
        <f>Interim!FE236</f>
        <v>1612</v>
      </c>
      <c r="V167" s="1880">
        <f>Interim!FM236</f>
        <v>1783</v>
      </c>
      <c r="W167" s="1703">
        <f t="shared" ref="W167:AA167" si="289">W107</f>
        <v>1731</v>
      </c>
      <c r="X167" s="1703">
        <f t="shared" si="289"/>
        <v>1907</v>
      </c>
      <c r="Y167" s="1703">
        <f t="shared" si="289"/>
        <v>1633</v>
      </c>
      <c r="Z167" s="1703">
        <f t="shared" si="289"/>
        <v>1660</v>
      </c>
      <c r="AA167" s="1703">
        <f t="shared" si="289"/>
        <v>1158</v>
      </c>
      <c r="AB167" s="1703"/>
      <c r="AC167" s="1703"/>
      <c r="AD167" s="1703"/>
      <c r="AE167" s="1703"/>
      <c r="AF167" s="1704"/>
      <c r="AG167" s="1703"/>
      <c r="AH167" s="1703"/>
      <c r="AI167" s="1703"/>
      <c r="AJ167" s="1703"/>
      <c r="AK167" s="1703"/>
      <c r="AL167" s="1703"/>
      <c r="AN167" s="1686"/>
      <c r="AZ167" s="1690"/>
      <c r="BA167" s="1690"/>
      <c r="BB167" s="1690"/>
      <c r="BC167" s="1691"/>
    </row>
    <row r="168" hidden="1" customHeight="1" spans="1:55">
      <c r="A168" s="1708" t="s">
        <v>80</v>
      </c>
      <c r="L168" s="1246"/>
      <c r="M168" s="1246"/>
      <c r="N168" s="1246"/>
      <c r="O168" s="1246"/>
      <c r="P168" s="1859"/>
      <c r="Q168" s="1859"/>
      <c r="R168" s="1246"/>
      <c r="S168" s="1859"/>
      <c r="T168" s="1859"/>
      <c r="U168" s="1859">
        <f>Interim!FE237</f>
        <v>1388</v>
      </c>
      <c r="V168" s="1859">
        <f>Interim!FM237</f>
        <v>1516</v>
      </c>
      <c r="W168" s="1745">
        <f>Interim!FU237</f>
        <v>1515</v>
      </c>
      <c r="X168" s="1745">
        <f>Interim!GC237</f>
        <v>1673</v>
      </c>
      <c r="Y168" s="1745">
        <f>Interim!GK237</f>
        <v>1463</v>
      </c>
      <c r="Z168" s="1745">
        <f>Interim!GS237</f>
        <v>1490</v>
      </c>
      <c r="AA168" s="1745">
        <f>Interim!HA237</f>
        <v>1033</v>
      </c>
      <c r="AB168" s="1745"/>
      <c r="AC168" s="1745"/>
      <c r="AD168" s="1745"/>
      <c r="AE168" s="1745"/>
      <c r="AF168" s="1790"/>
      <c r="AG168" s="1745"/>
      <c r="AH168" s="1745"/>
      <c r="AI168" s="1745"/>
      <c r="AJ168" s="1745"/>
      <c r="AK168" s="1745"/>
      <c r="AL168" s="1745"/>
      <c r="AN168" s="1686"/>
      <c r="AZ168" s="1690"/>
      <c r="BA168" s="1690"/>
      <c r="BB168" s="1690"/>
      <c r="BC168" s="1691"/>
    </row>
    <row r="169" hidden="1" customHeight="1" spans="1:55">
      <c r="A169" s="1708" t="s">
        <v>113</v>
      </c>
      <c r="L169" s="1246"/>
      <c r="M169" s="1246"/>
      <c r="N169" s="1246"/>
      <c r="O169" s="1246"/>
      <c r="P169" s="1859"/>
      <c r="Q169" s="1859"/>
      <c r="R169" s="1246"/>
      <c r="S169" s="1859"/>
      <c r="T169" s="1859"/>
      <c r="U169" s="1736">
        <f>Interim!FE238</f>
        <v>0</v>
      </c>
      <c r="V169" s="1736">
        <f t="shared" ref="V169:AA169" si="290">V168/U168-1</f>
        <v>0.0922190201729107</v>
      </c>
      <c r="W169" s="1881">
        <f t="shared" si="290"/>
        <v>-0.00065963060686014</v>
      </c>
      <c r="X169" s="1881">
        <f t="shared" si="290"/>
        <v>0.104290429042904</v>
      </c>
      <c r="Y169" s="1881">
        <f t="shared" si="290"/>
        <v>-0.125523012552301</v>
      </c>
      <c r="Z169" s="1881">
        <f t="shared" si="290"/>
        <v>0.0184552289815447</v>
      </c>
      <c r="AA169" s="1881">
        <f t="shared" si="290"/>
        <v>-0.306711409395973</v>
      </c>
      <c r="AB169" s="1882"/>
      <c r="AC169" s="1882"/>
      <c r="AD169" s="1882"/>
      <c r="AE169" s="1882"/>
      <c r="AF169" s="1883"/>
      <c r="AG169" s="1882"/>
      <c r="AH169" s="1882"/>
      <c r="AI169" s="1882"/>
      <c r="AJ169" s="1882"/>
      <c r="AK169" s="1882"/>
      <c r="AL169" s="1882"/>
      <c r="AM169" s="1789"/>
      <c r="AN169" s="1686"/>
      <c r="AZ169" s="1690"/>
      <c r="BA169" s="1690"/>
      <c r="BB169" s="1690"/>
      <c r="BC169" s="1691"/>
    </row>
    <row r="170" hidden="1" customHeight="1" spans="1:55">
      <c r="A170" s="1708" t="s">
        <v>100</v>
      </c>
      <c r="L170" s="1246"/>
      <c r="M170" s="1246"/>
      <c r="N170" s="1246"/>
      <c r="O170" s="1246"/>
      <c r="P170" s="1859"/>
      <c r="Q170" s="1859"/>
      <c r="R170" s="1246"/>
      <c r="S170" s="1859"/>
      <c r="T170" s="1859"/>
      <c r="U170" s="1736">
        <f>Interim!FE239</f>
        <v>0</v>
      </c>
      <c r="V170" s="1736">
        <f>Interim!FM239</f>
        <v>0.11</v>
      </c>
      <c r="W170" s="1881">
        <f>Interim!FU239</f>
        <v>0.19</v>
      </c>
      <c r="X170" s="1881">
        <f>Interim!GC239</f>
        <v>0.12</v>
      </c>
      <c r="Y170" s="1881">
        <f>Interim!GK239</f>
        <v>0.08</v>
      </c>
      <c r="Z170" s="1881">
        <f>Interim!GS239</f>
        <v>0.08</v>
      </c>
      <c r="AA170" s="1881">
        <f>Interim!HA239</f>
        <v>-0.16</v>
      </c>
      <c r="AB170" s="1881"/>
      <c r="AC170" s="1881"/>
      <c r="AD170" s="1881"/>
      <c r="AE170" s="1881"/>
      <c r="AF170" s="1884"/>
      <c r="AG170" s="1881"/>
      <c r="AH170" s="1881"/>
      <c r="AI170" s="1881"/>
      <c r="AJ170" s="1881"/>
      <c r="AK170" s="1881"/>
      <c r="AL170" s="1881"/>
      <c r="AN170" s="1686"/>
      <c r="AZ170" s="1690"/>
      <c r="BA170" s="1690"/>
      <c r="BB170" s="1690"/>
      <c r="BC170" s="1691"/>
    </row>
    <row r="171" hidden="1" customHeight="1" spans="1:55">
      <c r="A171" s="1708" t="s">
        <v>82</v>
      </c>
      <c r="L171" s="1246"/>
      <c r="M171" s="1246"/>
      <c r="N171" s="1246"/>
      <c r="O171" s="1246"/>
      <c r="P171" s="1859"/>
      <c r="Q171" s="1859"/>
      <c r="R171" s="1246"/>
      <c r="S171" s="1859"/>
      <c r="T171" s="1859"/>
      <c r="U171" s="1859">
        <f>Interim!FE240</f>
        <v>223</v>
      </c>
      <c r="V171" s="1859">
        <f>Interim!FM240</f>
        <v>266</v>
      </c>
      <c r="W171" s="1745">
        <f>Interim!FU240</f>
        <v>216</v>
      </c>
      <c r="X171" s="1745">
        <f>Interim!GC240</f>
        <v>235</v>
      </c>
      <c r="Y171" s="1745">
        <f>Interim!GK240</f>
        <v>170</v>
      </c>
      <c r="Z171" s="1745">
        <f>Interim!GS240</f>
        <v>170</v>
      </c>
      <c r="AA171" s="1745">
        <f>Interim!HA240</f>
        <v>125</v>
      </c>
      <c r="AB171" s="1745"/>
      <c r="AC171" s="1745"/>
      <c r="AD171" s="1745"/>
      <c r="AE171" s="1745"/>
      <c r="AF171" s="1790"/>
      <c r="AG171" s="1745"/>
      <c r="AH171" s="1745"/>
      <c r="AI171" s="1745"/>
      <c r="AJ171" s="1745"/>
      <c r="AK171" s="1745"/>
      <c r="AL171" s="1745"/>
      <c r="AN171" s="1686"/>
      <c r="AZ171" s="1690"/>
      <c r="BA171" s="1690"/>
      <c r="BB171" s="1690"/>
      <c r="BC171" s="1691"/>
    </row>
    <row r="172" hidden="1" customHeight="1" spans="1:55">
      <c r="A172" s="1708" t="s">
        <v>113</v>
      </c>
      <c r="L172" s="1246"/>
      <c r="M172" s="1246"/>
      <c r="N172" s="1246"/>
      <c r="O172" s="1246"/>
      <c r="P172" s="1859"/>
      <c r="Q172" s="1859"/>
      <c r="R172" s="1246"/>
      <c r="S172" s="1859"/>
      <c r="T172" s="1859"/>
      <c r="U172" s="1736">
        <f>Interim!FE241</f>
        <v>0</v>
      </c>
      <c r="V172" s="1736">
        <f t="shared" ref="V172:AA172" si="291">V171/U171-1</f>
        <v>0.192825112107623</v>
      </c>
      <c r="W172" s="1881">
        <f t="shared" si="291"/>
        <v>-0.18796992481203</v>
      </c>
      <c r="X172" s="1881">
        <f t="shared" si="291"/>
        <v>0.087962962962963</v>
      </c>
      <c r="Y172" s="1881">
        <f t="shared" si="291"/>
        <v>-0.276595744680851</v>
      </c>
      <c r="Z172" s="1881">
        <f t="shared" si="291"/>
        <v>-1.33226762955019e-15</v>
      </c>
      <c r="AA172" s="1881">
        <f t="shared" si="291"/>
        <v>-0.26470588235294</v>
      </c>
      <c r="AB172" s="1881"/>
      <c r="AC172" s="1881"/>
      <c r="AD172" s="1881"/>
      <c r="AE172" s="1881"/>
      <c r="AF172" s="1884"/>
      <c r="AG172" s="1881"/>
      <c r="AH172" s="1881"/>
      <c r="AI172" s="1881"/>
      <c r="AJ172" s="1881"/>
      <c r="AK172" s="1881"/>
      <c r="AL172" s="1881"/>
      <c r="AN172" s="1686"/>
      <c r="AZ172" s="1690"/>
      <c r="BA172" s="1690"/>
      <c r="BB172" s="1690"/>
      <c r="BC172" s="1691"/>
    </row>
    <row r="173" hidden="1" customHeight="1" spans="1:55">
      <c r="A173" s="1708" t="s">
        <v>100</v>
      </c>
      <c r="L173" s="1246"/>
      <c r="M173" s="1246"/>
      <c r="N173" s="1246"/>
      <c r="O173" s="1246"/>
      <c r="P173" s="1859"/>
      <c r="Q173" s="1859"/>
      <c r="R173" s="1246"/>
      <c r="S173" s="1859"/>
      <c r="T173" s="1859"/>
      <c r="U173" s="1736">
        <f>Interim!FE242</f>
        <v>0</v>
      </c>
      <c r="V173" s="1736">
        <f>Interim!FM242</f>
        <v>0.16</v>
      </c>
      <c r="W173" s="1881">
        <f>Interim!FU242</f>
        <v>0.01</v>
      </c>
      <c r="X173" s="1881">
        <f>Interim!GC242</f>
        <v>0.12</v>
      </c>
      <c r="Y173" s="1881">
        <f>Interim!GK242</f>
        <v>-0.12</v>
      </c>
      <c r="Z173" s="1881">
        <f>Interim!GS242</f>
        <v>0.03</v>
      </c>
      <c r="AA173" s="1881">
        <f>Interim!HA242</f>
        <v>-0.14</v>
      </c>
      <c r="AB173" s="1881"/>
      <c r="AC173" s="1881"/>
      <c r="AD173" s="1881"/>
      <c r="AE173" s="1881"/>
      <c r="AF173" s="1884"/>
      <c r="AG173" s="1881"/>
      <c r="AH173" s="1881"/>
      <c r="AI173" s="1881"/>
      <c r="AJ173" s="1881"/>
      <c r="AK173" s="1881"/>
      <c r="AL173" s="1881"/>
      <c r="AN173" s="1686"/>
      <c r="AZ173" s="1690"/>
      <c r="BA173" s="1690"/>
      <c r="BB173" s="1690"/>
      <c r="BC173" s="1691"/>
    </row>
    <row r="174" hidden="1" customHeight="1" spans="1:55">
      <c r="A174" s="1802" t="s">
        <v>114</v>
      </c>
      <c r="L174" s="1246"/>
      <c r="M174" s="1246"/>
      <c r="N174" s="1246"/>
      <c r="O174" s="1246"/>
      <c r="P174" s="1859"/>
      <c r="Q174" s="1859"/>
      <c r="R174" s="1246"/>
      <c r="S174" s="1859"/>
      <c r="T174" s="1859"/>
      <c r="U174" s="1880">
        <f>Interim!FE243</f>
        <v>1786</v>
      </c>
      <c r="V174" s="1880">
        <f>Interim!FM243</f>
        <v>2469</v>
      </c>
      <c r="W174" s="1703">
        <f t="shared" ref="W174:AA174" si="292">W112</f>
        <v>3010</v>
      </c>
      <c r="X174" s="1703">
        <f t="shared" si="292"/>
        <v>3789</v>
      </c>
      <c r="Y174" s="1703">
        <f t="shared" ref="Y174" si="293">Y112</f>
        <v>7141</v>
      </c>
      <c r="Z174" s="1703">
        <f t="shared" si="292"/>
        <v>8030.58</v>
      </c>
      <c r="AA174" s="1703">
        <f t="shared" si="292"/>
        <v>6546</v>
      </c>
      <c r="AB174" s="1703"/>
      <c r="AC174" s="1703"/>
      <c r="AD174" s="1703"/>
      <c r="AE174" s="1703"/>
      <c r="AF174" s="1704"/>
      <c r="AG174" s="1703"/>
      <c r="AH174" s="1703"/>
      <c r="AI174" s="1703"/>
      <c r="AJ174" s="1703"/>
      <c r="AK174" s="1703"/>
      <c r="AL174" s="1703"/>
      <c r="AN174" s="1686"/>
      <c r="AZ174" s="1690"/>
      <c r="BA174" s="1690"/>
      <c r="BB174" s="1690"/>
      <c r="BC174" s="1691"/>
    </row>
    <row r="175" hidden="1" customHeight="1" spans="1:55">
      <c r="A175" s="1708" t="s">
        <v>80</v>
      </c>
      <c r="L175" s="1246"/>
      <c r="M175" s="1246"/>
      <c r="N175" s="1246"/>
      <c r="O175" s="1246"/>
      <c r="P175" s="1859"/>
      <c r="Q175" s="1859"/>
      <c r="R175" s="1246"/>
      <c r="S175" s="1859"/>
      <c r="T175" s="1859"/>
      <c r="U175" s="1859">
        <f>Interim!FE244</f>
        <v>1760</v>
      </c>
      <c r="V175" s="1859">
        <f>Interim!FM244</f>
        <v>2411</v>
      </c>
      <c r="W175" s="1745">
        <f>Interim!FU244</f>
        <v>2944</v>
      </c>
      <c r="X175" s="1745">
        <f>Interim!GC244</f>
        <v>3707</v>
      </c>
      <c r="Y175" s="1745">
        <f>Interim!GK244</f>
        <v>6805</v>
      </c>
      <c r="Z175" s="1745">
        <f>Interim!GS244</f>
        <v>7736</v>
      </c>
      <c r="AA175" s="1745">
        <f>Interim!HA244</f>
        <v>6298</v>
      </c>
      <c r="AB175" s="1745"/>
      <c r="AC175" s="1745"/>
      <c r="AD175" s="1745"/>
      <c r="AE175" s="1745"/>
      <c r="AF175" s="1790"/>
      <c r="AG175" s="1745"/>
      <c r="AH175" s="1745"/>
      <c r="AI175" s="1745"/>
      <c r="AJ175" s="1745"/>
      <c r="AK175" s="1745"/>
      <c r="AL175" s="1745"/>
      <c r="AN175" s="1686"/>
      <c r="AZ175" s="1690"/>
      <c r="BA175" s="1690"/>
      <c r="BB175" s="1690"/>
      <c r="BC175" s="1691"/>
    </row>
    <row r="176" hidden="1" customHeight="1" spans="1:55">
      <c r="A176" s="1708" t="s">
        <v>113</v>
      </c>
      <c r="L176" s="1246"/>
      <c r="M176" s="1246"/>
      <c r="N176" s="1246"/>
      <c r="O176" s="1246"/>
      <c r="P176" s="1859"/>
      <c r="Q176" s="1859"/>
      <c r="R176" s="1246"/>
      <c r="S176" s="1859"/>
      <c r="T176" s="1859"/>
      <c r="U176" s="1736">
        <f>Interim!FE245</f>
        <v>0</v>
      </c>
      <c r="V176" s="1736">
        <f t="shared" ref="V176:AA176" si="294">V175/U175-1</f>
        <v>0.369886363636364</v>
      </c>
      <c r="W176" s="1881">
        <f t="shared" si="294"/>
        <v>0.221070095396101</v>
      </c>
      <c r="X176" s="1881">
        <f t="shared" si="294"/>
        <v>0.259171195652174</v>
      </c>
      <c r="Y176" s="1881">
        <f t="shared" si="294"/>
        <v>0.835716212570812</v>
      </c>
      <c r="Z176" s="1881">
        <f t="shared" si="294"/>
        <v>0.136811168258633</v>
      </c>
      <c r="AA176" s="1881">
        <f t="shared" si="294"/>
        <v>-0.1858841778697</v>
      </c>
      <c r="AB176" s="1882"/>
      <c r="AC176" s="1882"/>
      <c r="AD176" s="1882"/>
      <c r="AE176" s="1882"/>
      <c r="AF176" s="1883"/>
      <c r="AG176" s="1882"/>
      <c r="AH176" s="1882"/>
      <c r="AI176" s="1882"/>
      <c r="AJ176" s="1882"/>
      <c r="AK176" s="1882"/>
      <c r="AL176" s="1882"/>
      <c r="AN176" s="1686"/>
      <c r="AZ176" s="1690"/>
      <c r="BA176" s="1690"/>
      <c r="BB176" s="1690"/>
      <c r="BC176" s="1691"/>
    </row>
    <row r="177" hidden="1" customHeight="1" spans="1:55">
      <c r="A177" s="1708" t="s">
        <v>100</v>
      </c>
      <c r="L177" s="1246"/>
      <c r="M177" s="1246"/>
      <c r="N177" s="1246"/>
      <c r="O177" s="1246"/>
      <c r="P177" s="1859"/>
      <c r="Q177" s="1859"/>
      <c r="R177" s="1246"/>
      <c r="S177" s="1859"/>
      <c r="T177" s="1859"/>
      <c r="U177" s="1736">
        <f>Interim!FE246</f>
        <v>0</v>
      </c>
      <c r="V177" s="1736">
        <f>Interim!FM246</f>
        <v>0.17</v>
      </c>
      <c r="W177" s="1881">
        <f>Interim!FU246</f>
        <v>0.28</v>
      </c>
      <c r="X177" s="1881">
        <f>Interim!GC246</f>
        <v>0.3</v>
      </c>
      <c r="Y177" s="1881">
        <f>Interim!GK246</f>
        <v>0.16</v>
      </c>
      <c r="Z177" s="1881">
        <f>Interim!GS246</f>
        <v>0.11</v>
      </c>
      <c r="AA177" s="1881">
        <f>Interim!HA246</f>
        <v>-0.17</v>
      </c>
      <c r="AB177" s="1881"/>
      <c r="AC177" s="1881"/>
      <c r="AD177" s="1881"/>
      <c r="AE177" s="1881"/>
      <c r="AF177" s="1884"/>
      <c r="AG177" s="1881"/>
      <c r="AH177" s="1881"/>
      <c r="AI177" s="1881"/>
      <c r="AJ177" s="1881"/>
      <c r="AK177" s="1881"/>
      <c r="AL177" s="1881"/>
      <c r="AN177" s="1686"/>
      <c r="AZ177" s="1690"/>
      <c r="BA177" s="1690"/>
      <c r="BB177" s="1690"/>
      <c r="BC177" s="1691"/>
    </row>
    <row r="178" hidden="1" customHeight="1" spans="1:55">
      <c r="A178" s="1708" t="s">
        <v>82</v>
      </c>
      <c r="L178" s="1246"/>
      <c r="M178" s="1246"/>
      <c r="N178" s="1246"/>
      <c r="O178" s="1246"/>
      <c r="P178" s="1859"/>
      <c r="Q178" s="1859"/>
      <c r="R178" s="1246"/>
      <c r="S178" s="1859"/>
      <c r="T178" s="1859"/>
      <c r="U178" s="1859">
        <f>Interim!FE247</f>
        <v>27</v>
      </c>
      <c r="V178" s="1859">
        <f>Interim!FM247</f>
        <v>58</v>
      </c>
      <c r="W178" s="1745">
        <f>Interim!FU247</f>
        <v>67</v>
      </c>
      <c r="X178" s="1745">
        <f>Interim!GC247</f>
        <v>82</v>
      </c>
      <c r="Y178" s="1745">
        <f>Interim!GK247</f>
        <v>336.000000000003</v>
      </c>
      <c r="Z178" s="1745">
        <f>Interim!GS247</f>
        <v>294.580000000003</v>
      </c>
      <c r="AA178" s="1745">
        <f>Interim!HA247</f>
        <v>248</v>
      </c>
      <c r="AB178" s="1745"/>
      <c r="AC178" s="1745"/>
      <c r="AD178" s="1745"/>
      <c r="AE178" s="1745"/>
      <c r="AF178" s="1790"/>
      <c r="AG178" s="1745"/>
      <c r="AH178" s="1745"/>
      <c r="AI178" s="1745"/>
      <c r="AJ178" s="1745"/>
      <c r="AK178" s="1745"/>
      <c r="AL178" s="1745"/>
      <c r="AN178" s="1686"/>
      <c r="AZ178" s="1690"/>
      <c r="BA178" s="1690"/>
      <c r="BB178" s="1690"/>
      <c r="BC178" s="1691"/>
    </row>
    <row r="179" hidden="1" customHeight="1" spans="1:55">
      <c r="A179" s="1708" t="s">
        <v>113</v>
      </c>
      <c r="L179" s="1246"/>
      <c r="M179" s="1246"/>
      <c r="N179" s="1246"/>
      <c r="O179" s="1246"/>
      <c r="P179" s="1859"/>
      <c r="Q179" s="1859"/>
      <c r="R179" s="1246"/>
      <c r="S179" s="1859"/>
      <c r="T179" s="1859"/>
      <c r="U179" s="1736">
        <f>Interim!FE248</f>
        <v>0</v>
      </c>
      <c r="V179" s="1736">
        <f t="shared" ref="V179:AA179" si="295">V178/U178-1</f>
        <v>1.14814814814815</v>
      </c>
      <c r="W179" s="1881">
        <f t="shared" si="295"/>
        <v>0.155172413793103</v>
      </c>
      <c r="X179" s="1881">
        <f t="shared" si="295"/>
        <v>0.223880597014925</v>
      </c>
      <c r="Y179" s="1881">
        <f t="shared" si="295"/>
        <v>3.09756097560979</v>
      </c>
      <c r="Z179" s="1881">
        <f t="shared" si="295"/>
        <v>-0.123273809523809</v>
      </c>
      <c r="AA179" s="1881">
        <f t="shared" si="295"/>
        <v>-0.158123429968098</v>
      </c>
      <c r="AB179" s="1881"/>
      <c r="AC179" s="1881"/>
      <c r="AD179" s="1881"/>
      <c r="AE179" s="1881"/>
      <c r="AF179" s="1884"/>
      <c r="AG179" s="1881"/>
      <c r="AH179" s="1881"/>
      <c r="AI179" s="1881"/>
      <c r="AJ179" s="1881"/>
      <c r="AK179" s="1881"/>
      <c r="AL179" s="1881"/>
      <c r="AN179" s="1686"/>
      <c r="AZ179" s="1690"/>
      <c r="BA179" s="1690"/>
      <c r="BB179" s="1690"/>
      <c r="BC179" s="1691"/>
    </row>
    <row r="180" hidden="1" customHeight="1" spans="1:55">
      <c r="A180" s="1708" t="s">
        <v>100</v>
      </c>
      <c r="L180" s="1246"/>
      <c r="M180" s="1246"/>
      <c r="N180" s="1246"/>
      <c r="O180" s="1246"/>
      <c r="P180" s="1859"/>
      <c r="Q180" s="1859"/>
      <c r="R180" s="1246"/>
      <c r="S180" s="1859"/>
      <c r="T180" s="1859"/>
      <c r="U180" s="1736">
        <f>Interim!FE249</f>
        <v>0</v>
      </c>
      <c r="V180" s="1736">
        <f>Interim!FM249</f>
        <v>0.83</v>
      </c>
      <c r="W180" s="1881">
        <f>Interim!FU249</f>
        <v>0.17</v>
      </c>
      <c r="X180" s="1881">
        <f>Interim!GC249</f>
        <v>0.25</v>
      </c>
      <c r="Y180" s="1881">
        <f>Interim!GK249</f>
        <v>0.03</v>
      </c>
      <c r="Z180" s="1881">
        <f>Interim!GS249</f>
        <v>-0.15</v>
      </c>
      <c r="AA180" s="1881">
        <f>Interim!HA249</f>
        <v>-0.15</v>
      </c>
      <c r="AB180" s="1881"/>
      <c r="AC180" s="1881"/>
      <c r="AD180" s="1881"/>
      <c r="AE180" s="1881"/>
      <c r="AF180" s="1884"/>
      <c r="AG180" s="1881"/>
      <c r="AH180" s="1881"/>
      <c r="AI180" s="1881"/>
      <c r="AJ180" s="1881"/>
      <c r="AK180" s="1881"/>
      <c r="AL180" s="1881"/>
      <c r="AN180" s="1686"/>
      <c r="AZ180" s="1690"/>
      <c r="BA180" s="1690"/>
      <c r="BB180" s="1690"/>
      <c r="BC180" s="1691"/>
    </row>
    <row r="181" hidden="1" customHeight="1" spans="1:55">
      <c r="A181" s="1802" t="s">
        <v>104</v>
      </c>
      <c r="L181" s="1246"/>
      <c r="M181" s="1246"/>
      <c r="N181" s="1246"/>
      <c r="O181" s="1246"/>
      <c r="P181" s="1859"/>
      <c r="Q181" s="1859"/>
      <c r="R181" s="1246"/>
      <c r="S181" s="1859"/>
      <c r="T181" s="1859"/>
      <c r="U181" s="1880">
        <f>Interim!FE250</f>
        <v>744</v>
      </c>
      <c r="V181" s="1880">
        <f>Interim!FM250</f>
        <v>776</v>
      </c>
      <c r="W181" s="1703">
        <f t="shared" ref="W181:X181" si="296">W117</f>
        <v>1007</v>
      </c>
      <c r="X181" s="1703">
        <f t="shared" si="296"/>
        <v>1056</v>
      </c>
      <c r="Y181" s="1703"/>
      <c r="Z181" s="1703"/>
      <c r="AA181" s="1703"/>
      <c r="AB181" s="1703"/>
      <c r="AC181" s="1703"/>
      <c r="AD181" s="1703"/>
      <c r="AE181" s="1703"/>
      <c r="AF181" s="1704"/>
      <c r="AG181" s="1703"/>
      <c r="AH181" s="1703"/>
      <c r="AI181" s="1703"/>
      <c r="AJ181" s="1703"/>
      <c r="AK181" s="1703"/>
      <c r="AL181" s="1703"/>
      <c r="AN181" s="1686"/>
      <c r="AZ181" s="1690"/>
      <c r="BA181" s="1690"/>
      <c r="BB181" s="1690"/>
      <c r="BC181" s="1691"/>
    </row>
    <row r="182" hidden="1" customHeight="1" spans="1:55">
      <c r="A182" s="1708" t="s">
        <v>80</v>
      </c>
      <c r="L182" s="1246"/>
      <c r="M182" s="1246"/>
      <c r="N182" s="1246"/>
      <c r="O182" s="1246"/>
      <c r="P182" s="1859"/>
      <c r="Q182" s="1859"/>
      <c r="R182" s="1246"/>
      <c r="S182" s="1859"/>
      <c r="T182" s="1859"/>
      <c r="U182" s="1859">
        <f>Interim!FE251</f>
        <v>666</v>
      </c>
      <c r="V182" s="1859">
        <f>Interim!FM251</f>
        <v>696</v>
      </c>
      <c r="W182" s="1745">
        <f>Interim!FU251</f>
        <v>907</v>
      </c>
      <c r="X182" s="1745">
        <f>Interim!GC251</f>
        <v>955</v>
      </c>
      <c r="Y182" s="1745"/>
      <c r="Z182" s="1745"/>
      <c r="AA182" s="1745"/>
      <c r="AB182" s="1745"/>
      <c r="AC182" s="1745"/>
      <c r="AD182" s="1745"/>
      <c r="AE182" s="1745"/>
      <c r="AF182" s="1790"/>
      <c r="AG182" s="1745"/>
      <c r="AH182" s="1745"/>
      <c r="AI182" s="1745"/>
      <c r="AJ182" s="1745"/>
      <c r="AK182" s="1745"/>
      <c r="AL182" s="1745"/>
      <c r="AN182" s="1686"/>
      <c r="AZ182" s="1690"/>
      <c r="BA182" s="1690"/>
      <c r="BB182" s="1690"/>
      <c r="BC182" s="1691"/>
    </row>
    <row r="183" hidden="1" customHeight="1" spans="1:55">
      <c r="A183" s="1708" t="s">
        <v>113</v>
      </c>
      <c r="L183" s="1246"/>
      <c r="M183" s="1246"/>
      <c r="N183" s="1246"/>
      <c r="O183" s="1246"/>
      <c r="P183" s="1859"/>
      <c r="Q183" s="1859"/>
      <c r="R183" s="1246"/>
      <c r="S183" s="1859"/>
      <c r="T183" s="1859"/>
      <c r="U183" s="1736">
        <f>Interim!FE252</f>
        <v>0</v>
      </c>
      <c r="V183" s="1736">
        <f>V182/U182-1</f>
        <v>0.045045045045045</v>
      </c>
      <c r="W183" s="1881">
        <f>W182/V182-1</f>
        <v>0.30316091954023</v>
      </c>
      <c r="X183" s="1881">
        <f>X182/W182-1</f>
        <v>0.0529217199558987</v>
      </c>
      <c r="Y183" s="1881"/>
      <c r="Z183" s="1882"/>
      <c r="AA183" s="1882"/>
      <c r="AB183" s="1882"/>
      <c r="AC183" s="1882"/>
      <c r="AD183" s="1882"/>
      <c r="AE183" s="1882"/>
      <c r="AF183" s="1883"/>
      <c r="AG183" s="1882"/>
      <c r="AH183" s="1882"/>
      <c r="AI183" s="1882"/>
      <c r="AJ183" s="1882"/>
      <c r="AK183" s="1882"/>
      <c r="AL183" s="1882"/>
      <c r="AN183" s="1686"/>
      <c r="AZ183" s="1690"/>
      <c r="BA183" s="1690"/>
      <c r="BB183" s="1690"/>
      <c r="BC183" s="1691"/>
    </row>
    <row r="184" hidden="1" customHeight="1" spans="1:55">
      <c r="A184" s="1708" t="s">
        <v>100</v>
      </c>
      <c r="L184" s="1246"/>
      <c r="M184" s="1246"/>
      <c r="N184" s="1246"/>
      <c r="O184" s="1246"/>
      <c r="P184" s="1859"/>
      <c r="Q184" s="1859"/>
      <c r="R184" s="1246"/>
      <c r="S184" s="1859"/>
      <c r="T184" s="1859"/>
      <c r="U184" s="1736">
        <f>Interim!FE253</f>
        <v>0</v>
      </c>
      <c r="V184" s="1736">
        <f>Interim!FM253</f>
        <v>0</v>
      </c>
      <c r="W184" s="1881">
        <f>Interim!FU253</f>
        <v>0.17</v>
      </c>
      <c r="X184" s="1881">
        <f>Interim!GC253</f>
        <v>0.1</v>
      </c>
      <c r="Y184" s="1881"/>
      <c r="Z184" s="1881"/>
      <c r="AA184" s="1881"/>
      <c r="AB184" s="1881"/>
      <c r="AC184" s="1881"/>
      <c r="AD184" s="1881"/>
      <c r="AE184" s="1881"/>
      <c r="AF184" s="1884"/>
      <c r="AG184" s="1881"/>
      <c r="AH184" s="1881"/>
      <c r="AI184" s="1881"/>
      <c r="AJ184" s="1881"/>
      <c r="AK184" s="1881"/>
      <c r="AL184" s="1881"/>
      <c r="AN184" s="1686"/>
      <c r="AZ184" s="1690"/>
      <c r="BA184" s="1690"/>
      <c r="BB184" s="1690"/>
      <c r="BC184" s="1691"/>
    </row>
    <row r="185" hidden="1" customHeight="1" spans="1:55">
      <c r="A185" s="1708" t="s">
        <v>82</v>
      </c>
      <c r="L185" s="1246"/>
      <c r="M185" s="1246"/>
      <c r="N185" s="1246"/>
      <c r="O185" s="1246"/>
      <c r="P185" s="1859"/>
      <c r="Q185" s="1859"/>
      <c r="R185" s="1246"/>
      <c r="S185" s="1859"/>
      <c r="T185" s="1859"/>
      <c r="U185" s="1859">
        <f>Interim!FE254</f>
        <v>77</v>
      </c>
      <c r="V185" s="1859">
        <f>Interim!FM254</f>
        <v>80</v>
      </c>
      <c r="W185" s="1745">
        <f>Interim!FU254</f>
        <v>100</v>
      </c>
      <c r="X185" s="1745">
        <f>Interim!GC254</f>
        <v>101</v>
      </c>
      <c r="Y185" s="1745"/>
      <c r="Z185" s="1745"/>
      <c r="AA185" s="1745"/>
      <c r="AB185" s="1745"/>
      <c r="AC185" s="1745"/>
      <c r="AD185" s="1745"/>
      <c r="AE185" s="1745"/>
      <c r="AF185" s="1790"/>
      <c r="AG185" s="1745"/>
      <c r="AH185" s="1745"/>
      <c r="AI185" s="1745"/>
      <c r="AJ185" s="1745"/>
      <c r="AK185" s="1745"/>
      <c r="AL185" s="1745"/>
      <c r="AN185" s="1686"/>
      <c r="AZ185" s="1690"/>
      <c r="BA185" s="1690"/>
      <c r="BB185" s="1690"/>
      <c r="BC185" s="1691"/>
    </row>
    <row r="186" hidden="1" customHeight="1" spans="1:55">
      <c r="A186" s="1708" t="s">
        <v>113</v>
      </c>
      <c r="L186" s="1246"/>
      <c r="M186" s="1246"/>
      <c r="N186" s="1246"/>
      <c r="O186" s="1246"/>
      <c r="P186" s="1859"/>
      <c r="Q186" s="1859"/>
      <c r="R186" s="1246"/>
      <c r="S186" s="1859"/>
      <c r="T186" s="1859"/>
      <c r="U186" s="1736">
        <f>Interim!FE255</f>
        <v>0</v>
      </c>
      <c r="V186" s="1736">
        <f t="shared" ref="V186:X186" si="297">V185/U185-1</f>
        <v>0.0389610389610389</v>
      </c>
      <c r="W186" s="1881">
        <f t="shared" si="297"/>
        <v>0.25</v>
      </c>
      <c r="X186" s="1881">
        <f t="shared" si="297"/>
        <v>0.01</v>
      </c>
      <c r="Y186" s="1881"/>
      <c r="Z186" s="1881"/>
      <c r="AA186" s="1881"/>
      <c r="AB186" s="1881"/>
      <c r="AC186" s="1881"/>
      <c r="AD186" s="1881"/>
      <c r="AE186" s="1881"/>
      <c r="AF186" s="1884"/>
      <c r="AG186" s="1881"/>
      <c r="AH186" s="1881"/>
      <c r="AI186" s="1881"/>
      <c r="AJ186" s="1881"/>
      <c r="AK186" s="1881"/>
      <c r="AL186" s="1881"/>
      <c r="AN186" s="1686"/>
      <c r="AZ186" s="1690"/>
      <c r="BA186" s="1690"/>
      <c r="BB186" s="1690"/>
      <c r="BC186" s="1691"/>
    </row>
    <row r="187" hidden="1" customHeight="1" spans="1:55">
      <c r="A187" s="1708" t="s">
        <v>100</v>
      </c>
      <c r="L187" s="1246"/>
      <c r="M187" s="1246"/>
      <c r="N187" s="1246"/>
      <c r="O187" s="1246"/>
      <c r="P187" s="1859"/>
      <c r="Q187" s="1859"/>
      <c r="R187" s="1246"/>
      <c r="S187" s="1859"/>
      <c r="T187" s="1859"/>
      <c r="U187" s="1736">
        <f>Interim!FE256</f>
        <v>0</v>
      </c>
      <c r="V187" s="1736">
        <f>Interim!FM256</f>
        <v>-0.01</v>
      </c>
      <c r="W187" s="1881">
        <f>Interim!FU256</f>
        <v>0.12</v>
      </c>
      <c r="X187" s="1881">
        <f>Interim!GC256</f>
        <v>0.06</v>
      </c>
      <c r="Y187" s="1881"/>
      <c r="Z187" s="1881"/>
      <c r="AA187" s="1881"/>
      <c r="AB187" s="1881"/>
      <c r="AC187" s="1881"/>
      <c r="AD187" s="1881"/>
      <c r="AE187" s="1881"/>
      <c r="AF187" s="1884"/>
      <c r="AG187" s="1881"/>
      <c r="AH187" s="1881"/>
      <c r="AI187" s="1881"/>
      <c r="AJ187" s="1881"/>
      <c r="AK187" s="1881"/>
      <c r="AL187" s="1881"/>
      <c r="AN187" s="1686"/>
      <c r="AZ187" s="1690"/>
      <c r="BA187" s="1690"/>
      <c r="BB187" s="1690"/>
      <c r="BC187" s="1691"/>
    </row>
    <row r="188" hidden="1" customHeight="1" spans="1:55">
      <c r="A188" s="1802" t="s">
        <v>115</v>
      </c>
      <c r="L188" s="1246"/>
      <c r="M188" s="1246"/>
      <c r="N188" s="1246"/>
      <c r="O188" s="1246"/>
      <c r="P188" s="1859"/>
      <c r="Q188" s="1859"/>
      <c r="R188" s="1246"/>
      <c r="S188" s="1859"/>
      <c r="T188" s="1859"/>
      <c r="U188" s="1880">
        <f>Interim!FE257</f>
        <v>1098</v>
      </c>
      <c r="V188" s="1880">
        <f>Interim!FM257</f>
        <v>739</v>
      </c>
      <c r="W188" s="1703">
        <f t="shared" ref="W188:AA188" si="298">W122</f>
        <v>679</v>
      </c>
      <c r="X188" s="1703">
        <f t="shared" si="298"/>
        <v>660</v>
      </c>
      <c r="Y188" s="1703">
        <f t="shared" ref="Y188" si="299">Y122</f>
        <v>594</v>
      </c>
      <c r="Z188" s="1703">
        <f t="shared" si="298"/>
        <v>659</v>
      </c>
      <c r="AA188" s="1703">
        <f t="shared" si="298"/>
        <v>584</v>
      </c>
      <c r="AB188" s="1703"/>
      <c r="AC188" s="1703"/>
      <c r="AD188" s="1703"/>
      <c r="AE188" s="1703"/>
      <c r="AF188" s="1704"/>
      <c r="AG188" s="1703"/>
      <c r="AH188" s="1703"/>
      <c r="AI188" s="1703"/>
      <c r="AJ188" s="1703"/>
      <c r="AK188" s="1703"/>
      <c r="AL188" s="1703"/>
      <c r="AN188" s="1686"/>
      <c r="AZ188" s="1690"/>
      <c r="BA188" s="1690"/>
      <c r="BB188" s="1690"/>
      <c r="BC188" s="1691"/>
    </row>
    <row r="189" hidden="1" customHeight="1" spans="1:55">
      <c r="A189" s="1708" t="s">
        <v>80</v>
      </c>
      <c r="L189" s="1246"/>
      <c r="M189" s="1246"/>
      <c r="N189" s="1246"/>
      <c r="O189" s="1246"/>
      <c r="P189" s="1859"/>
      <c r="Q189" s="1859"/>
      <c r="R189" s="1246"/>
      <c r="S189" s="1859"/>
      <c r="T189" s="1859"/>
      <c r="U189" s="1859">
        <f>Interim!FE258</f>
        <v>872</v>
      </c>
      <c r="V189" s="1859">
        <f>Interim!FM258</f>
        <v>570</v>
      </c>
      <c r="W189" s="1745">
        <f>Interim!FU258</f>
        <v>514</v>
      </c>
      <c r="X189" s="1745">
        <f>Interim!GC258</f>
        <v>478</v>
      </c>
      <c r="Y189" s="1745">
        <f>Interim!GK258</f>
        <v>446</v>
      </c>
      <c r="Z189" s="1745">
        <f>Interim!GS258</f>
        <v>490</v>
      </c>
      <c r="AA189" s="1745">
        <f>Interim!HA258</f>
        <v>448</v>
      </c>
      <c r="AB189" s="1745"/>
      <c r="AC189" s="1745"/>
      <c r="AD189" s="1745"/>
      <c r="AE189" s="1745"/>
      <c r="AF189" s="1790"/>
      <c r="AG189" s="1745"/>
      <c r="AH189" s="1745"/>
      <c r="AI189" s="1745"/>
      <c r="AJ189" s="1745"/>
      <c r="AK189" s="1745"/>
      <c r="AL189" s="1745"/>
      <c r="AN189" s="1686"/>
      <c r="AZ189" s="1690"/>
      <c r="BA189" s="1690"/>
      <c r="BB189" s="1690"/>
      <c r="BC189" s="1691"/>
    </row>
    <row r="190" hidden="1" customHeight="1" spans="1:55">
      <c r="A190" s="1708" t="s">
        <v>113</v>
      </c>
      <c r="L190" s="1246"/>
      <c r="M190" s="1246"/>
      <c r="N190" s="1246"/>
      <c r="O190" s="1246"/>
      <c r="P190" s="1859"/>
      <c r="Q190" s="1859"/>
      <c r="R190" s="1246"/>
      <c r="S190" s="1859"/>
      <c r="T190" s="1859"/>
      <c r="U190" s="1736">
        <f>Interim!FE259</f>
        <v>0</v>
      </c>
      <c r="V190" s="1736">
        <f t="shared" ref="V190:AA190" si="300">V189/U189-1</f>
        <v>-0.346330275229358</v>
      </c>
      <c r="W190" s="1881">
        <f t="shared" si="300"/>
        <v>-0.0982456140350877</v>
      </c>
      <c r="X190" s="1881">
        <f t="shared" si="300"/>
        <v>-0.0700389105058365</v>
      </c>
      <c r="Y190" s="1881">
        <f t="shared" si="300"/>
        <v>-0.0669456066945606</v>
      </c>
      <c r="Z190" s="1881">
        <f t="shared" si="300"/>
        <v>0.0986547085201794</v>
      </c>
      <c r="AA190" s="1881">
        <f t="shared" si="300"/>
        <v>-0.0857142857142857</v>
      </c>
      <c r="AB190" s="1882"/>
      <c r="AC190" s="1882"/>
      <c r="AD190" s="1882"/>
      <c r="AE190" s="1882"/>
      <c r="AF190" s="1883"/>
      <c r="AG190" s="1882"/>
      <c r="AH190" s="1882"/>
      <c r="AI190" s="1882"/>
      <c r="AJ190" s="1882"/>
      <c r="AK190" s="1882"/>
      <c r="AL190" s="1882"/>
      <c r="AN190" s="1686"/>
      <c r="AZ190" s="1690"/>
      <c r="BA190" s="1690"/>
      <c r="BB190" s="1690"/>
      <c r="BC190" s="1691"/>
    </row>
    <row r="191" hidden="1" customHeight="1" spans="1:55">
      <c r="A191" s="1708" t="s">
        <v>100</v>
      </c>
      <c r="L191" s="1246"/>
      <c r="M191" s="1246"/>
      <c r="N191" s="1246"/>
      <c r="O191" s="1246"/>
      <c r="P191" s="1859"/>
      <c r="Q191" s="1859"/>
      <c r="R191" s="1246"/>
      <c r="S191" s="1859"/>
      <c r="T191" s="1859"/>
      <c r="U191" s="1736">
        <f>Interim!FE260</f>
        <v>0</v>
      </c>
      <c r="V191" s="1736">
        <f>Interim!FM260</f>
        <v>-0.13</v>
      </c>
      <c r="W191" s="1881">
        <f>Interim!FU260</f>
        <v>0.01</v>
      </c>
      <c r="X191" s="1881">
        <f>Interim!GC260</f>
        <v>-0.16</v>
      </c>
      <c r="Y191" s="1881">
        <f>Interim!GK260</f>
        <v>0.05</v>
      </c>
      <c r="Z191" s="1881">
        <f>Interim!GS260</f>
        <v>0.07</v>
      </c>
      <c r="AA191" s="1881">
        <f>Interim!HA260</f>
        <v>0.03</v>
      </c>
      <c r="AB191" s="1881"/>
      <c r="AC191" s="1881"/>
      <c r="AD191" s="1881"/>
      <c r="AE191" s="1881"/>
      <c r="AF191" s="1884"/>
      <c r="AG191" s="1881"/>
      <c r="AH191" s="1881"/>
      <c r="AI191" s="1881"/>
      <c r="AJ191" s="1881"/>
      <c r="AK191" s="1881"/>
      <c r="AL191" s="1881"/>
      <c r="AO191" s="1686"/>
      <c r="AT191" s="1688"/>
      <c r="AZ191" s="1690"/>
      <c r="BA191" s="1690"/>
      <c r="BB191" s="1690"/>
      <c r="BC191" s="1691"/>
    </row>
    <row r="192" hidden="1" customHeight="1" spans="1:55">
      <c r="A192" s="1708" t="s">
        <v>82</v>
      </c>
      <c r="L192" s="1246"/>
      <c r="M192" s="1246"/>
      <c r="N192" s="1246"/>
      <c r="O192" s="1246"/>
      <c r="P192" s="1859"/>
      <c r="Q192" s="1859"/>
      <c r="R192" s="1246"/>
      <c r="S192" s="1859"/>
      <c r="T192" s="1859"/>
      <c r="U192" s="1859">
        <f>Interim!FE261</f>
        <v>226</v>
      </c>
      <c r="V192" s="1859">
        <f>Interim!FM261</f>
        <v>170</v>
      </c>
      <c r="W192" s="1745">
        <f>Interim!FU261</f>
        <v>166</v>
      </c>
      <c r="X192" s="1745">
        <f>Interim!GC261</f>
        <v>182</v>
      </c>
      <c r="Y192" s="1745">
        <f>Interim!GK261</f>
        <v>148</v>
      </c>
      <c r="Z192" s="1745">
        <f>Interim!GS261</f>
        <v>169</v>
      </c>
      <c r="AA192" s="1745">
        <f>Interim!HA261</f>
        <v>136</v>
      </c>
      <c r="AB192" s="1745"/>
      <c r="AC192" s="1745"/>
      <c r="AD192" s="1745"/>
      <c r="AE192" s="1745"/>
      <c r="AF192" s="1790"/>
      <c r="AG192" s="1745"/>
      <c r="AH192" s="1745"/>
      <c r="AI192" s="1745"/>
      <c r="AJ192" s="1745"/>
      <c r="AK192" s="1745"/>
      <c r="AL192" s="1745"/>
      <c r="AO192" s="1686"/>
      <c r="AT192" s="1688"/>
      <c r="AZ192" s="1690"/>
      <c r="BA192" s="1690"/>
      <c r="BB192" s="1690"/>
      <c r="BC192" s="1691"/>
    </row>
    <row r="193" hidden="1" customHeight="1" spans="1:55">
      <c r="A193" s="1708" t="s">
        <v>113</v>
      </c>
      <c r="L193" s="1246"/>
      <c r="M193" s="1246"/>
      <c r="N193" s="1246"/>
      <c r="O193" s="1246"/>
      <c r="P193" s="1859"/>
      <c r="Q193" s="1859"/>
      <c r="R193" s="1246"/>
      <c r="S193" s="1859"/>
      <c r="T193" s="1859"/>
      <c r="U193" s="1736">
        <f>Interim!FE262</f>
        <v>0</v>
      </c>
      <c r="V193" s="1736">
        <f t="shared" ref="V193:AA193" si="301">V192/U192-1</f>
        <v>-0.247787610619469</v>
      </c>
      <c r="W193" s="1881">
        <f t="shared" si="301"/>
        <v>-0.0235294117647059</v>
      </c>
      <c r="X193" s="1881">
        <f t="shared" si="301"/>
        <v>0.0963855421686748</v>
      </c>
      <c r="Y193" s="1881">
        <f t="shared" si="301"/>
        <v>-0.186813186813186</v>
      </c>
      <c r="Z193" s="1881">
        <f t="shared" si="301"/>
        <v>0.141891891891892</v>
      </c>
      <c r="AA193" s="1881">
        <f t="shared" si="301"/>
        <v>-0.19526627218935</v>
      </c>
      <c r="AB193" s="1881"/>
      <c r="AC193" s="1881"/>
      <c r="AD193" s="1881"/>
      <c r="AE193" s="1881"/>
      <c r="AF193" s="1884"/>
      <c r="AG193" s="1881"/>
      <c r="AH193" s="1881"/>
      <c r="AI193" s="1881"/>
      <c r="AJ193" s="1881"/>
      <c r="AK193" s="1881"/>
      <c r="AL193" s="1881"/>
      <c r="AO193" s="1679"/>
      <c r="AT193" s="1688"/>
      <c r="AZ193" s="1690"/>
      <c r="BA193" s="1690"/>
      <c r="BB193" s="1690"/>
      <c r="BC193" s="1691"/>
    </row>
    <row r="194" hidden="1" customHeight="1" spans="1:55">
      <c r="A194" s="1708" t="s">
        <v>100</v>
      </c>
      <c r="L194" s="1246"/>
      <c r="M194" s="1246"/>
      <c r="N194" s="1246"/>
      <c r="O194" s="1246"/>
      <c r="P194" s="1859"/>
      <c r="Q194" s="1859"/>
      <c r="R194" s="1246"/>
      <c r="S194" s="1859"/>
      <c r="T194" s="1859"/>
      <c r="U194" s="1736">
        <f>Interim!FE263</f>
        <v>0</v>
      </c>
      <c r="V194" s="1736">
        <f>Interim!FM263</f>
        <v>-0.01</v>
      </c>
      <c r="W194" s="1881">
        <f>Interim!FU263</f>
        <v>0.09</v>
      </c>
      <c r="X194" s="1881">
        <f>Interim!GC263</f>
        <v>-0.02</v>
      </c>
      <c r="Y194" s="1881">
        <f>Interim!GK263</f>
        <v>-0.08</v>
      </c>
      <c r="Z194" s="1881">
        <f>Interim!GS263</f>
        <v>0.11</v>
      </c>
      <c r="AA194" s="1881">
        <f>Interim!HA263</f>
        <v>-0.09</v>
      </c>
      <c r="AB194" s="1881"/>
      <c r="AC194" s="1881"/>
      <c r="AD194" s="1881"/>
      <c r="AE194" s="1881"/>
      <c r="AF194" s="1884"/>
      <c r="AG194" s="1881"/>
      <c r="AH194" s="1881"/>
      <c r="AI194" s="1881"/>
      <c r="AJ194" s="1881"/>
      <c r="AK194" s="1881"/>
      <c r="AL194" s="1881"/>
      <c r="AO194" s="1686"/>
      <c r="AS194" s="1715"/>
      <c r="AT194" s="1688"/>
      <c r="AZ194" s="1690"/>
      <c r="BA194" s="1690"/>
      <c r="BB194" s="1690"/>
      <c r="BC194" s="1691"/>
    </row>
    <row r="195" hidden="1" customHeight="1" spans="1:55">
      <c r="A195" s="1802" t="s">
        <v>116</v>
      </c>
      <c r="L195" s="1246"/>
      <c r="M195" s="1246"/>
      <c r="N195" s="1246"/>
      <c r="O195" s="1246"/>
      <c r="P195" s="1859"/>
      <c r="Q195" s="1859"/>
      <c r="R195" s="1246"/>
      <c r="S195" s="1859"/>
      <c r="T195" s="1859"/>
      <c r="U195" s="1880">
        <f>Interim!FE264</f>
        <v>1925</v>
      </c>
      <c r="V195" s="1880">
        <f>Interim!FM264</f>
        <v>2388</v>
      </c>
      <c r="W195" s="1703">
        <f t="shared" ref="W195:AA195" si="302">W127</f>
        <v>2685</v>
      </c>
      <c r="X195" s="1703">
        <f t="shared" si="302"/>
        <v>2907</v>
      </c>
      <c r="Y195" s="1703">
        <f t="shared" ref="Y195" si="303">Y127</f>
        <v>1144</v>
      </c>
      <c r="Z195" s="1703">
        <f t="shared" si="302"/>
        <v>1302</v>
      </c>
      <c r="AA195" s="1703">
        <f t="shared" si="302"/>
        <v>998</v>
      </c>
      <c r="AB195" s="1703"/>
      <c r="AC195" s="1703"/>
      <c r="AD195" s="1703"/>
      <c r="AE195" s="1703"/>
      <c r="AF195" s="1704"/>
      <c r="AG195" s="1703"/>
      <c r="AH195" s="1703"/>
      <c r="AI195" s="1703"/>
      <c r="AJ195" s="1703"/>
      <c r="AK195" s="1703"/>
      <c r="AL195" s="1703"/>
      <c r="AN195" s="1686"/>
      <c r="AZ195" s="1690"/>
      <c r="BA195" s="1690"/>
      <c r="BB195" s="1690"/>
      <c r="BC195" s="1691"/>
    </row>
    <row r="196" hidden="1" customHeight="1" spans="1:55">
      <c r="A196" s="1708" t="s">
        <v>80</v>
      </c>
      <c r="L196" s="1246"/>
      <c r="M196" s="1246"/>
      <c r="N196" s="1246"/>
      <c r="O196" s="1246"/>
      <c r="P196" s="1859"/>
      <c r="Q196" s="1859"/>
      <c r="R196" s="1246"/>
      <c r="S196" s="1859"/>
      <c r="T196" s="1859"/>
      <c r="U196" s="1859">
        <f>Interim!FE265</f>
        <v>1693</v>
      </c>
      <c r="V196" s="1859">
        <f>Interim!FM265</f>
        <v>2091</v>
      </c>
      <c r="W196" s="1745">
        <f>Interim!FU265</f>
        <v>2385</v>
      </c>
      <c r="X196" s="1745">
        <f>Interim!GC265</f>
        <v>2603</v>
      </c>
      <c r="Y196" s="1745">
        <f>Interim!GK265</f>
        <v>1010</v>
      </c>
      <c r="Z196" s="1745">
        <f>Interim!GS265</f>
        <v>1146</v>
      </c>
      <c r="AA196" s="1745">
        <f>Interim!HA265</f>
        <v>892</v>
      </c>
      <c r="AB196" s="1745"/>
      <c r="AC196" s="1745"/>
      <c r="AD196" s="1745"/>
      <c r="AE196" s="1745"/>
      <c r="AF196" s="1790"/>
      <c r="AG196" s="1745"/>
      <c r="AH196" s="1745"/>
      <c r="AI196" s="1745"/>
      <c r="AJ196" s="1745"/>
      <c r="AK196" s="1745"/>
      <c r="AL196" s="1745"/>
      <c r="AN196" s="1686"/>
      <c r="AZ196" s="1690"/>
      <c r="BA196" s="1690"/>
      <c r="BB196" s="1690"/>
      <c r="BC196" s="1691"/>
    </row>
    <row r="197" hidden="1" customHeight="1" spans="1:55">
      <c r="A197" s="1708" t="s">
        <v>113</v>
      </c>
      <c r="L197" s="1246"/>
      <c r="M197" s="1246"/>
      <c r="N197" s="1246"/>
      <c r="O197" s="1246"/>
      <c r="P197" s="1859"/>
      <c r="Q197" s="1859"/>
      <c r="R197" s="1246"/>
      <c r="S197" s="1859"/>
      <c r="T197" s="1859"/>
      <c r="U197" s="1736">
        <f>Interim!FE266</f>
        <v>0</v>
      </c>
      <c r="V197" s="1736">
        <f t="shared" ref="V197:AA197" si="304">V196/U196-1</f>
        <v>0.235085646780862</v>
      </c>
      <c r="W197" s="1881">
        <f t="shared" si="304"/>
        <v>0.140602582496413</v>
      </c>
      <c r="X197" s="1881">
        <f t="shared" si="304"/>
        <v>0.091404612159329</v>
      </c>
      <c r="Y197" s="1881">
        <f t="shared" si="304"/>
        <v>-0.611986169804072</v>
      </c>
      <c r="Z197" s="1881">
        <f t="shared" si="304"/>
        <v>0.134653465346535</v>
      </c>
      <c r="AA197" s="1881">
        <f t="shared" si="304"/>
        <v>-0.221640488656195</v>
      </c>
      <c r="AB197" s="1882"/>
      <c r="AC197" s="1882"/>
      <c r="AD197" s="1882"/>
      <c r="AE197" s="1882"/>
      <c r="AF197" s="1883"/>
      <c r="AG197" s="1882"/>
      <c r="AH197" s="1882"/>
      <c r="AI197" s="1882"/>
      <c r="AJ197" s="1882"/>
      <c r="AK197" s="1882"/>
      <c r="AL197" s="1882"/>
      <c r="AN197" s="1686"/>
      <c r="AZ197" s="1690"/>
      <c r="BA197" s="1690"/>
      <c r="BB197" s="1690"/>
      <c r="BC197" s="1691"/>
    </row>
    <row r="198" hidden="1" customHeight="1" spans="1:55">
      <c r="A198" s="1708" t="s">
        <v>100</v>
      </c>
      <c r="L198" s="1246"/>
      <c r="M198" s="1246"/>
      <c r="N198" s="1246"/>
      <c r="O198" s="1246"/>
      <c r="P198" s="1859"/>
      <c r="Q198" s="1859"/>
      <c r="R198" s="1246"/>
      <c r="S198" s="1859"/>
      <c r="T198" s="1859"/>
      <c r="U198" s="1736">
        <f>Interim!FE267</f>
        <v>0</v>
      </c>
      <c r="V198" s="1736">
        <f>Interim!FM267</f>
        <v>0.13</v>
      </c>
      <c r="W198" s="1881">
        <f>Interim!FU267</f>
        <v>0.18</v>
      </c>
      <c r="X198" s="1881">
        <f>Interim!GC267</f>
        <v>0.11</v>
      </c>
      <c r="Y198" s="1881">
        <f>Interim!GK267</f>
        <v>-0.04</v>
      </c>
      <c r="Z198" s="1881">
        <f>Interim!GS267</f>
        <v>0.12</v>
      </c>
      <c r="AA198" s="1881">
        <f>Interim!HA267</f>
        <v>-0.16</v>
      </c>
      <c r="AB198" s="1881"/>
      <c r="AC198" s="1881"/>
      <c r="AD198" s="1881"/>
      <c r="AE198" s="1881"/>
      <c r="AF198" s="1884"/>
      <c r="AG198" s="1881"/>
      <c r="AH198" s="1881"/>
      <c r="AI198" s="1881"/>
      <c r="AJ198" s="1881"/>
      <c r="AK198" s="1881"/>
      <c r="AL198" s="1881"/>
      <c r="AN198" s="1686"/>
      <c r="AZ198" s="1690"/>
      <c r="BA198" s="1690"/>
      <c r="BB198" s="1690"/>
      <c r="BC198" s="1691"/>
    </row>
    <row r="199" hidden="1" customHeight="1" spans="1:55">
      <c r="A199" s="1708" t="s">
        <v>82</v>
      </c>
      <c r="L199" s="1246"/>
      <c r="M199" s="1246"/>
      <c r="N199" s="1246"/>
      <c r="O199" s="1246"/>
      <c r="P199" s="1859"/>
      <c r="Q199" s="1859"/>
      <c r="R199" s="1246"/>
      <c r="S199" s="1859"/>
      <c r="T199" s="1859"/>
      <c r="U199" s="1859">
        <f>Interim!FE268</f>
        <v>232</v>
      </c>
      <c r="V199" s="1859">
        <f>Interim!FM268</f>
        <v>298</v>
      </c>
      <c r="W199" s="1745">
        <f>Interim!FU268</f>
        <v>301</v>
      </c>
      <c r="X199" s="1745">
        <f>Interim!GC268</f>
        <v>304</v>
      </c>
      <c r="Y199" s="1745">
        <f>Interim!GK268</f>
        <v>134</v>
      </c>
      <c r="Z199" s="1745">
        <f>Interim!GS268</f>
        <v>156</v>
      </c>
      <c r="AA199" s="1745">
        <f>Interim!HA268</f>
        <v>106</v>
      </c>
      <c r="AB199" s="1745"/>
      <c r="AC199" s="1745"/>
      <c r="AD199" s="1745"/>
      <c r="AE199" s="1745"/>
      <c r="AF199" s="1790"/>
      <c r="AG199" s="1745"/>
      <c r="AH199" s="1745"/>
      <c r="AI199" s="1745"/>
      <c r="AJ199" s="1745"/>
      <c r="AK199" s="1745"/>
      <c r="AL199" s="1745"/>
      <c r="AN199" s="1686"/>
      <c r="AZ199" s="1690"/>
      <c r="BA199" s="1690"/>
      <c r="BB199" s="1690"/>
      <c r="BC199" s="1691"/>
    </row>
    <row r="200" hidden="1" customHeight="1" spans="1:55">
      <c r="A200" s="1708" t="s">
        <v>113</v>
      </c>
      <c r="L200" s="1246"/>
      <c r="M200" s="1246"/>
      <c r="N200" s="1246"/>
      <c r="O200" s="1246"/>
      <c r="P200" s="1859"/>
      <c r="Q200" s="1859"/>
      <c r="R200" s="1246"/>
      <c r="S200" s="1859"/>
      <c r="T200" s="1859"/>
      <c r="U200" s="1736">
        <f>Interim!FE269</f>
        <v>0</v>
      </c>
      <c r="V200" s="1736">
        <f t="shared" ref="V200:AA200" si="305">V199/U199-1</f>
        <v>0.28448275862069</v>
      </c>
      <c r="W200" s="1881">
        <f t="shared" si="305"/>
        <v>0.0100671140939597</v>
      </c>
      <c r="X200" s="1881">
        <f t="shared" si="305"/>
        <v>0.00996677740863783</v>
      </c>
      <c r="Y200" s="1881">
        <f t="shared" si="305"/>
        <v>-0.559210526315789</v>
      </c>
      <c r="Z200" s="1881">
        <f t="shared" si="305"/>
        <v>0.16417910447761</v>
      </c>
      <c r="AA200" s="1881">
        <f t="shared" si="305"/>
        <v>-0.320512820512819</v>
      </c>
      <c r="AB200" s="1881"/>
      <c r="AC200" s="1881"/>
      <c r="AD200" s="1881"/>
      <c r="AE200" s="1881"/>
      <c r="AF200" s="1884"/>
      <c r="AG200" s="1881"/>
      <c r="AH200" s="1881"/>
      <c r="AI200" s="1881"/>
      <c r="AJ200" s="1881"/>
      <c r="AK200" s="1881"/>
      <c r="AL200" s="1881"/>
      <c r="AN200" s="1686"/>
      <c r="AZ200" s="1690"/>
      <c r="BA200" s="1690"/>
      <c r="BB200" s="1690"/>
      <c r="BC200" s="1691"/>
    </row>
    <row r="201" hidden="1" customHeight="1" spans="1:55">
      <c r="A201" s="1708" t="s">
        <v>100</v>
      </c>
      <c r="L201" s="1246"/>
      <c r="M201" s="1246"/>
      <c r="N201" s="1246"/>
      <c r="O201" s="1246"/>
      <c r="P201" s="1859"/>
      <c r="Q201" s="1859"/>
      <c r="R201" s="1246"/>
      <c r="S201" s="1859"/>
      <c r="T201" s="1859"/>
      <c r="U201" s="1736">
        <f>Interim!FE270</f>
        <v>0</v>
      </c>
      <c r="V201" s="1736">
        <f>Interim!FM270</f>
        <v>0.15</v>
      </c>
      <c r="W201" s="1881">
        <f>Interim!FU270</f>
        <v>0.03</v>
      </c>
      <c r="X201" s="1881">
        <f>Interim!GC270</f>
        <v>0.02</v>
      </c>
      <c r="Y201" s="1881">
        <f>Interim!GK270</f>
        <v>0</v>
      </c>
      <c r="Z201" s="1881">
        <f>Interim!GS270</f>
        <v>0.14</v>
      </c>
      <c r="AA201" s="1881">
        <f>Interim!HA270</f>
        <v>-0.28</v>
      </c>
      <c r="AB201" s="1881"/>
      <c r="AC201" s="1881"/>
      <c r="AD201" s="1881"/>
      <c r="AE201" s="1881"/>
      <c r="AF201" s="1884"/>
      <c r="AG201" s="1881"/>
      <c r="AH201" s="1881"/>
      <c r="AI201" s="1881"/>
      <c r="AJ201" s="1881"/>
      <c r="AK201" s="1881"/>
      <c r="AL201" s="1881"/>
      <c r="AN201" s="1686"/>
      <c r="AZ201" s="1690"/>
      <c r="BA201" s="1690"/>
      <c r="BB201" s="1690"/>
      <c r="BC201" s="1691"/>
    </row>
    <row r="202" hidden="1" customHeight="1" spans="1:55">
      <c r="A202" s="1802" t="s">
        <v>117</v>
      </c>
      <c r="L202" s="1246"/>
      <c r="M202" s="1246"/>
      <c r="N202" s="1246"/>
      <c r="O202" s="1246"/>
      <c r="P202" s="1859"/>
      <c r="Q202" s="1859"/>
      <c r="R202" s="1246"/>
      <c r="S202" s="1859"/>
      <c r="T202" s="1859"/>
      <c r="U202" s="1880">
        <f>Interim!FE271</f>
        <v>11604</v>
      </c>
      <c r="V202" s="1880">
        <f t="shared" ref="V202:AA202" si="306">V154+V161+V168+V175+V182+V189+V196</f>
        <v>13708</v>
      </c>
      <c r="W202" s="1703">
        <f t="shared" si="306"/>
        <v>16051</v>
      </c>
      <c r="X202" s="1703">
        <f t="shared" si="306"/>
        <v>18647</v>
      </c>
      <c r="Y202" s="1703">
        <f t="shared" si="306"/>
        <v>19406</v>
      </c>
      <c r="Z202" s="1703">
        <f t="shared" si="306"/>
        <v>21289</v>
      </c>
      <c r="AA202" s="1703">
        <f t="shared" si="306"/>
        <v>17961</v>
      </c>
      <c r="AB202" s="1703"/>
      <c r="AC202" s="1703"/>
      <c r="AD202" s="1703"/>
      <c r="AE202" s="1703"/>
      <c r="AF202" s="1704"/>
      <c r="AG202" s="1703"/>
      <c r="AH202" s="1703"/>
      <c r="AI202" s="1703"/>
      <c r="AJ202" s="1703"/>
      <c r="AK202" s="1703"/>
      <c r="AL202" s="1703"/>
      <c r="AN202" s="1696"/>
      <c r="AO202" s="1714"/>
      <c r="AP202" s="1821"/>
      <c r="AQ202" s="1821"/>
      <c r="AR202" s="1821"/>
      <c r="AS202" s="1821"/>
      <c r="AT202" s="1821"/>
      <c r="AZ202" s="1690"/>
      <c r="BA202" s="1690"/>
      <c r="BB202" s="1690"/>
      <c r="BC202" s="1691"/>
    </row>
    <row r="203" hidden="1" customHeight="1" spans="1:55">
      <c r="A203" s="1708" t="s">
        <v>113</v>
      </c>
      <c r="L203" s="1246"/>
      <c r="M203" s="1246"/>
      <c r="N203" s="1246"/>
      <c r="O203" s="1246"/>
      <c r="P203" s="1859"/>
      <c r="Q203" s="1859"/>
      <c r="R203" s="1246"/>
      <c r="S203" s="1859"/>
      <c r="T203" s="1859"/>
      <c r="U203" s="1736">
        <f>Interim!FE272</f>
        <v>0</v>
      </c>
      <c r="V203" s="1736">
        <f t="shared" ref="V203:AA203" si="307">V202/U202-1</f>
        <v>0.181316787314719</v>
      </c>
      <c r="W203" s="1881">
        <f t="shared" si="307"/>
        <v>0.170922089290925</v>
      </c>
      <c r="X203" s="1881">
        <f t="shared" si="307"/>
        <v>0.1617344713725</v>
      </c>
      <c r="Y203" s="1881">
        <f t="shared" si="307"/>
        <v>0.0407035984340645</v>
      </c>
      <c r="Z203" s="1886">
        <f t="shared" si="307"/>
        <v>0.0970318458208801</v>
      </c>
      <c r="AA203" s="1886">
        <f t="shared" si="307"/>
        <v>-0.156324862605101</v>
      </c>
      <c r="AB203" s="1886"/>
      <c r="AC203" s="1886"/>
      <c r="AD203" s="1886"/>
      <c r="AE203" s="1886"/>
      <c r="AF203" s="1887"/>
      <c r="AG203" s="1886"/>
      <c r="AH203" s="1886"/>
      <c r="AI203" s="1886"/>
      <c r="AJ203" s="1886"/>
      <c r="AK203" s="1886"/>
      <c r="AL203" s="1886"/>
      <c r="AM203" s="1246"/>
      <c r="AN203" s="1246"/>
      <c r="AO203" s="1246"/>
      <c r="AP203" s="1246"/>
      <c r="AQ203" s="1246"/>
      <c r="AR203" s="1246"/>
      <c r="AS203" s="1246"/>
      <c r="AT203" s="1246"/>
      <c r="AZ203" s="1690"/>
      <c r="BA203" s="1690"/>
      <c r="BB203" s="1690"/>
      <c r="BC203" s="1691"/>
    </row>
    <row r="204" hidden="1" customHeight="1" spans="1:55">
      <c r="A204" s="1708" t="s">
        <v>100</v>
      </c>
      <c r="L204" s="1246"/>
      <c r="M204" s="1246"/>
      <c r="N204" s="1246"/>
      <c r="O204" s="1246"/>
      <c r="P204" s="1859"/>
      <c r="Q204" s="1859"/>
      <c r="R204" s="1246"/>
      <c r="S204" s="1859"/>
      <c r="T204" s="1859"/>
      <c r="U204" s="1736">
        <f>Interim!FE273</f>
        <v>0</v>
      </c>
      <c r="V204" s="1736">
        <f>Interim!FM273</f>
        <v>0.12</v>
      </c>
      <c r="W204" s="1881">
        <f>Interim!FU273</f>
        <v>0.22</v>
      </c>
      <c r="X204" s="1881">
        <f>Interim!GC273</f>
        <v>0.18</v>
      </c>
      <c r="Y204" s="1881">
        <f>Interim!GK273</f>
        <v>0.09</v>
      </c>
      <c r="Z204" s="1881">
        <f>Interim!GS273</f>
        <v>0.066</v>
      </c>
      <c r="AA204" s="1881">
        <f>Interim!HA273</f>
        <v>-0.13</v>
      </c>
      <c r="AB204" s="1866"/>
      <c r="AC204" s="1866"/>
      <c r="AD204" s="1866"/>
      <c r="AE204" s="1866"/>
      <c r="AF204" s="1888"/>
      <c r="AG204" s="1866"/>
      <c r="AH204" s="1866"/>
      <c r="AI204" s="1866"/>
      <c r="AJ204" s="1866"/>
      <c r="AK204" s="1866"/>
      <c r="AL204" s="1866"/>
      <c r="AM204" s="1246"/>
      <c r="AN204" s="1686"/>
      <c r="AP204" s="1246"/>
      <c r="AQ204" s="1246"/>
      <c r="AR204" s="1246"/>
      <c r="AS204" s="1246"/>
      <c r="AT204" s="1246"/>
      <c r="AZ204" s="1690"/>
      <c r="BA204" s="1690"/>
      <c r="BB204" s="1690"/>
      <c r="BC204" s="1691"/>
    </row>
    <row r="205" hidden="1" customHeight="1" spans="1:55">
      <c r="A205" s="1708" t="s">
        <v>118</v>
      </c>
      <c r="L205" s="1246"/>
      <c r="M205" s="1246"/>
      <c r="N205" s="1246"/>
      <c r="O205" s="1246"/>
      <c r="P205" s="1859"/>
      <c r="Q205" s="1859"/>
      <c r="R205" s="1246"/>
      <c r="S205" s="1859"/>
      <c r="T205" s="1859"/>
      <c r="U205" s="1736">
        <f>Interim!FE274</f>
        <v>0.79845868024496</v>
      </c>
      <c r="V205" s="1736">
        <f>V202/V$143</f>
        <v>0.810404966006503</v>
      </c>
      <c r="W205" s="1881">
        <f t="shared" ref="W205:AA205" si="308">W202/W143</f>
        <v>0.832089165370658</v>
      </c>
      <c r="X205" s="1881">
        <f t="shared" ref="X205:Y205" si="309">X202/X143</f>
        <v>0.878829295880856</v>
      </c>
      <c r="Y205" s="1881">
        <f t="shared" si="309"/>
        <v>0.885512206251426</v>
      </c>
      <c r="Z205" s="1886">
        <f t="shared" si="308"/>
        <v>0.900511822680936</v>
      </c>
      <c r="AA205" s="1886">
        <f t="shared" si="308"/>
        <v>0.905109856883693</v>
      </c>
      <c r="AB205" s="1886"/>
      <c r="AC205" s="1886"/>
      <c r="AD205" s="1886"/>
      <c r="AE205" s="1886"/>
      <c r="AF205" s="1887"/>
      <c r="AG205" s="1886"/>
      <c r="AH205" s="1886"/>
      <c r="AI205" s="1886"/>
      <c r="AJ205" s="1886"/>
      <c r="AK205" s="1886"/>
      <c r="AL205" s="1886"/>
      <c r="AM205" s="1246"/>
      <c r="AZ205" s="1690"/>
      <c r="BA205" s="1690"/>
      <c r="BB205" s="1690"/>
      <c r="BC205" s="1691"/>
    </row>
    <row r="206" hidden="1" customHeight="1" spans="1:55">
      <c r="A206" s="1802" t="s">
        <v>82</v>
      </c>
      <c r="L206" s="1246"/>
      <c r="M206" s="1246"/>
      <c r="N206" s="1246"/>
      <c r="O206" s="1246"/>
      <c r="P206" s="1859"/>
      <c r="Q206" s="1859"/>
      <c r="R206" s="1246"/>
      <c r="S206" s="1859"/>
      <c r="T206" s="1859"/>
      <c r="U206" s="1880">
        <f>Interim!FE275</f>
        <v>1570</v>
      </c>
      <c r="V206" s="1880">
        <f>V157+V164+V171+V178+V185+V192+V199</f>
        <v>1742</v>
      </c>
      <c r="W206" s="1703">
        <f t="shared" ref="W206:AA206" si="310">W143-W202-W210</f>
        <v>1764</v>
      </c>
      <c r="X206" s="1703">
        <f t="shared" si="310"/>
        <v>1830</v>
      </c>
      <c r="Y206" s="1703">
        <f t="shared" ref="Y206" si="311">Y143-Y202-Y210</f>
        <v>1678</v>
      </c>
      <c r="Z206" s="1703">
        <f t="shared" si="310"/>
        <v>1747</v>
      </c>
      <c r="AA206" s="1703">
        <f t="shared" si="310"/>
        <v>1407</v>
      </c>
      <c r="AB206" s="1703"/>
      <c r="AC206" s="1703"/>
      <c r="AD206" s="1703"/>
      <c r="AE206" s="1703"/>
      <c r="AF206" s="1704"/>
      <c r="AG206" s="1703"/>
      <c r="AH206" s="1703"/>
      <c r="AI206" s="1703"/>
      <c r="AJ206" s="1703"/>
      <c r="AK206" s="1703"/>
      <c r="AL206" s="1703"/>
      <c r="AM206" s="1246"/>
      <c r="AN206" s="1696"/>
      <c r="AO206" s="1714"/>
      <c r="AS206" s="1246"/>
      <c r="AZ206" s="1690"/>
      <c r="BA206" s="1690"/>
      <c r="BB206" s="1690"/>
      <c r="BC206" s="1691"/>
    </row>
    <row r="207" hidden="1" customHeight="1" spans="1:55">
      <c r="A207" s="1708" t="s">
        <v>113</v>
      </c>
      <c r="L207" s="1246"/>
      <c r="M207" s="1246"/>
      <c r="N207" s="1246"/>
      <c r="O207" s="1246"/>
      <c r="P207" s="1859"/>
      <c r="Q207" s="1859"/>
      <c r="R207" s="1246"/>
      <c r="S207" s="1859"/>
      <c r="T207" s="1859"/>
      <c r="U207" s="1736">
        <f>Interim!FE276</f>
        <v>0</v>
      </c>
      <c r="V207" s="1736">
        <f t="shared" ref="V207:AA207" si="312">V206/U206-1</f>
        <v>0.109554140127389</v>
      </c>
      <c r="W207" s="1881">
        <f t="shared" si="312"/>
        <v>0.0126291618828933</v>
      </c>
      <c r="X207" s="1881">
        <f t="shared" si="312"/>
        <v>0.0374149659863945</v>
      </c>
      <c r="Y207" s="1881">
        <f t="shared" si="312"/>
        <v>-0.0830601092896155</v>
      </c>
      <c r="Z207" s="1886">
        <f t="shared" si="312"/>
        <v>0.041120381406434</v>
      </c>
      <c r="AA207" s="1886">
        <f t="shared" si="312"/>
        <v>-0.194619347452776</v>
      </c>
      <c r="AB207" s="1886"/>
      <c r="AC207" s="1886"/>
      <c r="AD207" s="1886"/>
      <c r="AE207" s="1886"/>
      <c r="AF207" s="1887"/>
      <c r="AG207" s="1886"/>
      <c r="AH207" s="1886"/>
      <c r="AI207" s="1886"/>
      <c r="AJ207" s="1886"/>
      <c r="AK207" s="1886"/>
      <c r="AL207" s="1886"/>
      <c r="AM207" s="1246"/>
      <c r="AN207" s="1246"/>
      <c r="AO207" s="1246"/>
      <c r="AZ207" s="1690"/>
      <c r="BA207" s="1690"/>
      <c r="BB207" s="1690"/>
      <c r="BC207" s="1691"/>
    </row>
    <row r="208" hidden="1" customHeight="1" spans="1:55">
      <c r="A208" s="1708" t="s">
        <v>100</v>
      </c>
      <c r="L208" s="1246"/>
      <c r="M208" s="1246"/>
      <c r="N208" s="1246"/>
      <c r="O208" s="1246"/>
      <c r="P208" s="1859"/>
      <c r="Q208" s="1859"/>
      <c r="R208" s="1246"/>
      <c r="S208" s="1859"/>
      <c r="T208" s="1859"/>
      <c r="U208" s="1736">
        <f>Interim!FE277</f>
        <v>0</v>
      </c>
      <c r="V208" s="1736">
        <f>Interim!FM277</f>
        <v>0.06</v>
      </c>
      <c r="W208" s="1881">
        <f>Interim!FU277</f>
        <v>0.06</v>
      </c>
      <c r="X208" s="1881">
        <f>Interim!GC277</f>
        <v>0.04</v>
      </c>
      <c r="Y208" s="1881">
        <f>Interim!GK277</f>
        <v>-0.03</v>
      </c>
      <c r="Z208" s="1881">
        <f>Interim!GS277</f>
        <v>0.016</v>
      </c>
      <c r="AA208" s="1881">
        <f>Interim!HA277</f>
        <v>-0.16</v>
      </c>
      <c r="AB208" s="1886"/>
      <c r="AC208" s="1886"/>
      <c r="AD208" s="1886"/>
      <c r="AE208" s="1886"/>
      <c r="AF208" s="1887"/>
      <c r="AG208" s="1886"/>
      <c r="AH208" s="1886"/>
      <c r="AI208" s="1886"/>
      <c r="AJ208" s="1886"/>
      <c r="AK208" s="1886"/>
      <c r="AL208" s="1886"/>
      <c r="AM208" s="1246"/>
      <c r="AN208" s="1686"/>
      <c r="AZ208" s="1690"/>
      <c r="BA208" s="1690"/>
      <c r="BB208" s="1690"/>
      <c r="BC208" s="1691"/>
    </row>
    <row r="209" hidden="1" customHeight="1" spans="1:55">
      <c r="A209" s="1708" t="s">
        <v>118</v>
      </c>
      <c r="L209" s="1246"/>
      <c r="M209" s="1246"/>
      <c r="N209" s="1246"/>
      <c r="O209" s="1246"/>
      <c r="P209" s="1859"/>
      <c r="Q209" s="1859"/>
      <c r="R209" s="1246"/>
      <c r="S209" s="1859"/>
      <c r="T209" s="1859"/>
      <c r="U209" s="1736">
        <f>Interim!FE278</f>
        <v>0.108030000688089</v>
      </c>
      <c r="V209" s="1736">
        <f t="shared" ref="V209:AA209" si="313">V206/V$143</f>
        <v>0.102985515814366</v>
      </c>
      <c r="W209" s="1881">
        <f t="shared" si="313"/>
        <v>0.0914463452566096</v>
      </c>
      <c r="X209" s="1881">
        <f t="shared" ref="X209:Y209" si="314">X206/X$143</f>
        <v>0.0862475256857385</v>
      </c>
      <c r="Y209" s="1881">
        <f t="shared" si="314"/>
        <v>0.0765685603467946</v>
      </c>
      <c r="Z209" s="1886">
        <f t="shared" si="313"/>
        <v>0.0738970432722812</v>
      </c>
      <c r="AA209" s="1886">
        <f t="shared" si="313"/>
        <v>0.0709030437411812</v>
      </c>
      <c r="AB209" s="1886"/>
      <c r="AC209" s="1886"/>
      <c r="AD209" s="1886"/>
      <c r="AE209" s="1886"/>
      <c r="AF209" s="1887"/>
      <c r="AG209" s="1886"/>
      <c r="AH209" s="1886"/>
      <c r="AI209" s="1886"/>
      <c r="AJ209" s="1886"/>
      <c r="AK209" s="1886"/>
      <c r="AL209" s="1886"/>
      <c r="AN209" s="1686"/>
      <c r="AZ209" s="1690"/>
      <c r="BA209" s="1690"/>
      <c r="BB209" s="1690"/>
      <c r="BC209" s="1691"/>
    </row>
    <row r="210" hidden="1" customHeight="1" spans="1:55">
      <c r="A210" s="1802" t="s">
        <v>70</v>
      </c>
      <c r="L210" s="1246"/>
      <c r="M210" s="1246"/>
      <c r="N210" s="1246"/>
      <c r="O210" s="1246"/>
      <c r="P210" s="1859"/>
      <c r="Q210" s="1859"/>
      <c r="R210" s="1246"/>
      <c r="S210" s="1859"/>
      <c r="T210" s="1859"/>
      <c r="U210" s="1859">
        <f>Interim!FE279</f>
        <v>1358</v>
      </c>
      <c r="V210" s="1859">
        <f>Interim!FM279</f>
        <v>1467</v>
      </c>
      <c r="W210" s="1703">
        <f t="shared" ref="W210:AA210" si="315">W137</f>
        <v>1475</v>
      </c>
      <c r="X210" s="1703">
        <f t="shared" si="315"/>
        <v>741</v>
      </c>
      <c r="Y210" s="1703">
        <f t="shared" ref="Y210" si="316">Y137</f>
        <v>831</v>
      </c>
      <c r="Z210" s="1703">
        <f t="shared" si="315"/>
        <v>605</v>
      </c>
      <c r="AA210" s="1703">
        <f t="shared" si="315"/>
        <v>476</v>
      </c>
      <c r="AB210" s="1703"/>
      <c r="AC210" s="1703"/>
      <c r="AD210" s="1703"/>
      <c r="AE210" s="1703"/>
      <c r="AF210" s="1704"/>
      <c r="AG210" s="1703"/>
      <c r="AH210" s="1703"/>
      <c r="AI210" s="1703"/>
      <c r="AJ210" s="1703"/>
      <c r="AK210" s="1703"/>
      <c r="AL210" s="1703"/>
      <c r="AN210" s="1686"/>
      <c r="AZ210" s="1690"/>
      <c r="BA210" s="1690"/>
      <c r="BB210" s="1690"/>
      <c r="BC210" s="1691"/>
    </row>
    <row r="211" hidden="1" customHeight="1" spans="1:55">
      <c r="A211" s="1708" t="s">
        <v>113</v>
      </c>
      <c r="L211" s="1246"/>
      <c r="M211" s="1246"/>
      <c r="N211" s="1246"/>
      <c r="O211" s="1246"/>
      <c r="P211" s="1859"/>
      <c r="Q211" s="1859"/>
      <c r="R211" s="1246"/>
      <c r="S211" s="1859"/>
      <c r="T211" s="1859"/>
      <c r="U211" s="1736"/>
      <c r="V211" s="1736">
        <f t="shared" ref="V211:AA211" si="317">V210/U210-1</f>
        <v>0.0802650957290132</v>
      </c>
      <c r="W211" s="1736">
        <f t="shared" si="317"/>
        <v>0.00545330606680294</v>
      </c>
      <c r="X211" s="1246">
        <f t="shared" si="317"/>
        <v>-0.497627118644068</v>
      </c>
      <c r="Y211" s="1246">
        <f t="shared" si="317"/>
        <v>0.121457489878543</v>
      </c>
      <c r="Z211" s="1246">
        <f t="shared" si="317"/>
        <v>-0.271961492178099</v>
      </c>
      <c r="AA211" s="1246">
        <f t="shared" si="317"/>
        <v>-0.213223140495868</v>
      </c>
      <c r="AB211" s="1246"/>
      <c r="AC211" s="1246"/>
      <c r="AD211" s="1246"/>
      <c r="AE211" s="1246"/>
      <c r="AF211" s="1717"/>
      <c r="AG211" s="1246"/>
      <c r="AH211" s="1246"/>
      <c r="AI211" s="1246"/>
      <c r="AJ211" s="1246"/>
      <c r="AK211" s="1246"/>
      <c r="AL211" s="1246"/>
      <c r="AN211" s="1686"/>
      <c r="AZ211" s="1690"/>
      <c r="BA211" s="1690"/>
      <c r="BB211" s="1690"/>
      <c r="BC211" s="1691"/>
    </row>
    <row r="212" hidden="1" customHeight="1" spans="1:55">
      <c r="A212" s="1708" t="s">
        <v>119</v>
      </c>
      <c r="L212" s="1246"/>
      <c r="M212" s="1246"/>
      <c r="N212" s="1246"/>
      <c r="O212" s="1246"/>
      <c r="P212" s="1859"/>
      <c r="Q212" s="1859"/>
      <c r="R212" s="1246"/>
      <c r="S212" s="1246"/>
      <c r="T212" s="1859"/>
      <c r="U212" s="1859">
        <f>Interim!FE280</f>
        <v>914</v>
      </c>
      <c r="V212" s="1859">
        <f>Interim!FM280</f>
        <v>902</v>
      </c>
      <c r="W212" s="1745">
        <f>Interim!FU280</f>
        <v>892</v>
      </c>
      <c r="X212" s="1889"/>
      <c r="Y212" s="1889"/>
      <c r="Z212" s="1889"/>
      <c r="AA212" s="1889"/>
      <c r="AB212" s="1889"/>
      <c r="AC212" s="1889"/>
      <c r="AD212" s="1889"/>
      <c r="AE212" s="1889"/>
      <c r="AF212" s="1890"/>
      <c r="AG212" s="1889"/>
      <c r="AH212" s="1889"/>
      <c r="AI212" s="1889"/>
      <c r="AJ212" s="1889"/>
      <c r="AK212" s="1889"/>
      <c r="AL212" s="1889"/>
      <c r="AN212" s="1686"/>
      <c r="AZ212" s="1690"/>
      <c r="BA212" s="1690"/>
      <c r="BB212" s="1690"/>
      <c r="BC212" s="1691"/>
    </row>
    <row r="213" hidden="1" customHeight="1" spans="1:55">
      <c r="A213" s="1708" t="s">
        <v>113</v>
      </c>
      <c r="L213" s="1246"/>
      <c r="M213" s="1246"/>
      <c r="N213" s="1246"/>
      <c r="O213" s="1246"/>
      <c r="P213" s="1859"/>
      <c r="Q213" s="1859"/>
      <c r="R213" s="1246"/>
      <c r="S213" s="1859"/>
      <c r="T213" s="1885"/>
      <c r="U213" s="1736">
        <f>Interim!FE281</f>
        <v>0</v>
      </c>
      <c r="V213" s="1736">
        <f>V212/U212-1</f>
        <v>-0.013129102844639</v>
      </c>
      <c r="W213" s="1881">
        <f t="shared" ref="W213" si="318">W214+W139</f>
        <v>-0.0245466939331971</v>
      </c>
      <c r="X213" s="1886"/>
      <c r="Y213" s="1886"/>
      <c r="Z213" s="1886"/>
      <c r="AA213" s="1886"/>
      <c r="AB213" s="1886"/>
      <c r="AC213" s="1886"/>
      <c r="AD213" s="1886"/>
      <c r="AE213" s="1886"/>
      <c r="AF213" s="1887"/>
      <c r="AG213" s="1886"/>
      <c r="AH213" s="1886"/>
      <c r="AI213" s="1886"/>
      <c r="AJ213" s="1886"/>
      <c r="AK213" s="1886"/>
      <c r="AL213" s="1886"/>
      <c r="AM213" s="1802"/>
      <c r="AN213" s="1686"/>
      <c r="AZ213" s="1690"/>
      <c r="BA213" s="1690"/>
      <c r="BB213" s="1690"/>
      <c r="BC213" s="1691"/>
    </row>
    <row r="214" hidden="1" customHeight="1" spans="1:55">
      <c r="A214" s="1708" t="s">
        <v>100</v>
      </c>
      <c r="L214" s="1246"/>
      <c r="M214" s="1246"/>
      <c r="N214" s="1246"/>
      <c r="O214" s="1246"/>
      <c r="P214" s="1859"/>
      <c r="Q214" s="1859"/>
      <c r="R214" s="1246"/>
      <c r="S214" s="1859"/>
      <c r="T214" s="1859"/>
      <c r="U214" s="1736">
        <f>Interim!FE282</f>
        <v>0</v>
      </c>
      <c r="V214" s="1736">
        <f>Interim!FM282</f>
        <v>-0.13</v>
      </c>
      <c r="W214" s="1881">
        <f>W140-3%</f>
        <v>-0.0203421949556919</v>
      </c>
      <c r="X214" s="1886"/>
      <c r="Y214" s="1886"/>
      <c r="Z214" s="1886"/>
      <c r="AA214" s="1886"/>
      <c r="AB214" s="1886"/>
      <c r="AC214" s="1886"/>
      <c r="AD214" s="1886"/>
      <c r="AE214" s="1886"/>
      <c r="AF214" s="1887"/>
      <c r="AG214" s="1886"/>
      <c r="AH214" s="1886"/>
      <c r="AI214" s="1886"/>
      <c r="AJ214" s="1886"/>
      <c r="AK214" s="1886"/>
      <c r="AL214" s="1886"/>
      <c r="AM214" s="1891"/>
      <c r="AN214" s="1686"/>
      <c r="AZ214" s="1690"/>
      <c r="BA214" s="1690"/>
      <c r="BB214" s="1690"/>
      <c r="BC214" s="1691"/>
    </row>
    <row r="215" hidden="1" customHeight="1" spans="1:55">
      <c r="A215" s="1708" t="s">
        <v>120</v>
      </c>
      <c r="L215" s="1246"/>
      <c r="M215" s="1246"/>
      <c r="N215" s="1246"/>
      <c r="O215" s="1246"/>
      <c r="P215" s="1859"/>
      <c r="Q215" s="1859"/>
      <c r="R215" s="1246"/>
      <c r="S215" s="1859"/>
      <c r="T215" s="1859"/>
      <c r="U215" s="1859">
        <f>Interim!FE284</f>
        <v>269</v>
      </c>
      <c r="V215" s="1859">
        <f>Interim!FM284</f>
        <v>317</v>
      </c>
      <c r="W215" s="1745">
        <f>Interim!FU284</f>
        <v>271</v>
      </c>
      <c r="X215" s="1745"/>
      <c r="Y215" s="1745"/>
      <c r="Z215" s="1745"/>
      <c r="AA215" s="1745"/>
      <c r="AB215" s="1745"/>
      <c r="AC215" s="1745"/>
      <c r="AD215" s="1745"/>
      <c r="AE215" s="1745"/>
      <c r="AF215" s="1790"/>
      <c r="AG215" s="1745"/>
      <c r="AH215" s="1745"/>
      <c r="AI215" s="1745"/>
      <c r="AJ215" s="1745"/>
      <c r="AK215" s="1745"/>
      <c r="AL215" s="1745"/>
      <c r="AN215" s="1686"/>
      <c r="AZ215" s="1690"/>
      <c r="BA215" s="1690"/>
      <c r="BB215" s="1690"/>
      <c r="BC215" s="1691"/>
    </row>
    <row r="216" hidden="1" customHeight="1" spans="1:55">
      <c r="A216" s="1708" t="s">
        <v>113</v>
      </c>
      <c r="L216" s="1246"/>
      <c r="M216" s="1246"/>
      <c r="N216" s="1246"/>
      <c r="O216" s="1246"/>
      <c r="P216" s="1859"/>
      <c r="Q216" s="1859"/>
      <c r="R216" s="1246"/>
      <c r="S216" s="1859"/>
      <c r="T216" s="1246"/>
      <c r="U216" s="1736">
        <f>Interim!FE285</f>
        <v>0</v>
      </c>
      <c r="V216" s="1736">
        <f>Interim!FM285</f>
        <v>0.178438661710037</v>
      </c>
      <c r="W216" s="1881">
        <f>Interim!FU285</f>
        <v>-0.145110410094637</v>
      </c>
      <c r="X216" s="1881"/>
      <c r="Y216" s="1881"/>
      <c r="Z216" s="1881"/>
      <c r="AA216" s="1881"/>
      <c r="AB216" s="1881"/>
      <c r="AC216" s="1881"/>
      <c r="AD216" s="1881"/>
      <c r="AE216" s="1881"/>
      <c r="AF216" s="1884"/>
      <c r="AG216" s="1881"/>
      <c r="AH216" s="1881"/>
      <c r="AI216" s="1881"/>
      <c r="AJ216" s="1881"/>
      <c r="AK216" s="1881"/>
      <c r="AL216" s="1881"/>
      <c r="AM216" s="1891"/>
      <c r="AN216" s="1686"/>
      <c r="AZ216" s="1690"/>
      <c r="BA216" s="1690"/>
      <c r="BB216" s="1690"/>
      <c r="BC216" s="1691"/>
    </row>
    <row r="217" hidden="1" customHeight="1" spans="1:55">
      <c r="A217" s="1708" t="s">
        <v>121</v>
      </c>
      <c r="L217" s="1246"/>
      <c r="M217" s="1246"/>
      <c r="N217" s="1246"/>
      <c r="O217" s="1246"/>
      <c r="P217" s="1859"/>
      <c r="Q217" s="1859"/>
      <c r="R217" s="1246"/>
      <c r="S217" s="1859"/>
      <c r="T217" s="1859"/>
      <c r="U217" s="1859">
        <f>Interim!FE287</f>
        <v>176</v>
      </c>
      <c r="V217" s="1859">
        <f>Interim!FM287</f>
        <v>242</v>
      </c>
      <c r="W217" s="1745">
        <f>Interim!FU287</f>
        <v>289</v>
      </c>
      <c r="X217" s="1745"/>
      <c r="Y217" s="1745"/>
      <c r="Z217" s="1745"/>
      <c r="AA217" s="1745"/>
      <c r="AB217" s="1745"/>
      <c r="AC217" s="1745"/>
      <c r="AD217" s="1745"/>
      <c r="AE217" s="1745"/>
      <c r="AF217" s="1790"/>
      <c r="AG217" s="1745"/>
      <c r="AH217" s="1745"/>
      <c r="AI217" s="1745"/>
      <c r="AJ217" s="1745"/>
      <c r="AK217" s="1745"/>
      <c r="AL217" s="1745"/>
      <c r="AN217" s="1686"/>
      <c r="AZ217" s="1690"/>
      <c r="BA217" s="1690"/>
      <c r="BB217" s="1690"/>
      <c r="BC217" s="1691"/>
    </row>
    <row r="218" hidden="1" customHeight="1" spans="1:55">
      <c r="A218" s="1708" t="s">
        <v>118</v>
      </c>
      <c r="L218" s="1246"/>
      <c r="M218" s="1246"/>
      <c r="N218" s="1246"/>
      <c r="O218" s="1246"/>
      <c r="P218" s="1859"/>
      <c r="Q218" s="1859"/>
      <c r="R218" s="1246"/>
      <c r="S218" s="1859"/>
      <c r="T218" s="1859"/>
      <c r="U218" s="1736">
        <f>Interim!FE289</f>
        <v>0.0934425101493154</v>
      </c>
      <c r="V218" s="1736">
        <f t="shared" ref="V218:W218" si="319">V210/V143</f>
        <v>0.0867277564292048</v>
      </c>
      <c r="W218" s="1881">
        <f t="shared" si="319"/>
        <v>0.076464489372732</v>
      </c>
      <c r="X218" s="1881"/>
      <c r="Y218" s="1881"/>
      <c r="Z218" s="1881"/>
      <c r="AA218" s="1881"/>
      <c r="AB218" s="1881"/>
      <c r="AC218" s="1881"/>
      <c r="AD218" s="1881"/>
      <c r="AE218" s="1881"/>
      <c r="AF218" s="1884"/>
      <c r="AG218" s="1881"/>
      <c r="AH218" s="1881"/>
      <c r="AI218" s="1881"/>
      <c r="AJ218" s="1881"/>
      <c r="AK218" s="1881"/>
      <c r="AL218" s="1881"/>
      <c r="AN218" s="1686"/>
      <c r="AZ218" s="1690"/>
      <c r="BA218" s="1690"/>
      <c r="BB218" s="1690"/>
      <c r="BC218" s="1691"/>
    </row>
    <row r="219" hidden="1" customHeight="1" spans="1:55">
      <c r="A219" s="1708" t="s">
        <v>122</v>
      </c>
      <c r="L219" s="1246"/>
      <c r="M219" s="1246"/>
      <c r="N219" s="1246"/>
      <c r="O219" s="1246"/>
      <c r="P219" s="1859"/>
      <c r="Q219" s="1859"/>
      <c r="R219" s="1246"/>
      <c r="S219" s="1859"/>
      <c r="T219" s="1859"/>
      <c r="U219" s="1736"/>
      <c r="V219" s="1859">
        <v>853</v>
      </c>
      <c r="W219" s="1745">
        <v>808</v>
      </c>
      <c r="X219" s="1745"/>
      <c r="Y219" s="1745"/>
      <c r="Z219" s="1745"/>
      <c r="AA219" s="1745"/>
      <c r="AB219" s="1745"/>
      <c r="AC219" s="1745"/>
      <c r="AD219" s="1745"/>
      <c r="AE219" s="1745"/>
      <c r="AF219" s="1790"/>
      <c r="AG219" s="1745"/>
      <c r="AH219" s="1745"/>
      <c r="AI219" s="1745"/>
      <c r="AJ219" s="1745"/>
      <c r="AK219" s="1745"/>
      <c r="AL219" s="1745"/>
      <c r="AN219" s="1686"/>
      <c r="AZ219" s="1690"/>
      <c r="BA219" s="1690"/>
      <c r="BB219" s="1690"/>
      <c r="BC219" s="1691"/>
    </row>
    <row r="220" hidden="1" customHeight="1" spans="1:55">
      <c r="A220" s="1708" t="s">
        <v>61</v>
      </c>
      <c r="L220" s="1246"/>
      <c r="M220" s="1246"/>
      <c r="N220" s="1246"/>
      <c r="O220" s="1246"/>
      <c r="P220" s="1859"/>
      <c r="Q220" s="1859"/>
      <c r="R220" s="1246"/>
      <c r="S220" s="1859"/>
      <c r="T220" s="1859"/>
      <c r="U220" s="1736"/>
      <c r="V220" s="1736"/>
      <c r="W220" s="1881">
        <f>W219/V219-1</f>
        <v>-0.0527549824150059</v>
      </c>
      <c r="X220" s="1881"/>
      <c r="Y220" s="1881"/>
      <c r="Z220" s="1881"/>
      <c r="AA220" s="1881"/>
      <c r="AB220" s="1881"/>
      <c r="AC220" s="1881"/>
      <c r="AD220" s="1881"/>
      <c r="AE220" s="1881"/>
      <c r="AF220" s="1884"/>
      <c r="AG220" s="1881"/>
      <c r="AH220" s="1881"/>
      <c r="AI220" s="1881"/>
      <c r="AJ220" s="1881"/>
      <c r="AK220" s="1881"/>
      <c r="AL220" s="1881"/>
      <c r="AN220" s="1686"/>
      <c r="AZ220" s="1690"/>
      <c r="BA220" s="1690"/>
      <c r="BB220" s="1690"/>
      <c r="BC220" s="1691"/>
    </row>
    <row r="221" hidden="1" customHeight="1" spans="1:55">
      <c r="A221" s="1708" t="s">
        <v>123</v>
      </c>
      <c r="L221" s="1246"/>
      <c r="M221" s="1246"/>
      <c r="N221" s="1246"/>
      <c r="O221" s="1246"/>
      <c r="P221" s="1859"/>
      <c r="Q221" s="1859"/>
      <c r="R221" s="1246"/>
      <c r="S221" s="1859"/>
      <c r="T221" s="1859"/>
      <c r="U221" s="1736"/>
      <c r="V221" s="1736">
        <f>V219/V$143</f>
        <v>0.0504286136565179</v>
      </c>
      <c r="W221" s="1881">
        <f t="shared" ref="W221" si="320">W219/W143</f>
        <v>0.0418869880767237</v>
      </c>
      <c r="X221" s="1881"/>
      <c r="Y221" s="1881"/>
      <c r="Z221" s="1881"/>
      <c r="AA221" s="1881"/>
      <c r="AB221" s="1881"/>
      <c r="AC221" s="1881"/>
      <c r="AD221" s="1881"/>
      <c r="AE221" s="1881"/>
      <c r="AF221" s="1884"/>
      <c r="AG221" s="1881"/>
      <c r="AH221" s="1881"/>
      <c r="AI221" s="1881"/>
      <c r="AJ221" s="1881"/>
      <c r="AK221" s="1881"/>
      <c r="AL221" s="1881"/>
      <c r="AN221" s="1686"/>
      <c r="AZ221" s="1690"/>
      <c r="BA221" s="1690"/>
      <c r="BB221" s="1690"/>
      <c r="BC221" s="1691"/>
    </row>
    <row r="222" hidden="1" customHeight="1" spans="1:55">
      <c r="A222" s="1708" t="s">
        <v>124</v>
      </c>
      <c r="L222" s="1246"/>
      <c r="M222" s="1246"/>
      <c r="N222" s="1246"/>
      <c r="O222" s="1246"/>
      <c r="P222" s="1859"/>
      <c r="Q222" s="1859"/>
      <c r="R222" s="1246"/>
      <c r="S222" s="1859"/>
      <c r="T222" s="1859"/>
      <c r="U222" s="1736"/>
      <c r="V222" s="1859">
        <f t="shared" ref="V222:W222" si="321">V210-V219</f>
        <v>614</v>
      </c>
      <c r="W222" s="1745">
        <f t="shared" si="321"/>
        <v>667</v>
      </c>
      <c r="X222" s="1745"/>
      <c r="Y222" s="1745"/>
      <c r="Z222" s="1745"/>
      <c r="AA222" s="1745"/>
      <c r="AB222" s="1745"/>
      <c r="AC222" s="1745"/>
      <c r="AD222" s="1745"/>
      <c r="AE222" s="1745"/>
      <c r="AF222" s="1790"/>
      <c r="AG222" s="1745"/>
      <c r="AH222" s="1745"/>
      <c r="AI222" s="1745"/>
      <c r="AJ222" s="1745"/>
      <c r="AK222" s="1745"/>
      <c r="AL222" s="1745"/>
      <c r="AN222" s="1686"/>
      <c r="AZ222" s="1690"/>
      <c r="BA222" s="1690"/>
      <c r="BB222" s="1690"/>
      <c r="BC222" s="1691"/>
    </row>
    <row r="223" hidden="1" customHeight="1" spans="1:55">
      <c r="A223" s="1708" t="s">
        <v>61</v>
      </c>
      <c r="L223" s="1246"/>
      <c r="M223" s="1246"/>
      <c r="N223" s="1246"/>
      <c r="O223" s="1246"/>
      <c r="P223" s="1859"/>
      <c r="Q223" s="1859"/>
      <c r="R223" s="1246"/>
      <c r="S223" s="1859"/>
      <c r="T223" s="1859"/>
      <c r="U223" s="1736"/>
      <c r="V223" s="1736"/>
      <c r="W223" s="1881">
        <f t="shared" ref="W223" si="322">W222/V222-1</f>
        <v>0.0863192182410424</v>
      </c>
      <c r="X223" s="1881"/>
      <c r="Y223" s="1881"/>
      <c r="Z223" s="1881"/>
      <c r="AA223" s="1881"/>
      <c r="AB223" s="1881"/>
      <c r="AC223" s="1881"/>
      <c r="AD223" s="1881"/>
      <c r="AE223" s="1881"/>
      <c r="AF223" s="1884"/>
      <c r="AG223" s="1881"/>
      <c r="AH223" s="1881"/>
      <c r="AI223" s="1881"/>
      <c r="AJ223" s="1881"/>
      <c r="AK223" s="1881"/>
      <c r="AL223" s="1881"/>
      <c r="AN223" s="1686"/>
      <c r="AZ223" s="1690"/>
      <c r="BA223" s="1690"/>
      <c r="BB223" s="1690"/>
      <c r="BC223" s="1691"/>
    </row>
    <row r="224" hidden="1" customHeight="1" spans="1:55">
      <c r="A224" s="1708" t="s">
        <v>123</v>
      </c>
      <c r="L224" s="1246"/>
      <c r="M224" s="1246"/>
      <c r="N224" s="1246"/>
      <c r="O224" s="1246"/>
      <c r="P224" s="1859"/>
      <c r="Q224" s="1859"/>
      <c r="R224" s="1246"/>
      <c r="S224" s="1859"/>
      <c r="T224" s="1859"/>
      <c r="U224" s="1736"/>
      <c r="V224" s="1736">
        <f t="shared" ref="V224:W224" si="323">V222/V$143</f>
        <v>0.036299142772687</v>
      </c>
      <c r="W224" s="1881">
        <f t="shared" si="323"/>
        <v>0.0345775012960083</v>
      </c>
      <c r="X224" s="1881"/>
      <c r="Y224" s="1881"/>
      <c r="Z224" s="1881"/>
      <c r="AA224" s="1881"/>
      <c r="AB224" s="1881"/>
      <c r="AC224" s="1881"/>
      <c r="AD224" s="1881"/>
      <c r="AE224" s="1881"/>
      <c r="AF224" s="1884"/>
      <c r="AG224" s="1881"/>
      <c r="AH224" s="1881"/>
      <c r="AI224" s="1881"/>
      <c r="AJ224" s="1881"/>
      <c r="AK224" s="1881"/>
      <c r="AL224" s="1881"/>
      <c r="AN224" s="1686"/>
      <c r="AZ224" s="1690"/>
      <c r="BA224" s="1690"/>
      <c r="BB224" s="1690"/>
      <c r="BC224" s="1691"/>
    </row>
    <row r="225" customHeight="1" spans="1:57">
      <c r="A225" s="1892"/>
      <c r="B225" s="1892"/>
      <c r="C225" s="1893"/>
      <c r="D225" s="1892"/>
      <c r="E225" s="1892"/>
      <c r="F225" s="1892"/>
      <c r="G225" s="1892"/>
      <c r="H225" s="1892"/>
      <c r="I225" s="1892"/>
      <c r="J225" s="1892"/>
      <c r="K225" s="1892"/>
      <c r="L225" s="1894"/>
      <c r="M225" s="1894"/>
      <c r="N225" s="1894"/>
      <c r="O225" s="1894"/>
      <c r="P225" s="1894"/>
      <c r="Q225" s="1894"/>
      <c r="R225" s="1894"/>
      <c r="S225" s="1894"/>
      <c r="T225" s="1894"/>
      <c r="U225" s="1894"/>
      <c r="V225" s="1895"/>
      <c r="W225" s="1816"/>
      <c r="X225" s="1881"/>
      <c r="Y225" s="1896"/>
      <c r="Z225" s="1897"/>
      <c r="AA225" s="1897"/>
      <c r="AB225" s="1897"/>
      <c r="AC225" s="1897"/>
      <c r="AD225" s="1897"/>
      <c r="AE225" s="1897"/>
      <c r="AF225" s="1898"/>
      <c r="AG225" s="1897"/>
      <c r="AH225" s="1897"/>
      <c r="AI225" s="1897"/>
      <c r="AJ225" s="1897"/>
      <c r="AK225" s="1897"/>
      <c r="AL225" s="1897"/>
      <c r="AZ225" s="1899"/>
      <c r="BA225" s="1899"/>
      <c r="BB225" s="1899"/>
      <c r="BC225" s="1691"/>
    </row>
    <row r="226" customHeight="1" spans="1:57">
      <c r="A226" s="1852" t="s">
        <v>125</v>
      </c>
      <c r="B226" s="1853"/>
      <c r="C226" s="1853"/>
      <c r="D226" s="1853"/>
      <c r="E226" s="1853"/>
      <c r="F226" s="1853"/>
      <c r="G226" s="1853"/>
      <c r="H226" s="1853"/>
      <c r="I226" s="1853"/>
      <c r="J226" s="1853"/>
      <c r="K226" s="1853"/>
      <c r="L226" s="1854"/>
      <c r="M226" s="1854"/>
      <c r="N226" s="1854"/>
      <c r="O226" s="1854"/>
      <c r="P226" s="1010"/>
      <c r="Q226" s="1010"/>
      <c r="R226" s="1854"/>
      <c r="S226" s="1010"/>
      <c r="T226" s="1010"/>
      <c r="U226" s="1010"/>
      <c r="V226" s="1010"/>
      <c r="W226" s="1855"/>
      <c r="X226" s="1855"/>
      <c r="Y226" s="1855"/>
      <c r="Z226" s="1855"/>
      <c r="AA226" s="1855"/>
      <c r="AB226" s="1855"/>
      <c r="AC226" s="1855"/>
      <c r="AD226" s="1855"/>
      <c r="AE226" s="1855"/>
      <c r="AF226" s="1856"/>
      <c r="AG226" s="1855"/>
      <c r="AH226" s="1855"/>
      <c r="AI226" s="1855"/>
      <c r="AJ226" s="1855"/>
      <c r="AK226" s="1855"/>
      <c r="AL226" s="1855"/>
      <c r="AM226" s="1857"/>
      <c r="AO226" s="1772"/>
      <c r="AP226" s="1821"/>
      <c r="AQ226" s="1821"/>
      <c r="AR226" s="1821"/>
      <c r="AS226" s="1821"/>
      <c r="AT226" s="1821"/>
      <c r="AU226" s="1821"/>
      <c r="AV226" s="1785"/>
      <c r="AX226" s="1678"/>
      <c r="AY226" s="1678"/>
      <c r="AZ226" s="1690"/>
      <c r="BA226" s="1833"/>
      <c r="BB226" s="1873"/>
      <c r="BC226" s="1878"/>
      <c r="BD226" s="1873"/>
      <c r="BE226" s="1878"/>
    </row>
    <row r="227" hidden="1" customHeight="1" outlineLevel="1" spans="1:57">
      <c r="A227" s="1900" t="s">
        <v>112</v>
      </c>
      <c r="B227" s="1892"/>
      <c r="C227" s="1893"/>
      <c r="D227" s="1892"/>
      <c r="E227" s="1892"/>
      <c r="F227" s="1892"/>
      <c r="G227" s="1892"/>
      <c r="H227" s="1892"/>
      <c r="I227" s="1892"/>
      <c r="J227" s="1892"/>
      <c r="K227" s="1892"/>
      <c r="L227" s="1894"/>
      <c r="M227" s="1894"/>
      <c r="N227" s="1894"/>
      <c r="O227" s="1894"/>
      <c r="P227" s="1894"/>
      <c r="Q227" s="1894"/>
      <c r="R227" s="1894"/>
      <c r="S227" s="1894"/>
      <c r="T227" s="1894"/>
      <c r="U227" s="1901"/>
      <c r="V227" s="1901"/>
      <c r="W227" s="1901"/>
      <c r="X227" s="1901"/>
      <c r="Y227" s="1901"/>
      <c r="Z227" s="1901"/>
      <c r="AA227" s="1901"/>
      <c r="AB227" s="1901"/>
      <c r="AC227" s="1901"/>
      <c r="AD227" s="1901"/>
      <c r="AE227" s="1901"/>
      <c r="AF227" s="1902"/>
      <c r="AG227" s="1902"/>
      <c r="AH227" s="1902"/>
      <c r="AI227" s="1902"/>
      <c r="AJ227" s="1902"/>
      <c r="AK227" s="1902"/>
      <c r="AL227" s="1901"/>
      <c r="AT227" s="1688"/>
      <c r="AU227" s="1688"/>
      <c r="AZ227" s="1899"/>
      <c r="BA227" s="1903"/>
      <c r="BB227" s="1904"/>
      <c r="BC227" s="1716"/>
      <c r="BD227" s="1905"/>
      <c r="BE227" s="1716"/>
    </row>
    <row r="228" hidden="1" customHeight="1" outlineLevel="1" spans="1:57">
      <c r="A228" s="1708" t="s">
        <v>126</v>
      </c>
      <c r="B228" s="1892"/>
      <c r="C228" s="1893"/>
      <c r="D228" s="1892"/>
      <c r="E228" s="1892"/>
      <c r="F228" s="1892"/>
      <c r="G228" s="1892"/>
      <c r="H228" s="1892"/>
      <c r="I228" s="1892"/>
      <c r="J228" s="1892"/>
      <c r="K228" s="1892"/>
      <c r="L228" s="1894"/>
      <c r="M228" s="1894"/>
      <c r="N228" s="1894"/>
      <c r="O228" s="1894"/>
      <c r="P228" s="1894"/>
      <c r="Q228" s="1894"/>
      <c r="R228" s="1894"/>
      <c r="S228" s="1894"/>
      <c r="T228" s="1894"/>
      <c r="U228" s="1745">
        <f>Interim!FE293</f>
        <v>2070</v>
      </c>
      <c r="V228" s="1745">
        <f>Interim!FM293</f>
        <v>2382</v>
      </c>
      <c r="W228" s="1745">
        <f>Interim!FU293</f>
        <v>2941</v>
      </c>
      <c r="X228" s="1745">
        <f>X153-X229</f>
        <v>3172</v>
      </c>
      <c r="Y228" s="1745">
        <f>Y153-Y229</f>
        <v>3080</v>
      </c>
      <c r="Z228" s="1745">
        <f>Interim!GS293</f>
        <v>2943.42</v>
      </c>
      <c r="AA228" s="1745"/>
      <c r="AB228" s="1745"/>
      <c r="AC228" s="1745"/>
      <c r="AD228" s="1745"/>
      <c r="AE228" s="1745"/>
      <c r="AF228" s="1790"/>
      <c r="AG228" s="1745"/>
      <c r="AH228" s="1745"/>
      <c r="AI228" s="1745"/>
      <c r="AJ228" s="1745"/>
      <c r="AK228" s="1745"/>
      <c r="AL228" s="1745"/>
      <c r="AN228" s="1686"/>
      <c r="AZ228" s="1899"/>
      <c r="BA228" s="1903"/>
      <c r="BB228" s="1904"/>
      <c r="BC228" s="1716"/>
      <c r="BD228" s="1905"/>
      <c r="BE228" s="1716"/>
    </row>
    <row r="229" hidden="1" customHeight="1" outlineLevel="1" spans="1:57">
      <c r="A229" s="1802" t="s">
        <v>127</v>
      </c>
      <c r="B229" s="1892"/>
      <c r="C229" s="1893"/>
      <c r="D229" s="1892"/>
      <c r="E229" s="1892"/>
      <c r="F229" s="1892"/>
      <c r="G229" s="1892"/>
      <c r="H229" s="1892"/>
      <c r="I229" s="1892"/>
      <c r="J229" s="1892"/>
      <c r="K229" s="1892"/>
      <c r="L229" s="1894"/>
      <c r="M229" s="1894"/>
      <c r="N229" s="1894"/>
      <c r="O229" s="1894"/>
      <c r="P229" s="1894"/>
      <c r="Q229" s="1894"/>
      <c r="R229" s="1894"/>
      <c r="S229" s="1894"/>
      <c r="T229" s="1894"/>
      <c r="U229" s="1703">
        <f>Interim!FE294</f>
        <v>1723</v>
      </c>
      <c r="V229" s="1703">
        <f>Interim!FM294</f>
        <v>2157</v>
      </c>
      <c r="W229" s="1703">
        <f>Interim!FU294</f>
        <v>2350</v>
      </c>
      <c r="X229" s="1703">
        <v>2711</v>
      </c>
      <c r="Y229" s="1703">
        <v>2804</v>
      </c>
      <c r="Z229" s="1703">
        <f>Interim!GS294</f>
        <v>3128</v>
      </c>
      <c r="AA229" s="1703"/>
      <c r="AB229" s="1703"/>
      <c r="AC229" s="1703"/>
      <c r="AD229" s="1703"/>
      <c r="AE229" s="1703"/>
      <c r="AF229" s="1704"/>
      <c r="AG229" s="1703"/>
      <c r="AH229" s="1703"/>
      <c r="AI229" s="1703"/>
      <c r="AJ229" s="1703"/>
      <c r="AK229" s="1703"/>
      <c r="AL229" s="1703"/>
      <c r="AN229" s="1686"/>
      <c r="AT229" s="1688"/>
      <c r="AU229" s="1688"/>
      <c r="AZ229" s="1899"/>
      <c r="BA229" s="1903"/>
      <c r="BB229" s="1904"/>
      <c r="BC229" s="1716"/>
      <c r="BD229" s="1905"/>
      <c r="BE229" s="1716"/>
    </row>
    <row r="230" hidden="1" customHeight="1" outlineLevel="1" spans="1:57">
      <c r="A230" s="1708" t="s">
        <v>61</v>
      </c>
      <c r="B230" s="1892"/>
      <c r="C230" s="1893"/>
      <c r="D230" s="1892"/>
      <c r="E230" s="1892"/>
      <c r="F230" s="1892"/>
      <c r="G230" s="1892"/>
      <c r="H230" s="1892"/>
      <c r="I230" s="1892"/>
      <c r="J230" s="1892"/>
      <c r="K230" s="1892"/>
      <c r="L230" s="1894"/>
      <c r="M230" s="1894"/>
      <c r="N230" s="1894"/>
      <c r="O230" s="1894"/>
      <c r="P230" s="1894"/>
      <c r="Q230" s="1894"/>
      <c r="R230" s="1894"/>
      <c r="S230" s="1894"/>
      <c r="T230" s="1894"/>
      <c r="U230" s="1709">
        <f>Interim!FE295</f>
        <v>0</v>
      </c>
      <c r="V230" s="1709">
        <f>Interim!FM295</f>
        <v>0.251886244921648</v>
      </c>
      <c r="W230" s="1709">
        <f>Interim!FU295</f>
        <v>0.0894761242466389</v>
      </c>
      <c r="X230" s="1709"/>
      <c r="Y230" s="1709">
        <f>Y229/X229-1</f>
        <v>0.034304684618222</v>
      </c>
      <c r="Z230" s="1709">
        <f>Z229/Y229-1</f>
        <v>0.115549215406562</v>
      </c>
      <c r="AA230" s="1709"/>
      <c r="AB230" s="1709"/>
      <c r="AC230" s="1709"/>
      <c r="AD230" s="1709"/>
      <c r="AE230" s="1709"/>
      <c r="AF230" s="1711"/>
      <c r="AG230" s="1709"/>
      <c r="AH230" s="1709"/>
      <c r="AI230" s="1709"/>
      <c r="AJ230" s="1709"/>
      <c r="AK230" s="1709"/>
      <c r="AL230" s="1709"/>
      <c r="AN230" s="1686"/>
      <c r="AP230" s="1246"/>
      <c r="AQ230" s="1246"/>
      <c r="AR230" s="1246"/>
      <c r="AS230" s="1246"/>
      <c r="AT230" s="1246"/>
      <c r="AU230" s="1246"/>
      <c r="AZ230" s="1899"/>
      <c r="BA230" s="1903"/>
      <c r="BB230" s="1904"/>
      <c r="BC230" s="1716"/>
      <c r="BD230" s="1905"/>
      <c r="BE230" s="1716"/>
    </row>
    <row r="231" hidden="1" customHeight="1" outlineLevel="1" spans="1:57">
      <c r="A231" s="1708" t="s">
        <v>128</v>
      </c>
      <c r="B231" s="1892"/>
      <c r="C231" s="1893"/>
      <c r="D231" s="1892"/>
      <c r="E231" s="1892"/>
      <c r="F231" s="1892"/>
      <c r="G231" s="1892"/>
      <c r="H231" s="1892"/>
      <c r="I231" s="1892"/>
      <c r="J231" s="1892"/>
      <c r="K231" s="1892"/>
      <c r="L231" s="1894"/>
      <c r="M231" s="1894"/>
      <c r="N231" s="1894"/>
      <c r="O231" s="1894"/>
      <c r="P231" s="1894"/>
      <c r="Q231" s="1894"/>
      <c r="R231" s="1894"/>
      <c r="S231" s="1894"/>
      <c r="T231" s="1894"/>
      <c r="U231" s="1709">
        <f>Interim!FE296</f>
        <v>0.454257843395729</v>
      </c>
      <c r="V231" s="1709">
        <f>Interim!FM296</f>
        <v>0.475214805023133</v>
      </c>
      <c r="W231" s="1709">
        <f>Interim!FU296</f>
        <v>0.444150444150444</v>
      </c>
      <c r="X231" s="1709">
        <v>0.457</v>
      </c>
      <c r="Y231" s="1711">
        <f>Y229/Y153</f>
        <v>0.476546566961251</v>
      </c>
      <c r="Z231" s="1709">
        <f>Z229/Z153</f>
        <v>0.515200727342203</v>
      </c>
      <c r="AA231" s="1709"/>
      <c r="AB231" s="1709"/>
      <c r="AC231" s="1709"/>
      <c r="AD231" s="1709"/>
      <c r="AE231" s="1709"/>
      <c r="AF231" s="1711"/>
      <c r="AG231" s="1709"/>
      <c r="AH231" s="1709"/>
      <c r="AI231" s="1709"/>
      <c r="AJ231" s="1709"/>
      <c r="AK231" s="1709"/>
      <c r="AL231" s="1709"/>
      <c r="AN231" s="1686"/>
      <c r="AT231" s="1688"/>
      <c r="AU231" s="1688"/>
      <c r="AV231" s="1688"/>
      <c r="AZ231" s="1899"/>
      <c r="BA231" s="1903"/>
      <c r="BB231" s="1904"/>
      <c r="BC231" s="1716"/>
      <c r="BD231" s="1905"/>
      <c r="BE231" s="1716"/>
    </row>
    <row r="232" hidden="1" customHeight="1" outlineLevel="1" spans="1:57">
      <c r="A232" s="1708" t="s">
        <v>129</v>
      </c>
      <c r="B232" s="1892"/>
      <c r="C232" s="1893"/>
      <c r="D232" s="1892"/>
      <c r="E232" s="1892"/>
      <c r="F232" s="1892"/>
      <c r="G232" s="1892"/>
      <c r="H232" s="1892"/>
      <c r="I232" s="1892"/>
      <c r="J232" s="1892"/>
      <c r="K232" s="1892"/>
      <c r="L232" s="1894"/>
      <c r="M232" s="1894"/>
      <c r="N232" s="1894"/>
      <c r="O232" s="1894"/>
      <c r="P232" s="1894"/>
      <c r="Q232" s="1894"/>
      <c r="R232" s="1894"/>
      <c r="S232" s="1894"/>
      <c r="T232" s="1894"/>
      <c r="U232" s="1745">
        <f>Interim!FE297</f>
        <v>1056</v>
      </c>
      <c r="V232" s="1745">
        <f>Interim!FM297</f>
        <v>1248</v>
      </c>
      <c r="W232" s="1745">
        <f>Interim!FU297</f>
        <v>1399</v>
      </c>
      <c r="X232" s="1745">
        <v>1519</v>
      </c>
      <c r="Y232" s="1745">
        <v>1628</v>
      </c>
      <c r="Z232" s="1745">
        <f>Z229-Z235</f>
        <v>1720</v>
      </c>
      <c r="AA232" s="1745"/>
      <c r="AB232" s="1745"/>
      <c r="AC232" s="1745"/>
      <c r="AD232" s="1745"/>
      <c r="AE232" s="1745"/>
      <c r="AF232" s="1790"/>
      <c r="AG232" s="1745"/>
      <c r="AH232" s="1745"/>
      <c r="AI232" s="1745"/>
      <c r="AJ232" s="1745"/>
      <c r="AK232" s="1745"/>
      <c r="AL232" s="1745"/>
      <c r="AN232" s="1686"/>
      <c r="AP232" s="1246"/>
      <c r="AQ232" s="1246"/>
      <c r="AR232" s="1246"/>
      <c r="AS232" s="1246"/>
      <c r="AT232" s="1246"/>
      <c r="AU232" s="1246"/>
      <c r="AV232" s="1246"/>
      <c r="AZ232" s="1899"/>
      <c r="BA232" s="1903"/>
      <c r="BB232" s="1904"/>
      <c r="BC232" s="1716"/>
      <c r="BD232" s="1905"/>
      <c r="BE232" s="1716"/>
    </row>
    <row r="233" hidden="1" customHeight="1" outlineLevel="1" spans="1:57">
      <c r="A233" s="1708" t="s">
        <v>61</v>
      </c>
      <c r="B233" s="1892"/>
      <c r="C233" s="1893"/>
      <c r="D233" s="1892"/>
      <c r="E233" s="1892"/>
      <c r="F233" s="1892"/>
      <c r="G233" s="1892"/>
      <c r="H233" s="1892"/>
      <c r="I233" s="1892"/>
      <c r="J233" s="1892"/>
      <c r="K233" s="1892"/>
      <c r="L233" s="1894"/>
      <c r="M233" s="1894"/>
      <c r="N233" s="1894"/>
      <c r="O233" s="1894"/>
      <c r="P233" s="1894"/>
      <c r="Q233" s="1894"/>
      <c r="R233" s="1894"/>
      <c r="S233" s="1894"/>
      <c r="T233" s="1894"/>
      <c r="U233" s="1709">
        <f>Interim!FE298</f>
        <v>0</v>
      </c>
      <c r="V233" s="1709">
        <f>Interim!FM298</f>
        <v>0.181818181818182</v>
      </c>
      <c r="W233" s="1709">
        <f>Interim!FU298</f>
        <v>0.12099358974359</v>
      </c>
      <c r="X233" s="1709"/>
      <c r="Y233" s="1709">
        <f>Y232/X232-1</f>
        <v>0.0717577353522054</v>
      </c>
      <c r="Z233" s="1709">
        <f>Z232/Y232-1</f>
        <v>0.0565110565110565</v>
      </c>
      <c r="AA233" s="1709"/>
      <c r="AB233" s="1709"/>
      <c r="AC233" s="1709"/>
      <c r="AD233" s="1709"/>
      <c r="AE233" s="1709"/>
      <c r="AF233" s="1711"/>
      <c r="AG233" s="1709"/>
      <c r="AH233" s="1709"/>
      <c r="AI233" s="1709"/>
      <c r="AJ233" s="1709"/>
      <c r="AK233" s="1709"/>
      <c r="AL233" s="1709"/>
      <c r="AN233" s="1686"/>
      <c r="AT233" s="1688"/>
      <c r="AU233" s="1688"/>
      <c r="AV233" s="1879"/>
      <c r="AZ233" s="1899"/>
      <c r="BA233" s="1906"/>
      <c r="BB233" s="1899"/>
      <c r="BC233" s="1907"/>
      <c r="BE233" s="1907"/>
    </row>
    <row r="234" hidden="1" customHeight="1" outlineLevel="1" spans="1:57">
      <c r="A234" s="1708" t="s">
        <v>130</v>
      </c>
      <c r="B234" s="1892"/>
      <c r="C234" s="1893"/>
      <c r="D234" s="1892"/>
      <c r="E234" s="1892"/>
      <c r="F234" s="1892"/>
      <c r="G234" s="1892"/>
      <c r="H234" s="1892"/>
      <c r="I234" s="1892"/>
      <c r="J234" s="1892"/>
      <c r="K234" s="1892"/>
      <c r="L234" s="1894"/>
      <c r="M234" s="1894"/>
      <c r="N234" s="1894"/>
      <c r="O234" s="1894"/>
      <c r="P234" s="1894"/>
      <c r="Q234" s="1894"/>
      <c r="R234" s="1894"/>
      <c r="S234" s="1894"/>
      <c r="T234" s="1894"/>
      <c r="U234" s="1709">
        <f>Interim!FE299</f>
        <v>0.278407592934353</v>
      </c>
      <c r="V234" s="1709">
        <f>Interim!FM299</f>
        <v>0.274950429610046</v>
      </c>
      <c r="W234" s="1709">
        <f>Interim!FU299</f>
        <v>0.264411264411264</v>
      </c>
      <c r="X234" s="1709">
        <v>0.256</v>
      </c>
      <c r="Y234" s="1709">
        <v>0.277</v>
      </c>
      <c r="Z234" s="1246">
        <f>Z232/Z153</f>
        <v>0.28329451759226</v>
      </c>
      <c r="AA234" s="1709"/>
      <c r="AB234" s="1709"/>
      <c r="AC234" s="1709"/>
      <c r="AD234" s="1709"/>
      <c r="AE234" s="1709"/>
      <c r="AF234" s="1711"/>
      <c r="AG234" s="1709"/>
      <c r="AH234" s="1709"/>
      <c r="AI234" s="1709"/>
      <c r="AJ234" s="1709"/>
      <c r="AK234" s="1709"/>
      <c r="AL234" s="1709"/>
      <c r="AN234" s="1686"/>
      <c r="AP234" s="1246"/>
      <c r="AQ234" s="1246"/>
      <c r="AR234" s="1246"/>
      <c r="AS234" s="1246"/>
      <c r="AT234" s="1246"/>
      <c r="AU234" s="1246"/>
      <c r="AZ234" s="1899"/>
      <c r="BA234" s="1903"/>
      <c r="BB234" s="1899"/>
      <c r="BC234" s="1691"/>
      <c r="BE234" s="1246"/>
    </row>
    <row r="235" hidden="1" customHeight="1" outlineLevel="1" spans="1:57">
      <c r="A235" s="1802" t="s">
        <v>131</v>
      </c>
      <c r="B235" s="1892"/>
      <c r="C235" s="1893"/>
      <c r="D235" s="1892"/>
      <c r="E235" s="1892"/>
      <c r="F235" s="1892"/>
      <c r="G235" s="1892"/>
      <c r="H235" s="1892"/>
      <c r="I235" s="1892"/>
      <c r="J235" s="1892"/>
      <c r="K235" s="1892"/>
      <c r="L235" s="1894"/>
      <c r="M235" s="1894"/>
      <c r="N235" s="1894"/>
      <c r="O235" s="1894"/>
      <c r="P235" s="1894"/>
      <c r="Q235" s="1894"/>
      <c r="R235" s="1894"/>
      <c r="S235" s="1894"/>
      <c r="T235" s="1894"/>
      <c r="U235" s="1703">
        <f>Interim!FE300</f>
        <v>667</v>
      </c>
      <c r="V235" s="1703">
        <f>Interim!FM300</f>
        <v>909</v>
      </c>
      <c r="W235" s="1703">
        <f>Interim!FU300</f>
        <v>951</v>
      </c>
      <c r="X235" s="1703">
        <v>1192</v>
      </c>
      <c r="Y235" s="1703">
        <v>1176</v>
      </c>
      <c r="Z235" s="1703">
        <f>Interim!GS300</f>
        <v>1408</v>
      </c>
      <c r="AA235" s="1703"/>
      <c r="AB235" s="1703"/>
      <c r="AC235" s="1703"/>
      <c r="AD235" s="1703"/>
      <c r="AE235" s="1703"/>
      <c r="AF235" s="1704"/>
      <c r="AG235" s="1703"/>
      <c r="AH235" s="1703"/>
      <c r="AI235" s="1703"/>
      <c r="AJ235" s="1703"/>
      <c r="AK235" s="1703"/>
      <c r="AL235" s="1703"/>
      <c r="AN235" s="1686"/>
      <c r="AZ235" s="1899"/>
      <c r="BA235" s="1903"/>
      <c r="BB235" s="1899"/>
      <c r="BC235" s="1691"/>
    </row>
    <row r="236" hidden="1" customHeight="1" outlineLevel="1" spans="1:57">
      <c r="A236" s="1708" t="s">
        <v>61</v>
      </c>
      <c r="B236" s="1892"/>
      <c r="C236" s="1893"/>
      <c r="D236" s="1892"/>
      <c r="E236" s="1892"/>
      <c r="F236" s="1892"/>
      <c r="G236" s="1892"/>
      <c r="H236" s="1892"/>
      <c r="I236" s="1892"/>
      <c r="J236" s="1892"/>
      <c r="K236" s="1892"/>
      <c r="L236" s="1894"/>
      <c r="M236" s="1894"/>
      <c r="N236" s="1894"/>
      <c r="O236" s="1894"/>
      <c r="P236" s="1894"/>
      <c r="Q236" s="1894"/>
      <c r="R236" s="1894"/>
      <c r="S236" s="1894"/>
      <c r="T236" s="1894"/>
      <c r="U236" s="1709">
        <f>Interim!FE301</f>
        <v>0</v>
      </c>
      <c r="V236" s="1709">
        <f>Interim!FM301</f>
        <v>0.362818590704648</v>
      </c>
      <c r="W236" s="1709">
        <f>Interim!FU301</f>
        <v>0.0462046204620461</v>
      </c>
      <c r="Y236" s="1246">
        <f>Y235/X235-1</f>
        <v>-0.0134228187919463</v>
      </c>
      <c r="Z236" s="1246">
        <f>Z235/Y235-1</f>
        <v>0.197278911564626</v>
      </c>
      <c r="AA236" s="1709"/>
      <c r="AB236" s="1709"/>
      <c r="AC236" s="1709"/>
      <c r="AD236" s="1709"/>
      <c r="AE236" s="1709"/>
      <c r="AF236" s="1711"/>
      <c r="AG236" s="1709"/>
      <c r="AH236" s="1709"/>
      <c r="AI236" s="1709"/>
      <c r="AJ236" s="1709"/>
      <c r="AK236" s="1709"/>
      <c r="AL236" s="1709"/>
      <c r="AN236" s="1686"/>
      <c r="AO236" s="1772"/>
      <c r="AZ236" s="1899"/>
      <c r="BA236" s="1903"/>
      <c r="BB236" s="1899"/>
      <c r="BC236" s="1691"/>
    </row>
    <row r="237" hidden="1" customHeight="1" outlineLevel="1" spans="1:57">
      <c r="A237" s="1708" t="s">
        <v>132</v>
      </c>
      <c r="B237" s="1892"/>
      <c r="C237" s="1893"/>
      <c r="D237" s="1892"/>
      <c r="E237" s="1892"/>
      <c r="F237" s="1892"/>
      <c r="G237" s="1892"/>
      <c r="H237" s="1892"/>
      <c r="I237" s="1892"/>
      <c r="J237" s="1892"/>
      <c r="K237" s="1892"/>
      <c r="L237" s="1894"/>
      <c r="M237" s="1894"/>
      <c r="N237" s="1894"/>
      <c r="O237" s="1894"/>
      <c r="P237" s="1894"/>
      <c r="Q237" s="1894"/>
      <c r="R237" s="1894"/>
      <c r="S237" s="1894"/>
      <c r="T237" s="1894"/>
      <c r="U237" s="1709">
        <f>Interim!FE302</f>
        <v>0.175850250461376</v>
      </c>
      <c r="V237" s="1709">
        <f>Interim!FM302</f>
        <v>0.200264375413087</v>
      </c>
      <c r="W237" s="1709">
        <f>Interim!FU302</f>
        <v>0.17973917973918</v>
      </c>
      <c r="X237" s="1709">
        <v>0.201</v>
      </c>
      <c r="Y237" s="1709">
        <f>Y235/Y153</f>
        <v>0.199864038069341</v>
      </c>
      <c r="Z237" s="1709">
        <f>Z235/Z153</f>
        <v>0.231906209749943</v>
      </c>
      <c r="AA237" s="1709"/>
      <c r="AB237" s="1709"/>
      <c r="AC237" s="1709"/>
      <c r="AD237" s="1709"/>
      <c r="AE237" s="1709"/>
      <c r="AF237" s="1711"/>
      <c r="AG237" s="1709"/>
      <c r="AH237" s="1709"/>
      <c r="AI237" s="1709"/>
      <c r="AJ237" s="1709"/>
      <c r="AK237" s="1709"/>
      <c r="AL237" s="1709"/>
      <c r="AM237" s="1709"/>
      <c r="AN237" s="1686"/>
      <c r="AT237" s="1688"/>
      <c r="AU237" s="1688"/>
      <c r="AZ237" s="1899"/>
      <c r="BA237" s="1899"/>
      <c r="BB237" s="1899"/>
      <c r="BC237" s="1691"/>
    </row>
    <row r="238" hidden="1" customHeight="1" outlineLevel="1" spans="1:57">
      <c r="A238" s="1900" t="s">
        <v>101</v>
      </c>
      <c r="B238" s="1892"/>
      <c r="C238" s="1893"/>
      <c r="D238" s="1892"/>
      <c r="E238" s="1892"/>
      <c r="F238" s="1892"/>
      <c r="G238" s="1892"/>
      <c r="H238" s="1892"/>
      <c r="I238" s="1892"/>
      <c r="J238" s="1892"/>
      <c r="K238" s="1892"/>
      <c r="L238" s="1894"/>
      <c r="M238" s="1894"/>
      <c r="N238" s="1894"/>
      <c r="O238" s="1894"/>
      <c r="P238" s="1894"/>
      <c r="Q238" s="1894"/>
      <c r="R238" s="1894"/>
      <c r="S238" s="1894"/>
      <c r="T238" s="1894"/>
      <c r="U238" s="1901">
        <f>Interim!FE303</f>
        <v>0</v>
      </c>
      <c r="V238" s="1901">
        <f>Interim!FM303</f>
        <v>0</v>
      </c>
      <c r="W238" s="1901">
        <f>Interim!FU303</f>
        <v>0</v>
      </c>
      <c r="X238" s="1901"/>
      <c r="Y238" s="1901"/>
      <c r="Z238" s="1901"/>
      <c r="AA238" s="1901"/>
      <c r="AB238" s="1901"/>
      <c r="AC238" s="1901"/>
      <c r="AD238" s="1901"/>
      <c r="AE238" s="1901"/>
      <c r="AF238" s="1902"/>
      <c r="AG238" s="1901"/>
      <c r="AH238" s="1901"/>
      <c r="AI238" s="1901"/>
      <c r="AJ238" s="1901"/>
      <c r="AK238" s="1901"/>
      <c r="AL238" s="1901"/>
      <c r="AN238" s="1686"/>
      <c r="AZ238" s="1899"/>
      <c r="BA238" s="1899"/>
      <c r="BB238" s="1899"/>
      <c r="BC238" s="1691"/>
    </row>
    <row r="239" hidden="1" customHeight="1" outlineLevel="1" spans="1:57">
      <c r="A239" s="1708" t="s">
        <v>126</v>
      </c>
      <c r="B239" s="1892"/>
      <c r="C239" s="1893"/>
      <c r="D239" s="1892"/>
      <c r="E239" s="1892"/>
      <c r="F239" s="1892"/>
      <c r="G239" s="1892"/>
      <c r="H239" s="1892"/>
      <c r="I239" s="1892"/>
      <c r="J239" s="1892"/>
      <c r="K239" s="1892"/>
      <c r="L239" s="1894"/>
      <c r="M239" s="1894"/>
      <c r="N239" s="1894"/>
      <c r="O239" s="1894"/>
      <c r="P239" s="1894"/>
      <c r="Q239" s="1894"/>
      <c r="R239" s="1894"/>
      <c r="S239" s="1894"/>
      <c r="T239" s="1894"/>
      <c r="U239" s="1745">
        <f>Interim!FE304</f>
        <v>1431</v>
      </c>
      <c r="V239" s="1745">
        <f>Interim!FM304</f>
        <v>1746</v>
      </c>
      <c r="W239" s="1745">
        <f>Interim!FU304</f>
        <v>2126</v>
      </c>
      <c r="X239" s="1745">
        <f>X160-X240</f>
        <v>2586</v>
      </c>
      <c r="Y239" s="1745">
        <f>Y160-Y240</f>
        <v>2757</v>
      </c>
      <c r="Z239" s="1745">
        <f>Interim!GS304</f>
        <v>3190</v>
      </c>
      <c r="AA239" s="1745"/>
      <c r="AB239" s="1745"/>
      <c r="AC239" s="1745"/>
      <c r="AD239" s="1745"/>
      <c r="AE239" s="1745"/>
      <c r="AF239" s="1790"/>
      <c r="AG239" s="1745"/>
      <c r="AH239" s="1745"/>
      <c r="AI239" s="1745"/>
      <c r="AJ239" s="1745"/>
      <c r="AK239" s="1745"/>
      <c r="AL239" s="1745"/>
      <c r="AN239" s="1686"/>
      <c r="AT239" s="1688"/>
      <c r="AU239" s="1688"/>
      <c r="AZ239" s="1899"/>
      <c r="BA239" s="1899"/>
      <c r="BB239" s="1899"/>
      <c r="BC239" s="1691"/>
    </row>
    <row r="240" hidden="1" customHeight="1" outlineLevel="1" spans="1:57">
      <c r="A240" s="1802" t="s">
        <v>127</v>
      </c>
      <c r="B240" s="1892"/>
      <c r="C240" s="1893"/>
      <c r="D240" s="1892"/>
      <c r="E240" s="1892"/>
      <c r="F240" s="1892"/>
      <c r="G240" s="1892"/>
      <c r="H240" s="1892"/>
      <c r="I240" s="1892"/>
      <c r="J240" s="1892"/>
      <c r="K240" s="1892"/>
      <c r="L240" s="1894"/>
      <c r="M240" s="1894"/>
      <c r="N240" s="1894"/>
      <c r="O240" s="1894"/>
      <c r="P240" s="1894"/>
      <c r="Q240" s="1894"/>
      <c r="R240" s="1894"/>
      <c r="S240" s="1894"/>
      <c r="T240" s="1894"/>
      <c r="U240" s="1703">
        <f>Interim!FE305</f>
        <v>786</v>
      </c>
      <c r="V240" s="1703">
        <f>Interim!FM305</f>
        <v>1008</v>
      </c>
      <c r="W240" s="1703">
        <f>Interim!FU305</f>
        <v>1286</v>
      </c>
      <c r="X240" s="1703">
        <v>1689</v>
      </c>
      <c r="Y240" s="1703">
        <v>1931</v>
      </c>
      <c r="Z240" s="1703">
        <f>Interim!GS305</f>
        <v>2123</v>
      </c>
      <c r="AA240" s="1703"/>
      <c r="AB240" s="1703"/>
      <c r="AC240" s="1703"/>
      <c r="AD240" s="1703"/>
      <c r="AE240" s="1703"/>
      <c r="AF240" s="1704"/>
      <c r="AG240" s="1703"/>
      <c r="AH240" s="1703"/>
      <c r="AI240" s="1703"/>
      <c r="AJ240" s="1703"/>
      <c r="AK240" s="1703"/>
      <c r="AL240" s="1703"/>
      <c r="AN240" s="1686"/>
      <c r="AP240" s="1246"/>
      <c r="AQ240" s="1246"/>
      <c r="AR240" s="1246"/>
      <c r="AS240" s="1246"/>
      <c r="AT240" s="1246"/>
      <c r="AU240" s="1246"/>
      <c r="AZ240" s="1899"/>
      <c r="BA240" s="1899"/>
      <c r="BB240" s="1899"/>
      <c r="BC240" s="1691"/>
    </row>
    <row r="241" hidden="1" customHeight="1" outlineLevel="1" spans="1:55">
      <c r="A241" s="1708" t="s">
        <v>61</v>
      </c>
      <c r="B241" s="1892"/>
      <c r="C241" s="1893"/>
      <c r="D241" s="1892"/>
      <c r="E241" s="1892"/>
      <c r="F241" s="1892"/>
      <c r="G241" s="1892"/>
      <c r="H241" s="1892"/>
      <c r="I241" s="1892"/>
      <c r="J241" s="1892"/>
      <c r="K241" s="1892"/>
      <c r="L241" s="1894"/>
      <c r="M241" s="1894"/>
      <c r="N241" s="1894"/>
      <c r="O241" s="1894"/>
      <c r="P241" s="1894"/>
      <c r="Q241" s="1894"/>
      <c r="R241" s="1894"/>
      <c r="S241" s="1894"/>
      <c r="T241" s="1894"/>
      <c r="U241" s="1709">
        <f>Interim!FE306</f>
        <v>0</v>
      </c>
      <c r="V241" s="1709">
        <f>Interim!FM306</f>
        <v>0.282442748091603</v>
      </c>
      <c r="W241" s="1709">
        <f>Interim!FU306</f>
        <v>0.275793650793651</v>
      </c>
      <c r="X241" s="1709"/>
      <c r="Y241" s="1709">
        <f>Y240/X240-1</f>
        <v>0.143280047365305</v>
      </c>
      <c r="Z241" s="1709">
        <f>Interim!GS306</f>
        <v>0.0994303469704816</v>
      </c>
      <c r="AA241" s="1709"/>
      <c r="AB241" s="1709"/>
      <c r="AC241" s="1709"/>
      <c r="AD241" s="1709"/>
      <c r="AE241" s="1709"/>
      <c r="AF241" s="1711"/>
      <c r="AG241" s="1709"/>
      <c r="AH241" s="1709"/>
      <c r="AI241" s="1709"/>
      <c r="AJ241" s="1709"/>
      <c r="AK241" s="1709"/>
      <c r="AL241" s="1709"/>
      <c r="AN241" s="1686"/>
      <c r="AT241" s="1688"/>
      <c r="AU241" s="1688"/>
      <c r="AZ241" s="1899"/>
      <c r="BA241" s="1899"/>
      <c r="BB241" s="1899"/>
      <c r="BC241" s="1691"/>
    </row>
    <row r="242" hidden="1" customHeight="1" outlineLevel="1" spans="1:55">
      <c r="A242" s="1708" t="s">
        <v>128</v>
      </c>
      <c r="B242" s="1892"/>
      <c r="C242" s="1893"/>
      <c r="D242" s="1892"/>
      <c r="E242" s="1892"/>
      <c r="F242" s="1892"/>
      <c r="G242" s="1892"/>
      <c r="H242" s="1892"/>
      <c r="I242" s="1892"/>
      <c r="J242" s="1892"/>
      <c r="K242" s="1892"/>
      <c r="L242" s="1894"/>
      <c r="M242" s="1894"/>
      <c r="N242" s="1894"/>
      <c r="O242" s="1894"/>
      <c r="P242" s="1894"/>
      <c r="Q242" s="1894"/>
      <c r="R242" s="1894"/>
      <c r="S242" s="1894"/>
      <c r="T242" s="1894"/>
      <c r="U242" s="1709">
        <f>Interim!FE307</f>
        <v>0.354533152909337</v>
      </c>
      <c r="V242" s="1709">
        <f>Interim!FM307</f>
        <v>0.366013071895425</v>
      </c>
      <c r="W242" s="1709">
        <f>Interim!FU307</f>
        <v>0.376905041031653</v>
      </c>
      <c r="X242" s="1709">
        <v>0.395</v>
      </c>
      <c r="Y242" s="1709">
        <v>0.412</v>
      </c>
      <c r="Z242" s="1709">
        <f>Interim!GS307</f>
        <v>0.399585921325052</v>
      </c>
      <c r="AA242" s="1709"/>
      <c r="AB242" s="1709"/>
      <c r="AC242" s="1709"/>
      <c r="AD242" s="1709"/>
      <c r="AE242" s="1709"/>
      <c r="AF242" s="1711"/>
      <c r="AG242" s="1709"/>
      <c r="AH242" s="1709"/>
      <c r="AI242" s="1709"/>
      <c r="AJ242" s="1709"/>
      <c r="AK242" s="1709"/>
      <c r="AL242" s="1709"/>
      <c r="AN242" s="1686"/>
      <c r="AP242" s="1246"/>
      <c r="AQ242" s="1246"/>
      <c r="AR242" s="1246"/>
      <c r="AS242" s="1246"/>
      <c r="AT242" s="1246"/>
      <c r="AU242" s="1246"/>
      <c r="AZ242" s="1899"/>
      <c r="BA242" s="1899"/>
      <c r="BB242" s="1899"/>
      <c r="BC242" s="1691"/>
    </row>
    <row r="243" hidden="1" customHeight="1" outlineLevel="1" spans="1:55">
      <c r="A243" s="1708" t="s">
        <v>129</v>
      </c>
      <c r="B243" s="1892"/>
      <c r="C243" s="1893"/>
      <c r="D243" s="1892"/>
      <c r="E243" s="1892"/>
      <c r="F243" s="1892"/>
      <c r="G243" s="1892"/>
      <c r="H243" s="1892"/>
      <c r="I243" s="1892"/>
      <c r="J243" s="1892"/>
      <c r="K243" s="1892"/>
      <c r="L243" s="1894"/>
      <c r="M243" s="1894"/>
      <c r="N243" s="1894"/>
      <c r="O243" s="1894"/>
      <c r="P243" s="1894"/>
      <c r="Q243" s="1894"/>
      <c r="R243" s="1894"/>
      <c r="S243" s="1894"/>
      <c r="T243" s="1894"/>
      <c r="U243" s="1745">
        <f>Interim!FE308</f>
        <v>665</v>
      </c>
      <c r="V243" s="1745">
        <f>Interim!FM308</f>
        <v>939</v>
      </c>
      <c r="W243" s="1745">
        <f>Interim!FU308</f>
        <v>1072</v>
      </c>
      <c r="X243" s="1745">
        <v>1280</v>
      </c>
      <c r="Y243" s="1745">
        <v>1305</v>
      </c>
      <c r="Z243" s="1745">
        <f>Interim!GS308</f>
        <v>1408</v>
      </c>
      <c r="AA243" s="1745"/>
      <c r="AB243" s="1745"/>
      <c r="AC243" s="1745"/>
      <c r="AD243" s="1745"/>
      <c r="AE243" s="1745"/>
      <c r="AF243" s="1790"/>
      <c r="AG243" s="1745"/>
      <c r="AH243" s="1745"/>
      <c r="AI243" s="1745"/>
      <c r="AJ243" s="1745"/>
      <c r="AK243" s="1745"/>
      <c r="AL243" s="1745"/>
      <c r="AN243" s="1686"/>
      <c r="AT243" s="1688"/>
      <c r="AU243" s="1688"/>
      <c r="AZ243" s="1899"/>
      <c r="BA243" s="1899"/>
      <c r="BB243" s="1899"/>
      <c r="BC243" s="1691"/>
    </row>
    <row r="244" hidden="1" customHeight="1" outlineLevel="1" spans="1:55">
      <c r="A244" s="1708" t="s">
        <v>61</v>
      </c>
      <c r="B244" s="1892"/>
      <c r="C244" s="1893"/>
      <c r="D244" s="1892"/>
      <c r="E244" s="1892"/>
      <c r="F244" s="1892"/>
      <c r="G244" s="1892"/>
      <c r="H244" s="1892"/>
      <c r="I244" s="1892"/>
      <c r="J244" s="1892"/>
      <c r="K244" s="1892"/>
      <c r="L244" s="1894"/>
      <c r="M244" s="1894"/>
      <c r="N244" s="1894"/>
      <c r="O244" s="1894"/>
      <c r="P244" s="1894"/>
      <c r="Q244" s="1894"/>
      <c r="R244" s="1894"/>
      <c r="S244" s="1894"/>
      <c r="T244" s="1894"/>
      <c r="U244" s="1709">
        <f>Interim!FE309</f>
        <v>0</v>
      </c>
      <c r="V244" s="1709">
        <f>Interim!FM309</f>
        <v>0.41203007518797</v>
      </c>
      <c r="W244" s="1709">
        <f>Interim!FU309</f>
        <v>0.141640042598509</v>
      </c>
      <c r="X244" s="1709"/>
      <c r="Y244" s="1709">
        <f>Y243/X243-1</f>
        <v>0.01953125</v>
      </c>
      <c r="Z244" s="1709">
        <f>Interim!GS309</f>
        <v>0.141930251419303</v>
      </c>
      <c r="AA244" s="1709"/>
      <c r="AB244" s="1709"/>
      <c r="AC244" s="1709"/>
      <c r="AD244" s="1709"/>
      <c r="AE244" s="1709"/>
      <c r="AF244" s="1711"/>
      <c r="AG244" s="1709"/>
      <c r="AH244" s="1709"/>
      <c r="AI244" s="1709"/>
      <c r="AJ244" s="1709"/>
      <c r="AK244" s="1709"/>
      <c r="AL244" s="1709"/>
      <c r="AN244" s="1686"/>
      <c r="AP244" s="1246"/>
      <c r="AQ244" s="1861"/>
      <c r="AR244" s="1861"/>
      <c r="AS244" s="1861"/>
      <c r="AT244" s="1861"/>
      <c r="AU244" s="1861"/>
      <c r="AZ244" s="1899"/>
      <c r="BA244" s="1899"/>
      <c r="BB244" s="1899"/>
      <c r="BC244" s="1691"/>
    </row>
    <row r="245" hidden="1" customHeight="1" outlineLevel="1" spans="1:55">
      <c r="A245" s="1708" t="s">
        <v>130</v>
      </c>
      <c r="B245" s="1892"/>
      <c r="C245" s="1893"/>
      <c r="D245" s="1892"/>
      <c r="E245" s="1892"/>
      <c r="F245" s="1892"/>
      <c r="G245" s="1892"/>
      <c r="H245" s="1892"/>
      <c r="I245" s="1892"/>
      <c r="J245" s="1892"/>
      <c r="K245" s="1892"/>
      <c r="L245" s="1894"/>
      <c r="M245" s="1894"/>
      <c r="N245" s="1894"/>
      <c r="O245" s="1894"/>
      <c r="P245" s="1894"/>
      <c r="Q245" s="1894"/>
      <c r="R245" s="1894"/>
      <c r="S245" s="1894"/>
      <c r="T245" s="1894"/>
      <c r="U245" s="1709">
        <f>Interim!FE310</f>
        <v>0.299954894000902</v>
      </c>
      <c r="V245" s="1709">
        <f>Interim!FM310</f>
        <v>0.340958605664488</v>
      </c>
      <c r="W245" s="1709">
        <f>Interim!FU310</f>
        <v>0.314185228604924</v>
      </c>
      <c r="X245" s="1709">
        <v>0.299</v>
      </c>
      <c r="Y245" s="1709">
        <v>0.278</v>
      </c>
      <c r="Z245" s="1709">
        <f>Interim!GS310</f>
        <v>0.265010351966874</v>
      </c>
      <c r="AA245" s="1709"/>
      <c r="AB245" s="1709"/>
      <c r="AC245" s="1709"/>
      <c r="AD245" s="1709"/>
      <c r="AE245" s="1709"/>
      <c r="AF245" s="1711"/>
      <c r="AG245" s="1709"/>
      <c r="AH245" s="1709"/>
      <c r="AI245" s="1709"/>
      <c r="AJ245" s="1709"/>
      <c r="AK245" s="1709"/>
      <c r="AL245" s="1709"/>
      <c r="AN245" s="1686"/>
      <c r="AZ245" s="1899"/>
      <c r="BA245" s="1899"/>
      <c r="BB245" s="1899"/>
      <c r="BC245" s="1691"/>
    </row>
    <row r="246" hidden="1" customHeight="1" outlineLevel="1" spans="1:55">
      <c r="A246" s="1802" t="s">
        <v>131</v>
      </c>
      <c r="B246" s="1892"/>
      <c r="C246" s="1893"/>
      <c r="D246" s="1892"/>
      <c r="E246" s="1892"/>
      <c r="F246" s="1892"/>
      <c r="G246" s="1892"/>
      <c r="H246" s="1892"/>
      <c r="I246" s="1892"/>
      <c r="J246" s="1892"/>
      <c r="K246" s="1892"/>
      <c r="L246" s="1894"/>
      <c r="M246" s="1894"/>
      <c r="N246" s="1894"/>
      <c r="O246" s="1894"/>
      <c r="P246" s="1894"/>
      <c r="Q246" s="1894"/>
      <c r="R246" s="1894"/>
      <c r="S246" s="1894"/>
      <c r="T246" s="1894"/>
      <c r="U246" s="1703">
        <f>Interim!FE311</f>
        <v>121</v>
      </c>
      <c r="V246" s="1703">
        <f>Interim!FM311</f>
        <v>69</v>
      </c>
      <c r="W246" s="1703">
        <f>Interim!FU311</f>
        <v>214</v>
      </c>
      <c r="X246" s="1703">
        <v>468</v>
      </c>
      <c r="Y246" s="1703">
        <v>698</v>
      </c>
      <c r="Z246" s="1703">
        <f>Interim!GS311</f>
        <v>715</v>
      </c>
      <c r="AA246" s="1703"/>
      <c r="AB246" s="1703"/>
      <c r="AC246" s="1703"/>
      <c r="AD246" s="1703"/>
      <c r="AE246" s="1703"/>
      <c r="AF246" s="1704"/>
      <c r="AG246" s="1703"/>
      <c r="AH246" s="1703"/>
      <c r="AI246" s="1703"/>
      <c r="AJ246" s="1703"/>
      <c r="AK246" s="1703"/>
      <c r="AL246" s="1703"/>
      <c r="AN246" s="1686"/>
      <c r="AO246" s="1772"/>
      <c r="AZ246" s="1899"/>
      <c r="BA246" s="1899"/>
      <c r="BB246" s="1899"/>
      <c r="BC246" s="1691"/>
    </row>
    <row r="247" hidden="1" customHeight="1" outlineLevel="1" spans="1:55">
      <c r="A247" s="1708" t="s">
        <v>61</v>
      </c>
      <c r="B247" s="1892"/>
      <c r="C247" s="1893"/>
      <c r="D247" s="1892"/>
      <c r="E247" s="1892"/>
      <c r="F247" s="1892"/>
      <c r="G247" s="1892"/>
      <c r="H247" s="1892"/>
      <c r="I247" s="1892"/>
      <c r="J247" s="1892"/>
      <c r="K247" s="1892"/>
      <c r="L247" s="1894"/>
      <c r="M247" s="1894"/>
      <c r="N247" s="1894"/>
      <c r="O247" s="1894"/>
      <c r="P247" s="1894"/>
      <c r="Q247" s="1894"/>
      <c r="R247" s="1894"/>
      <c r="S247" s="1894"/>
      <c r="T247" s="1894"/>
      <c r="U247" s="1709">
        <f>Interim!FE312</f>
        <v>0</v>
      </c>
      <c r="V247" s="1709">
        <f>Interim!FM312</f>
        <v>-0.429752066115702</v>
      </c>
      <c r="W247" s="1709">
        <f>Interim!FU312</f>
        <v>2.10144927536232</v>
      </c>
      <c r="X247" s="1709"/>
      <c r="Y247" s="1709">
        <f>Y246/X246-1</f>
        <v>0.491452991452991</v>
      </c>
      <c r="Z247" s="1709">
        <f>Interim!GS312</f>
        <v>0.0243553008595989</v>
      </c>
      <c r="AA247" s="1709"/>
      <c r="AB247" s="1709"/>
      <c r="AC247" s="1709"/>
      <c r="AD247" s="1709"/>
      <c r="AE247" s="1709"/>
      <c r="AF247" s="1711"/>
      <c r="AG247" s="1709"/>
      <c r="AH247" s="1709"/>
      <c r="AI247" s="1709"/>
      <c r="AJ247" s="1709"/>
      <c r="AK247" s="1709"/>
      <c r="AL247" s="1709"/>
      <c r="AN247" s="1686"/>
      <c r="AT247" s="1688"/>
      <c r="AU247" s="1688"/>
      <c r="AZ247" s="1899"/>
      <c r="BA247" s="1899"/>
      <c r="BB247" s="1899"/>
      <c r="BC247" s="1691"/>
    </row>
    <row r="248" hidden="1" customHeight="1" outlineLevel="1" spans="1:55">
      <c r="A248" s="1708" t="s">
        <v>132</v>
      </c>
      <c r="B248" s="1892"/>
      <c r="C248" s="1893"/>
      <c r="D248" s="1892"/>
      <c r="E248" s="1892"/>
      <c r="F248" s="1892"/>
      <c r="G248" s="1892"/>
      <c r="H248" s="1892"/>
      <c r="I248" s="1892"/>
      <c r="J248" s="1892"/>
      <c r="K248" s="1892"/>
      <c r="L248" s="1894"/>
      <c r="M248" s="1894"/>
      <c r="N248" s="1894"/>
      <c r="O248" s="1894"/>
      <c r="P248" s="1894"/>
      <c r="Q248" s="1894"/>
      <c r="R248" s="1894"/>
      <c r="S248" s="1894"/>
      <c r="T248" s="1894"/>
      <c r="U248" s="1709">
        <f>Interim!FE313</f>
        <v>0.0545782589084348</v>
      </c>
      <c r="V248" s="1709">
        <f>Interim!FM313</f>
        <v>0.0250544662309368</v>
      </c>
      <c r="W248" s="1709">
        <f>Interim!FU313</f>
        <v>0.0627198124267292</v>
      </c>
      <c r="X248" s="1709">
        <v>0.109</v>
      </c>
      <c r="Y248" s="1709">
        <v>0.149</v>
      </c>
      <c r="Z248" s="1709">
        <f>Interim!GS313</f>
        <v>0.134575569358178</v>
      </c>
      <c r="AA248" s="1709"/>
      <c r="AB248" s="1709"/>
      <c r="AC248" s="1709"/>
      <c r="AD248" s="1709"/>
      <c r="AE248" s="1709"/>
      <c r="AF248" s="1711"/>
      <c r="AG248" s="1709"/>
      <c r="AH248" s="1709"/>
      <c r="AI248" s="1709"/>
      <c r="AJ248" s="1709"/>
      <c r="AK248" s="1709"/>
      <c r="AL248" s="1709"/>
      <c r="AN248" s="1686"/>
      <c r="AZ248" s="1899"/>
      <c r="BA248" s="1899"/>
      <c r="BB248" s="1899"/>
      <c r="BC248" s="1691"/>
    </row>
    <row r="249" hidden="1" customHeight="1" outlineLevel="1" spans="1:55">
      <c r="A249" s="1900" t="s">
        <v>102</v>
      </c>
      <c r="B249" s="1892"/>
      <c r="C249" s="1893"/>
      <c r="D249" s="1892"/>
      <c r="E249" s="1892"/>
      <c r="F249" s="1892"/>
      <c r="G249" s="1892"/>
      <c r="H249" s="1892"/>
      <c r="I249" s="1892"/>
      <c r="J249" s="1892"/>
      <c r="K249" s="1892"/>
      <c r="L249" s="1894"/>
      <c r="M249" s="1894"/>
      <c r="N249" s="1894"/>
      <c r="O249" s="1894"/>
      <c r="P249" s="1894"/>
      <c r="Q249" s="1894"/>
      <c r="R249" s="1894"/>
      <c r="S249" s="1894"/>
      <c r="T249" s="1894"/>
      <c r="U249" s="1901">
        <f>Interim!FE314</f>
        <v>0</v>
      </c>
      <c r="V249" s="1901">
        <f>Interim!FM314</f>
        <v>0</v>
      </c>
      <c r="W249" s="1901">
        <f>Interim!FU314</f>
        <v>0</v>
      </c>
      <c r="X249" s="1901"/>
      <c r="Y249" s="1901"/>
      <c r="Z249" s="1901"/>
      <c r="AA249" s="1901"/>
      <c r="AB249" s="1901"/>
      <c r="AC249" s="1901"/>
      <c r="AD249" s="1901"/>
      <c r="AE249" s="1901"/>
      <c r="AF249" s="1902"/>
      <c r="AG249" s="1901"/>
      <c r="AH249" s="1901"/>
      <c r="AI249" s="1901"/>
      <c r="AJ249" s="1901"/>
      <c r="AK249" s="1901"/>
      <c r="AL249" s="1901"/>
      <c r="AN249" s="1686"/>
      <c r="AT249" s="1688"/>
      <c r="AU249" s="1688"/>
      <c r="AZ249" s="1899"/>
      <c r="BA249" s="1899"/>
      <c r="BB249" s="1899"/>
      <c r="BC249" s="1691"/>
    </row>
    <row r="250" hidden="1" customHeight="1" outlineLevel="1" spans="1:55">
      <c r="A250" s="1708" t="s">
        <v>126</v>
      </c>
      <c r="B250" s="1892"/>
      <c r="C250" s="1893"/>
      <c r="D250" s="1892"/>
      <c r="E250" s="1892"/>
      <c r="F250" s="1892"/>
      <c r="G250" s="1892"/>
      <c r="H250" s="1892"/>
      <c r="I250" s="1892"/>
      <c r="J250" s="1892"/>
      <c r="K250" s="1892"/>
      <c r="L250" s="1894"/>
      <c r="M250" s="1894"/>
      <c r="N250" s="1894"/>
      <c r="O250" s="1894"/>
      <c r="P250" s="1894"/>
      <c r="Q250" s="1894"/>
      <c r="R250" s="1894"/>
      <c r="S250" s="1894"/>
      <c r="T250" s="1894"/>
      <c r="U250" s="1745">
        <f>Interim!FE315</f>
        <v>963</v>
      </c>
      <c r="V250" s="1745">
        <f>Interim!FM315</f>
        <v>1027</v>
      </c>
      <c r="W250" s="1745">
        <f>Interim!FU315</f>
        <v>997</v>
      </c>
      <c r="X250" s="1745">
        <f>X167-X251</f>
        <v>1104</v>
      </c>
      <c r="Y250" s="1745">
        <f>Y167-Y251</f>
        <v>900</v>
      </c>
      <c r="Z250" s="1745">
        <f>Interim!GS315</f>
        <v>922</v>
      </c>
      <c r="AA250" s="1745"/>
      <c r="AB250" s="1745"/>
      <c r="AC250" s="1745"/>
      <c r="AD250" s="1745"/>
      <c r="AE250" s="1745"/>
      <c r="AF250" s="1790"/>
      <c r="AG250" s="1745"/>
      <c r="AH250" s="1745"/>
      <c r="AI250" s="1745"/>
      <c r="AJ250" s="1745"/>
      <c r="AK250" s="1745"/>
      <c r="AL250" s="1745"/>
      <c r="AN250" s="1686"/>
      <c r="AP250" s="1246"/>
      <c r="AQ250" s="1861"/>
      <c r="AR250" s="1861"/>
      <c r="AS250" s="1861"/>
      <c r="AT250" s="1861"/>
      <c r="AU250" s="1861"/>
      <c r="AV250" s="1907"/>
      <c r="AW250" s="1907"/>
      <c r="AX250" s="1907"/>
      <c r="AY250" s="1907"/>
      <c r="AZ250" s="1899"/>
      <c r="BA250" s="1899"/>
      <c r="BB250" s="1899"/>
      <c r="BC250" s="1691"/>
    </row>
    <row r="251" hidden="1" customHeight="1" outlineLevel="1" spans="1:55">
      <c r="A251" s="1802" t="s">
        <v>127</v>
      </c>
      <c r="B251" s="1892"/>
      <c r="C251" s="1893"/>
      <c r="D251" s="1892"/>
      <c r="E251" s="1892"/>
      <c r="F251" s="1892"/>
      <c r="G251" s="1892"/>
      <c r="H251" s="1892"/>
      <c r="I251" s="1892"/>
      <c r="J251" s="1892"/>
      <c r="K251" s="1892"/>
      <c r="L251" s="1894"/>
      <c r="M251" s="1894"/>
      <c r="N251" s="1894"/>
      <c r="O251" s="1894"/>
      <c r="P251" s="1894"/>
      <c r="Q251" s="1894"/>
      <c r="R251" s="1894"/>
      <c r="S251" s="1894"/>
      <c r="T251" s="1894"/>
      <c r="U251" s="1703">
        <f>Interim!FE316</f>
        <v>649</v>
      </c>
      <c r="V251" s="1703">
        <f>Interim!FM316</f>
        <v>756</v>
      </c>
      <c r="W251" s="1703">
        <f>Interim!FU316</f>
        <v>734</v>
      </c>
      <c r="X251" s="1703">
        <v>803</v>
      </c>
      <c r="Y251" s="1703">
        <v>733</v>
      </c>
      <c r="Z251" s="1703">
        <f>Interim!GS316</f>
        <v>738</v>
      </c>
      <c r="AA251" s="1703"/>
      <c r="AB251" s="1703"/>
      <c r="AC251" s="1703"/>
      <c r="AD251" s="1703"/>
      <c r="AE251" s="1703"/>
      <c r="AF251" s="1704"/>
      <c r="AG251" s="1703"/>
      <c r="AH251" s="1703"/>
      <c r="AI251" s="1703"/>
      <c r="AJ251" s="1703"/>
      <c r="AK251" s="1703"/>
      <c r="AL251" s="1703"/>
      <c r="AN251" s="1686"/>
      <c r="AT251" s="1688"/>
      <c r="AU251" s="1688"/>
      <c r="AZ251" s="1899"/>
      <c r="BA251" s="1899"/>
      <c r="BB251" s="1899"/>
      <c r="BC251" s="1691"/>
    </row>
    <row r="252" hidden="1" customHeight="1" outlineLevel="1" spans="1:55">
      <c r="A252" s="1708" t="s">
        <v>61</v>
      </c>
      <c r="B252" s="1892"/>
      <c r="C252" s="1893"/>
      <c r="D252" s="1892"/>
      <c r="E252" s="1892"/>
      <c r="F252" s="1892"/>
      <c r="G252" s="1892"/>
      <c r="H252" s="1892"/>
      <c r="I252" s="1892"/>
      <c r="J252" s="1892"/>
      <c r="K252" s="1892"/>
      <c r="L252" s="1894"/>
      <c r="M252" s="1894"/>
      <c r="N252" s="1894"/>
      <c r="O252" s="1894"/>
      <c r="P252" s="1894"/>
      <c r="Q252" s="1894"/>
      <c r="R252" s="1894"/>
      <c r="S252" s="1894"/>
      <c r="T252" s="1894"/>
      <c r="U252" s="1709">
        <f>Interim!FE317</f>
        <v>0</v>
      </c>
      <c r="V252" s="1709">
        <f>Interim!FM317</f>
        <v>0.164869029275809</v>
      </c>
      <c r="W252" s="1709">
        <f>Interim!FU317</f>
        <v>-0.0291005291005291</v>
      </c>
      <c r="X252" s="1709"/>
      <c r="Y252" s="1709">
        <f>Y251/X251-1</f>
        <v>-0.087173100871731</v>
      </c>
      <c r="Z252" s="1709">
        <f>Interim!GS317</f>
        <v>0.00682128240109137</v>
      </c>
      <c r="AA252" s="1709"/>
      <c r="AB252" s="1709"/>
      <c r="AC252" s="1709"/>
      <c r="AD252" s="1709"/>
      <c r="AE252" s="1709"/>
      <c r="AF252" s="1711"/>
      <c r="AG252" s="1709"/>
      <c r="AH252" s="1709"/>
      <c r="AI252" s="1709"/>
      <c r="AJ252" s="1709"/>
      <c r="AK252" s="1709"/>
      <c r="AL252" s="1709"/>
      <c r="AN252" s="1686"/>
      <c r="AP252" s="1246"/>
      <c r="AQ252" s="1246"/>
      <c r="AR252" s="1246"/>
      <c r="AS252" s="1246"/>
      <c r="AT252" s="1246"/>
      <c r="AU252" s="1246"/>
      <c r="AZ252" s="1899"/>
      <c r="BA252" s="1899"/>
      <c r="BB252" s="1899"/>
      <c r="BC252" s="1691"/>
    </row>
    <row r="253" hidden="1" customHeight="1" outlineLevel="1" spans="1:55">
      <c r="A253" s="1708" t="s">
        <v>128</v>
      </c>
      <c r="B253" s="1892"/>
      <c r="C253" s="1893"/>
      <c r="D253" s="1892"/>
      <c r="E253" s="1892"/>
      <c r="F253" s="1892"/>
      <c r="G253" s="1892"/>
      <c r="H253" s="1892"/>
      <c r="I253" s="1892"/>
      <c r="J253" s="1892"/>
      <c r="K253" s="1892"/>
      <c r="L253" s="1894"/>
      <c r="M253" s="1894"/>
      <c r="N253" s="1894"/>
      <c r="O253" s="1894"/>
      <c r="P253" s="1894"/>
      <c r="Q253" s="1894"/>
      <c r="R253" s="1894"/>
      <c r="S253" s="1894"/>
      <c r="T253" s="1894"/>
      <c r="U253" s="1709">
        <f>Interim!FE318</f>
        <v>0.402605459057072</v>
      </c>
      <c r="V253" s="1709">
        <f>Interim!FM318</f>
        <v>0.424004486819966</v>
      </c>
      <c r="W253" s="1709">
        <f>Interim!FU318</f>
        <v>0.424032351242057</v>
      </c>
      <c r="X253" s="1709">
        <v>0.421</v>
      </c>
      <c r="Y253" s="1709">
        <v>0.449</v>
      </c>
      <c r="Z253" s="1709">
        <f>Interim!GS318</f>
        <v>0.444578313253012</v>
      </c>
      <c r="AA253" s="1709"/>
      <c r="AB253" s="1709"/>
      <c r="AC253" s="1709"/>
      <c r="AD253" s="1709"/>
      <c r="AE253" s="1709"/>
      <c r="AF253" s="1711"/>
      <c r="AG253" s="1709"/>
      <c r="AH253" s="1709"/>
      <c r="AI253" s="1709"/>
      <c r="AJ253" s="1709"/>
      <c r="AK253" s="1709"/>
      <c r="AL253" s="1709"/>
      <c r="AN253" s="1686"/>
      <c r="AT253" s="1688"/>
      <c r="AU253" s="1688"/>
      <c r="AZ253" s="1899"/>
      <c r="BA253" s="1899"/>
      <c r="BB253" s="1899"/>
      <c r="BC253" s="1691"/>
    </row>
    <row r="254" hidden="1" customHeight="1" outlineLevel="1" spans="1:55">
      <c r="A254" s="1708" t="s">
        <v>129</v>
      </c>
      <c r="B254" s="1892"/>
      <c r="C254" s="1893"/>
      <c r="D254" s="1892"/>
      <c r="E254" s="1892"/>
      <c r="F254" s="1892"/>
      <c r="G254" s="1892"/>
      <c r="H254" s="1892"/>
      <c r="I254" s="1892"/>
      <c r="J254" s="1892"/>
      <c r="K254" s="1892"/>
      <c r="L254" s="1894"/>
      <c r="M254" s="1894"/>
      <c r="N254" s="1894"/>
      <c r="O254" s="1894"/>
      <c r="P254" s="1894"/>
      <c r="Q254" s="1894"/>
      <c r="R254" s="1894"/>
      <c r="S254" s="1894"/>
      <c r="T254" s="1894"/>
      <c r="U254" s="1745">
        <f>Interim!FE319</f>
        <v>450</v>
      </c>
      <c r="V254" s="1745">
        <f>Interim!FM319</f>
        <v>521</v>
      </c>
      <c r="W254" s="1745">
        <f>Interim!FU319</f>
        <v>507</v>
      </c>
      <c r="X254" s="1745">
        <v>535</v>
      </c>
      <c r="Y254" s="1745">
        <v>454</v>
      </c>
      <c r="Z254" s="1745">
        <f>Interim!GS319</f>
        <v>443</v>
      </c>
      <c r="AA254" s="1745"/>
      <c r="AB254" s="1745"/>
      <c r="AC254" s="1745"/>
      <c r="AD254" s="1745"/>
      <c r="AE254" s="1745"/>
      <c r="AF254" s="1790"/>
      <c r="AG254" s="1745"/>
      <c r="AH254" s="1745"/>
      <c r="AI254" s="1745"/>
      <c r="AJ254" s="1745"/>
      <c r="AK254" s="1745"/>
      <c r="AL254" s="1745"/>
      <c r="AN254" s="1686"/>
      <c r="AP254" s="1246"/>
      <c r="AQ254" s="1246"/>
      <c r="AR254" s="1246"/>
      <c r="AS254" s="1246"/>
      <c r="AT254" s="1246"/>
      <c r="AU254" s="1246"/>
      <c r="AZ254" s="1899"/>
      <c r="BA254" s="1899"/>
      <c r="BB254" s="1899"/>
      <c r="BC254" s="1691"/>
    </row>
    <row r="255" hidden="1" customHeight="1" outlineLevel="1" spans="1:55">
      <c r="A255" s="1708" t="s">
        <v>61</v>
      </c>
      <c r="B255" s="1892"/>
      <c r="C255" s="1893"/>
      <c r="D255" s="1892"/>
      <c r="E255" s="1892"/>
      <c r="F255" s="1892"/>
      <c r="G255" s="1892"/>
      <c r="H255" s="1892"/>
      <c r="I255" s="1892"/>
      <c r="J255" s="1892"/>
      <c r="K255" s="1892"/>
      <c r="L255" s="1894"/>
      <c r="M255" s="1894"/>
      <c r="N255" s="1894"/>
      <c r="O255" s="1894"/>
      <c r="P255" s="1894"/>
      <c r="Q255" s="1894"/>
      <c r="R255" s="1894"/>
      <c r="S255" s="1894"/>
      <c r="T255" s="1894"/>
      <c r="U255" s="1709">
        <f>Interim!FE320</f>
        <v>0</v>
      </c>
      <c r="V255" s="1709">
        <f>Interim!FM320</f>
        <v>0.157777777777778</v>
      </c>
      <c r="W255" s="1709">
        <f>Interim!FU320</f>
        <v>-0.0268714011516314</v>
      </c>
      <c r="X255" s="1709"/>
      <c r="Y255" s="1709">
        <f>Y254/X254-1</f>
        <v>-0.151401869158879</v>
      </c>
      <c r="Z255" s="1709">
        <f>Interim!GS320</f>
        <v>-0.0242290748898678</v>
      </c>
      <c r="AA255" s="1709"/>
      <c r="AB255" s="1709"/>
      <c r="AC255" s="1709"/>
      <c r="AD255" s="1709"/>
      <c r="AE255" s="1709"/>
      <c r="AF255" s="1711"/>
      <c r="AG255" s="1709"/>
      <c r="AH255" s="1709"/>
      <c r="AI255" s="1709"/>
      <c r="AJ255" s="1709"/>
      <c r="AK255" s="1709"/>
      <c r="AL255" s="1709"/>
      <c r="AN255" s="1686"/>
      <c r="AU255" s="1908"/>
      <c r="AZ255" s="1899"/>
      <c r="BA255" s="1899"/>
      <c r="BB255" s="1899"/>
      <c r="BC255" s="1691"/>
    </row>
    <row r="256" hidden="1" customHeight="1" outlineLevel="1" spans="1:55">
      <c r="A256" s="1708" t="s">
        <v>130</v>
      </c>
      <c r="B256" s="1892"/>
      <c r="C256" s="1893"/>
      <c r="D256" s="1892"/>
      <c r="E256" s="1892"/>
      <c r="F256" s="1892"/>
      <c r="G256" s="1892"/>
      <c r="H256" s="1892"/>
      <c r="I256" s="1892"/>
      <c r="J256" s="1892"/>
      <c r="K256" s="1892"/>
      <c r="L256" s="1894"/>
      <c r="M256" s="1894"/>
      <c r="N256" s="1894"/>
      <c r="O256" s="1894"/>
      <c r="P256" s="1894"/>
      <c r="Q256" s="1894"/>
      <c r="R256" s="1894"/>
      <c r="S256" s="1894"/>
      <c r="T256" s="1894"/>
      <c r="U256" s="1709">
        <f>Interim!FE321</f>
        <v>0.279156327543424</v>
      </c>
      <c r="V256" s="1709">
        <f>Interim!FM321</f>
        <v>0.292204150308469</v>
      </c>
      <c r="W256" s="1709">
        <f>Interim!FU321</f>
        <v>0.292894280762565</v>
      </c>
      <c r="X256" s="1709">
        <v>0.281</v>
      </c>
      <c r="Y256" s="1709">
        <v>0.278</v>
      </c>
      <c r="Z256" s="1709">
        <f>Interim!GS321</f>
        <v>0.266867469879518</v>
      </c>
      <c r="AA256" s="1709"/>
      <c r="AB256" s="1709"/>
      <c r="AC256" s="1709"/>
      <c r="AD256" s="1709"/>
      <c r="AE256" s="1709"/>
      <c r="AF256" s="1711"/>
      <c r="AG256" s="1709"/>
      <c r="AH256" s="1709"/>
      <c r="AI256" s="1709"/>
      <c r="AJ256" s="1709"/>
      <c r="AK256" s="1709"/>
      <c r="AL256" s="1709"/>
      <c r="AN256" s="1686"/>
      <c r="AT256" s="1688"/>
      <c r="AU256" s="1688"/>
      <c r="AZ256" s="1899"/>
      <c r="BA256" s="1899"/>
      <c r="BB256" s="1899"/>
      <c r="BC256" s="1691"/>
    </row>
    <row r="257" hidden="1" customHeight="1" outlineLevel="1" spans="1:55">
      <c r="A257" s="1802" t="s">
        <v>131</v>
      </c>
      <c r="B257" s="1892"/>
      <c r="C257" s="1893"/>
      <c r="D257" s="1892"/>
      <c r="E257" s="1892"/>
      <c r="F257" s="1892"/>
      <c r="G257" s="1892"/>
      <c r="H257" s="1892"/>
      <c r="I257" s="1892"/>
      <c r="J257" s="1892"/>
      <c r="K257" s="1892"/>
      <c r="L257" s="1894"/>
      <c r="M257" s="1894"/>
      <c r="N257" s="1894"/>
      <c r="O257" s="1894"/>
      <c r="P257" s="1894"/>
      <c r="Q257" s="1894"/>
      <c r="R257" s="1894"/>
      <c r="S257" s="1894"/>
      <c r="T257" s="1894"/>
      <c r="U257" s="1703">
        <f>Interim!FE322</f>
        <v>199</v>
      </c>
      <c r="V257" s="1703">
        <f>Interim!FM322</f>
        <v>235</v>
      </c>
      <c r="W257" s="1703">
        <f>Interim!FU322</f>
        <v>227</v>
      </c>
      <c r="X257" s="1703">
        <v>268</v>
      </c>
      <c r="Y257" s="1703">
        <v>279</v>
      </c>
      <c r="Z257" s="1703">
        <f>Interim!GS322</f>
        <v>295</v>
      </c>
      <c r="AA257" s="1703"/>
      <c r="AB257" s="1703"/>
      <c r="AC257" s="1703"/>
      <c r="AD257" s="1703"/>
      <c r="AE257" s="1703"/>
      <c r="AF257" s="1704"/>
      <c r="AG257" s="1703"/>
      <c r="AH257" s="1703"/>
      <c r="AI257" s="1703"/>
      <c r="AJ257" s="1703"/>
      <c r="AK257" s="1703"/>
      <c r="AL257" s="1703"/>
      <c r="AN257" s="1686"/>
      <c r="AT257" s="1688"/>
      <c r="AU257" s="1688"/>
      <c r="AX257" s="1681"/>
      <c r="AY257" s="1678"/>
      <c r="AZ257" s="1906"/>
      <c r="BA257" s="1906"/>
      <c r="BB257" s="1906"/>
      <c r="BC257" s="1691"/>
    </row>
    <row r="258" hidden="1" customHeight="1" outlineLevel="1" spans="1:55">
      <c r="A258" s="1708" t="s">
        <v>61</v>
      </c>
      <c r="B258" s="1892"/>
      <c r="C258" s="1893"/>
      <c r="D258" s="1892"/>
      <c r="E258" s="1892"/>
      <c r="F258" s="1892"/>
      <c r="G258" s="1892"/>
      <c r="H258" s="1892"/>
      <c r="I258" s="1892"/>
      <c r="J258" s="1892"/>
      <c r="K258" s="1892"/>
      <c r="L258" s="1894"/>
      <c r="M258" s="1894"/>
      <c r="N258" s="1894"/>
      <c r="O258" s="1894"/>
      <c r="P258" s="1894"/>
      <c r="Q258" s="1894"/>
      <c r="R258" s="1894"/>
      <c r="S258" s="1894"/>
      <c r="T258" s="1894"/>
      <c r="U258" s="1709">
        <f>Interim!FE323</f>
        <v>0</v>
      </c>
      <c r="V258" s="1709">
        <f>Interim!FM323</f>
        <v>0.180904522613065</v>
      </c>
      <c r="W258" s="1709">
        <f>Interim!FU323</f>
        <v>-0.0340425531914894</v>
      </c>
      <c r="X258" s="1709"/>
      <c r="Y258" s="1709">
        <f>Y257/X257-1</f>
        <v>0.041044776119403</v>
      </c>
      <c r="Z258" s="1709">
        <f>Interim!GS323</f>
        <v>0.0573476702508962</v>
      </c>
      <c r="AA258" s="1709"/>
      <c r="AB258" s="1709"/>
      <c r="AC258" s="1709"/>
      <c r="AD258" s="1709"/>
      <c r="AE258" s="1709"/>
      <c r="AF258" s="1711"/>
      <c r="AG258" s="1709"/>
      <c r="AH258" s="1709"/>
      <c r="AI258" s="1709"/>
      <c r="AJ258" s="1709"/>
      <c r="AK258" s="1709"/>
      <c r="AL258" s="1709"/>
      <c r="AN258" s="1686"/>
      <c r="AQ258" s="1736"/>
      <c r="AR258" s="1736"/>
      <c r="AS258" s="1736"/>
      <c r="AT258" s="1736"/>
      <c r="AU258" s="1736"/>
      <c r="AX258" s="1681"/>
      <c r="AZ258" s="1909"/>
      <c r="BA258" s="1906"/>
      <c r="BB258" s="1906"/>
      <c r="BC258" s="1691"/>
    </row>
    <row r="259" hidden="1" customHeight="1" outlineLevel="1" spans="1:55">
      <c r="A259" s="1708" t="s">
        <v>132</v>
      </c>
      <c r="B259" s="1892"/>
      <c r="C259" s="1893"/>
      <c r="D259" s="1892"/>
      <c r="E259" s="1892"/>
      <c r="F259" s="1892"/>
      <c r="G259" s="1892"/>
      <c r="H259" s="1892"/>
      <c r="I259" s="1892"/>
      <c r="J259" s="1892"/>
      <c r="K259" s="1892"/>
      <c r="L259" s="1894"/>
      <c r="M259" s="1894"/>
      <c r="N259" s="1894"/>
      <c r="O259" s="1894"/>
      <c r="P259" s="1894"/>
      <c r="Q259" s="1894"/>
      <c r="R259" s="1894"/>
      <c r="S259" s="1894"/>
      <c r="T259" s="1894"/>
      <c r="U259" s="1709">
        <f>Interim!FE324</f>
        <v>0.123449131513648</v>
      </c>
      <c r="V259" s="1709">
        <f>Interim!FM324</f>
        <v>0.131800336511497</v>
      </c>
      <c r="W259" s="1709">
        <f>Interim!FU324</f>
        <v>0.131138070479492</v>
      </c>
      <c r="X259" s="1709">
        <v>0.14</v>
      </c>
      <c r="Y259" s="1709">
        <v>0.171</v>
      </c>
      <c r="Z259" s="1709">
        <f>Interim!GS324</f>
        <v>0.177710843373494</v>
      </c>
      <c r="AA259" s="1709"/>
      <c r="AB259" s="1709"/>
      <c r="AC259" s="1709"/>
      <c r="AD259" s="1709"/>
      <c r="AE259" s="1709"/>
      <c r="AF259" s="1711"/>
      <c r="AG259" s="1709"/>
      <c r="AH259" s="1709"/>
      <c r="AI259" s="1709"/>
      <c r="AJ259" s="1709"/>
      <c r="AK259" s="1709"/>
      <c r="AL259" s="1709"/>
      <c r="AN259" s="1686"/>
      <c r="AT259" s="1688"/>
      <c r="AU259" s="1688"/>
      <c r="AZ259" s="1909"/>
      <c r="BA259" s="1906"/>
      <c r="BB259" s="1906"/>
      <c r="BC259" s="1691"/>
    </row>
    <row r="260" hidden="1" customHeight="1" outlineLevel="1" spans="1:55">
      <c r="A260" s="1900" t="s">
        <v>133</v>
      </c>
      <c r="B260" s="1892"/>
      <c r="C260" s="1893"/>
      <c r="D260" s="1892"/>
      <c r="E260" s="1892"/>
      <c r="F260" s="1892"/>
      <c r="G260" s="1892"/>
      <c r="H260" s="1892"/>
      <c r="I260" s="1892"/>
      <c r="J260" s="1892"/>
      <c r="K260" s="1892"/>
      <c r="L260" s="1894"/>
      <c r="M260" s="1894"/>
      <c r="N260" s="1894"/>
      <c r="O260" s="1894"/>
      <c r="P260" s="1894"/>
      <c r="Q260" s="1894"/>
      <c r="R260" s="1894"/>
      <c r="S260" s="1894"/>
      <c r="T260" s="1894"/>
      <c r="U260" s="1901">
        <f>Interim!FE325</f>
        <v>0</v>
      </c>
      <c r="V260" s="1901">
        <f>Interim!FM325</f>
        <v>0</v>
      </c>
      <c r="W260" s="1901">
        <f>Interim!FU325</f>
        <v>0</v>
      </c>
      <c r="X260" s="1901"/>
      <c r="Y260" s="1901"/>
      <c r="Z260" s="1901"/>
      <c r="AA260" s="1901"/>
      <c r="AB260" s="1901"/>
      <c r="AC260" s="1901"/>
      <c r="AD260" s="1901"/>
      <c r="AE260" s="1901"/>
      <c r="AF260" s="1902"/>
      <c r="AG260" s="1901"/>
      <c r="AH260" s="1901"/>
      <c r="AI260" s="1901"/>
      <c r="AJ260" s="1901"/>
      <c r="AK260" s="1901"/>
      <c r="AL260" s="1901"/>
      <c r="AN260" s="1686"/>
      <c r="AO260" s="1772"/>
      <c r="AP260" s="1772"/>
      <c r="AQ260" s="1772"/>
      <c r="AR260" s="1772"/>
      <c r="AS260" s="1772"/>
      <c r="AT260" s="1772"/>
      <c r="AU260" s="1772"/>
      <c r="AV260" s="1716"/>
      <c r="AX260" s="1681"/>
      <c r="AZ260" s="1909"/>
      <c r="BA260" s="1906"/>
      <c r="BB260" s="1906"/>
      <c r="BC260" s="1691"/>
    </row>
    <row r="261" hidden="1" customHeight="1" outlineLevel="1" spans="1:55">
      <c r="A261" s="1708" t="s">
        <v>126</v>
      </c>
      <c r="B261" s="1892"/>
      <c r="C261" s="1893"/>
      <c r="D261" s="1892"/>
      <c r="E261" s="1892"/>
      <c r="F261" s="1892"/>
      <c r="G261" s="1892"/>
      <c r="H261" s="1892"/>
      <c r="I261" s="1892"/>
      <c r="J261" s="1892"/>
      <c r="K261" s="1892"/>
      <c r="L261" s="1894"/>
      <c r="M261" s="1894"/>
      <c r="N261" s="1894"/>
      <c r="O261" s="1894"/>
      <c r="P261" s="1894"/>
      <c r="Q261" s="1894"/>
      <c r="R261" s="1894"/>
      <c r="S261" s="1894"/>
      <c r="T261" s="1894"/>
      <c r="U261" s="1745">
        <f>Interim!FE326</f>
        <v>767</v>
      </c>
      <c r="V261" s="1745">
        <f>Interim!FM326</f>
        <v>1058</v>
      </c>
      <c r="W261" s="1745">
        <f>Interim!FU326</f>
        <v>1279</v>
      </c>
      <c r="X261" s="1745"/>
      <c r="Y261" s="1745">
        <f>Y174-Y262</f>
        <v>3130</v>
      </c>
      <c r="Z261" s="1745">
        <f>Interim!GS326</f>
        <v>3454.58</v>
      </c>
      <c r="AA261" s="1745"/>
      <c r="AB261" s="1745"/>
      <c r="AC261" s="1745"/>
      <c r="AD261" s="1745"/>
      <c r="AE261" s="1745"/>
      <c r="AF261" s="1790"/>
      <c r="AG261" s="1745"/>
      <c r="AH261" s="1745"/>
      <c r="AI261" s="1745"/>
      <c r="AJ261" s="1745"/>
      <c r="AK261" s="1745"/>
      <c r="AL261" s="1745"/>
      <c r="AN261" s="1686"/>
      <c r="AX261" s="1681"/>
      <c r="BA261" s="1909"/>
      <c r="BB261" s="1909"/>
      <c r="BC261" s="1691"/>
    </row>
    <row r="262" hidden="1" customHeight="1" outlineLevel="1" spans="1:55">
      <c r="A262" s="1802" t="s">
        <v>127</v>
      </c>
      <c r="B262" s="1892"/>
      <c r="C262" s="1893"/>
      <c r="D262" s="1892"/>
      <c r="E262" s="1892"/>
      <c r="F262" s="1892"/>
      <c r="G262" s="1892"/>
      <c r="H262" s="1892"/>
      <c r="I262" s="1892"/>
      <c r="J262" s="1892"/>
      <c r="K262" s="1892"/>
      <c r="L262" s="1894"/>
      <c r="M262" s="1894"/>
      <c r="N262" s="1894"/>
      <c r="O262" s="1894"/>
      <c r="P262" s="1894"/>
      <c r="Q262" s="1894"/>
      <c r="R262" s="1894"/>
      <c r="S262" s="1894"/>
      <c r="T262" s="1894"/>
      <c r="U262" s="1703">
        <f>Interim!FE327</f>
        <v>1019</v>
      </c>
      <c r="V262" s="1703">
        <f>Interim!FM327</f>
        <v>1411</v>
      </c>
      <c r="W262" s="1703">
        <f>Interim!FU327</f>
        <v>1731</v>
      </c>
      <c r="X262" s="1703">
        <v>3565</v>
      </c>
      <c r="Y262" s="1703">
        <v>4011</v>
      </c>
      <c r="Z262" s="1703">
        <f>Interim!GS327</f>
        <v>4576</v>
      </c>
      <c r="AA262" s="1703"/>
      <c r="AB262" s="1703"/>
      <c r="AC262" s="1703"/>
      <c r="AD262" s="1703"/>
      <c r="AE262" s="1703"/>
      <c r="AF262" s="1704"/>
      <c r="AG262" s="1703"/>
      <c r="AH262" s="1703"/>
      <c r="AI262" s="1703"/>
      <c r="AJ262" s="1703"/>
      <c r="AK262" s="1703"/>
      <c r="AL262" s="1703"/>
      <c r="AN262" s="1686"/>
      <c r="AZ262" s="1899"/>
      <c r="BA262" s="1899"/>
      <c r="BB262" s="1899"/>
      <c r="BC262" s="1691"/>
    </row>
    <row r="263" hidden="1" customHeight="1" outlineLevel="1" spans="1:55">
      <c r="A263" s="1708" t="s">
        <v>61</v>
      </c>
      <c r="B263" s="1892"/>
      <c r="C263" s="1893"/>
      <c r="D263" s="1892"/>
      <c r="E263" s="1892"/>
      <c r="F263" s="1892"/>
      <c r="G263" s="1892"/>
      <c r="H263" s="1892"/>
      <c r="I263" s="1892"/>
      <c r="J263" s="1892"/>
      <c r="K263" s="1892"/>
      <c r="L263" s="1894"/>
      <c r="M263" s="1894"/>
      <c r="N263" s="1894"/>
      <c r="O263" s="1894"/>
      <c r="P263" s="1894"/>
      <c r="Q263" s="1894"/>
      <c r="R263" s="1894"/>
      <c r="S263" s="1894"/>
      <c r="T263" s="1894"/>
      <c r="U263" s="1709">
        <f>Interim!FE328</f>
        <v>0</v>
      </c>
      <c r="V263" s="1709">
        <f>Interim!FM328</f>
        <v>0.384690873405299</v>
      </c>
      <c r="W263" s="1709">
        <f>Interim!FU328</f>
        <v>0.226789510985117</v>
      </c>
      <c r="X263" s="1709"/>
      <c r="Y263" s="1709">
        <f>Y262/X262-1</f>
        <v>0.125105189340813</v>
      </c>
      <c r="Z263" s="1709">
        <f>Interim!GS328</f>
        <v>0.140862627773622</v>
      </c>
      <c r="AA263" s="1709"/>
      <c r="AB263" s="1709"/>
      <c r="AC263" s="1709"/>
      <c r="AD263" s="1709"/>
      <c r="AE263" s="1709"/>
      <c r="AF263" s="1711"/>
      <c r="AG263" s="1709"/>
      <c r="AH263" s="1709"/>
      <c r="AI263" s="1709"/>
      <c r="AJ263" s="1709"/>
      <c r="AK263" s="1709"/>
      <c r="AL263" s="1709"/>
      <c r="AN263" s="1686"/>
      <c r="AZ263" s="1899"/>
      <c r="BA263" s="1899"/>
      <c r="BB263" s="1899"/>
      <c r="BC263" s="1691"/>
    </row>
    <row r="264" hidden="1" customHeight="1" outlineLevel="1" spans="1:55">
      <c r="A264" s="1708" t="s">
        <v>128</v>
      </c>
      <c r="B264" s="1892"/>
      <c r="C264" s="1893"/>
      <c r="D264" s="1892"/>
      <c r="E264" s="1892"/>
      <c r="F264" s="1892"/>
      <c r="G264" s="1892"/>
      <c r="H264" s="1892"/>
      <c r="I264" s="1892"/>
      <c r="J264" s="1892"/>
      <c r="K264" s="1892"/>
      <c r="L264" s="1894"/>
      <c r="M264" s="1894"/>
      <c r="N264" s="1894"/>
      <c r="O264" s="1894"/>
      <c r="P264" s="1894"/>
      <c r="Q264" s="1894"/>
      <c r="R264" s="1894"/>
      <c r="S264" s="1894"/>
      <c r="T264" s="1894"/>
      <c r="U264" s="1709">
        <f>Interim!FE329</f>
        <v>0.570548712206047</v>
      </c>
      <c r="V264" s="1709">
        <f>Interim!FM329</f>
        <v>0.571486431753746</v>
      </c>
      <c r="W264" s="1709">
        <f>Interim!FU329</f>
        <v>0.575083056478405</v>
      </c>
      <c r="X264" s="1709">
        <v>0.557</v>
      </c>
      <c r="Y264" s="1709">
        <v>0.562</v>
      </c>
      <c r="Z264" s="1709">
        <f>Interim!GS329</f>
        <v>0.56982185595561</v>
      </c>
      <c r="AA264" s="1709"/>
      <c r="AB264" s="1709"/>
      <c r="AC264" s="1709"/>
      <c r="AD264" s="1709"/>
      <c r="AE264" s="1709"/>
      <c r="AF264" s="1711"/>
      <c r="AG264" s="1709"/>
      <c r="AH264" s="1709"/>
      <c r="AI264" s="1709"/>
      <c r="AJ264" s="1709"/>
      <c r="AK264" s="1709"/>
      <c r="AL264" s="1709"/>
      <c r="AM264" s="1789"/>
      <c r="AN264" s="1686"/>
      <c r="AZ264" s="1899"/>
      <c r="BA264" s="1899"/>
      <c r="BB264" s="1899"/>
      <c r="BC264" s="1691"/>
    </row>
    <row r="265" hidden="1" customHeight="1" outlineLevel="1" spans="1:55">
      <c r="A265" s="1708" t="s">
        <v>129</v>
      </c>
      <c r="B265" s="1892"/>
      <c r="C265" s="1893"/>
      <c r="D265" s="1892"/>
      <c r="E265" s="1892"/>
      <c r="F265" s="1892"/>
      <c r="G265" s="1892"/>
      <c r="H265" s="1892"/>
      <c r="I265" s="1892"/>
      <c r="J265" s="1892"/>
      <c r="K265" s="1892"/>
      <c r="L265" s="1894"/>
      <c r="M265" s="1894"/>
      <c r="N265" s="1894"/>
      <c r="O265" s="1894"/>
      <c r="P265" s="1894"/>
      <c r="Q265" s="1894"/>
      <c r="R265" s="1894"/>
      <c r="S265" s="1894"/>
      <c r="T265" s="1894"/>
      <c r="U265" s="1745">
        <f>Interim!FE330</f>
        <v>402</v>
      </c>
      <c r="V265" s="1745">
        <f>Interim!FM330</f>
        <v>545</v>
      </c>
      <c r="W265" s="1745">
        <f>Interim!FU330</f>
        <v>671</v>
      </c>
      <c r="X265" s="1745">
        <v>1466</v>
      </c>
      <c r="Y265" s="1745">
        <v>1688</v>
      </c>
      <c r="Z265" s="1745">
        <f>Interim!GS330</f>
        <v>1873</v>
      </c>
      <c r="AA265" s="1745"/>
      <c r="AB265" s="1745"/>
      <c r="AC265" s="1745"/>
      <c r="AD265" s="1745"/>
      <c r="AE265" s="1745"/>
      <c r="AF265" s="1790"/>
      <c r="AG265" s="1745"/>
      <c r="AH265" s="1745"/>
      <c r="AI265" s="1745"/>
      <c r="AJ265" s="1745"/>
      <c r="AK265" s="1745"/>
      <c r="AL265" s="1745"/>
      <c r="AN265" s="1686"/>
      <c r="AZ265" s="1899"/>
      <c r="BA265" s="1899"/>
      <c r="BB265" s="1899"/>
      <c r="BC265" s="1691"/>
    </row>
    <row r="266" hidden="1" customHeight="1" outlineLevel="1" spans="1:55">
      <c r="A266" s="1708" t="s">
        <v>61</v>
      </c>
      <c r="B266" s="1892"/>
      <c r="C266" s="1893"/>
      <c r="D266" s="1892"/>
      <c r="E266" s="1892"/>
      <c r="F266" s="1892"/>
      <c r="G266" s="1892"/>
      <c r="H266" s="1892"/>
      <c r="I266" s="1892"/>
      <c r="J266" s="1892"/>
      <c r="K266" s="1892"/>
      <c r="L266" s="1894"/>
      <c r="M266" s="1894"/>
      <c r="N266" s="1894"/>
      <c r="O266" s="1894"/>
      <c r="P266" s="1894"/>
      <c r="Q266" s="1894"/>
      <c r="R266" s="1894"/>
      <c r="S266" s="1894"/>
      <c r="T266" s="1894"/>
      <c r="U266" s="1709">
        <f>Interim!FE331</f>
        <v>0</v>
      </c>
      <c r="V266" s="1709">
        <f>Interim!FM331</f>
        <v>0.355721393034826</v>
      </c>
      <c r="W266" s="1709">
        <f>Interim!FU331</f>
        <v>0.231192660550459</v>
      </c>
      <c r="X266" s="1709"/>
      <c r="Y266" s="1709">
        <f>Y265/X265-1</f>
        <v>0.151432469304229</v>
      </c>
      <c r="Z266" s="1709">
        <f>Interim!GS331</f>
        <v>0.120215311004785</v>
      </c>
      <c r="AA266" s="1709"/>
      <c r="AB266" s="1709"/>
      <c r="AC266" s="1709"/>
      <c r="AD266" s="1709"/>
      <c r="AE266" s="1709"/>
      <c r="AF266" s="1711"/>
      <c r="AG266" s="1709"/>
      <c r="AH266" s="1709"/>
      <c r="AI266" s="1709"/>
      <c r="AJ266" s="1709"/>
      <c r="AK266" s="1709"/>
      <c r="AL266" s="1709"/>
      <c r="AN266" s="1686"/>
      <c r="AZ266" s="1899"/>
      <c r="BA266" s="1899"/>
      <c r="BB266" s="1899"/>
      <c r="BC266" s="1691"/>
    </row>
    <row r="267" hidden="1" customHeight="1" outlineLevel="1" spans="1:55">
      <c r="A267" s="1708" t="s">
        <v>130</v>
      </c>
      <c r="B267" s="1892"/>
      <c r="C267" s="1893"/>
      <c r="D267" s="1892"/>
      <c r="E267" s="1892"/>
      <c r="F267" s="1892"/>
      <c r="G267" s="1892"/>
      <c r="H267" s="1892"/>
      <c r="I267" s="1892"/>
      <c r="J267" s="1892"/>
      <c r="K267" s="1892"/>
      <c r="L267" s="1894"/>
      <c r="M267" s="1894"/>
      <c r="N267" s="1894"/>
      <c r="O267" s="1894"/>
      <c r="P267" s="1894"/>
      <c r="Q267" s="1894"/>
      <c r="R267" s="1894"/>
      <c r="S267" s="1894"/>
      <c r="T267" s="1894"/>
      <c r="U267" s="1709">
        <f>Interim!FE332</f>
        <v>0.22508398656215</v>
      </c>
      <c r="V267" s="1709">
        <f>Interim!FM332</f>
        <v>0.22073714054273</v>
      </c>
      <c r="W267" s="1709">
        <f>Interim!FU332</f>
        <v>0.222923588039867</v>
      </c>
      <c r="X267" s="1709">
        <v>0.229</v>
      </c>
      <c r="Y267" s="1709">
        <v>0.236</v>
      </c>
      <c r="Z267" s="1709">
        <f>Interim!GS332</f>
        <v>0.233233465079733</v>
      </c>
      <c r="AA267" s="1709"/>
      <c r="AB267" s="1709"/>
      <c r="AC267" s="1709"/>
      <c r="AD267" s="1709"/>
      <c r="AE267" s="1709"/>
      <c r="AF267" s="1711"/>
      <c r="AG267" s="1709"/>
      <c r="AH267" s="1709"/>
      <c r="AI267" s="1709"/>
      <c r="AJ267" s="1709"/>
      <c r="AK267" s="1709"/>
      <c r="AL267" s="1709"/>
      <c r="AN267" s="1686"/>
      <c r="AZ267" s="1899"/>
      <c r="BA267" s="1899"/>
      <c r="BB267" s="1899"/>
      <c r="BC267" s="1691"/>
    </row>
    <row r="268" hidden="1" customHeight="1" outlineLevel="1" spans="1:55">
      <c r="A268" s="1802" t="s">
        <v>131</v>
      </c>
      <c r="B268" s="1892"/>
      <c r="C268" s="1893"/>
      <c r="D268" s="1892"/>
      <c r="E268" s="1892"/>
      <c r="F268" s="1892"/>
      <c r="G268" s="1892"/>
      <c r="H268" s="1892"/>
      <c r="I268" s="1892"/>
      <c r="J268" s="1892"/>
      <c r="K268" s="1892"/>
      <c r="L268" s="1894"/>
      <c r="M268" s="1894"/>
      <c r="N268" s="1894"/>
      <c r="O268" s="1894"/>
      <c r="P268" s="1894"/>
      <c r="Q268" s="1894"/>
      <c r="R268" s="1894"/>
      <c r="S268" s="1894"/>
      <c r="T268" s="1894"/>
      <c r="U268" s="1703">
        <f>Interim!FE333</f>
        <v>617</v>
      </c>
      <c r="V268" s="1703">
        <f>Interim!FM333</f>
        <v>866</v>
      </c>
      <c r="W268" s="1703">
        <f>Interim!FU333</f>
        <v>1060</v>
      </c>
      <c r="X268" s="1703">
        <v>2115</v>
      </c>
      <c r="Y268" s="1703">
        <v>2339</v>
      </c>
      <c r="Z268" s="1703">
        <f>Interim!GS333</f>
        <v>2703</v>
      </c>
      <c r="AA268" s="1703"/>
      <c r="AB268" s="1703"/>
      <c r="AC268" s="1703"/>
      <c r="AD268" s="1703"/>
      <c r="AE268" s="1703"/>
      <c r="AF268" s="1704"/>
      <c r="AG268" s="1703"/>
      <c r="AH268" s="1703"/>
      <c r="AI268" s="1703"/>
      <c r="AJ268" s="1703"/>
      <c r="AK268" s="1703"/>
      <c r="AL268" s="1703"/>
      <c r="AN268" s="1686"/>
      <c r="AZ268" s="1899"/>
      <c r="BA268" s="1899"/>
      <c r="BB268" s="1899"/>
      <c r="BC268" s="1691"/>
    </row>
    <row r="269" hidden="1" customHeight="1" outlineLevel="1" spans="1:55">
      <c r="A269" s="1708" t="s">
        <v>61</v>
      </c>
      <c r="B269" s="1892"/>
      <c r="C269" s="1893"/>
      <c r="D269" s="1892"/>
      <c r="E269" s="1892"/>
      <c r="F269" s="1892"/>
      <c r="G269" s="1892"/>
      <c r="H269" s="1892"/>
      <c r="I269" s="1892"/>
      <c r="J269" s="1892"/>
      <c r="K269" s="1892"/>
      <c r="L269" s="1894"/>
      <c r="M269" s="1894"/>
      <c r="N269" s="1894"/>
      <c r="O269" s="1894"/>
      <c r="P269" s="1894"/>
      <c r="Q269" s="1894"/>
      <c r="R269" s="1894"/>
      <c r="S269" s="1894"/>
      <c r="T269" s="1894"/>
      <c r="U269" s="1709">
        <f>Interim!FE334</f>
        <v>0</v>
      </c>
      <c r="V269" s="1709">
        <f>Interim!FM334</f>
        <v>0.403565640194489</v>
      </c>
      <c r="W269" s="1709">
        <f>Interim!FU334</f>
        <v>0.224018475750577</v>
      </c>
      <c r="X269" s="1709"/>
      <c r="Y269" s="1709">
        <f>Y268/X268-1</f>
        <v>0.105910165484634</v>
      </c>
      <c r="Z269" s="1709">
        <f>Interim!GS334</f>
        <v>0.155622060709705</v>
      </c>
      <c r="AA269" s="1709"/>
      <c r="AB269" s="1709"/>
      <c r="AC269" s="1709"/>
      <c r="AD269" s="1709"/>
      <c r="AE269" s="1709"/>
      <c r="AF269" s="1711"/>
      <c r="AG269" s="1709"/>
      <c r="AH269" s="1709"/>
      <c r="AI269" s="1709"/>
      <c r="AJ269" s="1709"/>
      <c r="AK269" s="1709"/>
      <c r="AL269" s="1709"/>
      <c r="AN269" s="1686"/>
      <c r="AZ269" s="1899"/>
      <c r="BA269" s="1899"/>
      <c r="BB269" s="1899"/>
      <c r="BC269" s="1691"/>
    </row>
    <row r="270" hidden="1" customHeight="1" outlineLevel="1" spans="1:55">
      <c r="A270" s="1708" t="s">
        <v>132</v>
      </c>
      <c r="B270" s="1892"/>
      <c r="C270" s="1893"/>
      <c r="D270" s="1892"/>
      <c r="E270" s="1892"/>
      <c r="F270" s="1892"/>
      <c r="G270" s="1892"/>
      <c r="H270" s="1892"/>
      <c r="I270" s="1892"/>
      <c r="J270" s="1892"/>
      <c r="K270" s="1892"/>
      <c r="L270" s="1894"/>
      <c r="M270" s="1894"/>
      <c r="N270" s="1894"/>
      <c r="O270" s="1894"/>
      <c r="P270" s="1894"/>
      <c r="Q270" s="1894"/>
      <c r="R270" s="1894"/>
      <c r="S270" s="1894"/>
      <c r="T270" s="1894"/>
      <c r="U270" s="1709">
        <f>Interim!FE335</f>
        <v>0.345464725643897</v>
      </c>
      <c r="V270" s="1709">
        <f>Interim!FM335</f>
        <v>0.350749291211017</v>
      </c>
      <c r="W270" s="1709">
        <f>Interim!FU335</f>
        <v>0.352159468438538</v>
      </c>
      <c r="X270" s="1709">
        <v>0.33</v>
      </c>
      <c r="Y270" s="1709">
        <v>0.327</v>
      </c>
      <c r="Z270" s="1709">
        <f>Interim!GS335</f>
        <v>0.336588390875877</v>
      </c>
      <c r="AA270" s="1709"/>
      <c r="AB270" s="1709"/>
      <c r="AC270" s="1709"/>
      <c r="AD270" s="1709"/>
      <c r="AE270" s="1709"/>
      <c r="AF270" s="1711"/>
      <c r="AG270" s="1709"/>
      <c r="AH270" s="1709"/>
      <c r="AI270" s="1709"/>
      <c r="AJ270" s="1709"/>
      <c r="AK270" s="1709"/>
      <c r="AL270" s="1709"/>
      <c r="AN270" s="1686"/>
      <c r="AZ270" s="1899"/>
      <c r="BA270" s="1899"/>
      <c r="BB270" s="1899"/>
      <c r="BC270" s="1691"/>
    </row>
    <row r="271" hidden="1" customHeight="1" outlineLevel="1" spans="1:55">
      <c r="A271" s="1900" t="s">
        <v>104</v>
      </c>
      <c r="B271" s="1892"/>
      <c r="C271" s="1893"/>
      <c r="D271" s="1892"/>
      <c r="E271" s="1892"/>
      <c r="F271" s="1892"/>
      <c r="G271" s="1892"/>
      <c r="H271" s="1892"/>
      <c r="I271" s="1892"/>
      <c r="J271" s="1892"/>
      <c r="K271" s="1892"/>
      <c r="L271" s="1894"/>
      <c r="M271" s="1894"/>
      <c r="N271" s="1894"/>
      <c r="O271" s="1894"/>
      <c r="P271" s="1894"/>
      <c r="Q271" s="1894"/>
      <c r="R271" s="1894"/>
      <c r="S271" s="1894"/>
      <c r="T271" s="1894"/>
      <c r="U271" s="1901">
        <f>Interim!FE336</f>
        <v>0</v>
      </c>
      <c r="V271" s="1901">
        <f>Interim!FM336</f>
        <v>0</v>
      </c>
      <c r="W271" s="1901">
        <f>Interim!FU336</f>
        <v>0</v>
      </c>
      <c r="X271" s="1901"/>
      <c r="Y271" s="1901"/>
      <c r="Z271" s="1901"/>
      <c r="AA271" s="1901"/>
      <c r="AB271" s="1901"/>
      <c r="AC271" s="1901"/>
      <c r="AD271" s="1901"/>
      <c r="AE271" s="1901"/>
      <c r="AF271" s="1902"/>
      <c r="AG271" s="1901"/>
      <c r="AH271" s="1901"/>
      <c r="AI271" s="1901"/>
      <c r="AJ271" s="1901"/>
      <c r="AK271" s="1901"/>
      <c r="AL271" s="1901"/>
      <c r="AN271" s="1686"/>
      <c r="AZ271" s="1899"/>
      <c r="BA271" s="1899"/>
      <c r="BB271" s="1899"/>
      <c r="BC271" s="1691"/>
    </row>
    <row r="272" hidden="1" customHeight="1" outlineLevel="1" spans="1:55">
      <c r="A272" s="1708" t="s">
        <v>126</v>
      </c>
      <c r="B272" s="1892"/>
      <c r="C272" s="1893"/>
      <c r="D272" s="1892"/>
      <c r="E272" s="1892"/>
      <c r="F272" s="1892"/>
      <c r="G272" s="1892"/>
      <c r="H272" s="1892"/>
      <c r="I272" s="1892"/>
      <c r="J272" s="1892"/>
      <c r="K272" s="1892"/>
      <c r="L272" s="1894"/>
      <c r="M272" s="1894"/>
      <c r="N272" s="1894"/>
      <c r="O272" s="1894"/>
      <c r="P272" s="1894"/>
      <c r="Q272" s="1894"/>
      <c r="R272" s="1894"/>
      <c r="S272" s="1894"/>
      <c r="T272" s="1894"/>
      <c r="U272" s="1745">
        <f>Interim!FE337</f>
        <v>421</v>
      </c>
      <c r="V272" s="1745">
        <f>Interim!FM337</f>
        <v>411</v>
      </c>
      <c r="W272" s="1745">
        <f>Interim!FU337</f>
        <v>510</v>
      </c>
      <c r="X272" s="1745"/>
      <c r="Y272" s="1745"/>
      <c r="Z272" s="1745"/>
      <c r="AA272" s="1745"/>
      <c r="AB272" s="1745"/>
      <c r="AC272" s="1745"/>
      <c r="AD272" s="1745"/>
      <c r="AE272" s="1745"/>
      <c r="AF272" s="1790"/>
      <c r="AG272" s="1745"/>
      <c r="AH272" s="1745"/>
      <c r="AI272" s="1745"/>
      <c r="AJ272" s="1745"/>
      <c r="AK272" s="1745"/>
      <c r="AL272" s="1745"/>
      <c r="AN272" s="1686"/>
      <c r="AZ272" s="1899"/>
      <c r="BA272" s="1899"/>
      <c r="BB272" s="1899"/>
      <c r="BC272" s="1691"/>
    </row>
    <row r="273" hidden="1" customHeight="1" outlineLevel="1" spans="1:55">
      <c r="A273" s="1802" t="s">
        <v>127</v>
      </c>
      <c r="B273" s="1892"/>
      <c r="C273" s="1893"/>
      <c r="D273" s="1892"/>
      <c r="E273" s="1892"/>
      <c r="F273" s="1892"/>
      <c r="G273" s="1892"/>
      <c r="H273" s="1892"/>
      <c r="I273" s="1892"/>
      <c r="J273" s="1892"/>
      <c r="K273" s="1892"/>
      <c r="L273" s="1894"/>
      <c r="M273" s="1894"/>
      <c r="N273" s="1894"/>
      <c r="O273" s="1894"/>
      <c r="P273" s="1894"/>
      <c r="Q273" s="1894"/>
      <c r="R273" s="1894"/>
      <c r="S273" s="1894"/>
      <c r="T273" s="1894"/>
      <c r="U273" s="1703">
        <f>Interim!FE338</f>
        <v>323</v>
      </c>
      <c r="V273" s="1703">
        <f>Interim!FM338</f>
        <v>365</v>
      </c>
      <c r="W273" s="1703">
        <f>Interim!FU338</f>
        <v>497</v>
      </c>
      <c r="X273" s="1703"/>
      <c r="Y273" s="1703"/>
      <c r="Z273" s="1703"/>
      <c r="AA273" s="1703"/>
      <c r="AB273" s="1703"/>
      <c r="AC273" s="1703"/>
      <c r="AD273" s="1703"/>
      <c r="AE273" s="1703"/>
      <c r="AF273" s="1704"/>
      <c r="AG273" s="1703"/>
      <c r="AH273" s="1703"/>
      <c r="AI273" s="1703"/>
      <c r="AJ273" s="1703"/>
      <c r="AK273" s="1703"/>
      <c r="AL273" s="1703"/>
      <c r="AN273" s="1686"/>
      <c r="AZ273" s="1899"/>
      <c r="BA273" s="1899"/>
      <c r="BB273" s="1899"/>
      <c r="BC273" s="1691"/>
    </row>
    <row r="274" hidden="1" customHeight="1" outlineLevel="1" spans="1:55">
      <c r="A274" s="1708" t="s">
        <v>61</v>
      </c>
      <c r="B274" s="1892"/>
      <c r="C274" s="1893"/>
      <c r="D274" s="1892"/>
      <c r="E274" s="1892"/>
      <c r="F274" s="1892"/>
      <c r="G274" s="1892"/>
      <c r="H274" s="1892"/>
      <c r="I274" s="1892"/>
      <c r="J274" s="1892"/>
      <c r="K274" s="1892"/>
      <c r="L274" s="1894"/>
      <c r="M274" s="1894"/>
      <c r="N274" s="1894"/>
      <c r="O274" s="1894"/>
      <c r="P274" s="1894"/>
      <c r="Q274" s="1894"/>
      <c r="R274" s="1894"/>
      <c r="S274" s="1894"/>
      <c r="T274" s="1894"/>
      <c r="U274" s="1709">
        <f>Interim!FE339</f>
        <v>0</v>
      </c>
      <c r="V274" s="1709">
        <f>Interim!FM339</f>
        <v>0.130030959752322</v>
      </c>
      <c r="W274" s="1709">
        <f>Interim!FU339</f>
        <v>0.361643835616438</v>
      </c>
      <c r="X274" s="1709"/>
      <c r="Y274" s="1709"/>
      <c r="Z274" s="1709"/>
      <c r="AA274" s="1709"/>
      <c r="AB274" s="1709"/>
      <c r="AC274" s="1709"/>
      <c r="AD274" s="1709"/>
      <c r="AE274" s="1709"/>
      <c r="AF274" s="1711"/>
      <c r="AG274" s="1709"/>
      <c r="AH274" s="1709"/>
      <c r="AI274" s="1709"/>
      <c r="AJ274" s="1709"/>
      <c r="AK274" s="1709"/>
      <c r="AL274" s="1709"/>
      <c r="AN274" s="1686"/>
      <c r="AZ274" s="1899"/>
      <c r="BA274" s="1899"/>
      <c r="BB274" s="1899"/>
      <c r="BC274" s="1691"/>
    </row>
    <row r="275" hidden="1" customHeight="1" outlineLevel="1" spans="1:55">
      <c r="A275" s="1708" t="s">
        <v>128</v>
      </c>
      <c r="B275" s="1892"/>
      <c r="C275" s="1893"/>
      <c r="D275" s="1892"/>
      <c r="E275" s="1892"/>
      <c r="F275" s="1892"/>
      <c r="G275" s="1892"/>
      <c r="H275" s="1892"/>
      <c r="I275" s="1892"/>
      <c r="J275" s="1892"/>
      <c r="K275" s="1892"/>
      <c r="L275" s="1894"/>
      <c r="M275" s="1894"/>
      <c r="N275" s="1894"/>
      <c r="O275" s="1894"/>
      <c r="P275" s="1894"/>
      <c r="Q275" s="1894"/>
      <c r="R275" s="1894"/>
      <c r="S275" s="1894"/>
      <c r="T275" s="1894"/>
      <c r="U275" s="1709">
        <f>Interim!FE340</f>
        <v>0.434139784946237</v>
      </c>
      <c r="V275" s="1709">
        <f>Interim!FM340</f>
        <v>0.470360824742268</v>
      </c>
      <c r="W275" s="1709">
        <f>Interim!FU340</f>
        <v>0.493545183714002</v>
      </c>
      <c r="X275" s="1709"/>
      <c r="Y275" s="1709"/>
      <c r="Z275" s="1709"/>
      <c r="AA275" s="1709"/>
      <c r="AB275" s="1709"/>
      <c r="AC275" s="1709"/>
      <c r="AD275" s="1709"/>
      <c r="AE275" s="1709"/>
      <c r="AF275" s="1711"/>
      <c r="AG275" s="1709"/>
      <c r="AH275" s="1709"/>
      <c r="AI275" s="1709"/>
      <c r="AJ275" s="1709"/>
      <c r="AK275" s="1709"/>
      <c r="AL275" s="1709"/>
      <c r="AN275" s="1686"/>
      <c r="AZ275" s="1899"/>
      <c r="BA275" s="1899"/>
      <c r="BB275" s="1899"/>
      <c r="BC275" s="1691"/>
    </row>
    <row r="276" hidden="1" customHeight="1" outlineLevel="1" spans="1:55">
      <c r="A276" s="1708" t="s">
        <v>129</v>
      </c>
      <c r="B276" s="1892"/>
      <c r="C276" s="1893"/>
      <c r="D276" s="1892"/>
      <c r="E276" s="1892"/>
      <c r="F276" s="1892"/>
      <c r="G276" s="1892"/>
      <c r="H276" s="1892"/>
      <c r="I276" s="1892"/>
      <c r="J276" s="1892"/>
      <c r="K276" s="1892"/>
      <c r="L276" s="1894"/>
      <c r="M276" s="1894"/>
      <c r="N276" s="1894"/>
      <c r="O276" s="1894"/>
      <c r="P276" s="1894"/>
      <c r="Q276" s="1894"/>
      <c r="R276" s="1894"/>
      <c r="S276" s="1894"/>
      <c r="T276" s="1894"/>
      <c r="U276" s="1745">
        <f>Interim!FE341</f>
        <v>202</v>
      </c>
      <c r="V276" s="1745">
        <f>Interim!FM341</f>
        <v>218</v>
      </c>
      <c r="W276" s="1745">
        <f>Interim!FU341</f>
        <v>290</v>
      </c>
      <c r="X276" s="1745"/>
      <c r="Y276" s="1745"/>
      <c r="Z276" s="1745"/>
      <c r="AA276" s="1745"/>
      <c r="AB276" s="1745"/>
      <c r="AC276" s="1745"/>
      <c r="AD276" s="1745"/>
      <c r="AE276" s="1745"/>
      <c r="AF276" s="1790"/>
      <c r="AG276" s="1745"/>
      <c r="AH276" s="1745"/>
      <c r="AI276" s="1745"/>
      <c r="AJ276" s="1745"/>
      <c r="AK276" s="1745"/>
      <c r="AL276" s="1745"/>
      <c r="AN276" s="1686"/>
      <c r="AZ276" s="1899"/>
      <c r="BA276" s="1899"/>
      <c r="BB276" s="1899"/>
      <c r="BC276" s="1691"/>
    </row>
    <row r="277" hidden="1" customHeight="1" outlineLevel="1" spans="1:55">
      <c r="A277" s="1708" t="s">
        <v>61</v>
      </c>
      <c r="B277" s="1892"/>
      <c r="C277" s="1893"/>
      <c r="D277" s="1892"/>
      <c r="E277" s="1892"/>
      <c r="F277" s="1892"/>
      <c r="G277" s="1892"/>
      <c r="H277" s="1892"/>
      <c r="I277" s="1892"/>
      <c r="J277" s="1892"/>
      <c r="K277" s="1892"/>
      <c r="L277" s="1894"/>
      <c r="M277" s="1894"/>
      <c r="N277" s="1894"/>
      <c r="O277" s="1894"/>
      <c r="P277" s="1894"/>
      <c r="Q277" s="1894"/>
      <c r="R277" s="1894"/>
      <c r="S277" s="1894"/>
      <c r="T277" s="1894"/>
      <c r="U277" s="1709">
        <f>Interim!FE342</f>
        <v>0</v>
      </c>
      <c r="V277" s="1709">
        <f>Interim!FM342</f>
        <v>0.0792079207920793</v>
      </c>
      <c r="W277" s="1709">
        <f>Interim!FU342</f>
        <v>0.330275229357798</v>
      </c>
      <c r="X277" s="1709"/>
      <c r="Y277" s="1709"/>
      <c r="Z277" s="1709"/>
      <c r="AA277" s="1709"/>
      <c r="AB277" s="1709"/>
      <c r="AC277" s="1709"/>
      <c r="AD277" s="1709"/>
      <c r="AE277" s="1709"/>
      <c r="AF277" s="1711"/>
      <c r="AG277" s="1709"/>
      <c r="AH277" s="1709"/>
      <c r="AI277" s="1709"/>
      <c r="AJ277" s="1709"/>
      <c r="AK277" s="1709"/>
      <c r="AL277" s="1709"/>
      <c r="AN277" s="1686"/>
      <c r="AZ277" s="1899"/>
      <c r="BA277" s="1899"/>
      <c r="BB277" s="1899"/>
      <c r="BC277" s="1691"/>
    </row>
    <row r="278" hidden="1" customHeight="1" outlineLevel="1" spans="1:55">
      <c r="A278" s="1708" t="s">
        <v>130</v>
      </c>
      <c r="B278" s="1892"/>
      <c r="C278" s="1893"/>
      <c r="D278" s="1892"/>
      <c r="E278" s="1892"/>
      <c r="F278" s="1892"/>
      <c r="G278" s="1892"/>
      <c r="H278" s="1892"/>
      <c r="I278" s="1892"/>
      <c r="J278" s="1892"/>
      <c r="K278" s="1892"/>
      <c r="L278" s="1894"/>
      <c r="M278" s="1894"/>
      <c r="N278" s="1894"/>
      <c r="O278" s="1894"/>
      <c r="P278" s="1894"/>
      <c r="Q278" s="1894"/>
      <c r="R278" s="1894"/>
      <c r="S278" s="1894"/>
      <c r="T278" s="1894"/>
      <c r="U278" s="1709">
        <f>Interim!FE343</f>
        <v>0.271505376344086</v>
      </c>
      <c r="V278" s="1709">
        <f>Interim!FM343</f>
        <v>0.280927835051546</v>
      </c>
      <c r="W278" s="1709">
        <f>Interim!FU343</f>
        <v>0.28798411122145</v>
      </c>
      <c r="X278" s="1709"/>
      <c r="Y278" s="1709"/>
      <c r="Z278" s="1709"/>
      <c r="AA278" s="1709"/>
      <c r="AB278" s="1709"/>
      <c r="AC278" s="1709"/>
      <c r="AD278" s="1709"/>
      <c r="AE278" s="1709"/>
      <c r="AF278" s="1711"/>
      <c r="AG278" s="1709"/>
      <c r="AH278" s="1709"/>
      <c r="AI278" s="1709"/>
      <c r="AJ278" s="1709"/>
      <c r="AK278" s="1709"/>
      <c r="AL278" s="1709"/>
      <c r="AN278" s="1686"/>
      <c r="AZ278" s="1899"/>
      <c r="BA278" s="1899"/>
      <c r="BB278" s="1899"/>
      <c r="BC278" s="1691"/>
    </row>
    <row r="279" hidden="1" customHeight="1" outlineLevel="1" spans="1:55">
      <c r="A279" s="1802" t="s">
        <v>131</v>
      </c>
      <c r="B279" s="1892"/>
      <c r="C279" s="1893"/>
      <c r="D279" s="1892"/>
      <c r="E279" s="1892"/>
      <c r="F279" s="1892"/>
      <c r="G279" s="1892"/>
      <c r="H279" s="1892"/>
      <c r="I279" s="1892"/>
      <c r="J279" s="1892"/>
      <c r="K279" s="1892"/>
      <c r="L279" s="1894"/>
      <c r="M279" s="1894"/>
      <c r="N279" s="1894"/>
      <c r="O279" s="1894"/>
      <c r="P279" s="1894"/>
      <c r="Q279" s="1894"/>
      <c r="R279" s="1894"/>
      <c r="S279" s="1894"/>
      <c r="T279" s="1894"/>
      <c r="U279" s="1703">
        <f>Interim!FE344</f>
        <v>121</v>
      </c>
      <c r="V279" s="1703">
        <f>Interim!FM344</f>
        <v>147</v>
      </c>
      <c r="W279" s="1703">
        <f>Interim!FU344</f>
        <v>207</v>
      </c>
      <c r="X279" s="1703"/>
      <c r="Y279" s="1703"/>
      <c r="Z279" s="1703"/>
      <c r="AA279" s="1703"/>
      <c r="AB279" s="1703"/>
      <c r="AC279" s="1703"/>
      <c r="AD279" s="1703"/>
      <c r="AE279" s="1703"/>
      <c r="AF279" s="1704"/>
      <c r="AG279" s="1703"/>
      <c r="AH279" s="1703"/>
      <c r="AI279" s="1703"/>
      <c r="AJ279" s="1703"/>
      <c r="AK279" s="1703"/>
      <c r="AL279" s="1703"/>
      <c r="AN279" s="1686"/>
      <c r="AZ279" s="1899"/>
      <c r="BA279" s="1899"/>
      <c r="BB279" s="1899"/>
      <c r="BC279" s="1691"/>
    </row>
    <row r="280" hidden="1" customHeight="1" outlineLevel="1" spans="1:55">
      <c r="A280" s="1708" t="s">
        <v>61</v>
      </c>
      <c r="B280" s="1892"/>
      <c r="C280" s="1893"/>
      <c r="D280" s="1892"/>
      <c r="E280" s="1892"/>
      <c r="F280" s="1892"/>
      <c r="G280" s="1892"/>
      <c r="H280" s="1892"/>
      <c r="I280" s="1892"/>
      <c r="J280" s="1892"/>
      <c r="K280" s="1892"/>
      <c r="L280" s="1894"/>
      <c r="M280" s="1894"/>
      <c r="N280" s="1894"/>
      <c r="O280" s="1894"/>
      <c r="P280" s="1894"/>
      <c r="Q280" s="1894"/>
      <c r="R280" s="1894"/>
      <c r="S280" s="1894"/>
      <c r="T280" s="1894"/>
      <c r="U280" s="1709">
        <f>Interim!FE345</f>
        <v>0</v>
      </c>
      <c r="V280" s="1709">
        <f>Interim!FM345</f>
        <v>0.214876033057851</v>
      </c>
      <c r="W280" s="1709">
        <f>Interim!FU345</f>
        <v>0.408163265306122</v>
      </c>
      <c r="X280" s="1709"/>
      <c r="Y280" s="1709"/>
      <c r="Z280" s="1709"/>
      <c r="AA280" s="1709"/>
      <c r="AB280" s="1709"/>
      <c r="AC280" s="1709"/>
      <c r="AD280" s="1709"/>
      <c r="AE280" s="1709"/>
      <c r="AF280" s="1711"/>
      <c r="AG280" s="1709"/>
      <c r="AH280" s="1709"/>
      <c r="AI280" s="1709"/>
      <c r="AJ280" s="1709"/>
      <c r="AK280" s="1709"/>
      <c r="AL280" s="1709"/>
      <c r="AN280" s="1686"/>
      <c r="AZ280" s="1899"/>
      <c r="BA280" s="1899"/>
      <c r="BB280" s="1899"/>
      <c r="BC280" s="1691"/>
    </row>
    <row r="281" hidden="1" customHeight="1" outlineLevel="1" spans="1:55">
      <c r="A281" s="1708" t="s">
        <v>132</v>
      </c>
      <c r="B281" s="1892"/>
      <c r="C281" s="1893"/>
      <c r="D281" s="1892"/>
      <c r="E281" s="1892"/>
      <c r="F281" s="1892"/>
      <c r="G281" s="1892"/>
      <c r="H281" s="1892"/>
      <c r="I281" s="1892"/>
      <c r="J281" s="1892"/>
      <c r="K281" s="1892"/>
      <c r="L281" s="1894"/>
      <c r="M281" s="1894"/>
      <c r="N281" s="1894"/>
      <c r="O281" s="1894"/>
      <c r="P281" s="1894"/>
      <c r="Q281" s="1894"/>
      <c r="R281" s="1894"/>
      <c r="S281" s="1894"/>
      <c r="T281" s="1894"/>
      <c r="U281" s="1709">
        <f>Interim!FE346</f>
        <v>0.162634408602151</v>
      </c>
      <c r="V281" s="1709">
        <f>Interim!FM346</f>
        <v>0.189432989690722</v>
      </c>
      <c r="W281" s="1709">
        <f>Interim!FU346</f>
        <v>0.205561072492552</v>
      </c>
      <c r="X281" s="1709"/>
      <c r="Y281" s="1709"/>
      <c r="Z281" s="1709"/>
      <c r="AA281" s="1709"/>
      <c r="AB281" s="1709"/>
      <c r="AC281" s="1709"/>
      <c r="AD281" s="1709"/>
      <c r="AE281" s="1709"/>
      <c r="AF281" s="1711"/>
      <c r="AG281" s="1709"/>
      <c r="AH281" s="1709"/>
      <c r="AI281" s="1709"/>
      <c r="AJ281" s="1709"/>
      <c r="AK281" s="1709"/>
      <c r="AL281" s="1709"/>
      <c r="AN281" s="1686"/>
      <c r="AZ281" s="1899"/>
      <c r="BA281" s="1899"/>
      <c r="BB281" s="1899"/>
      <c r="BC281" s="1691"/>
    </row>
    <row r="282" hidden="1" customHeight="1" outlineLevel="1" spans="1:55">
      <c r="A282" s="1900" t="s">
        <v>115</v>
      </c>
      <c r="B282" s="1892"/>
      <c r="C282" s="1893"/>
      <c r="D282" s="1892"/>
      <c r="E282" s="1892"/>
      <c r="F282" s="1892"/>
      <c r="G282" s="1892"/>
      <c r="H282" s="1892"/>
      <c r="I282" s="1892"/>
      <c r="J282" s="1892"/>
      <c r="K282" s="1892"/>
      <c r="L282" s="1894"/>
      <c r="M282" s="1894"/>
      <c r="N282" s="1894"/>
      <c r="O282" s="1894"/>
      <c r="P282" s="1894"/>
      <c r="Q282" s="1894"/>
      <c r="R282" s="1894"/>
      <c r="S282" s="1894"/>
      <c r="T282" s="1894"/>
      <c r="U282" s="1901">
        <f>Interim!FE347</f>
        <v>0</v>
      </c>
      <c r="V282" s="1901">
        <f>Interim!FM347</f>
        <v>0</v>
      </c>
      <c r="W282" s="1901">
        <f>Interim!FU347</f>
        <v>0</v>
      </c>
      <c r="X282" s="1901"/>
      <c r="Y282" s="1901"/>
      <c r="Z282" s="1901"/>
      <c r="AA282" s="1901"/>
      <c r="AB282" s="1901"/>
      <c r="AC282" s="1901"/>
      <c r="AD282" s="1901"/>
      <c r="AE282" s="1901"/>
      <c r="AF282" s="1902"/>
      <c r="AG282" s="1901"/>
      <c r="AH282" s="1901"/>
      <c r="AI282" s="1901"/>
      <c r="AJ282" s="1901"/>
      <c r="AK282" s="1901"/>
      <c r="AL282" s="1901"/>
      <c r="AN282" s="1686"/>
      <c r="AZ282" s="1899"/>
      <c r="BA282" s="1899"/>
      <c r="BB282" s="1899"/>
      <c r="BC282" s="1691"/>
    </row>
    <row r="283" hidden="1" customHeight="1" outlineLevel="1" spans="1:55">
      <c r="A283" s="1708" t="s">
        <v>126</v>
      </c>
      <c r="B283" s="1892"/>
      <c r="C283" s="1893"/>
      <c r="D283" s="1892"/>
      <c r="E283" s="1892"/>
      <c r="F283" s="1892"/>
      <c r="G283" s="1892"/>
      <c r="H283" s="1892"/>
      <c r="I283" s="1892"/>
      <c r="J283" s="1892"/>
      <c r="K283" s="1892"/>
      <c r="L283" s="1894"/>
      <c r="M283" s="1894"/>
      <c r="N283" s="1894"/>
      <c r="O283" s="1894"/>
      <c r="P283" s="1894"/>
      <c r="Q283" s="1894"/>
      <c r="R283" s="1894"/>
      <c r="S283" s="1894"/>
      <c r="T283" s="1894"/>
      <c r="U283" s="1745">
        <f>Interim!FE348</f>
        <v>454</v>
      </c>
      <c r="V283" s="1745">
        <f>Interim!FM348</f>
        <v>325</v>
      </c>
      <c r="W283" s="1745">
        <f>Interim!FU348</f>
        <v>284</v>
      </c>
      <c r="X283" s="1745">
        <f>X188-X284</f>
        <v>231</v>
      </c>
      <c r="Y283" s="1745">
        <f>Y188-Y284</f>
        <v>202</v>
      </c>
      <c r="Z283" s="1745">
        <f>Interim!GS348</f>
        <v>253</v>
      </c>
      <c r="AA283" s="1745"/>
      <c r="AB283" s="1745"/>
      <c r="AC283" s="1745"/>
      <c r="AD283" s="1745"/>
      <c r="AE283" s="1745"/>
      <c r="AF283" s="1790"/>
      <c r="AG283" s="1745"/>
      <c r="AH283" s="1745"/>
      <c r="AI283" s="1745"/>
      <c r="AJ283" s="1745"/>
      <c r="AK283" s="1745"/>
      <c r="AL283" s="1745"/>
      <c r="AN283" s="1686"/>
      <c r="AZ283" s="1899"/>
      <c r="BA283" s="1899"/>
      <c r="BB283" s="1899"/>
      <c r="BC283" s="1691"/>
    </row>
    <row r="284" hidden="1" customHeight="1" outlineLevel="1" spans="1:55">
      <c r="A284" s="1802" t="s">
        <v>127</v>
      </c>
      <c r="B284" s="1892"/>
      <c r="C284" s="1893"/>
      <c r="D284" s="1892"/>
      <c r="E284" s="1892"/>
      <c r="F284" s="1892"/>
      <c r="G284" s="1892"/>
      <c r="H284" s="1892"/>
      <c r="I284" s="1892"/>
      <c r="J284" s="1892"/>
      <c r="K284" s="1892"/>
      <c r="L284" s="1894"/>
      <c r="M284" s="1894"/>
      <c r="N284" s="1894"/>
      <c r="O284" s="1894"/>
      <c r="P284" s="1894"/>
      <c r="Q284" s="1894"/>
      <c r="R284" s="1894"/>
      <c r="S284" s="1894"/>
      <c r="T284" s="1894"/>
      <c r="U284" s="1703">
        <f>Interim!FE349</f>
        <v>644</v>
      </c>
      <c r="V284" s="1703">
        <f>Interim!FM349</f>
        <v>414</v>
      </c>
      <c r="W284" s="1703">
        <f>Interim!FU349</f>
        <v>395</v>
      </c>
      <c r="X284" s="1703">
        <v>429</v>
      </c>
      <c r="Y284" s="1703">
        <v>392</v>
      </c>
      <c r="Z284" s="1703">
        <f>Interim!GS349</f>
        <v>406</v>
      </c>
      <c r="AA284" s="1703"/>
      <c r="AB284" s="1703"/>
      <c r="AC284" s="1703"/>
      <c r="AD284" s="1703"/>
      <c r="AE284" s="1703"/>
      <c r="AF284" s="1704"/>
      <c r="AG284" s="1703"/>
      <c r="AH284" s="1703"/>
      <c r="AI284" s="1703"/>
      <c r="AJ284" s="1703"/>
      <c r="AK284" s="1703"/>
      <c r="AL284" s="1703"/>
      <c r="AN284" s="1686"/>
      <c r="AZ284" s="1899"/>
      <c r="BA284" s="1899"/>
      <c r="BB284" s="1899"/>
      <c r="BC284" s="1691"/>
    </row>
    <row r="285" hidden="1" customHeight="1" outlineLevel="1" spans="1:55">
      <c r="A285" s="1708" t="s">
        <v>61</v>
      </c>
      <c r="B285" s="1892"/>
      <c r="C285" s="1893"/>
      <c r="D285" s="1892"/>
      <c r="E285" s="1892"/>
      <c r="F285" s="1892"/>
      <c r="G285" s="1892"/>
      <c r="H285" s="1892"/>
      <c r="I285" s="1892"/>
      <c r="J285" s="1892"/>
      <c r="K285" s="1892"/>
      <c r="L285" s="1894"/>
      <c r="M285" s="1894"/>
      <c r="N285" s="1894"/>
      <c r="O285" s="1894"/>
      <c r="P285" s="1894"/>
      <c r="Q285" s="1894"/>
      <c r="R285" s="1894"/>
      <c r="S285" s="1894"/>
      <c r="T285" s="1894"/>
      <c r="U285" s="1709">
        <f>Interim!FE350</f>
        <v>0</v>
      </c>
      <c r="V285" s="1709">
        <f>Interim!FM350</f>
        <v>-0.357142857142857</v>
      </c>
      <c r="W285" s="1709">
        <f>Interim!FU350</f>
        <v>-0.0458937198067633</v>
      </c>
      <c r="X285" s="1709"/>
      <c r="Y285" s="1709">
        <f>Y284/X284-1</f>
        <v>-0.0862470862470862</v>
      </c>
      <c r="Z285" s="1709">
        <f>Interim!GS350</f>
        <v>0.0357142857142858</v>
      </c>
      <c r="AA285" s="1709"/>
      <c r="AB285" s="1709"/>
      <c r="AC285" s="1709"/>
      <c r="AD285" s="1709"/>
      <c r="AE285" s="1709"/>
      <c r="AF285" s="1711"/>
      <c r="AG285" s="1709"/>
      <c r="AH285" s="1709"/>
      <c r="AI285" s="1709"/>
      <c r="AJ285" s="1709"/>
      <c r="AK285" s="1709"/>
      <c r="AL285" s="1709"/>
      <c r="AN285" s="1686"/>
      <c r="AZ285" s="1899"/>
      <c r="BA285" s="1899"/>
      <c r="BB285" s="1899"/>
      <c r="BC285" s="1691"/>
    </row>
    <row r="286" hidden="1" customHeight="1" outlineLevel="1" spans="1:55">
      <c r="A286" s="1708" t="s">
        <v>128</v>
      </c>
      <c r="B286" s="1892"/>
      <c r="C286" s="1893"/>
      <c r="D286" s="1892"/>
      <c r="E286" s="1892"/>
      <c r="F286" s="1892"/>
      <c r="G286" s="1892"/>
      <c r="H286" s="1892"/>
      <c r="I286" s="1892"/>
      <c r="J286" s="1892"/>
      <c r="K286" s="1892"/>
      <c r="L286" s="1894"/>
      <c r="M286" s="1894"/>
      <c r="N286" s="1894"/>
      <c r="O286" s="1894"/>
      <c r="P286" s="1894"/>
      <c r="Q286" s="1894"/>
      <c r="R286" s="1894"/>
      <c r="S286" s="1894"/>
      <c r="T286" s="1894"/>
      <c r="U286" s="1709">
        <f>Interim!FE351</f>
        <v>0.586520947176685</v>
      </c>
      <c r="V286" s="1709">
        <f>Interim!FM351</f>
        <v>0.56021650879567</v>
      </c>
      <c r="W286" s="1709">
        <f>Interim!FU351</f>
        <v>0.581737849779087</v>
      </c>
      <c r="X286" s="1709">
        <v>0.649</v>
      </c>
      <c r="Y286" s="1709">
        <v>0.658</v>
      </c>
      <c r="Z286" s="1709">
        <f>Interim!GS351</f>
        <v>0.61608497723824</v>
      </c>
      <c r="AA286" s="1709"/>
      <c r="AB286" s="1709"/>
      <c r="AC286" s="1709"/>
      <c r="AD286" s="1709"/>
      <c r="AE286" s="1709"/>
      <c r="AF286" s="1711"/>
      <c r="AG286" s="1709"/>
      <c r="AH286" s="1709"/>
      <c r="AI286" s="1709"/>
      <c r="AJ286" s="1709"/>
      <c r="AK286" s="1709"/>
      <c r="AL286" s="1709"/>
      <c r="AN286" s="1686"/>
      <c r="AZ286" s="1899"/>
      <c r="BA286" s="1899"/>
      <c r="BB286" s="1899"/>
      <c r="BC286" s="1691"/>
    </row>
    <row r="287" hidden="1" customHeight="1" outlineLevel="1" spans="1:55">
      <c r="A287" s="1708" t="s">
        <v>129</v>
      </c>
      <c r="B287" s="1892"/>
      <c r="C287" s="1893"/>
      <c r="D287" s="1892"/>
      <c r="E287" s="1892"/>
      <c r="F287" s="1892"/>
      <c r="G287" s="1892"/>
      <c r="H287" s="1892"/>
      <c r="I287" s="1892"/>
      <c r="J287" s="1892"/>
      <c r="K287" s="1892"/>
      <c r="L287" s="1894"/>
      <c r="M287" s="1894"/>
      <c r="N287" s="1894"/>
      <c r="O287" s="1894"/>
      <c r="P287" s="1894"/>
      <c r="Q287" s="1894"/>
      <c r="R287" s="1894"/>
      <c r="S287" s="1894"/>
      <c r="T287" s="1894"/>
      <c r="U287" s="1745">
        <f>Interim!FE352</f>
        <v>471</v>
      </c>
      <c r="V287" s="1745">
        <f>Interim!FM352</f>
        <v>329</v>
      </c>
      <c r="W287" s="1745">
        <f>Interim!FU352</f>
        <v>290</v>
      </c>
      <c r="X287" s="1745">
        <v>292</v>
      </c>
      <c r="Y287" s="1745">
        <v>245</v>
      </c>
      <c r="Z287" s="1745">
        <f>Interim!GS352</f>
        <v>239</v>
      </c>
      <c r="AA287" s="1745"/>
      <c r="AB287" s="1745"/>
      <c r="AC287" s="1745"/>
      <c r="AD287" s="1745"/>
      <c r="AE287" s="1745"/>
      <c r="AF287" s="1790"/>
      <c r="AG287" s="1745"/>
      <c r="AH287" s="1745"/>
      <c r="AI287" s="1745"/>
      <c r="AJ287" s="1745"/>
      <c r="AK287" s="1745"/>
      <c r="AL287" s="1745"/>
      <c r="AN287" s="1686"/>
      <c r="AZ287" s="1899"/>
      <c r="BA287" s="1899"/>
      <c r="BB287" s="1899"/>
      <c r="BC287" s="1691"/>
    </row>
    <row r="288" hidden="1" customHeight="1" outlineLevel="1" spans="1:55">
      <c r="A288" s="1708" t="s">
        <v>61</v>
      </c>
      <c r="B288" s="1892"/>
      <c r="C288" s="1893"/>
      <c r="D288" s="1892"/>
      <c r="E288" s="1892"/>
      <c r="F288" s="1892"/>
      <c r="G288" s="1892"/>
      <c r="H288" s="1892"/>
      <c r="I288" s="1892"/>
      <c r="J288" s="1892"/>
      <c r="K288" s="1892"/>
      <c r="L288" s="1894"/>
      <c r="M288" s="1894"/>
      <c r="N288" s="1894"/>
      <c r="O288" s="1894"/>
      <c r="P288" s="1894"/>
      <c r="Q288" s="1894"/>
      <c r="R288" s="1894"/>
      <c r="S288" s="1894"/>
      <c r="T288" s="1894"/>
      <c r="U288" s="1709">
        <f>Interim!FE353</f>
        <v>0</v>
      </c>
      <c r="V288" s="1709">
        <f>Interim!FM353</f>
        <v>-0.301486199575372</v>
      </c>
      <c r="W288" s="1709">
        <f>Interim!FU353</f>
        <v>-0.11854103343465</v>
      </c>
      <c r="X288" s="1709"/>
      <c r="Y288" s="1709">
        <f>Y287/X287-1</f>
        <v>-0.160958904109589</v>
      </c>
      <c r="Z288" s="1709">
        <f>Interim!GS353</f>
        <v>-0.0284552845528455</v>
      </c>
      <c r="AA288" s="1709"/>
      <c r="AB288" s="1709"/>
      <c r="AC288" s="1709"/>
      <c r="AD288" s="1709"/>
      <c r="AE288" s="1709"/>
      <c r="AF288" s="1711"/>
      <c r="AG288" s="1709"/>
      <c r="AH288" s="1709"/>
      <c r="AI288" s="1709"/>
      <c r="AJ288" s="1709"/>
      <c r="AK288" s="1709"/>
      <c r="AL288" s="1709"/>
      <c r="AN288" s="1686"/>
      <c r="AZ288" s="1899"/>
      <c r="BA288" s="1899"/>
      <c r="BB288" s="1899"/>
      <c r="BC288" s="1691"/>
    </row>
    <row r="289" hidden="1" customHeight="1" outlineLevel="1" spans="1:55">
      <c r="A289" s="1708" t="s">
        <v>130</v>
      </c>
      <c r="B289" s="1892"/>
      <c r="C289" s="1893"/>
      <c r="D289" s="1892"/>
      <c r="E289" s="1892"/>
      <c r="F289" s="1892"/>
      <c r="G289" s="1892"/>
      <c r="H289" s="1892"/>
      <c r="I289" s="1892"/>
      <c r="J289" s="1892"/>
      <c r="K289" s="1892"/>
      <c r="L289" s="1894"/>
      <c r="M289" s="1894"/>
      <c r="N289" s="1894"/>
      <c r="O289" s="1894"/>
      <c r="P289" s="1894"/>
      <c r="Q289" s="1894"/>
      <c r="R289" s="1894"/>
      <c r="S289" s="1894"/>
      <c r="T289" s="1894"/>
      <c r="U289" s="1709">
        <f>Interim!FE354</f>
        <v>0.42896174863388</v>
      </c>
      <c r="V289" s="1709">
        <f>Interim!FM354</f>
        <v>0.445196211096076</v>
      </c>
      <c r="W289" s="1709">
        <f>Interim!FU354</f>
        <v>0.427098674521355</v>
      </c>
      <c r="X289" s="1709">
        <v>0.443</v>
      </c>
      <c r="Y289" s="1709">
        <v>0.412</v>
      </c>
      <c r="Z289" s="1709">
        <f>Interim!GS354</f>
        <v>0.362670713201821</v>
      </c>
      <c r="AA289" s="1709"/>
      <c r="AB289" s="1709"/>
      <c r="AC289" s="1709"/>
      <c r="AD289" s="1709"/>
      <c r="AE289" s="1709"/>
      <c r="AF289" s="1711"/>
      <c r="AG289" s="1709"/>
      <c r="AH289" s="1709"/>
      <c r="AI289" s="1709"/>
      <c r="AJ289" s="1709"/>
      <c r="AK289" s="1709"/>
      <c r="AL289" s="1709"/>
      <c r="AN289" s="1686"/>
      <c r="AZ289" s="1899"/>
      <c r="BA289" s="1899"/>
      <c r="BB289" s="1899"/>
      <c r="BC289" s="1691"/>
    </row>
    <row r="290" hidden="1" customHeight="1" outlineLevel="1" spans="1:55">
      <c r="A290" s="1802" t="s">
        <v>131</v>
      </c>
      <c r="B290" s="1892"/>
      <c r="C290" s="1893"/>
      <c r="D290" s="1892"/>
      <c r="E290" s="1892"/>
      <c r="F290" s="1892"/>
      <c r="G290" s="1892"/>
      <c r="H290" s="1892"/>
      <c r="I290" s="1892"/>
      <c r="J290" s="1892"/>
      <c r="K290" s="1892"/>
      <c r="L290" s="1894"/>
      <c r="M290" s="1894"/>
      <c r="N290" s="1894"/>
      <c r="O290" s="1894"/>
      <c r="P290" s="1894"/>
      <c r="Q290" s="1894"/>
      <c r="R290" s="1894"/>
      <c r="S290" s="1894"/>
      <c r="T290" s="1894"/>
      <c r="U290" s="1703">
        <f>Interim!FE355</f>
        <v>173</v>
      </c>
      <c r="V290" s="1703">
        <f>Interim!FM355</f>
        <v>85</v>
      </c>
      <c r="W290" s="1703">
        <f>Interim!FU355</f>
        <v>105</v>
      </c>
      <c r="X290" s="1703">
        <v>136</v>
      </c>
      <c r="Y290" s="1703">
        <v>146</v>
      </c>
      <c r="Z290" s="1703">
        <f>Interim!GS355</f>
        <v>167</v>
      </c>
      <c r="AA290" s="1703"/>
      <c r="AB290" s="1703"/>
      <c r="AC290" s="1703"/>
      <c r="AD290" s="1703"/>
      <c r="AE290" s="1703"/>
      <c r="AF290" s="1704"/>
      <c r="AG290" s="1703"/>
      <c r="AH290" s="1703"/>
      <c r="AI290" s="1703"/>
      <c r="AJ290" s="1703"/>
      <c r="AK290" s="1703"/>
      <c r="AL290" s="1703"/>
      <c r="AN290" s="1686"/>
      <c r="AZ290" s="1899"/>
      <c r="BA290" s="1899"/>
      <c r="BB290" s="1899"/>
      <c r="BC290" s="1691"/>
    </row>
    <row r="291" hidden="1" customHeight="1" outlineLevel="1" spans="1:55">
      <c r="A291" s="1708" t="s">
        <v>61</v>
      </c>
      <c r="B291" s="1892"/>
      <c r="C291" s="1893"/>
      <c r="D291" s="1892"/>
      <c r="E291" s="1892"/>
      <c r="F291" s="1892"/>
      <c r="G291" s="1892"/>
      <c r="H291" s="1892"/>
      <c r="I291" s="1892"/>
      <c r="J291" s="1892"/>
      <c r="K291" s="1892"/>
      <c r="L291" s="1894"/>
      <c r="M291" s="1894"/>
      <c r="N291" s="1894"/>
      <c r="O291" s="1894"/>
      <c r="P291" s="1894"/>
      <c r="Q291" s="1894"/>
      <c r="R291" s="1894"/>
      <c r="S291" s="1894"/>
      <c r="T291" s="1894"/>
      <c r="U291" s="1709">
        <f>Interim!FE356</f>
        <v>0</v>
      </c>
      <c r="V291" s="1709">
        <f>Interim!FM356</f>
        <v>-0.508670520231214</v>
      </c>
      <c r="W291" s="1709">
        <f>Interim!FU356</f>
        <v>0.235294117647059</v>
      </c>
      <c r="X291" s="1709"/>
      <c r="Y291" s="1709">
        <f>Y290/X290-1</f>
        <v>0.0735294117647058</v>
      </c>
      <c r="Z291" s="1709">
        <f>Interim!GS356</f>
        <v>0.143835616438356</v>
      </c>
      <c r="AA291" s="1709"/>
      <c r="AB291" s="1709"/>
      <c r="AC291" s="1709"/>
      <c r="AD291" s="1709"/>
      <c r="AE291" s="1709"/>
      <c r="AF291" s="1711"/>
      <c r="AG291" s="1709"/>
      <c r="AH291" s="1709"/>
      <c r="AI291" s="1709"/>
      <c r="AJ291" s="1709"/>
      <c r="AK291" s="1709"/>
      <c r="AL291" s="1709"/>
      <c r="AN291" s="1686"/>
      <c r="AZ291" s="1899"/>
      <c r="BA291" s="1899"/>
      <c r="BB291" s="1899"/>
      <c r="BC291" s="1691"/>
    </row>
    <row r="292" hidden="1" customHeight="1" outlineLevel="1" spans="1:55">
      <c r="A292" s="1708" t="s">
        <v>132</v>
      </c>
      <c r="B292" s="1892"/>
      <c r="C292" s="1893"/>
      <c r="D292" s="1892"/>
      <c r="E292" s="1892"/>
      <c r="F292" s="1892"/>
      <c r="G292" s="1892"/>
      <c r="H292" s="1892"/>
      <c r="I292" s="1892"/>
      <c r="J292" s="1892"/>
      <c r="K292" s="1892"/>
      <c r="L292" s="1894"/>
      <c r="M292" s="1894"/>
      <c r="N292" s="1894"/>
      <c r="O292" s="1894"/>
      <c r="P292" s="1894"/>
      <c r="Q292" s="1894"/>
      <c r="R292" s="1894"/>
      <c r="S292" s="1894"/>
      <c r="T292" s="1894"/>
      <c r="U292" s="1709">
        <f>Interim!FE357</f>
        <v>0.157559198542805</v>
      </c>
      <c r="V292" s="1709">
        <f>Interim!FM357</f>
        <v>0.115020297699594</v>
      </c>
      <c r="W292" s="1709">
        <f>Interim!FU357</f>
        <v>0.154639175257732</v>
      </c>
      <c r="X292" s="1709">
        <v>0.206</v>
      </c>
      <c r="Y292" s="1709">
        <v>0.246</v>
      </c>
      <c r="Z292" s="1709">
        <f>Interim!GS357</f>
        <v>0.253414264036419</v>
      </c>
      <c r="AA292" s="1709"/>
      <c r="AB292" s="1709"/>
      <c r="AC292" s="1709"/>
      <c r="AD292" s="1709"/>
      <c r="AE292" s="1709"/>
      <c r="AF292" s="1711"/>
      <c r="AG292" s="1709"/>
      <c r="AH292" s="1709"/>
      <c r="AI292" s="1709"/>
      <c r="AJ292" s="1709"/>
      <c r="AK292" s="1709"/>
      <c r="AL292" s="1709"/>
      <c r="AN292" s="1686"/>
      <c r="AZ292" s="1899"/>
      <c r="BA292" s="1899"/>
      <c r="BB292" s="1899"/>
      <c r="BC292" s="1691"/>
    </row>
    <row r="293" hidden="1" customHeight="1" outlineLevel="1" spans="1:55">
      <c r="A293" s="1900" t="s">
        <v>134</v>
      </c>
      <c r="B293" s="1892"/>
      <c r="C293" s="1893"/>
      <c r="D293" s="1892"/>
      <c r="E293" s="1892"/>
      <c r="F293" s="1892"/>
      <c r="G293" s="1892"/>
      <c r="H293" s="1892"/>
      <c r="I293" s="1892"/>
      <c r="J293" s="1892"/>
      <c r="K293" s="1892"/>
      <c r="L293" s="1894"/>
      <c r="M293" s="1894"/>
      <c r="N293" s="1894"/>
      <c r="O293" s="1894"/>
      <c r="P293" s="1894"/>
      <c r="Q293" s="1894"/>
      <c r="R293" s="1894"/>
      <c r="S293" s="1894"/>
      <c r="T293" s="1894"/>
      <c r="U293" s="1901">
        <f>Interim!FE358</f>
        <v>0</v>
      </c>
      <c r="V293" s="1901">
        <f>Interim!FM358</f>
        <v>0</v>
      </c>
      <c r="W293" s="1901">
        <f>Interim!FU358</f>
        <v>0</v>
      </c>
      <c r="X293" s="1901"/>
      <c r="Y293" s="1901"/>
      <c r="Z293" s="1901"/>
      <c r="AA293" s="1901"/>
      <c r="AB293" s="1901"/>
      <c r="AC293" s="1901"/>
      <c r="AD293" s="1901"/>
      <c r="AE293" s="1901"/>
      <c r="AF293" s="1902"/>
      <c r="AG293" s="1901"/>
      <c r="AH293" s="1901"/>
      <c r="AI293" s="1901"/>
      <c r="AJ293" s="1901"/>
      <c r="AK293" s="1901"/>
      <c r="AL293" s="1901"/>
      <c r="AN293" s="1686"/>
      <c r="AZ293" s="1899"/>
      <c r="BA293" s="1899"/>
      <c r="BB293" s="1899"/>
      <c r="BC293" s="1691"/>
    </row>
    <row r="294" hidden="1" customHeight="1" outlineLevel="1" spans="1:55">
      <c r="A294" s="1708" t="s">
        <v>126</v>
      </c>
      <c r="B294" s="1892"/>
      <c r="C294" s="1893"/>
      <c r="D294" s="1892"/>
      <c r="E294" s="1892"/>
      <c r="F294" s="1892"/>
      <c r="G294" s="1892"/>
      <c r="H294" s="1892"/>
      <c r="I294" s="1892"/>
      <c r="J294" s="1892"/>
      <c r="K294" s="1892"/>
      <c r="L294" s="1894"/>
      <c r="M294" s="1894"/>
      <c r="N294" s="1894"/>
      <c r="O294" s="1894"/>
      <c r="P294" s="1894"/>
      <c r="Q294" s="1894"/>
      <c r="R294" s="1894"/>
      <c r="S294" s="1894"/>
      <c r="T294" s="1894"/>
      <c r="U294" s="1745">
        <f>Interim!FE359</f>
        <v>930</v>
      </c>
      <c r="V294" s="1745">
        <f>Interim!FM359</f>
        <v>1160</v>
      </c>
      <c r="W294" s="1745">
        <f>Interim!FU359</f>
        <v>1341</v>
      </c>
      <c r="X294" s="1745"/>
      <c r="Y294" s="1745">
        <f>Y195-Y295</f>
        <v>540</v>
      </c>
      <c r="Z294" s="1745">
        <f>Interim!GS359</f>
        <v>621</v>
      </c>
      <c r="AA294" s="1745"/>
      <c r="AB294" s="1745"/>
      <c r="AC294" s="1745"/>
      <c r="AD294" s="1745"/>
      <c r="AE294" s="1745"/>
      <c r="AF294" s="1790"/>
      <c r="AG294" s="1745"/>
      <c r="AH294" s="1745"/>
      <c r="AI294" s="1745"/>
      <c r="AJ294" s="1745"/>
      <c r="AK294" s="1745"/>
      <c r="AL294" s="1745"/>
      <c r="AN294" s="1686"/>
      <c r="AZ294" s="1899"/>
      <c r="BA294" s="1899"/>
      <c r="BB294" s="1899"/>
      <c r="BC294" s="1691"/>
    </row>
    <row r="295" hidden="1" customHeight="1" outlineLevel="1" spans="1:55">
      <c r="A295" s="1802" t="s">
        <v>127</v>
      </c>
      <c r="B295" s="1892"/>
      <c r="C295" s="1893"/>
      <c r="D295" s="1892"/>
      <c r="E295" s="1892"/>
      <c r="F295" s="1892"/>
      <c r="G295" s="1892"/>
      <c r="H295" s="1892"/>
      <c r="I295" s="1892"/>
      <c r="J295" s="1892"/>
      <c r="K295" s="1892"/>
      <c r="L295" s="1894"/>
      <c r="M295" s="1894"/>
      <c r="N295" s="1894"/>
      <c r="O295" s="1894"/>
      <c r="P295" s="1894"/>
      <c r="Q295" s="1894"/>
      <c r="R295" s="1894"/>
      <c r="S295" s="1894"/>
      <c r="T295" s="1894"/>
      <c r="U295" s="1703">
        <f>Interim!FE360</f>
        <v>995</v>
      </c>
      <c r="V295" s="1703">
        <f>Interim!FM360</f>
        <v>1228</v>
      </c>
      <c r="W295" s="1703">
        <f>Interim!FU360</f>
        <v>1344</v>
      </c>
      <c r="X295" s="1703">
        <v>640</v>
      </c>
      <c r="Y295" s="1703">
        <v>604</v>
      </c>
      <c r="Z295" s="1703">
        <f>Interim!GS360</f>
        <v>681</v>
      </c>
      <c r="AA295" s="1703"/>
      <c r="AB295" s="1703"/>
      <c r="AC295" s="1703"/>
      <c r="AD295" s="1703"/>
      <c r="AE295" s="1703"/>
      <c r="AF295" s="1704"/>
      <c r="AG295" s="1703"/>
      <c r="AH295" s="1703"/>
      <c r="AI295" s="1703"/>
      <c r="AJ295" s="1703"/>
      <c r="AK295" s="1703"/>
      <c r="AL295" s="1703"/>
      <c r="AN295" s="1686"/>
      <c r="AZ295" s="1899"/>
      <c r="BA295" s="1899"/>
      <c r="BB295" s="1899"/>
      <c r="BC295" s="1691"/>
    </row>
    <row r="296" hidden="1" customHeight="1" outlineLevel="1" spans="1:55">
      <c r="A296" s="1708" t="s">
        <v>61</v>
      </c>
      <c r="B296" s="1892"/>
      <c r="C296" s="1893"/>
      <c r="D296" s="1892"/>
      <c r="E296" s="1892"/>
      <c r="F296" s="1892"/>
      <c r="G296" s="1892"/>
      <c r="H296" s="1892"/>
      <c r="I296" s="1892"/>
      <c r="J296" s="1892"/>
      <c r="K296" s="1892"/>
      <c r="L296" s="1894"/>
      <c r="M296" s="1894"/>
      <c r="N296" s="1894"/>
      <c r="O296" s="1894"/>
      <c r="P296" s="1894"/>
      <c r="Q296" s="1894"/>
      <c r="R296" s="1894"/>
      <c r="S296" s="1894"/>
      <c r="T296" s="1894"/>
      <c r="U296" s="1709"/>
      <c r="V296" s="1709">
        <f>Interim!FM361</f>
        <v>0.234170854271357</v>
      </c>
      <c r="W296" s="1709">
        <f>Interim!FU361</f>
        <v>0.0944625407166124</v>
      </c>
      <c r="X296" s="1709"/>
      <c r="Y296" s="1709">
        <f>Y295/X295-1</f>
        <v>-0.05625</v>
      </c>
      <c r="Z296" s="1709">
        <f>Interim!GS361</f>
        <v>0.127483443708609</v>
      </c>
      <c r="AA296" s="1709"/>
      <c r="AB296" s="1709"/>
      <c r="AC296" s="1709"/>
      <c r="AD296" s="1709"/>
      <c r="AE296" s="1709"/>
      <c r="AF296" s="1711"/>
      <c r="AG296" s="1709"/>
      <c r="AH296" s="1709"/>
      <c r="AI296" s="1709"/>
      <c r="AJ296" s="1709"/>
      <c r="AK296" s="1709"/>
      <c r="AL296" s="1709"/>
      <c r="AM296" s="1246"/>
      <c r="AN296" s="1686"/>
      <c r="AZ296" s="1899"/>
      <c r="BA296" s="1899"/>
      <c r="BB296" s="1899"/>
      <c r="BC296" s="1691"/>
    </row>
    <row r="297" hidden="1" customHeight="1" outlineLevel="1" spans="1:55">
      <c r="A297" s="1708" t="s">
        <v>128</v>
      </c>
      <c r="B297" s="1892"/>
      <c r="C297" s="1893"/>
      <c r="D297" s="1892"/>
      <c r="E297" s="1892"/>
      <c r="F297" s="1892"/>
      <c r="G297" s="1892"/>
      <c r="H297" s="1892"/>
      <c r="I297" s="1892"/>
      <c r="J297" s="1892"/>
      <c r="K297" s="1892"/>
      <c r="L297" s="1894"/>
      <c r="M297" s="1894"/>
      <c r="N297" s="1894"/>
      <c r="O297" s="1894"/>
      <c r="P297" s="1894"/>
      <c r="Q297" s="1894"/>
      <c r="R297" s="1894"/>
      <c r="S297" s="1894"/>
      <c r="T297" s="1894"/>
      <c r="U297" s="1709">
        <f>Interim!FE362</f>
        <v>0.516883116883117</v>
      </c>
      <c r="V297" s="1709">
        <f>Interim!FM362</f>
        <v>0.514237855946399</v>
      </c>
      <c r="W297" s="1709">
        <f>Interim!FU362</f>
        <v>0.500558659217877</v>
      </c>
      <c r="X297" s="1709">
        <v>0.492</v>
      </c>
      <c r="Y297" s="1709">
        <v>0.528</v>
      </c>
      <c r="Z297" s="1709">
        <f>Interim!GS362</f>
        <v>0.523041474654378</v>
      </c>
      <c r="AA297" s="1709"/>
      <c r="AB297" s="1709"/>
      <c r="AC297" s="1709"/>
      <c r="AD297" s="1709"/>
      <c r="AE297" s="1709"/>
      <c r="AF297" s="1711"/>
      <c r="AG297" s="1709"/>
      <c r="AH297" s="1709"/>
      <c r="AI297" s="1709"/>
      <c r="AJ297" s="1709"/>
      <c r="AK297" s="1709"/>
      <c r="AL297" s="1709"/>
      <c r="AN297" s="1686"/>
      <c r="AZ297" s="1899"/>
      <c r="BA297" s="1899"/>
      <c r="BB297" s="1899"/>
      <c r="BC297" s="1691"/>
    </row>
    <row r="298" hidden="1" customHeight="1" outlineLevel="1" spans="1:55">
      <c r="A298" s="1708" t="s">
        <v>129</v>
      </c>
      <c r="B298" s="1892"/>
      <c r="C298" s="1893"/>
      <c r="D298" s="1892"/>
      <c r="E298" s="1892"/>
      <c r="F298" s="1892"/>
      <c r="G298" s="1892"/>
      <c r="H298" s="1892"/>
      <c r="I298" s="1892"/>
      <c r="J298" s="1892"/>
      <c r="K298" s="1892"/>
      <c r="L298" s="1894"/>
      <c r="M298" s="1894"/>
      <c r="N298" s="1894"/>
      <c r="O298" s="1894"/>
      <c r="P298" s="1894"/>
      <c r="Q298" s="1894"/>
      <c r="R298" s="1894"/>
      <c r="S298" s="1894"/>
      <c r="T298" s="1894"/>
      <c r="U298" s="1745">
        <f>Interim!FE363</f>
        <v>439</v>
      </c>
      <c r="V298" s="1745">
        <f>Interim!FM363</f>
        <v>564</v>
      </c>
      <c r="W298" s="1745">
        <f>Interim!FU363</f>
        <v>622</v>
      </c>
      <c r="X298" s="1745">
        <v>315</v>
      </c>
      <c r="Y298" s="1745">
        <v>286</v>
      </c>
      <c r="Z298" s="1745">
        <f>Interim!GS363</f>
        <v>314</v>
      </c>
      <c r="AA298" s="1745"/>
      <c r="AB298" s="1745"/>
      <c r="AC298" s="1745"/>
      <c r="AD298" s="1745"/>
      <c r="AE298" s="1745"/>
      <c r="AF298" s="1790"/>
      <c r="AG298" s="1745"/>
      <c r="AH298" s="1745"/>
      <c r="AI298" s="1745"/>
      <c r="AJ298" s="1745"/>
      <c r="AK298" s="1745"/>
      <c r="AL298" s="1745"/>
      <c r="AN298" s="1686"/>
      <c r="AZ298" s="1899"/>
      <c r="BA298" s="1899"/>
      <c r="BB298" s="1899"/>
      <c r="BC298" s="1691"/>
    </row>
    <row r="299" hidden="1" customHeight="1" outlineLevel="1" spans="1:55">
      <c r="A299" s="1708" t="s">
        <v>61</v>
      </c>
      <c r="B299" s="1892"/>
      <c r="C299" s="1893"/>
      <c r="D299" s="1892"/>
      <c r="E299" s="1892"/>
      <c r="F299" s="1892"/>
      <c r="G299" s="1892"/>
      <c r="H299" s="1892"/>
      <c r="I299" s="1892"/>
      <c r="J299" s="1892"/>
      <c r="K299" s="1892"/>
      <c r="L299" s="1894"/>
      <c r="M299" s="1894"/>
      <c r="N299" s="1894"/>
      <c r="O299" s="1894"/>
      <c r="P299" s="1894"/>
      <c r="Q299" s="1894"/>
      <c r="R299" s="1894"/>
      <c r="S299" s="1894"/>
      <c r="T299" s="1894"/>
      <c r="U299" s="1709">
        <f>Interim!FE364</f>
        <v>0</v>
      </c>
      <c r="V299" s="1709">
        <f>Interim!FM364</f>
        <v>0.284738041002278</v>
      </c>
      <c r="W299" s="1709">
        <f>Interim!FU364</f>
        <v>0.102836879432624</v>
      </c>
      <c r="X299" s="1709"/>
      <c r="Y299" s="1709">
        <f>Y298/X298-1</f>
        <v>-0.0920634920634921</v>
      </c>
      <c r="Z299" s="1709">
        <f>Interim!GS364</f>
        <v>0.0979020979020979</v>
      </c>
      <c r="AA299" s="1709"/>
      <c r="AB299" s="1709"/>
      <c r="AC299" s="1709"/>
      <c r="AD299" s="1709"/>
      <c r="AE299" s="1709"/>
      <c r="AF299" s="1711"/>
      <c r="AG299" s="1709"/>
      <c r="AH299" s="1709"/>
      <c r="AI299" s="1709"/>
      <c r="AJ299" s="1709"/>
      <c r="AK299" s="1709"/>
      <c r="AL299" s="1709"/>
      <c r="AN299" s="1686"/>
      <c r="AZ299" s="1899"/>
      <c r="BA299" s="1899"/>
      <c r="BB299" s="1899"/>
      <c r="BC299" s="1691"/>
    </row>
    <row r="300" hidden="1" customHeight="1" outlineLevel="1" spans="1:55">
      <c r="A300" s="1708" t="s">
        <v>130</v>
      </c>
      <c r="B300" s="1892"/>
      <c r="C300" s="1893"/>
      <c r="D300" s="1892"/>
      <c r="E300" s="1892"/>
      <c r="F300" s="1892"/>
      <c r="G300" s="1892"/>
      <c r="H300" s="1892"/>
      <c r="I300" s="1892"/>
      <c r="J300" s="1892"/>
      <c r="K300" s="1892"/>
      <c r="L300" s="1894"/>
      <c r="M300" s="1894"/>
      <c r="N300" s="1894"/>
      <c r="O300" s="1894"/>
      <c r="P300" s="1894"/>
      <c r="Q300" s="1894"/>
      <c r="R300" s="1894"/>
      <c r="S300" s="1894"/>
      <c r="T300" s="1894"/>
      <c r="U300" s="1709">
        <f>Interim!FE365</f>
        <v>0.228051948051948</v>
      </c>
      <c r="V300" s="1709">
        <f>Interim!FM365</f>
        <v>0.236180904522613</v>
      </c>
      <c r="W300" s="1709">
        <f>Interim!FU365</f>
        <v>0.231657355679702</v>
      </c>
      <c r="X300" s="1709">
        <v>0.242</v>
      </c>
      <c r="Y300" s="1709">
        <v>0.25</v>
      </c>
      <c r="Z300" s="1709">
        <f>Interim!GS365</f>
        <v>0.241167434715822</v>
      </c>
      <c r="AA300" s="1709"/>
      <c r="AB300" s="1709"/>
      <c r="AC300" s="1709"/>
      <c r="AD300" s="1709"/>
      <c r="AE300" s="1709"/>
      <c r="AF300" s="1711"/>
      <c r="AG300" s="1709"/>
      <c r="AH300" s="1709"/>
      <c r="AI300" s="1709"/>
      <c r="AJ300" s="1709"/>
      <c r="AK300" s="1709"/>
      <c r="AL300" s="1709"/>
      <c r="AN300" s="1686"/>
      <c r="AZ300" s="1899"/>
      <c r="BA300" s="1899"/>
      <c r="BB300" s="1899"/>
      <c r="BC300" s="1691"/>
    </row>
    <row r="301" hidden="1" customHeight="1" outlineLevel="1" spans="1:55">
      <c r="A301" s="1802" t="s">
        <v>131</v>
      </c>
      <c r="B301" s="1892"/>
      <c r="C301" s="1893"/>
      <c r="D301" s="1892"/>
      <c r="E301" s="1892"/>
      <c r="F301" s="1892"/>
      <c r="G301" s="1892"/>
      <c r="H301" s="1892"/>
      <c r="I301" s="1892"/>
      <c r="J301" s="1892"/>
      <c r="K301" s="1892"/>
      <c r="L301" s="1894"/>
      <c r="M301" s="1894"/>
      <c r="N301" s="1894"/>
      <c r="O301" s="1894"/>
      <c r="P301" s="1894"/>
      <c r="Q301" s="1894"/>
      <c r="R301" s="1894"/>
      <c r="S301" s="1894"/>
      <c r="T301" s="1894"/>
      <c r="U301" s="1703">
        <f>Interim!FE366</f>
        <v>556</v>
      </c>
      <c r="V301" s="1703">
        <f>Interim!FM366</f>
        <v>664</v>
      </c>
      <c r="W301" s="1703">
        <f>Interim!FU366</f>
        <v>722</v>
      </c>
      <c r="X301" s="1703">
        <v>325</v>
      </c>
      <c r="Y301" s="1703">
        <v>318</v>
      </c>
      <c r="Z301" s="1703">
        <f>Interim!GS366</f>
        <v>367</v>
      </c>
      <c r="AA301" s="1703"/>
      <c r="AB301" s="1703"/>
      <c r="AC301" s="1703"/>
      <c r="AD301" s="1703"/>
      <c r="AE301" s="1703"/>
      <c r="AF301" s="1704"/>
      <c r="AG301" s="1703"/>
      <c r="AH301" s="1703"/>
      <c r="AI301" s="1703"/>
      <c r="AJ301" s="1703"/>
      <c r="AK301" s="1703"/>
      <c r="AL301" s="1703"/>
      <c r="AN301" s="1686"/>
      <c r="AZ301" s="1899"/>
      <c r="BA301" s="1899"/>
      <c r="BB301" s="1899"/>
      <c r="BC301" s="1691"/>
    </row>
    <row r="302" hidden="1" customHeight="1" outlineLevel="1" spans="1:55">
      <c r="A302" s="1708" t="s">
        <v>61</v>
      </c>
      <c r="B302" s="1892"/>
      <c r="C302" s="1893"/>
      <c r="D302" s="1892"/>
      <c r="E302" s="1892"/>
      <c r="F302" s="1892"/>
      <c r="G302" s="1892"/>
      <c r="H302" s="1892"/>
      <c r="I302" s="1892"/>
      <c r="J302" s="1892"/>
      <c r="K302" s="1892"/>
      <c r="L302" s="1894"/>
      <c r="M302" s="1894"/>
      <c r="N302" s="1894"/>
      <c r="O302" s="1894"/>
      <c r="P302" s="1894"/>
      <c r="Q302" s="1894"/>
      <c r="R302" s="1894"/>
      <c r="S302" s="1894"/>
      <c r="T302" s="1894"/>
      <c r="U302" s="1709">
        <f>Interim!FE367</f>
        <v>0</v>
      </c>
      <c r="V302" s="1709">
        <f>Interim!FM367</f>
        <v>0.194244604316547</v>
      </c>
      <c r="W302" s="1709">
        <f>Interim!FU367</f>
        <v>0.0873493975903614</v>
      </c>
      <c r="X302" s="1709"/>
      <c r="Y302" s="1709">
        <f>Y301/X301-1</f>
        <v>-0.0215384615384615</v>
      </c>
      <c r="Z302" s="1709">
        <f>Interim!GS367</f>
        <v>0.129230769230769</v>
      </c>
      <c r="AA302" s="1709"/>
      <c r="AB302" s="1709"/>
      <c r="AC302" s="1709"/>
      <c r="AD302" s="1709"/>
      <c r="AE302" s="1709"/>
      <c r="AF302" s="1711"/>
      <c r="AG302" s="1709"/>
      <c r="AH302" s="1709"/>
      <c r="AI302" s="1709"/>
      <c r="AJ302" s="1709"/>
      <c r="AK302" s="1709"/>
      <c r="AL302" s="1709"/>
      <c r="AN302" s="1686"/>
      <c r="AZ302" s="1899"/>
      <c r="BA302" s="1899"/>
      <c r="BB302" s="1899"/>
      <c r="BC302" s="1691"/>
    </row>
    <row r="303" hidden="1" customHeight="1" outlineLevel="1" spans="1:55">
      <c r="A303" s="1708" t="s">
        <v>132</v>
      </c>
      <c r="B303" s="1892"/>
      <c r="C303" s="1893"/>
      <c r="D303" s="1892"/>
      <c r="E303" s="1892"/>
      <c r="F303" s="1892"/>
      <c r="G303" s="1892"/>
      <c r="H303" s="1892"/>
      <c r="I303" s="1892"/>
      <c r="J303" s="1892"/>
      <c r="K303" s="1892"/>
      <c r="L303" s="1894"/>
      <c r="M303" s="1894"/>
      <c r="N303" s="1894"/>
      <c r="O303" s="1894"/>
      <c r="P303" s="1894"/>
      <c r="Q303" s="1894"/>
      <c r="R303" s="1894"/>
      <c r="S303" s="1894"/>
      <c r="T303" s="1894"/>
      <c r="U303" s="1709">
        <f>Interim!FE368</f>
        <v>0.288831168831169</v>
      </c>
      <c r="V303" s="1709">
        <f>Interim!FM368</f>
        <v>0.278056951423786</v>
      </c>
      <c r="W303" s="1709">
        <f>Interim!FU368</f>
        <v>0.268901303538175</v>
      </c>
      <c r="X303" s="1709">
        <v>0.25</v>
      </c>
      <c r="Y303" s="1709">
        <v>0.278</v>
      </c>
      <c r="Z303" s="1709">
        <f>Interim!GS368</f>
        <v>0.281874039938556</v>
      </c>
      <c r="AA303" s="1709"/>
      <c r="AB303" s="1709"/>
      <c r="AC303" s="1709"/>
      <c r="AD303" s="1709"/>
      <c r="AE303" s="1709"/>
      <c r="AF303" s="1711"/>
      <c r="AG303" s="1709"/>
      <c r="AH303" s="1709"/>
      <c r="AI303" s="1709"/>
      <c r="AJ303" s="1709"/>
      <c r="AK303" s="1709"/>
      <c r="AL303" s="1709"/>
      <c r="AN303" s="1686"/>
      <c r="AZ303" s="1899"/>
      <c r="BA303" s="1899"/>
      <c r="BB303" s="1899"/>
      <c r="BC303" s="1691"/>
    </row>
    <row r="304" hidden="1" customHeight="1" outlineLevel="1" spans="1:55">
      <c r="A304" s="1910" t="s">
        <v>135</v>
      </c>
      <c r="B304" s="1892"/>
      <c r="C304" s="1893"/>
      <c r="D304" s="1892"/>
      <c r="E304" s="1892"/>
      <c r="F304" s="1892"/>
      <c r="G304" s="1892"/>
      <c r="H304" s="1892"/>
      <c r="I304" s="1892"/>
      <c r="J304" s="1892"/>
      <c r="K304" s="1892"/>
      <c r="L304" s="1894"/>
      <c r="M304" s="1894"/>
      <c r="N304" s="1894"/>
      <c r="O304" s="1894"/>
      <c r="P304" s="1894"/>
      <c r="Q304" s="1894"/>
      <c r="R304" s="1894"/>
      <c r="S304" s="1894"/>
      <c r="T304" s="1894"/>
      <c r="U304" s="1911">
        <f>Interim!FE369</f>
        <v>5415.426</v>
      </c>
      <c r="V304" s="1911">
        <f>Interim!FM369</f>
        <v>6460.004</v>
      </c>
      <c r="W304" s="1911">
        <f>Interim!FU369</f>
        <v>7446.69</v>
      </c>
      <c r="X304" s="1911">
        <f>Interim!GC369</f>
        <v>8863.014</v>
      </c>
      <c r="Y304" s="1911">
        <f>Interim!GK369</f>
        <v>9494.525</v>
      </c>
      <c r="Z304" s="1911">
        <f>Interim!GS369</f>
        <v>10642.266</v>
      </c>
      <c r="AA304" s="1911"/>
      <c r="AB304" s="1911"/>
      <c r="AC304" s="1911"/>
      <c r="AD304" s="1911"/>
      <c r="AE304" s="1911"/>
      <c r="AF304" s="1912"/>
      <c r="AG304" s="1911"/>
      <c r="AH304" s="1911"/>
      <c r="AI304" s="1911"/>
      <c r="AJ304" s="1911"/>
      <c r="AK304" s="1911"/>
      <c r="AL304" s="1911"/>
      <c r="AN304" s="1686"/>
      <c r="AZ304" s="1899"/>
      <c r="BA304" s="1899"/>
      <c r="BB304" s="1899"/>
      <c r="BC304" s="1691"/>
    </row>
    <row r="305" hidden="1" customHeight="1" outlineLevel="1" spans="1:55">
      <c r="A305" s="1708" t="s">
        <v>61</v>
      </c>
      <c r="B305" s="1892"/>
      <c r="C305" s="1893"/>
      <c r="D305" s="1892"/>
      <c r="E305" s="1892"/>
      <c r="F305" s="1892"/>
      <c r="G305" s="1892"/>
      <c r="H305" s="1892"/>
      <c r="I305" s="1892"/>
      <c r="J305" s="1892"/>
      <c r="K305" s="1892"/>
      <c r="L305" s="1894"/>
      <c r="M305" s="1894"/>
      <c r="N305" s="1894"/>
      <c r="O305" s="1894"/>
      <c r="P305" s="1894"/>
      <c r="Q305" s="1894"/>
      <c r="R305" s="1894"/>
      <c r="S305" s="1894"/>
      <c r="T305" s="1894"/>
      <c r="U305" s="1881">
        <f>Interim!FE370</f>
        <v>0</v>
      </c>
      <c r="V305" s="1881">
        <f>Interim!FM370</f>
        <v>0.192889349794458</v>
      </c>
      <c r="W305" s="1881">
        <f>Interim!FU370</f>
        <v>0.15273767632342</v>
      </c>
      <c r="X305" s="1881">
        <f>Interim!GC370</f>
        <v>0.190195106819271</v>
      </c>
      <c r="Y305" s="1881">
        <f>Interim!GK370</f>
        <v>0.0712523978863175</v>
      </c>
      <c r="Z305" s="1881">
        <f>Interim!GS370</f>
        <v>0.120884509756939</v>
      </c>
      <c r="AA305" s="1881"/>
      <c r="AB305" s="1881"/>
      <c r="AC305" s="1881"/>
      <c r="AD305" s="1881"/>
      <c r="AE305" s="1881"/>
      <c r="AF305" s="1884"/>
      <c r="AG305" s="1881"/>
      <c r="AH305" s="1881"/>
      <c r="AI305" s="1881"/>
      <c r="AJ305" s="1881"/>
      <c r="AK305" s="1881"/>
      <c r="AL305" s="1881"/>
      <c r="AN305" s="1686"/>
      <c r="AO305" s="1246"/>
      <c r="AZ305" s="1899"/>
      <c r="BA305" s="1899"/>
      <c r="BB305" s="1899"/>
      <c r="BC305" s="1691"/>
    </row>
    <row r="306" hidden="1" customHeight="1" outlineLevel="1" spans="1:55">
      <c r="A306" s="1708" t="s">
        <v>128</v>
      </c>
      <c r="B306" s="1892"/>
      <c r="C306" s="1893"/>
      <c r="D306" s="1892"/>
      <c r="E306" s="1892"/>
      <c r="F306" s="1892"/>
      <c r="G306" s="1892"/>
      <c r="H306" s="1892"/>
      <c r="I306" s="1892"/>
      <c r="J306" s="1892"/>
      <c r="K306" s="1892"/>
      <c r="L306" s="1894"/>
      <c r="M306" s="1894"/>
      <c r="N306" s="1894"/>
      <c r="O306" s="1894"/>
      <c r="P306" s="1894"/>
      <c r="Q306" s="1894"/>
      <c r="R306" s="1894"/>
      <c r="S306" s="1894"/>
      <c r="T306" s="1894"/>
      <c r="U306" s="1709">
        <f>Interim!FE371</f>
        <v>0.466686142709411</v>
      </c>
      <c r="V306" s="1709">
        <f>Interim!FM371</f>
        <v>0.471257951561132</v>
      </c>
      <c r="W306" s="1709">
        <f>Interim!FU371</f>
        <v>0.463939318422528</v>
      </c>
      <c r="X306" s="1709">
        <f>Interim!GC371</f>
        <v>0.475305089290502</v>
      </c>
      <c r="Y306" s="1709">
        <f>Interim!GK371</f>
        <v>0.489257188498403</v>
      </c>
      <c r="Z306" s="1709">
        <f>Interim!GS371</f>
        <v>0.499895063178167</v>
      </c>
      <c r="AA306" s="1709"/>
      <c r="AB306" s="1709"/>
      <c r="AC306" s="1709"/>
      <c r="AD306" s="1709"/>
      <c r="AE306" s="1709"/>
      <c r="AF306" s="1711"/>
      <c r="AG306" s="1709"/>
      <c r="AH306" s="1709"/>
      <c r="AI306" s="1709"/>
      <c r="AJ306" s="1709"/>
      <c r="AK306" s="1709"/>
      <c r="AL306" s="1709"/>
      <c r="AN306" s="1686"/>
      <c r="AZ306" s="1899"/>
      <c r="BA306" s="1899"/>
      <c r="BB306" s="1899"/>
      <c r="BC306" s="1691"/>
    </row>
    <row r="307" hidden="1" customHeight="1" outlineLevel="1" spans="1:55">
      <c r="A307" s="1910" t="s">
        <v>136</v>
      </c>
      <c r="B307" s="1892"/>
      <c r="C307" s="1893"/>
      <c r="D307" s="1892"/>
      <c r="E307" s="1892"/>
      <c r="F307" s="1892"/>
      <c r="G307" s="1892"/>
      <c r="H307" s="1892"/>
      <c r="I307" s="1892"/>
      <c r="J307" s="1892"/>
      <c r="K307" s="1892"/>
      <c r="L307" s="1894"/>
      <c r="M307" s="1894"/>
      <c r="N307" s="1894"/>
      <c r="O307" s="1894"/>
      <c r="P307" s="1894"/>
      <c r="Q307" s="1894"/>
      <c r="R307" s="1894"/>
      <c r="S307" s="1894"/>
      <c r="T307" s="1894"/>
      <c r="U307" s="1911">
        <f>Interim!FE372</f>
        <v>582.149</v>
      </c>
      <c r="V307" s="1911">
        <f>Interim!FM372</f>
        <v>647.554</v>
      </c>
      <c r="W307" s="1911">
        <f>Interim!FU372</f>
        <v>647.92</v>
      </c>
      <c r="X307" s="1911">
        <f>Interim!GC372</f>
        <v>746.391</v>
      </c>
      <c r="Y307" s="1911">
        <f>Interim!GK372</f>
        <v>734.029000000001</v>
      </c>
      <c r="Z307" s="1911">
        <f>Interim!GS372</f>
        <v>755.477000000001</v>
      </c>
      <c r="AA307" s="1911"/>
      <c r="AB307" s="1911"/>
      <c r="AC307" s="1911"/>
      <c r="AD307" s="1911"/>
      <c r="AE307" s="1911"/>
      <c r="AF307" s="1912"/>
      <c r="AG307" s="1911"/>
      <c r="AH307" s="1911"/>
      <c r="AI307" s="1911"/>
      <c r="AJ307" s="1911"/>
      <c r="AK307" s="1911"/>
      <c r="AL307" s="1911"/>
      <c r="AN307" s="1686"/>
      <c r="AZ307" s="1899"/>
      <c r="BA307" s="1899"/>
      <c r="BB307" s="1899"/>
      <c r="BC307" s="1691"/>
    </row>
    <row r="308" hidden="1" customHeight="1" outlineLevel="1" spans="1:55">
      <c r="A308" s="1708" t="s">
        <v>61</v>
      </c>
      <c r="B308" s="1892"/>
      <c r="C308" s="1893"/>
      <c r="D308" s="1892"/>
      <c r="E308" s="1892"/>
      <c r="F308" s="1892"/>
      <c r="G308" s="1892"/>
      <c r="H308" s="1892"/>
      <c r="I308" s="1892"/>
      <c r="J308" s="1892"/>
      <c r="K308" s="1892"/>
      <c r="L308" s="1894"/>
      <c r="M308" s="1894"/>
      <c r="N308" s="1894"/>
      <c r="O308" s="1894"/>
      <c r="P308" s="1894"/>
      <c r="Q308" s="1894"/>
      <c r="R308" s="1894"/>
      <c r="S308" s="1894"/>
      <c r="T308" s="1894"/>
      <c r="U308" s="1881">
        <f>Interim!FE373</f>
        <v>0</v>
      </c>
      <c r="V308" s="1881">
        <f>Interim!FM373</f>
        <v>0.112350961695374</v>
      </c>
      <c r="W308" s="1881">
        <f>Interim!FU373</f>
        <v>0.000565203828561067</v>
      </c>
      <c r="X308" s="1881">
        <f>Interim!GC373</f>
        <v>0.15198018273861</v>
      </c>
      <c r="Y308" s="1881">
        <f>Interim!GK373</f>
        <v>-0.0165623647659185</v>
      </c>
      <c r="Z308" s="1881">
        <f>Interim!GS373</f>
        <v>0.0292195539958222</v>
      </c>
      <c r="AA308" s="1881"/>
      <c r="AB308" s="1881"/>
      <c r="AC308" s="1881"/>
      <c r="AD308" s="1881"/>
      <c r="AE308" s="1881"/>
      <c r="AF308" s="1884"/>
      <c r="AG308" s="1881"/>
      <c r="AH308" s="1881"/>
      <c r="AI308" s="1881"/>
      <c r="AJ308" s="1881"/>
      <c r="AK308" s="1881"/>
      <c r="AL308" s="1881"/>
      <c r="AN308" s="1686"/>
      <c r="AZ308" s="1899"/>
      <c r="BA308" s="1899"/>
      <c r="BB308" s="1899"/>
      <c r="BC308" s="1691"/>
    </row>
    <row r="309" hidden="1" customHeight="1" outlineLevel="1" spans="1:55">
      <c r="A309" s="1708" t="s">
        <v>128</v>
      </c>
      <c r="B309" s="1892"/>
      <c r="C309" s="1893"/>
      <c r="D309" s="1892"/>
      <c r="E309" s="1892"/>
      <c r="F309" s="1892"/>
      <c r="G309" s="1892"/>
      <c r="H309" s="1892"/>
      <c r="I309" s="1892"/>
      <c r="J309" s="1892"/>
      <c r="K309" s="1892"/>
      <c r="L309" s="1894"/>
      <c r="M309" s="1894"/>
      <c r="N309" s="1894"/>
      <c r="O309" s="1894"/>
      <c r="P309" s="1894"/>
      <c r="Q309" s="1894"/>
      <c r="R309" s="1894"/>
      <c r="S309" s="1894"/>
      <c r="T309" s="1894"/>
      <c r="U309" s="1709">
        <f>Interim!FE374</f>
        <v>0.370795541401274</v>
      </c>
      <c r="V309" s="1709">
        <f>Interim!FM374</f>
        <v>0.371730195177956</v>
      </c>
      <c r="W309" s="1709">
        <f>Interim!FU374</f>
        <v>0.366885617214043</v>
      </c>
      <c r="X309" s="1709">
        <f>Interim!GC374</f>
        <v>0.407418668122271</v>
      </c>
      <c r="Y309" s="1709">
        <f>Interim!GK374</f>
        <v>0.437442789034565</v>
      </c>
      <c r="Z309" s="1709">
        <f>Interim!GS374</f>
        <v>0.432442472810532</v>
      </c>
      <c r="AA309" s="1709"/>
      <c r="AB309" s="1709"/>
      <c r="AC309" s="1709"/>
      <c r="AD309" s="1709"/>
      <c r="AE309" s="1709"/>
      <c r="AF309" s="1711"/>
      <c r="AG309" s="1709"/>
      <c r="AH309" s="1709"/>
      <c r="AI309" s="1709"/>
      <c r="AJ309" s="1709"/>
      <c r="AK309" s="1709"/>
      <c r="AL309" s="1709"/>
      <c r="AN309" s="1686"/>
      <c r="AZ309" s="1899"/>
      <c r="BA309" s="1899"/>
      <c r="BB309" s="1899"/>
      <c r="BC309" s="1691"/>
    </row>
    <row r="310" hidden="1" customHeight="1" outlineLevel="1" spans="1:55">
      <c r="A310" s="1910" t="s">
        <v>137</v>
      </c>
      <c r="B310" s="1892"/>
      <c r="C310" s="1893"/>
      <c r="D310" s="1892"/>
      <c r="E310" s="1892"/>
      <c r="F310" s="1892"/>
      <c r="G310" s="1892"/>
      <c r="H310" s="1892"/>
      <c r="I310" s="1892"/>
      <c r="J310" s="1892"/>
      <c r="K310" s="1892"/>
      <c r="L310" s="1894"/>
      <c r="M310" s="1894"/>
      <c r="N310" s="1894"/>
      <c r="O310" s="1894"/>
      <c r="P310" s="1894"/>
      <c r="Q310" s="1894"/>
      <c r="R310" s="1894"/>
      <c r="S310" s="1894"/>
      <c r="T310" s="1894"/>
      <c r="U310" s="1911">
        <f>U235+U246+U257+U268+U279+U290+U301</f>
        <v>2454</v>
      </c>
      <c r="V310" s="1911">
        <f>V235+V246+V257+V268+V279+V290+V301</f>
        <v>2975</v>
      </c>
      <c r="W310" s="1911">
        <f>W235+W246+W257+W268+W279+W290+W301</f>
        <v>3486</v>
      </c>
      <c r="X310" s="1911">
        <f t="shared" ref="X310:Z310" si="324">X235+X246+X257+X268+X279+X290+X301</f>
        <v>4504</v>
      </c>
      <c r="Y310" s="1911">
        <f t="shared" si="324"/>
        <v>4956</v>
      </c>
      <c r="Z310" s="1911">
        <f t="shared" si="324"/>
        <v>5655</v>
      </c>
      <c r="AA310" s="1911"/>
      <c r="AB310" s="1911"/>
      <c r="AC310" s="1911"/>
      <c r="AD310" s="1911"/>
      <c r="AE310" s="1911"/>
      <c r="AF310" s="1912"/>
      <c r="AG310" s="1911"/>
      <c r="AH310" s="1911"/>
      <c r="AI310" s="1911"/>
      <c r="AJ310" s="1911"/>
      <c r="AK310" s="1911"/>
      <c r="AL310" s="1911"/>
      <c r="AN310" s="1686"/>
      <c r="AZ310" s="1899"/>
      <c r="BA310" s="1899"/>
      <c r="BB310" s="1899"/>
      <c r="BC310" s="1691"/>
    </row>
    <row r="311" hidden="1" customHeight="1" outlineLevel="1" spans="1:55">
      <c r="A311" s="1708" t="s">
        <v>132</v>
      </c>
      <c r="B311" s="1892"/>
      <c r="C311" s="1893"/>
      <c r="D311" s="1892"/>
      <c r="E311" s="1892"/>
      <c r="F311" s="1892"/>
      <c r="G311" s="1892"/>
      <c r="H311" s="1892"/>
      <c r="I311" s="1892"/>
      <c r="J311" s="1892"/>
      <c r="K311" s="1892"/>
      <c r="L311" s="1894"/>
      <c r="M311" s="1894"/>
      <c r="N311" s="1894"/>
      <c r="O311" s="1894"/>
      <c r="P311" s="1894"/>
      <c r="Q311" s="1894"/>
      <c r="R311" s="1894"/>
      <c r="S311" s="1894"/>
      <c r="T311" s="1894"/>
      <c r="U311" s="1709">
        <f>U310/(U202+U206)</f>
        <v>0.18627599817823</v>
      </c>
      <c r="V311" s="1709">
        <f>V310/(V202+V206)</f>
        <v>0.192556634304207</v>
      </c>
      <c r="W311" s="1709">
        <f>W310/(W202+W206)</f>
        <v>0.195677799607073</v>
      </c>
      <c r="X311" s="1709">
        <f t="shared" ref="X311:Z311" si="325">X310/(X202+X206)</f>
        <v>0.219954094838111</v>
      </c>
      <c r="Y311" s="1709">
        <f t="shared" si="325"/>
        <v>0.235059760956175</v>
      </c>
      <c r="Z311" s="1709">
        <f t="shared" si="325"/>
        <v>0.24548532731377</v>
      </c>
      <c r="AA311" s="1709"/>
      <c r="AB311" s="1709"/>
      <c r="AC311" s="1709"/>
      <c r="AD311" s="1709"/>
      <c r="AE311" s="1709"/>
      <c r="AF311" s="1711"/>
      <c r="AG311" s="1709"/>
      <c r="AH311" s="1709"/>
      <c r="AI311" s="1709"/>
      <c r="AJ311" s="1709"/>
      <c r="AK311" s="1709"/>
      <c r="AL311" s="1709"/>
      <c r="AN311" s="1686"/>
      <c r="AZ311" s="1899"/>
      <c r="BA311" s="1899"/>
      <c r="BB311" s="1899"/>
      <c r="BC311" s="1691"/>
    </row>
    <row r="312" hidden="1" customHeight="1" outlineLevel="1" spans="1:55">
      <c r="A312" s="1900" t="s">
        <v>70</v>
      </c>
      <c r="B312" s="1892"/>
      <c r="C312" s="1893"/>
      <c r="D312" s="1892"/>
      <c r="E312" s="1892"/>
      <c r="F312" s="1892"/>
      <c r="G312" s="1892"/>
      <c r="H312" s="1892"/>
      <c r="I312" s="1892"/>
      <c r="J312" s="1892"/>
      <c r="K312" s="1892"/>
      <c r="L312" s="1894"/>
      <c r="M312" s="1894"/>
      <c r="N312" s="1894"/>
      <c r="O312" s="1894"/>
      <c r="P312" s="1894"/>
      <c r="Q312" s="1894"/>
      <c r="R312" s="1894"/>
      <c r="S312" s="1894"/>
      <c r="T312" s="1894"/>
      <c r="U312" s="1901">
        <f>Interim!FE375</f>
        <v>0</v>
      </c>
      <c r="V312" s="1901">
        <f>Interim!FM375</f>
        <v>0</v>
      </c>
      <c r="W312" s="1901">
        <f>Interim!FU375</f>
        <v>0</v>
      </c>
      <c r="X312" s="1901"/>
      <c r="Y312" s="1901"/>
      <c r="Z312" s="1901"/>
      <c r="AN312" s="1686"/>
      <c r="AZ312" s="1899"/>
      <c r="BA312" s="1899"/>
      <c r="BB312" s="1899"/>
      <c r="BC312" s="1691"/>
    </row>
    <row r="313" hidden="1" customHeight="1" outlineLevel="1" spans="1:55">
      <c r="A313" s="1708" t="s">
        <v>126</v>
      </c>
      <c r="B313" s="1892"/>
      <c r="C313" s="1893"/>
      <c r="D313" s="1892"/>
      <c r="E313" s="1892"/>
      <c r="F313" s="1892"/>
      <c r="G313" s="1892"/>
      <c r="H313" s="1892"/>
      <c r="I313" s="1892"/>
      <c r="J313" s="1892"/>
      <c r="K313" s="1892"/>
      <c r="L313" s="1894"/>
      <c r="M313" s="1894"/>
      <c r="N313" s="1894"/>
      <c r="O313" s="1894"/>
      <c r="P313" s="1894"/>
      <c r="Q313" s="1894"/>
      <c r="R313" s="1894"/>
      <c r="S313" s="1894"/>
      <c r="T313" s="1894"/>
      <c r="U313" s="1745">
        <f>Interim!FE376</f>
        <v>887</v>
      </c>
      <c r="V313" s="1745">
        <f>Interim!FM376</f>
        <v>970</v>
      </c>
      <c r="W313" s="1745">
        <f>Interim!FU376</f>
        <v>922</v>
      </c>
      <c r="X313" s="1745"/>
      <c r="Y313" s="1745"/>
      <c r="Z313" s="1745"/>
      <c r="AN313" s="1686"/>
      <c r="AZ313" s="1899"/>
      <c r="BA313" s="1899"/>
      <c r="BB313" s="1899"/>
      <c r="BC313" s="1691"/>
    </row>
    <row r="314" hidden="1" customHeight="1" outlineLevel="1" spans="1:55">
      <c r="A314" s="1802" t="s">
        <v>127</v>
      </c>
      <c r="B314" s="1892"/>
      <c r="C314" s="1893"/>
      <c r="D314" s="1892"/>
      <c r="E314" s="1892"/>
      <c r="F314" s="1892"/>
      <c r="G314" s="1892"/>
      <c r="H314" s="1892"/>
      <c r="I314" s="1892"/>
      <c r="J314" s="1892"/>
      <c r="K314" s="1892"/>
      <c r="L314" s="1894"/>
      <c r="M314" s="1894"/>
      <c r="N314" s="1894"/>
      <c r="O314" s="1894"/>
      <c r="P314" s="1894"/>
      <c r="Q314" s="1894"/>
      <c r="R314" s="1894"/>
      <c r="S314" s="1894"/>
      <c r="T314" s="1894"/>
      <c r="U314" s="1703">
        <f>Interim!FE377</f>
        <v>471</v>
      </c>
      <c r="V314" s="1703">
        <f>Interim!FM377</f>
        <v>497</v>
      </c>
      <c r="W314" s="1703">
        <f>Interim!FU377</f>
        <v>553</v>
      </c>
      <c r="X314" s="1703">
        <v>288</v>
      </c>
      <c r="Y314" s="1703">
        <v>384</v>
      </c>
      <c r="Z314" s="1703"/>
      <c r="AN314" s="1686"/>
      <c r="AZ314" s="1899"/>
      <c r="BA314" s="1899"/>
      <c r="BB314" s="1899"/>
      <c r="BC314" s="1691"/>
    </row>
    <row r="315" hidden="1" customHeight="1" outlineLevel="1" spans="1:55">
      <c r="A315" s="1708" t="s">
        <v>61</v>
      </c>
      <c r="B315" s="1892"/>
      <c r="C315" s="1893"/>
      <c r="D315" s="1892"/>
      <c r="E315" s="1892"/>
      <c r="F315" s="1892"/>
      <c r="G315" s="1892"/>
      <c r="H315" s="1892"/>
      <c r="I315" s="1892"/>
      <c r="J315" s="1892"/>
      <c r="K315" s="1892"/>
      <c r="L315" s="1894"/>
      <c r="M315" s="1894"/>
      <c r="N315" s="1894"/>
      <c r="O315" s="1894"/>
      <c r="P315" s="1894"/>
      <c r="Q315" s="1894"/>
      <c r="R315" s="1894"/>
      <c r="S315" s="1894"/>
      <c r="T315" s="1894"/>
      <c r="U315" s="1709">
        <f>Interim!FE378</f>
        <v>0</v>
      </c>
      <c r="V315" s="1709">
        <f>Interim!FM378</f>
        <v>0.0552016985138004</v>
      </c>
      <c r="W315" s="1709">
        <f>Interim!FU378</f>
        <v>0.112676056338028</v>
      </c>
      <c r="X315" s="1709"/>
      <c r="Y315" s="1709">
        <f>Y314/X314-1</f>
        <v>0.333333333333333</v>
      </c>
      <c r="Z315" s="1709"/>
      <c r="AN315" s="1686"/>
      <c r="AZ315" s="1899"/>
      <c r="BA315" s="1899"/>
      <c r="BB315" s="1899"/>
      <c r="BC315" s="1691"/>
    </row>
    <row r="316" hidden="1" customHeight="1" outlineLevel="1" spans="1:55">
      <c r="A316" s="1708" t="s">
        <v>128</v>
      </c>
      <c r="B316" s="1892"/>
      <c r="C316" s="1893"/>
      <c r="D316" s="1892"/>
      <c r="E316" s="1892"/>
      <c r="F316" s="1892"/>
      <c r="G316" s="1892"/>
      <c r="H316" s="1892"/>
      <c r="I316" s="1892"/>
      <c r="J316" s="1892"/>
      <c r="K316" s="1892"/>
      <c r="L316" s="1894"/>
      <c r="M316" s="1894"/>
      <c r="N316" s="1894"/>
      <c r="O316" s="1894"/>
      <c r="P316" s="1894"/>
      <c r="Q316" s="1894"/>
      <c r="R316" s="1894"/>
      <c r="S316" s="1894"/>
      <c r="T316" s="1894"/>
      <c r="U316" s="1709">
        <f>Interim!FE379</f>
        <v>0.346833578792342</v>
      </c>
      <c r="V316" s="1709">
        <f>Interim!FM379</f>
        <v>0.338786639400136</v>
      </c>
      <c r="W316" s="1709">
        <f>Interim!FU379</f>
        <v>0.374915254237288</v>
      </c>
      <c r="X316" s="1709">
        <v>0.39</v>
      </c>
      <c r="Y316" s="1709">
        <v>0.464</v>
      </c>
      <c r="Z316" s="1709"/>
      <c r="AN316" s="1686"/>
      <c r="AZ316" s="1899"/>
      <c r="BA316" s="1899"/>
      <c r="BB316" s="1899"/>
      <c r="BC316" s="1691"/>
    </row>
    <row r="317" hidden="1" customHeight="1" outlineLevel="1" spans="1:55">
      <c r="A317" s="1708" t="s">
        <v>129</v>
      </c>
      <c r="B317" s="1892"/>
      <c r="C317" s="1893"/>
      <c r="D317" s="1892"/>
      <c r="E317" s="1892"/>
      <c r="F317" s="1892"/>
      <c r="G317" s="1892"/>
      <c r="H317" s="1892"/>
      <c r="I317" s="1892"/>
      <c r="J317" s="1892"/>
      <c r="K317" s="1892"/>
      <c r="L317" s="1894"/>
      <c r="M317" s="1894"/>
      <c r="N317" s="1894"/>
      <c r="O317" s="1894"/>
      <c r="P317" s="1894"/>
      <c r="Q317" s="1894"/>
      <c r="R317" s="1894"/>
      <c r="S317" s="1894"/>
      <c r="T317" s="1894"/>
      <c r="U317" s="1745">
        <f>Interim!FE380</f>
        <v>529</v>
      </c>
      <c r="V317" s="1745">
        <f>Interim!FM380</f>
        <v>586</v>
      </c>
      <c r="W317" s="1745">
        <f>Interim!FU380</f>
        <v>567</v>
      </c>
      <c r="X317" s="1745">
        <v>224</v>
      </c>
      <c r="Y317" s="1745">
        <v>228</v>
      </c>
      <c r="Z317" s="1745"/>
      <c r="AN317" s="1686"/>
      <c r="AZ317" s="1899"/>
      <c r="BA317" s="1899"/>
      <c r="BB317" s="1899"/>
      <c r="BC317" s="1691"/>
    </row>
    <row r="318" hidden="1" customHeight="1" outlineLevel="1" spans="1:55">
      <c r="A318" s="1708" t="s">
        <v>61</v>
      </c>
      <c r="B318" s="1892"/>
      <c r="C318" s="1893"/>
      <c r="D318" s="1892"/>
      <c r="E318" s="1892"/>
      <c r="F318" s="1892"/>
      <c r="G318" s="1892"/>
      <c r="H318" s="1892"/>
      <c r="I318" s="1892"/>
      <c r="J318" s="1892"/>
      <c r="K318" s="1892"/>
      <c r="L318" s="1894"/>
      <c r="M318" s="1894"/>
      <c r="N318" s="1894"/>
      <c r="O318" s="1894"/>
      <c r="P318" s="1894"/>
      <c r="Q318" s="1894"/>
      <c r="R318" s="1894"/>
      <c r="S318" s="1894"/>
      <c r="T318" s="1894"/>
      <c r="U318" s="1709">
        <f>Interim!FE381</f>
        <v>0</v>
      </c>
      <c r="V318" s="1709">
        <f>Interim!FM381</f>
        <v>0.107750472589792</v>
      </c>
      <c r="W318" s="1709">
        <f>Interim!FU381</f>
        <v>-0.0324232081911263</v>
      </c>
      <c r="X318" s="1709"/>
      <c r="Y318" s="1709">
        <f>Y317/X317-1</f>
        <v>0.0178571428571428</v>
      </c>
      <c r="Z318" s="1709"/>
      <c r="AN318" s="1686"/>
      <c r="AP318" s="1772"/>
      <c r="AQ318" s="1772"/>
      <c r="AR318" s="1772"/>
      <c r="AS318" s="1772"/>
      <c r="AT318" s="1833"/>
      <c r="AU318" s="1833"/>
      <c r="AV318" s="1833"/>
      <c r="AW318" s="1878"/>
      <c r="AZ318" s="1899"/>
      <c r="BA318" s="1899"/>
      <c r="BB318" s="1899"/>
      <c r="BC318" s="1691"/>
    </row>
    <row r="319" hidden="1" customHeight="1" outlineLevel="1" spans="1:55">
      <c r="A319" s="1708" t="s">
        <v>130</v>
      </c>
      <c r="B319" s="1892"/>
      <c r="C319" s="1893"/>
      <c r="D319" s="1892"/>
      <c r="E319" s="1892"/>
      <c r="F319" s="1892"/>
      <c r="G319" s="1892"/>
      <c r="H319" s="1892"/>
      <c r="I319" s="1892"/>
      <c r="J319" s="1892"/>
      <c r="K319" s="1892"/>
      <c r="L319" s="1894"/>
      <c r="M319" s="1894"/>
      <c r="N319" s="1894"/>
      <c r="O319" s="1894"/>
      <c r="P319" s="1894"/>
      <c r="Q319" s="1894"/>
      <c r="R319" s="1894"/>
      <c r="S319" s="1894"/>
      <c r="T319" s="1894"/>
      <c r="U319" s="1709">
        <f>Interim!FE382</f>
        <v>0.389543446244477</v>
      </c>
      <c r="V319" s="1709">
        <f>Interim!FM382</f>
        <v>0.39945466939332</v>
      </c>
      <c r="W319" s="1709">
        <f>Interim!FU382</f>
        <v>0.384406779661017</v>
      </c>
      <c r="X319" s="1709">
        <v>0.304</v>
      </c>
      <c r="Y319" s="1709">
        <v>0.275</v>
      </c>
      <c r="Z319" s="1709"/>
      <c r="AN319" s="1686"/>
      <c r="AP319" s="1821"/>
      <c r="AQ319" s="1821"/>
      <c r="AR319" s="1821"/>
      <c r="AS319" s="1821"/>
      <c r="AT319" s="1873"/>
      <c r="AU319" s="1873"/>
      <c r="AV319" s="1873"/>
      <c r="AW319" s="1873"/>
      <c r="AZ319" s="1899"/>
      <c r="BA319" s="1899"/>
      <c r="BB319" s="1899"/>
      <c r="BC319" s="1691"/>
    </row>
    <row r="320" hidden="1" customHeight="1" outlineLevel="1" spans="1:55">
      <c r="A320" s="1802" t="s">
        <v>131</v>
      </c>
      <c r="B320" s="1892"/>
      <c r="C320" s="1893"/>
      <c r="D320" s="1892"/>
      <c r="E320" s="1892"/>
      <c r="F320" s="1892"/>
      <c r="G320" s="1892"/>
      <c r="H320" s="1892"/>
      <c r="I320" s="1892"/>
      <c r="J320" s="1892"/>
      <c r="K320" s="1892"/>
      <c r="L320" s="1894"/>
      <c r="M320" s="1894"/>
      <c r="N320" s="1894"/>
      <c r="O320" s="1894"/>
      <c r="P320" s="1894"/>
      <c r="Q320" s="1894"/>
      <c r="R320" s="1894"/>
      <c r="S320" s="1894"/>
      <c r="T320" s="1894"/>
      <c r="U320" s="1703">
        <f>Interim!FE383</f>
        <v>-58</v>
      </c>
      <c r="V320" s="1703">
        <f>Interim!FM383</f>
        <v>-89</v>
      </c>
      <c r="W320" s="1703">
        <f>Interim!FU383</f>
        <v>-14</v>
      </c>
      <c r="X320" s="1841">
        <v>69</v>
      </c>
      <c r="Y320" s="1841">
        <v>162</v>
      </c>
      <c r="Z320" s="1841"/>
      <c r="AA320" s="1841"/>
      <c r="AB320" s="1841"/>
      <c r="AC320" s="1841"/>
      <c r="AD320" s="1841"/>
      <c r="AE320" s="1841"/>
      <c r="AF320" s="1842"/>
      <c r="AG320" s="1841"/>
      <c r="AH320" s="1841"/>
      <c r="AI320" s="1841"/>
      <c r="AJ320" s="1841"/>
      <c r="AK320" s="1841"/>
      <c r="AL320" s="1841"/>
      <c r="AN320" s="1686"/>
      <c r="AP320" s="1877"/>
      <c r="AQ320" s="1877"/>
      <c r="AR320" s="1877"/>
      <c r="AS320" s="1877"/>
      <c r="AT320" s="1877"/>
      <c r="AU320" s="1877"/>
      <c r="AV320" s="1877"/>
      <c r="AW320" s="1878"/>
      <c r="AZ320" s="1899"/>
      <c r="BA320" s="1899"/>
      <c r="BB320" s="1899"/>
      <c r="BC320" s="1691"/>
    </row>
    <row r="321" hidden="1" customHeight="1" outlineLevel="1" spans="1:66">
      <c r="A321" s="1708" t="s">
        <v>61</v>
      </c>
      <c r="B321" s="1892"/>
      <c r="C321" s="1893"/>
      <c r="D321" s="1892"/>
      <c r="E321" s="1892"/>
      <c r="F321" s="1892"/>
      <c r="G321" s="1892"/>
      <c r="H321" s="1892"/>
      <c r="I321" s="1892"/>
      <c r="J321" s="1892"/>
      <c r="K321" s="1892"/>
      <c r="L321" s="1894"/>
      <c r="M321" s="1894"/>
      <c r="N321" s="1894"/>
      <c r="O321" s="1894"/>
      <c r="P321" s="1894"/>
      <c r="Q321" s="1894"/>
      <c r="R321" s="1894"/>
      <c r="S321" s="1894"/>
      <c r="T321" s="1894"/>
      <c r="U321" s="1709">
        <f>Interim!FE384</f>
        <v>0</v>
      </c>
      <c r="V321" s="1709">
        <f>Interim!FM384</f>
        <v>0.53448275862069</v>
      </c>
      <c r="W321" s="1709">
        <f>Interim!FU384</f>
        <v>0.842696629213483</v>
      </c>
      <c r="X321" s="1866"/>
      <c r="Y321" s="1866">
        <f t="shared" ref="Y321" si="326">Y320/X320-1</f>
        <v>1.34782608695652</v>
      </c>
      <c r="Z321" s="1866"/>
      <c r="AA321" s="1866"/>
      <c r="AB321" s="1866"/>
      <c r="AC321" s="1866"/>
      <c r="AD321" s="1866"/>
      <c r="AE321" s="1866"/>
      <c r="AF321" s="1888"/>
      <c r="AG321" s="1866"/>
      <c r="AH321" s="1866"/>
      <c r="AI321" s="1866"/>
      <c r="AJ321" s="1866"/>
      <c r="AK321" s="1866"/>
      <c r="AL321" s="1866"/>
      <c r="AM321" s="1772"/>
      <c r="AN321" s="1686"/>
      <c r="AP321" s="1877"/>
      <c r="AQ321" s="1877"/>
      <c r="AR321" s="1877"/>
      <c r="AS321" s="1716"/>
      <c r="AT321" s="1877"/>
      <c r="AU321" s="1877"/>
      <c r="AV321" s="1877"/>
      <c r="AW321" s="1878"/>
      <c r="AZ321" s="1899"/>
      <c r="BA321" s="1899"/>
      <c r="BB321" s="1899"/>
      <c r="BC321" s="1691"/>
    </row>
    <row r="322" hidden="1" customHeight="1" outlineLevel="1" spans="1:66">
      <c r="A322" s="1708" t="s">
        <v>132</v>
      </c>
      <c r="B322" s="1892"/>
      <c r="C322" s="1893"/>
      <c r="D322" s="1892"/>
      <c r="E322" s="1892"/>
      <c r="F322" s="1892"/>
      <c r="G322" s="1892"/>
      <c r="H322" s="1892"/>
      <c r="I322" s="1892"/>
      <c r="J322" s="1892"/>
      <c r="K322" s="1892"/>
      <c r="L322" s="1894"/>
      <c r="M322" s="1894"/>
      <c r="N322" s="1894"/>
      <c r="O322" s="1894"/>
      <c r="P322" s="1894"/>
      <c r="Q322" s="1894"/>
      <c r="R322" s="1894"/>
      <c r="S322" s="1894"/>
      <c r="T322" s="1894"/>
      <c r="U322" s="1709">
        <f>Interim!FE385</f>
        <v>-0.0427098674521355</v>
      </c>
      <c r="V322" s="1709">
        <f>Interim!FM385</f>
        <v>-0.0606680299931834</v>
      </c>
      <c r="W322" s="1709">
        <f>Interim!FU385</f>
        <v>-0.00949152542372881</v>
      </c>
      <c r="X322" s="1866">
        <v>0.093</v>
      </c>
      <c r="Y322" s="1866">
        <v>0.195</v>
      </c>
      <c r="Z322" s="1866"/>
      <c r="AA322" s="1866"/>
      <c r="AB322" s="1866"/>
      <c r="AC322" s="1866"/>
      <c r="AD322" s="1866"/>
      <c r="AE322" s="1866"/>
      <c r="AF322" s="1888"/>
      <c r="AG322" s="1866"/>
      <c r="AH322" s="1866"/>
      <c r="AI322" s="1866"/>
      <c r="AJ322" s="1866"/>
      <c r="AK322" s="1866"/>
      <c r="AL322" s="1866"/>
      <c r="AN322" s="1686"/>
      <c r="AP322" s="1877"/>
      <c r="AQ322" s="1877"/>
      <c r="AR322" s="1877"/>
      <c r="AS322" s="1877"/>
      <c r="AT322" s="1877"/>
      <c r="AU322" s="1877"/>
      <c r="AV322" s="1877"/>
      <c r="AW322" s="1878"/>
      <c r="AZ322" s="1899"/>
      <c r="BA322" s="1899"/>
      <c r="BB322" s="1899"/>
      <c r="BC322" s="1691"/>
    </row>
    <row r="323" customHeight="1" collapsed="1" spans="1:66">
      <c r="A323" s="1892"/>
      <c r="B323" s="1892"/>
      <c r="C323" s="1893"/>
      <c r="D323" s="1892"/>
      <c r="E323" s="1892"/>
      <c r="F323" s="1892"/>
      <c r="G323" s="1892"/>
      <c r="H323" s="1892"/>
      <c r="I323" s="1892"/>
      <c r="J323" s="1892"/>
      <c r="K323" s="1892"/>
      <c r="L323" s="1894"/>
      <c r="M323" s="1894"/>
      <c r="N323" s="1894"/>
      <c r="O323" s="1894"/>
      <c r="P323" s="1894"/>
      <c r="Q323" s="1894"/>
      <c r="R323" s="1894"/>
      <c r="S323" s="1894"/>
      <c r="T323" s="1894"/>
      <c r="U323" s="1894"/>
      <c r="V323" s="1894"/>
      <c r="W323" s="1703"/>
      <c r="X323" s="1897"/>
      <c r="Y323" s="1897"/>
      <c r="Z323" s="1897"/>
      <c r="AA323" s="1897"/>
      <c r="AB323" s="1897"/>
      <c r="AC323" s="1897"/>
      <c r="AD323" s="1913" t="s">
        <v>138</v>
      </c>
      <c r="AE323" s="1896"/>
      <c r="AF323" s="1898"/>
      <c r="AG323" s="1894"/>
      <c r="AH323" s="1896"/>
      <c r="AI323" s="1896"/>
      <c r="AJ323" s="1896"/>
      <c r="AK323" s="1896"/>
      <c r="AL323" s="1897"/>
      <c r="AM323" s="1246"/>
      <c r="AO323" s="1772"/>
      <c r="AP323" s="1821"/>
      <c r="AQ323" s="1821"/>
      <c r="AR323" s="1821"/>
      <c r="AS323" s="1821"/>
      <c r="AT323" s="1821"/>
      <c r="AU323" s="1821"/>
      <c r="AV323" s="1785"/>
      <c r="AW323" s="1878"/>
      <c r="AZ323" s="1899"/>
      <c r="BA323" s="1899"/>
      <c r="BB323" s="1899"/>
      <c r="BC323" s="1691"/>
    </row>
    <row r="324" customHeight="1" spans="1:66">
      <c r="A324" s="1697" t="s">
        <v>139</v>
      </c>
      <c r="B324" s="1914" t="s">
        <v>14</v>
      </c>
      <c r="C324" s="1914" t="s">
        <v>15</v>
      </c>
      <c r="D324" s="1914" t="s">
        <v>16</v>
      </c>
      <c r="E324" s="1914" t="s">
        <v>17</v>
      </c>
      <c r="F324" s="1914" t="s">
        <v>18</v>
      </c>
      <c r="G324" s="1914" t="s">
        <v>19</v>
      </c>
      <c r="H324" s="1914" t="s">
        <v>20</v>
      </c>
      <c r="I324" s="1914" t="s">
        <v>21</v>
      </c>
      <c r="J324" s="1914" t="s">
        <v>22</v>
      </c>
      <c r="K324" s="1914" t="s">
        <v>23</v>
      </c>
      <c r="L324" s="1915" t="s">
        <v>24</v>
      </c>
      <c r="M324" s="1915" t="s">
        <v>25</v>
      </c>
      <c r="N324" s="1915" t="s">
        <v>26</v>
      </c>
      <c r="O324" s="1915" t="s">
        <v>27</v>
      </c>
      <c r="P324" s="1915" t="s">
        <v>28</v>
      </c>
      <c r="Q324" s="1915" t="s">
        <v>29</v>
      </c>
      <c r="R324" s="1915" t="s">
        <v>30</v>
      </c>
      <c r="S324" s="1915" t="s">
        <v>31</v>
      </c>
      <c r="T324" s="1915" t="s">
        <v>32</v>
      </c>
      <c r="U324" s="1915" t="s">
        <v>33</v>
      </c>
      <c r="V324" s="1915" t="s">
        <v>34</v>
      </c>
      <c r="W324" s="1915" t="s">
        <v>35</v>
      </c>
      <c r="X324" s="1915" t="s">
        <v>36</v>
      </c>
      <c r="Y324" s="1915" t="s">
        <v>37</v>
      </c>
      <c r="Z324" s="1915" t="s">
        <v>38</v>
      </c>
      <c r="AA324" s="1915" t="s">
        <v>39</v>
      </c>
      <c r="AB324" s="1915" t="s">
        <v>40</v>
      </c>
      <c r="AC324" s="1915" t="s">
        <v>41</v>
      </c>
      <c r="AD324" s="1915" t="s">
        <v>42</v>
      </c>
      <c r="AE324" s="1915" t="s">
        <v>43</v>
      </c>
      <c r="AF324" s="1916" t="s">
        <v>44</v>
      </c>
      <c r="AG324" s="1915" t="str">
        <f>AG1</f>
        <v>FY 26E</v>
      </c>
      <c r="AH324" s="1915" t="str">
        <f>AH1</f>
        <v>FY 27E</v>
      </c>
      <c r="AI324" s="1915" t="str">
        <f>AI1</f>
        <v>FY 28E</v>
      </c>
      <c r="AJ324" s="1915" t="str">
        <f>AJ1</f>
        <v>FY 29E</v>
      </c>
      <c r="AK324" s="1915" t="str">
        <f>AK1</f>
        <v>FY 30E</v>
      </c>
      <c r="AL324" s="1915"/>
      <c r="AM324" s="1246"/>
      <c r="AO324" s="1772"/>
      <c r="AP324" s="1821"/>
      <c r="AQ324" s="1821"/>
      <c r="AR324" s="1821"/>
      <c r="AS324" s="1821"/>
      <c r="AT324" s="1821"/>
      <c r="AU324" s="1821"/>
      <c r="AV324" s="1785"/>
      <c r="AX324" s="1691"/>
      <c r="AZ324" s="1756"/>
      <c r="BA324" s="1756"/>
    </row>
    <row r="325" customHeight="1" spans="1:66">
      <c r="A325" s="1917" t="s">
        <v>71</v>
      </c>
      <c r="B325" s="1918"/>
      <c r="C325" s="1918">
        <v>2408</v>
      </c>
      <c r="D325" s="1918">
        <v>3425</v>
      </c>
      <c r="E325" s="1918">
        <v>5065</v>
      </c>
      <c r="F325" s="1918">
        <v>5354</v>
      </c>
      <c r="G325" s="1918">
        <v>5835</v>
      </c>
      <c r="H325" s="1918">
        <v>6112</v>
      </c>
      <c r="I325" s="1918">
        <v>6523</v>
      </c>
      <c r="J325" s="1918">
        <v>6267</v>
      </c>
      <c r="K325" s="1918">
        <v>5860</v>
      </c>
      <c r="L325" s="1919">
        <v>6636</v>
      </c>
      <c r="M325" s="1919">
        <v>10084</v>
      </c>
      <c r="N325" s="1919">
        <v>10299</v>
      </c>
      <c r="O325" s="1919">
        <v>10799</v>
      </c>
      <c r="P325" s="1919">
        <v>10381</v>
      </c>
      <c r="Q325" s="1919">
        <f>Q32</f>
        <v>11990</v>
      </c>
      <c r="R325" s="1919">
        <f>R32</f>
        <v>13323</v>
      </c>
      <c r="S325" s="1919">
        <f>S32</f>
        <v>14883</v>
      </c>
      <c r="T325" s="1919">
        <v>14205</v>
      </c>
      <c r="U325" s="1919">
        <v>14534</v>
      </c>
      <c r="V325" s="1919">
        <f t="shared" ref="V325:X325" si="327">V143</f>
        <v>16915</v>
      </c>
      <c r="W325" s="1919">
        <f t="shared" si="327"/>
        <v>19290</v>
      </c>
      <c r="X325" s="1919">
        <f t="shared" si="327"/>
        <v>21218</v>
      </c>
      <c r="Y325" s="1919">
        <f>Interim!GK388</f>
        <v>21915</v>
      </c>
      <c r="Z325" s="1919">
        <f>Interim!GS388</f>
        <v>23641</v>
      </c>
      <c r="AA325" s="1919">
        <f t="shared" ref="AA325:AF325" si="328">AA143</f>
        <v>19844</v>
      </c>
      <c r="AB325" s="1919">
        <f t="shared" si="328"/>
        <v>21234</v>
      </c>
      <c r="AC325" s="1919">
        <f t="shared" si="328"/>
        <v>22511</v>
      </c>
      <c r="AD325" s="1919">
        <f t="shared" si="328"/>
        <v>20678</v>
      </c>
      <c r="AE325" s="1919">
        <f t="shared" si="328"/>
        <v>23033</v>
      </c>
      <c r="AF325" s="1920">
        <f t="shared" si="328"/>
        <v>24811</v>
      </c>
      <c r="AG325" s="1919">
        <f t="shared" ref="AG325:AH325" si="329">AG143</f>
        <v>27132.9311563009</v>
      </c>
      <c r="AH325" s="1919">
        <f t="shared" si="329"/>
        <v>29183.6508198389</v>
      </c>
      <c r="AI325" s="1919">
        <f t="shared" ref="AI325:AJ325" si="330">AI143</f>
        <v>31160.2093781161</v>
      </c>
      <c r="AJ325" s="1919">
        <f t="shared" si="330"/>
        <v>33016.7762649976</v>
      </c>
      <c r="AK325" s="1919">
        <f t="shared" ref="AK325" si="331">AK143</f>
        <v>34986.3580579743</v>
      </c>
      <c r="AL325" s="1919"/>
      <c r="AM325" s="1246"/>
      <c r="AN325" s="1246"/>
      <c r="AO325" s="1772"/>
      <c r="AP325" s="1821"/>
      <c r="AQ325" s="1821"/>
      <c r="AR325" s="1821"/>
      <c r="AS325" s="1821"/>
      <c r="AT325" s="1821"/>
      <c r="AU325" s="1821"/>
      <c r="AV325" s="1785"/>
      <c r="AX325" s="1691"/>
      <c r="AZ325" s="1673"/>
      <c r="BA325" s="1673"/>
    </row>
    <row r="326" hidden="1" customHeight="1" spans="1:66">
      <c r="A326" s="1686" t="s">
        <v>140</v>
      </c>
      <c r="B326" s="1921"/>
      <c r="C326" s="1921">
        <v>0</v>
      </c>
      <c r="D326" s="1921">
        <v>0</v>
      </c>
      <c r="E326" s="1921">
        <v>0</v>
      </c>
      <c r="F326" s="1921">
        <v>0</v>
      </c>
      <c r="G326" s="1921">
        <v>0</v>
      </c>
      <c r="H326" s="1921">
        <v>0</v>
      </c>
      <c r="I326" s="1921">
        <v>0</v>
      </c>
      <c r="J326" s="1921">
        <v>0</v>
      </c>
      <c r="K326" s="1921">
        <v>0</v>
      </c>
      <c r="L326" s="1859">
        <v>0</v>
      </c>
      <c r="M326" s="1859">
        <v>0</v>
      </c>
      <c r="N326" s="1859">
        <v>0</v>
      </c>
      <c r="O326" s="1859">
        <v>0</v>
      </c>
      <c r="P326" s="1859">
        <v>0</v>
      </c>
      <c r="Q326" s="1859">
        <v>0</v>
      </c>
      <c r="R326" s="1859">
        <v>0</v>
      </c>
      <c r="S326" s="1859">
        <v>0</v>
      </c>
      <c r="T326" s="1859">
        <v>0</v>
      </c>
      <c r="U326" s="1859">
        <v>0</v>
      </c>
      <c r="V326" s="1859">
        <v>0</v>
      </c>
      <c r="W326" s="1859">
        <v>0</v>
      </c>
      <c r="X326" s="1859">
        <v>0</v>
      </c>
      <c r="Y326" s="1859">
        <v>0</v>
      </c>
      <c r="Z326" s="1859">
        <v>0</v>
      </c>
      <c r="AA326" s="1859">
        <v>0</v>
      </c>
      <c r="AB326" s="1859">
        <v>0</v>
      </c>
      <c r="AC326" s="1859">
        <v>0</v>
      </c>
      <c r="AD326" s="1859">
        <v>0</v>
      </c>
      <c r="AE326" s="1859">
        <v>0</v>
      </c>
      <c r="AF326" s="1922">
        <v>0</v>
      </c>
      <c r="AG326" s="1859">
        <v>0</v>
      </c>
      <c r="AH326" s="1859">
        <v>0</v>
      </c>
      <c r="AI326" s="1859">
        <v>0</v>
      </c>
      <c r="AJ326" s="1859">
        <v>0</v>
      </c>
      <c r="AK326" s="1859">
        <v>0</v>
      </c>
      <c r="AL326" s="1859"/>
      <c r="AM326" s="1246"/>
      <c r="AO326" s="1772"/>
      <c r="AP326" s="1821"/>
      <c r="AQ326" s="1821"/>
      <c r="AR326" s="1821"/>
      <c r="AS326" s="1821"/>
      <c r="AT326" s="1821"/>
      <c r="AU326" s="1821"/>
      <c r="AV326" s="1785"/>
      <c r="AX326" s="1691"/>
      <c r="AZ326" s="1750"/>
      <c r="BA326" s="1750"/>
    </row>
    <row r="327" hidden="1" customHeight="1" spans="1:66">
      <c r="A327" s="1917" t="s">
        <v>141</v>
      </c>
      <c r="B327" s="1918"/>
      <c r="C327" s="1918">
        <f>C325+C326</f>
        <v>2408</v>
      </c>
      <c r="D327" s="1918">
        <f>D325+D326</f>
        <v>3425</v>
      </c>
      <c r="E327" s="1918">
        <f>E325+E326</f>
        <v>5065</v>
      </c>
      <c r="F327" s="1918">
        <f t="shared" ref="F327:L327" si="332">F325+F326</f>
        <v>5354</v>
      </c>
      <c r="G327" s="1918">
        <f t="shared" si="332"/>
        <v>5835</v>
      </c>
      <c r="H327" s="1918">
        <f t="shared" si="332"/>
        <v>6112</v>
      </c>
      <c r="I327" s="1918">
        <f t="shared" si="332"/>
        <v>6523</v>
      </c>
      <c r="J327" s="1918">
        <f t="shared" si="332"/>
        <v>6267</v>
      </c>
      <c r="K327" s="1918">
        <f t="shared" si="332"/>
        <v>5860</v>
      </c>
      <c r="L327" s="1919">
        <f t="shared" si="332"/>
        <v>6636</v>
      </c>
      <c r="M327" s="1919">
        <f>M325</f>
        <v>10084</v>
      </c>
      <c r="N327" s="1919">
        <f>N325+N326</f>
        <v>10299</v>
      </c>
      <c r="O327" s="1919">
        <f>O325+O326</f>
        <v>10799</v>
      </c>
      <c r="P327" s="1919">
        <f>P325+P326</f>
        <v>10381</v>
      </c>
      <c r="Q327" s="1919">
        <f t="shared" ref="Q327:V327" si="333">Q325+Q326</f>
        <v>11990</v>
      </c>
      <c r="R327" s="1919">
        <f t="shared" si="333"/>
        <v>13323</v>
      </c>
      <c r="S327" s="1919">
        <f t="shared" si="333"/>
        <v>14883</v>
      </c>
      <c r="T327" s="1919">
        <f t="shared" si="333"/>
        <v>14205</v>
      </c>
      <c r="U327" s="1919">
        <f t="shared" si="333"/>
        <v>14534</v>
      </c>
      <c r="V327" s="1919">
        <f t="shared" si="333"/>
        <v>16915</v>
      </c>
      <c r="W327" s="1919">
        <f t="shared" ref="W327:AB327" si="334">W325+W326</f>
        <v>19290</v>
      </c>
      <c r="X327" s="1919">
        <f t="shared" si="334"/>
        <v>21218</v>
      </c>
      <c r="Y327" s="1919">
        <f t="shared" si="334"/>
        <v>21915</v>
      </c>
      <c r="Z327" s="1919">
        <f t="shared" si="334"/>
        <v>23641</v>
      </c>
      <c r="AA327" s="1919">
        <f t="shared" si="334"/>
        <v>19844</v>
      </c>
      <c r="AB327" s="1919">
        <f t="shared" si="334"/>
        <v>21234</v>
      </c>
      <c r="AC327" s="1919">
        <f t="shared" ref="AC327:AD327" si="335">AC325+AC326</f>
        <v>22511</v>
      </c>
      <c r="AD327" s="1919">
        <f t="shared" si="335"/>
        <v>20678</v>
      </c>
      <c r="AE327" s="1919">
        <f t="shared" ref="AE327:AF327" si="336">AE325+AE326</f>
        <v>23033</v>
      </c>
      <c r="AF327" s="1920">
        <f t="shared" si="336"/>
        <v>24811</v>
      </c>
      <c r="AG327" s="1919">
        <f t="shared" ref="AG327:AH327" si="337">AG325+AG326</f>
        <v>27132.9311563009</v>
      </c>
      <c r="AH327" s="1919">
        <f t="shared" si="337"/>
        <v>29183.6508198389</v>
      </c>
      <c r="AI327" s="1919">
        <f t="shared" ref="AI327:AJ327" si="338">AI325+AI326</f>
        <v>31160.2093781161</v>
      </c>
      <c r="AJ327" s="1919">
        <f t="shared" si="338"/>
        <v>33016.7762649976</v>
      </c>
      <c r="AK327" s="1919">
        <f t="shared" ref="AK327" si="339">AK325+AK326</f>
        <v>34986.3580579743</v>
      </c>
      <c r="AL327" s="1923"/>
      <c r="AM327" s="1246"/>
      <c r="AO327" s="1772"/>
      <c r="AP327" s="1821"/>
      <c r="AQ327" s="1821"/>
      <c r="AR327" s="1821"/>
      <c r="AS327" s="1821"/>
      <c r="AT327" s="1821"/>
      <c r="AU327" s="1821"/>
      <c r="AV327" s="1785"/>
      <c r="AX327" s="1691"/>
      <c r="AZ327" s="1750"/>
      <c r="BA327" s="1750"/>
    </row>
    <row r="328" s="1679" customFormat="1" customHeight="1" spans="1:66">
      <c r="A328" s="1679" t="s">
        <v>142</v>
      </c>
      <c r="B328" s="1769"/>
      <c r="C328" s="1769"/>
      <c r="D328" s="1769">
        <f>D327/C327-1</f>
        <v>0.42234219269103</v>
      </c>
      <c r="E328" s="1769">
        <f>E327/D327-1</f>
        <v>0.478832116788321</v>
      </c>
      <c r="F328" s="1769">
        <f t="shared" ref="F328:L328" si="340">F327/E327-1</f>
        <v>0.0570582428430404</v>
      </c>
      <c r="G328" s="1769">
        <f t="shared" si="340"/>
        <v>0.0898393724318267</v>
      </c>
      <c r="H328" s="1769">
        <f t="shared" si="340"/>
        <v>0.0474721508140532</v>
      </c>
      <c r="I328" s="1769">
        <f t="shared" si="340"/>
        <v>0.0672447643979057</v>
      </c>
      <c r="J328" s="1769">
        <f t="shared" si="340"/>
        <v>-0.0392457458224743</v>
      </c>
      <c r="K328" s="1769">
        <f t="shared" si="340"/>
        <v>-0.0649433540769108</v>
      </c>
      <c r="L328" s="1246">
        <f t="shared" si="340"/>
        <v>0.132423208191126</v>
      </c>
      <c r="M328" s="1246">
        <f t="shared" ref="M328:X328" si="341">M327/L327-1</f>
        <v>0.519590114526823</v>
      </c>
      <c r="N328" s="1246">
        <f t="shared" si="341"/>
        <v>0.0213209044030147</v>
      </c>
      <c r="O328" s="1246">
        <f t="shared" si="341"/>
        <v>0.0485484027575493</v>
      </c>
      <c r="P328" s="1709">
        <f t="shared" si="341"/>
        <v>-0.0387072877118252</v>
      </c>
      <c r="Q328" s="1764">
        <f t="shared" si="341"/>
        <v>0.154994701859166</v>
      </c>
      <c r="R328" s="1764">
        <f t="shared" si="341"/>
        <v>0.111175979983319</v>
      </c>
      <c r="S328" s="1764">
        <f t="shared" si="341"/>
        <v>0.117090745327629</v>
      </c>
      <c r="T328" s="1764">
        <f t="shared" si="341"/>
        <v>-0.0455553315863737</v>
      </c>
      <c r="U328" s="1764">
        <f t="shared" si="341"/>
        <v>0.0231608588525167</v>
      </c>
      <c r="V328" s="1764">
        <f t="shared" si="341"/>
        <v>0.163822760423834</v>
      </c>
      <c r="W328" s="1764">
        <f t="shared" si="341"/>
        <v>0.140407921962755</v>
      </c>
      <c r="X328" s="1764">
        <f t="shared" si="341"/>
        <v>0.0999481596682219</v>
      </c>
      <c r="Y328" s="1764">
        <f t="shared" ref="Y328:AK328" si="342">Y327/X327-1</f>
        <v>0.0328494674333115</v>
      </c>
      <c r="Z328" s="1764">
        <f t="shared" si="342"/>
        <v>0.0787588409764999</v>
      </c>
      <c r="AA328" s="1764">
        <f t="shared" si="342"/>
        <v>-0.160610803265513</v>
      </c>
      <c r="AB328" s="1764">
        <f>AB327/18435-1</f>
        <v>0.151830756712775</v>
      </c>
      <c r="AC328" s="1764">
        <f t="shared" si="342"/>
        <v>0.0601393990769521</v>
      </c>
      <c r="AD328" s="1764">
        <f t="shared" si="342"/>
        <v>-0.0814268579805427</v>
      </c>
      <c r="AE328" s="1764">
        <f t="shared" si="342"/>
        <v>0.113889157558758</v>
      </c>
      <c r="AF328" s="1845">
        <f t="shared" si="342"/>
        <v>0.0771935918030651</v>
      </c>
      <c r="AG328" s="1764">
        <f t="shared" si="342"/>
        <v>0.0935847469388953</v>
      </c>
      <c r="AH328" s="1764">
        <f t="shared" si="342"/>
        <v>0.0755804690515973</v>
      </c>
      <c r="AI328" s="1764">
        <f t="shared" si="342"/>
        <v>0.0677282828827417</v>
      </c>
      <c r="AJ328" s="1764">
        <f t="shared" si="342"/>
        <v>0.0595813354253465</v>
      </c>
      <c r="AK328" s="1764">
        <f t="shared" si="342"/>
        <v>0.059653970368533</v>
      </c>
      <c r="AL328" s="1764"/>
      <c r="AM328" s="1246"/>
      <c r="AN328" s="1688"/>
      <c r="AO328" s="1772"/>
      <c r="AP328" s="1821"/>
      <c r="AQ328" s="1821"/>
      <c r="AR328" s="1821"/>
      <c r="AS328" s="1821"/>
      <c r="AT328" s="1821"/>
      <c r="AU328" s="1821"/>
      <c r="AV328" s="1785"/>
      <c r="AZ328" s="1750"/>
      <c r="BA328" s="1750"/>
      <c r="BB328" s="1750"/>
    </row>
    <row r="329" s="1679" customFormat="1" customHeight="1" spans="1:66">
      <c r="A329" s="1679" t="s">
        <v>143</v>
      </c>
      <c r="B329" s="1769"/>
      <c r="C329" s="1769"/>
      <c r="D329" s="1769"/>
      <c r="E329" s="1769"/>
      <c r="F329" s="1769"/>
      <c r="G329" s="1769"/>
      <c r="H329" s="1769"/>
      <c r="I329" s="1769"/>
      <c r="J329" s="1769"/>
      <c r="K329" s="1769"/>
      <c r="L329" s="1246"/>
      <c r="M329" s="1246"/>
      <c r="N329" s="1246"/>
      <c r="O329" s="1246"/>
      <c r="P329" s="1709"/>
      <c r="Q329" s="1764"/>
      <c r="R329" s="1764"/>
      <c r="S329" s="1764"/>
      <c r="T329" s="1764"/>
      <c r="U329" s="1764">
        <f>U35</f>
        <v>0.0646918989787469</v>
      </c>
      <c r="V329" s="1764">
        <f>V35</f>
        <v>0.0963410858047203</v>
      </c>
      <c r="W329" s="1764">
        <f>W35</f>
        <v>0.1815992905705</v>
      </c>
      <c r="X329" s="1764">
        <f>X35</f>
        <v>0.159997786824436</v>
      </c>
      <c r="Y329" s="1764">
        <f t="shared" ref="Y329:AG329" si="343">Y35</f>
        <v>0.0842075596191913</v>
      </c>
      <c r="Z329" s="1764">
        <f t="shared" si="343"/>
        <v>0.0605195710700433</v>
      </c>
      <c r="AA329" s="1764">
        <f t="shared" si="343"/>
        <v>-0.134484943113378</v>
      </c>
      <c r="AB329" s="1764">
        <f t="shared" si="343"/>
        <v>0.16</v>
      </c>
      <c r="AC329" s="1764">
        <f t="shared" si="343"/>
        <v>0.0104352453612131</v>
      </c>
      <c r="AD329" s="1764">
        <f t="shared" si="343"/>
        <v>-0.044</v>
      </c>
      <c r="AE329" s="1764">
        <f t="shared" si="343"/>
        <v>0.13754569060045</v>
      </c>
      <c r="AF329" s="1845">
        <f t="shared" si="343"/>
        <v>0.128168148743108</v>
      </c>
      <c r="AG329" s="1764">
        <f t="shared" si="343"/>
        <v>0.105392366289146</v>
      </c>
      <c r="AH329" s="1764">
        <f t="shared" ref="AH329" si="344">AH35</f>
        <v>0.067494679244341</v>
      </c>
      <c r="AI329" s="1764">
        <f t="shared" ref="AI329:AJ329" si="345">AI35</f>
        <v>0.0677282828827418</v>
      </c>
      <c r="AJ329" s="1764">
        <f t="shared" si="345"/>
        <v>0.0595813354253463</v>
      </c>
      <c r="AK329" s="1764">
        <f t="shared" ref="AK329" si="346">AK35</f>
        <v>0.0596539703685331</v>
      </c>
      <c r="AL329" s="1764"/>
      <c r="AM329" s="1246"/>
      <c r="AN329" s="1688"/>
      <c r="AO329" s="1772"/>
      <c r="AP329" s="1821"/>
      <c r="AQ329" s="1821"/>
      <c r="AR329" s="1821"/>
      <c r="AS329" s="1821"/>
      <c r="AT329" s="1821"/>
      <c r="AU329" s="1821"/>
      <c r="AV329" s="1785"/>
      <c r="AZ329" s="1750"/>
      <c r="BA329" s="1750"/>
      <c r="BB329" s="1750"/>
    </row>
    <row r="330" customHeight="1" spans="1:66">
      <c r="A330" s="1849" t="s">
        <v>144</v>
      </c>
      <c r="B330" s="1924"/>
      <c r="C330" s="1924">
        <f>C327-C333</f>
        <v>1448</v>
      </c>
      <c r="D330" s="1924">
        <f>D327-D333</f>
        <v>1988</v>
      </c>
      <c r="E330" s="1924">
        <f>E327-E333</f>
        <v>2941</v>
      </c>
      <c r="F330" s="1924">
        <f t="shared" ref="F330:L330" si="347">F327-F333</f>
        <v>3002</v>
      </c>
      <c r="G330" s="1924">
        <f t="shared" si="347"/>
        <v>3307</v>
      </c>
      <c r="H330" s="1924">
        <f t="shared" si="347"/>
        <v>3511</v>
      </c>
      <c r="I330" s="1924">
        <f t="shared" si="347"/>
        <v>3704</v>
      </c>
      <c r="J330" s="1924">
        <f t="shared" si="347"/>
        <v>3453</v>
      </c>
      <c r="K330" s="1924">
        <f t="shared" si="347"/>
        <v>3047</v>
      </c>
      <c r="L330" s="1925">
        <f t="shared" si="347"/>
        <v>3439</v>
      </c>
      <c r="M330" s="1925">
        <f t="shared" ref="M330:S330" si="348">M327-M333</f>
        <v>5589</v>
      </c>
      <c r="N330" s="1925">
        <f t="shared" si="348"/>
        <v>5417</v>
      </c>
      <c r="O330" s="1925">
        <f t="shared" si="348"/>
        <v>5543</v>
      </c>
      <c r="P330" s="1925">
        <f t="shared" si="348"/>
        <v>5669</v>
      </c>
      <c r="Q330" s="1925">
        <f t="shared" si="348"/>
        <v>6260</v>
      </c>
      <c r="R330" s="1925">
        <f t="shared" si="348"/>
        <v>6994</v>
      </c>
      <c r="S330" s="1925">
        <f t="shared" si="348"/>
        <v>7780</v>
      </c>
      <c r="T330" s="1925">
        <f t="shared" ref="T330:AA330" si="349">T327-T333</f>
        <v>7204</v>
      </c>
      <c r="U330" s="1925">
        <f t="shared" si="349"/>
        <v>7610</v>
      </c>
      <c r="V330" s="1925">
        <f t="shared" si="349"/>
        <v>8747</v>
      </c>
      <c r="W330" s="1925">
        <f t="shared" si="349"/>
        <v>9911</v>
      </c>
      <c r="X330" s="1925">
        <f t="shared" si="349"/>
        <v>10515</v>
      </c>
      <c r="Y330" s="1925">
        <f t="shared" si="349"/>
        <v>10552</v>
      </c>
      <c r="Z330" s="1925">
        <f t="shared" si="349"/>
        <v>11348</v>
      </c>
      <c r="AA330" s="1925">
        <f t="shared" si="349"/>
        <v>9989</v>
      </c>
      <c r="AB330" s="1925">
        <f t="shared" ref="AB330:AG330" si="350">AB327-AB333</f>
        <v>10469</v>
      </c>
      <c r="AC330" s="1925">
        <f t="shared" si="350"/>
        <v>11867</v>
      </c>
      <c r="AD330" s="1925">
        <f t="shared" si="350"/>
        <v>11094</v>
      </c>
      <c r="AE330" s="1925">
        <f t="shared" si="350"/>
        <v>11401.335</v>
      </c>
      <c r="AF330" s="1926">
        <f t="shared" si="350"/>
        <v>12006</v>
      </c>
      <c r="AG330" s="1925">
        <f t="shared" si="350"/>
        <v>13132.3386796497</v>
      </c>
      <c r="AH330" s="1925">
        <f t="shared" ref="AH330" si="351">AH327-AH333</f>
        <v>13862.2341394235</v>
      </c>
      <c r="AI330" s="1925">
        <f t="shared" ref="AI330:AJ330" si="352">AI327-AI333</f>
        <v>14801.0994546051</v>
      </c>
      <c r="AJ330" s="1925">
        <f t="shared" si="352"/>
        <v>15682.9687258739</v>
      </c>
      <c r="AK330" s="1925">
        <f t="shared" ref="AK330" si="353">AK327-AK333</f>
        <v>16618.5200775378</v>
      </c>
      <c r="AL330" s="1925"/>
      <c r="AM330" s="1246"/>
      <c r="AO330" s="1772"/>
      <c r="AP330" s="1821"/>
      <c r="AQ330" s="1821"/>
      <c r="AR330" s="1821"/>
      <c r="AS330" s="1821"/>
      <c r="AT330" s="1821"/>
      <c r="AU330" s="1821"/>
      <c r="AV330" s="1785"/>
      <c r="AX330" s="1691"/>
    </row>
    <row r="331" s="1679" customFormat="1" customHeight="1" spans="1:66">
      <c r="A331" s="1679" t="s">
        <v>142</v>
      </c>
      <c r="B331" s="1769"/>
      <c r="C331" s="1769"/>
      <c r="D331" s="1769">
        <f>D330/C330-1</f>
        <v>0.37292817679558</v>
      </c>
      <c r="E331" s="1769">
        <f>E330/D330-1</f>
        <v>0.479376257545272</v>
      </c>
      <c r="F331" s="1769">
        <f t="shared" ref="F331:L331" si="354">F330/E330-1</f>
        <v>0.0207412444746684</v>
      </c>
      <c r="G331" s="1769">
        <f t="shared" si="354"/>
        <v>0.101598934043971</v>
      </c>
      <c r="H331" s="1769">
        <f t="shared" si="354"/>
        <v>0.0616873299062595</v>
      </c>
      <c r="I331" s="1769">
        <f t="shared" si="354"/>
        <v>0.0549700939903162</v>
      </c>
      <c r="J331" s="1769">
        <f t="shared" si="354"/>
        <v>-0.0677645788336934</v>
      </c>
      <c r="K331" s="1769">
        <f t="shared" si="354"/>
        <v>-0.117578916883869</v>
      </c>
      <c r="L331" s="1246">
        <f t="shared" si="354"/>
        <v>0.12865113226124</v>
      </c>
      <c r="M331" s="1246">
        <f t="shared" ref="M331:S331" si="355">M330/L330-1</f>
        <v>0.625181738877581</v>
      </c>
      <c r="N331" s="1246">
        <f t="shared" si="355"/>
        <v>-0.0307747360887457</v>
      </c>
      <c r="O331" s="1246">
        <f t="shared" si="355"/>
        <v>0.0232601070703342</v>
      </c>
      <c r="P331" s="1246">
        <f t="shared" si="355"/>
        <v>0.0227313729027603</v>
      </c>
      <c r="Q331" s="1246">
        <f t="shared" si="355"/>
        <v>0.104251190686188</v>
      </c>
      <c r="R331" s="1246">
        <f t="shared" si="355"/>
        <v>0.117252396166134</v>
      </c>
      <c r="S331" s="1246">
        <f t="shared" si="355"/>
        <v>0.112382041750071</v>
      </c>
      <c r="T331" s="1246">
        <f t="shared" ref="T331:AK331" si="356">T330/S330-1</f>
        <v>-0.0740359897172237</v>
      </c>
      <c r="U331" s="1246">
        <f t="shared" si="356"/>
        <v>0.0563575791227096</v>
      </c>
      <c r="V331" s="1246">
        <f t="shared" si="356"/>
        <v>0.149408672798949</v>
      </c>
      <c r="W331" s="1246">
        <f t="shared" si="356"/>
        <v>0.133074196867497</v>
      </c>
      <c r="X331" s="1246">
        <f t="shared" si="356"/>
        <v>0.0609423872464936</v>
      </c>
      <c r="Y331" s="1246">
        <f t="shared" si="356"/>
        <v>0.00351878269139383</v>
      </c>
      <c r="Z331" s="1246">
        <f t="shared" si="356"/>
        <v>0.07543593631539</v>
      </c>
      <c r="AA331" s="1246">
        <f t="shared" si="356"/>
        <v>-0.119756785336623</v>
      </c>
      <c r="AB331" s="1246">
        <f>AB330/9212-1</f>
        <v>0.136452453321754</v>
      </c>
      <c r="AC331" s="1246">
        <f t="shared" si="356"/>
        <v>0.133537109561563</v>
      </c>
      <c r="AD331" s="1246">
        <f t="shared" si="356"/>
        <v>-0.0651386197016934</v>
      </c>
      <c r="AE331" s="1246">
        <f t="shared" si="356"/>
        <v>0.0277028123309895</v>
      </c>
      <c r="AF331" s="1717">
        <f t="shared" si="356"/>
        <v>0.0530345788453719</v>
      </c>
      <c r="AG331" s="1246">
        <f t="shared" si="356"/>
        <v>0.0938146493128145</v>
      </c>
      <c r="AH331" s="1246">
        <f t="shared" si="356"/>
        <v>0.0555800057841089</v>
      </c>
      <c r="AI331" s="1246">
        <f t="shared" si="356"/>
        <v>0.0677282828827417</v>
      </c>
      <c r="AJ331" s="1246">
        <f t="shared" si="356"/>
        <v>0.0595813354253465</v>
      </c>
      <c r="AK331" s="1246">
        <f t="shared" si="356"/>
        <v>0.059653970368533</v>
      </c>
      <c r="AL331" s="1246"/>
      <c r="AM331" s="1246"/>
      <c r="AN331" s="1688"/>
      <c r="AO331" s="1772"/>
      <c r="AP331" s="1821"/>
      <c r="AQ331" s="1821"/>
      <c r="AR331" s="1821"/>
      <c r="AS331" s="1821"/>
      <c r="AT331" s="1821"/>
      <c r="AU331" s="1821"/>
      <c r="AV331" s="1785"/>
      <c r="AZ331" s="1750"/>
      <c r="BA331" s="1750"/>
      <c r="BB331" s="1750"/>
      <c r="BC331" s="1750"/>
    </row>
    <row r="332" customHeight="1" spans="1:66">
      <c r="A332" s="1686" t="s">
        <v>145</v>
      </c>
      <c r="B332" s="1769"/>
      <c r="C332" s="1769">
        <f>C330/C$325</f>
        <v>0.601328903654485</v>
      </c>
      <c r="D332" s="1769">
        <f>D330/D$325</f>
        <v>0.58043795620438</v>
      </c>
      <c r="E332" s="1769">
        <f>E330/E$325</f>
        <v>0.580651530108588</v>
      </c>
      <c r="F332" s="1769">
        <f t="shared" ref="F332:N332" si="357">F330/F$325</f>
        <v>0.560702278670153</v>
      </c>
      <c r="G332" s="1769">
        <f t="shared" si="357"/>
        <v>0.56675235646958</v>
      </c>
      <c r="H332" s="1769">
        <f t="shared" si="357"/>
        <v>0.574443717277487</v>
      </c>
      <c r="I332" s="1769">
        <f t="shared" si="357"/>
        <v>0.567836884868925</v>
      </c>
      <c r="J332" s="1769">
        <f t="shared" si="357"/>
        <v>0.550981330780278</v>
      </c>
      <c r="K332" s="1769">
        <f t="shared" si="357"/>
        <v>0.519965870307167</v>
      </c>
      <c r="L332" s="1246">
        <f t="shared" si="357"/>
        <v>0.518233875828813</v>
      </c>
      <c r="M332" s="1246">
        <f t="shared" si="357"/>
        <v>0.554244347481158</v>
      </c>
      <c r="N332" s="1246">
        <f t="shared" si="357"/>
        <v>0.525973395475289</v>
      </c>
      <c r="O332" s="1246">
        <f t="shared" ref="O332:U332" si="358">O330/O$325</f>
        <v>0.51328826743217</v>
      </c>
      <c r="P332" s="1246">
        <f t="shared" si="358"/>
        <v>0.546093825257682</v>
      </c>
      <c r="Q332" s="1246">
        <f t="shared" si="358"/>
        <v>0.52210175145955</v>
      </c>
      <c r="R332" s="1246">
        <f t="shared" si="358"/>
        <v>0.524956841552203</v>
      </c>
      <c r="S332" s="1246">
        <f t="shared" si="358"/>
        <v>0.522744070415911</v>
      </c>
      <c r="T332" s="1246">
        <f t="shared" si="358"/>
        <v>0.507145371348117</v>
      </c>
      <c r="U332" s="1246">
        <f t="shared" si="358"/>
        <v>0.52359983486996</v>
      </c>
      <c r="V332" s="1246">
        <f t="shared" ref="V332:AA332" si="359">V330/V$325</f>
        <v>0.517114986698197</v>
      </c>
      <c r="W332" s="1246">
        <f t="shared" si="359"/>
        <v>0.513789528252981</v>
      </c>
      <c r="X332" s="1246">
        <f t="shared" si="359"/>
        <v>0.495569799227071</v>
      </c>
      <c r="Y332" s="1246">
        <f t="shared" si="359"/>
        <v>0.481496691763632</v>
      </c>
      <c r="Z332" s="1246">
        <f t="shared" si="359"/>
        <v>0.480013535806438</v>
      </c>
      <c r="AA332" s="1246">
        <f t="shared" si="359"/>
        <v>0.503376335416247</v>
      </c>
      <c r="AB332" s="1246">
        <f t="shared" ref="AB332:AG332" si="360">AB330/AB$325</f>
        <v>0.493030046152397</v>
      </c>
      <c r="AC332" s="1246">
        <f t="shared" si="360"/>
        <v>0.527164497356848</v>
      </c>
      <c r="AD332" s="1246">
        <f t="shared" si="360"/>
        <v>0.536512235225844</v>
      </c>
      <c r="AE332" s="1246">
        <f t="shared" si="360"/>
        <v>0.495</v>
      </c>
      <c r="AF332" s="1717">
        <f t="shared" si="360"/>
        <v>0.483898270928217</v>
      </c>
      <c r="AG332" s="1246">
        <f t="shared" si="360"/>
        <v>0.484</v>
      </c>
      <c r="AH332" s="1246">
        <f t="shared" ref="AH332" si="361">AH330/AH$325</f>
        <v>0.475</v>
      </c>
      <c r="AI332" s="1246">
        <f t="shared" ref="AI332:AJ332" si="362">AI330/AI$325</f>
        <v>0.475</v>
      </c>
      <c r="AJ332" s="1246">
        <f t="shared" si="362"/>
        <v>0.475</v>
      </c>
      <c r="AK332" s="1246">
        <f t="shared" ref="AK332" si="363">AK330/AK$325</f>
        <v>0.475</v>
      </c>
      <c r="AL332" s="1246"/>
      <c r="AM332" s="1246"/>
      <c r="AO332" s="1772"/>
      <c r="AP332" s="1821"/>
      <c r="AQ332" s="1821"/>
      <c r="AR332" s="1821"/>
      <c r="AS332" s="1821"/>
      <c r="AT332" s="1821"/>
      <c r="AU332" s="1821"/>
      <c r="AV332" s="1785"/>
      <c r="AX332" s="1691"/>
      <c r="AZ332" s="1756"/>
      <c r="BA332" s="1756"/>
    </row>
    <row r="333" customHeight="1" spans="1:66">
      <c r="A333" s="1927" t="s">
        <v>146</v>
      </c>
      <c r="B333" s="1928"/>
      <c r="C333" s="1928">
        <v>960</v>
      </c>
      <c r="D333" s="1928">
        <v>1437</v>
      </c>
      <c r="E333" s="1928">
        <v>2124</v>
      </c>
      <c r="F333" s="1928">
        <v>2352</v>
      </c>
      <c r="G333" s="1928">
        <v>2528</v>
      </c>
      <c r="H333" s="1928">
        <v>2601</v>
      </c>
      <c r="I333" s="1928">
        <v>2819</v>
      </c>
      <c r="J333" s="1928">
        <v>2814</v>
      </c>
      <c r="K333" s="1928">
        <v>2813</v>
      </c>
      <c r="L333" s="1929">
        <v>3197</v>
      </c>
      <c r="M333" s="1929">
        <v>4495</v>
      </c>
      <c r="N333" s="1929">
        <v>4882</v>
      </c>
      <c r="O333" s="1929">
        <v>5256</v>
      </c>
      <c r="P333" s="1929">
        <v>4712</v>
      </c>
      <c r="Q333" s="1929">
        <v>5730</v>
      </c>
      <c r="R333" s="1929">
        <v>6329</v>
      </c>
      <c r="S333" s="1929">
        <v>7103</v>
      </c>
      <c r="T333" s="1929">
        <v>7001</v>
      </c>
      <c r="U333" s="1929">
        <v>6924</v>
      </c>
      <c r="V333" s="1929">
        <v>8168</v>
      </c>
      <c r="W333" s="1929">
        <v>9379</v>
      </c>
      <c r="X333" s="1929">
        <f>Interim!GC395</f>
        <v>10703</v>
      </c>
      <c r="Y333" s="1929">
        <f>Interim!GK395</f>
        <v>11363</v>
      </c>
      <c r="Z333" s="1929">
        <f>Interim!GS395</f>
        <v>12293</v>
      </c>
      <c r="AA333" s="1929">
        <f>Interim!HA395</f>
        <v>9855</v>
      </c>
      <c r="AB333" s="1929">
        <f t="shared" ref="AB333:AG333" si="364">AB335*AB327</f>
        <v>10765</v>
      </c>
      <c r="AC333" s="1929">
        <f t="shared" si="364"/>
        <v>10644</v>
      </c>
      <c r="AD333" s="1929">
        <f t="shared" si="364"/>
        <v>9584</v>
      </c>
      <c r="AE333" s="1929">
        <f t="shared" si="364"/>
        <v>11631.665</v>
      </c>
      <c r="AF333" s="1930">
        <f t="shared" si="364"/>
        <v>12805</v>
      </c>
      <c r="AG333" s="1929">
        <f t="shared" si="364"/>
        <v>14000.5924766513</v>
      </c>
      <c r="AH333" s="1929">
        <f t="shared" ref="AH333" si="365">AH335*AH327</f>
        <v>15321.4166804154</v>
      </c>
      <c r="AI333" s="1929">
        <f t="shared" ref="AI333:AJ333" si="366">AI335*AI327</f>
        <v>16359.1099235109</v>
      </c>
      <c r="AJ333" s="1929">
        <f t="shared" si="366"/>
        <v>17333.8075391238</v>
      </c>
      <c r="AK333" s="1929">
        <f t="shared" ref="AK333" si="367">AK335*AK327</f>
        <v>18367.8379804365</v>
      </c>
      <c r="AL333" s="1931"/>
      <c r="AM333" s="1246"/>
      <c r="AO333" s="1772"/>
      <c r="AP333" s="1821"/>
      <c r="AQ333" s="1821"/>
      <c r="AR333" s="1821"/>
      <c r="AS333" s="1821"/>
      <c r="AT333" s="1821"/>
      <c r="AU333" s="1821"/>
      <c r="AV333" s="1785"/>
      <c r="AX333" s="1691"/>
    </row>
    <row r="334" s="1679" customFormat="1" customHeight="1" spans="1:66">
      <c r="A334" s="1679" t="s">
        <v>142</v>
      </c>
      <c r="B334" s="1769"/>
      <c r="C334" s="1769"/>
      <c r="D334" s="1769">
        <f>D333/C333-1</f>
        <v>0.496875</v>
      </c>
      <c r="E334" s="1769">
        <f>E333/D333-1</f>
        <v>0.478079331941545</v>
      </c>
      <c r="F334" s="1769">
        <f t="shared" ref="F334:K334" si="368">F333/E333-1</f>
        <v>0.107344632768362</v>
      </c>
      <c r="G334" s="1769">
        <f t="shared" si="368"/>
        <v>0.0748299319727892</v>
      </c>
      <c r="H334" s="1769">
        <f t="shared" si="368"/>
        <v>0.0288765822784811</v>
      </c>
      <c r="I334" s="1769">
        <f t="shared" si="368"/>
        <v>0.0838139177239523</v>
      </c>
      <c r="J334" s="1769">
        <f t="shared" si="368"/>
        <v>-0.001773678609436</v>
      </c>
      <c r="K334" s="1769">
        <f t="shared" si="368"/>
        <v>-0.000355366027007809</v>
      </c>
      <c r="L334" s="1246">
        <v>0.136105188343994</v>
      </c>
      <c r="M334" s="1246">
        <f t="shared" ref="M334:S334" si="369">M333/L333-1</f>
        <v>0.406005630278386</v>
      </c>
      <c r="N334" s="1246">
        <f t="shared" si="369"/>
        <v>0.0860956618464961</v>
      </c>
      <c r="O334" s="1246">
        <f t="shared" si="369"/>
        <v>0.0766079475624744</v>
      </c>
      <c r="P334" s="1246">
        <f t="shared" si="369"/>
        <v>-0.103500761035008</v>
      </c>
      <c r="Q334" s="1246">
        <f t="shared" si="369"/>
        <v>0.216044142614601</v>
      </c>
      <c r="R334" s="1246">
        <f t="shared" si="369"/>
        <v>0.104537521815009</v>
      </c>
      <c r="S334" s="1246">
        <f t="shared" si="369"/>
        <v>0.122294201295623</v>
      </c>
      <c r="T334" s="1246">
        <f t="shared" ref="T334:AK334" si="370">T333/S333-1</f>
        <v>-0.0143601295227369</v>
      </c>
      <c r="U334" s="1246">
        <f t="shared" si="370"/>
        <v>-0.0109984287958863</v>
      </c>
      <c r="V334" s="1246">
        <f t="shared" si="370"/>
        <v>0.179664933564414</v>
      </c>
      <c r="W334" s="1246">
        <f t="shared" si="370"/>
        <v>0.148261508325171</v>
      </c>
      <c r="X334" s="1246">
        <f t="shared" si="370"/>
        <v>0.141166435654121</v>
      </c>
      <c r="Y334" s="1865">
        <f t="shared" si="370"/>
        <v>0.0616649537512846</v>
      </c>
      <c r="Z334" s="1246">
        <f t="shared" si="370"/>
        <v>0.0818445832966646</v>
      </c>
      <c r="AA334" s="1246">
        <f t="shared" si="370"/>
        <v>-0.198324249572928</v>
      </c>
      <c r="AB334" s="1865">
        <f>AB333/9223-1</f>
        <v>0.167190718855036</v>
      </c>
      <c r="AC334" s="1865">
        <f t="shared" ref="AC334" si="371">AC333/AB333-1</f>
        <v>-0.0112401300510915</v>
      </c>
      <c r="AD334" s="1865">
        <f t="shared" si="370"/>
        <v>-0.0995866215708381</v>
      </c>
      <c r="AE334" s="1865">
        <f t="shared" si="370"/>
        <v>0.213654528380635</v>
      </c>
      <c r="AF334" s="1932">
        <f t="shared" si="370"/>
        <v>0.100874208464566</v>
      </c>
      <c r="AG334" s="1865">
        <f t="shared" si="370"/>
        <v>0.0933691898985773</v>
      </c>
      <c r="AH334" s="1865">
        <f t="shared" si="370"/>
        <v>0.0943405935117996</v>
      </c>
      <c r="AI334" s="1865">
        <f t="shared" si="370"/>
        <v>0.0677282828827417</v>
      </c>
      <c r="AJ334" s="1865">
        <f t="shared" si="370"/>
        <v>0.0595813354253465</v>
      </c>
      <c r="AK334" s="1865">
        <f t="shared" si="370"/>
        <v>0.0596539703685333</v>
      </c>
      <c r="AL334" s="1865"/>
      <c r="AM334" s="1246"/>
      <c r="AN334" s="1688"/>
      <c r="AO334" s="1772"/>
      <c r="AP334" s="1821"/>
      <c r="AQ334" s="1821"/>
      <c r="AR334" s="1821"/>
      <c r="AS334" s="1821"/>
      <c r="AT334" s="1821"/>
      <c r="AU334" s="1821"/>
      <c r="AV334" s="1785"/>
      <c r="AW334" s="1933"/>
      <c r="AX334" s="1933"/>
      <c r="AY334" s="1934"/>
      <c r="AZ334" s="1934"/>
      <c r="BA334" s="1934"/>
      <c r="BB334" s="1686"/>
      <c r="BC334" s="1750"/>
      <c r="BI334" s="1750"/>
      <c r="BJ334" s="1750"/>
      <c r="BK334" s="1750"/>
      <c r="BL334" s="1750"/>
      <c r="BM334" s="1750"/>
      <c r="BN334" s="1750"/>
    </row>
    <row r="335" customHeight="1" spans="1:66">
      <c r="A335" s="1686" t="s">
        <v>145</v>
      </c>
      <c r="B335" s="1769"/>
      <c r="C335" s="1769">
        <f>C333/C$325</f>
        <v>0.398671096345515</v>
      </c>
      <c r="D335" s="1769">
        <f>D333/D$325</f>
        <v>0.41956204379562</v>
      </c>
      <c r="E335" s="1769">
        <f>E333/E$325</f>
        <v>0.419348469891412</v>
      </c>
      <c r="F335" s="1769">
        <f t="shared" ref="F335:M335" si="372">F333/F$325</f>
        <v>0.439297721329847</v>
      </c>
      <c r="G335" s="1769">
        <f t="shared" si="372"/>
        <v>0.43324764353042</v>
      </c>
      <c r="H335" s="1769">
        <f t="shared" si="372"/>
        <v>0.425556282722513</v>
      </c>
      <c r="I335" s="1769">
        <f t="shared" si="372"/>
        <v>0.432163115131075</v>
      </c>
      <c r="J335" s="1769">
        <f t="shared" si="372"/>
        <v>0.449018669219722</v>
      </c>
      <c r="K335" s="1769">
        <f t="shared" si="372"/>
        <v>0.480034129692833</v>
      </c>
      <c r="L335" s="1246">
        <f t="shared" si="372"/>
        <v>0.481766124171187</v>
      </c>
      <c r="M335" s="1246">
        <f t="shared" si="372"/>
        <v>0.445755652518842</v>
      </c>
      <c r="N335" s="1246">
        <f>N333/N327</f>
        <v>0.474026604524711</v>
      </c>
      <c r="O335" s="1246">
        <f>O333/O327</f>
        <v>0.48671173256783</v>
      </c>
      <c r="P335" s="1246">
        <f t="shared" ref="P335:X335" si="373">P333/P$325</f>
        <v>0.453906174742318</v>
      </c>
      <c r="Q335" s="1246">
        <f t="shared" si="373"/>
        <v>0.47789824854045</v>
      </c>
      <c r="R335" s="1246">
        <f t="shared" si="373"/>
        <v>0.475043158447797</v>
      </c>
      <c r="S335" s="1246">
        <f t="shared" si="373"/>
        <v>0.477255929584089</v>
      </c>
      <c r="T335" s="1246">
        <f t="shared" si="373"/>
        <v>0.492854628651883</v>
      </c>
      <c r="U335" s="1246">
        <f t="shared" si="373"/>
        <v>0.47640016513004</v>
      </c>
      <c r="V335" s="1246">
        <f t="shared" si="373"/>
        <v>0.482885013301803</v>
      </c>
      <c r="W335" s="1764">
        <f t="shared" si="373"/>
        <v>0.486210471747019</v>
      </c>
      <c r="X335" s="1764">
        <f t="shared" si="373"/>
        <v>0.504430200772929</v>
      </c>
      <c r="Y335" s="1865">
        <f>Y333/Y327</f>
        <v>0.518503308236368</v>
      </c>
      <c r="Z335" s="1865">
        <f>Z333/Z327</f>
        <v>0.519986464193562</v>
      </c>
      <c r="AA335" s="1865">
        <f>AA333/AA327</f>
        <v>0.496623664583753</v>
      </c>
      <c r="AB335" s="1865">
        <v>0.506969953847603</v>
      </c>
      <c r="AC335" s="1865">
        <v>0.472835502643152</v>
      </c>
      <c r="AD335" s="1865">
        <v>0.463487764774156</v>
      </c>
      <c r="AE335" s="1865">
        <v>0.505</v>
      </c>
      <c r="AF335" s="1932">
        <v>0.516101729071783</v>
      </c>
      <c r="AG335" s="1865">
        <v>0.516</v>
      </c>
      <c r="AH335" s="1865">
        <v>0.525</v>
      </c>
      <c r="AI335" s="1865">
        <v>0.525</v>
      </c>
      <c r="AJ335" s="1865">
        <f>AI335</f>
        <v>0.525</v>
      </c>
      <c r="AK335" s="1865">
        <f>AJ335</f>
        <v>0.525</v>
      </c>
      <c r="AL335" s="1865"/>
      <c r="AM335" s="1246"/>
      <c r="AO335" s="1772"/>
      <c r="AP335" s="1821"/>
      <c r="AQ335" s="1821"/>
      <c r="AR335" s="1821"/>
      <c r="AS335" s="1821"/>
      <c r="AT335" s="1821"/>
      <c r="AU335" s="1821"/>
      <c r="AV335" s="1785"/>
      <c r="AW335" s="1933"/>
      <c r="AX335" s="1933"/>
    </row>
    <row r="336" customHeight="1" spans="1:66">
      <c r="A336" s="1935" t="s">
        <v>147</v>
      </c>
      <c r="B336" s="1936"/>
      <c r="C336" s="1936">
        <v>49</v>
      </c>
      <c r="D336" s="1936">
        <v>44</v>
      </c>
      <c r="E336" s="1936">
        <v>45</v>
      </c>
      <c r="F336" s="1936">
        <v>34.8495</v>
      </c>
      <c r="G336" s="1936">
        <v>43</v>
      </c>
      <c r="H336" s="1936">
        <v>32</v>
      </c>
      <c r="I336" s="1936">
        <v>46.5</v>
      </c>
      <c r="J336" s="1936">
        <v>43</v>
      </c>
      <c r="K336" s="1936">
        <v>42.458</v>
      </c>
      <c r="L336" s="1937">
        <v>47.207</v>
      </c>
      <c r="M336" s="1937">
        <v>90</v>
      </c>
      <c r="N336" s="1937">
        <v>102</v>
      </c>
      <c r="O336" s="1937">
        <v>89</v>
      </c>
      <c r="P336" s="1937">
        <v>86</v>
      </c>
      <c r="Q336" s="1937">
        <v>100</v>
      </c>
      <c r="R336" s="1937">
        <v>93</v>
      </c>
      <c r="S336" s="1937">
        <v>105</v>
      </c>
      <c r="T336" s="1937">
        <v>103</v>
      </c>
      <c r="U336" s="1937">
        <v>102</v>
      </c>
      <c r="V336" s="1937">
        <v>119</v>
      </c>
      <c r="W336" s="1937">
        <v>109</v>
      </c>
      <c r="X336" s="1938">
        <f t="shared" ref="X336" si="374">X338*X325</f>
        <v>115</v>
      </c>
      <c r="Y336" s="1938">
        <f>Interim!GK399</f>
        <v>129</v>
      </c>
      <c r="Z336" s="1938">
        <f>Interim!GS399</f>
        <v>154</v>
      </c>
      <c r="AA336" s="1938">
        <f>Interim!HA399</f>
        <v>83</v>
      </c>
      <c r="AB336" s="1938">
        <v>86</v>
      </c>
      <c r="AC336" s="1938">
        <f t="shared" ref="AC336:AG336" si="375">AC338*AC325</f>
        <v>112</v>
      </c>
      <c r="AD336" s="1938">
        <f t="shared" si="375"/>
        <v>83</v>
      </c>
      <c r="AE336" s="1938">
        <f t="shared" si="375"/>
        <v>81</v>
      </c>
      <c r="AF336" s="1939">
        <f t="shared" si="375"/>
        <v>20</v>
      </c>
      <c r="AG336" s="1938">
        <f t="shared" si="375"/>
        <v>21.8716949387779</v>
      </c>
      <c r="AH336" s="1938">
        <f t="shared" ref="AH336" si="376">AH338*AH325</f>
        <v>23.5247679012042</v>
      </c>
      <c r="AI336" s="1938">
        <f t="shared" ref="AI336:AJ336" si="377">AI338*AI325</f>
        <v>25.1180600363678</v>
      </c>
      <c r="AJ336" s="1938">
        <f t="shared" si="377"/>
        <v>26.6146275966286</v>
      </c>
      <c r="AK336" s="1938">
        <f t="shared" ref="AK336" si="378">AK338*AK325</f>
        <v>28.2022958026474</v>
      </c>
      <c r="AL336" s="1938"/>
      <c r="AM336" s="1246"/>
      <c r="AO336" s="1772"/>
      <c r="AP336" s="1821"/>
      <c r="AQ336" s="1821"/>
      <c r="AR336" s="1821"/>
      <c r="AS336" s="1821"/>
      <c r="AT336" s="1821"/>
      <c r="AU336" s="1821"/>
      <c r="AV336" s="1785"/>
      <c r="AW336" s="1940"/>
      <c r="AX336" s="1940"/>
    </row>
    <row r="337" s="1679" customFormat="1" customHeight="1" spans="1:66">
      <c r="A337" s="1679" t="s">
        <v>142</v>
      </c>
      <c r="B337" s="1769"/>
      <c r="C337" s="1769"/>
      <c r="D337" s="1769">
        <f>D336/C336-1</f>
        <v>-0.102040816326531</v>
      </c>
      <c r="E337" s="1769">
        <f>E336/D336-1</f>
        <v>0.0227272727272727</v>
      </c>
      <c r="F337" s="1769">
        <f t="shared" ref="F337:K337" si="379">F336/E336-1</f>
        <v>-0.225566666666667</v>
      </c>
      <c r="G337" s="1769">
        <f t="shared" si="379"/>
        <v>0.233877100101867</v>
      </c>
      <c r="H337" s="1769">
        <f t="shared" si="379"/>
        <v>-0.255813953488372</v>
      </c>
      <c r="I337" s="1769">
        <f t="shared" si="379"/>
        <v>0.453125</v>
      </c>
      <c r="J337" s="1769">
        <f t="shared" si="379"/>
        <v>-0.0752688172043011</v>
      </c>
      <c r="K337" s="1769">
        <f t="shared" si="379"/>
        <v>-0.0126046511627907</v>
      </c>
      <c r="L337" s="1246">
        <v>0.119047619047619</v>
      </c>
      <c r="M337" s="1246">
        <f t="shared" ref="M337:S337" si="380">M336/L336-1</f>
        <v>0.906496917829983</v>
      </c>
      <c r="N337" s="1246">
        <f t="shared" si="380"/>
        <v>0.133333333333333</v>
      </c>
      <c r="O337" s="1246">
        <f t="shared" si="380"/>
        <v>-0.127450980392157</v>
      </c>
      <c r="P337" s="1246">
        <f t="shared" si="380"/>
        <v>-0.0337078651685393</v>
      </c>
      <c r="Q337" s="1246">
        <f t="shared" si="380"/>
        <v>0.162790697674419</v>
      </c>
      <c r="R337" s="1246">
        <v>-0.0654</v>
      </c>
      <c r="S337" s="1246">
        <f t="shared" si="380"/>
        <v>0.129032258064516</v>
      </c>
      <c r="T337" s="1246">
        <f t="shared" ref="T337:AA337" si="381">T336/S336-1</f>
        <v>-0.0190476190476191</v>
      </c>
      <c r="U337" s="1246">
        <f t="shared" si="381"/>
        <v>-0.00970873786407767</v>
      </c>
      <c r="V337" s="1246">
        <f t="shared" si="381"/>
        <v>0.166666666666667</v>
      </c>
      <c r="W337" s="1246">
        <f t="shared" si="381"/>
        <v>-0.0840336134453782</v>
      </c>
      <c r="X337" s="1716">
        <f t="shared" si="381"/>
        <v>0.0550458715596329</v>
      </c>
      <c r="Y337" s="1716">
        <f t="shared" si="381"/>
        <v>0.121739130434783</v>
      </c>
      <c r="Z337" s="1716">
        <f t="shared" si="381"/>
        <v>0.193798449612403</v>
      </c>
      <c r="AA337" s="1716">
        <f t="shared" si="381"/>
        <v>-0.461038961038961</v>
      </c>
      <c r="AB337" s="1716">
        <f>AB336/61-1</f>
        <v>0.409836065573771</v>
      </c>
      <c r="AC337" s="1716">
        <f t="shared" ref="AC337:AK337" si="382">AC336/AB336-1</f>
        <v>0.302325581395349</v>
      </c>
      <c r="AD337" s="1716">
        <f t="shared" si="382"/>
        <v>-0.258928571428571</v>
      </c>
      <c r="AE337" s="1716">
        <f t="shared" si="382"/>
        <v>-0.0240963855421683</v>
      </c>
      <c r="AF337" s="1941">
        <f t="shared" si="382"/>
        <v>-0.753086419753087</v>
      </c>
      <c r="AG337" s="1716">
        <f t="shared" si="382"/>
        <v>0.0935847469388953</v>
      </c>
      <c r="AH337" s="1716">
        <f t="shared" si="382"/>
        <v>0.0755804690515973</v>
      </c>
      <c r="AI337" s="1716">
        <f t="shared" si="382"/>
        <v>0.0677282828827417</v>
      </c>
      <c r="AJ337" s="1716">
        <f t="shared" si="382"/>
        <v>0.0595813354253467</v>
      </c>
      <c r="AK337" s="1716">
        <f t="shared" si="382"/>
        <v>0.059653970368533</v>
      </c>
      <c r="AL337" s="1716"/>
      <c r="AM337" s="1246"/>
      <c r="AN337" s="1688"/>
      <c r="AO337" s="1772"/>
      <c r="AP337" s="1821"/>
      <c r="AQ337" s="1821"/>
      <c r="AR337" s="1821"/>
      <c r="AS337" s="1821"/>
      <c r="AT337" s="1821"/>
      <c r="AU337" s="1821"/>
      <c r="AV337" s="1785"/>
      <c r="AW337" s="1933"/>
      <c r="AX337" s="1933"/>
      <c r="BI337" s="1750"/>
      <c r="BJ337" s="1925"/>
      <c r="BK337" s="1925"/>
      <c r="BL337" s="1750"/>
      <c r="BM337" s="1750"/>
      <c r="BN337" s="1750"/>
    </row>
    <row r="338" customHeight="1" spans="1:66">
      <c r="A338" s="1686" t="s">
        <v>145</v>
      </c>
      <c r="B338" s="1769"/>
      <c r="C338" s="1769">
        <f>C336/C$325</f>
        <v>0.0203488372093023</v>
      </c>
      <c r="D338" s="1769">
        <f>D336/D$325</f>
        <v>0.0128467153284672</v>
      </c>
      <c r="E338" s="1769">
        <f>E336/E$325</f>
        <v>0.00888450148075025</v>
      </c>
      <c r="F338" s="1769">
        <f t="shared" ref="F338:K338" si="383">F336/F$325</f>
        <v>0.00650905864774001</v>
      </c>
      <c r="G338" s="1769">
        <f t="shared" si="383"/>
        <v>0.00736932305055698</v>
      </c>
      <c r="H338" s="1769">
        <f t="shared" si="383"/>
        <v>0.00523560209424084</v>
      </c>
      <c r="I338" s="1769">
        <f t="shared" si="383"/>
        <v>0.00712862179978537</v>
      </c>
      <c r="J338" s="1769">
        <f t="shared" si="383"/>
        <v>0.00686133716291687</v>
      </c>
      <c r="K338" s="1769">
        <f t="shared" si="383"/>
        <v>0.00724539249146758</v>
      </c>
      <c r="L338" s="1246">
        <f>L336/L325</f>
        <v>0.00711377335744424</v>
      </c>
      <c r="M338" s="1246">
        <f>M336/M327</f>
        <v>0.00892502975009917</v>
      </c>
      <c r="N338" s="1246">
        <f>N336/N327</f>
        <v>0.00990387416254005</v>
      </c>
      <c r="O338" s="1246">
        <f>O336/O327</f>
        <v>0.00824150384294842</v>
      </c>
      <c r="P338" s="1246">
        <f>P336/P327</f>
        <v>0.00828436566804739</v>
      </c>
      <c r="Q338" s="1246">
        <f>Q336/Q325</f>
        <v>0.00834028356964137</v>
      </c>
      <c r="R338" s="1246">
        <f t="shared" ref="R338:W338" si="384">R336/R$325</f>
        <v>0.00698040981760865</v>
      </c>
      <c r="S338" s="1246">
        <f t="shared" si="384"/>
        <v>0.00705502922797823</v>
      </c>
      <c r="T338" s="1246">
        <f t="shared" si="384"/>
        <v>0.00725096796902499</v>
      </c>
      <c r="U338" s="1246">
        <f t="shared" si="384"/>
        <v>0.00701802669602312</v>
      </c>
      <c r="V338" s="1246">
        <f t="shared" si="384"/>
        <v>0.00703517587939699</v>
      </c>
      <c r="W338" s="1246">
        <f t="shared" si="384"/>
        <v>0.00565059616381545</v>
      </c>
      <c r="X338" s="1844">
        <v>0.00541992647751909</v>
      </c>
      <c r="Y338" s="1844">
        <f>Y336/Y327</f>
        <v>0.00588637919233402</v>
      </c>
      <c r="Z338" s="1844">
        <f>Z336/Z327</f>
        <v>0.00651410684827207</v>
      </c>
      <c r="AA338" s="1844">
        <f>Z338</f>
        <v>0.00651410684827207</v>
      </c>
      <c r="AB338" s="1844">
        <f>AB336/AB327</f>
        <v>0.00405010831685033</v>
      </c>
      <c r="AC338" s="1844">
        <v>0.00497534538669984</v>
      </c>
      <c r="AD338" s="1844">
        <v>0.00401392784601992</v>
      </c>
      <c r="AE338" s="1844">
        <v>0.00351669343984718</v>
      </c>
      <c r="AF338" s="1942">
        <v>0.000806094071178105</v>
      </c>
      <c r="AG338" s="1844">
        <f>AF338</f>
        <v>0.000806094071178105</v>
      </c>
      <c r="AH338" s="1844">
        <f>AG338</f>
        <v>0.000806094071178105</v>
      </c>
      <c r="AI338" s="1844">
        <f>AH338</f>
        <v>0.000806094071178105</v>
      </c>
      <c r="AJ338" s="1844">
        <f>AI338</f>
        <v>0.000806094071178105</v>
      </c>
      <c r="AK338" s="1844">
        <f>AJ338</f>
        <v>0.000806094071178105</v>
      </c>
      <c r="AL338" s="1844"/>
      <c r="AM338" s="1246"/>
      <c r="AO338" s="1772"/>
      <c r="AP338" s="1821"/>
      <c r="AQ338" s="1821"/>
      <c r="AR338" s="1821"/>
      <c r="AS338" s="1821"/>
      <c r="AT338" s="1821"/>
      <c r="AU338" s="1821"/>
      <c r="AV338" s="1785"/>
      <c r="AW338" s="1933"/>
      <c r="AX338" s="1933"/>
      <c r="BJ338" s="1750"/>
      <c r="BK338" s="1750"/>
    </row>
    <row r="339" ht="17.6" hidden="1" spans="1:66">
      <c r="A339" s="1935" t="s">
        <v>148</v>
      </c>
      <c r="B339" s="1769"/>
      <c r="C339" s="1769"/>
      <c r="D339" s="1769"/>
      <c r="E339" s="1769"/>
      <c r="F339" s="1769"/>
      <c r="G339" s="1769"/>
      <c r="H339" s="1769"/>
      <c r="I339" s="1769"/>
      <c r="J339" s="1769"/>
      <c r="K339" s="1769"/>
      <c r="L339" s="1937"/>
      <c r="M339" s="1937"/>
      <c r="N339" s="1937"/>
      <c r="O339" s="1937"/>
      <c r="P339" s="1937">
        <v>100</v>
      </c>
      <c r="Q339" s="1937">
        <v>110</v>
      </c>
      <c r="R339" s="1937"/>
      <c r="S339" s="1937"/>
      <c r="T339" s="1937"/>
      <c r="U339" s="1937"/>
      <c r="V339" s="1937"/>
      <c r="W339" s="1937"/>
      <c r="X339" s="1938"/>
      <c r="Y339" s="1938"/>
      <c r="Z339" s="1938"/>
      <c r="AA339" s="1938"/>
      <c r="AB339" s="1938"/>
      <c r="AC339" s="1938"/>
      <c r="AD339" s="1938"/>
      <c r="AE339" s="1938"/>
      <c r="AF339" s="1939"/>
      <c r="AG339" s="1938"/>
      <c r="AH339" s="1938"/>
      <c r="AI339" s="1938"/>
      <c r="AJ339" s="1938"/>
      <c r="AK339" s="1938"/>
      <c r="AL339" s="1938"/>
      <c r="AM339" s="1246"/>
      <c r="AO339" s="1772"/>
      <c r="AP339" s="1821"/>
      <c r="AQ339" s="1821"/>
      <c r="AR339" s="1821"/>
      <c r="AS339" s="1821"/>
      <c r="AT339" s="1821"/>
      <c r="AU339" s="1821"/>
      <c r="AV339" s="1785"/>
      <c r="AW339" s="1933"/>
      <c r="AX339" s="1933"/>
    </row>
    <row r="340" ht="17.6" hidden="1" spans="1:66">
      <c r="A340" s="1679" t="s">
        <v>142</v>
      </c>
      <c r="B340" s="1769"/>
      <c r="C340" s="1769"/>
      <c r="D340" s="1769"/>
      <c r="E340" s="1769"/>
      <c r="F340" s="1769"/>
      <c r="G340" s="1769"/>
      <c r="H340" s="1769"/>
      <c r="I340" s="1769"/>
      <c r="J340" s="1769"/>
      <c r="K340" s="1769"/>
      <c r="L340" s="1246"/>
      <c r="M340" s="1246"/>
      <c r="N340" s="1246"/>
      <c r="O340" s="1246"/>
      <c r="P340" s="1246"/>
      <c r="Q340" s="1246">
        <f>Q339/P339-1</f>
        <v>0.1</v>
      </c>
      <c r="R340" s="1246"/>
      <c r="S340" s="1246"/>
      <c r="T340" s="1246"/>
      <c r="U340" s="1246"/>
      <c r="V340" s="1246"/>
      <c r="W340" s="1246"/>
      <c r="X340" s="1716"/>
      <c r="Y340" s="1943"/>
      <c r="Z340" s="1716"/>
      <c r="AA340" s="1716"/>
      <c r="AB340" s="1716"/>
      <c r="AC340" s="1716"/>
      <c r="AD340" s="1716"/>
      <c r="AE340" s="1716"/>
      <c r="AF340" s="1941"/>
      <c r="AG340" s="1716"/>
      <c r="AH340" s="1716"/>
      <c r="AI340" s="1716"/>
      <c r="AJ340" s="1716"/>
      <c r="AK340" s="1716"/>
      <c r="AL340" s="1716"/>
      <c r="AM340" s="1246"/>
      <c r="AO340" s="1772"/>
      <c r="AP340" s="1821"/>
      <c r="AQ340" s="1821"/>
      <c r="AR340" s="1821"/>
      <c r="AS340" s="1821"/>
      <c r="AT340" s="1821"/>
      <c r="AU340" s="1821"/>
      <c r="AV340" s="1785"/>
      <c r="AW340" s="1933"/>
      <c r="AX340" s="1933"/>
    </row>
    <row r="341" ht="17.6" hidden="1" spans="1:66">
      <c r="A341" s="1686" t="s">
        <v>145</v>
      </c>
      <c r="B341" s="1769"/>
      <c r="C341" s="1769"/>
      <c r="D341" s="1769"/>
      <c r="E341" s="1769"/>
      <c r="F341" s="1769"/>
      <c r="G341" s="1769"/>
      <c r="H341" s="1769"/>
      <c r="I341" s="1769"/>
      <c r="J341" s="1769"/>
      <c r="K341" s="1769"/>
      <c r="L341" s="1246"/>
      <c r="M341" s="1246"/>
      <c r="N341" s="1246"/>
      <c r="O341" s="1246"/>
      <c r="P341" s="1246">
        <f>P339/P$325</f>
        <v>0.00963298333493883</v>
      </c>
      <c r="Q341" s="1246">
        <f>Q339/Q$325</f>
        <v>0.00917431192660551</v>
      </c>
      <c r="R341" s="1246"/>
      <c r="S341" s="1246"/>
      <c r="T341" s="1246"/>
      <c r="U341" s="1246"/>
      <c r="V341" s="1246"/>
      <c r="W341" s="1246"/>
      <c r="X341" s="1716"/>
      <c r="Y341" s="1716"/>
      <c r="Z341" s="1716"/>
      <c r="AA341" s="1716"/>
      <c r="AB341" s="1716"/>
      <c r="AC341" s="1716"/>
      <c r="AD341" s="1716"/>
      <c r="AE341" s="1716"/>
      <c r="AF341" s="1941"/>
      <c r="AG341" s="1716"/>
      <c r="AH341" s="1716"/>
      <c r="AI341" s="1716"/>
      <c r="AJ341" s="1716"/>
      <c r="AK341" s="1716"/>
      <c r="AL341" s="1716"/>
      <c r="AM341" s="1246"/>
      <c r="AO341" s="1772"/>
      <c r="AP341" s="1821"/>
      <c r="AQ341" s="1821"/>
      <c r="AR341" s="1821"/>
      <c r="AS341" s="1821"/>
      <c r="AT341" s="1821"/>
      <c r="AU341" s="1821"/>
      <c r="AV341" s="1785"/>
      <c r="AW341" s="1933"/>
      <c r="AX341" s="1933"/>
    </row>
    <row r="342" customHeight="1" spans="1:66">
      <c r="A342" s="1678" t="s">
        <v>149</v>
      </c>
      <c r="B342" s="1756"/>
      <c r="C342" s="1756"/>
      <c r="D342" s="1756"/>
      <c r="E342" s="1756"/>
      <c r="F342" s="1756">
        <f>F344*F325</f>
        <v>722.79</v>
      </c>
      <c r="G342" s="1756">
        <f>G344*G325</f>
        <v>799.395</v>
      </c>
      <c r="H342" s="1756">
        <f>H344*H325</f>
        <v>733.44</v>
      </c>
      <c r="I342" s="1756">
        <f>I344*I325</f>
        <v>821.898</v>
      </c>
      <c r="J342" s="1756">
        <f>J344*J325</f>
        <v>808.443</v>
      </c>
      <c r="K342" s="1756">
        <v>833</v>
      </c>
      <c r="L342" s="1772">
        <v>942</v>
      </c>
      <c r="M342" s="1772">
        <v>1301</v>
      </c>
      <c r="N342" s="1772">
        <v>1378</v>
      </c>
      <c r="O342" s="1772">
        <f>1132+297</f>
        <v>1429</v>
      </c>
      <c r="P342" s="1772">
        <f>1028+241</f>
        <v>1269</v>
      </c>
      <c r="Q342" s="1772">
        <f>1288+308</f>
        <v>1596</v>
      </c>
      <c r="R342" s="1772">
        <f>1361+338</f>
        <v>1699</v>
      </c>
      <c r="S342" s="1772">
        <f>1502+304</f>
        <v>1806</v>
      </c>
      <c r="T342" s="1944">
        <f>1451+336</f>
        <v>1787</v>
      </c>
      <c r="U342" s="1944">
        <f>1548+375</f>
        <v>1923</v>
      </c>
      <c r="V342" s="1944">
        <f>1886+462</f>
        <v>2348</v>
      </c>
      <c r="W342" s="1772">
        <f>1981+540</f>
        <v>2521</v>
      </c>
      <c r="X342" s="1833">
        <v>2724</v>
      </c>
      <c r="Y342" s="1833">
        <v>3001</v>
      </c>
      <c r="Z342" s="1833">
        <f t="shared" ref="Z342:AG342" si="385">Z344*Z$325</f>
        <v>3042</v>
      </c>
      <c r="AA342" s="1833">
        <f t="shared" si="385"/>
        <v>2573</v>
      </c>
      <c r="AB342" s="1833">
        <f t="shared" si="385"/>
        <v>2547</v>
      </c>
      <c r="AC342" s="1833">
        <f t="shared" si="385"/>
        <v>2763</v>
      </c>
      <c r="AD342" s="1833">
        <f t="shared" si="385"/>
        <v>2528</v>
      </c>
      <c r="AE342" s="1833">
        <f t="shared" si="385"/>
        <v>2841</v>
      </c>
      <c r="AF342" s="1945">
        <f t="shared" si="385"/>
        <v>3079</v>
      </c>
      <c r="AG342" s="1833">
        <f t="shared" si="385"/>
        <v>3255.95173875611</v>
      </c>
      <c r="AH342" s="1833">
        <f t="shared" ref="AH342" si="386">AH344*AH$325</f>
        <v>3502.03809838066</v>
      </c>
      <c r="AI342" s="1833">
        <f t="shared" ref="AI342:AJ342" si="387">AI344*AI$325</f>
        <v>3739.22512537393</v>
      </c>
      <c r="AJ342" s="1833">
        <f t="shared" si="387"/>
        <v>3962.01315179971</v>
      </c>
      <c r="AK342" s="1833">
        <f t="shared" ref="AK342" si="388">AK344*AK$325</f>
        <v>4198.36296695691</v>
      </c>
      <c r="AL342" s="1833"/>
      <c r="AM342" s="1246"/>
      <c r="AO342" s="1772"/>
      <c r="AP342" s="1821"/>
      <c r="AQ342" s="1821"/>
      <c r="AR342" s="1821"/>
      <c r="AS342" s="1821"/>
      <c r="AT342" s="1821"/>
      <c r="AU342" s="1821"/>
      <c r="AV342" s="1785"/>
      <c r="AX342" s="1691"/>
    </row>
    <row r="343" customHeight="1" spans="1:66">
      <c r="A343" s="1679" t="s">
        <v>142</v>
      </c>
      <c r="B343" s="1946"/>
      <c r="C343" s="1756"/>
      <c r="D343" s="1756"/>
      <c r="E343" s="1946"/>
      <c r="F343" s="1946"/>
      <c r="G343" s="1769">
        <f t="shared" ref="G343:L343" si="389">G342/F342-1</f>
        <v>0.105985140912298</v>
      </c>
      <c r="H343" s="1769">
        <f t="shared" si="389"/>
        <v>-0.0825061452723624</v>
      </c>
      <c r="I343" s="1769">
        <f t="shared" si="389"/>
        <v>0.120607002617801</v>
      </c>
      <c r="J343" s="1769">
        <f t="shared" si="389"/>
        <v>-0.0163706445325332</v>
      </c>
      <c r="K343" s="1769">
        <f t="shared" si="389"/>
        <v>0.0303756727437803</v>
      </c>
      <c r="L343" s="1246">
        <f t="shared" si="389"/>
        <v>0.130852340936375</v>
      </c>
      <c r="M343" s="1246">
        <f t="shared" ref="M343:S343" si="390">M342/L342-1</f>
        <v>0.381104033970276</v>
      </c>
      <c r="N343" s="1246">
        <f t="shared" si="390"/>
        <v>0.0591852421214449</v>
      </c>
      <c r="O343" s="1709">
        <f t="shared" si="390"/>
        <v>0.037010159651669</v>
      </c>
      <c r="P343" s="1709">
        <f t="shared" si="390"/>
        <v>-0.111966410076977</v>
      </c>
      <c r="Q343" s="1709">
        <f t="shared" si="390"/>
        <v>0.257683215130024</v>
      </c>
      <c r="R343" s="1709">
        <f t="shared" si="390"/>
        <v>0.0645363408521302</v>
      </c>
      <c r="S343" s="1709">
        <f t="shared" si="390"/>
        <v>0.062978222483814</v>
      </c>
      <c r="T343" s="1709">
        <f t="shared" ref="T343:AA343" si="391">T342/S342-1</f>
        <v>-0.0105204872646734</v>
      </c>
      <c r="U343" s="1709">
        <f t="shared" si="391"/>
        <v>0.076105204252938</v>
      </c>
      <c r="V343" s="1709">
        <f t="shared" si="391"/>
        <v>0.221008840353614</v>
      </c>
      <c r="W343" s="1709">
        <f t="shared" si="391"/>
        <v>0.073679727427598</v>
      </c>
      <c r="X343" s="1710">
        <f t="shared" si="391"/>
        <v>0.0805236017453392</v>
      </c>
      <c r="Y343" s="1710">
        <f t="shared" si="391"/>
        <v>0.101688693098385</v>
      </c>
      <c r="Z343" s="1865">
        <f t="shared" si="391"/>
        <v>0.0136621126291236</v>
      </c>
      <c r="AA343" s="1710">
        <f t="shared" si="391"/>
        <v>-0.154174884944115</v>
      </c>
      <c r="AB343" s="1710">
        <f>AB342/2373-1</f>
        <v>0.0733249051833118</v>
      </c>
      <c r="AC343" s="1710">
        <f t="shared" ref="AC343:AK343" si="392">AC342/AB342-1</f>
        <v>0.0848056537102477</v>
      </c>
      <c r="AD343" s="1710">
        <f t="shared" si="392"/>
        <v>-0.0850524791892868</v>
      </c>
      <c r="AE343" s="1710">
        <f t="shared" si="392"/>
        <v>0.123813291139241</v>
      </c>
      <c r="AF343" s="1947">
        <f t="shared" si="392"/>
        <v>0.0837733192537828</v>
      </c>
      <c r="AG343" s="1710">
        <f t="shared" si="392"/>
        <v>0.0574705224930538</v>
      </c>
      <c r="AH343" s="1710">
        <f t="shared" si="392"/>
        <v>0.0755804690515973</v>
      </c>
      <c r="AI343" s="1710">
        <f t="shared" si="392"/>
        <v>0.0677282828827417</v>
      </c>
      <c r="AJ343" s="1710">
        <f t="shared" si="392"/>
        <v>0.0595813354253465</v>
      </c>
      <c r="AK343" s="1710">
        <f t="shared" si="392"/>
        <v>0.059653970368533</v>
      </c>
      <c r="AL343" s="1710"/>
      <c r="AM343" s="1246"/>
      <c r="AO343" s="1772"/>
      <c r="AP343" s="1821"/>
      <c r="AQ343" s="1821"/>
      <c r="AR343" s="1821"/>
      <c r="AS343" s="1821"/>
      <c r="AT343" s="1821"/>
      <c r="AU343" s="1821"/>
      <c r="AV343" s="1785"/>
      <c r="AX343" s="1691"/>
    </row>
    <row r="344" customHeight="1" spans="1:66">
      <c r="A344" s="1686" t="s">
        <v>145</v>
      </c>
      <c r="B344" s="1769"/>
      <c r="C344" s="1756"/>
      <c r="D344" s="1756"/>
      <c r="E344" s="1769"/>
      <c r="F344" s="1769">
        <v>0.135</v>
      </c>
      <c r="G344" s="1769">
        <v>0.137</v>
      </c>
      <c r="H344" s="1769">
        <v>0.12</v>
      </c>
      <c r="I344" s="1769">
        <v>0.126</v>
      </c>
      <c r="J344" s="1769">
        <v>0.129</v>
      </c>
      <c r="K344" s="1769">
        <f t="shared" ref="K344:P344" si="393">K342/K$325</f>
        <v>0.142150170648464</v>
      </c>
      <c r="L344" s="1246">
        <f t="shared" si="393"/>
        <v>0.141952983725136</v>
      </c>
      <c r="M344" s="1246">
        <f t="shared" si="393"/>
        <v>0.129016263387545</v>
      </c>
      <c r="N344" s="1246">
        <f t="shared" si="393"/>
        <v>0.133799397999806</v>
      </c>
      <c r="O344" s="1709">
        <f t="shared" si="393"/>
        <v>0.132327067321048</v>
      </c>
      <c r="P344" s="1709">
        <f t="shared" si="393"/>
        <v>0.122242558520374</v>
      </c>
      <c r="Q344" s="1764">
        <f t="shared" ref="Q344:Y344" si="394">Q342/Q$325</f>
        <v>0.133110925771476</v>
      </c>
      <c r="R344" s="1764">
        <f t="shared" si="394"/>
        <v>0.127523830969001</v>
      </c>
      <c r="S344" s="1764">
        <f t="shared" si="394"/>
        <v>0.121346502721226</v>
      </c>
      <c r="T344" s="1764">
        <f t="shared" si="394"/>
        <v>0.12580077437522</v>
      </c>
      <c r="U344" s="1764">
        <f t="shared" si="394"/>
        <v>0.132310444475024</v>
      </c>
      <c r="V344" s="1764">
        <f t="shared" si="394"/>
        <v>0.138811705586757</v>
      </c>
      <c r="W344" s="1764">
        <f t="shared" si="394"/>
        <v>0.130689476412649</v>
      </c>
      <c r="X344" s="1764">
        <f t="shared" si="394"/>
        <v>0.128381562824017</v>
      </c>
      <c r="Y344" s="1764">
        <f t="shared" si="394"/>
        <v>0.136938170203057</v>
      </c>
      <c r="Z344" s="1865">
        <v>0.128674759950933</v>
      </c>
      <c r="AA344" s="1865">
        <v>0.129661358597057</v>
      </c>
      <c r="AB344" s="1865">
        <v>0.119949138174626</v>
      </c>
      <c r="AC344" s="1865">
        <v>0.122739993780818</v>
      </c>
      <c r="AD344" s="1865">
        <v>0.122255537286004</v>
      </c>
      <c r="AE344" s="1865">
        <v>0.12334476620501</v>
      </c>
      <c r="AF344" s="1932">
        <v>0.124098182257869</v>
      </c>
      <c r="AG344" s="1865">
        <v>0.12</v>
      </c>
      <c r="AH344" s="1865">
        <v>0.12</v>
      </c>
      <c r="AI344" s="1865">
        <v>0.12</v>
      </c>
      <c r="AJ344" s="1865">
        <v>0.12</v>
      </c>
      <c r="AK344" s="1865">
        <v>0.12</v>
      </c>
      <c r="AL344" s="1865"/>
      <c r="AM344" s="1246"/>
      <c r="AO344" s="1772"/>
      <c r="AP344" s="1821"/>
      <c r="AQ344" s="1821"/>
      <c r="AR344" s="1821"/>
      <c r="AS344" s="1821"/>
      <c r="AT344" s="1821"/>
      <c r="AU344" s="1821"/>
      <c r="AV344" s="1785"/>
      <c r="AX344" s="1691"/>
    </row>
    <row r="345" hidden="1" customHeight="1" spans="1:66">
      <c r="A345" s="1678" t="s">
        <v>150</v>
      </c>
      <c r="B345" s="1756"/>
      <c r="C345" s="1756"/>
      <c r="D345" s="1756"/>
      <c r="E345" s="1756"/>
      <c r="F345" s="1756"/>
      <c r="G345" s="1756"/>
      <c r="H345" s="1756"/>
      <c r="I345" s="1756"/>
      <c r="J345" s="1756"/>
      <c r="K345" s="1756">
        <v>183</v>
      </c>
      <c r="L345" s="1772">
        <v>207</v>
      </c>
      <c r="M345" s="1772">
        <v>291</v>
      </c>
      <c r="N345" s="1772">
        <v>327</v>
      </c>
      <c r="O345" s="1772">
        <v>376</v>
      </c>
      <c r="P345" s="1772">
        <v>348</v>
      </c>
      <c r="Q345" s="1772">
        <v>380</v>
      </c>
      <c r="R345" s="1772">
        <v>402</v>
      </c>
      <c r="S345" s="1772">
        <v>445</v>
      </c>
      <c r="T345" s="1772">
        <v>420</v>
      </c>
      <c r="U345" s="1772">
        <v>427</v>
      </c>
      <c r="V345" s="1772">
        <v>554</v>
      </c>
      <c r="W345" s="1772">
        <v>684</v>
      </c>
      <c r="X345" s="1833"/>
      <c r="Y345" s="1833"/>
      <c r="Z345" s="1833"/>
      <c r="AA345" s="1833"/>
      <c r="AB345" s="1833"/>
      <c r="AC345" s="1833"/>
      <c r="AD345" s="1833"/>
      <c r="AE345" s="1833"/>
      <c r="AF345" s="1945"/>
      <c r="AG345" s="1833"/>
      <c r="AH345" s="1833"/>
      <c r="AI345" s="1833"/>
      <c r="AJ345" s="1833"/>
      <c r="AK345" s="1833"/>
      <c r="AL345" s="1833"/>
      <c r="AM345" s="1246"/>
      <c r="AO345" s="1772"/>
      <c r="AP345" s="1821"/>
      <c r="AQ345" s="1821"/>
      <c r="AR345" s="1821"/>
      <c r="AS345" s="1821"/>
      <c r="AT345" s="1821"/>
      <c r="AU345" s="1821"/>
      <c r="AV345" s="1785"/>
      <c r="AX345" s="1691"/>
    </row>
    <row r="346" hidden="1" customHeight="1" spans="1:66">
      <c r="A346" s="1679" t="s">
        <v>142</v>
      </c>
      <c r="B346" s="1946"/>
      <c r="C346" s="1756"/>
      <c r="D346" s="1756"/>
      <c r="E346" s="1946"/>
      <c r="F346" s="1946"/>
      <c r="G346" s="1946"/>
      <c r="H346" s="1946"/>
      <c r="I346" s="1946"/>
      <c r="J346" s="1769" t="e">
        <f>J345/I345-1</f>
        <v>#DIV/0!</v>
      </c>
      <c r="K346" s="1769" t="e">
        <f>K345/J345-1</f>
        <v>#DIV/0!</v>
      </c>
      <c r="L346" s="1246">
        <f>L345/K345-1</f>
        <v>0.131147540983606</v>
      </c>
      <c r="M346" s="1246">
        <f t="shared" ref="M346:S346" si="395">M345/L345-1</f>
        <v>0.405797101449275</v>
      </c>
      <c r="N346" s="1246">
        <f t="shared" si="395"/>
        <v>0.123711340206186</v>
      </c>
      <c r="O346" s="1709">
        <f t="shared" si="395"/>
        <v>0.149847094801223</v>
      </c>
      <c r="P346" s="1709">
        <f t="shared" si="395"/>
        <v>-0.074468085106383</v>
      </c>
      <c r="Q346" s="1709">
        <f t="shared" si="395"/>
        <v>0.0919540229885059</v>
      </c>
      <c r="R346" s="1709">
        <f t="shared" si="395"/>
        <v>0.0578947368421052</v>
      </c>
      <c r="S346" s="1709">
        <f t="shared" si="395"/>
        <v>0.106965174129353</v>
      </c>
      <c r="T346" s="1709">
        <f t="shared" ref="T346:W346" si="396">T345/S345-1</f>
        <v>-0.0561797752808989</v>
      </c>
      <c r="U346" s="1709">
        <f t="shared" si="396"/>
        <v>0.0166666666666666</v>
      </c>
      <c r="V346" s="1709">
        <f t="shared" si="396"/>
        <v>0.297423887587822</v>
      </c>
      <c r="W346" s="1709">
        <f t="shared" si="396"/>
        <v>0.234657039711191</v>
      </c>
      <c r="X346" s="1710"/>
      <c r="Y346" s="1710"/>
      <c r="Z346" s="1710"/>
      <c r="AA346" s="1710"/>
      <c r="AB346" s="1710"/>
      <c r="AC346" s="1710"/>
      <c r="AD346" s="1710"/>
      <c r="AE346" s="1710"/>
      <c r="AF346" s="1947"/>
      <c r="AG346" s="1710"/>
      <c r="AH346" s="1710"/>
      <c r="AI346" s="1710"/>
      <c r="AJ346" s="1710"/>
      <c r="AK346" s="1710"/>
      <c r="AL346" s="1710"/>
      <c r="AM346" s="1246"/>
      <c r="AO346" s="1772"/>
      <c r="AP346" s="1821"/>
      <c r="AQ346" s="1821"/>
      <c r="AR346" s="1821"/>
      <c r="AS346" s="1821"/>
      <c r="AT346" s="1821"/>
      <c r="AU346" s="1821"/>
      <c r="AV346" s="1785"/>
      <c r="AX346" s="1691"/>
    </row>
    <row r="347" hidden="1" customHeight="1" spans="1:66">
      <c r="A347" s="1686" t="s">
        <v>145</v>
      </c>
      <c r="B347" s="1769"/>
      <c r="C347" s="1756"/>
      <c r="D347" s="1756"/>
      <c r="E347" s="1769"/>
      <c r="F347" s="1769"/>
      <c r="G347" s="1769"/>
      <c r="H347" s="1769"/>
      <c r="I347" s="1769"/>
      <c r="J347" s="1769">
        <f t="shared" ref="J347:O347" si="397">J345/J$325</f>
        <v>0</v>
      </c>
      <c r="K347" s="1769">
        <f t="shared" si="397"/>
        <v>0.0312286689419795</v>
      </c>
      <c r="L347" s="1246">
        <f t="shared" si="397"/>
        <v>0.0311934900542495</v>
      </c>
      <c r="M347" s="1246">
        <f t="shared" si="397"/>
        <v>0.0288575961919873</v>
      </c>
      <c r="N347" s="1246">
        <f t="shared" si="397"/>
        <v>0.0317506554034372</v>
      </c>
      <c r="O347" s="1709">
        <f t="shared" si="397"/>
        <v>0.0348180387072877</v>
      </c>
      <c r="P347" s="1709">
        <f t="shared" ref="P347:W347" si="398">P345/P$325</f>
        <v>0.0335227820055871</v>
      </c>
      <c r="Q347" s="1764">
        <f t="shared" si="398"/>
        <v>0.0316930775646372</v>
      </c>
      <c r="R347" s="1764">
        <f t="shared" si="398"/>
        <v>0.030173384372889</v>
      </c>
      <c r="S347" s="1764">
        <f t="shared" si="398"/>
        <v>0.0298998857757173</v>
      </c>
      <c r="T347" s="1764">
        <f t="shared" si="398"/>
        <v>0.0295670538542767</v>
      </c>
      <c r="U347" s="1764">
        <f t="shared" si="398"/>
        <v>0.029379386266685</v>
      </c>
      <c r="V347" s="1764">
        <f t="shared" si="398"/>
        <v>0.03275199527047</v>
      </c>
      <c r="W347" s="1764">
        <f t="shared" si="398"/>
        <v>0.0354587869362364</v>
      </c>
      <c r="X347" s="1764"/>
      <c r="Y347" s="1764"/>
      <c r="Z347" s="1865"/>
      <c r="AA347" s="1865"/>
      <c r="AB347" s="1865"/>
      <c r="AC347" s="1865"/>
      <c r="AD347" s="1865"/>
      <c r="AE347" s="1865"/>
      <c r="AF347" s="1932"/>
      <c r="AG347" s="1865"/>
      <c r="AH347" s="1865"/>
      <c r="AI347" s="1865"/>
      <c r="AJ347" s="1865"/>
      <c r="AK347" s="1865"/>
      <c r="AL347" s="1865"/>
      <c r="AM347" s="1246"/>
      <c r="AO347" s="1772"/>
      <c r="AP347" s="1821"/>
      <c r="AQ347" s="1821"/>
      <c r="AR347" s="1821"/>
      <c r="AS347" s="1821"/>
      <c r="AT347" s="1821"/>
      <c r="AU347" s="1821"/>
      <c r="AV347" s="1785"/>
      <c r="AX347" s="1691"/>
    </row>
    <row r="348" customHeight="1" spans="1:66">
      <c r="A348" s="1678" t="s">
        <v>151</v>
      </c>
      <c r="B348" s="1756"/>
      <c r="C348" s="1756"/>
      <c r="D348" s="1756"/>
      <c r="E348" s="1756"/>
      <c r="F348" s="1756"/>
      <c r="G348" s="1756"/>
      <c r="H348" s="1756"/>
      <c r="I348" s="1756"/>
      <c r="J348" s="1756"/>
      <c r="K348" s="1756">
        <v>454</v>
      </c>
      <c r="L348" s="1772">
        <v>534</v>
      </c>
      <c r="M348" s="1772">
        <v>904</v>
      </c>
      <c r="N348" s="1772">
        <v>1045</v>
      </c>
      <c r="O348" s="1772">
        <v>1179</v>
      </c>
      <c r="P348" s="1772">
        <v>1296</v>
      </c>
      <c r="Q348" s="1772">
        <v>1496</v>
      </c>
      <c r="R348" s="1772">
        <v>1673</v>
      </c>
      <c r="S348" s="1772">
        <v>1885</v>
      </c>
      <c r="T348" s="1772">
        <v>1815</v>
      </c>
      <c r="U348" s="1772">
        <v>1915</v>
      </c>
      <c r="V348" s="1772">
        <v>2040</v>
      </c>
      <c r="W348" s="1772">
        <v>2237</v>
      </c>
      <c r="X348" s="1833">
        <v>4307</v>
      </c>
      <c r="Y348" s="1833">
        <v>4450</v>
      </c>
      <c r="Z348" s="1833">
        <f t="shared" ref="Z348:AB348" si="399">Z350*Z$325</f>
        <v>4997</v>
      </c>
      <c r="AA348" s="1833">
        <f t="shared" si="399"/>
        <v>4962</v>
      </c>
      <c r="AB348" s="1833">
        <f t="shared" si="399"/>
        <v>4782</v>
      </c>
      <c r="AC348" s="1833">
        <f t="shared" ref="AC348:AG348" si="400">AC350*AC$325</f>
        <v>5601</v>
      </c>
      <c r="AD348" s="1833">
        <f t="shared" si="400"/>
        <v>5547</v>
      </c>
      <c r="AE348" s="1833">
        <f t="shared" si="400"/>
        <v>5936</v>
      </c>
      <c r="AF348" s="1945">
        <f t="shared" si="400"/>
        <v>5877</v>
      </c>
      <c r="AG348" s="1833">
        <f t="shared" si="400"/>
        <v>6382.90664862734</v>
      </c>
      <c r="AH348" s="1833">
        <f>AG348*(1+AH349)</f>
        <v>6827.6843380832</v>
      </c>
      <c r="AI348" s="1833">
        <f t="shared" ref="AI348:AK348" si="401">AH348*(1+AI349)</f>
        <v>7202.77572698473</v>
      </c>
      <c r="AJ348" s="1833">
        <f t="shared" si="401"/>
        <v>7584.48260119963</v>
      </c>
      <c r="AK348" s="1833">
        <f t="shared" si="401"/>
        <v>7986.24862674689</v>
      </c>
      <c r="AL348" s="1833"/>
      <c r="AM348" s="1246"/>
      <c r="AO348" s="1772"/>
      <c r="AP348" s="1821"/>
      <c r="AQ348" s="1821"/>
      <c r="AR348" s="1821"/>
      <c r="AS348" s="1821"/>
      <c r="AT348" s="1821"/>
      <c r="AU348" s="1821"/>
      <c r="AV348" s="1785"/>
      <c r="AX348" s="1691"/>
    </row>
    <row r="349" customHeight="1" spans="1:66">
      <c r="A349" s="1679" t="s">
        <v>142</v>
      </c>
      <c r="B349" s="1946"/>
      <c r="C349" s="1756"/>
      <c r="D349" s="1756"/>
      <c r="E349" s="1946"/>
      <c r="F349" s="1946"/>
      <c r="G349" s="1946"/>
      <c r="H349" s="1946"/>
      <c r="I349" s="1946"/>
      <c r="J349" s="1946"/>
      <c r="K349" s="1769" t="e">
        <f>K348/J348-1</f>
        <v>#DIV/0!</v>
      </c>
      <c r="L349" s="1246">
        <f>L348/K348-1</f>
        <v>0.176211453744493</v>
      </c>
      <c r="M349" s="1246">
        <f t="shared" ref="M349:S349" si="402">M348/L348-1</f>
        <v>0.692883895131086</v>
      </c>
      <c r="N349" s="1246">
        <f t="shared" si="402"/>
        <v>0.155973451327434</v>
      </c>
      <c r="O349" s="1709">
        <f t="shared" si="402"/>
        <v>0.12822966507177</v>
      </c>
      <c r="P349" s="1709">
        <f t="shared" si="402"/>
        <v>0.0992366412213741</v>
      </c>
      <c r="Q349" s="1709">
        <f t="shared" si="402"/>
        <v>0.154320987654321</v>
      </c>
      <c r="R349" s="1709">
        <f t="shared" si="402"/>
        <v>0.11831550802139</v>
      </c>
      <c r="S349" s="1709">
        <f t="shared" si="402"/>
        <v>0.126718469814704</v>
      </c>
      <c r="T349" s="1709">
        <f t="shared" ref="T349:AA349" si="403">T348/S348-1</f>
        <v>-0.0371352785145889</v>
      </c>
      <c r="U349" s="1709">
        <f t="shared" si="403"/>
        <v>0.0550964187327823</v>
      </c>
      <c r="V349" s="1709">
        <f t="shared" si="403"/>
        <v>0.0652741514360313</v>
      </c>
      <c r="W349" s="1709">
        <f t="shared" si="403"/>
        <v>0.0965686274509805</v>
      </c>
      <c r="X349" s="1710">
        <f t="shared" si="403"/>
        <v>0.925346446133214</v>
      </c>
      <c r="Y349" s="1710">
        <f t="shared" si="403"/>
        <v>0.0332017645693057</v>
      </c>
      <c r="Z349" s="1865">
        <f t="shared" si="403"/>
        <v>0.122921348314607</v>
      </c>
      <c r="AA349" s="1710">
        <f t="shared" si="403"/>
        <v>-0.00700420252151268</v>
      </c>
      <c r="AB349" s="1710"/>
      <c r="AC349" s="1710">
        <f t="shared" ref="AC349:AG349" si="404">AC348/AB348-1</f>
        <v>0.171267252195735</v>
      </c>
      <c r="AD349" s="1710">
        <f t="shared" si="404"/>
        <v>-0.0096411355115158</v>
      </c>
      <c r="AE349" s="1710">
        <f t="shared" si="404"/>
        <v>0.0701279971155588</v>
      </c>
      <c r="AF349" s="1947">
        <f t="shared" si="404"/>
        <v>-0.00993935309973126</v>
      </c>
      <c r="AG349" s="1710">
        <f t="shared" si="404"/>
        <v>0.0860824653100791</v>
      </c>
      <c r="AH349" s="1710">
        <v>0.0696826248510957</v>
      </c>
      <c r="AI349" s="1710">
        <v>0.0549368380739801</v>
      </c>
      <c r="AJ349" s="1710">
        <v>0.0529944133599584</v>
      </c>
      <c r="AK349" s="1710">
        <v>0.0529721072184564</v>
      </c>
      <c r="AL349" s="1710"/>
      <c r="AM349" s="1246"/>
      <c r="AO349" s="1772"/>
      <c r="AP349" s="1821"/>
      <c r="AQ349" s="1821"/>
      <c r="AR349" s="1821"/>
      <c r="AS349" s="1821"/>
      <c r="AT349" s="1821"/>
      <c r="AU349" s="1821"/>
      <c r="AV349" s="1785"/>
      <c r="AX349" s="1691"/>
    </row>
    <row r="350" customHeight="1" spans="1:66">
      <c r="A350" s="1686" t="s">
        <v>145</v>
      </c>
      <c r="B350" s="1769"/>
      <c r="C350" s="1756"/>
      <c r="D350" s="1756"/>
      <c r="E350" s="1769"/>
      <c r="F350" s="1769"/>
      <c r="G350" s="1769"/>
      <c r="H350" s="1769"/>
      <c r="I350" s="1769"/>
      <c r="J350" s="1769">
        <f t="shared" ref="J350:O350" si="405">J348/J$325</f>
        <v>0</v>
      </c>
      <c r="K350" s="1769">
        <f t="shared" si="405"/>
        <v>0.0774744027303754</v>
      </c>
      <c r="L350" s="1246">
        <f t="shared" si="405"/>
        <v>0.0804701627486438</v>
      </c>
      <c r="M350" s="1246">
        <f t="shared" si="405"/>
        <v>0.089646965489885</v>
      </c>
      <c r="N350" s="1246">
        <f t="shared" si="405"/>
        <v>0.101466161763278</v>
      </c>
      <c r="O350" s="1709">
        <f t="shared" si="405"/>
        <v>0.109176775627373</v>
      </c>
      <c r="P350" s="1709">
        <f t="shared" ref="P350:X350" si="406">P348/P$325</f>
        <v>0.124843464020807</v>
      </c>
      <c r="Q350" s="1764">
        <f t="shared" si="406"/>
        <v>0.124770642201835</v>
      </c>
      <c r="R350" s="1764">
        <f t="shared" si="406"/>
        <v>0.125572318546874</v>
      </c>
      <c r="S350" s="1764">
        <f t="shared" si="406"/>
        <v>0.126654572330847</v>
      </c>
      <c r="T350" s="1764">
        <f t="shared" si="406"/>
        <v>0.127771911298838</v>
      </c>
      <c r="U350" s="1764">
        <f t="shared" si="406"/>
        <v>0.131760011008669</v>
      </c>
      <c r="V350" s="1764">
        <f t="shared" si="406"/>
        <v>0.120603015075377</v>
      </c>
      <c r="W350" s="1764">
        <f t="shared" si="406"/>
        <v>0.115966822187662</v>
      </c>
      <c r="X350" s="1764">
        <f t="shared" si="406"/>
        <v>0.202988029031954</v>
      </c>
      <c r="Y350" s="1865">
        <f>X350-0.05%</f>
        <v>0.202488029031954</v>
      </c>
      <c r="Z350" s="1865">
        <v>0.211370077407893</v>
      </c>
      <c r="AA350" s="1865">
        <v>0.250050393065914</v>
      </c>
      <c r="AB350" s="1865">
        <v>0.22520486012998</v>
      </c>
      <c r="AC350" s="1865">
        <v>0.248811692061659</v>
      </c>
      <c r="AD350" s="1865">
        <v>0.268256117612922</v>
      </c>
      <c r="AE350" s="1865">
        <v>0.257717188381887</v>
      </c>
      <c r="AF350" s="1932">
        <v>0.236870742815687</v>
      </c>
      <c r="AG350" s="1865">
        <v>0.235245746648536</v>
      </c>
      <c r="AH350" s="1865">
        <f t="shared" ref="AH350:AK350" si="407">AH348/AH325</f>
        <v>0.233955798752971</v>
      </c>
      <c r="AI350" s="1865">
        <f t="shared" si="407"/>
        <v>0.231152995141402</v>
      </c>
      <c r="AJ350" s="1865">
        <f t="shared" si="407"/>
        <v>0.229716024978497</v>
      </c>
      <c r="AK350" s="1865">
        <f t="shared" si="407"/>
        <v>0.228267503965781</v>
      </c>
      <c r="AL350" s="1865"/>
      <c r="AM350" s="1246"/>
      <c r="AO350" s="1772"/>
      <c r="AP350" s="1821"/>
      <c r="AQ350" s="1821"/>
      <c r="AR350" s="1821"/>
      <c r="AS350" s="1821"/>
      <c r="AT350" s="1821"/>
      <c r="AU350" s="1821"/>
      <c r="AV350" s="1785"/>
      <c r="AX350" s="1691"/>
    </row>
    <row r="351" hidden="1" customHeight="1" spans="1:66">
      <c r="A351" s="1678" t="s">
        <v>152</v>
      </c>
      <c r="B351" s="1756"/>
      <c r="C351" s="1756"/>
      <c r="D351" s="1756"/>
      <c r="E351" s="1756"/>
      <c r="F351" s="1756"/>
      <c r="G351" s="1756"/>
      <c r="H351" s="1756"/>
      <c r="I351" s="1756"/>
      <c r="J351" s="1756"/>
      <c r="K351" s="1756">
        <v>325</v>
      </c>
      <c r="L351" s="1772">
        <v>347</v>
      </c>
      <c r="M351" s="1772">
        <v>491</v>
      </c>
      <c r="N351" s="1772">
        <v>535</v>
      </c>
      <c r="O351" s="1772">
        <v>565</v>
      </c>
      <c r="P351" s="1772">
        <v>582</v>
      </c>
      <c r="Q351" s="1772">
        <v>617</v>
      </c>
      <c r="R351" s="1772">
        <v>678</v>
      </c>
      <c r="S351" s="1772">
        <v>750</v>
      </c>
      <c r="T351" s="1772">
        <v>753</v>
      </c>
      <c r="U351" s="1772">
        <v>763</v>
      </c>
      <c r="V351" s="1772">
        <v>859</v>
      </c>
      <c r="W351" s="1772">
        <v>967</v>
      </c>
      <c r="X351" s="1833"/>
      <c r="Y351" s="1833"/>
      <c r="Z351" s="1833"/>
      <c r="AA351" s="1833"/>
      <c r="AB351" s="1833"/>
      <c r="AC351" s="1833"/>
      <c r="AD351" s="1833"/>
      <c r="AE351" s="1833"/>
      <c r="AF351" s="1945"/>
      <c r="AG351" s="1833"/>
      <c r="AH351" s="1833"/>
      <c r="AI351" s="1833"/>
      <c r="AJ351" s="1833"/>
      <c r="AK351" s="1833"/>
      <c r="AL351" s="1833"/>
      <c r="AM351" s="1246"/>
      <c r="AO351" s="1772"/>
      <c r="AP351" s="1821"/>
      <c r="AQ351" s="1821"/>
      <c r="AR351" s="1821"/>
      <c r="AS351" s="1821"/>
      <c r="AT351" s="1821"/>
      <c r="AU351" s="1821"/>
      <c r="AV351" s="1785"/>
      <c r="AX351" s="1691"/>
    </row>
    <row r="352" hidden="1" customHeight="1" spans="1:66">
      <c r="A352" s="1679" t="s">
        <v>142</v>
      </c>
      <c r="B352" s="1946"/>
      <c r="C352" s="1756"/>
      <c r="D352" s="1756"/>
      <c r="E352" s="1946"/>
      <c r="F352" s="1946"/>
      <c r="G352" s="1946"/>
      <c r="H352" s="1946"/>
      <c r="I352" s="1946"/>
      <c r="J352" s="1948" t="e">
        <f>J351/I351-1</f>
        <v>#DIV/0!</v>
      </c>
      <c r="K352" s="1948" t="e">
        <f>K351/J351-1</f>
        <v>#DIV/0!</v>
      </c>
      <c r="L352" s="1949">
        <f>L351/K351-1</f>
        <v>0.0676923076923077</v>
      </c>
      <c r="M352" s="1949">
        <f t="shared" ref="M352:T352" si="408">M351/L351-1</f>
        <v>0.414985590778098</v>
      </c>
      <c r="N352" s="1949">
        <f t="shared" si="408"/>
        <v>0.089613034623218</v>
      </c>
      <c r="O352" s="1949">
        <f t="shared" si="408"/>
        <v>0.0560747663551402</v>
      </c>
      <c r="P352" s="1709">
        <f t="shared" si="408"/>
        <v>0.0300884955752212</v>
      </c>
      <c r="Q352" s="1709">
        <f t="shared" si="408"/>
        <v>0.0601374570446735</v>
      </c>
      <c r="R352" s="1709">
        <f t="shared" si="408"/>
        <v>0.0988654781199352</v>
      </c>
      <c r="S352" s="1709">
        <f t="shared" si="408"/>
        <v>0.106194690265487</v>
      </c>
      <c r="T352" s="1709">
        <f t="shared" si="408"/>
        <v>0.004</v>
      </c>
      <c r="U352" s="1709">
        <f t="shared" ref="U352:W352" si="409">U351/T351-1</f>
        <v>0.0132802124833997</v>
      </c>
      <c r="V352" s="1709">
        <f t="shared" si="409"/>
        <v>0.125819134993447</v>
      </c>
      <c r="W352" s="1709">
        <f t="shared" si="409"/>
        <v>0.125727590221187</v>
      </c>
      <c r="X352" s="1710"/>
      <c r="Y352" s="1710"/>
      <c r="Z352" s="1710"/>
      <c r="AA352" s="1710"/>
      <c r="AB352" s="1710"/>
      <c r="AC352" s="1710"/>
      <c r="AD352" s="1710"/>
      <c r="AE352" s="1710"/>
      <c r="AF352" s="1947"/>
      <c r="AG352" s="1710"/>
      <c r="AH352" s="1710"/>
      <c r="AI352" s="1710"/>
      <c r="AJ352" s="1710"/>
      <c r="AK352" s="1710"/>
      <c r="AL352" s="1710"/>
      <c r="AM352" s="1950"/>
      <c r="AO352" s="1772"/>
      <c r="AP352" s="1821"/>
      <c r="AQ352" s="1821"/>
      <c r="AR352" s="1821"/>
      <c r="AS352" s="1821"/>
      <c r="AT352" s="1821"/>
      <c r="AU352" s="1821"/>
      <c r="AV352" s="1785"/>
      <c r="AX352" s="1691"/>
    </row>
    <row r="353" hidden="1" customHeight="1" spans="1:54">
      <c r="A353" s="1686" t="s">
        <v>145</v>
      </c>
      <c r="B353" s="1769"/>
      <c r="C353" s="1756"/>
      <c r="D353" s="1756"/>
      <c r="E353" s="1769"/>
      <c r="F353" s="1769"/>
      <c r="G353" s="1769"/>
      <c r="H353" s="1769"/>
      <c r="I353" s="1769"/>
      <c r="J353" s="1769">
        <f t="shared" ref="J353:O353" si="410">J351/J$325</f>
        <v>0</v>
      </c>
      <c r="K353" s="1769">
        <f t="shared" si="410"/>
        <v>0.0554607508532423</v>
      </c>
      <c r="L353" s="1246">
        <f t="shared" si="410"/>
        <v>0.0522905364677517</v>
      </c>
      <c r="M353" s="1246">
        <f t="shared" si="410"/>
        <v>0.0486909956366521</v>
      </c>
      <c r="N353" s="1246">
        <f t="shared" si="410"/>
        <v>0.0519467909505777</v>
      </c>
      <c r="O353" s="1709">
        <f t="shared" si="410"/>
        <v>0.0523196592277063</v>
      </c>
      <c r="P353" s="1709">
        <f t="shared" ref="P353:W353" si="411">P351/P$325</f>
        <v>0.056063963009344</v>
      </c>
      <c r="Q353" s="1764">
        <f t="shared" si="411"/>
        <v>0.0514595496246872</v>
      </c>
      <c r="R353" s="1764">
        <f t="shared" si="411"/>
        <v>0.0508894393154695</v>
      </c>
      <c r="S353" s="1764">
        <f t="shared" si="411"/>
        <v>0.0503930659141302</v>
      </c>
      <c r="T353" s="1764">
        <f t="shared" si="411"/>
        <v>0.0530095036958817</v>
      </c>
      <c r="U353" s="1764">
        <f t="shared" si="411"/>
        <v>0.0524975918535847</v>
      </c>
      <c r="V353" s="1764">
        <f t="shared" si="411"/>
        <v>0.0507833284067396</v>
      </c>
      <c r="W353" s="1764">
        <f t="shared" si="411"/>
        <v>0.0501296008294453</v>
      </c>
      <c r="X353" s="1764"/>
      <c r="Y353" s="1865"/>
      <c r="Z353" s="1865"/>
      <c r="AA353" s="1865"/>
      <c r="AB353" s="1865"/>
      <c r="AC353" s="1865"/>
      <c r="AD353" s="1865"/>
      <c r="AE353" s="1865"/>
      <c r="AF353" s="1932"/>
      <c r="AG353" s="1865"/>
      <c r="AH353" s="1865"/>
      <c r="AI353" s="1865"/>
      <c r="AJ353" s="1865"/>
      <c r="AK353" s="1865"/>
      <c r="AL353" s="1865"/>
      <c r="AM353" s="1246"/>
      <c r="AO353" s="1772"/>
      <c r="AP353" s="1821"/>
      <c r="AQ353" s="1821"/>
      <c r="AR353" s="1821"/>
      <c r="AS353" s="1821"/>
      <c r="AT353" s="1821"/>
      <c r="AU353" s="1821"/>
      <c r="AV353" s="1785"/>
      <c r="AX353" s="1691"/>
    </row>
    <row r="354" hidden="1" customHeight="1" spans="1:54">
      <c r="A354" s="1678" t="s">
        <v>153</v>
      </c>
      <c r="B354" s="1756"/>
      <c r="C354" s="1756"/>
      <c r="D354" s="1756"/>
      <c r="E354" s="1756"/>
      <c r="F354" s="1756"/>
      <c r="G354" s="1756"/>
      <c r="H354" s="1756"/>
      <c r="I354" s="1756"/>
      <c r="J354" s="1756"/>
      <c r="K354" s="1756">
        <v>59</v>
      </c>
      <c r="L354" s="1772">
        <v>63</v>
      </c>
      <c r="M354" s="1772">
        <v>98</v>
      </c>
      <c r="N354" s="1772">
        <v>84</v>
      </c>
      <c r="O354" s="1772">
        <v>81</v>
      </c>
      <c r="P354" s="1772">
        <v>86</v>
      </c>
      <c r="Q354" s="1772">
        <v>102</v>
      </c>
      <c r="R354" s="1772">
        <v>115</v>
      </c>
      <c r="S354" s="1772">
        <v>128</v>
      </c>
      <c r="T354" s="1772">
        <v>124</v>
      </c>
      <c r="U354" s="1772">
        <v>126</v>
      </c>
      <c r="V354" s="1772">
        <v>139</v>
      </c>
      <c r="W354" s="1772">
        <v>164</v>
      </c>
      <c r="X354" s="1833"/>
      <c r="Y354" s="1833"/>
      <c r="Z354" s="1833"/>
      <c r="AA354" s="1833"/>
      <c r="AB354" s="1833"/>
      <c r="AC354" s="1833"/>
      <c r="AD354" s="1833"/>
      <c r="AE354" s="1833"/>
      <c r="AF354" s="1945"/>
      <c r="AG354" s="1833"/>
      <c r="AH354" s="1833"/>
      <c r="AI354" s="1833"/>
      <c r="AJ354" s="1833"/>
      <c r="AK354" s="1833"/>
      <c r="AL354" s="1833"/>
      <c r="AM354" s="1246"/>
      <c r="AO354" s="1772"/>
      <c r="AP354" s="1821"/>
      <c r="AQ354" s="1821"/>
      <c r="AR354" s="1821"/>
      <c r="AS354" s="1821"/>
      <c r="AT354" s="1821"/>
      <c r="AU354" s="1821"/>
      <c r="AV354" s="1785"/>
      <c r="AX354" s="1691"/>
    </row>
    <row r="355" hidden="1" customHeight="1" spans="1:54">
      <c r="A355" s="1679" t="s">
        <v>142</v>
      </c>
      <c r="B355" s="1946"/>
      <c r="C355" s="1756"/>
      <c r="D355" s="1756"/>
      <c r="E355" s="1946"/>
      <c r="F355" s="1946"/>
      <c r="G355" s="1946"/>
      <c r="H355" s="1946"/>
      <c r="I355" s="1946"/>
      <c r="J355" s="1769" t="e">
        <f>J354/I354-1</f>
        <v>#DIV/0!</v>
      </c>
      <c r="K355" s="1769" t="e">
        <f>K354/J354-1</f>
        <v>#DIV/0!</v>
      </c>
      <c r="L355" s="1246">
        <f>L354/K354-1</f>
        <v>0.0677966101694916</v>
      </c>
      <c r="M355" s="1246">
        <f t="shared" ref="M355:S355" si="412">M354/L354-1</f>
        <v>0.555555555555556</v>
      </c>
      <c r="N355" s="1246">
        <f t="shared" si="412"/>
        <v>-0.142857142857143</v>
      </c>
      <c r="O355" s="1709">
        <f t="shared" si="412"/>
        <v>-0.0357142857142857</v>
      </c>
      <c r="P355" s="1709">
        <f t="shared" si="412"/>
        <v>0.0617283950617284</v>
      </c>
      <c r="Q355" s="1709">
        <f t="shared" si="412"/>
        <v>0.186046511627907</v>
      </c>
      <c r="R355" s="1709">
        <f t="shared" si="412"/>
        <v>0.127450980392157</v>
      </c>
      <c r="S355" s="1709">
        <f t="shared" si="412"/>
        <v>0.11304347826087</v>
      </c>
      <c r="T355" s="1709">
        <f t="shared" ref="T355:W355" si="413">T354/S354-1</f>
        <v>-0.03125</v>
      </c>
      <c r="U355" s="1709">
        <f t="shared" si="413"/>
        <v>0.0161290322580645</v>
      </c>
      <c r="V355" s="1709">
        <f t="shared" si="413"/>
        <v>0.103174603174603</v>
      </c>
      <c r="W355" s="1709">
        <f t="shared" si="413"/>
        <v>0.179856115107914</v>
      </c>
      <c r="X355" s="1710"/>
      <c r="Y355" s="1710"/>
      <c r="Z355" s="1710"/>
      <c r="AA355" s="1710"/>
      <c r="AB355" s="1710"/>
      <c r="AC355" s="1710"/>
      <c r="AD355" s="1710"/>
      <c r="AE355" s="1710"/>
      <c r="AF355" s="1947"/>
      <c r="AG355" s="1710"/>
      <c r="AH355" s="1710"/>
      <c r="AI355" s="1710"/>
      <c r="AJ355" s="1710"/>
      <c r="AK355" s="1710"/>
      <c r="AL355" s="1710"/>
      <c r="AM355" s="1246"/>
      <c r="AO355" s="1772"/>
      <c r="AP355" s="1821"/>
      <c r="AQ355" s="1821"/>
      <c r="AR355" s="1821"/>
      <c r="AS355" s="1821"/>
      <c r="AT355" s="1821"/>
      <c r="AU355" s="1821"/>
      <c r="AV355" s="1785"/>
      <c r="AX355" s="1691"/>
    </row>
    <row r="356" hidden="1" customHeight="1" spans="1:54">
      <c r="A356" s="1686" t="s">
        <v>145</v>
      </c>
      <c r="B356" s="1769"/>
      <c r="C356" s="1756"/>
      <c r="D356" s="1756"/>
      <c r="E356" s="1769"/>
      <c r="F356" s="1769"/>
      <c r="G356" s="1769"/>
      <c r="H356" s="1769"/>
      <c r="I356" s="1769"/>
      <c r="J356" s="1769">
        <f t="shared" ref="J356:O356" si="414">J354/J$325</f>
        <v>0</v>
      </c>
      <c r="K356" s="1769">
        <f t="shared" si="414"/>
        <v>0.0100682593856655</v>
      </c>
      <c r="L356" s="1246">
        <f t="shared" si="414"/>
        <v>0.00949367088607595</v>
      </c>
      <c r="M356" s="1246">
        <f t="shared" si="414"/>
        <v>0.00971836572788576</v>
      </c>
      <c r="N356" s="1246">
        <f t="shared" si="414"/>
        <v>0.00815613166326828</v>
      </c>
      <c r="O356" s="1709">
        <f t="shared" si="414"/>
        <v>0.00750069450875081</v>
      </c>
      <c r="P356" s="1709">
        <f t="shared" ref="P356:W356" si="415">P354/P$325</f>
        <v>0.00828436566804739</v>
      </c>
      <c r="Q356" s="1764">
        <f t="shared" si="415"/>
        <v>0.00850708924103419</v>
      </c>
      <c r="R356" s="1764">
        <f t="shared" si="415"/>
        <v>0.00863168955940854</v>
      </c>
      <c r="S356" s="1764">
        <f t="shared" si="415"/>
        <v>0.00860041658267822</v>
      </c>
      <c r="T356" s="1764">
        <f t="shared" si="415"/>
        <v>0.00872932066173882</v>
      </c>
      <c r="U356" s="1764">
        <f t="shared" si="415"/>
        <v>0.00866932709508738</v>
      </c>
      <c r="V356" s="1764">
        <f t="shared" si="415"/>
        <v>0.00821755838013597</v>
      </c>
      <c r="W356" s="1764">
        <f t="shared" si="415"/>
        <v>0.00850181441161223</v>
      </c>
      <c r="X356" s="1764"/>
      <c r="Y356" s="1844"/>
      <c r="Z356" s="1844"/>
      <c r="AA356" s="1844"/>
      <c r="AB356" s="1844"/>
      <c r="AC356" s="1844"/>
      <c r="AD356" s="1844"/>
      <c r="AE356" s="1844"/>
      <c r="AF356" s="1942"/>
      <c r="AG356" s="1844"/>
      <c r="AH356" s="1844"/>
      <c r="AI356" s="1844"/>
      <c r="AJ356" s="1844"/>
      <c r="AK356" s="1844"/>
      <c r="AL356" s="1844"/>
      <c r="AM356" s="1246"/>
      <c r="AO356" s="1772"/>
      <c r="AP356" s="1821"/>
      <c r="AQ356" s="1821"/>
      <c r="AR356" s="1821"/>
      <c r="AS356" s="1821"/>
      <c r="AT356" s="1821"/>
      <c r="AU356" s="1821"/>
      <c r="AV356" s="1785"/>
      <c r="AX356" s="1691"/>
    </row>
    <row r="357" customHeight="1" spans="1:54">
      <c r="A357" s="1678" t="s">
        <v>154</v>
      </c>
      <c r="B357" s="1756"/>
      <c r="C357" s="1756"/>
      <c r="D357" s="1756"/>
      <c r="E357" s="1756"/>
      <c r="F357" s="1756"/>
      <c r="G357" s="1756"/>
      <c r="H357" s="1756"/>
      <c r="I357" s="1756"/>
      <c r="J357" s="1756"/>
      <c r="K357" s="1756">
        <v>382</v>
      </c>
      <c r="L357" s="1772">
        <f>439+5</f>
        <v>444</v>
      </c>
      <c r="M357" s="1772">
        <v>619</v>
      </c>
      <c r="N357" s="1772">
        <f t="shared" ref="N357:R357" si="416">N360-N354-N351-N348-N345-N342+N364</f>
        <v>666</v>
      </c>
      <c r="O357" s="1772">
        <f t="shared" si="416"/>
        <v>645</v>
      </c>
      <c r="P357" s="1772">
        <f t="shared" si="416"/>
        <v>709</v>
      </c>
      <c r="Q357" s="1772">
        <f t="shared" si="416"/>
        <v>745</v>
      </c>
      <c r="R357" s="1772">
        <f t="shared" si="416"/>
        <v>902</v>
      </c>
      <c r="S357" s="1833">
        <f t="shared" ref="S357:X357" si="417">S333+S336-S342-S345-S348-S351-S354-S368-S364</f>
        <v>1011</v>
      </c>
      <c r="T357" s="1833">
        <f t="shared" si="417"/>
        <v>738</v>
      </c>
      <c r="U357" s="1833">
        <f t="shared" si="417"/>
        <v>666</v>
      </c>
      <c r="V357" s="1833">
        <f t="shared" si="417"/>
        <v>934</v>
      </c>
      <c r="W357" s="1833">
        <f t="shared" si="417"/>
        <v>1036</v>
      </c>
      <c r="X357" s="1833">
        <f t="shared" si="417"/>
        <v>1266</v>
      </c>
      <c r="Y357" s="1833">
        <f>Y360-Y354-Y351-Y348-Y345-Y342</f>
        <v>1159</v>
      </c>
      <c r="Z357" s="1833">
        <f t="shared" ref="Z357:AG357" si="418">Z359*Z$325</f>
        <v>534.000000000001</v>
      </c>
      <c r="AA357" s="1833">
        <f t="shared" si="418"/>
        <v>281.999999999997</v>
      </c>
      <c r="AB357" s="1833">
        <f t="shared" si="418"/>
        <v>387.000000000003</v>
      </c>
      <c r="AC357" s="1833">
        <f t="shared" si="418"/>
        <v>348</v>
      </c>
      <c r="AD357" s="1833">
        <f t="shared" si="418"/>
        <v>301.999999999998</v>
      </c>
      <c r="AE357" s="1833">
        <f t="shared" si="418"/>
        <v>618.665000000002</v>
      </c>
      <c r="AF357" s="1945">
        <f t="shared" si="418"/>
        <v>659</v>
      </c>
      <c r="AG357" s="1833">
        <f t="shared" si="418"/>
        <v>691.889744485674</v>
      </c>
      <c r="AH357" s="1833">
        <f>AG357*(1+AH358)</f>
        <v>740.322026599671</v>
      </c>
      <c r="AI357" s="1833">
        <f t="shared" ref="AI357" si="419">AH357*(1+AI358)</f>
        <v>777.338127929655</v>
      </c>
      <c r="AJ357" s="1833">
        <f t="shared" ref="AJ357" si="420">AI357*(1+AJ358)</f>
        <v>816.205034326137</v>
      </c>
      <c r="AK357" s="1833">
        <f t="shared" ref="AK357" si="421">AJ357*(1+AK358)</f>
        <v>857.015286042444</v>
      </c>
      <c r="AL357" s="1833"/>
      <c r="AM357" s="1246"/>
      <c r="AO357" s="1772"/>
      <c r="AP357" s="1821"/>
      <c r="AQ357" s="1821"/>
      <c r="AR357" s="1821"/>
      <c r="AS357" s="1821"/>
      <c r="AT357" s="1821"/>
      <c r="AU357" s="1821"/>
      <c r="AV357" s="1785"/>
      <c r="AX357" s="1691"/>
    </row>
    <row r="358" customHeight="1" spans="1:54">
      <c r="A358" s="1679" t="s">
        <v>142</v>
      </c>
      <c r="B358" s="1946"/>
      <c r="C358" s="1951"/>
      <c r="D358" s="1756"/>
      <c r="E358" s="1946"/>
      <c r="F358" s="1946"/>
      <c r="G358" s="1946"/>
      <c r="H358" s="1946"/>
      <c r="I358" s="1946"/>
      <c r="J358" s="1769" t="e">
        <f t="shared" ref="J358:S358" si="422">J357/I357-1</f>
        <v>#DIV/0!</v>
      </c>
      <c r="K358" s="1769" t="e">
        <f t="shared" si="422"/>
        <v>#DIV/0!</v>
      </c>
      <c r="L358" s="1246">
        <f t="shared" si="422"/>
        <v>0.162303664921466</v>
      </c>
      <c r="M358" s="1246">
        <f t="shared" si="422"/>
        <v>0.394144144144144</v>
      </c>
      <c r="N358" s="1246">
        <f t="shared" si="422"/>
        <v>0.0759289176090467</v>
      </c>
      <c r="O358" s="1246">
        <f t="shared" si="422"/>
        <v>-0.0315315315315315</v>
      </c>
      <c r="P358" s="1709">
        <f t="shared" si="422"/>
        <v>0.0992248062015504</v>
      </c>
      <c r="Q358" s="1709">
        <f t="shared" si="422"/>
        <v>0.0507757404795486</v>
      </c>
      <c r="R358" s="1709">
        <f t="shared" si="422"/>
        <v>0.210738255033557</v>
      </c>
      <c r="S358" s="1709">
        <f t="shared" si="422"/>
        <v>0.120842572062084</v>
      </c>
      <c r="T358" s="1709">
        <f t="shared" ref="T358:AA358" si="423">T357/S357-1</f>
        <v>-0.270029673590504</v>
      </c>
      <c r="U358" s="1709">
        <f t="shared" si="423"/>
        <v>-0.0975609756097561</v>
      </c>
      <c r="V358" s="1709">
        <f t="shared" si="423"/>
        <v>0.402402402402402</v>
      </c>
      <c r="W358" s="1709">
        <f t="shared" si="423"/>
        <v>0.109207708779443</v>
      </c>
      <c r="X358" s="1710">
        <f t="shared" si="423"/>
        <v>0.222007722007724</v>
      </c>
      <c r="Y358" s="1710">
        <f t="shared" si="423"/>
        <v>-0.0845181674565574</v>
      </c>
      <c r="Z358" s="1710">
        <f t="shared" si="423"/>
        <v>-0.539257981018118</v>
      </c>
      <c r="AA358" s="1710">
        <f t="shared" si="423"/>
        <v>-0.471910112359558</v>
      </c>
      <c r="AB358" s="1710"/>
      <c r="AC358" s="1710">
        <f t="shared" ref="AC358:AG358" si="424">AC357/AB357-1</f>
        <v>-0.100775193798457</v>
      </c>
      <c r="AD358" s="1710">
        <f t="shared" si="424"/>
        <v>-0.132183908045983</v>
      </c>
      <c r="AE358" s="1710">
        <f t="shared" si="424"/>
        <v>1.04855960264903</v>
      </c>
      <c r="AF358" s="1947">
        <f t="shared" si="424"/>
        <v>0.0651968351207795</v>
      </c>
      <c r="AG358" s="1710">
        <f t="shared" si="424"/>
        <v>0.0499085652286406</v>
      </c>
      <c r="AH358" s="1710">
        <v>0.07</v>
      </c>
      <c r="AI358" s="1710">
        <v>0.05</v>
      </c>
      <c r="AJ358" s="1710">
        <v>0.05</v>
      </c>
      <c r="AK358" s="1710">
        <v>0.05</v>
      </c>
      <c r="AL358" s="1710"/>
      <c r="AM358" s="1741"/>
      <c r="AO358" s="1772"/>
      <c r="AP358" s="1821"/>
      <c r="AQ358" s="1821"/>
      <c r="AR358" s="1821"/>
      <c r="AS358" s="1821"/>
      <c r="AT358" s="1821"/>
      <c r="AU358" s="1821"/>
      <c r="AV358" s="1785"/>
      <c r="AX358" s="1691"/>
      <c r="AY358" s="1756"/>
      <c r="AZ358" s="1756"/>
    </row>
    <row r="359" customHeight="1" spans="1:54">
      <c r="A359" s="1686" t="s">
        <v>145</v>
      </c>
      <c r="B359" s="1769"/>
      <c r="C359" s="1756"/>
      <c r="D359" s="1756"/>
      <c r="E359" s="1769"/>
      <c r="F359" s="1769"/>
      <c r="G359" s="1769"/>
      <c r="H359" s="1769"/>
      <c r="I359" s="1769"/>
      <c r="J359" s="1769">
        <f t="shared" ref="J359:Q359" si="425">J357/J$325</f>
        <v>0</v>
      </c>
      <c r="K359" s="1769">
        <f t="shared" si="425"/>
        <v>0.0651877133105802</v>
      </c>
      <c r="L359" s="1246">
        <f t="shared" si="425"/>
        <v>0.0669077757685353</v>
      </c>
      <c r="M359" s="1246">
        <f t="shared" si="425"/>
        <v>0.0613843712812376</v>
      </c>
      <c r="N359" s="1246">
        <f t="shared" si="425"/>
        <v>0.0646664724730556</v>
      </c>
      <c r="O359" s="1246">
        <f t="shared" si="425"/>
        <v>0.0597277525696824</v>
      </c>
      <c r="P359" s="1709">
        <f t="shared" si="425"/>
        <v>0.0682978518447163</v>
      </c>
      <c r="Q359" s="1764">
        <f t="shared" si="425"/>
        <v>0.0621351125938282</v>
      </c>
      <c r="R359" s="1764">
        <f t="shared" ref="R359:Y359" si="426">R357/R327</f>
        <v>0.0677024694137957</v>
      </c>
      <c r="S359" s="1764">
        <f t="shared" si="426"/>
        <v>0.0679298528522475</v>
      </c>
      <c r="T359" s="1709">
        <f t="shared" si="426"/>
        <v>0.0519535374868004</v>
      </c>
      <c r="U359" s="1709">
        <f t="shared" si="426"/>
        <v>0.0458235860740333</v>
      </c>
      <c r="V359" s="1709">
        <f t="shared" si="426"/>
        <v>0.0552172627845108</v>
      </c>
      <c r="W359" s="1764">
        <f t="shared" si="426"/>
        <v>0.0537065837221358</v>
      </c>
      <c r="X359" s="1709">
        <f t="shared" si="426"/>
        <v>0.0596663210481667</v>
      </c>
      <c r="Y359" s="1709">
        <f t="shared" si="426"/>
        <v>0.0528861510381018</v>
      </c>
      <c r="Z359" s="1865">
        <v>0.022587876993359</v>
      </c>
      <c r="AA359" s="1865">
        <v>0.0142108445877846</v>
      </c>
      <c r="AB359" s="1865">
        <v>0.0182254874258267</v>
      </c>
      <c r="AC359" s="1865">
        <v>0.0154591088801031</v>
      </c>
      <c r="AD359" s="1865">
        <v>0.0146048940903375</v>
      </c>
      <c r="AE359" s="1865">
        <v>0.0268599400859637</v>
      </c>
      <c r="AF359" s="1932">
        <v>0.0265607996453186</v>
      </c>
      <c r="AG359" s="1865">
        <v>0.0255</v>
      </c>
      <c r="AH359" s="1865">
        <f>AH357/AH325</f>
        <v>0.0253676975224911</v>
      </c>
      <c r="AI359" s="1865">
        <f t="shared" ref="AI359:AK359" si="427">AI357/AI325</f>
        <v>0.0249464988664544</v>
      </c>
      <c r="AJ359" s="1865">
        <f t="shared" si="427"/>
        <v>0.0247209184741464</v>
      </c>
      <c r="AK359" s="1865">
        <f t="shared" si="427"/>
        <v>0.0244956987126904</v>
      </c>
      <c r="AL359" s="1865"/>
      <c r="AM359" s="1246"/>
      <c r="AO359" s="1772"/>
      <c r="AP359" s="1821"/>
      <c r="AQ359" s="1821"/>
      <c r="AR359" s="1821"/>
      <c r="AS359" s="1821"/>
      <c r="AT359" s="1821"/>
      <c r="AU359" s="1821"/>
      <c r="AV359" s="1785"/>
      <c r="AX359" s="1691"/>
    </row>
    <row r="360" customHeight="1" spans="1:54">
      <c r="A360" s="1935" t="s">
        <v>155</v>
      </c>
      <c r="B360" s="1936"/>
      <c r="C360" s="1936"/>
      <c r="D360" s="1936"/>
      <c r="E360" s="1936"/>
      <c r="F360" s="1936">
        <f>F333-F368+F336</f>
        <v>1904.8495</v>
      </c>
      <c r="G360" s="1936">
        <f>G333-G368+G336</f>
        <v>2134</v>
      </c>
      <c r="H360" s="1936">
        <f>H333-H368+H336</f>
        <v>2158</v>
      </c>
      <c r="I360" s="1936">
        <f>I333-I368+I336</f>
        <v>2388.5</v>
      </c>
      <c r="J360" s="1936">
        <f>J333-J368+J336</f>
        <v>2367</v>
      </c>
      <c r="K360" s="1936">
        <f>K333+K336-K364-K368</f>
        <v>2140.808</v>
      </c>
      <c r="L360" s="1937">
        <v>2425.291</v>
      </c>
      <c r="M360" s="1937">
        <f t="shared" ref="M360:R360" si="428">M333+M336-M364-M368</f>
        <v>3511</v>
      </c>
      <c r="N360" s="1937">
        <f t="shared" si="428"/>
        <v>3820</v>
      </c>
      <c r="O360" s="1937">
        <f t="shared" si="428"/>
        <v>4041</v>
      </c>
      <c r="P360" s="1937">
        <f t="shared" si="428"/>
        <v>3991</v>
      </c>
      <c r="Q360" s="1937">
        <f t="shared" si="428"/>
        <v>4676</v>
      </c>
      <c r="R360" s="1937">
        <f t="shared" si="428"/>
        <v>5220</v>
      </c>
      <c r="S360" s="1937">
        <f>S342+S345+S348+S351+S354+S357</f>
        <v>6025</v>
      </c>
      <c r="T360" s="1937">
        <f t="shared" ref="T360:AG360" si="429">T342+T345+T348+T351+T354+T357</f>
        <v>5637</v>
      </c>
      <c r="U360" s="1937">
        <f t="shared" si="429"/>
        <v>5820</v>
      </c>
      <c r="V360" s="1937">
        <f t="shared" si="429"/>
        <v>6874</v>
      </c>
      <c r="W360" s="1937">
        <f t="shared" si="429"/>
        <v>7609</v>
      </c>
      <c r="X360" s="1937">
        <f t="shared" si="429"/>
        <v>8297</v>
      </c>
      <c r="Y360" s="1937">
        <f>Interim!GK415</f>
        <v>8610</v>
      </c>
      <c r="Z360" s="1937">
        <f t="shared" si="429"/>
        <v>8573</v>
      </c>
      <c r="AA360" s="1937">
        <f t="shared" si="429"/>
        <v>7817</v>
      </c>
      <c r="AB360" s="1937">
        <f t="shared" si="429"/>
        <v>7716</v>
      </c>
      <c r="AC360" s="1937">
        <f t="shared" si="429"/>
        <v>8712</v>
      </c>
      <c r="AD360" s="1937">
        <f t="shared" si="429"/>
        <v>8377</v>
      </c>
      <c r="AE360" s="1937">
        <f t="shared" si="429"/>
        <v>9395.66500000001</v>
      </c>
      <c r="AF360" s="1952">
        <f t="shared" si="429"/>
        <v>9615</v>
      </c>
      <c r="AG360" s="1937">
        <f t="shared" si="429"/>
        <v>10330.7481318691</v>
      </c>
      <c r="AH360" s="1937">
        <f t="shared" ref="AH360" si="430">AH342+AH345+AH348+AH351+AH354+AH357</f>
        <v>11070.0444630635</v>
      </c>
      <c r="AI360" s="1937">
        <f t="shared" ref="AI360:AJ360" si="431">AI342+AI345+AI348+AI351+AI354+AI357</f>
        <v>11719.3389802883</v>
      </c>
      <c r="AJ360" s="1937">
        <f t="shared" si="431"/>
        <v>12362.7007873255</v>
      </c>
      <c r="AK360" s="1937">
        <f t="shared" ref="AK360" si="432">AK342+AK345+AK348+AK351+AK354+AK357</f>
        <v>13041.6268797462</v>
      </c>
      <c r="AL360" s="1937"/>
      <c r="AM360" s="1246"/>
      <c r="AO360" s="1772"/>
      <c r="AP360" s="1821"/>
      <c r="AQ360" s="1821"/>
      <c r="AR360" s="1821"/>
      <c r="AS360" s="1821"/>
      <c r="AT360" s="1821"/>
      <c r="AU360" s="1821"/>
      <c r="AV360" s="1785"/>
      <c r="AW360" s="1940"/>
      <c r="AX360" s="1940"/>
      <c r="AY360" s="1924"/>
      <c r="AZ360" s="1924"/>
      <c r="BA360" s="1924"/>
      <c r="BB360" s="1924"/>
    </row>
    <row r="361" hidden="1" customHeight="1" spans="1:54">
      <c r="A361" s="1953" t="s">
        <v>72</v>
      </c>
      <c r="B361" s="1936"/>
      <c r="C361" s="1936"/>
      <c r="D361" s="1936"/>
      <c r="E361" s="1936"/>
      <c r="F361" s="1936"/>
      <c r="G361" s="1936"/>
      <c r="H361" s="1936"/>
      <c r="I361" s="1936"/>
      <c r="J361" s="1936"/>
      <c r="K361" s="1936"/>
      <c r="L361" s="1937"/>
      <c r="M361" s="1937"/>
      <c r="N361" s="1937"/>
      <c r="O361" s="1937"/>
      <c r="P361" s="1937"/>
      <c r="Q361" s="1937"/>
      <c r="R361" s="1937">
        <f>R342+R345+R348+R351+R354+R357-R364</f>
        <v>5220</v>
      </c>
      <c r="S361" s="1937"/>
      <c r="T361" s="1937"/>
      <c r="U361" s="1937"/>
      <c r="V361" s="1937"/>
      <c r="W361" s="1937"/>
      <c r="X361" s="1938"/>
      <c r="Y361" s="1938"/>
      <c r="Z361" s="1938"/>
      <c r="AA361" s="1938"/>
      <c r="AB361" s="1938"/>
      <c r="AC361" s="1938"/>
      <c r="AD361" s="1938"/>
      <c r="AE361" s="1938"/>
      <c r="AF361" s="1939"/>
      <c r="AG361" s="1938"/>
      <c r="AH361" s="1938"/>
      <c r="AI361" s="1938"/>
      <c r="AJ361" s="1938"/>
      <c r="AK361" s="1938"/>
      <c r="AL361" s="1938"/>
      <c r="AM361" s="1246"/>
      <c r="AO361" s="1772"/>
      <c r="AP361" s="1821"/>
      <c r="AQ361" s="1821"/>
      <c r="AR361" s="1821"/>
      <c r="AS361" s="1821"/>
      <c r="AT361" s="1821"/>
      <c r="AU361" s="1821"/>
      <c r="AV361" s="1785"/>
      <c r="AW361" s="1940"/>
      <c r="AX361" s="1940"/>
      <c r="AY361" s="1924"/>
      <c r="AZ361" s="1924"/>
      <c r="BA361" s="1924"/>
      <c r="BB361" s="1924"/>
    </row>
    <row r="362" s="1679" customFormat="1" customHeight="1" spans="1:54">
      <c r="A362" s="1679" t="s">
        <v>142</v>
      </c>
      <c r="B362" s="1769"/>
      <c r="C362" s="1769"/>
      <c r="D362" s="1769"/>
      <c r="E362" s="1769"/>
      <c r="F362" s="1769" t="e">
        <f t="shared" ref="F362:L362" si="433">F360/E360-1</f>
        <v>#DIV/0!</v>
      </c>
      <c r="G362" s="1769">
        <f t="shared" si="433"/>
        <v>0.120298480273638</v>
      </c>
      <c r="H362" s="1769">
        <f t="shared" si="433"/>
        <v>0.0112464854732897</v>
      </c>
      <c r="I362" s="1769">
        <f t="shared" si="433"/>
        <v>0.106811862835959</v>
      </c>
      <c r="J362" s="1769">
        <f t="shared" si="433"/>
        <v>-0.00900146535482516</v>
      </c>
      <c r="K362" s="1769">
        <f t="shared" si="433"/>
        <v>-0.0955606252640473</v>
      </c>
      <c r="L362" s="1246">
        <f t="shared" si="433"/>
        <v>0.132885807601616</v>
      </c>
      <c r="M362" s="1246">
        <f t="shared" ref="M362:R362" si="434">M360/L360-1</f>
        <v>0.447661332186529</v>
      </c>
      <c r="N362" s="1246">
        <f t="shared" si="434"/>
        <v>0.088009114212475</v>
      </c>
      <c r="O362" s="1246">
        <f t="shared" si="434"/>
        <v>0.0578534031413613</v>
      </c>
      <c r="P362" s="1246">
        <f t="shared" si="434"/>
        <v>-0.0123731749566939</v>
      </c>
      <c r="Q362" s="1246">
        <f t="shared" si="434"/>
        <v>0.171636181408168</v>
      </c>
      <c r="R362" s="1246">
        <f t="shared" si="434"/>
        <v>0.11633875106929</v>
      </c>
      <c r="S362" s="1246">
        <f t="shared" ref="S362:AA362" si="435">S360/R360-1</f>
        <v>0.154214559386973</v>
      </c>
      <c r="T362" s="1246">
        <f t="shared" si="435"/>
        <v>-0.0643983402489626</v>
      </c>
      <c r="U362" s="1246">
        <f t="shared" si="435"/>
        <v>0.0324640766365087</v>
      </c>
      <c r="V362" s="1246">
        <f t="shared" si="435"/>
        <v>0.181099656357388</v>
      </c>
      <c r="W362" s="1246">
        <f t="shared" si="435"/>
        <v>0.106924643584521</v>
      </c>
      <c r="X362" s="1716">
        <f t="shared" si="435"/>
        <v>0.0904192403732424</v>
      </c>
      <c r="Y362" s="1716">
        <f t="shared" si="435"/>
        <v>0.0377244787272506</v>
      </c>
      <c r="Z362" s="1716">
        <f t="shared" si="435"/>
        <v>-0.0042973286875726</v>
      </c>
      <c r="AA362" s="1716">
        <f t="shared" si="435"/>
        <v>-0.0881838329639568</v>
      </c>
      <c r="AB362" s="1716"/>
      <c r="AC362" s="1716">
        <f t="shared" ref="AC362:AK362" si="436">AC360/AB360-1</f>
        <v>0.129082426127527</v>
      </c>
      <c r="AD362" s="1716">
        <f t="shared" si="436"/>
        <v>-0.0384527089072546</v>
      </c>
      <c r="AE362" s="1716">
        <f t="shared" si="436"/>
        <v>0.121602602363616</v>
      </c>
      <c r="AF362" s="1941">
        <f t="shared" si="436"/>
        <v>0.0233442763231757</v>
      </c>
      <c r="AG362" s="1716">
        <f t="shared" si="436"/>
        <v>0.0744407833457223</v>
      </c>
      <c r="AH362" s="1716">
        <f t="shared" si="436"/>
        <v>0.0715627098596829</v>
      </c>
      <c r="AI362" s="1716">
        <f t="shared" si="436"/>
        <v>0.0586532890081173</v>
      </c>
      <c r="AJ362" s="1716">
        <f t="shared" si="436"/>
        <v>0.0548974484072264</v>
      </c>
      <c r="AK362" s="1716">
        <f t="shared" si="436"/>
        <v>0.0549172955085038</v>
      </c>
      <c r="AL362" s="1716"/>
      <c r="AM362" s="1246"/>
      <c r="AN362" s="1688"/>
      <c r="AO362" s="1772"/>
      <c r="AP362" s="1821"/>
      <c r="AQ362" s="1821"/>
      <c r="AR362" s="1821"/>
      <c r="AS362" s="1821"/>
      <c r="AT362" s="1821"/>
      <c r="AU362" s="1821"/>
      <c r="AV362" s="1785"/>
      <c r="AW362" s="1954"/>
      <c r="AX362" s="1954"/>
      <c r="AY362" s="1750"/>
      <c r="AZ362" s="1750"/>
      <c r="BA362" s="1750"/>
    </row>
    <row r="363" customHeight="1" spans="1:54">
      <c r="A363" s="1686" t="s">
        <v>145</v>
      </c>
      <c r="B363" s="1769"/>
      <c r="C363" s="1769"/>
      <c r="D363" s="1769"/>
      <c r="E363" s="1769"/>
      <c r="F363" s="1769">
        <f t="shared" ref="F363:K363" si="437">F360/F$325</f>
        <v>0.355780631303698</v>
      </c>
      <c r="G363" s="1769">
        <f t="shared" si="437"/>
        <v>0.365724078834619</v>
      </c>
      <c r="H363" s="1769">
        <f t="shared" si="437"/>
        <v>0.353075916230366</v>
      </c>
      <c r="I363" s="1769">
        <f t="shared" si="437"/>
        <v>0.366165874597578</v>
      </c>
      <c r="J363" s="1769">
        <f t="shared" si="437"/>
        <v>0.377692675921494</v>
      </c>
      <c r="K363" s="1769">
        <f t="shared" si="437"/>
        <v>0.365325597269625</v>
      </c>
      <c r="L363" s="1246">
        <v>0.365390413023817</v>
      </c>
      <c r="M363" s="1246">
        <f t="shared" ref="M363:R363" si="438">M360/M$325</f>
        <v>0.348175327251091</v>
      </c>
      <c r="N363" s="1246">
        <f t="shared" si="438"/>
        <v>0.370909797067676</v>
      </c>
      <c r="O363" s="1246">
        <f t="shared" si="438"/>
        <v>0.374201314936568</v>
      </c>
      <c r="P363" s="1246">
        <f t="shared" si="438"/>
        <v>0.384452364897409</v>
      </c>
      <c r="Q363" s="1246">
        <f t="shared" si="438"/>
        <v>0.38999165971643</v>
      </c>
      <c r="R363" s="1246">
        <f t="shared" si="438"/>
        <v>0.391803647827066</v>
      </c>
      <c r="S363" s="1246">
        <f t="shared" ref="S363:AA363" si="439">S360/S$325</f>
        <v>0.404824296176846</v>
      </c>
      <c r="T363" s="1246">
        <f t="shared" si="439"/>
        <v>0.396832101372756</v>
      </c>
      <c r="U363" s="1246">
        <f t="shared" si="439"/>
        <v>0.400440346773084</v>
      </c>
      <c r="V363" s="1246">
        <f t="shared" si="439"/>
        <v>0.406384865503991</v>
      </c>
      <c r="W363" s="1246">
        <f t="shared" si="439"/>
        <v>0.394453084499741</v>
      </c>
      <c r="X363" s="1716">
        <f t="shared" si="439"/>
        <v>0.391035912904138</v>
      </c>
      <c r="Y363" s="1716">
        <f t="shared" si="439"/>
        <v>0.392881587953456</v>
      </c>
      <c r="Z363" s="1716">
        <f t="shared" si="439"/>
        <v>0.362632714352185</v>
      </c>
      <c r="AA363" s="1716">
        <f t="shared" si="439"/>
        <v>0.393922596250756</v>
      </c>
      <c r="AB363" s="1716">
        <f t="shared" ref="AB363:AG363" si="440">AB360/AB$325</f>
        <v>0.363379485730432</v>
      </c>
      <c r="AC363" s="1716">
        <f t="shared" si="440"/>
        <v>0.38701079472258</v>
      </c>
      <c r="AD363" s="1716">
        <f t="shared" si="440"/>
        <v>0.405116548989264</v>
      </c>
      <c r="AE363" s="1716">
        <f t="shared" si="440"/>
        <v>0.407921894672861</v>
      </c>
      <c r="AF363" s="1941">
        <f t="shared" si="440"/>
        <v>0.387529724718875</v>
      </c>
      <c r="AG363" s="1716">
        <f t="shared" si="440"/>
        <v>0.380745746648536</v>
      </c>
      <c r="AH363" s="1716">
        <f t="shared" ref="AH363" si="441">AH360/AH$325</f>
        <v>0.379323496275462</v>
      </c>
      <c r="AI363" s="1716">
        <f t="shared" ref="AI363:AJ363" si="442">AI360/AI$325</f>
        <v>0.376099494007856</v>
      </c>
      <c r="AJ363" s="1716">
        <f t="shared" si="442"/>
        <v>0.374436943452643</v>
      </c>
      <c r="AK363" s="1716">
        <f t="shared" ref="AK363" si="443">AK360/AK$325</f>
        <v>0.372763202678472</v>
      </c>
      <c r="AL363" s="1716"/>
      <c r="AM363" s="1246"/>
      <c r="AO363" s="1772"/>
      <c r="AP363" s="1821"/>
      <c r="AQ363" s="1821"/>
      <c r="AR363" s="1821"/>
      <c r="AS363" s="1821"/>
      <c r="AT363" s="1821"/>
      <c r="AU363" s="1821"/>
      <c r="AV363" s="1785"/>
      <c r="AW363" s="1955"/>
      <c r="AX363" s="1955"/>
      <c r="AY363" s="1956"/>
      <c r="AZ363" s="1956"/>
      <c r="BA363" s="1956"/>
    </row>
    <row r="364" customHeight="1" spans="1:54">
      <c r="A364" s="1849" t="s">
        <v>156</v>
      </c>
      <c r="B364" s="1924"/>
      <c r="C364" s="1924"/>
      <c r="D364" s="1924"/>
      <c r="E364" s="1924"/>
      <c r="F364" s="1924">
        <v>104.0848</v>
      </c>
      <c r="G364" s="1924">
        <v>120</v>
      </c>
      <c r="H364" s="1924">
        <v>100.5</v>
      </c>
      <c r="I364" s="1924">
        <v>142</v>
      </c>
      <c r="J364" s="1924">
        <v>140</v>
      </c>
      <c r="K364" s="1924">
        <f>94.744+35.906</f>
        <v>130.65</v>
      </c>
      <c r="L364" s="1925">
        <v>111.526</v>
      </c>
      <c r="M364" s="1925">
        <v>193</v>
      </c>
      <c r="N364" s="1925">
        <v>215</v>
      </c>
      <c r="O364" s="1925">
        <v>234</v>
      </c>
      <c r="P364" s="1925">
        <v>299</v>
      </c>
      <c r="Q364" s="1925">
        <v>260</v>
      </c>
      <c r="R364" s="1925">
        <v>249</v>
      </c>
      <c r="S364" s="1925">
        <v>263</v>
      </c>
      <c r="T364" s="1925">
        <v>286</v>
      </c>
      <c r="U364" s="1925">
        <v>323</v>
      </c>
      <c r="V364" s="1925">
        <v>354</v>
      </c>
      <c r="W364" s="1925">
        <v>388</v>
      </c>
      <c r="X364" s="1957">
        <v>451</v>
      </c>
      <c r="Y364" s="1957">
        <v>514</v>
      </c>
      <c r="Z364" s="1957">
        <f t="shared" ref="Z364:AG364" si="444">Z366*Z325</f>
        <v>1214</v>
      </c>
      <c r="AA364" s="1957">
        <f t="shared" si="444"/>
        <v>1370</v>
      </c>
      <c r="AB364" s="1957">
        <f t="shared" si="444"/>
        <v>1149</v>
      </c>
      <c r="AC364" s="1957">
        <f t="shared" si="444"/>
        <v>1375</v>
      </c>
      <c r="AD364" s="1957">
        <f t="shared" si="444"/>
        <v>1090</v>
      </c>
      <c r="AE364" s="1957">
        <f t="shared" si="444"/>
        <v>1180</v>
      </c>
      <c r="AF364" s="1958">
        <f t="shared" si="444"/>
        <v>1154</v>
      </c>
      <c r="AG364" s="1957">
        <f t="shared" si="444"/>
        <v>1166.71603972094</v>
      </c>
      <c r="AH364" s="1957">
        <f t="shared" ref="AH364" si="445">AH366*AH325</f>
        <v>1254.89698525307</v>
      </c>
      <c r="AI364" s="1957">
        <f t="shared" ref="AI364:AJ364" si="446">AI366*AI325</f>
        <v>1339.88900325899</v>
      </c>
      <c r="AJ364" s="1957">
        <f t="shared" si="446"/>
        <v>1419.7213793949</v>
      </c>
      <c r="AK364" s="1957">
        <f t="shared" ref="AK364" si="447">AK366*AK325</f>
        <v>1504.41339649289</v>
      </c>
      <c r="AL364" s="1957"/>
      <c r="AM364" s="1246"/>
      <c r="AO364" s="1772"/>
      <c r="AP364" s="1821"/>
      <c r="AQ364" s="1821"/>
      <c r="AR364" s="1821"/>
      <c r="AS364" s="1821"/>
      <c r="AT364" s="1821"/>
      <c r="AU364" s="1821"/>
      <c r="AV364" s="1785"/>
      <c r="AW364" s="1925"/>
      <c r="AX364" s="1925"/>
    </row>
    <row r="365" s="1679" customFormat="1" customHeight="1" spans="1:54">
      <c r="A365" s="1679" t="s">
        <v>142</v>
      </c>
      <c r="B365" s="1769"/>
      <c r="C365" s="1769"/>
      <c r="D365" s="1769"/>
      <c r="E365" s="1769"/>
      <c r="F365" s="1769" t="e">
        <f t="shared" ref="F365:K365" si="448">F364/E364-1</f>
        <v>#DIV/0!</v>
      </c>
      <c r="G365" s="1769">
        <f t="shared" si="448"/>
        <v>0.15290609195579</v>
      </c>
      <c r="H365" s="1769">
        <f t="shared" si="448"/>
        <v>-0.1625</v>
      </c>
      <c r="I365" s="1769">
        <f t="shared" si="448"/>
        <v>0.412935323383085</v>
      </c>
      <c r="J365" s="1769">
        <f t="shared" si="448"/>
        <v>-0.0140845070422535</v>
      </c>
      <c r="K365" s="1769">
        <f t="shared" si="448"/>
        <v>-0.0667857142857142</v>
      </c>
      <c r="L365" s="1246">
        <v>-0.145038167938931</v>
      </c>
      <c r="M365" s="1246">
        <f t="shared" ref="M365:S365" si="449">M364/L364-1</f>
        <v>0.73053817047146</v>
      </c>
      <c r="N365" s="1246">
        <f t="shared" si="449"/>
        <v>0.113989637305699</v>
      </c>
      <c r="O365" s="1246">
        <f t="shared" si="449"/>
        <v>0.0883720930232559</v>
      </c>
      <c r="P365" s="1246">
        <f t="shared" si="449"/>
        <v>0.277777777777778</v>
      </c>
      <c r="Q365" s="1246">
        <f t="shared" si="449"/>
        <v>-0.130434782608696</v>
      </c>
      <c r="R365" s="1246">
        <f t="shared" si="449"/>
        <v>-0.0423076923076923</v>
      </c>
      <c r="S365" s="1246">
        <f t="shared" si="449"/>
        <v>0.0562248995983936</v>
      </c>
      <c r="T365" s="1246">
        <f t="shared" ref="T365:AA365" si="450">T364/S364-1</f>
        <v>0.0874524714828897</v>
      </c>
      <c r="U365" s="1246">
        <f t="shared" si="450"/>
        <v>0.129370629370629</v>
      </c>
      <c r="V365" s="1246">
        <f t="shared" si="450"/>
        <v>0.0959752321981424</v>
      </c>
      <c r="W365" s="1246">
        <f t="shared" si="450"/>
        <v>0.0960451977401129</v>
      </c>
      <c r="X365" s="1716">
        <f t="shared" si="450"/>
        <v>0.162371134020619</v>
      </c>
      <c r="Y365" s="1716">
        <f t="shared" si="450"/>
        <v>0.139689578713968</v>
      </c>
      <c r="Z365" s="1716">
        <f t="shared" si="450"/>
        <v>1.36186770428016</v>
      </c>
      <c r="AA365" s="1716">
        <f t="shared" si="450"/>
        <v>0.128500823723229</v>
      </c>
      <c r="AB365" s="1716"/>
      <c r="AC365" s="1716">
        <f t="shared" ref="AC365:AK365" si="451">AC364/AB364-1</f>
        <v>0.19669277632724</v>
      </c>
      <c r="AD365" s="1716">
        <f t="shared" si="451"/>
        <v>-0.207272727272727</v>
      </c>
      <c r="AE365" s="1716">
        <f t="shared" si="451"/>
        <v>0.0825688073394499</v>
      </c>
      <c r="AF365" s="1941">
        <f t="shared" si="451"/>
        <v>-0.0220338983050853</v>
      </c>
      <c r="AG365" s="1716">
        <f t="shared" si="451"/>
        <v>0.0110190985450087</v>
      </c>
      <c r="AH365" s="1716">
        <f t="shared" si="451"/>
        <v>0.0755804690515973</v>
      </c>
      <c r="AI365" s="1716">
        <f t="shared" si="451"/>
        <v>0.0677282828827417</v>
      </c>
      <c r="AJ365" s="1716">
        <f t="shared" si="451"/>
        <v>0.0595813354253465</v>
      </c>
      <c r="AK365" s="1716">
        <f t="shared" si="451"/>
        <v>0.059653970368533</v>
      </c>
      <c r="AL365" s="1957"/>
      <c r="AM365" s="1246"/>
      <c r="AN365" s="1688"/>
      <c r="AO365" s="1772"/>
      <c r="AP365" s="1821"/>
      <c r="AQ365" s="1821"/>
      <c r="AR365" s="1821"/>
      <c r="AS365" s="1821"/>
      <c r="AT365" s="1821"/>
      <c r="AU365" s="1821"/>
      <c r="AV365" s="1785"/>
      <c r="AW365" s="1826"/>
      <c r="AX365" s="1826"/>
      <c r="AY365" s="1686"/>
    </row>
    <row r="366" customHeight="1" spans="1:54">
      <c r="A366" s="1686" t="s">
        <v>145</v>
      </c>
      <c r="B366" s="1769"/>
      <c r="C366" s="1769"/>
      <c r="D366" s="1769"/>
      <c r="E366" s="1769"/>
      <c r="F366" s="1769">
        <f t="shared" ref="F366:K366" si="452">F364/F$325</f>
        <v>0.0194405677997759</v>
      </c>
      <c r="G366" s="1769">
        <f t="shared" si="452"/>
        <v>0.0205655526992288</v>
      </c>
      <c r="H366" s="1769">
        <f t="shared" si="452"/>
        <v>0.0164430628272251</v>
      </c>
      <c r="I366" s="1769">
        <f t="shared" si="452"/>
        <v>0.0217691246359037</v>
      </c>
      <c r="J366" s="1769">
        <f t="shared" si="452"/>
        <v>0.0223392372746131</v>
      </c>
      <c r="K366" s="1769">
        <f t="shared" si="452"/>
        <v>0.0222952218430034</v>
      </c>
      <c r="L366" s="1246">
        <f>L364/L325</f>
        <v>0.0168062085593731</v>
      </c>
      <c r="M366" s="1246">
        <f>M364/M325</f>
        <v>0.0191392304641015</v>
      </c>
      <c r="N366" s="1246">
        <f>N364/N325</f>
        <v>0.0208758131857462</v>
      </c>
      <c r="O366" s="1246">
        <f>O364/O325</f>
        <v>0.0216686730252801</v>
      </c>
      <c r="P366" s="1246">
        <f>P364/P325</f>
        <v>0.0288026201714671</v>
      </c>
      <c r="Q366" s="1246">
        <f>Q364/Q$325</f>
        <v>0.0216847372810676</v>
      </c>
      <c r="R366" s="1246">
        <f>R364/R$325</f>
        <v>0.0186894843503715</v>
      </c>
      <c r="S366" s="1246">
        <f>S364/S$325</f>
        <v>0.0176711684472217</v>
      </c>
      <c r="T366" s="1246">
        <f t="shared" ref="T366:Y366" si="453">T364/T$327</f>
        <v>0.020133755719817</v>
      </c>
      <c r="U366" s="1246">
        <f t="shared" si="453"/>
        <v>0.0222237512040732</v>
      </c>
      <c r="V366" s="1246">
        <f t="shared" si="453"/>
        <v>0.0209281702630801</v>
      </c>
      <c r="W366" s="1246">
        <f t="shared" si="453"/>
        <v>0.0201140487299119</v>
      </c>
      <c r="X366" s="1716">
        <f t="shared" si="453"/>
        <v>0.0212555377509662</v>
      </c>
      <c r="Y366" s="1716">
        <f t="shared" si="453"/>
        <v>0.0234542550764317</v>
      </c>
      <c r="Z366" s="1716">
        <v>0.0513514656740408</v>
      </c>
      <c r="AA366" s="1716">
        <v>0.0690385003023584</v>
      </c>
      <c r="AB366" s="1716">
        <v>0.0541113308844307</v>
      </c>
      <c r="AC366" s="1716">
        <v>0.0610812491670739</v>
      </c>
      <c r="AD366" s="1716">
        <v>0.0527130283392978</v>
      </c>
      <c r="AE366" s="1716">
        <v>0.0512308427039465</v>
      </c>
      <c r="AF366" s="1941">
        <v>0.0465116279069767</v>
      </c>
      <c r="AG366" s="1716">
        <v>0.043</v>
      </c>
      <c r="AH366" s="1716">
        <f>AG366</f>
        <v>0.043</v>
      </c>
      <c r="AI366" s="1716">
        <f t="shared" ref="AI366:AK366" si="454">AH366</f>
        <v>0.043</v>
      </c>
      <c r="AJ366" s="1716">
        <f t="shared" si="454"/>
        <v>0.043</v>
      </c>
      <c r="AK366" s="1716">
        <f t="shared" si="454"/>
        <v>0.043</v>
      </c>
      <c r="AL366" s="1716"/>
      <c r="AM366" s="1246"/>
      <c r="AU366" s="1826"/>
      <c r="AV366" s="1826"/>
      <c r="AW366" s="1933"/>
      <c r="AX366" s="1933"/>
    </row>
    <row r="367" hidden="1" customHeight="1" spans="1:54">
      <c r="A367" s="1686" t="s">
        <v>157</v>
      </c>
      <c r="B367" s="1769"/>
      <c r="C367" s="1769"/>
      <c r="D367" s="1769"/>
      <c r="E367" s="1769"/>
      <c r="F367" s="1769"/>
      <c r="G367" s="1769"/>
      <c r="H367" s="1769"/>
      <c r="I367" s="1769"/>
      <c r="J367" s="1769"/>
      <c r="K367" s="1769"/>
      <c r="L367" s="1959">
        <f>L364/-'Balance Sheet &amp; Cash Flow'!M111</f>
        <v>0.518725581395349</v>
      </c>
      <c r="M367" s="1959">
        <f>M364/-'Balance Sheet &amp; Cash Flow'!N111</f>
        <v>0.696750902527076</v>
      </c>
      <c r="N367" s="1959">
        <f>N364/-'Balance Sheet &amp; Cash Flow'!O111</f>
        <v>0.754385964912281</v>
      </c>
      <c r="O367" s="1959">
        <f>O364/-'Balance Sheet &amp; Cash Flow'!P111</f>
        <v>0.622340425531915</v>
      </c>
      <c r="P367" s="1959">
        <f>P364/-'Balance Sheet &amp; Cash Flow'!Q111</f>
        <v>1.24066390041494</v>
      </c>
      <c r="Q367" s="1959">
        <f>Q364/-'Balance Sheet &amp; Cash Flow'!R111</f>
        <v>0.966542750929368</v>
      </c>
      <c r="R367" s="1959">
        <f>R364/-'Balance Sheet &amp; Cash Flow'!S111</f>
        <v>0.662234042553192</v>
      </c>
      <c r="S367" s="1959">
        <f>S364/-'Balance Sheet &amp; Cash Flow'!T111</f>
        <v>0.605990783410138</v>
      </c>
      <c r="T367" s="1959">
        <f>T364/-'Balance Sheet &amp; Cash Flow'!U111</f>
        <v>0.60337552742616</v>
      </c>
      <c r="U367" s="1959">
        <f>U364/-'Balance Sheet &amp; Cash Flow'!V111</f>
        <v>0.589416058394161</v>
      </c>
      <c r="V367" s="1959">
        <f>V364/-'Balance Sheet &amp; Cash Flow'!W111</f>
        <v>0.690058479532164</v>
      </c>
      <c r="W367" s="1959">
        <f>W364/-'Balance Sheet &amp; Cash Flow'!X111</f>
        <v>0.596006144393241</v>
      </c>
      <c r="X367" s="1960">
        <f>X364/-'Balance Sheet &amp; Cash Flow'!Y111</f>
        <v>0.744224422442244</v>
      </c>
      <c r="Y367" s="1960">
        <f>Y364/-'Balance Sheet &amp; Cash Flow'!Z111</f>
        <v>0.841243862520458</v>
      </c>
      <c r="Z367" s="1960">
        <f>Z364/-'Balance Sheet &amp; Cash Flow'!AA111</f>
        <v>2.03010033444816</v>
      </c>
      <c r="AA367" s="1960">
        <f>AA364/-'Balance Sheet &amp; Cash Flow'!AB111</f>
        <v>3.72282608695652</v>
      </c>
      <c r="AB367" s="1960">
        <f>AB364/-'Balance Sheet &amp; Cash Flow'!AC111</f>
        <v>2.32591093117409</v>
      </c>
      <c r="AC367" s="1960">
        <f>AC364/-'Balance Sheet &amp; Cash Flow'!AD111</f>
        <v>2.7281746031746</v>
      </c>
      <c r="AD367" s="1960">
        <f>AD364/-'Balance Sheet &amp; Cash Flow'!AE111</f>
        <v>3.00275482093664</v>
      </c>
      <c r="AE367" s="1960">
        <f>AE364/-'Balance Sheet &amp; Cash Flow'!AF111</f>
        <v>2.81622911694511</v>
      </c>
      <c r="AF367" s="1961">
        <f>AF364/-'Balance Sheet &amp; Cash Flow'!AG111</f>
        <v>3.17906336088154</v>
      </c>
      <c r="AG367" s="1960">
        <f>AG364/-'Balance Sheet &amp; Cash Flow'!AH111</f>
        <v>2.15</v>
      </c>
      <c r="AH367" s="1960">
        <f>AH364/-'Balance Sheet &amp; Cash Flow'!AI111</f>
        <v>2.15</v>
      </c>
      <c r="AI367" s="1960">
        <f>AI364/-'Balance Sheet &amp; Cash Flow'!AJ111</f>
        <v>2.15</v>
      </c>
      <c r="AJ367" s="1960" t="e">
        <f>AJ364/-'Balance Sheet &amp; Cash Flow'!AM111</f>
        <v>#DIV/0!</v>
      </c>
      <c r="AK367" s="1960" t="e">
        <f>AK364/-'Balance Sheet &amp; Cash Flow'!AN111</f>
        <v>#DIV/0!</v>
      </c>
      <c r="AL367" s="1960"/>
      <c r="AM367" s="1246"/>
      <c r="AU367" s="1826"/>
      <c r="AV367" s="1826"/>
      <c r="AW367" s="1933"/>
      <c r="AX367" s="1933"/>
    </row>
    <row r="368" hidden="1" customHeight="1" spans="1:54">
      <c r="A368" s="1917" t="s">
        <v>158</v>
      </c>
      <c r="B368" s="1918"/>
      <c r="C368" s="1918">
        <v>192</v>
      </c>
      <c r="D368" s="1918">
        <v>316</v>
      </c>
      <c r="E368" s="1918">
        <v>416</v>
      </c>
      <c r="F368" s="1918">
        <v>482</v>
      </c>
      <c r="G368" s="1918">
        <v>437</v>
      </c>
      <c r="H368" s="1918">
        <v>475</v>
      </c>
      <c r="I368" s="1918">
        <v>477</v>
      </c>
      <c r="J368" s="1918">
        <v>490</v>
      </c>
      <c r="K368" s="1918">
        <v>584</v>
      </c>
      <c r="L368" s="1919">
        <v>707</v>
      </c>
      <c r="M368" s="1919">
        <v>881</v>
      </c>
      <c r="N368" s="1919">
        <v>949</v>
      </c>
      <c r="O368" s="1919">
        <v>1070</v>
      </c>
      <c r="P368" s="1919">
        <v>508</v>
      </c>
      <c r="Q368" s="1919">
        <v>894</v>
      </c>
      <c r="R368" s="1919">
        <v>953</v>
      </c>
      <c r="S368" s="1919">
        <v>920</v>
      </c>
      <c r="T368" s="1919">
        <v>1181</v>
      </c>
      <c r="U368" s="1919">
        <v>883</v>
      </c>
      <c r="V368" s="1919">
        <v>1059</v>
      </c>
      <c r="W368" s="1919">
        <v>1491</v>
      </c>
      <c r="X368" s="1962">
        <f>Interim!GC426</f>
        <v>2070</v>
      </c>
      <c r="Y368" s="1962">
        <f t="shared" ref="Y368:AB368" si="455">Y333+Y336-Y360-Y364</f>
        <v>2368</v>
      </c>
      <c r="Z368" s="1962">
        <f t="shared" si="455"/>
        <v>2660</v>
      </c>
      <c r="AA368" s="1962">
        <f t="shared" si="455"/>
        <v>751</v>
      </c>
      <c r="AB368" s="1962">
        <f t="shared" si="455"/>
        <v>1986</v>
      </c>
      <c r="AC368" s="1962">
        <f t="shared" ref="AC368:AG368" si="456">AC333+AC336-AC360-AC364</f>
        <v>669</v>
      </c>
      <c r="AD368" s="1962">
        <f t="shared" si="456"/>
        <v>200.000000000002</v>
      </c>
      <c r="AE368" s="1962">
        <f t="shared" si="456"/>
        <v>1136.99999999999</v>
      </c>
      <c r="AF368" s="1963">
        <f t="shared" si="456"/>
        <v>2056</v>
      </c>
      <c r="AG368" s="1962">
        <f t="shared" si="456"/>
        <v>2525</v>
      </c>
      <c r="AH368" s="1962">
        <f t="shared" ref="AH368" si="457">AH333+AH336-AH360-AH364</f>
        <v>3020</v>
      </c>
      <c r="AI368" s="1962">
        <f t="shared" ref="AI368:AJ368" si="458">AI333+AI336-AI360-AI364</f>
        <v>3325</v>
      </c>
      <c r="AJ368" s="1962">
        <f t="shared" si="458"/>
        <v>3578</v>
      </c>
      <c r="AK368" s="1962">
        <f t="shared" ref="AK368" si="459">AK333+AK336-AK360-AK364</f>
        <v>3850</v>
      </c>
      <c r="AL368" s="1962"/>
      <c r="AM368" s="1246"/>
      <c r="AU368" s="1826"/>
      <c r="AV368" s="1826"/>
      <c r="AW368" s="1933"/>
      <c r="AX368" s="1933"/>
    </row>
    <row r="369" s="1679" customFormat="1" hidden="1" customHeight="1" spans="1:57">
      <c r="A369" s="1679" t="s">
        <v>142</v>
      </c>
      <c r="B369" s="1769"/>
      <c r="C369" s="1769"/>
      <c r="D369" s="1769">
        <f>D368/C368-1</f>
        <v>0.645833333333333</v>
      </c>
      <c r="E369" s="1769">
        <f>E368/D368-1</f>
        <v>0.316455696202532</v>
      </c>
      <c r="F369" s="1769">
        <f t="shared" ref="F369:K369" si="460">F368/E368-1</f>
        <v>0.158653846153846</v>
      </c>
      <c r="G369" s="1769">
        <f t="shared" si="460"/>
        <v>-0.0933609958506224</v>
      </c>
      <c r="H369" s="1769">
        <f t="shared" si="460"/>
        <v>0.0869565217391304</v>
      </c>
      <c r="I369" s="1769">
        <f t="shared" si="460"/>
        <v>0.00421052631578944</v>
      </c>
      <c r="J369" s="1769">
        <f t="shared" si="460"/>
        <v>0.0272536687631026</v>
      </c>
      <c r="K369" s="1769">
        <f t="shared" si="460"/>
        <v>0.191836734693878</v>
      </c>
      <c r="L369" s="1246">
        <f t="shared" ref="L369:S369" si="461">L368/K368-1</f>
        <v>0.210616438356164</v>
      </c>
      <c r="M369" s="1246">
        <f t="shared" si="461"/>
        <v>0.246110325318246</v>
      </c>
      <c r="N369" s="1246">
        <f t="shared" si="461"/>
        <v>0.0771850170261068</v>
      </c>
      <c r="O369" s="1246">
        <f t="shared" si="461"/>
        <v>0.127502634351949</v>
      </c>
      <c r="P369" s="1246">
        <f t="shared" si="461"/>
        <v>-0.525233644859813</v>
      </c>
      <c r="Q369" s="1246">
        <f t="shared" si="461"/>
        <v>0.759842519685039</v>
      </c>
      <c r="R369" s="1246">
        <f t="shared" si="461"/>
        <v>0.0659955257270695</v>
      </c>
      <c r="S369" s="1246">
        <f t="shared" si="461"/>
        <v>-0.0346274921301154</v>
      </c>
      <c r="T369" s="1246">
        <f t="shared" ref="T369:AA369" si="462">T368/S368-1</f>
        <v>0.283695652173913</v>
      </c>
      <c r="U369" s="1246">
        <f t="shared" si="462"/>
        <v>-0.252328535139712</v>
      </c>
      <c r="V369" s="1246">
        <f t="shared" si="462"/>
        <v>0.199320498301246</v>
      </c>
      <c r="W369" s="1246">
        <f t="shared" si="462"/>
        <v>0.407932011331445</v>
      </c>
      <c r="X369" s="1716">
        <f t="shared" si="462"/>
        <v>0.388329979879276</v>
      </c>
      <c r="Y369" s="1716">
        <f t="shared" si="462"/>
        <v>0.143961352657005</v>
      </c>
      <c r="Z369" s="1716">
        <f t="shared" si="462"/>
        <v>0.123310810810811</v>
      </c>
      <c r="AA369" s="1716">
        <f t="shared" si="462"/>
        <v>-0.717669172932331</v>
      </c>
      <c r="AB369" s="1716">
        <f>AB368/745-1</f>
        <v>1.66577181208054</v>
      </c>
      <c r="AC369" s="1716">
        <f t="shared" ref="AC369:AK369" si="463">AC368/AB368-1</f>
        <v>-0.663141993957704</v>
      </c>
      <c r="AD369" s="1716">
        <f t="shared" si="463"/>
        <v>-0.701046337817636</v>
      </c>
      <c r="AE369" s="1716">
        <f t="shared" si="463"/>
        <v>4.68499999999992</v>
      </c>
      <c r="AF369" s="1941">
        <f t="shared" si="463"/>
        <v>0.80826737027266</v>
      </c>
      <c r="AG369" s="1716">
        <f t="shared" si="463"/>
        <v>0.228112840466926</v>
      </c>
      <c r="AH369" s="1716">
        <f t="shared" si="463"/>
        <v>0.196039603960397</v>
      </c>
      <c r="AI369" s="1716">
        <f t="shared" si="463"/>
        <v>0.100993377483444</v>
      </c>
      <c r="AJ369" s="1716">
        <f t="shared" si="463"/>
        <v>0.0760902255639089</v>
      </c>
      <c r="AK369" s="1716">
        <f t="shared" si="463"/>
        <v>0.0760201229737287</v>
      </c>
      <c r="AL369" s="1716"/>
      <c r="AM369" s="1246"/>
      <c r="AN369" s="1688"/>
      <c r="AO369" s="1688"/>
      <c r="AP369" s="1688"/>
      <c r="AQ369" s="1688"/>
      <c r="AR369" s="1688"/>
      <c r="AS369" s="1688"/>
      <c r="AT369" s="1690"/>
      <c r="AU369" s="1826"/>
      <c r="AV369" s="1826"/>
      <c r="AW369" s="1933"/>
      <c r="AX369" s="1933"/>
      <c r="AY369" s="1686"/>
      <c r="AZ369" s="1686"/>
      <c r="BA369" s="1686"/>
      <c r="BB369" s="1686"/>
    </row>
    <row r="370" hidden="1" customHeight="1" spans="1:57">
      <c r="A370" s="1686" t="s">
        <v>145</v>
      </c>
      <c r="B370" s="1769"/>
      <c r="C370" s="1769">
        <f>C368/C$325</f>
        <v>0.079734219269103</v>
      </c>
      <c r="D370" s="1769">
        <f>D368/D$325</f>
        <v>0.0922627737226277</v>
      </c>
      <c r="E370" s="1769">
        <f>E368/E$325</f>
        <v>0.0821322803553801</v>
      </c>
      <c r="F370" s="1769">
        <f t="shared" ref="F370:K370" si="464">F368/F$325</f>
        <v>0.0900261486738887</v>
      </c>
      <c r="G370" s="1769">
        <f t="shared" si="464"/>
        <v>0.0748928877463582</v>
      </c>
      <c r="H370" s="1769">
        <f t="shared" si="464"/>
        <v>0.0777159685863874</v>
      </c>
      <c r="I370" s="1769">
        <f t="shared" si="464"/>
        <v>0.0731258623332822</v>
      </c>
      <c r="J370" s="1769">
        <f t="shared" si="464"/>
        <v>0.0781873304611457</v>
      </c>
      <c r="K370" s="1769">
        <f t="shared" si="464"/>
        <v>0.0996587030716723</v>
      </c>
      <c r="L370" s="1246">
        <v>0.106873681037082</v>
      </c>
      <c r="M370" s="1246">
        <f t="shared" ref="M370:T370" si="465">M368/M325</f>
        <v>0.0873661245537485</v>
      </c>
      <c r="N370" s="1246">
        <f t="shared" si="465"/>
        <v>0.0921448684338285</v>
      </c>
      <c r="O370" s="1246">
        <f t="shared" si="465"/>
        <v>0.0990832484489305</v>
      </c>
      <c r="P370" s="1246">
        <f t="shared" si="465"/>
        <v>0.0489355553414893</v>
      </c>
      <c r="Q370" s="1246">
        <f t="shared" si="465"/>
        <v>0.0745621351125938</v>
      </c>
      <c r="R370" s="1246">
        <f t="shared" si="465"/>
        <v>0.0715304360879682</v>
      </c>
      <c r="S370" s="1246">
        <f t="shared" si="465"/>
        <v>0.0618154941879997</v>
      </c>
      <c r="T370" s="1246">
        <f t="shared" si="465"/>
        <v>0.0831397395283351</v>
      </c>
      <c r="U370" s="1246">
        <f t="shared" ref="U370:AA370" si="466">U368/U325</f>
        <v>0.060754093848906</v>
      </c>
      <c r="V370" s="1246">
        <f t="shared" si="466"/>
        <v>0.0626071534141295</v>
      </c>
      <c r="W370" s="1246">
        <f t="shared" si="466"/>
        <v>0.077293934681182</v>
      </c>
      <c r="X370" s="1716">
        <f t="shared" si="466"/>
        <v>0.0975586765953436</v>
      </c>
      <c r="Y370" s="1716">
        <f t="shared" si="466"/>
        <v>0.108053844398814</v>
      </c>
      <c r="Z370" s="1716">
        <f t="shared" si="466"/>
        <v>0.112516391015608</v>
      </c>
      <c r="AA370" s="1716">
        <f t="shared" si="466"/>
        <v>0.0378451925015118</v>
      </c>
      <c r="AB370" s="1716">
        <f t="shared" ref="AB370:AG370" si="467">AB368/AB325</f>
        <v>0.0935292455495902</v>
      </c>
      <c r="AC370" s="1716">
        <f t="shared" si="467"/>
        <v>0.0297188041401981</v>
      </c>
      <c r="AD370" s="1716">
        <f t="shared" si="467"/>
        <v>0.00967211529161435</v>
      </c>
      <c r="AE370" s="1716">
        <f t="shared" si="467"/>
        <v>0.0493639560630396</v>
      </c>
      <c r="AF370" s="1941">
        <f t="shared" si="467"/>
        <v>0.0828664705171094</v>
      </c>
      <c r="AG370" s="1716">
        <f t="shared" si="467"/>
        <v>0.0930603474226423</v>
      </c>
      <c r="AH370" s="1716">
        <f t="shared" ref="AH370" si="468">AH368/AH325</f>
        <v>0.103482597795716</v>
      </c>
      <c r="AI370" s="1716">
        <f t="shared" ref="AI370:AJ370" si="469">AI368/AI325</f>
        <v>0.106706600063322</v>
      </c>
      <c r="AJ370" s="1716">
        <f t="shared" si="469"/>
        <v>0.108369150618535</v>
      </c>
      <c r="AK370" s="1716">
        <f t="shared" ref="AK370" si="470">AK368/AK325</f>
        <v>0.110042891392706</v>
      </c>
      <c r="AL370" s="1716"/>
      <c r="AM370" s="1246"/>
      <c r="AO370" s="1964"/>
      <c r="AU370" s="1826"/>
      <c r="AV370" s="1826"/>
      <c r="AW370" s="1933"/>
      <c r="AX370" s="1933"/>
    </row>
    <row r="371" hidden="1" customHeight="1" spans="1:57">
      <c r="A371" s="1686" t="s">
        <v>159</v>
      </c>
      <c r="B371" s="1769"/>
      <c r="C371" s="1965"/>
      <c r="D371" s="1965">
        <f>D369/D328</f>
        <v>1.52917076368404</v>
      </c>
      <c r="E371" s="1965">
        <f>E369/E328</f>
        <v>0.660890707008336</v>
      </c>
      <c r="F371" s="1965">
        <f>F369/F328</f>
        <v>2.78055962203887</v>
      </c>
      <c r="G371" s="1965">
        <f>G369/G328</f>
        <v>-1.03919910973853</v>
      </c>
      <c r="H371" s="1965">
        <f>H369/H328</f>
        <v>1.83173756082247</v>
      </c>
      <c r="I371" s="1965">
        <f t="shared" ref="I371:T371" si="471">I369/I328</f>
        <v>0.0626149314893068</v>
      </c>
      <c r="J371" s="1965">
        <f t="shared" si="471"/>
        <v>-0.694436255241088</v>
      </c>
      <c r="K371" s="1965">
        <f t="shared" si="471"/>
        <v>-2.95390863962293</v>
      </c>
      <c r="L371" s="1966">
        <f t="shared" si="471"/>
        <v>1.59047980511227</v>
      </c>
      <c r="M371" s="1966">
        <f t="shared" si="471"/>
        <v>0.473662447451242</v>
      </c>
      <c r="N371" s="1966">
        <f t="shared" si="471"/>
        <v>3.620156798564</v>
      </c>
      <c r="O371" s="1966">
        <f t="shared" si="471"/>
        <v>2.62629926238145</v>
      </c>
      <c r="P371" s="1966">
        <f t="shared" si="471"/>
        <v>13.5693735187587</v>
      </c>
      <c r="Q371" s="1966">
        <f t="shared" si="471"/>
        <v>4.90237737529546</v>
      </c>
      <c r="R371" s="1966">
        <f t="shared" si="471"/>
        <v>0.59361316839277</v>
      </c>
      <c r="S371" s="1966">
        <f t="shared" si="471"/>
        <v>-0.29573210105739</v>
      </c>
      <c r="T371" s="1966">
        <f t="shared" si="471"/>
        <v>-6.2274961523663</v>
      </c>
      <c r="U371" s="1966">
        <f t="shared" ref="U371:AA371" si="472">U369/U328</f>
        <v>-10.8946104609715</v>
      </c>
      <c r="V371" s="1966">
        <f t="shared" si="472"/>
        <v>1.21668379769437</v>
      </c>
      <c r="W371" s="1966">
        <f t="shared" si="472"/>
        <v>2.90533472491427</v>
      </c>
      <c r="X371" s="1967">
        <f t="shared" si="472"/>
        <v>3.88531395843943</v>
      </c>
      <c r="Y371" s="1967">
        <f t="shared" si="472"/>
        <v>4.38245621330892</v>
      </c>
      <c r="Z371" s="1967">
        <f t="shared" si="472"/>
        <v>1.56567579311641</v>
      </c>
      <c r="AA371" s="1967">
        <f t="shared" si="472"/>
        <v>4.46837422104115</v>
      </c>
      <c r="AB371" s="1967">
        <f t="shared" ref="AB371:AG371" si="473">AB369/AB328</f>
        <v>10.9712409273686</v>
      </c>
      <c r="AC371" s="1967">
        <f t="shared" si="473"/>
        <v>-11.0267479245872</v>
      </c>
      <c r="AD371" s="1967">
        <f t="shared" si="473"/>
        <v>8.60952215527159</v>
      </c>
      <c r="AE371" s="1967">
        <f t="shared" si="473"/>
        <v>41.1364883227169</v>
      </c>
      <c r="AF371" s="1968">
        <f t="shared" si="473"/>
        <v>10.4706537342465</v>
      </c>
      <c r="AG371" s="1967">
        <f t="shared" si="473"/>
        <v>2.43750021160893</v>
      </c>
      <c r="AH371" s="1967">
        <f t="shared" ref="AH371" si="474">AH369/AH328</f>
        <v>2.59378654856673</v>
      </c>
      <c r="AI371" s="1967">
        <f t="shared" ref="AI371:AJ371" si="475">AI369/AI328</f>
        <v>1.49115514501223</v>
      </c>
      <c r="AJ371" s="1967">
        <f t="shared" si="475"/>
        <v>1.27708157295748</v>
      </c>
      <c r="AK371" s="1967">
        <f t="shared" ref="AK371" si="476">AK369/AK328</f>
        <v>1.2743514388747</v>
      </c>
      <c r="AL371" s="1967"/>
      <c r="AM371" s="1246"/>
      <c r="AO371" s="1969"/>
      <c r="AU371" s="1826"/>
      <c r="AV371" s="1826"/>
      <c r="AW371" s="1933"/>
      <c r="AX371" s="1933"/>
    </row>
    <row r="372" hidden="1" customHeight="1" spans="1:57">
      <c r="A372" s="1686" t="s">
        <v>160</v>
      </c>
      <c r="B372" s="1769"/>
      <c r="C372" s="1807">
        <v>0</v>
      </c>
      <c r="D372" s="1807">
        <v>0</v>
      </c>
      <c r="E372" s="1807">
        <v>0</v>
      </c>
      <c r="F372" s="1807">
        <v>0</v>
      </c>
      <c r="G372" s="1807">
        <v>0</v>
      </c>
      <c r="H372" s="1807">
        <v>0</v>
      </c>
      <c r="I372" s="1807">
        <v>0</v>
      </c>
      <c r="J372" s="1807">
        <v>0</v>
      </c>
      <c r="K372" s="1807">
        <v>0</v>
      </c>
      <c r="L372" s="1807">
        <v>0</v>
      </c>
      <c r="M372" s="1807">
        <v>0</v>
      </c>
      <c r="N372" s="1807">
        <v>0</v>
      </c>
      <c r="O372" s="1807">
        <v>0</v>
      </c>
      <c r="P372" s="1807">
        <v>0</v>
      </c>
      <c r="Q372" s="1807">
        <v>0</v>
      </c>
      <c r="R372" s="1807">
        <v>0</v>
      </c>
      <c r="S372" s="1807">
        <v>265</v>
      </c>
      <c r="T372" s="1807">
        <v>52</v>
      </c>
      <c r="U372" s="1807">
        <v>78</v>
      </c>
      <c r="V372" s="1807">
        <v>34</v>
      </c>
      <c r="W372" s="1807">
        <v>0</v>
      </c>
      <c r="X372" s="1905">
        <v>0</v>
      </c>
      <c r="Y372" s="1905">
        <v>0</v>
      </c>
      <c r="Z372" s="1905">
        <v>0</v>
      </c>
      <c r="AA372" s="1905">
        <v>0</v>
      </c>
      <c r="AB372" s="1905">
        <v>0</v>
      </c>
      <c r="AC372" s="1905">
        <v>0</v>
      </c>
      <c r="AD372" s="1905">
        <v>0</v>
      </c>
      <c r="AE372" s="1970">
        <v>0</v>
      </c>
      <c r="AF372" s="1971">
        <v>0</v>
      </c>
      <c r="AG372" s="1905">
        <v>0</v>
      </c>
      <c r="AH372" s="1905">
        <v>0</v>
      </c>
      <c r="AI372" s="1905">
        <v>0</v>
      </c>
      <c r="AJ372" s="1905">
        <v>0</v>
      </c>
      <c r="AK372" s="1905">
        <v>0</v>
      </c>
      <c r="AL372" s="1905"/>
      <c r="AM372" s="1246"/>
      <c r="AU372" s="1826"/>
      <c r="AV372" s="1826"/>
      <c r="AW372" s="1933"/>
      <c r="AX372" s="1933"/>
    </row>
    <row r="373" customHeight="1" spans="1:57">
      <c r="A373" s="1927" t="s">
        <v>161</v>
      </c>
      <c r="B373" s="1972"/>
      <c r="C373" s="1929">
        <f t="shared" ref="C373:S373" si="477">C368+C372</f>
        <v>192</v>
      </c>
      <c r="D373" s="1929">
        <f t="shared" si="477"/>
        <v>316</v>
      </c>
      <c r="E373" s="1929">
        <f t="shared" si="477"/>
        <v>416</v>
      </c>
      <c r="F373" s="1929">
        <f t="shared" si="477"/>
        <v>482</v>
      </c>
      <c r="G373" s="1929">
        <f t="shared" si="477"/>
        <v>437</v>
      </c>
      <c r="H373" s="1929">
        <f t="shared" si="477"/>
        <v>475</v>
      </c>
      <c r="I373" s="1929">
        <f t="shared" si="477"/>
        <v>477</v>
      </c>
      <c r="J373" s="1929">
        <f t="shared" si="477"/>
        <v>490</v>
      </c>
      <c r="K373" s="1929">
        <f t="shared" si="477"/>
        <v>584</v>
      </c>
      <c r="L373" s="1929">
        <f t="shared" si="477"/>
        <v>707</v>
      </c>
      <c r="M373" s="1929">
        <f t="shared" si="477"/>
        <v>881</v>
      </c>
      <c r="N373" s="1929">
        <f t="shared" si="477"/>
        <v>949</v>
      </c>
      <c r="O373" s="1929">
        <f t="shared" si="477"/>
        <v>1070</v>
      </c>
      <c r="P373" s="1929">
        <f t="shared" si="477"/>
        <v>508</v>
      </c>
      <c r="Q373" s="1929">
        <f t="shared" si="477"/>
        <v>894</v>
      </c>
      <c r="R373" s="1929">
        <f t="shared" si="477"/>
        <v>953</v>
      </c>
      <c r="S373" s="1929">
        <f t="shared" si="477"/>
        <v>1185</v>
      </c>
      <c r="T373" s="1929">
        <f t="shared" ref="T373:AG373" si="478">T368+T372</f>
        <v>1233</v>
      </c>
      <c r="U373" s="1929">
        <f t="shared" si="478"/>
        <v>961</v>
      </c>
      <c r="V373" s="1929">
        <f t="shared" si="478"/>
        <v>1093</v>
      </c>
      <c r="W373" s="1929">
        <f t="shared" si="478"/>
        <v>1491</v>
      </c>
      <c r="X373" s="1970">
        <f t="shared" si="478"/>
        <v>2070</v>
      </c>
      <c r="Y373" s="1970">
        <f t="shared" si="478"/>
        <v>2368</v>
      </c>
      <c r="Z373" s="1970">
        <f t="shared" si="478"/>
        <v>2660</v>
      </c>
      <c r="AA373" s="1970">
        <f t="shared" si="478"/>
        <v>751</v>
      </c>
      <c r="AB373" s="1970">
        <f t="shared" si="478"/>
        <v>1986</v>
      </c>
      <c r="AC373" s="1970">
        <f t="shared" si="478"/>
        <v>669</v>
      </c>
      <c r="AD373" s="1970">
        <f t="shared" si="478"/>
        <v>200.000000000002</v>
      </c>
      <c r="AE373" s="1970">
        <f t="shared" si="478"/>
        <v>1136.99999999999</v>
      </c>
      <c r="AF373" s="1973">
        <f t="shared" si="478"/>
        <v>2056</v>
      </c>
      <c r="AG373" s="1970">
        <f t="shared" si="478"/>
        <v>2525</v>
      </c>
      <c r="AH373" s="1970">
        <f t="shared" ref="AH373" si="479">AH368+AH372</f>
        <v>3020</v>
      </c>
      <c r="AI373" s="1970">
        <f t="shared" ref="AI373:AJ373" si="480">AI368+AI372</f>
        <v>3325</v>
      </c>
      <c r="AJ373" s="1970">
        <f t="shared" si="480"/>
        <v>3578</v>
      </c>
      <c r="AK373" s="1970">
        <f t="shared" ref="AK373" si="481">AK368+AK372</f>
        <v>3850</v>
      </c>
      <c r="AL373" s="1974"/>
      <c r="AM373" s="1741"/>
      <c r="AN373" s="1736"/>
      <c r="AU373" s="1826"/>
      <c r="AV373" s="1826"/>
      <c r="AW373" s="1933"/>
      <c r="AX373" s="1933"/>
    </row>
    <row r="374" customHeight="1" spans="1:57">
      <c r="A374" s="1679" t="s">
        <v>142</v>
      </c>
      <c r="B374" s="1769"/>
      <c r="C374" s="1965"/>
      <c r="D374" s="1246">
        <f t="shared" ref="D374:L374" si="482">D373/C373-1</f>
        <v>0.645833333333333</v>
      </c>
      <c r="E374" s="1246">
        <f t="shared" si="482"/>
        <v>0.316455696202532</v>
      </c>
      <c r="F374" s="1246">
        <f t="shared" si="482"/>
        <v>0.158653846153846</v>
      </c>
      <c r="G374" s="1246">
        <f t="shared" si="482"/>
        <v>-0.0933609958506224</v>
      </c>
      <c r="H374" s="1246">
        <f t="shared" si="482"/>
        <v>0.0869565217391304</v>
      </c>
      <c r="I374" s="1246">
        <f t="shared" si="482"/>
        <v>0.00421052631578944</v>
      </c>
      <c r="J374" s="1246">
        <f t="shared" si="482"/>
        <v>0.0272536687631026</v>
      </c>
      <c r="K374" s="1717">
        <f t="shared" si="482"/>
        <v>0.191836734693878</v>
      </c>
      <c r="L374" s="1246">
        <f t="shared" si="482"/>
        <v>0.210616438356164</v>
      </c>
      <c r="M374" s="1246">
        <f t="shared" ref="M374:X374" si="483">M373/L373-1</f>
        <v>0.246110325318246</v>
      </c>
      <c r="N374" s="1246">
        <f t="shared" si="483"/>
        <v>0.0771850170261068</v>
      </c>
      <c r="O374" s="1246">
        <f t="shared" si="483"/>
        <v>0.127502634351949</v>
      </c>
      <c r="P374" s="1246">
        <f t="shared" si="483"/>
        <v>-0.525233644859813</v>
      </c>
      <c r="Q374" s="1246">
        <f t="shared" si="483"/>
        <v>0.759842519685039</v>
      </c>
      <c r="R374" s="1246">
        <f t="shared" si="483"/>
        <v>0.0659955257270695</v>
      </c>
      <c r="S374" s="1246">
        <f t="shared" si="483"/>
        <v>0.243441762854145</v>
      </c>
      <c r="T374" s="1246">
        <f t="shared" si="483"/>
        <v>0.040506329113924</v>
      </c>
      <c r="U374" s="1246">
        <f t="shared" si="483"/>
        <v>-0.220600162206002</v>
      </c>
      <c r="V374" s="1246">
        <f t="shared" si="483"/>
        <v>0.13735691987513</v>
      </c>
      <c r="W374" s="1246">
        <f t="shared" si="483"/>
        <v>0.364135407136322</v>
      </c>
      <c r="X374" s="1716">
        <f t="shared" si="483"/>
        <v>0.388329979879276</v>
      </c>
      <c r="Y374" s="1716">
        <f t="shared" ref="Y374:AK374" si="484">Y373/X373-1</f>
        <v>0.143961352657005</v>
      </c>
      <c r="Z374" s="1716">
        <f t="shared" si="484"/>
        <v>0.123310810810811</v>
      </c>
      <c r="AA374" s="1716">
        <f t="shared" si="484"/>
        <v>-0.717669172932331</v>
      </c>
      <c r="AB374" s="1716">
        <f>AB373/745-1</f>
        <v>1.66577181208054</v>
      </c>
      <c r="AC374" s="1716">
        <f t="shared" si="484"/>
        <v>-0.663141993957704</v>
      </c>
      <c r="AD374" s="1716">
        <f t="shared" si="484"/>
        <v>-0.701046337817636</v>
      </c>
      <c r="AE374" s="1716">
        <f t="shared" si="484"/>
        <v>4.68499999999992</v>
      </c>
      <c r="AF374" s="1941">
        <f t="shared" si="484"/>
        <v>0.80826737027266</v>
      </c>
      <c r="AG374" s="1716">
        <f t="shared" si="484"/>
        <v>0.228112840466926</v>
      </c>
      <c r="AH374" s="1716">
        <f t="shared" si="484"/>
        <v>0.196039603960397</v>
      </c>
      <c r="AI374" s="1716">
        <f t="shared" si="484"/>
        <v>0.100993377483444</v>
      </c>
      <c r="AJ374" s="1716">
        <f t="shared" si="484"/>
        <v>0.0760902255639089</v>
      </c>
      <c r="AK374" s="1716">
        <f t="shared" si="484"/>
        <v>0.0760201229737287</v>
      </c>
      <c r="AL374" s="1716"/>
      <c r="AM374" s="1741"/>
      <c r="AN374" s="1736"/>
      <c r="AU374" s="1826"/>
      <c r="AV374" s="1826"/>
      <c r="AW374" s="1933"/>
      <c r="AX374" s="1933"/>
    </row>
    <row r="375" customHeight="1" spans="1:57">
      <c r="A375" s="1686" t="s">
        <v>145</v>
      </c>
      <c r="B375" s="1769"/>
      <c r="C375" s="1965"/>
      <c r="D375" s="1246">
        <f t="shared" ref="D375:L375" si="485">D373/D325</f>
        <v>0.0922627737226277</v>
      </c>
      <c r="E375" s="1246">
        <f t="shared" si="485"/>
        <v>0.0821322803553801</v>
      </c>
      <c r="F375" s="1246">
        <f t="shared" si="485"/>
        <v>0.0900261486738887</v>
      </c>
      <c r="G375" s="1246">
        <f t="shared" si="485"/>
        <v>0.0748928877463582</v>
      </c>
      <c r="H375" s="1246">
        <f t="shared" si="485"/>
        <v>0.0777159685863874</v>
      </c>
      <c r="I375" s="1246">
        <f t="shared" si="485"/>
        <v>0.0731258623332822</v>
      </c>
      <c r="J375" s="1246">
        <f t="shared" si="485"/>
        <v>0.0781873304611457</v>
      </c>
      <c r="K375" s="1717">
        <f t="shared" si="485"/>
        <v>0.0996587030716723</v>
      </c>
      <c r="L375" s="1246">
        <f t="shared" si="485"/>
        <v>0.106540084388186</v>
      </c>
      <c r="M375" s="1246">
        <f t="shared" ref="M375:X375" si="486">M373/M325</f>
        <v>0.0873661245537485</v>
      </c>
      <c r="N375" s="1246">
        <f t="shared" si="486"/>
        <v>0.0921448684338285</v>
      </c>
      <c r="O375" s="1246">
        <f t="shared" si="486"/>
        <v>0.0990832484489305</v>
      </c>
      <c r="P375" s="1246">
        <f t="shared" si="486"/>
        <v>0.0489355553414893</v>
      </c>
      <c r="Q375" s="1246">
        <f t="shared" si="486"/>
        <v>0.0745621351125938</v>
      </c>
      <c r="R375" s="1246">
        <f t="shared" si="486"/>
        <v>0.0715304360879682</v>
      </c>
      <c r="S375" s="1246">
        <f t="shared" si="486"/>
        <v>0.0796210441443257</v>
      </c>
      <c r="T375" s="1246">
        <f t="shared" si="486"/>
        <v>0.0868004223864836</v>
      </c>
      <c r="U375" s="1246">
        <f t="shared" si="486"/>
        <v>0.0661208201458649</v>
      </c>
      <c r="V375" s="1246">
        <f t="shared" si="486"/>
        <v>0.0646172036653858</v>
      </c>
      <c r="W375" s="1246">
        <f t="shared" si="486"/>
        <v>0.077293934681182</v>
      </c>
      <c r="X375" s="1716">
        <f t="shared" si="486"/>
        <v>0.0975586765953436</v>
      </c>
      <c r="Y375" s="1716">
        <f t="shared" ref="Y375:AD375" si="487">Y373/Y325</f>
        <v>0.108053844398814</v>
      </c>
      <c r="Z375" s="1716">
        <f t="shared" si="487"/>
        <v>0.112516391015608</v>
      </c>
      <c r="AA375" s="1716">
        <f t="shared" si="487"/>
        <v>0.0378451925015118</v>
      </c>
      <c r="AB375" s="1716">
        <f t="shared" si="487"/>
        <v>0.0935292455495902</v>
      </c>
      <c r="AC375" s="1716">
        <f t="shared" si="487"/>
        <v>0.0297188041401981</v>
      </c>
      <c r="AD375" s="1716">
        <f t="shared" si="487"/>
        <v>0.00967211529161435</v>
      </c>
      <c r="AE375" s="1716">
        <f t="shared" ref="AE375:AF375" si="488">AE373/AE325</f>
        <v>0.0493639560630396</v>
      </c>
      <c r="AF375" s="1941">
        <f t="shared" si="488"/>
        <v>0.0828664705171094</v>
      </c>
      <c r="AG375" s="1716">
        <f t="shared" ref="AG375:AH375" si="489">AG373/AG325</f>
        <v>0.0930603474226423</v>
      </c>
      <c r="AH375" s="1716">
        <f t="shared" si="489"/>
        <v>0.103482597795716</v>
      </c>
      <c r="AI375" s="1716">
        <f t="shared" ref="AI375:AJ375" si="490">AI373/AI325</f>
        <v>0.106706600063322</v>
      </c>
      <c r="AJ375" s="1716">
        <f t="shared" si="490"/>
        <v>0.108369150618535</v>
      </c>
      <c r="AK375" s="1716">
        <f t="shared" ref="AK375" si="491">AK373/AK325</f>
        <v>0.110042891392706</v>
      </c>
      <c r="AL375" s="1716"/>
      <c r="AM375" s="1246"/>
      <c r="AU375" s="1826"/>
      <c r="AV375" s="1826"/>
      <c r="AW375" s="1933"/>
      <c r="AX375" s="1933"/>
    </row>
    <row r="376" hidden="1" customHeight="1" spans="1:57">
      <c r="A376" s="1686" t="s">
        <v>159</v>
      </c>
      <c r="B376" s="1769"/>
      <c r="C376" s="1965"/>
      <c r="D376" s="1966">
        <f t="shared" ref="D376:L376" si="492">D374/D328</f>
        <v>1.52917076368404</v>
      </c>
      <c r="E376" s="1966">
        <f t="shared" si="492"/>
        <v>0.660890707008336</v>
      </c>
      <c r="F376" s="1966">
        <f t="shared" si="492"/>
        <v>2.78055962203887</v>
      </c>
      <c r="G376" s="1966">
        <f t="shared" si="492"/>
        <v>-1.03919910973853</v>
      </c>
      <c r="H376" s="1966">
        <f t="shared" si="492"/>
        <v>1.83173756082247</v>
      </c>
      <c r="I376" s="1966">
        <f t="shared" si="492"/>
        <v>0.0626149314893068</v>
      </c>
      <c r="J376" s="1966">
        <f t="shared" si="492"/>
        <v>-0.694436255241088</v>
      </c>
      <c r="K376" s="1975">
        <f t="shared" si="492"/>
        <v>-2.95390863962293</v>
      </c>
      <c r="L376" s="1966">
        <f t="shared" si="492"/>
        <v>1.59047980511227</v>
      </c>
      <c r="M376" s="1966">
        <f t="shared" ref="M376:X376" si="493">M374/M328</f>
        <v>0.473662447451242</v>
      </c>
      <c r="N376" s="1966">
        <f t="shared" si="493"/>
        <v>3.620156798564</v>
      </c>
      <c r="O376" s="1966">
        <f t="shared" si="493"/>
        <v>2.62629926238145</v>
      </c>
      <c r="P376" s="1966">
        <f t="shared" si="493"/>
        <v>13.5693735187587</v>
      </c>
      <c r="Q376" s="1966">
        <f t="shared" si="493"/>
        <v>4.90237737529546</v>
      </c>
      <c r="R376" s="1966">
        <f t="shared" si="493"/>
        <v>0.59361316839277</v>
      </c>
      <c r="S376" s="1966">
        <f t="shared" si="493"/>
        <v>2.07908628622165</v>
      </c>
      <c r="T376" s="1966">
        <f t="shared" si="493"/>
        <v>-0.889167693514059</v>
      </c>
      <c r="U376" s="1966">
        <f t="shared" si="493"/>
        <v>-9.52469697305852</v>
      </c>
      <c r="V376" s="1966">
        <f t="shared" si="493"/>
        <v>0.838448329888761</v>
      </c>
      <c r="W376" s="1966">
        <f t="shared" si="493"/>
        <v>2.59341069966774</v>
      </c>
      <c r="X376" s="1967">
        <f t="shared" si="493"/>
        <v>3.88531395843943</v>
      </c>
      <c r="Y376" s="1967">
        <f t="shared" ref="Y376:AD376" si="494">Y374/Y328</f>
        <v>4.38245621330892</v>
      </c>
      <c r="Z376" s="1967">
        <f t="shared" si="494"/>
        <v>1.56567579311641</v>
      </c>
      <c r="AA376" s="1967">
        <f t="shared" si="494"/>
        <v>4.46837422104115</v>
      </c>
      <c r="AB376" s="1967">
        <f t="shared" si="494"/>
        <v>10.9712409273686</v>
      </c>
      <c r="AC376" s="1967">
        <f t="shared" si="494"/>
        <v>-11.0267479245872</v>
      </c>
      <c r="AD376" s="1967">
        <f t="shared" si="494"/>
        <v>8.60952215527159</v>
      </c>
      <c r="AE376" s="1967">
        <f t="shared" ref="AE376:AF376" si="495">AE374/AE328</f>
        <v>41.1364883227169</v>
      </c>
      <c r="AF376" s="1968">
        <f t="shared" si="495"/>
        <v>10.4706537342465</v>
      </c>
      <c r="AG376" s="1967">
        <f t="shared" ref="AG376:AH376" si="496">AG374/AG328</f>
        <v>2.43750021160893</v>
      </c>
      <c r="AH376" s="1967">
        <f t="shared" si="496"/>
        <v>2.59378654856673</v>
      </c>
      <c r="AI376" s="1967">
        <f t="shared" ref="AI376:AJ376" si="497">AI374/AI328</f>
        <v>1.49115514501223</v>
      </c>
      <c r="AJ376" s="1967">
        <f t="shared" si="497"/>
        <v>1.27708157295748</v>
      </c>
      <c r="AK376" s="1967">
        <f t="shared" ref="AK376" si="498">AK374/AK328</f>
        <v>1.2743514388747</v>
      </c>
      <c r="AL376" s="1967"/>
      <c r="AM376" s="1246"/>
      <c r="AU376" s="1826"/>
      <c r="AV376" s="1826"/>
      <c r="AW376" s="1933"/>
      <c r="AX376" s="1933"/>
    </row>
    <row r="377" ht="17.6" spans="1:57">
      <c r="A377" s="1917" t="s">
        <v>162</v>
      </c>
      <c r="B377" s="1918"/>
      <c r="C377" s="1918">
        <f t="shared" ref="C377:R377" si="499">C368+C364</f>
        <v>192</v>
      </c>
      <c r="D377" s="1918">
        <f t="shared" si="499"/>
        <v>316</v>
      </c>
      <c r="E377" s="1918">
        <f t="shared" si="499"/>
        <v>416</v>
      </c>
      <c r="F377" s="1918">
        <f t="shared" si="499"/>
        <v>586.0848</v>
      </c>
      <c r="G377" s="1918">
        <f t="shared" si="499"/>
        <v>557</v>
      </c>
      <c r="H377" s="1918">
        <f t="shared" si="499"/>
        <v>575.5</v>
      </c>
      <c r="I377" s="1918">
        <f t="shared" si="499"/>
        <v>619</v>
      </c>
      <c r="J377" s="1918">
        <f t="shared" si="499"/>
        <v>630</v>
      </c>
      <c r="K377" s="1918">
        <f t="shared" si="499"/>
        <v>714.65</v>
      </c>
      <c r="L377" s="1919">
        <f t="shared" si="499"/>
        <v>818.526</v>
      </c>
      <c r="M377" s="1919">
        <f t="shared" si="499"/>
        <v>1074</v>
      </c>
      <c r="N377" s="1919">
        <f t="shared" si="499"/>
        <v>1164</v>
      </c>
      <c r="O377" s="1919">
        <f t="shared" si="499"/>
        <v>1304</v>
      </c>
      <c r="P377" s="1919">
        <f t="shared" si="499"/>
        <v>807</v>
      </c>
      <c r="Q377" s="1919">
        <f t="shared" si="499"/>
        <v>1154</v>
      </c>
      <c r="R377" s="1919">
        <f t="shared" si="499"/>
        <v>1202</v>
      </c>
      <c r="S377" s="1919">
        <f t="shared" ref="S377:AA377" si="500">S368+S364</f>
        <v>1183</v>
      </c>
      <c r="T377" s="1919">
        <f t="shared" si="500"/>
        <v>1467</v>
      </c>
      <c r="U377" s="1919">
        <f t="shared" si="500"/>
        <v>1206</v>
      </c>
      <c r="V377" s="1919">
        <f t="shared" si="500"/>
        <v>1413</v>
      </c>
      <c r="W377" s="1919">
        <f t="shared" si="500"/>
        <v>1879</v>
      </c>
      <c r="X377" s="1962">
        <f t="shared" si="500"/>
        <v>2521</v>
      </c>
      <c r="Y377" s="1962">
        <f t="shared" si="500"/>
        <v>2882</v>
      </c>
      <c r="Z377" s="1962">
        <f t="shared" si="500"/>
        <v>3874</v>
      </c>
      <c r="AA377" s="1962">
        <f t="shared" si="500"/>
        <v>2121</v>
      </c>
      <c r="AB377" s="1962">
        <f t="shared" ref="AB377:AG377" si="501">AB368+AB364</f>
        <v>3135</v>
      </c>
      <c r="AC377" s="1962">
        <f t="shared" si="501"/>
        <v>2044</v>
      </c>
      <c r="AD377" s="1962">
        <f t="shared" si="501"/>
        <v>1290</v>
      </c>
      <c r="AE377" s="1962">
        <f t="shared" si="501"/>
        <v>2316.99999999999</v>
      </c>
      <c r="AF377" s="1963">
        <f t="shared" si="501"/>
        <v>3210</v>
      </c>
      <c r="AG377" s="1962">
        <f t="shared" si="501"/>
        <v>3691.71603972094</v>
      </c>
      <c r="AH377" s="1962">
        <f t="shared" ref="AH377" si="502">AH368+AH364</f>
        <v>4274.89698525307</v>
      </c>
      <c r="AI377" s="1962">
        <f t="shared" ref="AI377:AJ377" si="503">AI368+AI364</f>
        <v>4664.88900325899</v>
      </c>
      <c r="AJ377" s="1962">
        <f t="shared" si="503"/>
        <v>4997.7213793949</v>
      </c>
      <c r="AK377" s="1962">
        <f t="shared" ref="AK377" si="504">AK368+AK364</f>
        <v>5354.41339649289</v>
      </c>
      <c r="AL377" s="1976"/>
      <c r="AM377" s="1246"/>
      <c r="AU377" s="1826"/>
      <c r="AV377" s="1826"/>
      <c r="AW377" s="1933"/>
      <c r="AX377" s="1933"/>
    </row>
    <row r="378" ht="17.6" spans="1:57">
      <c r="A378" s="1679" t="s">
        <v>142</v>
      </c>
      <c r="B378" s="1769"/>
      <c r="C378" s="1769"/>
      <c r="D378" s="1769">
        <f t="shared" ref="D378:K378" si="505">D377/C377-1</f>
        <v>0.645833333333333</v>
      </c>
      <c r="E378" s="1769">
        <f t="shared" si="505"/>
        <v>0.316455696202532</v>
      </c>
      <c r="F378" s="1769">
        <f t="shared" si="505"/>
        <v>0.408857692307692</v>
      </c>
      <c r="G378" s="1769">
        <f t="shared" si="505"/>
        <v>-0.0496255831920568</v>
      </c>
      <c r="H378" s="1769">
        <f t="shared" si="505"/>
        <v>0.033213644524237</v>
      </c>
      <c r="I378" s="1769">
        <f t="shared" si="505"/>
        <v>0.0755864465682015</v>
      </c>
      <c r="J378" s="1769">
        <f t="shared" si="505"/>
        <v>0.0177705977382876</v>
      </c>
      <c r="K378" s="1769">
        <f t="shared" si="505"/>
        <v>0.134365079365079</v>
      </c>
      <c r="L378" s="1246">
        <v>0.214041095890411</v>
      </c>
      <c r="M378" s="1246">
        <f t="shared" ref="M378:S378" si="506">M377/L377-1</f>
        <v>0.312114703747957</v>
      </c>
      <c r="N378" s="1246">
        <f t="shared" si="506"/>
        <v>0.0837988826815643</v>
      </c>
      <c r="O378" s="1246">
        <f t="shared" si="506"/>
        <v>0.120274914089347</v>
      </c>
      <c r="P378" s="1246">
        <f t="shared" si="506"/>
        <v>-0.381134969325153</v>
      </c>
      <c r="Q378" s="1246">
        <f t="shared" si="506"/>
        <v>0.42998760842627</v>
      </c>
      <c r="R378" s="1246">
        <f t="shared" si="506"/>
        <v>0.0415944540727904</v>
      </c>
      <c r="S378" s="1246">
        <f t="shared" si="506"/>
        <v>-0.0158069883527454</v>
      </c>
      <c r="T378" s="1246">
        <f t="shared" ref="T378:AK378" si="507">T377/S377-1</f>
        <v>0.240067624683009</v>
      </c>
      <c r="U378" s="1246">
        <f t="shared" si="507"/>
        <v>-0.177914110429448</v>
      </c>
      <c r="V378" s="1246">
        <f t="shared" si="507"/>
        <v>0.171641791044776</v>
      </c>
      <c r="W378" s="1246">
        <f t="shared" si="507"/>
        <v>0.329794762915782</v>
      </c>
      <c r="X378" s="1716">
        <f t="shared" si="507"/>
        <v>0.341671101649814</v>
      </c>
      <c r="Y378" s="1716">
        <f t="shared" si="507"/>
        <v>0.14319714399048</v>
      </c>
      <c r="Z378" s="1716">
        <f t="shared" si="507"/>
        <v>0.344205412907703</v>
      </c>
      <c r="AA378" s="1716">
        <f t="shared" si="507"/>
        <v>-0.452503871966959</v>
      </c>
      <c r="AB378" s="1716">
        <f t="shared" si="507"/>
        <v>0.478076379066478</v>
      </c>
      <c r="AC378" s="1716">
        <f t="shared" si="507"/>
        <v>-0.348006379585327</v>
      </c>
      <c r="AD378" s="1716">
        <f t="shared" si="507"/>
        <v>-0.368884540117416</v>
      </c>
      <c r="AE378" s="1716">
        <f t="shared" si="507"/>
        <v>0.796124031007744</v>
      </c>
      <c r="AF378" s="1941">
        <f t="shared" si="507"/>
        <v>0.385412170910665</v>
      </c>
      <c r="AG378" s="1716">
        <f t="shared" si="507"/>
        <v>0.15006730209375</v>
      </c>
      <c r="AH378" s="1716">
        <f t="shared" si="507"/>
        <v>0.157970152432476</v>
      </c>
      <c r="AI378" s="1716">
        <f t="shared" si="507"/>
        <v>0.0912284013746434</v>
      </c>
      <c r="AJ378" s="1716">
        <f t="shared" si="507"/>
        <v>0.0713484020527348</v>
      </c>
      <c r="AK378" s="1716">
        <f t="shared" si="507"/>
        <v>0.0713709288734268</v>
      </c>
      <c r="AL378" s="1716"/>
      <c r="AM378" s="1246"/>
      <c r="AU378" s="1826"/>
      <c r="AV378" s="1826"/>
      <c r="AW378" s="1933"/>
      <c r="AX378" s="1933"/>
    </row>
    <row r="379" ht="17.6" spans="1:57">
      <c r="A379" s="1686" t="s">
        <v>145</v>
      </c>
      <c r="B379" s="1769"/>
      <c r="C379" s="1769">
        <f t="shared" ref="C379:K379" si="508">C377/C$325</f>
        <v>0.079734219269103</v>
      </c>
      <c r="D379" s="1769">
        <f t="shared" si="508"/>
        <v>0.0922627737226277</v>
      </c>
      <c r="E379" s="1769">
        <f t="shared" si="508"/>
        <v>0.0821322803553801</v>
      </c>
      <c r="F379" s="1769">
        <f t="shared" si="508"/>
        <v>0.109466716473665</v>
      </c>
      <c r="G379" s="1769">
        <f t="shared" si="508"/>
        <v>0.095458440445587</v>
      </c>
      <c r="H379" s="1769">
        <f t="shared" si="508"/>
        <v>0.0941590314136126</v>
      </c>
      <c r="I379" s="1769">
        <f t="shared" si="508"/>
        <v>0.094894986969186</v>
      </c>
      <c r="J379" s="1769">
        <f t="shared" si="508"/>
        <v>0.100526567735759</v>
      </c>
      <c r="K379" s="1769">
        <f t="shared" si="508"/>
        <v>0.121953924914676</v>
      </c>
      <c r="L379" s="1246">
        <v>0.106873681037082</v>
      </c>
      <c r="M379" s="1246">
        <f t="shared" ref="M379:S379" si="509">M377/M$325</f>
        <v>0.10650535501785</v>
      </c>
      <c r="N379" s="1246">
        <f t="shared" si="509"/>
        <v>0.113020681619575</v>
      </c>
      <c r="O379" s="1246">
        <f t="shared" si="509"/>
        <v>0.120751921474211</v>
      </c>
      <c r="P379" s="1246">
        <f t="shared" si="509"/>
        <v>0.0777381755129564</v>
      </c>
      <c r="Q379" s="1246">
        <f t="shared" si="509"/>
        <v>0.0962468723936614</v>
      </c>
      <c r="R379" s="1246">
        <f t="shared" si="509"/>
        <v>0.0902199204383397</v>
      </c>
      <c r="S379" s="1246">
        <f t="shared" si="509"/>
        <v>0.0794866626352214</v>
      </c>
      <c r="T379" s="1246">
        <f t="shared" ref="T379:AA379" si="510">T377/T$325</f>
        <v>0.103273495248152</v>
      </c>
      <c r="U379" s="1246">
        <f t="shared" si="510"/>
        <v>0.0829778450529792</v>
      </c>
      <c r="V379" s="1246">
        <f t="shared" si="510"/>
        <v>0.0835353236772096</v>
      </c>
      <c r="W379" s="1246">
        <f t="shared" si="510"/>
        <v>0.0974079834110938</v>
      </c>
      <c r="X379" s="1716">
        <f t="shared" si="510"/>
        <v>0.11881421434631</v>
      </c>
      <c r="Y379" s="1716">
        <f t="shared" si="510"/>
        <v>0.131508099475245</v>
      </c>
      <c r="Z379" s="1716">
        <f t="shared" si="510"/>
        <v>0.163867856689649</v>
      </c>
      <c r="AA379" s="1716">
        <f t="shared" si="510"/>
        <v>0.10688369280387</v>
      </c>
      <c r="AB379" s="1716">
        <f t="shared" ref="AB379:AG379" si="511">AB377/AB$325</f>
        <v>0.147640576434021</v>
      </c>
      <c r="AC379" s="1716">
        <f t="shared" si="511"/>
        <v>0.090800053307272</v>
      </c>
      <c r="AD379" s="1716">
        <f t="shared" si="511"/>
        <v>0.0623851436309122</v>
      </c>
      <c r="AE379" s="1716">
        <f t="shared" si="511"/>
        <v>0.100594798766986</v>
      </c>
      <c r="AF379" s="1941">
        <f t="shared" si="511"/>
        <v>0.129378098424086</v>
      </c>
      <c r="AG379" s="1716">
        <f t="shared" si="511"/>
        <v>0.136060347422642</v>
      </c>
      <c r="AH379" s="1716">
        <f t="shared" ref="AH379" si="512">AH377/AH$325</f>
        <v>0.146482597795716</v>
      </c>
      <c r="AI379" s="1716">
        <f t="shared" ref="AI379:AJ379" si="513">AI377/AI$325</f>
        <v>0.149706600063322</v>
      </c>
      <c r="AJ379" s="1716">
        <f t="shared" si="513"/>
        <v>0.151369150618535</v>
      </c>
      <c r="AK379" s="1716">
        <f t="shared" ref="AK379" si="514">AK377/AK$325</f>
        <v>0.153042891392706</v>
      </c>
      <c r="AL379" s="1716"/>
      <c r="AM379" s="1246"/>
      <c r="AU379" s="1826"/>
      <c r="AV379" s="1826"/>
      <c r="AW379" s="1933"/>
      <c r="AX379" s="1933"/>
    </row>
    <row r="380" s="1680" customFormat="1" customHeight="1" spans="1:57">
      <c r="A380" s="1849" t="s">
        <v>163</v>
      </c>
      <c r="B380" s="1924"/>
      <c r="C380" s="1924">
        <v>6</v>
      </c>
      <c r="D380" s="1924">
        <v>16</v>
      </c>
      <c r="E380" s="1924">
        <v>115</v>
      </c>
      <c r="F380" s="1924">
        <v>84</v>
      </c>
      <c r="G380" s="1924">
        <v>94</v>
      </c>
      <c r="H380" s="1924">
        <v>102</v>
      </c>
      <c r="I380" s="1924">
        <v>87</v>
      </c>
      <c r="J380" s="1924">
        <v>49</v>
      </c>
      <c r="K380" s="1924">
        <v>59</v>
      </c>
      <c r="L380" s="1925">
        <v>52</v>
      </c>
      <c r="M380" s="1925">
        <v>158</v>
      </c>
      <c r="N380" s="1925">
        <v>135</v>
      </c>
      <c r="O380" s="1925">
        <f>203-37</f>
        <v>166</v>
      </c>
      <c r="P380" s="1925">
        <f>169-19</f>
        <v>150</v>
      </c>
      <c r="Q380" s="1925">
        <f>'Balance Sheet &amp; Cash Flow'!R192</f>
        <v>88</v>
      </c>
      <c r="R380" s="1925">
        <f>'Balance Sheet &amp; Cash Flow'!S192</f>
        <v>84</v>
      </c>
      <c r="S380" s="1925">
        <f>+'Balance Sheet &amp; Cash Flow'!T192</f>
        <v>69</v>
      </c>
      <c r="T380" s="1925">
        <f>+'Balance Sheet &amp; Cash Flow'!U192</f>
        <v>68</v>
      </c>
      <c r="U380" s="1925">
        <f>+'Balance Sheet &amp; Cash Flow'!V192</f>
        <v>48</v>
      </c>
      <c r="V380" s="1925">
        <f>+'Balance Sheet &amp; Cash Flow'!W192</f>
        <v>21</v>
      </c>
      <c r="W380" s="1925">
        <f>+'Balance Sheet &amp; Cash Flow'!X192</f>
        <v>46</v>
      </c>
      <c r="X380" s="1957">
        <f>93-46</f>
        <v>47</v>
      </c>
      <c r="Y380" s="1957">
        <v>-10</v>
      </c>
      <c r="Z380" s="1957">
        <f>166-64</f>
        <v>102</v>
      </c>
      <c r="AA380" s="1957">
        <v>176</v>
      </c>
      <c r="AB380" s="1957">
        <f>153-19</f>
        <v>134</v>
      </c>
      <c r="AC380" s="1957">
        <f>320-39</f>
        <v>281</v>
      </c>
      <c r="AD380" s="1957">
        <v>203</v>
      </c>
      <c r="AE380" s="1957">
        <f>317-101</f>
        <v>216</v>
      </c>
      <c r="AF380" s="1958">
        <f>310-74</f>
        <v>236</v>
      </c>
      <c r="AG380" s="1957">
        <f>AF380-10</f>
        <v>226</v>
      </c>
      <c r="AH380" s="1957">
        <f>AG380</f>
        <v>226</v>
      </c>
      <c r="AI380" s="1957">
        <f t="shared" ref="AI380:AK380" si="515">AH380</f>
        <v>226</v>
      </c>
      <c r="AJ380" s="1957">
        <f t="shared" si="515"/>
        <v>226</v>
      </c>
      <c r="AK380" s="1957">
        <f t="shared" si="515"/>
        <v>226</v>
      </c>
      <c r="AL380" s="1957"/>
      <c r="AM380" s="1246"/>
      <c r="AN380" s="1688"/>
      <c r="AO380" s="1688"/>
      <c r="AP380" s="1688"/>
      <c r="AQ380" s="1688"/>
      <c r="AR380" s="1688"/>
      <c r="AS380" s="1688"/>
      <c r="AT380" s="1690"/>
      <c r="AU380" s="1826"/>
      <c r="AV380" s="1826"/>
      <c r="AW380" s="1933"/>
      <c r="AX380" s="1933"/>
      <c r="AY380" s="1686"/>
      <c r="AZ380" s="1686"/>
      <c r="BA380" s="1686"/>
    </row>
    <row r="381" s="1679" customFormat="1" customHeight="1" spans="1:57">
      <c r="A381" s="1679" t="s">
        <v>142</v>
      </c>
      <c r="B381" s="1769"/>
      <c r="C381" s="1769"/>
      <c r="D381" s="1769">
        <f>D380/C380-1</f>
        <v>1.66666666666667</v>
      </c>
      <c r="E381" s="1769">
        <f>E380/D380-1</f>
        <v>6.1875</v>
      </c>
      <c r="F381" s="1769">
        <f t="shared" ref="F381:K381" si="516">F380/E380-1</f>
        <v>-0.269565217391304</v>
      </c>
      <c r="G381" s="1769">
        <f t="shared" si="516"/>
        <v>0.119047619047619</v>
      </c>
      <c r="H381" s="1769">
        <f t="shared" si="516"/>
        <v>0.0851063829787233</v>
      </c>
      <c r="I381" s="1769">
        <f t="shared" si="516"/>
        <v>-0.147058823529412</v>
      </c>
      <c r="J381" s="1769">
        <f t="shared" si="516"/>
        <v>-0.436781609195402</v>
      </c>
      <c r="K381" s="1769">
        <f t="shared" si="516"/>
        <v>0.204081632653061</v>
      </c>
      <c r="L381" s="1246">
        <v>-0.142857142857143</v>
      </c>
      <c r="M381" s="1246">
        <f t="shared" ref="M381:X381" si="517">M380/L380-1</f>
        <v>2.03846153846154</v>
      </c>
      <c r="N381" s="1246">
        <f t="shared" si="517"/>
        <v>-0.145569620253165</v>
      </c>
      <c r="O381" s="1246">
        <f t="shared" si="517"/>
        <v>0.22962962962963</v>
      </c>
      <c r="P381" s="1246">
        <f t="shared" si="517"/>
        <v>-0.0963855421686747</v>
      </c>
      <c r="Q381" s="1246">
        <f t="shared" si="517"/>
        <v>-0.413333333333333</v>
      </c>
      <c r="R381" s="1246">
        <f t="shared" si="517"/>
        <v>-0.0454545454545454</v>
      </c>
      <c r="S381" s="1246">
        <f t="shared" si="517"/>
        <v>-0.178571428571429</v>
      </c>
      <c r="T381" s="1246">
        <f t="shared" si="517"/>
        <v>-0.0144927536231884</v>
      </c>
      <c r="U381" s="1246">
        <f t="shared" si="517"/>
        <v>-0.294117647058823</v>
      </c>
      <c r="V381" s="1246">
        <f t="shared" si="517"/>
        <v>-0.5625</v>
      </c>
      <c r="W381" s="1246">
        <f t="shared" si="517"/>
        <v>1.19047619047619</v>
      </c>
      <c r="X381" s="1716">
        <f t="shared" si="517"/>
        <v>0.0217391304347827</v>
      </c>
      <c r="Y381" s="1716">
        <f t="shared" ref="Y381:AK381" si="518">Y380/X380-1</f>
        <v>-1.21276595744681</v>
      </c>
      <c r="Z381" s="1716">
        <f t="shared" si="518"/>
        <v>-11.2</v>
      </c>
      <c r="AA381" s="1716">
        <f t="shared" si="518"/>
        <v>0.725490196078431</v>
      </c>
      <c r="AB381" s="1716">
        <f>AB380/167-1</f>
        <v>-0.197604790419162</v>
      </c>
      <c r="AC381" s="1716">
        <f t="shared" si="518"/>
        <v>1.09701492537313</v>
      </c>
      <c r="AD381" s="1716">
        <f t="shared" si="518"/>
        <v>-0.277580071174377</v>
      </c>
      <c r="AE381" s="1716">
        <f t="shared" si="518"/>
        <v>0.0640394088669951</v>
      </c>
      <c r="AF381" s="1941">
        <f t="shared" si="518"/>
        <v>0.0925925925925926</v>
      </c>
      <c r="AG381" s="1716">
        <f t="shared" si="518"/>
        <v>-0.0423728813559322</v>
      </c>
      <c r="AH381" s="1716">
        <f t="shared" si="518"/>
        <v>0</v>
      </c>
      <c r="AI381" s="1716">
        <f t="shared" si="518"/>
        <v>0</v>
      </c>
      <c r="AJ381" s="1716">
        <f t="shared" si="518"/>
        <v>0</v>
      </c>
      <c r="AK381" s="1716">
        <f t="shared" si="518"/>
        <v>0</v>
      </c>
      <c r="AL381" s="1716"/>
      <c r="AM381" s="1246"/>
      <c r="AN381" s="1688"/>
      <c r="AO381" s="1688"/>
      <c r="AP381" s="1688"/>
      <c r="AQ381" s="1688"/>
      <c r="AR381" s="1688"/>
      <c r="AS381" s="1688"/>
      <c r="AT381" s="1690"/>
      <c r="AU381" s="1826"/>
      <c r="AV381" s="1826"/>
      <c r="AW381" s="1933"/>
      <c r="AX381" s="1933"/>
      <c r="AY381" s="1686"/>
      <c r="AZ381" s="1686"/>
      <c r="BA381" s="1686"/>
    </row>
    <row r="382" customHeight="1" spans="1:57">
      <c r="A382" s="1686" t="s">
        <v>145</v>
      </c>
      <c r="B382" s="1769"/>
      <c r="C382" s="1769">
        <f>C380/C$325</f>
        <v>0.00249169435215947</v>
      </c>
      <c r="D382" s="1769">
        <f>D380/D$325</f>
        <v>0.00467153284671533</v>
      </c>
      <c r="E382" s="1769">
        <f>E380/E$325</f>
        <v>0.0227048371174729</v>
      </c>
      <c r="F382" s="1769">
        <f t="shared" ref="F382:K382" si="519">F380/F$325</f>
        <v>0.0156892043332088</v>
      </c>
      <c r="G382" s="1769">
        <f t="shared" si="519"/>
        <v>0.0161096829477292</v>
      </c>
      <c r="H382" s="1769">
        <f t="shared" si="519"/>
        <v>0.0166884816753927</v>
      </c>
      <c r="I382" s="1769">
        <f t="shared" si="519"/>
        <v>0.0133374214318565</v>
      </c>
      <c r="J382" s="1769">
        <f t="shared" si="519"/>
        <v>0.00781873304611457</v>
      </c>
      <c r="K382" s="1769">
        <f t="shared" si="519"/>
        <v>0.0100682593856655</v>
      </c>
      <c r="L382" s="1246">
        <v>0.00723545372324389</v>
      </c>
      <c r="M382" s="1246">
        <f t="shared" ref="M382:V382" si="520">M380/M$325</f>
        <v>0.0156683855612852</v>
      </c>
      <c r="N382" s="1246">
        <f t="shared" si="520"/>
        <v>0.0131080687445383</v>
      </c>
      <c r="O382" s="1246">
        <f t="shared" si="520"/>
        <v>0.0153717936846004</v>
      </c>
      <c r="P382" s="1246">
        <f t="shared" si="520"/>
        <v>0.0144494750024082</v>
      </c>
      <c r="Q382" s="1246">
        <f t="shared" si="520"/>
        <v>0.0073394495412844</v>
      </c>
      <c r="R382" s="1246">
        <f t="shared" si="520"/>
        <v>0.00630488628687233</v>
      </c>
      <c r="S382" s="1246">
        <f t="shared" si="520"/>
        <v>0.00463616206409998</v>
      </c>
      <c r="T382" s="1246">
        <f t="shared" si="520"/>
        <v>0.00478704681450194</v>
      </c>
      <c r="U382" s="1246">
        <f t="shared" si="520"/>
        <v>0.00330260079812853</v>
      </c>
      <c r="V382" s="1246">
        <f t="shared" si="520"/>
        <v>0.00124150162577594</v>
      </c>
      <c r="W382" s="1246">
        <f t="shared" ref="W382:AB382" si="521">W380/W$325</f>
        <v>0.00238465526179368</v>
      </c>
      <c r="X382" s="1716">
        <f t="shared" si="521"/>
        <v>0.00221510038646432</v>
      </c>
      <c r="Y382" s="1716">
        <f t="shared" si="521"/>
        <v>-0.000456308464522017</v>
      </c>
      <c r="Z382" s="1716">
        <f t="shared" si="521"/>
        <v>0.00431453830210228</v>
      </c>
      <c r="AA382" s="1716">
        <f t="shared" si="521"/>
        <v>0.00886917960088692</v>
      </c>
      <c r="AB382" s="1716">
        <f t="shared" si="521"/>
        <v>0.00631063388904587</v>
      </c>
      <c r="AC382" s="1716">
        <f t="shared" ref="AC382:AD382" si="522">AC380/AC$325</f>
        <v>0.0124827861934166</v>
      </c>
      <c r="AD382" s="1716">
        <f t="shared" si="522"/>
        <v>0.00981719702098849</v>
      </c>
      <c r="AE382" s="1716">
        <f t="shared" ref="AE382:AF382" si="523">AE380/AE$325</f>
        <v>0.0093778491729258</v>
      </c>
      <c r="AF382" s="1941">
        <f t="shared" si="523"/>
        <v>0.00951191003990166</v>
      </c>
      <c r="AG382" s="1716">
        <f t="shared" ref="AG382:AH382" si="524">AG380/AG$325</f>
        <v>0.00832936178911571</v>
      </c>
      <c r="AH382" s="1716">
        <f t="shared" si="524"/>
        <v>0.00774406195424894</v>
      </c>
      <c r="AI382" s="1716">
        <f t="shared" ref="AI382:AJ382" si="525">AI380/AI$325</f>
        <v>0.00725283958325135</v>
      </c>
      <c r="AJ382" s="1716">
        <f t="shared" si="525"/>
        <v>0.00684500504186387</v>
      </c>
      <c r="AK382" s="1716">
        <f t="shared" ref="AK382" si="526">AK380/AK$325</f>
        <v>0.00645966063759783</v>
      </c>
      <c r="AL382" s="1716"/>
      <c r="AM382" s="1246"/>
      <c r="AU382" s="1826"/>
      <c r="AV382" s="1826"/>
      <c r="AW382" s="1933"/>
      <c r="AX382" s="1933"/>
      <c r="BB382" s="1756"/>
      <c r="BC382" s="1756"/>
      <c r="BD382" s="1756"/>
      <c r="BE382" s="1756"/>
    </row>
    <row r="383" customHeight="1" spans="1:57">
      <c r="A383" s="1927" t="s">
        <v>164</v>
      </c>
      <c r="B383" s="1928"/>
      <c r="C383" s="1928">
        <f t="shared" ref="C383:X383" si="527">C368-C380</f>
        <v>186</v>
      </c>
      <c r="D383" s="1928">
        <f t="shared" si="527"/>
        <v>300</v>
      </c>
      <c r="E383" s="1928">
        <f t="shared" si="527"/>
        <v>301</v>
      </c>
      <c r="F383" s="1928">
        <f t="shared" si="527"/>
        <v>398</v>
      </c>
      <c r="G383" s="1928">
        <f t="shared" si="527"/>
        <v>343</v>
      </c>
      <c r="H383" s="1928">
        <f t="shared" si="527"/>
        <v>373</v>
      </c>
      <c r="I383" s="1928">
        <f t="shared" si="527"/>
        <v>390</v>
      </c>
      <c r="J383" s="1928">
        <f t="shared" si="527"/>
        <v>441</v>
      </c>
      <c r="K383" s="1928">
        <f t="shared" si="527"/>
        <v>525</v>
      </c>
      <c r="L383" s="1929">
        <f t="shared" si="527"/>
        <v>655</v>
      </c>
      <c r="M383" s="1929">
        <f t="shared" si="527"/>
        <v>723</v>
      </c>
      <c r="N383" s="1929">
        <f t="shared" si="527"/>
        <v>814</v>
      </c>
      <c r="O383" s="1929">
        <f t="shared" si="527"/>
        <v>904</v>
      </c>
      <c r="P383" s="1929">
        <f t="shared" si="527"/>
        <v>358</v>
      </c>
      <c r="Q383" s="1929">
        <f t="shared" si="527"/>
        <v>806</v>
      </c>
      <c r="R383" s="1929">
        <f t="shared" si="527"/>
        <v>869</v>
      </c>
      <c r="S383" s="1929">
        <f t="shared" si="527"/>
        <v>851</v>
      </c>
      <c r="T383" s="1929">
        <f t="shared" si="527"/>
        <v>1113</v>
      </c>
      <c r="U383" s="1929">
        <f t="shared" si="527"/>
        <v>835</v>
      </c>
      <c r="V383" s="1929">
        <f t="shared" si="527"/>
        <v>1038</v>
      </c>
      <c r="W383" s="1929">
        <f t="shared" si="527"/>
        <v>1445</v>
      </c>
      <c r="X383" s="1970">
        <f t="shared" si="527"/>
        <v>2023</v>
      </c>
      <c r="Y383" s="1970">
        <f t="shared" ref="Y383:AD383" si="528">Y368-Y380</f>
        <v>2378</v>
      </c>
      <c r="Z383" s="1970">
        <f t="shared" si="528"/>
        <v>2558</v>
      </c>
      <c r="AA383" s="1970">
        <f t="shared" si="528"/>
        <v>575</v>
      </c>
      <c r="AB383" s="1970">
        <f t="shared" si="528"/>
        <v>1852</v>
      </c>
      <c r="AC383" s="1970">
        <f t="shared" si="528"/>
        <v>388</v>
      </c>
      <c r="AD383" s="1970">
        <f t="shared" si="528"/>
        <v>-2.99999999999841</v>
      </c>
      <c r="AE383" s="1970">
        <f t="shared" ref="AE383:AF383" si="529">AE368-AE380</f>
        <v>920.999999999992</v>
      </c>
      <c r="AF383" s="1973">
        <f t="shared" si="529"/>
        <v>1820</v>
      </c>
      <c r="AG383" s="1970">
        <f t="shared" ref="AG383:AH383" si="530">AG368-AG380</f>
        <v>2299</v>
      </c>
      <c r="AH383" s="1970">
        <f t="shared" si="530"/>
        <v>2794</v>
      </c>
      <c r="AI383" s="1970">
        <f t="shared" ref="AI383:AJ383" si="531">AI368-AI380</f>
        <v>3099</v>
      </c>
      <c r="AJ383" s="1970">
        <f t="shared" si="531"/>
        <v>3352</v>
      </c>
      <c r="AK383" s="1970">
        <f t="shared" ref="AK383" si="532">AK368-AK380</f>
        <v>3624</v>
      </c>
      <c r="AL383" s="1962"/>
      <c r="AM383" s="1246"/>
      <c r="AU383" s="1826"/>
      <c r="AV383" s="1826"/>
      <c r="AW383" s="1933"/>
      <c r="AX383" s="1933"/>
    </row>
    <row r="384" s="1679" customFormat="1" customHeight="1" spans="1:57">
      <c r="A384" s="1679" t="s">
        <v>142</v>
      </c>
      <c r="B384" s="1769"/>
      <c r="C384" s="1769"/>
      <c r="D384" s="1769">
        <f>D383/C383-1</f>
        <v>0.612903225806452</v>
      </c>
      <c r="E384" s="1769">
        <f>E383/D383-1</f>
        <v>0.00333333333333341</v>
      </c>
      <c r="F384" s="1769">
        <f t="shared" ref="F384:K384" si="533">F383/E383-1</f>
        <v>0.322259136212625</v>
      </c>
      <c r="G384" s="1769">
        <f t="shared" si="533"/>
        <v>-0.138190954773869</v>
      </c>
      <c r="H384" s="1769">
        <f t="shared" si="533"/>
        <v>0.087463556851312</v>
      </c>
      <c r="I384" s="1769">
        <f t="shared" si="533"/>
        <v>0.0455764075067024</v>
      </c>
      <c r="J384" s="1769">
        <f t="shared" si="533"/>
        <v>0.130769230769231</v>
      </c>
      <c r="K384" s="1769">
        <f t="shared" si="533"/>
        <v>0.19047619047619</v>
      </c>
      <c r="L384" s="1246">
        <f t="shared" ref="L384:Q384" si="534">L383/K383-1</f>
        <v>0.247619047619048</v>
      </c>
      <c r="M384" s="1246">
        <f t="shared" si="534"/>
        <v>0.10381679389313</v>
      </c>
      <c r="N384" s="1246">
        <f t="shared" si="534"/>
        <v>0.125864453665284</v>
      </c>
      <c r="O384" s="1246">
        <f t="shared" si="534"/>
        <v>0.110565110565111</v>
      </c>
      <c r="P384" s="1246">
        <f t="shared" si="534"/>
        <v>-0.603982300884956</v>
      </c>
      <c r="Q384" s="1246">
        <f t="shared" si="534"/>
        <v>1.25139664804469</v>
      </c>
      <c r="R384" s="1246">
        <f t="shared" ref="R384:X384" si="535">R383/Q383-1</f>
        <v>0.0781637717121588</v>
      </c>
      <c r="S384" s="1246">
        <f t="shared" si="535"/>
        <v>-0.0207134637514385</v>
      </c>
      <c r="T384" s="1246">
        <f t="shared" si="535"/>
        <v>0.307873090481786</v>
      </c>
      <c r="U384" s="1246">
        <f t="shared" si="535"/>
        <v>-0.249775381850854</v>
      </c>
      <c r="V384" s="1246">
        <f t="shared" si="535"/>
        <v>0.24311377245509</v>
      </c>
      <c r="W384" s="1246">
        <f t="shared" si="535"/>
        <v>0.392100192678227</v>
      </c>
      <c r="X384" s="1716">
        <f t="shared" si="535"/>
        <v>0.4</v>
      </c>
      <c r="Y384" s="1716">
        <f t="shared" ref="Y384:AK384" si="536">Y383/X383-1</f>
        <v>0.175481957488878</v>
      </c>
      <c r="Z384" s="1716">
        <f t="shared" si="536"/>
        <v>0.0756938603868798</v>
      </c>
      <c r="AA384" s="1716">
        <f t="shared" si="536"/>
        <v>-0.775215011727913</v>
      </c>
      <c r="AB384" s="1716">
        <f>AB383/578-1</f>
        <v>2.20415224913495</v>
      </c>
      <c r="AC384" s="1716">
        <f t="shared" si="536"/>
        <v>-0.790496760259179</v>
      </c>
      <c r="AD384" s="1716">
        <f t="shared" si="536"/>
        <v>-1.00773195876288</v>
      </c>
      <c r="AE384" s="1716" t="s">
        <v>165</v>
      </c>
      <c r="AF384" s="1941">
        <f t="shared" si="536"/>
        <v>0.976112920738345</v>
      </c>
      <c r="AG384" s="1716">
        <f t="shared" si="536"/>
        <v>0.263186813186813</v>
      </c>
      <c r="AH384" s="1716">
        <f t="shared" si="536"/>
        <v>0.21531100478469</v>
      </c>
      <c r="AI384" s="1716">
        <f t="shared" si="536"/>
        <v>0.109162491052255</v>
      </c>
      <c r="AJ384" s="1716">
        <f t="shared" si="536"/>
        <v>0.0816392384640197</v>
      </c>
      <c r="AK384" s="1716">
        <f t="shared" si="536"/>
        <v>0.0811455847255373</v>
      </c>
      <c r="AL384" s="1716"/>
      <c r="AM384" s="1246"/>
      <c r="AN384" s="1688"/>
      <c r="AO384" s="1688"/>
      <c r="AP384" s="1688"/>
      <c r="AQ384" s="1688"/>
      <c r="AR384" s="1688"/>
      <c r="AS384" s="1688"/>
      <c r="AT384" s="1690"/>
      <c r="AU384" s="1826"/>
      <c r="AV384" s="1826"/>
      <c r="AW384" s="1933"/>
      <c r="AX384" s="1933"/>
      <c r="AY384" s="1686"/>
      <c r="AZ384" s="1686"/>
      <c r="BA384" s="1686"/>
      <c r="BB384" s="1686"/>
    </row>
    <row r="385" customHeight="1" spans="1:57">
      <c r="A385" s="1686" t="s">
        <v>145</v>
      </c>
      <c r="B385" s="1769"/>
      <c r="C385" s="1769">
        <f>C383/C$325</f>
        <v>0.0772425249169435</v>
      </c>
      <c r="D385" s="1769">
        <f>D383/D$325</f>
        <v>0.0875912408759124</v>
      </c>
      <c r="E385" s="1769">
        <f>E383/E$325</f>
        <v>0.0594274432379072</v>
      </c>
      <c r="F385" s="1769">
        <f t="shared" ref="F385:K385" si="537">F383/F$325</f>
        <v>0.0743369443406799</v>
      </c>
      <c r="G385" s="1769">
        <f t="shared" si="537"/>
        <v>0.058783204798629</v>
      </c>
      <c r="H385" s="1769">
        <f t="shared" si="537"/>
        <v>0.0610274869109948</v>
      </c>
      <c r="I385" s="1769">
        <f t="shared" si="537"/>
        <v>0.0597884409014257</v>
      </c>
      <c r="J385" s="1769">
        <f t="shared" si="537"/>
        <v>0.0703685974150311</v>
      </c>
      <c r="K385" s="1769">
        <f t="shared" si="537"/>
        <v>0.0895904436860068</v>
      </c>
      <c r="L385" s="1246">
        <f t="shared" ref="L385:S385" si="538">L383/L$325</f>
        <v>0.0987040385774563</v>
      </c>
      <c r="M385" s="1246">
        <f t="shared" si="538"/>
        <v>0.0716977389924633</v>
      </c>
      <c r="N385" s="1246">
        <f t="shared" si="538"/>
        <v>0.0790367996892902</v>
      </c>
      <c r="O385" s="1246">
        <f t="shared" si="538"/>
        <v>0.08371145476433</v>
      </c>
      <c r="P385" s="1246">
        <f t="shared" si="538"/>
        <v>0.034486080339081</v>
      </c>
      <c r="Q385" s="1246">
        <f t="shared" si="538"/>
        <v>0.0672226855713094</v>
      </c>
      <c r="R385" s="1246">
        <f t="shared" si="538"/>
        <v>0.0652255498010958</v>
      </c>
      <c r="S385" s="1246">
        <f t="shared" si="538"/>
        <v>0.0571793321238998</v>
      </c>
      <c r="T385" s="1246">
        <f t="shared" ref="T385:AA385" si="539">T383/T$325</f>
        <v>0.0783526927138332</v>
      </c>
      <c r="U385" s="1246">
        <f t="shared" si="539"/>
        <v>0.0574514930507775</v>
      </c>
      <c r="V385" s="1246">
        <f t="shared" si="539"/>
        <v>0.0613656517883535</v>
      </c>
      <c r="W385" s="1246">
        <f t="shared" si="539"/>
        <v>0.0749092794193883</v>
      </c>
      <c r="X385" s="1716">
        <f t="shared" si="539"/>
        <v>0.0953435762088792</v>
      </c>
      <c r="Y385" s="1716">
        <f t="shared" si="539"/>
        <v>0.108510152863336</v>
      </c>
      <c r="Z385" s="1716">
        <f t="shared" si="539"/>
        <v>0.108201852713506</v>
      </c>
      <c r="AA385" s="1716">
        <f t="shared" si="539"/>
        <v>0.0289760129006249</v>
      </c>
      <c r="AB385" s="1716">
        <f t="shared" ref="AB385:AG385" si="540">AB383/AB$325</f>
        <v>0.0872186116605444</v>
      </c>
      <c r="AC385" s="1716">
        <f t="shared" si="540"/>
        <v>0.0172360179467816</v>
      </c>
      <c r="AD385" s="1716">
        <f t="shared" si="540"/>
        <v>-0.000145081729374137</v>
      </c>
      <c r="AE385" s="1716">
        <f t="shared" si="540"/>
        <v>0.0399861068901138</v>
      </c>
      <c r="AF385" s="1941">
        <f t="shared" si="540"/>
        <v>0.0733545604772077</v>
      </c>
      <c r="AG385" s="1716">
        <f t="shared" si="540"/>
        <v>0.0847309856335265</v>
      </c>
      <c r="AH385" s="1716">
        <f t="shared" ref="AH385" si="541">AH383/AH$325</f>
        <v>0.095738535841467</v>
      </c>
      <c r="AI385" s="1716">
        <f t="shared" ref="AI385:AJ385" si="542">AI383/AI$325</f>
        <v>0.0994537604800705</v>
      </c>
      <c r="AJ385" s="1716">
        <f t="shared" si="542"/>
        <v>0.101524145576671</v>
      </c>
      <c r="AK385" s="1716">
        <f t="shared" ref="AK385" si="543">AK383/AK$325</f>
        <v>0.103583230755109</v>
      </c>
      <c r="AL385" s="1716"/>
      <c r="AM385" s="1246"/>
      <c r="AU385" s="1826"/>
      <c r="AV385" s="1826"/>
      <c r="AW385" s="1933"/>
      <c r="AX385" s="1933"/>
    </row>
    <row r="386" customHeight="1" spans="1:57">
      <c r="A386" s="1849" t="s">
        <v>166</v>
      </c>
      <c r="B386" s="1924"/>
      <c r="C386" s="1924">
        <v>55</v>
      </c>
      <c r="D386" s="1924">
        <v>95</v>
      </c>
      <c r="E386" s="1924">
        <v>105</v>
      </c>
      <c r="F386" s="1924">
        <v>153</v>
      </c>
      <c r="G386" s="1924">
        <v>140</v>
      </c>
      <c r="H386" s="1924">
        <v>147</v>
      </c>
      <c r="I386" s="1924">
        <v>148</v>
      </c>
      <c r="J386" s="1924">
        <v>167</v>
      </c>
      <c r="K386" s="1924">
        <v>193</v>
      </c>
      <c r="L386" s="1925">
        <v>221</v>
      </c>
      <c r="M386" s="1925">
        <v>227</v>
      </c>
      <c r="N386" s="1925">
        <v>260</v>
      </c>
      <c r="O386" s="1925">
        <v>260</v>
      </c>
      <c r="P386" s="1925">
        <v>113</v>
      </c>
      <c r="Q386" s="1925">
        <v>238</v>
      </c>
      <c r="R386" s="1925">
        <v>261</v>
      </c>
      <c r="S386" s="1925">
        <v>327</v>
      </c>
      <c r="T386" s="1925">
        <v>340</v>
      </c>
      <c r="U386" s="1925">
        <v>271</v>
      </c>
      <c r="V386" s="1925">
        <v>353</v>
      </c>
      <c r="W386" s="1925">
        <v>426</v>
      </c>
      <c r="X386" s="1957">
        <f t="shared" ref="X386:AC386" si="544">X388*X383</f>
        <v>592.739</v>
      </c>
      <c r="Y386" s="1957">
        <f>Interim!GK435</f>
        <v>669.000000000002</v>
      </c>
      <c r="Z386" s="1957">
        <f t="shared" si="544"/>
        <v>640</v>
      </c>
      <c r="AA386" s="1957">
        <f t="shared" si="544"/>
        <v>146</v>
      </c>
      <c r="AB386" s="1957">
        <f t="shared" si="544"/>
        <v>360</v>
      </c>
      <c r="AC386" s="1957">
        <f t="shared" si="544"/>
        <v>134</v>
      </c>
      <c r="AD386" s="1957">
        <f t="shared" ref="AD386:AE386" si="545">AD388*AD383</f>
        <v>10.9999999999846</v>
      </c>
      <c r="AE386" s="1957">
        <f t="shared" si="545"/>
        <v>244.064999999998</v>
      </c>
      <c r="AF386" s="1958">
        <f t="shared" ref="AF386:AG386" si="546">AF388*AF383</f>
        <v>443</v>
      </c>
      <c r="AG386" s="1957">
        <f t="shared" si="546"/>
        <v>574.75</v>
      </c>
      <c r="AH386" s="1957">
        <f t="shared" ref="AH386" si="547">AH388*AH383</f>
        <v>698.5</v>
      </c>
      <c r="AI386" s="1957">
        <f t="shared" ref="AI386:AJ386" si="548">AI388*AI383</f>
        <v>774.75</v>
      </c>
      <c r="AJ386" s="1957">
        <f t="shared" si="548"/>
        <v>838</v>
      </c>
      <c r="AK386" s="1957">
        <f t="shared" ref="AK386" si="549">AK388*AK383</f>
        <v>906</v>
      </c>
      <c r="AL386" s="1957"/>
      <c r="AM386" s="1246"/>
      <c r="AU386" s="1826"/>
      <c r="AV386" s="1826"/>
      <c r="AW386" s="1933"/>
      <c r="AX386" s="1933"/>
    </row>
    <row r="387" s="1679" customFormat="1" customHeight="1" spans="1:57">
      <c r="A387" s="1679" t="s">
        <v>142</v>
      </c>
      <c r="B387" s="1769"/>
      <c r="C387" s="1769">
        <v>0.446769988550032</v>
      </c>
      <c r="D387" s="1769">
        <v>0.446769988550032</v>
      </c>
      <c r="E387" s="1769">
        <v>0.446769988550032</v>
      </c>
      <c r="F387" s="1769">
        <v>0.446769988550032</v>
      </c>
      <c r="G387" s="1769">
        <v>-0.0812750065459157</v>
      </c>
      <c r="H387" s="1769">
        <v>-0.2384</v>
      </c>
      <c r="I387" s="1769">
        <v>0.384880913302821</v>
      </c>
      <c r="J387" s="1769">
        <v>0.132928704168182</v>
      </c>
      <c r="K387" s="1769">
        <v>0.159662860900233</v>
      </c>
      <c r="L387" s="1246">
        <v>0.139175257731959</v>
      </c>
      <c r="M387" s="1246">
        <f t="shared" ref="M387:S387" si="550">M386/L386-1</f>
        <v>0.0271493212669682</v>
      </c>
      <c r="N387" s="1246">
        <f t="shared" si="550"/>
        <v>0.145374449339207</v>
      </c>
      <c r="O387" s="1246">
        <f t="shared" si="550"/>
        <v>0</v>
      </c>
      <c r="P387" s="1246">
        <f t="shared" si="550"/>
        <v>-0.565384615384615</v>
      </c>
      <c r="Q387" s="1246">
        <f t="shared" si="550"/>
        <v>1.10619469026549</v>
      </c>
      <c r="R387" s="1246">
        <f t="shared" si="550"/>
        <v>0.096638655462185</v>
      </c>
      <c r="S387" s="1246">
        <f t="shared" si="550"/>
        <v>0.252873563218391</v>
      </c>
      <c r="T387" s="1246">
        <f t="shared" ref="T387:AK387" si="551">T386/S386-1</f>
        <v>0.0397553516819571</v>
      </c>
      <c r="U387" s="1246">
        <f t="shared" si="551"/>
        <v>-0.202941176470588</v>
      </c>
      <c r="V387" s="1246">
        <f t="shared" si="551"/>
        <v>0.302583025830258</v>
      </c>
      <c r="W387" s="1246">
        <f t="shared" si="551"/>
        <v>0.206798866855524</v>
      </c>
      <c r="X387" s="1716">
        <f t="shared" si="551"/>
        <v>0.391406103286385</v>
      </c>
      <c r="Y387" s="1716">
        <f t="shared" si="551"/>
        <v>0.128658650772097</v>
      </c>
      <c r="Z387" s="1716">
        <f t="shared" si="551"/>
        <v>-0.0433482810164452</v>
      </c>
      <c r="AA387" s="1716">
        <f t="shared" si="551"/>
        <v>-0.771875</v>
      </c>
      <c r="AB387" s="1716">
        <f>AB386/117-1</f>
        <v>2.07692307692308</v>
      </c>
      <c r="AC387" s="1716">
        <f t="shared" si="551"/>
        <v>-0.627777777777778</v>
      </c>
      <c r="AD387" s="1716">
        <f t="shared" si="551"/>
        <v>-0.917910447761309</v>
      </c>
      <c r="AE387" s="1716">
        <f t="shared" si="551"/>
        <v>21.1877272727581</v>
      </c>
      <c r="AF387" s="1941">
        <f t="shared" si="551"/>
        <v>0.815090242353487</v>
      </c>
      <c r="AG387" s="1716">
        <f t="shared" si="551"/>
        <v>0.297404063205417</v>
      </c>
      <c r="AH387" s="1716">
        <f t="shared" si="551"/>
        <v>0.21531100478469</v>
      </c>
      <c r="AI387" s="1716">
        <f t="shared" si="551"/>
        <v>0.109162491052255</v>
      </c>
      <c r="AJ387" s="1716">
        <f t="shared" si="551"/>
        <v>0.0816392384640197</v>
      </c>
      <c r="AK387" s="1716">
        <f t="shared" si="551"/>
        <v>0.0811455847255373</v>
      </c>
      <c r="AL387" s="1716"/>
      <c r="AM387" s="1246"/>
      <c r="AN387" s="1688"/>
      <c r="AO387" s="1688"/>
      <c r="AP387" s="1688"/>
      <c r="AQ387" s="1688"/>
      <c r="AR387" s="1688"/>
      <c r="AS387" s="1688"/>
      <c r="AT387" s="1690"/>
      <c r="AU387" s="1826"/>
      <c r="AV387" s="1826"/>
      <c r="AW387" s="1933"/>
      <c r="AX387" s="1933"/>
      <c r="AY387" s="1686"/>
      <c r="AZ387" s="1686"/>
      <c r="BA387" s="1686"/>
    </row>
    <row r="388" customHeight="1" spans="1:57">
      <c r="A388" s="1686" t="s">
        <v>167</v>
      </c>
      <c r="B388" s="1977"/>
      <c r="C388" s="1977">
        <f>C386/C383</f>
        <v>0.295698924731183</v>
      </c>
      <c r="D388" s="1977">
        <f>D386/D383</f>
        <v>0.316666666666667</v>
      </c>
      <c r="E388" s="1977">
        <f>E386/E383</f>
        <v>0.348837209302326</v>
      </c>
      <c r="F388" s="1977">
        <f t="shared" ref="F388:L388" si="552">F386/F383</f>
        <v>0.384422110552764</v>
      </c>
      <c r="G388" s="1977">
        <f t="shared" si="552"/>
        <v>0.408163265306122</v>
      </c>
      <c r="H388" s="1977">
        <f t="shared" si="552"/>
        <v>0.394101876675603</v>
      </c>
      <c r="I388" s="1977">
        <f t="shared" si="552"/>
        <v>0.379487179487179</v>
      </c>
      <c r="J388" s="1977">
        <f t="shared" si="552"/>
        <v>0.378684807256236</v>
      </c>
      <c r="K388" s="1977">
        <f t="shared" si="552"/>
        <v>0.367619047619048</v>
      </c>
      <c r="L388" s="1978">
        <f t="shared" si="552"/>
        <v>0.337404580152672</v>
      </c>
      <c r="M388" s="1978">
        <f t="shared" ref="M388:W388" si="553">M386/M383</f>
        <v>0.313969571230982</v>
      </c>
      <c r="N388" s="1978">
        <f t="shared" si="553"/>
        <v>0.319410319410319</v>
      </c>
      <c r="O388" s="1978">
        <f t="shared" si="553"/>
        <v>0.287610619469027</v>
      </c>
      <c r="P388" s="1978">
        <f t="shared" si="553"/>
        <v>0.315642458100559</v>
      </c>
      <c r="Q388" s="1246">
        <f t="shared" si="553"/>
        <v>0.295285359801489</v>
      </c>
      <c r="R388" s="1246">
        <f t="shared" si="553"/>
        <v>0.300345224395857</v>
      </c>
      <c r="S388" s="1246">
        <f t="shared" si="553"/>
        <v>0.384253819036428</v>
      </c>
      <c r="T388" s="1246">
        <f t="shared" si="553"/>
        <v>0.305480682839173</v>
      </c>
      <c r="U388" s="1246">
        <f t="shared" si="553"/>
        <v>0.324550898203593</v>
      </c>
      <c r="V388" s="1246">
        <f t="shared" si="553"/>
        <v>0.340077071290944</v>
      </c>
      <c r="W388" s="1246">
        <f t="shared" si="553"/>
        <v>0.294809688581315</v>
      </c>
      <c r="X388" s="1844">
        <v>0.293</v>
      </c>
      <c r="Y388" s="1844">
        <f>Y386/Y383</f>
        <v>0.281328847771237</v>
      </c>
      <c r="Z388" s="1844">
        <v>0.250195465207193</v>
      </c>
      <c r="AA388" s="1844">
        <v>0.253913043478261</v>
      </c>
      <c r="AB388" s="1844">
        <v>0.194384449244061</v>
      </c>
      <c r="AC388" s="1844">
        <v>0.345360824742268</v>
      </c>
      <c r="AD388" s="1844">
        <v>-3.66666666666348</v>
      </c>
      <c r="AE388" s="1844">
        <v>0.265</v>
      </c>
      <c r="AF388" s="1942">
        <v>0.243406593406593</v>
      </c>
      <c r="AG388" s="1844">
        <v>0.25</v>
      </c>
      <c r="AH388" s="1844">
        <f>AG388</f>
        <v>0.25</v>
      </c>
      <c r="AI388" s="1844">
        <f>AH388</f>
        <v>0.25</v>
      </c>
      <c r="AJ388" s="1844">
        <f>AI388</f>
        <v>0.25</v>
      </c>
      <c r="AK388" s="1844">
        <f>AJ388</f>
        <v>0.25</v>
      </c>
      <c r="AL388" s="1844"/>
      <c r="AM388" s="1246"/>
      <c r="AU388" s="1826"/>
      <c r="AV388" s="1826"/>
      <c r="AW388" s="1933"/>
      <c r="AX388" s="1933"/>
    </row>
    <row r="389" customHeight="1" spans="1:57">
      <c r="A389" s="1917" t="s">
        <v>168</v>
      </c>
      <c r="B389" s="1918"/>
      <c r="C389" s="1918">
        <f>C383-C386</f>
        <v>131</v>
      </c>
      <c r="D389" s="1918">
        <f>D383-D386</f>
        <v>205</v>
      </c>
      <c r="E389" s="1918">
        <f>E383-E386</f>
        <v>196</v>
      </c>
      <c r="F389" s="1918">
        <f t="shared" ref="F389:Q389" si="554">F383-F386</f>
        <v>245</v>
      </c>
      <c r="G389" s="1918">
        <f t="shared" si="554"/>
        <v>203</v>
      </c>
      <c r="H389" s="1918">
        <f t="shared" si="554"/>
        <v>226</v>
      </c>
      <c r="I389" s="1918">
        <f t="shared" si="554"/>
        <v>242</v>
      </c>
      <c r="J389" s="1918">
        <f t="shared" si="554"/>
        <v>274</v>
      </c>
      <c r="K389" s="1918">
        <f t="shared" si="554"/>
        <v>332</v>
      </c>
      <c r="L389" s="1919">
        <f t="shared" si="554"/>
        <v>434</v>
      </c>
      <c r="M389" s="1919">
        <f t="shared" si="554"/>
        <v>496</v>
      </c>
      <c r="N389" s="1919">
        <f t="shared" si="554"/>
        <v>554</v>
      </c>
      <c r="O389" s="1919">
        <f t="shared" si="554"/>
        <v>644</v>
      </c>
      <c r="P389" s="1919">
        <f t="shared" si="554"/>
        <v>245</v>
      </c>
      <c r="Q389" s="1919">
        <f t="shared" si="554"/>
        <v>568</v>
      </c>
      <c r="R389" s="1919">
        <f t="shared" ref="R389:AA389" si="555">R383-R386</f>
        <v>608</v>
      </c>
      <c r="S389" s="1919">
        <f t="shared" si="555"/>
        <v>524</v>
      </c>
      <c r="T389" s="1919">
        <f t="shared" si="555"/>
        <v>773</v>
      </c>
      <c r="U389" s="1919">
        <f t="shared" si="555"/>
        <v>564</v>
      </c>
      <c r="V389" s="1919">
        <f t="shared" si="555"/>
        <v>685</v>
      </c>
      <c r="W389" s="1919">
        <f t="shared" si="555"/>
        <v>1019</v>
      </c>
      <c r="X389" s="1962">
        <f t="shared" si="555"/>
        <v>1430.261</v>
      </c>
      <c r="Y389" s="1962">
        <f t="shared" si="555"/>
        <v>1709</v>
      </c>
      <c r="Z389" s="1962">
        <f t="shared" si="555"/>
        <v>1918</v>
      </c>
      <c r="AA389" s="1962">
        <f t="shared" si="555"/>
        <v>429</v>
      </c>
      <c r="AB389" s="1962">
        <f t="shared" ref="AB389:AG389" si="556">AB383-AB386</f>
        <v>1492</v>
      </c>
      <c r="AC389" s="1962">
        <f t="shared" si="556"/>
        <v>254</v>
      </c>
      <c r="AD389" s="1962">
        <f t="shared" si="556"/>
        <v>-13.999999999983</v>
      </c>
      <c r="AE389" s="1962">
        <f t="shared" si="556"/>
        <v>676.934999999994</v>
      </c>
      <c r="AF389" s="1963">
        <f t="shared" si="556"/>
        <v>1377</v>
      </c>
      <c r="AG389" s="1962">
        <f t="shared" si="556"/>
        <v>1724.25</v>
      </c>
      <c r="AH389" s="1962">
        <f t="shared" ref="AH389" si="557">AH383-AH386</f>
        <v>2095.5</v>
      </c>
      <c r="AI389" s="1962">
        <f t="shared" ref="AI389:AJ389" si="558">AI383-AI386</f>
        <v>2324.25</v>
      </c>
      <c r="AJ389" s="1962">
        <f t="shared" si="558"/>
        <v>2514</v>
      </c>
      <c r="AK389" s="1962">
        <f t="shared" ref="AK389" si="559">AK383-AK386</f>
        <v>2718</v>
      </c>
      <c r="AL389" s="1962"/>
      <c r="AM389" s="1246"/>
      <c r="AU389" s="1826"/>
      <c r="AV389" s="1826"/>
      <c r="AW389" s="1933"/>
      <c r="AX389" s="1933"/>
    </row>
    <row r="390" s="1679" customFormat="1" customHeight="1" spans="1:57">
      <c r="A390" s="1679" t="s">
        <v>142</v>
      </c>
      <c r="B390" s="1769"/>
      <c r="C390" s="1769"/>
      <c r="D390" s="1769">
        <f>D389/C389-1</f>
        <v>0.564885496183206</v>
      </c>
      <c r="E390" s="1769">
        <f>E389/D389-1</f>
        <v>-0.0439024390243903</v>
      </c>
      <c r="F390" s="1769">
        <f t="shared" ref="F390:K390" si="560">F389/E389-1</f>
        <v>0.25</v>
      </c>
      <c r="G390" s="1769">
        <f t="shared" si="560"/>
        <v>-0.171428571428571</v>
      </c>
      <c r="H390" s="1769">
        <f t="shared" si="560"/>
        <v>0.113300492610837</v>
      </c>
      <c r="I390" s="1769">
        <f t="shared" si="560"/>
        <v>0.0707964601769913</v>
      </c>
      <c r="J390" s="1769">
        <f t="shared" si="560"/>
        <v>0.132231404958678</v>
      </c>
      <c r="K390" s="1769">
        <f t="shared" si="560"/>
        <v>0.211678832116788</v>
      </c>
      <c r="L390" s="1246">
        <v>-0.142857142857143</v>
      </c>
      <c r="M390" s="1246">
        <f t="shared" ref="M390:S390" si="561">M389/L389-1</f>
        <v>0.142857142857143</v>
      </c>
      <c r="N390" s="1246">
        <f t="shared" si="561"/>
        <v>0.116935483870968</v>
      </c>
      <c r="O390" s="1246">
        <f t="shared" si="561"/>
        <v>0.162454873646209</v>
      </c>
      <c r="P390" s="1246">
        <f t="shared" si="561"/>
        <v>-0.619565217391304</v>
      </c>
      <c r="Q390" s="1246">
        <f t="shared" si="561"/>
        <v>1.31836734693878</v>
      </c>
      <c r="R390" s="1246">
        <f t="shared" si="561"/>
        <v>0.0704225352112675</v>
      </c>
      <c r="S390" s="1246">
        <f t="shared" si="561"/>
        <v>-0.138157894736842</v>
      </c>
      <c r="T390" s="1246">
        <f t="shared" ref="T390:AK390" si="562">T389/S389-1</f>
        <v>0.475190839694656</v>
      </c>
      <c r="U390" s="1246">
        <f t="shared" si="562"/>
        <v>-0.270375161707633</v>
      </c>
      <c r="V390" s="1246">
        <f t="shared" si="562"/>
        <v>0.214539007092199</v>
      </c>
      <c r="W390" s="1246">
        <f t="shared" si="562"/>
        <v>0.487591240875912</v>
      </c>
      <c r="X390" s="1716">
        <f t="shared" si="562"/>
        <v>0.40359273797841</v>
      </c>
      <c r="Y390" s="1716">
        <f t="shared" si="562"/>
        <v>0.194886807372919</v>
      </c>
      <c r="Z390" s="1716">
        <f t="shared" si="562"/>
        <v>0.122293739028673</v>
      </c>
      <c r="AA390" s="1716">
        <f t="shared" si="562"/>
        <v>-0.776329509906152</v>
      </c>
      <c r="AB390" s="1716">
        <f>AB389/461-1</f>
        <v>2.23644251626898</v>
      </c>
      <c r="AC390" s="1716">
        <f t="shared" si="562"/>
        <v>-0.829758713136729</v>
      </c>
      <c r="AD390" s="1716">
        <f t="shared" si="562"/>
        <v>-1.05511811023615</v>
      </c>
      <c r="AE390" s="1716">
        <f t="shared" si="562"/>
        <v>-49.3525000000582</v>
      </c>
      <c r="AF390" s="1941">
        <f t="shared" si="562"/>
        <v>1.03416871634649</v>
      </c>
      <c r="AG390" s="1716">
        <f t="shared" si="562"/>
        <v>0.252178649237472</v>
      </c>
      <c r="AH390" s="1716">
        <f t="shared" si="562"/>
        <v>0.21531100478469</v>
      </c>
      <c r="AI390" s="1716">
        <f t="shared" si="562"/>
        <v>0.109162491052255</v>
      </c>
      <c r="AJ390" s="1716">
        <f t="shared" si="562"/>
        <v>0.0816392384640197</v>
      </c>
      <c r="AK390" s="1716">
        <f t="shared" si="562"/>
        <v>0.0811455847255373</v>
      </c>
      <c r="AL390" s="1716"/>
      <c r="AM390" s="1246"/>
      <c r="AN390" s="1688"/>
      <c r="AO390" s="1688"/>
      <c r="AP390" s="1688"/>
      <c r="AQ390" s="1688"/>
      <c r="AR390" s="1688"/>
      <c r="AS390" s="1688"/>
      <c r="AT390" s="1690"/>
      <c r="AU390" s="1826"/>
      <c r="AV390" s="1826"/>
      <c r="AW390" s="1933"/>
      <c r="AX390" s="1933"/>
      <c r="AY390" s="1686"/>
      <c r="AZ390" s="1686"/>
      <c r="BA390" s="1686"/>
      <c r="BB390" s="1686"/>
    </row>
    <row r="391" customHeight="1" spans="1:57">
      <c r="A391" s="1686" t="s">
        <v>145</v>
      </c>
      <c r="B391" s="1769"/>
      <c r="C391" s="1769">
        <f>C389/C$325</f>
        <v>0.0544019933554817</v>
      </c>
      <c r="D391" s="1769">
        <f>D389/D$325</f>
        <v>0.0598540145985401</v>
      </c>
      <c r="E391" s="1769">
        <f>E389/E$325</f>
        <v>0.0386969397828233</v>
      </c>
      <c r="F391" s="1769">
        <f t="shared" ref="F391:K391" si="563">F389/F$325</f>
        <v>0.0457601793051924</v>
      </c>
      <c r="G391" s="1769">
        <f t="shared" si="563"/>
        <v>0.034790059982862</v>
      </c>
      <c r="H391" s="1769">
        <f t="shared" si="563"/>
        <v>0.0369764397905759</v>
      </c>
      <c r="I391" s="1769">
        <f t="shared" si="563"/>
        <v>0.0370994940978078</v>
      </c>
      <c r="J391" s="1769">
        <f t="shared" si="563"/>
        <v>0.0437210786660284</v>
      </c>
      <c r="K391" s="1769">
        <f t="shared" si="563"/>
        <v>0.0566552901023891</v>
      </c>
      <c r="L391" s="1246">
        <v>0.00723545372324389</v>
      </c>
      <c r="M391" s="1246">
        <f t="shared" ref="M391:S391" si="564">M389/M$325</f>
        <v>0.0491868306227687</v>
      </c>
      <c r="N391" s="1246">
        <f t="shared" si="564"/>
        <v>0.0537916302553646</v>
      </c>
      <c r="O391" s="1246">
        <f t="shared" si="564"/>
        <v>0.0596351514029077</v>
      </c>
      <c r="P391" s="1246">
        <f t="shared" si="564"/>
        <v>0.0236008091706001</v>
      </c>
      <c r="Q391" s="1246">
        <f t="shared" si="564"/>
        <v>0.047372810675563</v>
      </c>
      <c r="R391" s="1246">
        <f t="shared" si="564"/>
        <v>0.0456353674097425</v>
      </c>
      <c r="S391" s="1246">
        <f t="shared" si="564"/>
        <v>0.035207955385339</v>
      </c>
      <c r="T391" s="1246">
        <f t="shared" ref="T391:AA391" si="565">T389/T$325</f>
        <v>0.0544174586413235</v>
      </c>
      <c r="U391" s="1246">
        <f t="shared" si="565"/>
        <v>0.0388055593780102</v>
      </c>
      <c r="V391" s="1246">
        <f t="shared" si="565"/>
        <v>0.0404966006503104</v>
      </c>
      <c r="W391" s="1246">
        <f t="shared" si="565"/>
        <v>0.0528252980819077</v>
      </c>
      <c r="X391" s="1716">
        <f t="shared" si="565"/>
        <v>0.0674079083796776</v>
      </c>
      <c r="Y391" s="1716">
        <f t="shared" si="565"/>
        <v>0.0779831165868126</v>
      </c>
      <c r="Z391" s="1716">
        <f t="shared" si="565"/>
        <v>0.0811302398375703</v>
      </c>
      <c r="AA391" s="1716">
        <f t="shared" si="565"/>
        <v>0.0216186252771619</v>
      </c>
      <c r="AB391" s="1716">
        <f t="shared" ref="AB391:AG391" si="566">AB389/AB$325</f>
        <v>0.0702646698690778</v>
      </c>
      <c r="AC391" s="1716">
        <f t="shared" si="566"/>
        <v>0.0112833725734086</v>
      </c>
      <c r="AD391" s="1716">
        <f t="shared" si="566"/>
        <v>-0.000677048070412178</v>
      </c>
      <c r="AE391" s="1716">
        <f t="shared" si="566"/>
        <v>0.0293897885642337</v>
      </c>
      <c r="AF391" s="1941">
        <f t="shared" si="566"/>
        <v>0.0554995768006126</v>
      </c>
      <c r="AG391" s="1716">
        <f t="shared" si="566"/>
        <v>0.0635482392251449</v>
      </c>
      <c r="AH391" s="1716">
        <f t="shared" ref="AH391" si="567">AH389/AH$325</f>
        <v>0.0718039018811003</v>
      </c>
      <c r="AI391" s="1716">
        <f t="shared" ref="AI391:AJ391" si="568">AI389/AI$325</f>
        <v>0.0745903203600529</v>
      </c>
      <c r="AJ391" s="1716">
        <f t="shared" si="568"/>
        <v>0.0761431091825033</v>
      </c>
      <c r="AK391" s="1716">
        <f t="shared" ref="AK391" si="569">AK389/AK$325</f>
        <v>0.0776874230663314</v>
      </c>
      <c r="AL391" s="1716"/>
      <c r="AM391" s="1246"/>
      <c r="AU391" s="1826"/>
      <c r="AV391" s="1826"/>
      <c r="AW391" s="1933"/>
      <c r="AX391" s="1933"/>
    </row>
    <row r="392" customHeight="1" spans="1:57">
      <c r="A392" s="1849" t="s">
        <v>169</v>
      </c>
      <c r="B392" s="1924"/>
      <c r="C392" s="1924">
        <v>12</v>
      </c>
      <c r="D392" s="1924">
        <v>14</v>
      </c>
      <c r="E392" s="1924">
        <v>9</v>
      </c>
      <c r="F392" s="1924">
        <v>18</v>
      </c>
      <c r="G392" s="1924">
        <v>25</v>
      </c>
      <c r="H392" s="1924">
        <v>21</v>
      </c>
      <c r="I392" s="1924">
        <v>14</v>
      </c>
      <c r="J392" s="1924">
        <v>11</v>
      </c>
      <c r="K392" s="1924">
        <v>7</v>
      </c>
      <c r="L392" s="1925">
        <v>8</v>
      </c>
      <c r="M392" s="1925">
        <v>13</v>
      </c>
      <c r="N392" s="1925">
        <v>4</v>
      </c>
      <c r="O392" s="1925">
        <v>2</v>
      </c>
      <c r="P392" s="1925">
        <v>0</v>
      </c>
      <c r="Q392" s="1925">
        <v>1</v>
      </c>
      <c r="R392" s="1925">
        <v>-5</v>
      </c>
      <c r="S392" s="1925">
        <v>-2</v>
      </c>
      <c r="T392" s="1979">
        <v>3</v>
      </c>
      <c r="U392" s="1979">
        <v>6</v>
      </c>
      <c r="V392" s="1979">
        <v>6</v>
      </c>
      <c r="W392" s="1980">
        <v>2</v>
      </c>
      <c r="X392" s="1981">
        <v>3</v>
      </c>
      <c r="Y392" s="1981">
        <f t="shared" ref="Y392" si="570">X392*(1+Y393)</f>
        <v>3.15</v>
      </c>
      <c r="Z392" s="1981">
        <v>2</v>
      </c>
      <c r="AA392" s="1981">
        <v>11</v>
      </c>
      <c r="AB392" s="1981">
        <v>42</v>
      </c>
      <c r="AC392" s="1981">
        <v>26</v>
      </c>
      <c r="AD392" s="1981">
        <v>61</v>
      </c>
      <c r="AE392" s="1981">
        <v>68</v>
      </c>
      <c r="AF392" s="1982">
        <v>45</v>
      </c>
      <c r="AG392" s="1981">
        <f>AF392*(1+AG393)</f>
        <v>70</v>
      </c>
      <c r="AH392" s="1981">
        <f>AG392*(1+AH393)</f>
        <v>70</v>
      </c>
      <c r="AI392" s="1981">
        <f>AH392*(1+AI393)</f>
        <v>70</v>
      </c>
      <c r="AJ392" s="1981">
        <f>AI392*(1+AJ393)</f>
        <v>70</v>
      </c>
      <c r="AK392" s="1981">
        <f>AJ392*(1+AK393)</f>
        <v>70</v>
      </c>
      <c r="AL392" s="1981"/>
      <c r="AM392" s="1246"/>
      <c r="AU392" s="1826"/>
      <c r="AV392" s="1826"/>
      <c r="AW392" s="1933"/>
      <c r="AX392" s="1933"/>
    </row>
    <row r="393" s="1679" customFormat="1" customHeight="1" spans="1:57">
      <c r="A393" s="1679" t="s">
        <v>142</v>
      </c>
      <c r="B393" s="1769"/>
      <c r="C393" s="1769"/>
      <c r="D393" s="1769">
        <f t="shared" ref="D393:O393" si="571">D392/C392-1</f>
        <v>0.166666666666667</v>
      </c>
      <c r="E393" s="1769">
        <f t="shared" si="571"/>
        <v>-0.357142857142857</v>
      </c>
      <c r="F393" s="1769">
        <f t="shared" si="571"/>
        <v>1</v>
      </c>
      <c r="G393" s="1769">
        <f t="shared" si="571"/>
        <v>0.388888888888889</v>
      </c>
      <c r="H393" s="1769">
        <f t="shared" si="571"/>
        <v>-0.16</v>
      </c>
      <c r="I393" s="1769">
        <f t="shared" si="571"/>
        <v>-0.333333333333333</v>
      </c>
      <c r="J393" s="1769">
        <f t="shared" si="571"/>
        <v>-0.214285714285714</v>
      </c>
      <c r="K393" s="1769">
        <f t="shared" si="571"/>
        <v>-0.363636363636364</v>
      </c>
      <c r="L393" s="1246">
        <f t="shared" si="571"/>
        <v>0.142857142857143</v>
      </c>
      <c r="M393" s="1246">
        <f t="shared" si="571"/>
        <v>0.625</v>
      </c>
      <c r="N393" s="1246">
        <f t="shared" si="571"/>
        <v>-0.692307692307692</v>
      </c>
      <c r="O393" s="1246">
        <f t="shared" si="571"/>
        <v>-0.5</v>
      </c>
      <c r="P393" s="1246">
        <v>0.05</v>
      </c>
      <c r="Q393" s="1246">
        <v>0.05</v>
      </c>
      <c r="R393" s="1246">
        <f>+R392/Q392-1</f>
        <v>-6</v>
      </c>
      <c r="S393" s="1246">
        <f>+S392/R392-1</f>
        <v>-0.6</v>
      </c>
      <c r="T393" s="1246">
        <f>+T392/S392-1</f>
        <v>-2.5</v>
      </c>
      <c r="U393" s="1246">
        <f>+U392/T392-1</f>
        <v>1</v>
      </c>
      <c r="V393" s="1246">
        <v>0.05</v>
      </c>
      <c r="W393" s="1246">
        <f t="shared" ref="W393:Y393" si="572">V393</f>
        <v>0.05</v>
      </c>
      <c r="X393" s="1716">
        <f t="shared" si="572"/>
        <v>0.05</v>
      </c>
      <c r="Y393" s="1716">
        <f t="shared" si="572"/>
        <v>0.05</v>
      </c>
      <c r="Z393" s="1716">
        <f t="shared" ref="Z393:AF393" si="573">Z392/Y392-1</f>
        <v>-0.365079365079365</v>
      </c>
      <c r="AA393" s="1716">
        <f t="shared" si="573"/>
        <v>4.5</v>
      </c>
      <c r="AB393" s="1716">
        <f t="shared" si="573"/>
        <v>2.81818181818182</v>
      </c>
      <c r="AC393" s="1716">
        <f t="shared" si="573"/>
        <v>-0.380952380952381</v>
      </c>
      <c r="AD393" s="1716">
        <f t="shared" si="573"/>
        <v>1.34615384615385</v>
      </c>
      <c r="AE393" s="1716">
        <f t="shared" si="573"/>
        <v>0.114754098360656</v>
      </c>
      <c r="AF393" s="1716">
        <f t="shared" si="573"/>
        <v>-0.338235294117647</v>
      </c>
      <c r="AG393" s="1716">
        <v>0.555555555555555</v>
      </c>
      <c r="AH393" s="1716">
        <v>0</v>
      </c>
      <c r="AI393" s="1716">
        <f>AH393</f>
        <v>0</v>
      </c>
      <c r="AJ393" s="1716">
        <f>AI393</f>
        <v>0</v>
      </c>
      <c r="AK393" s="1716">
        <f>AJ393</f>
        <v>0</v>
      </c>
      <c r="AL393" s="1716"/>
      <c r="AM393" s="1246"/>
      <c r="AN393" s="1688"/>
      <c r="AO393" s="1688"/>
      <c r="AP393" s="1688"/>
      <c r="AQ393" s="1688"/>
      <c r="AR393" s="1688"/>
      <c r="AS393" s="1688"/>
      <c r="AT393" s="1690"/>
      <c r="AU393" s="1826"/>
      <c r="AV393" s="1826"/>
      <c r="AW393" s="1933"/>
      <c r="AX393" s="1933"/>
      <c r="AY393" s="1686"/>
      <c r="AZ393" s="1686"/>
      <c r="BA393" s="1686"/>
    </row>
    <row r="394" hidden="1" customHeight="1" spans="1:57">
      <c r="A394" s="1917" t="s">
        <v>170</v>
      </c>
      <c r="B394" s="1918"/>
      <c r="C394" s="1918">
        <f t="shared" ref="C394:L394" si="574">C389-C392</f>
        <v>119</v>
      </c>
      <c r="D394" s="1918">
        <f t="shared" si="574"/>
        <v>191</v>
      </c>
      <c r="E394" s="1918">
        <f t="shared" si="574"/>
        <v>187</v>
      </c>
      <c r="F394" s="1918">
        <f t="shared" si="574"/>
        <v>227</v>
      </c>
      <c r="G394" s="1918">
        <f t="shared" si="574"/>
        <v>178</v>
      </c>
      <c r="H394" s="1918">
        <f t="shared" si="574"/>
        <v>205</v>
      </c>
      <c r="I394" s="1918">
        <f t="shared" si="574"/>
        <v>228</v>
      </c>
      <c r="J394" s="1918">
        <f t="shared" si="574"/>
        <v>263</v>
      </c>
      <c r="K394" s="1918">
        <f t="shared" si="574"/>
        <v>325</v>
      </c>
      <c r="L394" s="1919">
        <f t="shared" si="574"/>
        <v>426</v>
      </c>
      <c r="M394" s="1919">
        <f t="shared" ref="M394:U394" si="575">M389-M392</f>
        <v>483</v>
      </c>
      <c r="N394" s="1919">
        <f t="shared" si="575"/>
        <v>550</v>
      </c>
      <c r="O394" s="1919">
        <f t="shared" si="575"/>
        <v>642</v>
      </c>
      <c r="P394" s="1919">
        <f t="shared" si="575"/>
        <v>245</v>
      </c>
      <c r="Q394" s="1919">
        <f t="shared" si="575"/>
        <v>567</v>
      </c>
      <c r="R394" s="1919">
        <f t="shared" si="575"/>
        <v>613</v>
      </c>
      <c r="S394" s="1919">
        <f t="shared" si="575"/>
        <v>526</v>
      </c>
      <c r="T394" s="1919">
        <f t="shared" si="575"/>
        <v>770</v>
      </c>
      <c r="U394" s="1919">
        <f t="shared" si="575"/>
        <v>558</v>
      </c>
      <c r="V394" s="1919">
        <f t="shared" ref="V394:AA394" si="576">V389-V392</f>
        <v>679</v>
      </c>
      <c r="W394" s="1919">
        <f t="shared" si="576"/>
        <v>1017</v>
      </c>
      <c r="X394" s="1962">
        <f t="shared" si="576"/>
        <v>1427.261</v>
      </c>
      <c r="Y394" s="1962">
        <f t="shared" si="576"/>
        <v>1705.85</v>
      </c>
      <c r="Z394" s="1962">
        <f t="shared" si="576"/>
        <v>1916</v>
      </c>
      <c r="AA394" s="1962">
        <f t="shared" si="576"/>
        <v>418</v>
      </c>
      <c r="AB394" s="1962">
        <f t="shared" ref="AB394:AG394" si="577">AB389-AB392</f>
        <v>1450</v>
      </c>
      <c r="AC394" s="1962">
        <f t="shared" si="577"/>
        <v>228</v>
      </c>
      <c r="AD394" s="1962">
        <f t="shared" si="577"/>
        <v>-74.999999999983</v>
      </c>
      <c r="AE394" s="1962">
        <f t="shared" si="577"/>
        <v>608.934999999994</v>
      </c>
      <c r="AF394" s="1963">
        <f t="shared" si="577"/>
        <v>1332</v>
      </c>
      <c r="AG394" s="1962">
        <f t="shared" si="577"/>
        <v>1654.25</v>
      </c>
      <c r="AH394" s="1962">
        <f t="shared" ref="AH394" si="578">AH389-AH392</f>
        <v>2025.5</v>
      </c>
      <c r="AI394" s="1962">
        <f t="shared" ref="AI394:AJ394" si="579">AI389-AI392</f>
        <v>2254.25</v>
      </c>
      <c r="AJ394" s="1962">
        <f t="shared" si="579"/>
        <v>2444</v>
      </c>
      <c r="AK394" s="1962">
        <f t="shared" ref="AK394" si="580">AK389-AK392</f>
        <v>2648</v>
      </c>
      <c r="AL394" s="1962"/>
      <c r="AM394" s="1246"/>
      <c r="AU394" s="1826"/>
      <c r="AV394" s="1826"/>
      <c r="AW394" s="1933"/>
      <c r="AX394" s="1933"/>
    </row>
    <row r="395" s="1679" customFormat="1" hidden="1" customHeight="1" spans="1:57">
      <c r="A395" s="1679" t="s">
        <v>142</v>
      </c>
      <c r="B395" s="1769"/>
      <c r="C395" s="1769"/>
      <c r="D395" s="1769">
        <f>D394/C394-1</f>
        <v>0.605042016806723</v>
      </c>
      <c r="E395" s="1769">
        <f>E394/D394-1</f>
        <v>-0.0209424083769634</v>
      </c>
      <c r="F395" s="1769">
        <f t="shared" ref="F395:K395" si="581">F394/E394-1</f>
        <v>0.213903743315508</v>
      </c>
      <c r="G395" s="1769">
        <f t="shared" si="581"/>
        <v>-0.215859030837004</v>
      </c>
      <c r="H395" s="1769">
        <f t="shared" si="581"/>
        <v>0.151685393258427</v>
      </c>
      <c r="I395" s="1769">
        <f t="shared" si="581"/>
        <v>0.11219512195122</v>
      </c>
      <c r="J395" s="1769">
        <f t="shared" si="581"/>
        <v>0.153508771929824</v>
      </c>
      <c r="K395" s="1769">
        <f t="shared" si="581"/>
        <v>0.23574144486692</v>
      </c>
      <c r="L395" s="1246">
        <f t="shared" ref="L395:Q395" si="582">L394/K394-1</f>
        <v>0.310769230769231</v>
      </c>
      <c r="M395" s="1246">
        <f t="shared" si="582"/>
        <v>0.133802816901408</v>
      </c>
      <c r="N395" s="1246">
        <f t="shared" si="582"/>
        <v>0.138716356107661</v>
      </c>
      <c r="O395" s="1246">
        <f t="shared" si="582"/>
        <v>0.167272727272727</v>
      </c>
      <c r="P395" s="1246">
        <f t="shared" si="582"/>
        <v>-0.618380062305296</v>
      </c>
      <c r="Q395" s="1246">
        <f t="shared" si="582"/>
        <v>1.31428571428571</v>
      </c>
      <c r="R395" s="1246">
        <f t="shared" ref="R395:X395" si="583">R394/Q394-1</f>
        <v>0.0811287477954146</v>
      </c>
      <c r="S395" s="1246">
        <f t="shared" si="583"/>
        <v>-0.141924959216966</v>
      </c>
      <c r="T395" s="1246">
        <f t="shared" si="583"/>
        <v>0.463878326996198</v>
      </c>
      <c r="U395" s="1246">
        <f t="shared" si="583"/>
        <v>-0.275324675324675</v>
      </c>
      <c r="V395" s="1246">
        <f t="shared" si="583"/>
        <v>0.216845878136201</v>
      </c>
      <c r="W395" s="1246">
        <f t="shared" si="583"/>
        <v>0.49779086892489</v>
      </c>
      <c r="X395" s="1716">
        <f t="shared" si="583"/>
        <v>0.403403146509341</v>
      </c>
      <c r="Y395" s="1716">
        <f t="shared" ref="Y395:AK395" si="584">Y394/X394-1</f>
        <v>0.195191349024459</v>
      </c>
      <c r="Z395" s="1716">
        <f t="shared" si="584"/>
        <v>0.123193715742886</v>
      </c>
      <c r="AA395" s="1716">
        <f t="shared" si="584"/>
        <v>-0.781837160751566</v>
      </c>
      <c r="AB395" s="1716">
        <f t="shared" si="584"/>
        <v>2.4688995215311</v>
      </c>
      <c r="AC395" s="1716">
        <f t="shared" si="584"/>
        <v>-0.842758620689655</v>
      </c>
      <c r="AD395" s="1716">
        <f t="shared" si="584"/>
        <v>-1.32894736842098</v>
      </c>
      <c r="AE395" s="1716">
        <f t="shared" si="584"/>
        <v>-9.11913333333509</v>
      </c>
      <c r="AF395" s="1941">
        <f t="shared" si="584"/>
        <v>1.18742558729587</v>
      </c>
      <c r="AG395" s="1716">
        <f t="shared" si="584"/>
        <v>0.241929429429429</v>
      </c>
      <c r="AH395" s="1716">
        <f t="shared" si="584"/>
        <v>0.224421943478919</v>
      </c>
      <c r="AI395" s="1716">
        <f t="shared" si="584"/>
        <v>0.112935077758578</v>
      </c>
      <c r="AJ395" s="1716">
        <f t="shared" si="584"/>
        <v>0.0841743373627581</v>
      </c>
      <c r="AK395" s="1716">
        <f t="shared" si="584"/>
        <v>0.0834697217675946</v>
      </c>
      <c r="AL395" s="1716"/>
      <c r="AM395" s="1246"/>
      <c r="AN395" s="1688"/>
      <c r="AO395" s="1688"/>
      <c r="AP395" s="1688"/>
      <c r="AQ395" s="1688"/>
      <c r="AR395" s="1688"/>
      <c r="AS395" s="1688"/>
      <c r="AT395" s="1690"/>
      <c r="AU395" s="1826"/>
      <c r="AV395" s="1826"/>
      <c r="AW395" s="1933"/>
      <c r="AX395" s="1933"/>
      <c r="AY395" s="1686"/>
      <c r="AZ395" s="1686"/>
      <c r="BA395" s="1686"/>
    </row>
    <row r="396" hidden="1" customHeight="1" spans="1:57">
      <c r="A396" s="1686" t="s">
        <v>145</v>
      </c>
      <c r="B396" s="1769"/>
      <c r="C396" s="1769">
        <f>C394/C$325</f>
        <v>0.0494186046511628</v>
      </c>
      <c r="D396" s="1769">
        <f>D394/D$325</f>
        <v>0.0557664233576642</v>
      </c>
      <c r="E396" s="1769">
        <f>E394/E$325</f>
        <v>0.0369200394866732</v>
      </c>
      <c r="F396" s="1769">
        <f t="shared" ref="F396:L396" si="585">F394/F$325</f>
        <v>0.0423982069480762</v>
      </c>
      <c r="G396" s="1769">
        <f t="shared" si="585"/>
        <v>0.0305055698371894</v>
      </c>
      <c r="H396" s="1769">
        <f t="shared" si="585"/>
        <v>0.0335405759162304</v>
      </c>
      <c r="I396" s="1769">
        <f t="shared" si="585"/>
        <v>0.0349532423731412</v>
      </c>
      <c r="J396" s="1769">
        <f t="shared" si="585"/>
        <v>0.041965852880166</v>
      </c>
      <c r="K396" s="1769">
        <f t="shared" si="585"/>
        <v>0.0554607508532423</v>
      </c>
      <c r="L396" s="1246">
        <f t="shared" si="585"/>
        <v>0.0641952983725136</v>
      </c>
      <c r="M396" s="1246">
        <f t="shared" ref="M396:S396" si="586">M394/M$325</f>
        <v>0.0478976596588655</v>
      </c>
      <c r="N396" s="1246">
        <f t="shared" si="586"/>
        <v>0.0534032430333042</v>
      </c>
      <c r="O396" s="1246">
        <f t="shared" si="586"/>
        <v>0.0594499490693583</v>
      </c>
      <c r="P396" s="1246">
        <f t="shared" si="586"/>
        <v>0.0236008091706001</v>
      </c>
      <c r="Q396" s="1246">
        <f t="shared" si="586"/>
        <v>0.0472894078398666</v>
      </c>
      <c r="R396" s="1246">
        <f t="shared" si="586"/>
        <v>0.0460106582601516</v>
      </c>
      <c r="S396" s="1246">
        <f t="shared" si="586"/>
        <v>0.0353423368944433</v>
      </c>
      <c r="T396" s="1246">
        <f t="shared" ref="T396:AA396" si="587">T394/T$325</f>
        <v>0.0542062653995072</v>
      </c>
      <c r="U396" s="1246">
        <f t="shared" si="587"/>
        <v>0.0383927342782441</v>
      </c>
      <c r="V396" s="1246">
        <f t="shared" si="587"/>
        <v>0.0401418859000887</v>
      </c>
      <c r="W396" s="1246">
        <f t="shared" si="587"/>
        <v>0.0527216174183515</v>
      </c>
      <c r="X396" s="1716">
        <f t="shared" si="587"/>
        <v>0.0672665189933076</v>
      </c>
      <c r="Y396" s="1716">
        <f t="shared" si="587"/>
        <v>0.0778393794204881</v>
      </c>
      <c r="Z396" s="1716">
        <f t="shared" si="587"/>
        <v>0.081045641047333</v>
      </c>
      <c r="AA396" s="1716">
        <f t="shared" si="587"/>
        <v>0.0210643015521064</v>
      </c>
      <c r="AB396" s="1716">
        <f t="shared" ref="AB396:AG396" si="588">AB394/AB$325</f>
        <v>0.0682867099934067</v>
      </c>
      <c r="AC396" s="1716">
        <f t="shared" si="588"/>
        <v>0.0101283816800675</v>
      </c>
      <c r="AD396" s="1716">
        <f t="shared" si="588"/>
        <v>-0.00362704323435453</v>
      </c>
      <c r="AE396" s="1716">
        <f t="shared" si="588"/>
        <v>0.0264375027134978</v>
      </c>
      <c r="AF396" s="1941">
        <f t="shared" si="588"/>
        <v>0.0536858651404619</v>
      </c>
      <c r="AG396" s="1716">
        <f t="shared" si="588"/>
        <v>0.0609683484055073</v>
      </c>
      <c r="AH396" s="1716">
        <f t="shared" ref="AH396" si="589">AH394/AH$325</f>
        <v>0.0694052986209347</v>
      </c>
      <c r="AI396" s="1716">
        <f t="shared" ref="AI396:AJ396" si="590">AI394/AI$325</f>
        <v>0.0723438656218777</v>
      </c>
      <c r="AJ396" s="1716">
        <f t="shared" si="590"/>
        <v>0.0740229748775013</v>
      </c>
      <c r="AK396" s="1716">
        <f t="shared" ref="AK396" si="591">AK394/AK$325</f>
        <v>0.0756866432228276</v>
      </c>
      <c r="AL396" s="1716"/>
      <c r="AM396" s="1246"/>
      <c r="AU396" s="1826"/>
      <c r="AV396" s="1826"/>
      <c r="AW396" s="1933"/>
      <c r="AX396" s="1933"/>
    </row>
    <row r="397" hidden="1" customHeight="1" spans="1:57">
      <c r="A397" s="1849" t="s">
        <v>171</v>
      </c>
      <c r="B397" s="1924"/>
      <c r="C397" s="1924">
        <f>C398-C394</f>
        <v>42</v>
      </c>
      <c r="D397" s="1924">
        <f>D398-D394</f>
        <v>46</v>
      </c>
      <c r="E397" s="1924">
        <f>E398-E394</f>
        <v>18</v>
      </c>
      <c r="F397" s="1924">
        <f t="shared" ref="F397:O397" si="592">F398-F394</f>
        <v>1</v>
      </c>
      <c r="G397" s="1924">
        <f t="shared" si="592"/>
        <v>4</v>
      </c>
      <c r="H397" s="1924">
        <f t="shared" si="592"/>
        <v>3</v>
      </c>
      <c r="I397" s="1924">
        <f t="shared" si="592"/>
        <v>1</v>
      </c>
      <c r="J397" s="1924">
        <f t="shared" si="592"/>
        <v>-3</v>
      </c>
      <c r="K397" s="1924">
        <f t="shared" si="592"/>
        <v>-11</v>
      </c>
      <c r="L397" s="1925">
        <f t="shared" si="592"/>
        <v>-43</v>
      </c>
      <c r="M397" s="1925">
        <f t="shared" si="592"/>
        <v>0</v>
      </c>
      <c r="N397" s="1925">
        <f t="shared" si="592"/>
        <v>1</v>
      </c>
      <c r="O397" s="1925">
        <f t="shared" si="592"/>
        <v>0</v>
      </c>
      <c r="P397" s="1925">
        <v>0</v>
      </c>
      <c r="Q397" s="1925">
        <v>0</v>
      </c>
      <c r="R397" s="1925">
        <v>0</v>
      </c>
      <c r="S397" s="1925">
        <v>0</v>
      </c>
      <c r="T397" s="1925">
        <v>17</v>
      </c>
      <c r="U397" s="1925">
        <v>-68</v>
      </c>
      <c r="V397" s="1925">
        <v>-46</v>
      </c>
      <c r="W397" s="1925">
        <v>1</v>
      </c>
      <c r="X397" s="1957">
        <v>-254</v>
      </c>
      <c r="Y397" s="1957">
        <v>-5</v>
      </c>
      <c r="Z397" s="1957">
        <v>0</v>
      </c>
      <c r="AA397" s="1957">
        <v>0</v>
      </c>
      <c r="AB397" s="1957">
        <v>0</v>
      </c>
      <c r="AC397" s="1957">
        <v>0</v>
      </c>
      <c r="AD397" s="1957">
        <v>0</v>
      </c>
      <c r="AE397" s="1957">
        <v>0</v>
      </c>
      <c r="AF397" s="1958">
        <v>0</v>
      </c>
      <c r="AG397" s="1957">
        <v>0</v>
      </c>
      <c r="AH397" s="1957">
        <v>0</v>
      </c>
      <c r="AI397" s="1957">
        <v>0</v>
      </c>
      <c r="AJ397" s="1957">
        <v>0</v>
      </c>
      <c r="AK397" s="1957">
        <v>0</v>
      </c>
      <c r="AL397" s="1957"/>
      <c r="AM397" s="1246"/>
      <c r="AU397" s="1826"/>
      <c r="AV397" s="1826"/>
      <c r="AW397" s="1933"/>
      <c r="AX397" s="1933"/>
    </row>
    <row r="398" hidden="1" customHeight="1" spans="1:57">
      <c r="A398" s="1917" t="s">
        <v>172</v>
      </c>
      <c r="B398" s="1918"/>
      <c r="C398" s="1918">
        <v>161</v>
      </c>
      <c r="D398" s="1918">
        <v>237</v>
      </c>
      <c r="E398" s="1918">
        <v>205</v>
      </c>
      <c r="F398" s="1918">
        <v>228</v>
      </c>
      <c r="G398" s="1918">
        <v>182</v>
      </c>
      <c r="H398" s="1918">
        <v>208</v>
      </c>
      <c r="I398" s="1918">
        <v>229</v>
      </c>
      <c r="J398" s="1918">
        <v>260</v>
      </c>
      <c r="K398" s="1918">
        <v>314</v>
      </c>
      <c r="L398" s="1919">
        <v>383</v>
      </c>
      <c r="M398" s="1919">
        <v>483</v>
      </c>
      <c r="N398" s="1919">
        <v>551</v>
      </c>
      <c r="O398" s="1919">
        <v>642</v>
      </c>
      <c r="P398" s="1919">
        <f t="shared" ref="P398:U398" si="593">P394+P397</f>
        <v>245</v>
      </c>
      <c r="Q398" s="1919">
        <f t="shared" si="593"/>
        <v>567</v>
      </c>
      <c r="R398" s="1919">
        <f t="shared" si="593"/>
        <v>613</v>
      </c>
      <c r="S398" s="1919">
        <f t="shared" si="593"/>
        <v>526</v>
      </c>
      <c r="T398" s="1983">
        <f t="shared" si="593"/>
        <v>787</v>
      </c>
      <c r="U398" s="1983">
        <f t="shared" si="593"/>
        <v>490</v>
      </c>
      <c r="V398" s="1983">
        <f t="shared" ref="V398:AA398" si="594">V394+V397</f>
        <v>633</v>
      </c>
      <c r="W398" s="1919">
        <f t="shared" si="594"/>
        <v>1018</v>
      </c>
      <c r="X398" s="1962">
        <f t="shared" si="594"/>
        <v>1173.261</v>
      </c>
      <c r="Y398" s="1962">
        <f t="shared" si="594"/>
        <v>1700.85</v>
      </c>
      <c r="Z398" s="1962">
        <f t="shared" si="594"/>
        <v>1916</v>
      </c>
      <c r="AA398" s="1962">
        <f t="shared" si="594"/>
        <v>418</v>
      </c>
      <c r="AB398" s="1962">
        <f t="shared" ref="AB398:AG398" si="595">AB394+AB397</f>
        <v>1450</v>
      </c>
      <c r="AC398" s="1962">
        <f t="shared" si="595"/>
        <v>228</v>
      </c>
      <c r="AD398" s="1962">
        <f t="shared" si="595"/>
        <v>-74.999999999983</v>
      </c>
      <c r="AE398" s="1962">
        <f t="shared" si="595"/>
        <v>608.934999999994</v>
      </c>
      <c r="AF398" s="1963">
        <f t="shared" si="595"/>
        <v>1332</v>
      </c>
      <c r="AG398" s="1962">
        <f t="shared" si="595"/>
        <v>1654.25</v>
      </c>
      <c r="AH398" s="1962">
        <f t="shared" ref="AH398" si="596">AH394+AH397</f>
        <v>2025.5</v>
      </c>
      <c r="AI398" s="1962">
        <f t="shared" ref="AI398:AJ398" si="597">AI394+AI397</f>
        <v>2254.25</v>
      </c>
      <c r="AJ398" s="1962">
        <f t="shared" si="597"/>
        <v>2444</v>
      </c>
      <c r="AK398" s="1962">
        <f t="shared" ref="AK398" si="598">AK394+AK397</f>
        <v>2648</v>
      </c>
      <c r="AL398" s="1962"/>
      <c r="AM398" s="1246"/>
      <c r="AU398" s="1826"/>
      <c r="AV398" s="1826"/>
      <c r="AW398" s="1933"/>
      <c r="AX398" s="1933"/>
    </row>
    <row r="399" s="1679" customFormat="1" hidden="1" customHeight="1" spans="1:57">
      <c r="A399" s="1679" t="s">
        <v>142</v>
      </c>
      <c r="B399" s="1769"/>
      <c r="C399" s="1769"/>
      <c r="D399" s="1769">
        <f>D398/C398-1</f>
        <v>0.472049689440994</v>
      </c>
      <c r="E399" s="1769">
        <f>E398/D398-1</f>
        <v>-0.135021097046414</v>
      </c>
      <c r="F399" s="1769">
        <f>F398/E398-1</f>
        <v>0.11219512195122</v>
      </c>
      <c r="G399" s="1769">
        <f>G398/F398-1</f>
        <v>-0.201754385964912</v>
      </c>
      <c r="H399" s="1769" t="s">
        <v>173</v>
      </c>
      <c r="I399" s="1769">
        <f t="shared" ref="I399:AK399" si="599">I398/H398-1</f>
        <v>0.100961538461539</v>
      </c>
      <c r="J399" s="1769">
        <f t="shared" si="599"/>
        <v>0.135371179039301</v>
      </c>
      <c r="K399" s="1769">
        <f t="shared" si="599"/>
        <v>0.207692307692308</v>
      </c>
      <c r="L399" s="1246">
        <f t="shared" si="599"/>
        <v>0.219745222929936</v>
      </c>
      <c r="M399" s="1246">
        <f t="shared" si="599"/>
        <v>0.261096605744125</v>
      </c>
      <c r="N399" s="1246">
        <f t="shared" si="599"/>
        <v>0.140786749482402</v>
      </c>
      <c r="O399" s="1246">
        <f t="shared" si="599"/>
        <v>0.165154264972777</v>
      </c>
      <c r="P399" s="1246">
        <f t="shared" si="599"/>
        <v>-0.618380062305296</v>
      </c>
      <c r="Q399" s="1246">
        <f t="shared" si="599"/>
        <v>1.31428571428571</v>
      </c>
      <c r="R399" s="1246">
        <f t="shared" si="599"/>
        <v>0.0811287477954146</v>
      </c>
      <c r="S399" s="1246">
        <f t="shared" si="599"/>
        <v>-0.141924959216966</v>
      </c>
      <c r="T399" s="1246">
        <f t="shared" si="599"/>
        <v>0.496197718631179</v>
      </c>
      <c r="U399" s="1246">
        <f t="shared" si="599"/>
        <v>-0.377382465057179</v>
      </c>
      <c r="V399" s="1246">
        <f t="shared" si="599"/>
        <v>0.291836734693877</v>
      </c>
      <c r="W399" s="1246">
        <f t="shared" si="599"/>
        <v>0.608214849921011</v>
      </c>
      <c r="X399" s="1716">
        <f t="shared" si="599"/>
        <v>0.152515717092338</v>
      </c>
      <c r="Y399" s="1716">
        <f t="shared" si="599"/>
        <v>0.449677437501117</v>
      </c>
      <c r="Z399" s="1716">
        <f t="shared" si="599"/>
        <v>0.126495575741542</v>
      </c>
      <c r="AA399" s="1716">
        <f t="shared" si="599"/>
        <v>-0.781837160751566</v>
      </c>
      <c r="AB399" s="1716">
        <f t="shared" si="599"/>
        <v>2.4688995215311</v>
      </c>
      <c r="AC399" s="1716">
        <f t="shared" si="599"/>
        <v>-0.842758620689655</v>
      </c>
      <c r="AD399" s="1716">
        <f t="shared" si="599"/>
        <v>-1.32894736842098</v>
      </c>
      <c r="AE399" s="1716">
        <f t="shared" si="599"/>
        <v>-9.11913333333509</v>
      </c>
      <c r="AF399" s="1941">
        <f t="shared" si="599"/>
        <v>1.18742558729587</v>
      </c>
      <c r="AG399" s="1716">
        <f t="shared" si="599"/>
        <v>0.241929429429429</v>
      </c>
      <c r="AH399" s="1716">
        <f t="shared" si="599"/>
        <v>0.224421943478919</v>
      </c>
      <c r="AI399" s="1716">
        <f t="shared" si="599"/>
        <v>0.112935077758578</v>
      </c>
      <c r="AJ399" s="1716">
        <f t="shared" si="599"/>
        <v>0.0841743373627581</v>
      </c>
      <c r="AK399" s="1716">
        <f t="shared" si="599"/>
        <v>0.0834697217675946</v>
      </c>
      <c r="AL399" s="1716"/>
      <c r="AM399" s="1246"/>
      <c r="AN399" s="1688"/>
      <c r="AO399" s="1688"/>
      <c r="AP399" s="1688"/>
      <c r="AQ399" s="1688"/>
      <c r="AR399" s="1688"/>
      <c r="AS399" s="1688"/>
      <c r="AT399" s="1690"/>
      <c r="AU399" s="1826"/>
      <c r="AV399" s="1826"/>
      <c r="AW399" s="1933"/>
      <c r="AX399" s="1933"/>
      <c r="AY399" s="1686"/>
      <c r="AZ399" s="1686"/>
      <c r="BA399" s="1686"/>
      <c r="BB399" s="1984"/>
      <c r="BC399" s="1984"/>
      <c r="BD399" s="1985"/>
      <c r="BE399" s="1985"/>
    </row>
    <row r="400" hidden="1" customHeight="1" spans="1:57">
      <c r="A400" s="1686" t="s">
        <v>145</v>
      </c>
      <c r="B400" s="1769"/>
      <c r="C400" s="1769">
        <f t="shared" ref="C400:AA400" si="600">C398/C$325</f>
        <v>0.0668604651162791</v>
      </c>
      <c r="D400" s="1769">
        <f t="shared" si="600"/>
        <v>0.0691970802919708</v>
      </c>
      <c r="E400" s="1769">
        <f t="shared" si="600"/>
        <v>0.0404738400789733</v>
      </c>
      <c r="F400" s="1769">
        <f t="shared" si="600"/>
        <v>0.0425849831901382</v>
      </c>
      <c r="G400" s="1769">
        <f t="shared" si="600"/>
        <v>0.031191088260497</v>
      </c>
      <c r="H400" s="1769">
        <f t="shared" si="600"/>
        <v>0.0340314136125654</v>
      </c>
      <c r="I400" s="1769">
        <f t="shared" si="600"/>
        <v>0.0351065460677602</v>
      </c>
      <c r="J400" s="1769">
        <f t="shared" si="600"/>
        <v>0.0414871549385671</v>
      </c>
      <c r="K400" s="1769">
        <f t="shared" si="600"/>
        <v>0.0535836177474403</v>
      </c>
      <c r="L400" s="1246">
        <f t="shared" si="600"/>
        <v>0.0577154912597951</v>
      </c>
      <c r="M400" s="1246">
        <f t="shared" si="600"/>
        <v>0.0478976596588655</v>
      </c>
      <c r="N400" s="1246">
        <f t="shared" si="600"/>
        <v>0.0535003398388193</v>
      </c>
      <c r="O400" s="1246">
        <f t="shared" si="600"/>
        <v>0.0594499490693583</v>
      </c>
      <c r="P400" s="1246">
        <f t="shared" si="600"/>
        <v>0.0236008091706001</v>
      </c>
      <c r="Q400" s="1246">
        <f t="shared" si="600"/>
        <v>0.0472894078398666</v>
      </c>
      <c r="R400" s="1246">
        <f t="shared" si="600"/>
        <v>0.0460106582601516</v>
      </c>
      <c r="S400" s="1246">
        <f t="shared" si="600"/>
        <v>0.0353423368944433</v>
      </c>
      <c r="T400" s="1246">
        <f t="shared" si="600"/>
        <v>0.0554030271031327</v>
      </c>
      <c r="U400" s="1246">
        <f t="shared" si="600"/>
        <v>0.0337140498142287</v>
      </c>
      <c r="V400" s="1246">
        <f t="shared" si="600"/>
        <v>0.037422406148389</v>
      </c>
      <c r="W400" s="1246">
        <f t="shared" si="600"/>
        <v>0.0527734577501296</v>
      </c>
      <c r="X400" s="1716">
        <f t="shared" si="600"/>
        <v>0.0552955509473089</v>
      </c>
      <c r="Y400" s="1716">
        <f t="shared" si="600"/>
        <v>0.0776112251882271</v>
      </c>
      <c r="Z400" s="1716">
        <f t="shared" si="600"/>
        <v>0.081045641047333</v>
      </c>
      <c r="AA400" s="1716">
        <f t="shared" si="600"/>
        <v>0.0210643015521064</v>
      </c>
      <c r="AB400" s="1716">
        <f t="shared" ref="AB400:AG400" si="601">AB398/AB$325</f>
        <v>0.0682867099934067</v>
      </c>
      <c r="AC400" s="1716">
        <f t="shared" si="601"/>
        <v>0.0101283816800675</v>
      </c>
      <c r="AD400" s="1716">
        <f t="shared" si="601"/>
        <v>-0.00362704323435453</v>
      </c>
      <c r="AE400" s="1716">
        <f t="shared" si="601"/>
        <v>0.0264375027134978</v>
      </c>
      <c r="AF400" s="1941">
        <f t="shared" si="601"/>
        <v>0.0536858651404619</v>
      </c>
      <c r="AG400" s="1716">
        <f t="shared" si="601"/>
        <v>0.0609683484055073</v>
      </c>
      <c r="AH400" s="1716">
        <f t="shared" ref="AH400" si="602">AH398/AH$325</f>
        <v>0.0694052986209347</v>
      </c>
      <c r="AI400" s="1716">
        <f t="shared" ref="AI400:AJ400" si="603">AI398/AI$325</f>
        <v>0.0723438656218777</v>
      </c>
      <c r="AJ400" s="1716">
        <f t="shared" si="603"/>
        <v>0.0740229748775013</v>
      </c>
      <c r="AK400" s="1716">
        <f t="shared" ref="AK400" si="604">AK398/AK$325</f>
        <v>0.0756866432228276</v>
      </c>
      <c r="AL400" s="1716"/>
      <c r="AM400" s="1246"/>
      <c r="AU400" s="1826"/>
      <c r="AV400" s="1826"/>
      <c r="AW400" s="1933"/>
      <c r="AX400" s="1933"/>
      <c r="BB400" s="1678"/>
      <c r="BC400" s="1678"/>
      <c r="BD400" s="1678"/>
      <c r="BE400" s="1678"/>
    </row>
    <row r="401" customHeight="1" spans="1:57">
      <c r="A401" s="1927" t="s">
        <v>174</v>
      </c>
      <c r="B401" s="1928"/>
      <c r="C401" s="1928">
        <f t="shared" ref="C401:S401" si="605">C373-C380-C386</f>
        <v>131</v>
      </c>
      <c r="D401" s="1928">
        <f t="shared" si="605"/>
        <v>205</v>
      </c>
      <c r="E401" s="1928">
        <f t="shared" si="605"/>
        <v>196</v>
      </c>
      <c r="F401" s="1928">
        <f t="shared" si="605"/>
        <v>245</v>
      </c>
      <c r="G401" s="1928">
        <f t="shared" si="605"/>
        <v>203</v>
      </c>
      <c r="H401" s="1928">
        <f t="shared" si="605"/>
        <v>226</v>
      </c>
      <c r="I401" s="1928">
        <f t="shared" si="605"/>
        <v>242</v>
      </c>
      <c r="J401" s="1928">
        <f t="shared" si="605"/>
        <v>274</v>
      </c>
      <c r="K401" s="1928">
        <f t="shared" si="605"/>
        <v>332</v>
      </c>
      <c r="L401" s="1929">
        <f t="shared" si="605"/>
        <v>434</v>
      </c>
      <c r="M401" s="1929">
        <f t="shared" si="605"/>
        <v>496</v>
      </c>
      <c r="N401" s="1929">
        <f t="shared" si="605"/>
        <v>554</v>
      </c>
      <c r="O401" s="1929">
        <f t="shared" si="605"/>
        <v>644</v>
      </c>
      <c r="P401" s="1929">
        <f t="shared" si="605"/>
        <v>245</v>
      </c>
      <c r="Q401" s="1929">
        <f t="shared" si="605"/>
        <v>568</v>
      </c>
      <c r="R401" s="1929">
        <f t="shared" si="605"/>
        <v>608</v>
      </c>
      <c r="S401" s="1929">
        <f t="shared" si="605"/>
        <v>789</v>
      </c>
      <c r="T401" s="1986">
        <f>T373-T380-T386-T392</f>
        <v>822</v>
      </c>
      <c r="U401" s="1986">
        <f>U373-U380-U386-U392</f>
        <v>636</v>
      </c>
      <c r="V401" s="1986">
        <f>V373-V380-V386-V392+V397</f>
        <v>667</v>
      </c>
      <c r="W401" s="1929">
        <f>W373-W380-W386-W392+W397</f>
        <v>1018</v>
      </c>
      <c r="X401" s="1970">
        <f t="shared" ref="X401:AC401" si="606">X373-X380-X386-X392</f>
        <v>1427.261</v>
      </c>
      <c r="Y401" s="1970">
        <f t="shared" si="606"/>
        <v>1705.85</v>
      </c>
      <c r="Z401" s="1970">
        <f t="shared" si="606"/>
        <v>1916</v>
      </c>
      <c r="AA401" s="1970">
        <f t="shared" si="606"/>
        <v>418</v>
      </c>
      <c r="AB401" s="1970">
        <f t="shared" si="606"/>
        <v>1450</v>
      </c>
      <c r="AC401" s="1970">
        <f t="shared" si="606"/>
        <v>228</v>
      </c>
      <c r="AD401" s="1970">
        <f t="shared" ref="AD401:AE401" si="607">AD373-AD380-AD386-AD392</f>
        <v>-74.999999999983</v>
      </c>
      <c r="AE401" s="1970">
        <f t="shared" si="607"/>
        <v>608.934999999994</v>
      </c>
      <c r="AF401" s="1973">
        <f t="shared" ref="AF401:AG401" si="608">AF373-AF380-AF386-AF392</f>
        <v>1332</v>
      </c>
      <c r="AG401" s="1970">
        <f t="shared" si="608"/>
        <v>1654.25</v>
      </c>
      <c r="AH401" s="1970">
        <f t="shared" ref="AH401" si="609">AH373-AH380-AH386-AH392</f>
        <v>2025.5</v>
      </c>
      <c r="AI401" s="1970">
        <f t="shared" ref="AI401:AJ401" si="610">AI373-AI380-AI386-AI392</f>
        <v>2254.25</v>
      </c>
      <c r="AJ401" s="1970">
        <f t="shared" si="610"/>
        <v>2444</v>
      </c>
      <c r="AK401" s="1970">
        <f t="shared" ref="AK401" si="611">AK373-AK380-AK386-AK392</f>
        <v>2648</v>
      </c>
      <c r="AL401" s="1962"/>
      <c r="AM401" s="1246"/>
      <c r="AU401" s="1826"/>
      <c r="AV401" s="1826"/>
      <c r="AW401" s="1933"/>
      <c r="AX401" s="1933"/>
    </row>
    <row r="402" customHeight="1" spans="1:57">
      <c r="A402" s="1679" t="s">
        <v>142</v>
      </c>
      <c r="B402" s="1769"/>
      <c r="C402" s="1769"/>
      <c r="D402" s="1769">
        <f>D401/C401-1</f>
        <v>0.564885496183206</v>
      </c>
      <c r="E402" s="1769">
        <f>E401/D401-1</f>
        <v>-0.0439024390243903</v>
      </c>
      <c r="F402" s="1769">
        <f>F401/E401-1</f>
        <v>0.25</v>
      </c>
      <c r="G402" s="1769">
        <f>G401/F401-1</f>
        <v>-0.171428571428571</v>
      </c>
      <c r="H402" s="1769" t="s">
        <v>173</v>
      </c>
      <c r="I402" s="1769">
        <f t="shared" ref="I402:V402" si="612">I401/H401-1</f>
        <v>0.0707964601769913</v>
      </c>
      <c r="J402" s="1769">
        <f t="shared" si="612"/>
        <v>0.132231404958678</v>
      </c>
      <c r="K402" s="1769">
        <f t="shared" si="612"/>
        <v>0.211678832116788</v>
      </c>
      <c r="L402" s="1246">
        <f t="shared" si="612"/>
        <v>0.307228915662651</v>
      </c>
      <c r="M402" s="1246">
        <f t="shared" si="612"/>
        <v>0.142857142857143</v>
      </c>
      <c r="N402" s="1246">
        <f t="shared" si="612"/>
        <v>0.116935483870968</v>
      </c>
      <c r="O402" s="1246">
        <f t="shared" si="612"/>
        <v>0.162454873646209</v>
      </c>
      <c r="P402" s="1246">
        <f t="shared" si="612"/>
        <v>-0.619565217391304</v>
      </c>
      <c r="Q402" s="1246">
        <f t="shared" si="612"/>
        <v>1.31836734693878</v>
      </c>
      <c r="R402" s="1246">
        <f t="shared" si="612"/>
        <v>0.0704225352112675</v>
      </c>
      <c r="S402" s="1246">
        <f t="shared" si="612"/>
        <v>0.297697368421053</v>
      </c>
      <c r="T402" s="1246">
        <f t="shared" si="612"/>
        <v>0.0418250950570342</v>
      </c>
      <c r="U402" s="1246">
        <f t="shared" si="612"/>
        <v>-0.226277372262774</v>
      </c>
      <c r="V402" s="1246">
        <f t="shared" si="612"/>
        <v>0.0487421383647799</v>
      </c>
      <c r="W402" s="1246">
        <f t="shared" ref="W402:AK402" si="613">W401/V401-1</f>
        <v>0.52623688155922</v>
      </c>
      <c r="X402" s="1716">
        <f t="shared" si="613"/>
        <v>0.402024557956778</v>
      </c>
      <c r="Y402" s="1716">
        <f t="shared" si="613"/>
        <v>0.195191349024459</v>
      </c>
      <c r="Z402" s="1716">
        <f t="shared" si="613"/>
        <v>0.123193715742886</v>
      </c>
      <c r="AA402" s="1716">
        <f t="shared" si="613"/>
        <v>-0.781837160751566</v>
      </c>
      <c r="AB402" s="1716">
        <f t="shared" si="613"/>
        <v>2.4688995215311</v>
      </c>
      <c r="AC402" s="1716">
        <f t="shared" si="613"/>
        <v>-0.842758620689655</v>
      </c>
      <c r="AD402" s="1716">
        <f t="shared" si="613"/>
        <v>-1.32894736842098</v>
      </c>
      <c r="AE402" s="1716">
        <f t="shared" si="613"/>
        <v>-9.11913333333509</v>
      </c>
      <c r="AF402" s="1941">
        <f t="shared" si="613"/>
        <v>1.18742558729587</v>
      </c>
      <c r="AG402" s="1716">
        <f t="shared" si="613"/>
        <v>0.241929429429429</v>
      </c>
      <c r="AH402" s="1716">
        <f t="shared" si="613"/>
        <v>0.224421943478919</v>
      </c>
      <c r="AI402" s="1716">
        <f t="shared" si="613"/>
        <v>0.112935077758578</v>
      </c>
      <c r="AJ402" s="1716">
        <f t="shared" si="613"/>
        <v>0.0841743373627581</v>
      </c>
      <c r="AK402" s="1716">
        <f t="shared" si="613"/>
        <v>0.0834697217675946</v>
      </c>
      <c r="AL402" s="1716"/>
      <c r="AM402" s="1246"/>
      <c r="AU402" s="1826"/>
      <c r="AV402" s="1826"/>
      <c r="AW402" s="1933"/>
      <c r="AX402" s="1933"/>
    </row>
    <row r="403" customHeight="1" spans="1:57">
      <c r="A403" s="1686" t="s">
        <v>145</v>
      </c>
      <c r="B403" s="1769"/>
      <c r="C403" s="1769">
        <f t="shared" ref="C403:U403" si="614">C401/C$325</f>
        <v>0.0544019933554817</v>
      </c>
      <c r="D403" s="1769">
        <f t="shared" si="614"/>
        <v>0.0598540145985401</v>
      </c>
      <c r="E403" s="1769">
        <f t="shared" si="614"/>
        <v>0.0386969397828233</v>
      </c>
      <c r="F403" s="1769">
        <f t="shared" si="614"/>
        <v>0.0457601793051924</v>
      </c>
      <c r="G403" s="1769">
        <f t="shared" si="614"/>
        <v>0.034790059982862</v>
      </c>
      <c r="H403" s="1769">
        <f t="shared" si="614"/>
        <v>0.0369764397905759</v>
      </c>
      <c r="I403" s="1769">
        <f t="shared" si="614"/>
        <v>0.0370994940978078</v>
      </c>
      <c r="J403" s="1769">
        <f t="shared" si="614"/>
        <v>0.0437210786660284</v>
      </c>
      <c r="K403" s="1769">
        <f t="shared" si="614"/>
        <v>0.0566552901023891</v>
      </c>
      <c r="L403" s="1246">
        <f t="shared" si="614"/>
        <v>0.0654008438818565</v>
      </c>
      <c r="M403" s="1246">
        <f t="shared" si="614"/>
        <v>0.0491868306227687</v>
      </c>
      <c r="N403" s="1246">
        <f t="shared" si="614"/>
        <v>0.0537916302553646</v>
      </c>
      <c r="O403" s="1246">
        <f t="shared" si="614"/>
        <v>0.0596351514029077</v>
      </c>
      <c r="P403" s="1246">
        <f t="shared" si="614"/>
        <v>0.0236008091706001</v>
      </c>
      <c r="Q403" s="1246">
        <f t="shared" si="614"/>
        <v>0.047372810675563</v>
      </c>
      <c r="R403" s="1246">
        <f t="shared" si="614"/>
        <v>0.0456353674097425</v>
      </c>
      <c r="S403" s="1246">
        <f t="shared" si="614"/>
        <v>0.053013505341665</v>
      </c>
      <c r="T403" s="1246">
        <f t="shared" si="614"/>
        <v>0.0578669482576558</v>
      </c>
      <c r="U403" s="1246">
        <f t="shared" si="614"/>
        <v>0.043759460575203</v>
      </c>
      <c r="V403" s="1246">
        <f t="shared" ref="V403:AA403" si="615">V401/V$325</f>
        <v>0.0394324563996453</v>
      </c>
      <c r="W403" s="1246">
        <f t="shared" si="615"/>
        <v>0.0527734577501296</v>
      </c>
      <c r="X403" s="1716">
        <f t="shared" si="615"/>
        <v>0.0672665189933076</v>
      </c>
      <c r="Y403" s="1716">
        <f t="shared" si="615"/>
        <v>0.0778393794204881</v>
      </c>
      <c r="Z403" s="1716">
        <f t="shared" si="615"/>
        <v>0.081045641047333</v>
      </c>
      <c r="AA403" s="1716">
        <f t="shared" si="615"/>
        <v>0.0210643015521064</v>
      </c>
      <c r="AB403" s="1716">
        <f t="shared" ref="AB403:AG403" si="616">AB401/AB$325</f>
        <v>0.0682867099934067</v>
      </c>
      <c r="AC403" s="1716">
        <f t="shared" si="616"/>
        <v>0.0101283816800675</v>
      </c>
      <c r="AD403" s="1716">
        <f t="shared" si="616"/>
        <v>-0.00362704323435453</v>
      </c>
      <c r="AE403" s="1716">
        <f t="shared" si="616"/>
        <v>0.0264375027134978</v>
      </c>
      <c r="AF403" s="1941">
        <f t="shared" si="616"/>
        <v>0.0536858651404619</v>
      </c>
      <c r="AG403" s="1716">
        <f t="shared" si="616"/>
        <v>0.0609683484055073</v>
      </c>
      <c r="AH403" s="1716">
        <f t="shared" ref="AH403" si="617">AH401/AH$325</f>
        <v>0.0694052986209347</v>
      </c>
      <c r="AI403" s="1716">
        <f t="shared" ref="AI403:AJ403" si="618">AI401/AI$325</f>
        <v>0.0723438656218777</v>
      </c>
      <c r="AJ403" s="1716">
        <f t="shared" si="618"/>
        <v>0.0740229748775013</v>
      </c>
      <c r="AK403" s="1716">
        <f t="shared" ref="AK403" si="619">AK401/AK$325</f>
        <v>0.0756866432228276</v>
      </c>
      <c r="AL403" s="1716"/>
      <c r="AM403" s="1246"/>
      <c r="AU403" s="1826"/>
      <c r="AV403" s="1826"/>
      <c r="AW403" s="1933"/>
      <c r="AX403" s="1933"/>
    </row>
    <row r="404" s="1681" customFormat="1" ht="15.75" hidden="1" customHeight="1" spans="1:57">
      <c r="A404" s="1987" t="s">
        <v>175</v>
      </c>
      <c r="B404" s="1988"/>
      <c r="C404" s="1988">
        <f>3.54/4</f>
        <v>0.885</v>
      </c>
      <c r="D404" s="1988">
        <f>5.22/4</f>
        <v>1.305</v>
      </c>
      <c r="E404" s="1988">
        <f>4.52/4</f>
        <v>1.13</v>
      </c>
      <c r="F404" s="1988">
        <v>1.26</v>
      </c>
      <c r="G404" s="1988">
        <v>1</v>
      </c>
      <c r="H404" s="1988">
        <v>1.15</v>
      </c>
      <c r="I404" s="1988">
        <v>1.26</v>
      </c>
      <c r="J404" s="1988">
        <v>1.43</v>
      </c>
      <c r="K404" s="1988">
        <v>1.64</v>
      </c>
      <c r="L404" s="1989">
        <v>1.93</v>
      </c>
      <c r="M404" s="1989">
        <v>2.25</v>
      </c>
      <c r="N404" s="1989">
        <v>2.57</v>
      </c>
      <c r="O404" s="1989">
        <v>3.07</v>
      </c>
      <c r="P404" s="1989">
        <v>1.22</v>
      </c>
      <c r="Q404" s="1989">
        <f t="shared" ref="Q404:AA404" si="620">(Q398/Q413)</f>
        <v>2.71011536363635</v>
      </c>
      <c r="R404" s="1989">
        <f t="shared" si="620"/>
        <v>2.92998362946928</v>
      </c>
      <c r="S404" s="1989">
        <f t="shared" si="620"/>
        <v>2.51414582235048</v>
      </c>
      <c r="T404" s="1989">
        <f t="shared" si="620"/>
        <v>3.76165924370689</v>
      </c>
      <c r="U404" s="1989">
        <f t="shared" si="620"/>
        <v>2.34700792915554</v>
      </c>
      <c r="V404" s="1989">
        <f t="shared" si="620"/>
        <v>3.14087154213488</v>
      </c>
      <c r="W404" s="1989">
        <f t="shared" si="620"/>
        <v>4.93822589859073</v>
      </c>
      <c r="X404" s="1990">
        <f t="shared" si="620"/>
        <v>5.74457740479245</v>
      </c>
      <c r="Y404" s="1990">
        <f t="shared" si="620"/>
        <v>8.41817554406093</v>
      </c>
      <c r="Z404" s="1990">
        <f t="shared" si="620"/>
        <v>9.69574131211607</v>
      </c>
      <c r="AA404" s="1990">
        <f t="shared" si="620"/>
        <v>2.14188721785248</v>
      </c>
      <c r="AB404" s="1990">
        <f t="shared" ref="AB404:AG404" si="621">(AB398/AB413)</f>
        <v>7.46768295823247</v>
      </c>
      <c r="AC404" s="1990">
        <f t="shared" si="621"/>
        <v>1.24416796267496</v>
      </c>
      <c r="AD404" s="1990">
        <f t="shared" si="621"/>
        <v>-0.420168067226796</v>
      </c>
      <c r="AE404" s="1990">
        <f t="shared" si="621"/>
        <v>3.41140056022406</v>
      </c>
      <c r="AF404" s="1991">
        <f t="shared" si="621"/>
        <v>7.45971919645607</v>
      </c>
      <c r="AG404" s="1990">
        <f t="shared" si="621"/>
        <v>9.45764410280735</v>
      </c>
      <c r="AH404" s="1990">
        <f t="shared" ref="AH404" si="622">(AH398/AH413)</f>
        <v>11.9946367298456</v>
      </c>
      <c r="AI404" s="1990">
        <f t="shared" ref="AI404:AJ404" si="623">(AI398/AI413)</f>
        <v>13.8690622392587</v>
      </c>
      <c r="AJ404" s="1990">
        <f t="shared" si="623"/>
        <v>15.6457142311023</v>
      </c>
      <c r="AK404" s="1990">
        <f t="shared" ref="AK404" si="624">(AK398/AK413)</f>
        <v>17.6674910906869</v>
      </c>
      <c r="AL404" s="1990"/>
      <c r="AM404" s="1246"/>
      <c r="AN404" s="1688"/>
      <c r="AO404" s="1688"/>
      <c r="AP404" s="1688"/>
      <c r="AQ404" s="1688"/>
      <c r="AR404" s="1688"/>
      <c r="AS404" s="1688"/>
      <c r="AT404" s="1690"/>
      <c r="AU404" s="1826"/>
      <c r="AV404" s="1826"/>
      <c r="AW404" s="1933"/>
      <c r="AX404" s="1933"/>
      <c r="AY404" s="1686"/>
      <c r="AZ404" s="1686"/>
      <c r="BA404" s="1686"/>
      <c r="BB404" s="1686"/>
    </row>
    <row r="405" s="1679" customFormat="1" ht="15.75" hidden="1" customHeight="1" spans="1:57">
      <c r="A405" s="1679" t="s">
        <v>142</v>
      </c>
      <c r="B405" s="1769"/>
      <c r="C405" s="1769"/>
      <c r="D405" s="1769">
        <f>D404/C404-1</f>
        <v>0.474576271186441</v>
      </c>
      <c r="E405" s="1769">
        <f>E404/D404-1</f>
        <v>-0.134099616858238</v>
      </c>
      <c r="F405" s="1769">
        <f t="shared" ref="F405:K405" si="625">F404/E404-1</f>
        <v>0.115044247787611</v>
      </c>
      <c r="G405" s="1769">
        <f t="shared" si="625"/>
        <v>-0.206349206349206</v>
      </c>
      <c r="H405" s="1769">
        <f t="shared" si="625"/>
        <v>0.15</v>
      </c>
      <c r="I405" s="1769">
        <f t="shared" si="625"/>
        <v>0.0956521739130436</v>
      </c>
      <c r="J405" s="1769">
        <f t="shared" si="625"/>
        <v>0.134920634920635</v>
      </c>
      <c r="K405" s="1769">
        <f t="shared" si="625"/>
        <v>0.146853146853147</v>
      </c>
      <c r="L405" s="1246">
        <v>-0.142857142857143</v>
      </c>
      <c r="M405" s="1246">
        <f t="shared" ref="M405:T405" si="626">M404/L404-1</f>
        <v>0.16580310880829</v>
      </c>
      <c r="N405" s="1246">
        <f t="shared" si="626"/>
        <v>0.142222222222222</v>
      </c>
      <c r="O405" s="1246">
        <f t="shared" si="626"/>
        <v>0.194552529182879</v>
      </c>
      <c r="P405" s="1246">
        <f t="shared" si="626"/>
        <v>-0.602605863192182</v>
      </c>
      <c r="Q405" s="1246">
        <f t="shared" si="626"/>
        <v>1.2214060357675</v>
      </c>
      <c r="R405" s="1246">
        <f t="shared" si="626"/>
        <v>0.0811287477954143</v>
      </c>
      <c r="S405" s="1246">
        <f t="shared" si="626"/>
        <v>-0.141924959216966</v>
      </c>
      <c r="T405" s="1246">
        <f t="shared" si="626"/>
        <v>0.496197718631179</v>
      </c>
      <c r="U405" s="1246">
        <f t="shared" ref="U405:AK405" si="627">U404/T404-1</f>
        <v>-0.376071095997866</v>
      </c>
      <c r="V405" s="1246">
        <f t="shared" si="627"/>
        <v>0.338244964202136</v>
      </c>
      <c r="W405" s="1246">
        <f t="shared" si="627"/>
        <v>0.572247012443612</v>
      </c>
      <c r="X405" s="1716">
        <f t="shared" si="627"/>
        <v>0.163287691320852</v>
      </c>
      <c r="Y405" s="1716">
        <f t="shared" si="627"/>
        <v>0.465412501368337</v>
      </c>
      <c r="Z405" s="1716">
        <f t="shared" si="627"/>
        <v>0.151762785340877</v>
      </c>
      <c r="AA405" s="1716">
        <f t="shared" si="627"/>
        <v>-0.77908989638823</v>
      </c>
      <c r="AB405" s="1716">
        <f t="shared" si="627"/>
        <v>2.48649681271258</v>
      </c>
      <c r="AC405" s="1716">
        <f t="shared" si="627"/>
        <v>-0.83339303909476</v>
      </c>
      <c r="AD405" s="1716">
        <f t="shared" si="627"/>
        <v>-1.33771008403354</v>
      </c>
      <c r="AE405" s="1716">
        <f t="shared" si="627"/>
        <v>-9.11913333333509</v>
      </c>
      <c r="AF405" s="1941">
        <f t="shared" si="627"/>
        <v>1.18670281157664</v>
      </c>
      <c r="AG405" s="1716">
        <f t="shared" si="627"/>
        <v>0.267828433448332</v>
      </c>
      <c r="AH405" s="1716">
        <f t="shared" si="627"/>
        <v>0.268247842640346</v>
      </c>
      <c r="AI405" s="1716">
        <f t="shared" si="627"/>
        <v>0.156271969850416</v>
      </c>
      <c r="AJ405" s="1716">
        <f t="shared" si="627"/>
        <v>0.128101811153059</v>
      </c>
      <c r="AK405" s="1716">
        <f t="shared" si="627"/>
        <v>0.129222407473449</v>
      </c>
      <c r="AL405" s="1716"/>
      <c r="AM405" s="1246"/>
      <c r="AN405" s="1688"/>
      <c r="AO405" s="1688"/>
      <c r="AP405" s="1688"/>
      <c r="AQ405" s="1688"/>
      <c r="AR405" s="1688"/>
      <c r="AS405" s="1688"/>
      <c r="AT405" s="1690"/>
      <c r="AU405" s="1826"/>
      <c r="AV405" s="1826"/>
      <c r="AW405" s="1933"/>
      <c r="AX405" s="1750"/>
      <c r="AY405" s="1992"/>
      <c r="AZ405" s="1992"/>
      <c r="BA405" s="1992"/>
      <c r="BB405" s="1686"/>
      <c r="BC405" s="1797"/>
      <c r="BD405" s="1797"/>
      <c r="BE405" s="1797"/>
    </row>
    <row r="406" s="1679" customFormat="1" ht="15.75" hidden="1" customHeight="1" spans="1:57">
      <c r="A406" s="1987" t="s">
        <v>176</v>
      </c>
      <c r="B406" s="1988"/>
      <c r="C406" s="1988">
        <f>3.54/4</f>
        <v>0.885</v>
      </c>
      <c r="D406" s="1988">
        <f>5.22/4</f>
        <v>1.305</v>
      </c>
      <c r="E406" s="1988">
        <f>4.52/4</f>
        <v>1.13</v>
      </c>
      <c r="F406" s="1988">
        <v>1.26</v>
      </c>
      <c r="G406" s="1988">
        <v>1</v>
      </c>
      <c r="H406" s="1988">
        <v>1.15</v>
      </c>
      <c r="I406" s="1988">
        <v>1.26</v>
      </c>
      <c r="J406" s="1988">
        <v>1.43</v>
      </c>
      <c r="K406" s="1988">
        <v>1.72</v>
      </c>
      <c r="L406" s="1989">
        <v>2.05</v>
      </c>
      <c r="M406" s="1989">
        <v>2.37</v>
      </c>
      <c r="N406" s="1989">
        <v>2.71</v>
      </c>
      <c r="O406" s="1989">
        <v>3.25</v>
      </c>
      <c r="P406" s="1989">
        <v>1.25</v>
      </c>
      <c r="Q406" s="1989">
        <f t="shared" ref="Q406:AA406" si="628">Q398/Q415</f>
        <v>2.71011536363635</v>
      </c>
      <c r="R406" s="1989">
        <f t="shared" si="628"/>
        <v>2.92998362946928</v>
      </c>
      <c r="S406" s="1989">
        <f t="shared" si="628"/>
        <v>2.51414582235048</v>
      </c>
      <c r="T406" s="1989">
        <f t="shared" si="628"/>
        <v>3.76165924370689</v>
      </c>
      <c r="U406" s="1989">
        <f t="shared" si="628"/>
        <v>2.34700792915554</v>
      </c>
      <c r="V406" s="1989">
        <f t="shared" si="628"/>
        <v>3.14087154213488</v>
      </c>
      <c r="W406" s="1989">
        <f t="shared" si="628"/>
        <v>5.08521288229686</v>
      </c>
      <c r="X406" s="1990">
        <f t="shared" si="628"/>
        <v>5.77324320613865</v>
      </c>
      <c r="Y406" s="1990">
        <f t="shared" si="628"/>
        <v>8.43010720711343</v>
      </c>
      <c r="Z406" s="1990">
        <f t="shared" si="628"/>
        <v>9.69606186046982</v>
      </c>
      <c r="AA406" s="1990">
        <f t="shared" si="628"/>
        <v>2.14182136799873</v>
      </c>
      <c r="AB406" s="1990">
        <f t="shared" ref="AB406:AG406" si="629">AB398/AB415</f>
        <v>7.46729838294365</v>
      </c>
      <c r="AC406" s="1990">
        <f t="shared" si="629"/>
        <v>1.24416796267496</v>
      </c>
      <c r="AD406" s="1990">
        <f t="shared" si="629"/>
        <v>-0.420068051024171</v>
      </c>
      <c r="AE406" s="1990">
        <f t="shared" si="629"/>
        <v>3.41025425627237</v>
      </c>
      <c r="AF406" s="1991">
        <f t="shared" si="629"/>
        <v>7.45946854086747</v>
      </c>
      <c r="AG406" s="1990">
        <f t="shared" si="629"/>
        <v>9.45784687358651</v>
      </c>
      <c r="AH406" s="1990">
        <f t="shared" ref="AH406" si="630">AH398/AH415</f>
        <v>11.9949030983446</v>
      </c>
      <c r="AI406" s="1990">
        <f t="shared" ref="AI406:AJ406" si="631">AI398/AI415</f>
        <v>13.8693822270462</v>
      </c>
      <c r="AJ406" s="1990">
        <f t="shared" si="631"/>
        <v>15.6460898360282</v>
      </c>
      <c r="AK406" s="1990">
        <f t="shared" ref="AK406" si="632">AK398/AK415</f>
        <v>17.6679331432522</v>
      </c>
      <c r="AL406" s="1990"/>
      <c r="AM406" s="1246"/>
      <c r="AN406" s="1688"/>
      <c r="AO406" s="1688"/>
      <c r="AP406" s="1688"/>
      <c r="AQ406" s="1688"/>
      <c r="AR406" s="1688"/>
      <c r="AS406" s="1688"/>
      <c r="AT406" s="1690"/>
      <c r="AU406" s="1826"/>
      <c r="AV406" s="1826"/>
      <c r="AW406" s="1933"/>
      <c r="AX406" s="1681"/>
      <c r="BB406" s="1686"/>
      <c r="BC406" s="1681"/>
      <c r="BD406" s="1681"/>
      <c r="BE406" s="1681"/>
    </row>
    <row r="407" s="1679" customFormat="1" ht="15.75" hidden="1" customHeight="1" spans="1:57">
      <c r="A407" s="1679" t="s">
        <v>142</v>
      </c>
      <c r="B407" s="1769"/>
      <c r="C407" s="1769"/>
      <c r="D407" s="1769">
        <f>D406/C406-1</f>
        <v>0.474576271186441</v>
      </c>
      <c r="E407" s="1769">
        <f>E406/D406-1</f>
        <v>-0.134099616858238</v>
      </c>
      <c r="F407" s="1769">
        <f>F406/E406-1</f>
        <v>0.115044247787611</v>
      </c>
      <c r="G407" s="1769">
        <f>G406/F406-1</f>
        <v>-0.206349206349206</v>
      </c>
      <c r="H407" s="1769">
        <f>H406/G406-1</f>
        <v>0.15</v>
      </c>
      <c r="I407" s="1769">
        <f t="shared" ref="I407:Q407" si="633">I406/H406-1</f>
        <v>0.0956521739130436</v>
      </c>
      <c r="J407" s="1769">
        <f t="shared" si="633"/>
        <v>0.134920634920635</v>
      </c>
      <c r="K407" s="1769">
        <f t="shared" si="633"/>
        <v>0.202797202797203</v>
      </c>
      <c r="L407" s="1246">
        <f t="shared" si="633"/>
        <v>0.191860465116279</v>
      </c>
      <c r="M407" s="1246">
        <f t="shared" si="633"/>
        <v>0.15609756097561</v>
      </c>
      <c r="N407" s="1246">
        <f t="shared" si="633"/>
        <v>0.143459915611814</v>
      </c>
      <c r="O407" s="1246">
        <f t="shared" si="633"/>
        <v>0.199261992619926</v>
      </c>
      <c r="P407" s="1246">
        <f t="shared" si="633"/>
        <v>-0.615384615384615</v>
      </c>
      <c r="Q407" s="1246">
        <f t="shared" si="633"/>
        <v>1.16809229090908</v>
      </c>
      <c r="R407" s="1246">
        <f t="shared" ref="R407:AK407" si="634">R406/Q406-1</f>
        <v>0.0811287477954143</v>
      </c>
      <c r="S407" s="1246">
        <f t="shared" si="634"/>
        <v>-0.141924959216966</v>
      </c>
      <c r="T407" s="1246">
        <f t="shared" si="634"/>
        <v>0.496197718631179</v>
      </c>
      <c r="U407" s="1246">
        <f t="shared" si="634"/>
        <v>-0.376071095997866</v>
      </c>
      <c r="V407" s="1246">
        <f t="shared" si="634"/>
        <v>0.338244964202136</v>
      </c>
      <c r="W407" s="1246">
        <f t="shared" si="634"/>
        <v>0.619045164400577</v>
      </c>
      <c r="X407" s="1716">
        <f t="shared" si="634"/>
        <v>0.135300200752071</v>
      </c>
      <c r="Y407" s="1716">
        <f t="shared" si="634"/>
        <v>0.460203027329553</v>
      </c>
      <c r="Z407" s="1716">
        <f t="shared" si="634"/>
        <v>0.150170646974473</v>
      </c>
      <c r="AA407" s="1716">
        <f t="shared" si="634"/>
        <v>-0.779103990999605</v>
      </c>
      <c r="AB407" s="1716">
        <f t="shared" si="634"/>
        <v>2.48642444907576</v>
      </c>
      <c r="AC407" s="1716">
        <f t="shared" si="634"/>
        <v>-0.833384458626052</v>
      </c>
      <c r="AD407" s="1716">
        <f t="shared" si="634"/>
        <v>-1.33762969601068</v>
      </c>
      <c r="AE407" s="1716">
        <f t="shared" si="634"/>
        <v>-9.11833760734196</v>
      </c>
      <c r="AF407" s="1941">
        <f t="shared" si="634"/>
        <v>1.18736433717442</v>
      </c>
      <c r="AG407" s="1716">
        <f t="shared" si="634"/>
        <v>0.267898218454936</v>
      </c>
      <c r="AH407" s="1716">
        <f t="shared" si="634"/>
        <v>0.268248815895246</v>
      </c>
      <c r="AI407" s="1716">
        <f t="shared" si="634"/>
        <v>0.156272969721639</v>
      </c>
      <c r="AJ407" s="1716">
        <f t="shared" si="634"/>
        <v>0.12810286571505</v>
      </c>
      <c r="AK407" s="1716">
        <f t="shared" si="634"/>
        <v>0.129223552236561</v>
      </c>
      <c r="AL407" s="1716"/>
      <c r="AM407" s="1246"/>
      <c r="AN407" s="1688"/>
      <c r="AO407" s="1688"/>
      <c r="AP407" s="1688"/>
      <c r="AQ407" s="1688"/>
      <c r="AR407" s="1688"/>
      <c r="AS407" s="1688"/>
      <c r="AT407" s="1690"/>
      <c r="AU407" s="1826"/>
      <c r="AV407" s="1826"/>
      <c r="AW407" s="1933"/>
      <c r="AX407" s="1750"/>
      <c r="BC407" s="1750"/>
      <c r="BD407" s="1750"/>
      <c r="BE407" s="1750"/>
    </row>
    <row r="408" s="1679" customFormat="1" customHeight="1" spans="1:57">
      <c r="A408" s="1993" t="s">
        <v>177</v>
      </c>
      <c r="B408" s="1994"/>
      <c r="C408" s="1994">
        <f t="shared" ref="C408:R408" si="635">C398/C413</f>
        <v>0.885</v>
      </c>
      <c r="D408" s="1994">
        <f t="shared" si="635"/>
        <v>1.305</v>
      </c>
      <c r="E408" s="1994">
        <f t="shared" si="635"/>
        <v>1.13</v>
      </c>
      <c r="F408" s="1994">
        <f t="shared" si="635"/>
        <v>1.26</v>
      </c>
      <c r="G408" s="1994">
        <f t="shared" si="635"/>
        <v>1</v>
      </c>
      <c r="H408" s="1994">
        <f t="shared" si="635"/>
        <v>1.15</v>
      </c>
      <c r="I408" s="1994">
        <f t="shared" si="635"/>
        <v>1.26</v>
      </c>
      <c r="J408" s="1994">
        <f t="shared" si="635"/>
        <v>1.43</v>
      </c>
      <c r="K408" s="1994">
        <f t="shared" si="635"/>
        <v>1.64</v>
      </c>
      <c r="L408" s="1995">
        <f t="shared" si="635"/>
        <v>1.93</v>
      </c>
      <c r="M408" s="1995">
        <f t="shared" si="635"/>
        <v>2.25</v>
      </c>
      <c r="N408" s="1995">
        <f t="shared" si="635"/>
        <v>2.57</v>
      </c>
      <c r="O408" s="1995">
        <f t="shared" si="635"/>
        <v>3.07</v>
      </c>
      <c r="P408" s="1995">
        <f t="shared" si="635"/>
        <v>1.17091541689368</v>
      </c>
      <c r="Q408" s="1995">
        <f t="shared" si="635"/>
        <v>2.71011536363635</v>
      </c>
      <c r="R408" s="1995">
        <f t="shared" si="635"/>
        <v>2.92998362946928</v>
      </c>
      <c r="S408" s="1995">
        <f>S401/S413</f>
        <v>3.77121873352571</v>
      </c>
      <c r="T408" s="1995">
        <f>T401/T413</f>
        <v>3.92895031553629</v>
      </c>
      <c r="U408" s="1995">
        <f>U401/U413</f>
        <v>3.04632049580188</v>
      </c>
      <c r="V408" s="1995">
        <f>V394/V413</f>
        <v>3.36911813129476</v>
      </c>
      <c r="W408" s="1995">
        <f>W401/W413</f>
        <v>4.93822589859073</v>
      </c>
      <c r="X408" s="1996">
        <f t="shared" ref="X408:AC408" si="636">X394/X413</f>
        <v>6.98822452237096</v>
      </c>
      <c r="Y408" s="1996">
        <f t="shared" si="636"/>
        <v>8.44292251041323</v>
      </c>
      <c r="Z408" s="1996">
        <f t="shared" si="636"/>
        <v>9.69574131211607</v>
      </c>
      <c r="AA408" s="1996">
        <f t="shared" si="636"/>
        <v>2.14188721785248</v>
      </c>
      <c r="AB408" s="1996">
        <f t="shared" si="636"/>
        <v>7.46768295823247</v>
      </c>
      <c r="AC408" s="1996">
        <f t="shared" si="636"/>
        <v>1.24416796267496</v>
      </c>
      <c r="AD408" s="1996">
        <f t="shared" ref="AD408:AE408" si="637">AD394/AD413</f>
        <v>-0.420168067226796</v>
      </c>
      <c r="AE408" s="1996">
        <f t="shared" si="637"/>
        <v>3.41140056022406</v>
      </c>
      <c r="AF408" s="1997">
        <f t="shared" ref="AF408:AG408" si="638">AF394/AF413</f>
        <v>7.45971919645607</v>
      </c>
      <c r="AG408" s="1996">
        <f t="shared" si="638"/>
        <v>9.45764410280735</v>
      </c>
      <c r="AH408" s="1996">
        <f t="shared" ref="AH408" si="639">AH394/AH413</f>
        <v>11.9946367298456</v>
      </c>
      <c r="AI408" s="1996">
        <f t="shared" ref="AI408:AJ408" si="640">AI394/AI413</f>
        <v>13.8690622392587</v>
      </c>
      <c r="AJ408" s="1996">
        <f t="shared" si="640"/>
        <v>15.6457142311023</v>
      </c>
      <c r="AK408" s="1996">
        <f t="shared" ref="AK408" si="641">AK394/AK413</f>
        <v>17.6674910906869</v>
      </c>
      <c r="AL408" s="1990"/>
      <c r="AM408" s="1246"/>
      <c r="AN408" s="1688"/>
      <c r="AO408" s="1688"/>
      <c r="AP408" s="1688"/>
      <c r="AQ408" s="1688"/>
      <c r="AR408" s="1688"/>
      <c r="AS408" s="1688"/>
      <c r="AT408" s="1690"/>
      <c r="AU408" s="1826"/>
      <c r="AV408" s="1826"/>
      <c r="AW408" s="1933"/>
      <c r="AX408" s="1750"/>
      <c r="BC408" s="1750"/>
      <c r="BD408" s="1750"/>
      <c r="BE408" s="1750"/>
    </row>
    <row r="409" s="1679" customFormat="1" customHeight="1" spans="1:57">
      <c r="A409" s="1679" t="s">
        <v>142</v>
      </c>
      <c r="B409" s="1769"/>
      <c r="C409" s="1769" t="e">
        <f t="shared" ref="C409:K409" si="642">C408/B408-1</f>
        <v>#DIV/0!</v>
      </c>
      <c r="D409" s="1769">
        <f t="shared" si="642"/>
        <v>0.474576271186441</v>
      </c>
      <c r="E409" s="1769">
        <f t="shared" si="642"/>
        <v>-0.134099616858238</v>
      </c>
      <c r="F409" s="1769">
        <f t="shared" si="642"/>
        <v>0.115044247787611</v>
      </c>
      <c r="G409" s="1769">
        <f t="shared" si="642"/>
        <v>-0.206349206349206</v>
      </c>
      <c r="H409" s="1769">
        <f t="shared" si="642"/>
        <v>0.15</v>
      </c>
      <c r="I409" s="1769">
        <f t="shared" si="642"/>
        <v>0.0956521739130436</v>
      </c>
      <c r="J409" s="1769">
        <f t="shared" si="642"/>
        <v>0.134920634920635</v>
      </c>
      <c r="K409" s="1769">
        <f t="shared" si="642"/>
        <v>0.146853146853147</v>
      </c>
      <c r="L409" s="1246">
        <f t="shared" ref="L409:S409" si="643">L408/K408-1</f>
        <v>0.176829268292683</v>
      </c>
      <c r="M409" s="1246">
        <f t="shared" si="643"/>
        <v>0.16580310880829</v>
      </c>
      <c r="N409" s="1246">
        <f t="shared" si="643"/>
        <v>0.142222222222222</v>
      </c>
      <c r="O409" s="1246">
        <f t="shared" si="643"/>
        <v>0.194552529182879</v>
      </c>
      <c r="P409" s="1246">
        <f t="shared" si="643"/>
        <v>-0.618594326744729</v>
      </c>
      <c r="Q409" s="1246">
        <f t="shared" si="643"/>
        <v>1.31452701410834</v>
      </c>
      <c r="R409" s="1246">
        <f t="shared" si="643"/>
        <v>0.0811287477954143</v>
      </c>
      <c r="S409" s="1246">
        <f t="shared" si="643"/>
        <v>0.287112561174552</v>
      </c>
      <c r="T409" s="1246">
        <f t="shared" ref="T409:AK409" si="644">T408/S408-1</f>
        <v>0.0418250950570342</v>
      </c>
      <c r="U409" s="1246">
        <f t="shared" si="644"/>
        <v>-0.224647742742946</v>
      </c>
      <c r="V409" s="1246">
        <f t="shared" si="644"/>
        <v>0.105963123688964</v>
      </c>
      <c r="W409" s="1246">
        <f t="shared" si="644"/>
        <v>0.465732487300157</v>
      </c>
      <c r="X409" s="1716">
        <f t="shared" si="644"/>
        <v>0.415128563552603</v>
      </c>
      <c r="Y409" s="1716">
        <f t="shared" si="644"/>
        <v>0.208164174374398</v>
      </c>
      <c r="Z409" s="1716">
        <f t="shared" si="644"/>
        <v>0.148386864875007</v>
      </c>
      <c r="AA409" s="1716">
        <f t="shared" si="644"/>
        <v>-0.77908989638823</v>
      </c>
      <c r="AB409" s="1716">
        <f t="shared" si="644"/>
        <v>2.48649681271258</v>
      </c>
      <c r="AC409" s="1716">
        <f t="shared" si="644"/>
        <v>-0.83339303909476</v>
      </c>
      <c r="AD409" s="1716">
        <f t="shared" si="644"/>
        <v>-1.33771008403354</v>
      </c>
      <c r="AE409" s="1716">
        <f t="shared" si="644"/>
        <v>-9.11913333333509</v>
      </c>
      <c r="AF409" s="1941">
        <f t="shared" si="644"/>
        <v>1.18670281157664</v>
      </c>
      <c r="AG409" s="1716">
        <f t="shared" si="644"/>
        <v>0.267828433448332</v>
      </c>
      <c r="AH409" s="1716">
        <f t="shared" si="644"/>
        <v>0.268247842640346</v>
      </c>
      <c r="AI409" s="1716">
        <f t="shared" si="644"/>
        <v>0.156271969850416</v>
      </c>
      <c r="AJ409" s="1716">
        <f t="shared" si="644"/>
        <v>0.128101811153059</v>
      </c>
      <c r="AK409" s="1716">
        <f t="shared" si="644"/>
        <v>0.129222407473449</v>
      </c>
      <c r="AL409" s="1716"/>
      <c r="AM409" s="1246"/>
      <c r="AN409" s="1688"/>
      <c r="AO409" s="1688"/>
      <c r="AP409" s="1688"/>
      <c r="AQ409" s="1688"/>
      <c r="AR409" s="1688"/>
      <c r="AS409" s="1688"/>
      <c r="AT409" s="1690"/>
      <c r="AU409" s="1826"/>
      <c r="AV409" s="1826"/>
      <c r="AW409" s="1933"/>
      <c r="AX409" s="1750"/>
      <c r="BC409" s="1750"/>
      <c r="BD409" s="1750"/>
      <c r="BE409" s="1750"/>
    </row>
    <row r="410" s="1679" customFormat="1" customHeight="1" spans="1:57">
      <c r="A410" s="1987" t="s">
        <v>178</v>
      </c>
      <c r="B410" s="1988"/>
      <c r="C410" s="1988">
        <f t="shared" ref="C410:R410" si="645">C398/C415</f>
        <v>0.885</v>
      </c>
      <c r="D410" s="1988">
        <f t="shared" si="645"/>
        <v>1.305</v>
      </c>
      <c r="E410" s="1988">
        <f t="shared" si="645"/>
        <v>1.13</v>
      </c>
      <c r="F410" s="1988">
        <f t="shared" si="645"/>
        <v>1.26</v>
      </c>
      <c r="G410" s="1988">
        <f t="shared" si="645"/>
        <v>1</v>
      </c>
      <c r="H410" s="1988">
        <f t="shared" si="645"/>
        <v>1.15</v>
      </c>
      <c r="I410" s="1988">
        <f t="shared" si="645"/>
        <v>1.26</v>
      </c>
      <c r="J410" s="1988">
        <f t="shared" si="645"/>
        <v>1.43</v>
      </c>
      <c r="K410" s="1988">
        <f t="shared" si="645"/>
        <v>1.72</v>
      </c>
      <c r="L410" s="1989">
        <f t="shared" si="645"/>
        <v>2.05</v>
      </c>
      <c r="M410" s="1989">
        <f t="shared" si="645"/>
        <v>2.37</v>
      </c>
      <c r="N410" s="1989">
        <f t="shared" si="645"/>
        <v>2.71</v>
      </c>
      <c r="O410" s="1989">
        <f t="shared" si="645"/>
        <v>3.25</v>
      </c>
      <c r="P410" s="1989">
        <f t="shared" si="645"/>
        <v>1.25</v>
      </c>
      <c r="Q410" s="1989">
        <f t="shared" si="645"/>
        <v>2.71011536363635</v>
      </c>
      <c r="R410" s="1989">
        <f t="shared" si="645"/>
        <v>2.92998362946928</v>
      </c>
      <c r="S410" s="1989">
        <f>S401/S415</f>
        <v>3.77121873352571</v>
      </c>
      <c r="T410" s="1989">
        <f>T401/T415</f>
        <v>3.92895031553629</v>
      </c>
      <c r="U410" s="1989">
        <f>U401/U415</f>
        <v>3.04632049580188</v>
      </c>
      <c r="V410" s="1989">
        <f>V394/V415</f>
        <v>3.36911813129476</v>
      </c>
      <c r="W410" s="1989">
        <f>W401/W415</f>
        <v>5.08521288229686</v>
      </c>
      <c r="X410" s="1990">
        <f t="shared" ref="X410:AC410" si="646">X394/X415</f>
        <v>7.02309620079134</v>
      </c>
      <c r="Y410" s="1990">
        <f t="shared" si="646"/>
        <v>8.45488924905456</v>
      </c>
      <c r="Z410" s="1990">
        <f t="shared" si="646"/>
        <v>9.69606186046982</v>
      </c>
      <c r="AA410" s="1990">
        <f t="shared" si="646"/>
        <v>2.14182136799873</v>
      </c>
      <c r="AB410" s="1990">
        <f t="shared" si="646"/>
        <v>7.46729838294365</v>
      </c>
      <c r="AC410" s="1990">
        <f t="shared" si="646"/>
        <v>1.24416796267496</v>
      </c>
      <c r="AD410" s="1990">
        <f t="shared" ref="AD410:AE410" si="647">AD394/AD415</f>
        <v>-0.420068051024171</v>
      </c>
      <c r="AE410" s="1990">
        <f t="shared" si="647"/>
        <v>3.41025425627237</v>
      </c>
      <c r="AF410" s="1991">
        <f t="shared" ref="AF410:AG410" si="648">AF394/AF415</f>
        <v>7.45946854086747</v>
      </c>
      <c r="AG410" s="1990">
        <f t="shared" si="648"/>
        <v>9.45784687358651</v>
      </c>
      <c r="AH410" s="1990">
        <f t="shared" ref="AH410" si="649">AH394/AH415</f>
        <v>11.9949030983446</v>
      </c>
      <c r="AI410" s="1990">
        <f t="shared" ref="AI410:AJ410" si="650">AI394/AI415</f>
        <v>13.8693822270462</v>
      </c>
      <c r="AJ410" s="1990">
        <f t="shared" si="650"/>
        <v>15.6460898360282</v>
      </c>
      <c r="AK410" s="1990">
        <f t="shared" ref="AK410" si="651">AK394/AK415</f>
        <v>17.6679331432522</v>
      </c>
      <c r="AL410" s="1990"/>
      <c r="AM410" s="1246"/>
      <c r="AN410" s="1736"/>
      <c r="AO410" s="1688"/>
      <c r="AP410" s="1688"/>
      <c r="AQ410" s="1688"/>
      <c r="AR410" s="1688"/>
      <c r="AS410" s="1688"/>
      <c r="AT410" s="1690"/>
      <c r="AU410" s="1826"/>
      <c r="AV410" s="1826"/>
      <c r="AW410" s="1933"/>
      <c r="AX410" s="1750"/>
      <c r="BC410" s="1750"/>
      <c r="BD410" s="1750"/>
      <c r="BE410" s="1750"/>
    </row>
    <row r="411" s="1679" customFormat="1" customHeight="1" spans="1:57">
      <c r="A411" s="1679" t="s">
        <v>142</v>
      </c>
      <c r="B411" s="1769"/>
      <c r="C411" s="1769" t="e">
        <f t="shared" ref="C411:L411" si="652">C410/B410-1</f>
        <v>#DIV/0!</v>
      </c>
      <c r="D411" s="1769">
        <f t="shared" si="652"/>
        <v>0.474576271186441</v>
      </c>
      <c r="E411" s="1769">
        <f t="shared" si="652"/>
        <v>-0.134099616858238</v>
      </c>
      <c r="F411" s="1769">
        <f t="shared" si="652"/>
        <v>0.115044247787611</v>
      </c>
      <c r="G411" s="1769">
        <f t="shared" si="652"/>
        <v>-0.206349206349206</v>
      </c>
      <c r="H411" s="1769">
        <f t="shared" si="652"/>
        <v>0.15</v>
      </c>
      <c r="I411" s="1769">
        <f t="shared" si="652"/>
        <v>0.0956521739130436</v>
      </c>
      <c r="J411" s="1769">
        <f t="shared" si="652"/>
        <v>0.134920634920635</v>
      </c>
      <c r="K411" s="1769">
        <f t="shared" si="652"/>
        <v>0.202797202797203</v>
      </c>
      <c r="L411" s="1246">
        <f t="shared" si="652"/>
        <v>0.191860465116279</v>
      </c>
      <c r="M411" s="1246">
        <f t="shared" ref="M411:R411" si="653">M410/L410-1</f>
        <v>0.15609756097561</v>
      </c>
      <c r="N411" s="1246">
        <f t="shared" si="653"/>
        <v>0.143459915611814</v>
      </c>
      <c r="O411" s="1246">
        <f t="shared" si="653"/>
        <v>0.199261992619926</v>
      </c>
      <c r="P411" s="1246">
        <f t="shared" si="653"/>
        <v>-0.615384615384615</v>
      </c>
      <c r="Q411" s="1246">
        <f t="shared" si="653"/>
        <v>1.16809229090908</v>
      </c>
      <c r="R411" s="1246">
        <f t="shared" si="653"/>
        <v>0.0811287477954143</v>
      </c>
      <c r="S411" s="1246">
        <f t="shared" ref="S411:AK411" si="654">S410/R410-1</f>
        <v>0.287112561174552</v>
      </c>
      <c r="T411" s="1246">
        <f t="shared" si="654"/>
        <v>0.0418250950570342</v>
      </c>
      <c r="U411" s="1246">
        <f t="shared" si="654"/>
        <v>-0.224647742742946</v>
      </c>
      <c r="V411" s="1246">
        <f t="shared" si="654"/>
        <v>0.105963123688964</v>
      </c>
      <c r="W411" s="1246">
        <f t="shared" si="654"/>
        <v>0.509360219536915</v>
      </c>
      <c r="X411" s="1716">
        <f t="shared" si="654"/>
        <v>0.381082043829636</v>
      </c>
      <c r="Y411" s="1716">
        <f t="shared" si="654"/>
        <v>0.203869206305601</v>
      </c>
      <c r="Z411" s="1716">
        <f t="shared" si="654"/>
        <v>0.146799393209563</v>
      </c>
      <c r="AA411" s="1716">
        <f t="shared" si="654"/>
        <v>-0.779103990999605</v>
      </c>
      <c r="AB411" s="1716">
        <f t="shared" si="654"/>
        <v>2.48642444907576</v>
      </c>
      <c r="AC411" s="1716">
        <f t="shared" si="654"/>
        <v>-0.833384458626052</v>
      </c>
      <c r="AD411" s="1716">
        <f t="shared" si="654"/>
        <v>-1.33762969601068</v>
      </c>
      <c r="AE411" s="1716">
        <f t="shared" si="654"/>
        <v>-9.11833760734196</v>
      </c>
      <c r="AF411" s="1941">
        <f t="shared" si="654"/>
        <v>1.18736433717442</v>
      </c>
      <c r="AG411" s="1716">
        <f t="shared" si="654"/>
        <v>0.267898218454936</v>
      </c>
      <c r="AH411" s="1716">
        <f t="shared" si="654"/>
        <v>0.268248815895246</v>
      </c>
      <c r="AI411" s="1716">
        <f t="shared" si="654"/>
        <v>0.156272969721639</v>
      </c>
      <c r="AJ411" s="1716">
        <f t="shared" si="654"/>
        <v>0.12810286571505</v>
      </c>
      <c r="AK411" s="1716">
        <f t="shared" si="654"/>
        <v>0.129223552236561</v>
      </c>
      <c r="AL411" s="1716"/>
      <c r="AM411" s="1246"/>
      <c r="AN411" s="1688"/>
      <c r="AO411" s="1688"/>
      <c r="AP411" s="1688"/>
      <c r="AQ411" s="1688"/>
      <c r="AR411" s="1688"/>
      <c r="AS411" s="1688"/>
      <c r="AT411" s="1690"/>
      <c r="AU411" s="1826"/>
      <c r="AV411" s="1826"/>
      <c r="AW411" s="1933"/>
      <c r="AX411" s="1750"/>
      <c r="BC411" s="1750"/>
      <c r="BD411" s="1750"/>
      <c r="BE411" s="1750"/>
    </row>
    <row r="412" ht="17.6" spans="1:57">
      <c r="A412" s="1686" t="s">
        <v>179</v>
      </c>
      <c r="B412" s="1998"/>
      <c r="C412" s="1998"/>
      <c r="D412" s="1998"/>
      <c r="E412" s="1998"/>
      <c r="F412" s="1998"/>
      <c r="G412" s="1998"/>
      <c r="H412" s="1998"/>
      <c r="I412" s="1998"/>
      <c r="J412" s="1998"/>
      <c r="K412" s="1998"/>
      <c r="L412" s="1999"/>
      <c r="M412" s="1999"/>
      <c r="W412" s="1715"/>
      <c r="Y412" s="1246"/>
      <c r="Z412" s="1246"/>
      <c r="AC412" s="1688">
        <v>180</v>
      </c>
      <c r="AD412" s="1688">
        <v>178.5</v>
      </c>
      <c r="AE412" s="1688">
        <f>AD412</f>
        <v>178.5</v>
      </c>
      <c r="AF412" s="1689">
        <f>AE412+('Balance Sheet &amp; Cash Flow'!AG117/100)</f>
        <v>178.49</v>
      </c>
      <c r="AG412" s="1688">
        <f>Interim!IW457</f>
        <v>172.031696969697</v>
      </c>
      <c r="AH412" s="1688">
        <f>AG412+('Balance Sheet &amp; Cash Flow'!AI117/158)</f>
        <v>165.702583045646</v>
      </c>
      <c r="AI412" s="1688">
        <f>AH412+('Balance Sheet &amp; Cash Flow'!AJ117/158)</f>
        <v>159.373469121596</v>
      </c>
      <c r="AJ412" s="1688">
        <f>AI412+('Balance Sheet &amp; Cash Flow'!AK117/158)</f>
        <v>153.044355197545</v>
      </c>
      <c r="AK412" s="1688">
        <f>AJ412+('Balance Sheet &amp; Cash Flow'!AL117/158)</f>
        <v>146.715241273494</v>
      </c>
      <c r="AM412" s="1246"/>
      <c r="AU412" s="1826"/>
      <c r="AV412" s="1826"/>
      <c r="AW412" s="1933"/>
      <c r="AY412" s="1679"/>
      <c r="AZ412" s="1679"/>
      <c r="BA412" s="1679"/>
    </row>
    <row r="413" customHeight="1" spans="1:57">
      <c r="A413" s="1678" t="s">
        <v>180</v>
      </c>
      <c r="B413" s="1756"/>
      <c r="C413" s="1756">
        <f t="shared" ref="C413:O413" si="655">C398/C404</f>
        <v>181.920903954802</v>
      </c>
      <c r="D413" s="1756">
        <f t="shared" si="655"/>
        <v>181.609195402299</v>
      </c>
      <c r="E413" s="1756">
        <f t="shared" si="655"/>
        <v>181.41592920354</v>
      </c>
      <c r="F413" s="1756">
        <f t="shared" si="655"/>
        <v>180.952380952381</v>
      </c>
      <c r="G413" s="1756">
        <f t="shared" si="655"/>
        <v>182</v>
      </c>
      <c r="H413" s="1756">
        <f t="shared" si="655"/>
        <v>180.869565217391</v>
      </c>
      <c r="I413" s="1756">
        <f t="shared" si="655"/>
        <v>181.746031746032</v>
      </c>
      <c r="J413" s="1756">
        <f t="shared" si="655"/>
        <v>181.818181818182</v>
      </c>
      <c r="K413" s="1756">
        <f t="shared" si="655"/>
        <v>191.463414634146</v>
      </c>
      <c r="L413" s="1772">
        <f t="shared" si="655"/>
        <v>198.445595854922</v>
      </c>
      <c r="M413" s="1772">
        <f t="shared" si="655"/>
        <v>214.666666666667</v>
      </c>
      <c r="N413" s="1772">
        <f t="shared" si="655"/>
        <v>214.396887159533</v>
      </c>
      <c r="O413" s="1772">
        <f t="shared" si="655"/>
        <v>209.120521172638</v>
      </c>
      <c r="P413" s="1772">
        <v>209.238</v>
      </c>
      <c r="Q413" s="1772">
        <f>+Q415</f>
        <v>209.216186</v>
      </c>
      <c r="R413" s="1772">
        <f>+R415</f>
        <v>209.216186</v>
      </c>
      <c r="S413" s="1772">
        <f>S$415</f>
        <v>209.216186</v>
      </c>
      <c r="T413" s="1772">
        <f>T$415</f>
        <v>209.216186</v>
      </c>
      <c r="U413" s="1772">
        <v>208.776457</v>
      </c>
      <c r="V413" s="1772">
        <f>Interim!FM455</f>
        <v>201.536418</v>
      </c>
      <c r="W413" s="1772">
        <f>Interim!FU455</f>
        <v>206.146908</v>
      </c>
      <c r="X413" s="1772">
        <f>Interim!GC455</f>
        <v>204.238</v>
      </c>
      <c r="Y413" s="1772">
        <f>Interim!GK455</f>
        <v>202.044967</v>
      </c>
      <c r="Z413" s="1772">
        <v>197.612533</v>
      </c>
      <c r="AA413" s="1772">
        <v>195.155</v>
      </c>
      <c r="AB413" s="1772">
        <f>Interim!HI455</f>
        <v>194.17</v>
      </c>
      <c r="AC413" s="1772">
        <f>Interim!HQ455</f>
        <v>183.255</v>
      </c>
      <c r="AD413" s="1772">
        <f>Interim!HY455</f>
        <v>178.5</v>
      </c>
      <c r="AE413" s="1772">
        <f>Interim!IG455</f>
        <v>178.5</v>
      </c>
      <c r="AF413" s="1820">
        <v>178.559</v>
      </c>
      <c r="AG413" s="1772">
        <f>Interim!IW455</f>
        <v>174.911424242424</v>
      </c>
      <c r="AH413" s="1772">
        <f>(AH412+AG412)/2</f>
        <v>168.867140007672</v>
      </c>
      <c r="AI413" s="1772">
        <f t="shared" ref="AI413:AK413" si="656">(AI412+AH412)/2</f>
        <v>162.538026083621</v>
      </c>
      <c r="AJ413" s="1772">
        <f t="shared" si="656"/>
        <v>156.20891215957</v>
      </c>
      <c r="AK413" s="1772">
        <f t="shared" si="656"/>
        <v>149.87979823552</v>
      </c>
      <c r="AL413" s="1772"/>
      <c r="AM413" s="1246"/>
      <c r="AU413" s="1826"/>
      <c r="AV413" s="1826"/>
      <c r="AW413" s="1933"/>
    </row>
    <row r="414" hidden="1" customHeight="1" spans="1:57">
      <c r="A414" s="1678"/>
      <c r="B414" s="1756"/>
      <c r="C414" s="1756"/>
      <c r="D414" s="1756"/>
      <c r="E414" s="1756"/>
      <c r="F414" s="1756"/>
      <c r="G414" s="1756"/>
      <c r="H414" s="1756"/>
      <c r="I414" s="1756"/>
      <c r="J414" s="1756"/>
      <c r="K414" s="1756"/>
      <c r="L414" s="1772"/>
      <c r="M414" s="1772"/>
      <c r="AM414" s="1246"/>
      <c r="AU414" s="1826"/>
      <c r="AV414" s="1826"/>
      <c r="AW414" s="1933"/>
      <c r="AX414" s="2000"/>
      <c r="AY414" s="2000"/>
      <c r="AZ414" s="2000"/>
    </row>
    <row r="415" customHeight="1" spans="1:57">
      <c r="A415" s="1678" t="s">
        <v>181</v>
      </c>
      <c r="B415" s="1756"/>
      <c r="C415" s="1756">
        <f t="shared" ref="C415:P415" si="657">C398/C406</f>
        <v>181.920903954802</v>
      </c>
      <c r="D415" s="1756">
        <f t="shared" si="657"/>
        <v>181.609195402299</v>
      </c>
      <c r="E415" s="1756">
        <f t="shared" si="657"/>
        <v>181.41592920354</v>
      </c>
      <c r="F415" s="1756">
        <f t="shared" si="657"/>
        <v>180.952380952381</v>
      </c>
      <c r="G415" s="1756">
        <f t="shared" si="657"/>
        <v>182</v>
      </c>
      <c r="H415" s="1756">
        <f t="shared" si="657"/>
        <v>180.869565217391</v>
      </c>
      <c r="I415" s="1756">
        <f t="shared" si="657"/>
        <v>181.746031746032</v>
      </c>
      <c r="J415" s="1756">
        <f t="shared" si="657"/>
        <v>181.818181818182</v>
      </c>
      <c r="K415" s="1756">
        <f t="shared" si="657"/>
        <v>182.558139534884</v>
      </c>
      <c r="L415" s="1772">
        <f t="shared" si="657"/>
        <v>186.829268292683</v>
      </c>
      <c r="M415" s="1772">
        <f t="shared" si="657"/>
        <v>203.79746835443</v>
      </c>
      <c r="N415" s="1772">
        <f t="shared" si="657"/>
        <v>203.321033210332</v>
      </c>
      <c r="O415" s="1772">
        <f t="shared" si="657"/>
        <v>197.538461538462</v>
      </c>
      <c r="P415" s="1772">
        <f t="shared" si="657"/>
        <v>196</v>
      </c>
      <c r="Q415" s="1944">
        <v>209.216186</v>
      </c>
      <c r="R415" s="1944">
        <v>209.216186</v>
      </c>
      <c r="S415" s="1944">
        <v>209.216186</v>
      </c>
      <c r="T415" s="1944">
        <v>209.216186</v>
      </c>
      <c r="U415" s="1944">
        <f>U413</f>
        <v>208.776457</v>
      </c>
      <c r="V415" s="1944">
        <f>Interim!FM456</f>
        <v>201.536418</v>
      </c>
      <c r="W415" s="1772">
        <f>Interim!FU456</f>
        <v>200.188276</v>
      </c>
      <c r="X415" s="1772">
        <f>Interim!GC456</f>
        <v>203.2239</v>
      </c>
      <c r="Y415" s="1772">
        <f>Interim!GK456</f>
        <v>201.759</v>
      </c>
      <c r="Z415" s="1772">
        <v>197.606</v>
      </c>
      <c r="AA415" s="1772">
        <v>195.161</v>
      </c>
      <c r="AB415" s="1772">
        <f>Interim!HI456</f>
        <v>194.18</v>
      </c>
      <c r="AC415" s="1772">
        <f>AC413</f>
        <v>183.255</v>
      </c>
      <c r="AD415" s="1772">
        <f>Interim!HY456</f>
        <v>178.5425</v>
      </c>
      <c r="AE415" s="1772">
        <f>Interim!IG456</f>
        <v>178.56</v>
      </c>
      <c r="AF415" s="1820">
        <v>178.565</v>
      </c>
      <c r="AG415" s="1772">
        <f>Interim!IW456</f>
        <v>174.907674242424</v>
      </c>
      <c r="AH415" s="1772">
        <f t="shared" ref="AH415:AK415" si="658">AH413+AG415-AG413</f>
        <v>168.863390007672</v>
      </c>
      <c r="AI415" s="1772">
        <f t="shared" si="658"/>
        <v>162.534276083621</v>
      </c>
      <c r="AJ415" s="1772">
        <f t="shared" si="658"/>
        <v>156.20516215957</v>
      </c>
      <c r="AK415" s="1772">
        <f t="shared" si="658"/>
        <v>149.87604823552</v>
      </c>
      <c r="AL415" s="1772"/>
      <c r="AM415" s="1246"/>
      <c r="AU415" s="1826"/>
      <c r="AV415" s="1826"/>
      <c r="AW415" s="1933"/>
    </row>
    <row r="416" hidden="1" customHeight="1" spans="1:57">
      <c r="A416" s="1678"/>
      <c r="B416" s="1756"/>
      <c r="C416" s="1756"/>
      <c r="D416" s="1756"/>
      <c r="E416" s="1756"/>
      <c r="F416" s="1756"/>
      <c r="G416" s="1756"/>
      <c r="H416" s="1756"/>
      <c r="I416" s="1756"/>
      <c r="J416" s="1756"/>
      <c r="K416" s="1756"/>
      <c r="L416" s="1772"/>
      <c r="M416" s="1772"/>
      <c r="N416" s="1772"/>
      <c r="O416" s="2001"/>
      <c r="P416" s="1772"/>
      <c r="Q416" s="1944"/>
      <c r="R416" s="1944"/>
      <c r="S416" s="1944"/>
      <c r="T416" s="2001"/>
      <c r="U416" s="2001"/>
      <c r="V416" s="2001"/>
      <c r="W416" s="2002"/>
      <c r="X416" s="2001"/>
      <c r="Y416" s="2001"/>
      <c r="Z416" s="2001"/>
      <c r="AA416" s="2001"/>
      <c r="AB416" s="2001"/>
      <c r="AC416" s="2001"/>
      <c r="AD416" s="2001"/>
      <c r="AE416" s="2001"/>
      <c r="AF416" s="2003"/>
      <c r="AG416" s="2001"/>
      <c r="AH416" s="2001"/>
      <c r="AI416" s="2001"/>
      <c r="AJ416" s="2001"/>
      <c r="AK416" s="2001"/>
      <c r="AL416" s="2001"/>
      <c r="AM416" s="1246"/>
      <c r="AU416" s="1826"/>
      <c r="AV416" s="1826"/>
      <c r="AW416" s="1933"/>
      <c r="AX416" s="2000"/>
      <c r="AY416" s="2000"/>
    </row>
    <row r="417" s="1681" customFormat="1" customHeight="1" spans="1:50">
      <c r="A417" s="1987" t="s">
        <v>182</v>
      </c>
      <c r="B417" s="1988"/>
      <c r="C417" s="1988">
        <f>0.56/4</f>
        <v>0.14</v>
      </c>
      <c r="D417" s="1988">
        <f>0.84/4</f>
        <v>0.21</v>
      </c>
      <c r="E417" s="1988">
        <f>0.84/4</f>
        <v>0.21</v>
      </c>
      <c r="F417" s="1988">
        <v>0.23</v>
      </c>
      <c r="G417" s="1988">
        <v>0.23</v>
      </c>
      <c r="H417" s="1988">
        <v>0.23</v>
      </c>
      <c r="I417" s="1988">
        <v>0.25</v>
      </c>
      <c r="J417" s="1988">
        <v>0.25</v>
      </c>
      <c r="K417" s="1988">
        <v>0.33</v>
      </c>
      <c r="L417" s="1989">
        <v>0.33</v>
      </c>
      <c r="M417" s="1989">
        <v>0.42</v>
      </c>
      <c r="N417" s="1989">
        <v>0.5</v>
      </c>
      <c r="O417" s="1989">
        <v>0.5</v>
      </c>
      <c r="P417" s="1989">
        <v>0.35</v>
      </c>
      <c r="Q417" s="1989">
        <v>0.8</v>
      </c>
      <c r="R417" s="1989">
        <v>1</v>
      </c>
      <c r="S417" s="1989">
        <v>1.35</v>
      </c>
      <c r="T417" s="1989">
        <v>1.5</v>
      </c>
      <c r="U417" s="1989">
        <v>1.5</v>
      </c>
      <c r="V417" s="1989">
        <v>1.5</v>
      </c>
      <c r="W417" s="1989">
        <v>2</v>
      </c>
      <c r="X417" s="1989">
        <v>2.6</v>
      </c>
      <c r="Y417" s="1989">
        <v>3.35</v>
      </c>
      <c r="Z417" s="1989">
        <v>0</v>
      </c>
      <c r="AA417" s="1989">
        <v>3</v>
      </c>
      <c r="AB417" s="1989">
        <v>3.3</v>
      </c>
      <c r="AC417" s="1989">
        <v>0.7</v>
      </c>
      <c r="AD417" s="1989">
        <v>0.7</v>
      </c>
      <c r="AE417" s="1989">
        <v>2</v>
      </c>
      <c r="AF417" s="2004">
        <v>2.8</v>
      </c>
      <c r="AG417" s="1989">
        <f t="shared" ref="AG417" si="659">AG406*AG419</f>
        <v>3.55011501167382</v>
      </c>
      <c r="AH417" s="1989">
        <f t="shared" ref="AH417" si="660">AH406*AH419</f>
        <v>4.50242915984726</v>
      </c>
      <c r="AI417" s="1989">
        <f t="shared" ref="AI417:AJ417" si="661">AI406*AI419</f>
        <v>5.20603713561789</v>
      </c>
      <c r="AJ417" s="1989">
        <f t="shared" si="661"/>
        <v>5.87294541170952</v>
      </c>
      <c r="AK417" s="1989">
        <f t="shared" ref="AK417" si="662">AK406*AK419</f>
        <v>6.63186827990203</v>
      </c>
      <c r="AL417" s="1989"/>
      <c r="AM417" s="1246"/>
      <c r="AN417" s="1688"/>
      <c r="AO417" s="1688"/>
      <c r="AP417" s="1688"/>
      <c r="AQ417" s="1688"/>
      <c r="AR417" s="1688"/>
      <c r="AS417" s="1688"/>
      <c r="AT417" s="1690"/>
      <c r="AU417" s="1826"/>
      <c r="AV417" s="1826"/>
      <c r="AW417" s="1933"/>
    </row>
    <row r="418" s="1682" customFormat="1" customHeight="1" spans="1:50">
      <c r="A418" s="2005" t="s">
        <v>183</v>
      </c>
      <c r="B418" s="2006"/>
      <c r="C418" s="2007"/>
      <c r="D418" s="2007"/>
      <c r="E418" s="2007"/>
      <c r="F418" s="2007"/>
      <c r="G418" s="2007"/>
      <c r="H418" s="2007"/>
      <c r="I418" s="2007"/>
      <c r="J418" s="2007"/>
      <c r="K418" s="2007"/>
      <c r="L418" s="1764"/>
      <c r="M418" s="1764"/>
      <c r="N418" s="1764"/>
      <c r="O418" s="1764"/>
      <c r="P418" s="1764"/>
      <c r="Q418" s="1764">
        <f>Q417/P417-1</f>
        <v>1.28571428571429</v>
      </c>
      <c r="R418" s="1764">
        <f>R417/Q417-1</f>
        <v>0.25</v>
      </c>
      <c r="S418" s="1764">
        <f t="shared" ref="S418:AK418" si="663">S417/R417-1</f>
        <v>0.35</v>
      </c>
      <c r="T418" s="1764">
        <f t="shared" si="663"/>
        <v>0.111111111111111</v>
      </c>
      <c r="U418" s="1764">
        <f t="shared" si="663"/>
        <v>0</v>
      </c>
      <c r="V418" s="1764">
        <f t="shared" si="663"/>
        <v>0</v>
      </c>
      <c r="W418" s="1764">
        <f t="shared" si="663"/>
        <v>0.333333333333333</v>
      </c>
      <c r="X418" s="1764">
        <f t="shared" si="663"/>
        <v>0.3</v>
      </c>
      <c r="Y418" s="1866">
        <f t="shared" si="663"/>
        <v>0.288461538461539</v>
      </c>
      <c r="Z418" s="1866">
        <f t="shared" si="663"/>
        <v>-1</v>
      </c>
      <c r="AA418" s="1866" t="s">
        <v>165</v>
      </c>
      <c r="AB418" s="1866" t="s">
        <v>165</v>
      </c>
      <c r="AC418" s="1866">
        <f t="shared" si="663"/>
        <v>-0.787878787878788</v>
      </c>
      <c r="AD418" s="1866">
        <f t="shared" si="663"/>
        <v>0</v>
      </c>
      <c r="AE418" s="1866">
        <f t="shared" si="663"/>
        <v>1.85714285714286</v>
      </c>
      <c r="AF418" s="1888">
        <f t="shared" si="663"/>
        <v>0.4</v>
      </c>
      <c r="AG418" s="1866">
        <f t="shared" si="663"/>
        <v>0.267898218454936</v>
      </c>
      <c r="AH418" s="1866">
        <f t="shared" si="663"/>
        <v>0.268248815895246</v>
      </c>
      <c r="AI418" s="1866">
        <f t="shared" si="663"/>
        <v>0.156272969721639</v>
      </c>
      <c r="AJ418" s="1866">
        <f t="shared" si="663"/>
        <v>0.12810286571505</v>
      </c>
      <c r="AK418" s="1866">
        <f t="shared" si="663"/>
        <v>0.129223552236561</v>
      </c>
      <c r="AL418" s="1866"/>
      <c r="AM418" s="1246"/>
      <c r="AN418" s="1688"/>
      <c r="AO418" s="1688"/>
      <c r="AP418" s="1688"/>
      <c r="AQ418" s="1688"/>
      <c r="AR418" s="1688"/>
      <c r="AS418" s="1688"/>
      <c r="AT418" s="1690"/>
      <c r="AU418" s="1826"/>
      <c r="AV418" s="1826"/>
      <c r="AW418" s="1933"/>
      <c r="AX418" s="1681"/>
    </row>
    <row r="419" s="1682" customFormat="1" customHeight="1" spans="1:50">
      <c r="A419" s="2005" t="s">
        <v>184</v>
      </c>
      <c r="B419" s="2006"/>
      <c r="C419" s="2007">
        <f t="shared" ref="C419:Y419" si="664">C417/C410</f>
        <v>0.15819209039548</v>
      </c>
      <c r="D419" s="2007">
        <f t="shared" si="664"/>
        <v>0.160919540229885</v>
      </c>
      <c r="E419" s="2007">
        <f t="shared" si="664"/>
        <v>0.185840707964602</v>
      </c>
      <c r="F419" s="2007">
        <f t="shared" si="664"/>
        <v>0.182539682539683</v>
      </c>
      <c r="G419" s="2007">
        <f t="shared" si="664"/>
        <v>0.23</v>
      </c>
      <c r="H419" s="2007">
        <f t="shared" si="664"/>
        <v>0.2</v>
      </c>
      <c r="I419" s="2007">
        <f t="shared" si="664"/>
        <v>0.198412698412698</v>
      </c>
      <c r="J419" s="2007">
        <f t="shared" si="664"/>
        <v>0.174825174825175</v>
      </c>
      <c r="K419" s="2007">
        <f t="shared" si="664"/>
        <v>0.191860465116279</v>
      </c>
      <c r="L419" s="1764">
        <f t="shared" si="664"/>
        <v>0.160975609756098</v>
      </c>
      <c r="M419" s="1764">
        <f t="shared" si="664"/>
        <v>0.177215189873418</v>
      </c>
      <c r="N419" s="1764">
        <f t="shared" si="664"/>
        <v>0.18450184501845</v>
      </c>
      <c r="O419" s="1764">
        <f t="shared" si="664"/>
        <v>0.153846153846154</v>
      </c>
      <c r="P419" s="1764">
        <f t="shared" si="664"/>
        <v>0.28</v>
      </c>
      <c r="Q419" s="1764">
        <f t="shared" si="664"/>
        <v>0.295190385890653</v>
      </c>
      <c r="R419" s="1764">
        <f t="shared" si="664"/>
        <v>0.341298835236542</v>
      </c>
      <c r="S419" s="1764">
        <f t="shared" si="664"/>
        <v>0.357974462737643</v>
      </c>
      <c r="T419" s="1764">
        <f t="shared" si="664"/>
        <v>0.381781361313869</v>
      </c>
      <c r="U419" s="1764">
        <f t="shared" si="664"/>
        <v>0.492397304245283</v>
      </c>
      <c r="V419" s="1764">
        <f t="shared" si="664"/>
        <v>0.44522036377025</v>
      </c>
      <c r="W419" s="1764">
        <f t="shared" si="664"/>
        <v>0.393297202357564</v>
      </c>
      <c r="X419" s="1764">
        <f t="shared" si="664"/>
        <v>0.370207088962705</v>
      </c>
      <c r="Y419" s="1764">
        <f t="shared" si="664"/>
        <v>0.396220447284345</v>
      </c>
      <c r="Z419" s="1866">
        <v>0</v>
      </c>
      <c r="AA419" s="1764">
        <f>AA417/AA410</f>
        <v>1.40067703349282</v>
      </c>
      <c r="AB419" s="1764">
        <f>AB417/AB410</f>
        <v>0.441926896551725</v>
      </c>
      <c r="AC419" s="1764">
        <f>AC417/AC410</f>
        <v>0.562625</v>
      </c>
      <c r="AD419" s="1764" t="s">
        <v>165</v>
      </c>
      <c r="AE419" s="1764">
        <f>AE417/AE410</f>
        <v>0.586466535837164</v>
      </c>
      <c r="AF419" s="1764">
        <f>AF417/AF410</f>
        <v>0.375361861861862</v>
      </c>
      <c r="AG419" s="1866">
        <f t="shared" ref="AG419:AK419" si="665">AF419</f>
        <v>0.375361861861862</v>
      </c>
      <c r="AH419" s="1866">
        <f t="shared" si="665"/>
        <v>0.375361861861862</v>
      </c>
      <c r="AI419" s="1866">
        <f t="shared" si="665"/>
        <v>0.375361861861862</v>
      </c>
      <c r="AJ419" s="1866">
        <f t="shared" si="665"/>
        <v>0.375361861861862</v>
      </c>
      <c r="AK419" s="1866">
        <f t="shared" si="665"/>
        <v>0.375361861861862</v>
      </c>
      <c r="AL419" s="1866"/>
      <c r="AM419" s="1246"/>
      <c r="AN419" s="1688"/>
      <c r="AO419" s="1688"/>
      <c r="AP419" s="1688"/>
      <c r="AQ419" s="1688"/>
      <c r="AR419" s="1688"/>
      <c r="AS419" s="1688"/>
      <c r="AT419" s="1690"/>
      <c r="AU419" s="1826"/>
      <c r="AV419" s="1826"/>
      <c r="AW419" s="1933"/>
      <c r="AX419" s="1681"/>
    </row>
    <row r="420" s="1682" customFormat="1" customHeight="1" spans="1:50">
      <c r="A420" s="2008" t="s">
        <v>185</v>
      </c>
      <c r="B420" s="2009"/>
      <c r="C420" s="2010">
        <f t="shared" ref="C420:AK420" si="666">B417*B415</f>
        <v>0</v>
      </c>
      <c r="D420" s="2010">
        <f t="shared" si="666"/>
        <v>25.4689265536723</v>
      </c>
      <c r="E420" s="2010">
        <f t="shared" si="666"/>
        <v>38.1379310344828</v>
      </c>
      <c r="F420" s="2010">
        <f t="shared" si="666"/>
        <v>38.0973451327434</v>
      </c>
      <c r="G420" s="2010">
        <f t="shared" si="666"/>
        <v>41.6190476190476</v>
      </c>
      <c r="H420" s="2010">
        <f t="shared" si="666"/>
        <v>41.86</v>
      </c>
      <c r="I420" s="2010">
        <f t="shared" si="666"/>
        <v>41.6</v>
      </c>
      <c r="J420" s="2010">
        <f t="shared" si="666"/>
        <v>45.4365079365079</v>
      </c>
      <c r="K420" s="2010">
        <f t="shared" si="666"/>
        <v>45.4545454545455</v>
      </c>
      <c r="L420" s="2011">
        <f t="shared" si="666"/>
        <v>60.2441860465116</v>
      </c>
      <c r="M420" s="2011">
        <f t="shared" si="666"/>
        <v>61.6536585365854</v>
      </c>
      <c r="N420" s="2011">
        <f t="shared" si="666"/>
        <v>85.5949367088608</v>
      </c>
      <c r="O420" s="2011">
        <f t="shared" si="666"/>
        <v>101.660516605166</v>
      </c>
      <c r="P420" s="2011">
        <f t="shared" si="666"/>
        <v>98.7692307692308</v>
      </c>
      <c r="Q420" s="2011">
        <f t="shared" si="666"/>
        <v>68.6</v>
      </c>
      <c r="R420" s="2011">
        <f t="shared" si="666"/>
        <v>167.3729488</v>
      </c>
      <c r="S420" s="2011">
        <f t="shared" si="666"/>
        <v>209.216186</v>
      </c>
      <c r="T420" s="1944">
        <f t="shared" si="666"/>
        <v>282.4418511</v>
      </c>
      <c r="U420" s="1944">
        <f t="shared" si="666"/>
        <v>313.824279</v>
      </c>
      <c r="V420" s="1944">
        <f t="shared" si="666"/>
        <v>313.1646855</v>
      </c>
      <c r="W420" s="1944">
        <f t="shared" si="666"/>
        <v>302.304627</v>
      </c>
      <c r="X420" s="1944">
        <f t="shared" si="666"/>
        <v>400.376552</v>
      </c>
      <c r="Y420" s="1944">
        <f t="shared" si="666"/>
        <v>528.38214</v>
      </c>
      <c r="Z420" s="1944">
        <f t="shared" si="666"/>
        <v>675.89265</v>
      </c>
      <c r="AA420" s="1944">
        <f t="shared" si="666"/>
        <v>0</v>
      </c>
      <c r="AB420" s="1944">
        <f t="shared" si="666"/>
        <v>585.483</v>
      </c>
      <c r="AC420" s="1944">
        <f t="shared" si="666"/>
        <v>640.794</v>
      </c>
      <c r="AD420" s="1944">
        <f t="shared" si="666"/>
        <v>128.2785</v>
      </c>
      <c r="AE420" s="1944">
        <f t="shared" si="666"/>
        <v>124.97975</v>
      </c>
      <c r="AF420" s="2012">
        <f t="shared" si="666"/>
        <v>357.12</v>
      </c>
      <c r="AG420" s="1944">
        <f t="shared" si="666"/>
        <v>499.982</v>
      </c>
      <c r="AH420" s="1944">
        <f t="shared" si="666"/>
        <v>620.942359984985</v>
      </c>
      <c r="AI420" s="1944">
        <f t="shared" si="666"/>
        <v>760.295451201201</v>
      </c>
      <c r="AJ420" s="1944">
        <f t="shared" si="666"/>
        <v>846.159477102102</v>
      </c>
      <c r="AK420" s="1944">
        <f t="shared" si="666"/>
        <v>917.38439039039</v>
      </c>
      <c r="AL420" s="1944"/>
      <c r="AM420" s="1246"/>
      <c r="AN420" s="1688"/>
      <c r="AO420" s="1688"/>
      <c r="AP420" s="1688"/>
      <c r="AQ420" s="1688"/>
      <c r="AR420" s="1688"/>
      <c r="AS420" s="1688"/>
      <c r="AT420" s="1690"/>
      <c r="AU420" s="1826"/>
      <c r="AV420" s="1826"/>
      <c r="AW420" s="1933"/>
      <c r="AX420" s="1681"/>
    </row>
    <row r="421" s="1682" customFormat="1" customHeight="1" spans="1:50">
      <c r="A421" s="2008"/>
      <c r="B421" s="2009"/>
      <c r="C421" s="2010"/>
      <c r="D421" s="2010"/>
      <c r="E421" s="2010"/>
      <c r="F421" s="2010"/>
      <c r="G421" s="2010"/>
      <c r="H421" s="2010"/>
      <c r="I421" s="2010"/>
      <c r="J421" s="2010"/>
      <c r="K421" s="2010"/>
      <c r="L421" s="2010"/>
      <c r="M421" s="2010"/>
      <c r="N421" s="2010"/>
      <c r="O421" s="2010"/>
      <c r="P421" s="2010"/>
      <c r="Q421" s="2010"/>
      <c r="R421" s="2010"/>
      <c r="S421" s="2010"/>
      <c r="T421" s="2010"/>
      <c r="U421" s="2010"/>
      <c r="V421" s="2010"/>
      <c r="W421" s="2010"/>
      <c r="X421" s="2010"/>
      <c r="Y421" s="2010"/>
      <c r="Z421" s="2010"/>
      <c r="AA421" s="2010"/>
      <c r="AB421" s="2010"/>
      <c r="AC421" s="2013"/>
      <c r="AD421" s="2014"/>
      <c r="AE421" s="1944"/>
      <c r="AF421" s="2012"/>
      <c r="AG421" s="1944"/>
      <c r="AH421" s="1944"/>
      <c r="AI421" s="1944"/>
      <c r="AJ421" s="1944"/>
      <c r="AK421" s="1944"/>
      <c r="AL421" s="1944"/>
      <c r="AM421" s="1246"/>
      <c r="AN421" s="1688"/>
      <c r="AO421" s="1688"/>
      <c r="AP421" s="1688"/>
      <c r="AQ421" s="1688"/>
      <c r="AR421" s="1688"/>
      <c r="AS421" s="1688"/>
      <c r="AT421" s="1690"/>
      <c r="AU421" s="1826"/>
      <c r="AV421" s="1826"/>
      <c r="AW421" s="1933"/>
      <c r="AX421" s="1681"/>
    </row>
    <row r="422" s="1682" customFormat="1" customHeight="1" spans="1:50">
      <c r="A422" s="1678" t="s">
        <v>186</v>
      </c>
      <c r="B422" s="2006"/>
      <c r="C422" s="2006"/>
      <c r="D422" s="2006"/>
      <c r="E422" s="2006"/>
      <c r="F422" s="2006"/>
      <c r="G422" s="2006"/>
      <c r="H422" s="2006"/>
      <c r="I422" s="2006"/>
      <c r="J422" s="2006"/>
      <c r="K422" s="2006"/>
      <c r="L422" s="2015"/>
      <c r="M422" s="1764"/>
      <c r="N422" s="1764"/>
      <c r="O422" s="1764"/>
      <c r="P422" s="1764"/>
      <c r="Q422" s="1764"/>
      <c r="R422" s="1764"/>
      <c r="S422" s="1764"/>
      <c r="T422" s="1764"/>
      <c r="U422" s="1764"/>
      <c r="V422" s="2016">
        <f>V401-U401</f>
        <v>31</v>
      </c>
      <c r="W422" s="2016">
        <f>W401-V401</f>
        <v>351</v>
      </c>
      <c r="X422" s="2016">
        <f>X401-W401</f>
        <v>409.261</v>
      </c>
      <c r="Y422" s="2016">
        <f>Y401-X401</f>
        <v>278.588999999998</v>
      </c>
      <c r="Z422" s="2016">
        <f t="shared" ref="Z422:AK422" si="667">Z401-Y401</f>
        <v>210.150000000002</v>
      </c>
      <c r="AA422" s="2016">
        <f t="shared" si="667"/>
        <v>-1498</v>
      </c>
      <c r="AB422" s="2016">
        <f>AB401-461</f>
        <v>988.999999999999</v>
      </c>
      <c r="AC422" s="2016">
        <f t="shared" si="667"/>
        <v>-1222</v>
      </c>
      <c r="AD422" s="2016">
        <f t="shared" si="667"/>
        <v>-302.999999999983</v>
      </c>
      <c r="AE422" s="2016">
        <f t="shared" si="667"/>
        <v>683.934999999977</v>
      </c>
      <c r="AF422" s="2017">
        <f t="shared" si="667"/>
        <v>723.065000000006</v>
      </c>
      <c r="AG422" s="2016">
        <f t="shared" si="667"/>
        <v>322.249999999999</v>
      </c>
      <c r="AH422" s="2016">
        <f t="shared" si="667"/>
        <v>371.250000000002</v>
      </c>
      <c r="AI422" s="2016">
        <f t="shared" si="667"/>
        <v>228.75</v>
      </c>
      <c r="AJ422" s="2016">
        <f t="shared" si="667"/>
        <v>189.749999999998</v>
      </c>
      <c r="AK422" s="2016">
        <f t="shared" si="667"/>
        <v>204.000000000001</v>
      </c>
      <c r="AL422" s="2016"/>
      <c r="AM422" s="1246"/>
      <c r="AN422" s="1688"/>
      <c r="AO422" s="1688"/>
      <c r="AP422" s="1688"/>
      <c r="AQ422" s="1688"/>
      <c r="AR422" s="1688"/>
      <c r="AS422" s="1688"/>
      <c r="AT422" s="1690"/>
      <c r="AU422" s="1826"/>
      <c r="AV422" s="1826"/>
      <c r="AW422" s="1933"/>
      <c r="AX422" s="1681"/>
    </row>
    <row r="423" ht="17.6" hidden="1" spans="1:50">
      <c r="A423" s="1927" t="s">
        <v>187</v>
      </c>
      <c r="B423" s="2018"/>
      <c r="C423" s="2018"/>
      <c r="D423" s="2018"/>
      <c r="E423" s="2018"/>
      <c r="F423" s="2018"/>
      <c r="G423" s="2018"/>
      <c r="H423" s="2018"/>
      <c r="I423" s="2018"/>
      <c r="J423" s="2018"/>
      <c r="K423" s="2018"/>
      <c r="L423" s="1995"/>
      <c r="M423" s="1995"/>
      <c r="N423" s="1995"/>
      <c r="O423" s="1995" t="str">
        <f>QueryTool.Functions.GQ("ADSG.DE","EPS_PUB","2008","default","publishing")</f>
        <v>Error:Failed to create QP Model for GIR_TICKER ADSG.DE</v>
      </c>
      <c r="P423" s="1989" t="str">
        <f>QueryTool.Functions.GQ("ADSG.DE","EPS_PUB","2009","default","publishing")</f>
        <v>Error:Failed to create QP Model for GIR_TICKER ADSG.DE</v>
      </c>
      <c r="Q423" s="1989" t="str">
        <f>QueryTool.Functions.GQ("ADSG.DE","EPS_PUB","2010","default","publishing")</f>
        <v>Error:Failed to create QP Model for GIR_TICKER ADSG.DE</v>
      </c>
      <c r="R423" s="1989" t="str">
        <f>QueryTool.Functions.GQ("ADSG.DE","EPS_PUB","2011","default","publishing")</f>
        <v>Error:Failed to create QP Model for GIR_TICKER ADSG.DE</v>
      </c>
      <c r="S423" s="1989" t="str">
        <f>QueryTool.Functions.GQ("ADSG.DE","EPS_PUB","2012","default","publishing")</f>
        <v>Error:Failed to create QP Model for GIR_TICKER ADSG.DE</v>
      </c>
      <c r="T423" s="1989"/>
      <c r="U423" s="1989"/>
      <c r="V423" s="1989"/>
      <c r="W423" s="1989"/>
      <c r="X423" s="1989"/>
      <c r="Y423" s="1989"/>
      <c r="Z423" s="1989"/>
      <c r="AA423" s="1989"/>
      <c r="AB423" s="1989"/>
      <c r="AC423" s="1989"/>
      <c r="AD423" s="1989"/>
      <c r="AE423" s="1989"/>
      <c r="AF423" s="2004"/>
      <c r="AG423" s="1989"/>
      <c r="AH423" s="1989"/>
      <c r="AI423" s="1989"/>
      <c r="AJ423" s="1989"/>
      <c r="AK423" s="1989"/>
      <c r="AL423" s="1989"/>
      <c r="AM423" s="1246"/>
      <c r="AU423" s="1826"/>
      <c r="AV423" s="1826"/>
      <c r="AW423" s="1933"/>
    </row>
    <row r="424" s="1683" customFormat="1" ht="17.6" hidden="1" spans="1:50">
      <c r="A424" s="2019" t="s">
        <v>188</v>
      </c>
      <c r="B424" s="2020"/>
      <c r="C424" s="2020"/>
      <c r="D424" s="2020"/>
      <c r="E424" s="2020"/>
      <c r="F424" s="2020"/>
      <c r="G424" s="2020"/>
      <c r="H424" s="2020"/>
      <c r="I424" s="2020"/>
      <c r="J424" s="2020"/>
      <c r="K424" s="2020"/>
      <c r="L424" s="2021"/>
      <c r="M424" s="2021"/>
      <c r="N424" s="2022"/>
      <c r="O424" s="2022" t="e">
        <f t="shared" ref="O424:S424" si="668">+O406/O423-1</f>
        <v>#VALUE!</v>
      </c>
      <c r="P424" s="2013" t="e">
        <f t="shared" si="668"/>
        <v>#VALUE!</v>
      </c>
      <c r="Q424" s="2013" t="e">
        <f t="shared" si="668"/>
        <v>#VALUE!</v>
      </c>
      <c r="R424" s="2013" t="e">
        <f t="shared" si="668"/>
        <v>#VALUE!</v>
      </c>
      <c r="S424" s="2013" t="e">
        <f t="shared" si="668"/>
        <v>#VALUE!</v>
      </c>
      <c r="T424" s="2013"/>
      <c r="U424" s="2013"/>
      <c r="V424" s="2013"/>
      <c r="W424" s="2013"/>
      <c r="X424" s="2013"/>
      <c r="Y424" s="2013"/>
      <c r="Z424" s="2013"/>
      <c r="AA424" s="2013"/>
      <c r="AB424" s="2013"/>
      <c r="AC424" s="2013"/>
      <c r="AD424" s="2013"/>
      <c r="AE424" s="2013"/>
      <c r="AF424" s="2023"/>
      <c r="AG424" s="2013"/>
      <c r="AH424" s="2013"/>
      <c r="AI424" s="2013"/>
      <c r="AJ424" s="2013"/>
      <c r="AK424" s="2013"/>
      <c r="AL424" s="2013"/>
      <c r="AM424" s="1246"/>
      <c r="AN424" s="1688"/>
      <c r="AO424" s="1688"/>
      <c r="AP424" s="1688"/>
      <c r="AQ424" s="1688"/>
      <c r="AR424" s="1688"/>
      <c r="AS424" s="1688"/>
      <c r="AT424" s="1690"/>
      <c r="AU424" s="1826"/>
      <c r="AV424" s="1826"/>
      <c r="AW424" s="1933"/>
      <c r="AX424" s="1686"/>
    </row>
    <row r="425" s="1683" customFormat="1" ht="17.6" spans="1:50">
      <c r="A425" s="2024"/>
      <c r="B425" s="2025"/>
      <c r="C425" s="2025"/>
      <c r="D425" s="2025"/>
      <c r="E425" s="2025"/>
      <c r="F425" s="2025"/>
      <c r="G425" s="2025"/>
      <c r="H425" s="2025"/>
      <c r="I425" s="2025"/>
      <c r="J425" s="2025"/>
      <c r="K425" s="2025"/>
      <c r="L425" s="2015"/>
      <c r="M425" s="2015"/>
      <c r="N425" s="1764"/>
      <c r="O425" s="1764"/>
      <c r="P425" s="2013"/>
      <c r="Q425" s="2013"/>
      <c r="R425" s="2013"/>
      <c r="S425" s="2013"/>
      <c r="T425" s="2013"/>
      <c r="U425" s="2013"/>
      <c r="V425" s="2013"/>
      <c r="W425" s="2013"/>
      <c r="X425" s="2013"/>
      <c r="Y425" s="2013"/>
      <c r="Z425" s="2013"/>
      <c r="AA425" s="2013"/>
      <c r="AB425" s="2013"/>
      <c r="AC425" s="2026">
        <f>AC401-'Profit and Loss'!AC401</f>
        <v>0</v>
      </c>
      <c r="AD425" s="2026">
        <f>AD401-'Profit and Loss'!AD401</f>
        <v>0</v>
      </c>
      <c r="AE425" s="2026">
        <f>AE401-'Profit and Loss'!AE401</f>
        <v>0</v>
      </c>
      <c r="AF425" s="2027">
        <f>AF401-'Profit and Loss'!AF401</f>
        <v>0</v>
      </c>
      <c r="AG425" s="2026">
        <f>AG401-'Profit and Loss'!AG401</f>
        <v>0</v>
      </c>
      <c r="AH425" s="2026">
        <f>AH401-'Profit and Loss'!AH401</f>
        <v>0</v>
      </c>
      <c r="AI425" s="2026">
        <f>AI401-'Profit and Loss'!AI401</f>
        <v>0</v>
      </c>
      <c r="AJ425" s="2026">
        <f>AJ401-'Profit and Loss'!AJ401</f>
        <v>0</v>
      </c>
      <c r="AK425" s="2026">
        <f>AK401-'Profit and Loss'!AK401</f>
        <v>0</v>
      </c>
      <c r="AL425" s="2013"/>
      <c r="AM425" s="1246"/>
      <c r="AN425" s="1688"/>
      <c r="AO425" s="1688"/>
      <c r="AP425" s="1688"/>
      <c r="AQ425" s="1688"/>
      <c r="AR425" s="1688"/>
      <c r="AS425" s="1688"/>
      <c r="AT425" s="1690"/>
      <c r="AU425" s="1826"/>
      <c r="AV425" s="1826"/>
      <c r="AW425" s="1933"/>
      <c r="AX425" s="1686"/>
    </row>
    <row r="426" s="1683" customFormat="1" ht="17.6" spans="1:50">
      <c r="A426" s="2024" t="s">
        <v>189</v>
      </c>
      <c r="B426" s="2025"/>
      <c r="C426" s="2025"/>
      <c r="D426" s="2025"/>
      <c r="E426" s="2025"/>
      <c r="F426" s="2025"/>
      <c r="G426" s="2025"/>
      <c r="H426" s="2025"/>
      <c r="I426" s="2025"/>
      <c r="J426" s="2025"/>
      <c r="K426" s="2025"/>
      <c r="L426" s="2015"/>
      <c r="M426" s="2015"/>
      <c r="N426" s="1764"/>
      <c r="O426" s="1764"/>
      <c r="P426" s="2013"/>
      <c r="Q426" s="2013"/>
      <c r="R426" s="2013"/>
      <c r="S426" s="2013"/>
      <c r="T426" s="2013"/>
      <c r="U426" s="2013"/>
      <c r="V426" s="2013"/>
      <c r="W426" s="2013"/>
      <c r="X426" s="2013"/>
      <c r="Y426" s="2013"/>
      <c r="Z426" s="2013"/>
      <c r="AA426" s="2013"/>
      <c r="AB426" s="2016">
        <v>831</v>
      </c>
      <c r="AC426" s="2013"/>
      <c r="AD426" s="2013"/>
      <c r="AE426" s="2013"/>
      <c r="AF426" s="2023"/>
      <c r="AG426" s="2013"/>
      <c r="AH426" s="2013"/>
      <c r="AI426" s="2013"/>
      <c r="AJ426" s="2013"/>
      <c r="AK426" s="2013"/>
      <c r="AL426" s="2013"/>
      <c r="AM426" s="1741">
        <f>461+AB426</f>
        <v>1292</v>
      </c>
      <c r="AN426" s="1688"/>
      <c r="AO426" s="1688"/>
      <c r="AP426" s="1688"/>
      <c r="AQ426" s="1688"/>
      <c r="AR426" s="1688"/>
      <c r="AS426" s="1688"/>
      <c r="AT426" s="1690"/>
      <c r="AU426" s="1826"/>
      <c r="AV426" s="1826"/>
      <c r="AW426" s="1933"/>
      <c r="AX426" s="1686"/>
    </row>
    <row r="427" s="1683" customFormat="1" ht="17.6" spans="1:50">
      <c r="A427" s="2024" t="s">
        <v>190</v>
      </c>
      <c r="B427" s="2025"/>
      <c r="C427" s="2025"/>
      <c r="D427" s="2025"/>
      <c r="E427" s="2025"/>
      <c r="F427" s="2025"/>
      <c r="G427" s="2025"/>
      <c r="H427" s="2025"/>
      <c r="I427" s="2025"/>
      <c r="J427" s="2025"/>
      <c r="K427" s="2025"/>
      <c r="L427" s="2015"/>
      <c r="M427" s="2015"/>
      <c r="N427" s="1764"/>
      <c r="O427" s="1764"/>
      <c r="P427" s="2013"/>
      <c r="Q427" s="2013"/>
      <c r="R427" s="2013"/>
      <c r="S427" s="2013"/>
      <c r="T427" s="2013"/>
      <c r="U427" s="2013"/>
      <c r="V427" s="2013"/>
      <c r="W427" s="2013"/>
      <c r="X427" s="2013"/>
      <c r="Y427" s="2013"/>
      <c r="Z427" s="2013"/>
      <c r="AA427" s="2013"/>
      <c r="AB427" s="2016">
        <v>951</v>
      </c>
      <c r="AC427" s="2013"/>
      <c r="AD427" s="2013"/>
      <c r="AE427" s="2013"/>
      <c r="AF427" s="2023"/>
      <c r="AG427" s="2013"/>
      <c r="AH427" s="2013"/>
      <c r="AI427" s="2013"/>
      <c r="AJ427" s="2013"/>
      <c r="AK427" s="2013"/>
      <c r="AL427" s="2013"/>
      <c r="AM427" s="1741">
        <f>461+AB427</f>
        <v>1412</v>
      </c>
      <c r="AN427" s="1688"/>
      <c r="AO427" s="1688"/>
      <c r="AP427" s="1688"/>
      <c r="AQ427" s="1688"/>
      <c r="AR427" s="1688"/>
      <c r="AS427" s="1688"/>
      <c r="AT427" s="1690"/>
      <c r="AU427" s="1826"/>
      <c r="AV427" s="1826"/>
      <c r="AW427" s="1933"/>
      <c r="AX427" s="1686"/>
    </row>
    <row r="428" s="1683" customFormat="1" ht="17.6" spans="1:50">
      <c r="A428" s="2024" t="s">
        <v>191</v>
      </c>
      <c r="B428" s="2025"/>
      <c r="C428" s="2025"/>
      <c r="D428" s="2025"/>
      <c r="E428" s="2025"/>
      <c r="F428" s="2025"/>
      <c r="G428" s="2025"/>
      <c r="H428" s="2025"/>
      <c r="I428" s="2025"/>
      <c r="J428" s="2025"/>
      <c r="K428" s="2025"/>
      <c r="L428" s="2015"/>
      <c r="M428" s="2015"/>
      <c r="N428" s="1764"/>
      <c r="O428" s="1764"/>
      <c r="P428" s="2013"/>
      <c r="Q428" s="2013"/>
      <c r="R428" s="2013"/>
      <c r="S428" s="2013"/>
      <c r="T428" s="2013"/>
      <c r="U428" s="2013"/>
      <c r="V428" s="2013"/>
      <c r="W428" s="2013"/>
      <c r="X428" s="2013"/>
      <c r="Y428" s="2013"/>
      <c r="Z428" s="2013"/>
      <c r="AA428" s="2013"/>
      <c r="AB428" s="2016">
        <v>1071</v>
      </c>
      <c r="AC428" s="2013"/>
      <c r="AD428" s="2013"/>
      <c r="AE428" s="2013"/>
      <c r="AF428" s="2023"/>
      <c r="AG428" s="2013"/>
      <c r="AH428" s="2013"/>
      <c r="AI428" s="2013"/>
      <c r="AJ428" s="2013"/>
      <c r="AK428" s="2013"/>
      <c r="AL428" s="2013"/>
      <c r="AM428" s="1741">
        <f>461+AB428</f>
        <v>1532</v>
      </c>
      <c r="AN428" s="1688"/>
      <c r="AO428" s="1688"/>
      <c r="AP428" s="1688"/>
      <c r="AQ428" s="1688"/>
      <c r="AR428" s="1688"/>
      <c r="AS428" s="1688"/>
      <c r="AT428" s="1690"/>
      <c r="AU428" s="1826"/>
      <c r="AV428" s="1826"/>
      <c r="AW428" s="1933"/>
      <c r="AX428" s="1686"/>
    </row>
    <row r="429" ht="17.6" spans="1:50">
      <c r="A429" s="1678"/>
      <c r="B429" s="1756"/>
      <c r="C429" s="1756"/>
      <c r="D429" s="1756"/>
      <c r="E429" s="1756"/>
      <c r="F429" s="1756"/>
      <c r="G429" s="1756"/>
      <c r="H429" s="1756"/>
      <c r="I429" s="1756"/>
      <c r="J429" s="1756"/>
      <c r="K429" s="1756"/>
      <c r="L429" s="1832"/>
      <c r="M429" s="1832"/>
      <c r="N429" s="2028"/>
      <c r="O429" s="2028"/>
      <c r="P429" s="2028"/>
      <c r="Q429" s="2028"/>
      <c r="R429" s="2028"/>
      <c r="S429" s="2028"/>
      <c r="T429" s="2028"/>
      <c r="U429" s="2028"/>
      <c r="V429" s="2028"/>
      <c r="W429" s="2028"/>
      <c r="X429" s="2028"/>
      <c r="Y429" s="2028"/>
      <c r="Z429" s="2028"/>
      <c r="AA429" s="2028"/>
      <c r="AB429" s="2028"/>
      <c r="AC429" s="2028"/>
      <c r="AD429" s="2028"/>
      <c r="AE429" s="2028"/>
      <c r="AF429" s="2029"/>
      <c r="AG429" s="2028"/>
      <c r="AH429" s="2028"/>
      <c r="AI429" s="2028"/>
      <c r="AJ429" s="2028"/>
      <c r="AK429" s="2028"/>
      <c r="AL429" s="2028"/>
      <c r="AM429" s="1246"/>
      <c r="AU429" s="1826"/>
      <c r="AV429" s="1826"/>
      <c r="AW429" s="1933"/>
    </row>
    <row r="430" customHeight="1" spans="1:50">
      <c r="A430" s="1697" t="s">
        <v>192</v>
      </c>
      <c r="B430" s="1914" t="str">
        <f t="shared" ref="B430:AA430" si="669">B1</f>
        <v>FY 95</v>
      </c>
      <c r="C430" s="1914" t="str">
        <f t="shared" si="669"/>
        <v>FY 96</v>
      </c>
      <c r="D430" s="1914" t="str">
        <f t="shared" si="669"/>
        <v>FY 97</v>
      </c>
      <c r="E430" s="1914" t="str">
        <f t="shared" si="669"/>
        <v>FY 98</v>
      </c>
      <c r="F430" s="1914" t="str">
        <f t="shared" si="669"/>
        <v>FY 99</v>
      </c>
      <c r="G430" s="1914" t="str">
        <f t="shared" si="669"/>
        <v>FY 00</v>
      </c>
      <c r="H430" s="1914" t="str">
        <f t="shared" si="669"/>
        <v>FY 01</v>
      </c>
      <c r="I430" s="1914" t="str">
        <f t="shared" si="669"/>
        <v>FY 02</v>
      </c>
      <c r="J430" s="1914" t="str">
        <f t="shared" si="669"/>
        <v>FY 03</v>
      </c>
      <c r="K430" s="1914" t="str">
        <f t="shared" si="669"/>
        <v>FY 04</v>
      </c>
      <c r="L430" s="1915" t="str">
        <f t="shared" si="669"/>
        <v>FY 05</v>
      </c>
      <c r="M430" s="1915" t="str">
        <f t="shared" si="669"/>
        <v>FY 06</v>
      </c>
      <c r="N430" s="1915" t="str">
        <f t="shared" si="669"/>
        <v>FY 07</v>
      </c>
      <c r="O430" s="1915" t="str">
        <f t="shared" si="669"/>
        <v>FY 08</v>
      </c>
      <c r="P430" s="1915" t="str">
        <f t="shared" si="669"/>
        <v>FY 09</v>
      </c>
      <c r="Q430" s="1915" t="str">
        <f t="shared" si="669"/>
        <v>FY 10</v>
      </c>
      <c r="R430" s="1915" t="str">
        <f t="shared" si="669"/>
        <v>FY 11</v>
      </c>
      <c r="S430" s="1915" t="str">
        <f t="shared" si="669"/>
        <v>FY 12</v>
      </c>
      <c r="T430" s="1915" t="str">
        <f t="shared" si="669"/>
        <v>FY 13</v>
      </c>
      <c r="U430" s="1915" t="str">
        <f t="shared" si="669"/>
        <v>FY 14</v>
      </c>
      <c r="V430" s="1915" t="str">
        <f t="shared" si="669"/>
        <v>FY 15</v>
      </c>
      <c r="W430" s="1915" t="str">
        <f t="shared" si="669"/>
        <v>FY 16</v>
      </c>
      <c r="X430" s="1915" t="str">
        <f t="shared" si="669"/>
        <v>FY 17</v>
      </c>
      <c r="Y430" s="1915" t="str">
        <f t="shared" si="669"/>
        <v>FY 18</v>
      </c>
      <c r="Z430" s="1915" t="str">
        <f t="shared" si="669"/>
        <v>FY 19</v>
      </c>
      <c r="AA430" s="1915" t="str">
        <f t="shared" si="669"/>
        <v>FY 20</v>
      </c>
      <c r="AB430" s="1915" t="str">
        <f t="shared" ref="AB430:AG430" si="670">AB1</f>
        <v>FY 21</v>
      </c>
      <c r="AC430" s="1915" t="str">
        <f t="shared" si="670"/>
        <v>FY 22</v>
      </c>
      <c r="AD430" s="1915" t="str">
        <f t="shared" si="670"/>
        <v>FY 23</v>
      </c>
      <c r="AE430" s="1915" t="str">
        <f t="shared" si="670"/>
        <v>FY 24</v>
      </c>
      <c r="AF430" s="1916" t="str">
        <f t="shared" si="670"/>
        <v>FY 25</v>
      </c>
      <c r="AG430" s="1915" t="str">
        <f t="shared" si="670"/>
        <v>FY 26E</v>
      </c>
      <c r="AH430" s="1915" t="str">
        <f t="shared" ref="AH430" si="671">AH1</f>
        <v>FY 27E</v>
      </c>
      <c r="AI430" s="1915" t="str">
        <f t="shared" ref="AI430:AJ430" si="672">AI1</f>
        <v>FY 28E</v>
      </c>
      <c r="AJ430" s="1915" t="str">
        <f t="shared" si="672"/>
        <v>FY 29E</v>
      </c>
      <c r="AK430" s="1915" t="str">
        <f t="shared" ref="AK430" si="673">AK1</f>
        <v>FY 30E</v>
      </c>
      <c r="AL430" s="1915"/>
      <c r="AM430" s="1246"/>
      <c r="AU430" s="1826"/>
      <c r="AV430" s="1826"/>
      <c r="AW430" s="1933"/>
    </row>
    <row r="431" customHeight="1" spans="1:50">
      <c r="A431" s="1686" t="s">
        <v>127</v>
      </c>
      <c r="B431" s="1977">
        <v>0.397395354891602</v>
      </c>
      <c r="C431" s="1977">
        <v>0.398479475036633</v>
      </c>
      <c r="D431" s="1977">
        <v>0.419384443117349</v>
      </c>
      <c r="E431" s="1977">
        <v>0.419299485212476</v>
      </c>
      <c r="F431" s="1977">
        <v>0.43925567688166</v>
      </c>
      <c r="G431" s="1977">
        <v>0.43324764353042</v>
      </c>
      <c r="H431" s="1977">
        <v>0.428351817283408</v>
      </c>
      <c r="I431" s="1977">
        <v>0.431955838380741</v>
      </c>
      <c r="J431" s="1977">
        <v>0.44910657306956</v>
      </c>
      <c r="K431" s="1977">
        <v>0.480204778156997</v>
      </c>
      <c r="L431" s="1978">
        <v>0.48191136569189</v>
      </c>
      <c r="M431" s="1978">
        <v>0.450964861257231</v>
      </c>
      <c r="N431" s="1978">
        <f t="shared" ref="N431:AA431" si="674">1-N330/N327</f>
        <v>0.474026604524711</v>
      </c>
      <c r="O431" s="1978">
        <f t="shared" si="674"/>
        <v>0.48671173256783</v>
      </c>
      <c r="P431" s="1978">
        <f t="shared" si="674"/>
        <v>0.453906174742318</v>
      </c>
      <c r="Q431" s="1978">
        <f t="shared" si="674"/>
        <v>0.47789824854045</v>
      </c>
      <c r="R431" s="1978">
        <f t="shared" si="674"/>
        <v>0.475043158447797</v>
      </c>
      <c r="S431" s="1978">
        <f t="shared" si="674"/>
        <v>0.477255929584089</v>
      </c>
      <c r="T431" s="1978">
        <f t="shared" si="674"/>
        <v>0.492854628651883</v>
      </c>
      <c r="U431" s="1978">
        <f t="shared" si="674"/>
        <v>0.47640016513004</v>
      </c>
      <c r="V431" s="1978">
        <f t="shared" si="674"/>
        <v>0.482885013301803</v>
      </c>
      <c r="W431" s="1978">
        <f t="shared" si="674"/>
        <v>0.486210471747019</v>
      </c>
      <c r="X431" s="1978">
        <f t="shared" si="674"/>
        <v>0.504430200772929</v>
      </c>
      <c r="Y431" s="1978">
        <f t="shared" si="674"/>
        <v>0.518503308236368</v>
      </c>
      <c r="Z431" s="1978">
        <f t="shared" si="674"/>
        <v>0.519986464193562</v>
      </c>
      <c r="AA431" s="1978">
        <f t="shared" si="674"/>
        <v>0.496623664583753</v>
      </c>
      <c r="AB431" s="1978">
        <f t="shared" ref="AB431:AG431" si="675">1-AB330/AB327</f>
        <v>0.506969953847603</v>
      </c>
      <c r="AC431" s="1978">
        <f t="shared" si="675"/>
        <v>0.472835502643152</v>
      </c>
      <c r="AD431" s="1978">
        <f t="shared" si="675"/>
        <v>0.463487764774156</v>
      </c>
      <c r="AE431" s="1978">
        <f t="shared" si="675"/>
        <v>0.505</v>
      </c>
      <c r="AF431" s="2030">
        <f t="shared" si="675"/>
        <v>0.516101729071783</v>
      </c>
      <c r="AG431" s="1978">
        <f t="shared" si="675"/>
        <v>0.516</v>
      </c>
      <c r="AH431" s="1978">
        <f t="shared" ref="AH431" si="676">1-AH330/AH327</f>
        <v>0.525</v>
      </c>
      <c r="AI431" s="1978">
        <f t="shared" ref="AI431:AJ431" si="677">1-AI330/AI327</f>
        <v>0.525</v>
      </c>
      <c r="AJ431" s="1978">
        <f t="shared" si="677"/>
        <v>0.525</v>
      </c>
      <c r="AK431" s="1978">
        <f t="shared" ref="AK431" si="678">1-AK330/AK327</f>
        <v>0.525</v>
      </c>
      <c r="AL431" s="1978"/>
      <c r="AM431" s="1246"/>
      <c r="AU431" s="1826"/>
      <c r="AV431" s="1826"/>
      <c r="AW431" s="1933"/>
    </row>
    <row r="432" customHeight="1" spans="1:50">
      <c r="A432" s="1686" t="s">
        <v>193</v>
      </c>
      <c r="B432" s="1687">
        <v>31.2577966079439</v>
      </c>
      <c r="C432" s="1687">
        <v>30.8776996750833</v>
      </c>
      <c r="D432" s="1687">
        <v>31.7855628545835</v>
      </c>
      <c r="E432" s="1687">
        <v>32.6637730897345</v>
      </c>
      <c r="F432" s="1687">
        <v>33.7440402328663</v>
      </c>
      <c r="G432" s="1687">
        <v>34.4987146529563</v>
      </c>
      <c r="H432" s="1769">
        <f>(H360/H327)</f>
        <v>0.353075916230366</v>
      </c>
      <c r="I432" s="1769">
        <f>(I360/I327)</f>
        <v>0.366165874597578</v>
      </c>
      <c r="J432" s="1769">
        <f>(J360/J327)</f>
        <v>0.377692675921494</v>
      </c>
      <c r="K432" s="1769">
        <f>(K360/K327)</f>
        <v>0.365325597269625</v>
      </c>
      <c r="L432" s="1246">
        <f>(L360/L327)</f>
        <v>0.365474834237492</v>
      </c>
      <c r="M432" s="1246">
        <v>0.350424233031055</v>
      </c>
      <c r="N432" s="1246">
        <f t="shared" ref="N432:AA432" si="679">(N360/N327)</f>
        <v>0.370909797067676</v>
      </c>
      <c r="O432" s="1246">
        <f t="shared" si="679"/>
        <v>0.374201314936568</v>
      </c>
      <c r="P432" s="1246">
        <f t="shared" si="679"/>
        <v>0.384452364897409</v>
      </c>
      <c r="Q432" s="1246">
        <f t="shared" si="679"/>
        <v>0.38999165971643</v>
      </c>
      <c r="R432" s="1246">
        <f t="shared" si="679"/>
        <v>0.391803647827066</v>
      </c>
      <c r="S432" s="1246">
        <f t="shared" si="679"/>
        <v>0.404824296176846</v>
      </c>
      <c r="T432" s="1246">
        <f t="shared" si="679"/>
        <v>0.396832101372756</v>
      </c>
      <c r="U432" s="1246">
        <f t="shared" si="679"/>
        <v>0.400440346773084</v>
      </c>
      <c r="V432" s="1246">
        <f t="shared" si="679"/>
        <v>0.406384865503991</v>
      </c>
      <c r="W432" s="1246">
        <f t="shared" si="679"/>
        <v>0.394453084499741</v>
      </c>
      <c r="X432" s="1246">
        <f t="shared" si="679"/>
        <v>0.391035912904138</v>
      </c>
      <c r="Y432" s="1246">
        <f t="shared" si="679"/>
        <v>0.392881587953456</v>
      </c>
      <c r="Z432" s="1246">
        <f t="shared" si="679"/>
        <v>0.362632714352185</v>
      </c>
      <c r="AA432" s="1246">
        <f t="shared" si="679"/>
        <v>0.393922596250756</v>
      </c>
      <c r="AB432" s="1246">
        <f t="shared" ref="AB432:AG432" si="680">(AB360/AB327)</f>
        <v>0.363379485730432</v>
      </c>
      <c r="AC432" s="1246">
        <f t="shared" si="680"/>
        <v>0.38701079472258</v>
      </c>
      <c r="AD432" s="1246">
        <f t="shared" si="680"/>
        <v>0.405116548989264</v>
      </c>
      <c r="AE432" s="1246">
        <f t="shared" si="680"/>
        <v>0.407921894672861</v>
      </c>
      <c r="AF432" s="1717">
        <f t="shared" si="680"/>
        <v>0.387529724718875</v>
      </c>
      <c r="AG432" s="1246">
        <f t="shared" si="680"/>
        <v>0.380745746648536</v>
      </c>
      <c r="AH432" s="1246">
        <f t="shared" ref="AH432" si="681">(AH360/AH327)</f>
        <v>0.379323496275462</v>
      </c>
      <c r="AI432" s="1246">
        <f t="shared" ref="AI432:AJ432" si="682">(AI360/AI327)</f>
        <v>0.376099494007856</v>
      </c>
      <c r="AJ432" s="1246">
        <f t="shared" si="682"/>
        <v>0.374436943452643</v>
      </c>
      <c r="AK432" s="1246">
        <f t="shared" ref="AK432" si="683">(AK360/AK327)</f>
        <v>0.372763202678472</v>
      </c>
      <c r="AL432" s="1246"/>
      <c r="AM432" s="1246"/>
      <c r="AU432" s="1826"/>
      <c r="AV432" s="1826"/>
      <c r="AW432" s="1933"/>
    </row>
    <row r="433" s="1684" customFormat="1" customHeight="1" spans="1:49">
      <c r="A433" s="1684" t="s">
        <v>194</v>
      </c>
      <c r="B433" s="2031">
        <v>9.79125501052489</v>
      </c>
      <c r="C433" s="2031">
        <v>9.69334664146617</v>
      </c>
      <c r="D433" s="2031">
        <v>10.2349955210511</v>
      </c>
      <c r="E433" s="2031">
        <v>8.31775512264056</v>
      </c>
      <c r="F433" s="2031">
        <v>8.88840315613975</v>
      </c>
      <c r="G433" s="2031">
        <v>7.50642673521851</v>
      </c>
      <c r="H433" s="2032">
        <f>(H368/H327)</f>
        <v>0.0777159685863874</v>
      </c>
      <c r="I433" s="2032">
        <f>(I368/I327)</f>
        <v>0.0731258623332822</v>
      </c>
      <c r="J433" s="2032">
        <f>(J368/J327)</f>
        <v>0.0781873304611457</v>
      </c>
      <c r="K433" s="2032">
        <f>(K368/K327)</f>
        <v>0.0996587030716723</v>
      </c>
      <c r="L433" s="1824">
        <f>(L368/L327)</f>
        <v>0.106540084388186</v>
      </c>
      <c r="M433" s="1824">
        <v>0.0895406282261755</v>
      </c>
      <c r="N433" s="1824">
        <f t="shared" ref="N433:AA433" si="684">(N368/N327)</f>
        <v>0.0921448684338285</v>
      </c>
      <c r="O433" s="1824">
        <f t="shared" si="684"/>
        <v>0.0990832484489305</v>
      </c>
      <c r="P433" s="1824">
        <f t="shared" si="684"/>
        <v>0.0489355553414893</v>
      </c>
      <c r="Q433" s="1824">
        <f t="shared" si="684"/>
        <v>0.0745621351125938</v>
      </c>
      <c r="R433" s="1824">
        <f t="shared" si="684"/>
        <v>0.0715304360879682</v>
      </c>
      <c r="S433" s="1824">
        <f t="shared" si="684"/>
        <v>0.0618154941879997</v>
      </c>
      <c r="T433" s="1824">
        <f t="shared" si="684"/>
        <v>0.0831397395283351</v>
      </c>
      <c r="U433" s="1824">
        <f t="shared" si="684"/>
        <v>0.060754093848906</v>
      </c>
      <c r="V433" s="1824">
        <f t="shared" si="684"/>
        <v>0.0626071534141295</v>
      </c>
      <c r="W433" s="1824">
        <f t="shared" si="684"/>
        <v>0.077293934681182</v>
      </c>
      <c r="X433" s="1824">
        <f t="shared" si="684"/>
        <v>0.0975586765953436</v>
      </c>
      <c r="Y433" s="1824">
        <f t="shared" si="684"/>
        <v>0.108053844398814</v>
      </c>
      <c r="Z433" s="1824">
        <f t="shared" si="684"/>
        <v>0.112516391015608</v>
      </c>
      <c r="AA433" s="1824">
        <f t="shared" si="684"/>
        <v>0.0378451925015118</v>
      </c>
      <c r="AB433" s="1824">
        <f t="shared" ref="AB433:AG433" si="685">(AB368/AB327)</f>
        <v>0.0935292455495902</v>
      </c>
      <c r="AC433" s="1824">
        <f t="shared" si="685"/>
        <v>0.0297188041401981</v>
      </c>
      <c r="AD433" s="1824">
        <f t="shared" si="685"/>
        <v>0.00967211529161435</v>
      </c>
      <c r="AE433" s="1824">
        <f t="shared" si="685"/>
        <v>0.0493639560630396</v>
      </c>
      <c r="AF433" s="1825">
        <f t="shared" si="685"/>
        <v>0.0828664705171094</v>
      </c>
      <c r="AG433" s="1824">
        <f t="shared" si="685"/>
        <v>0.0930603474226423</v>
      </c>
      <c r="AH433" s="1824">
        <f t="shared" ref="AH433" si="686">(AH368/AH327)</f>
        <v>0.103482597795716</v>
      </c>
      <c r="AI433" s="1824">
        <f t="shared" ref="AI433:AJ433" si="687">(AI368/AI327)</f>
        <v>0.106706600063322</v>
      </c>
      <c r="AJ433" s="1824">
        <f t="shared" si="687"/>
        <v>0.108369150618535</v>
      </c>
      <c r="AK433" s="1824">
        <f t="shared" ref="AK433" si="688">(AK368/AK327)</f>
        <v>0.110042891392706</v>
      </c>
      <c r="AL433" s="1824"/>
      <c r="AM433" s="1824"/>
      <c r="AN433" s="2033"/>
      <c r="AO433" s="2033"/>
      <c r="AP433" s="2033"/>
      <c r="AQ433" s="2033"/>
      <c r="AR433" s="2033"/>
      <c r="AS433" s="2033"/>
      <c r="AT433" s="2034"/>
      <c r="AU433" s="2035"/>
      <c r="AV433" s="2035"/>
      <c r="AW433" s="2036"/>
    </row>
    <row r="434" customHeight="1" spans="1:49">
      <c r="A434" s="1686" t="s">
        <v>195</v>
      </c>
      <c r="B434" s="1687">
        <v>11.3213170180005</v>
      </c>
      <c r="C434" s="1687">
        <v>11.4772027437406</v>
      </c>
      <c r="D434" s="1687">
        <v>11.6876886924045</v>
      </c>
      <c r="E434" s="1687">
        <v>6.05672756636722</v>
      </c>
      <c r="F434" s="1687">
        <v>7.30305289569872</v>
      </c>
      <c r="G434" s="1687">
        <v>5.91259640102828</v>
      </c>
      <c r="H434" s="1769">
        <f>(H383/H327)</f>
        <v>0.0610274869109948</v>
      </c>
      <c r="I434" s="1769">
        <f>(I383/I327)</f>
        <v>0.0597884409014257</v>
      </c>
      <c r="J434" s="1769">
        <f>(J383/J327)</f>
        <v>0.0703685974150311</v>
      </c>
      <c r="K434" s="1769">
        <f>(K383/K327)</f>
        <v>0.0895904436860068</v>
      </c>
      <c r="L434" s="1246">
        <f>(L383/L327)</f>
        <v>0.0987040385774563</v>
      </c>
      <c r="M434" s="1246">
        <v>0.0749287955463849</v>
      </c>
      <c r="N434" s="1246">
        <f t="shared" ref="N434:AA434" si="689">(N383/N327)</f>
        <v>0.0790367996892902</v>
      </c>
      <c r="O434" s="1246">
        <f t="shared" si="689"/>
        <v>0.08371145476433</v>
      </c>
      <c r="P434" s="1246">
        <f t="shared" si="689"/>
        <v>0.034486080339081</v>
      </c>
      <c r="Q434" s="1246">
        <f t="shared" si="689"/>
        <v>0.0672226855713094</v>
      </c>
      <c r="R434" s="1246">
        <f t="shared" si="689"/>
        <v>0.0652255498010958</v>
      </c>
      <c r="S434" s="1246">
        <f t="shared" si="689"/>
        <v>0.0571793321238998</v>
      </c>
      <c r="T434" s="1246">
        <f t="shared" si="689"/>
        <v>0.0783526927138332</v>
      </c>
      <c r="U434" s="1246">
        <f t="shared" si="689"/>
        <v>0.0574514930507775</v>
      </c>
      <c r="V434" s="1246">
        <f t="shared" si="689"/>
        <v>0.0613656517883535</v>
      </c>
      <c r="W434" s="1246">
        <f t="shared" si="689"/>
        <v>0.0749092794193883</v>
      </c>
      <c r="X434" s="1246">
        <f t="shared" si="689"/>
        <v>0.0953435762088792</v>
      </c>
      <c r="Y434" s="1246">
        <f t="shared" si="689"/>
        <v>0.108510152863336</v>
      </c>
      <c r="Z434" s="1246">
        <f t="shared" si="689"/>
        <v>0.108201852713506</v>
      </c>
      <c r="AA434" s="1246">
        <f t="shared" si="689"/>
        <v>0.0289760129006249</v>
      </c>
      <c r="AB434" s="1246">
        <f t="shared" ref="AB434:AG434" si="690">(AB383/AB327)</f>
        <v>0.0872186116605444</v>
      </c>
      <c r="AC434" s="1246">
        <f t="shared" si="690"/>
        <v>0.0172360179467816</v>
      </c>
      <c r="AD434" s="1246">
        <f t="shared" si="690"/>
        <v>-0.000145081729374137</v>
      </c>
      <c r="AE434" s="1246">
        <f t="shared" si="690"/>
        <v>0.0399861068901138</v>
      </c>
      <c r="AF434" s="1717">
        <f t="shared" si="690"/>
        <v>0.0733545604772077</v>
      </c>
      <c r="AG434" s="1246">
        <f t="shared" si="690"/>
        <v>0.0847309856335265</v>
      </c>
      <c r="AH434" s="1246">
        <f t="shared" ref="AH434" si="691">(AH383/AH327)</f>
        <v>0.095738535841467</v>
      </c>
      <c r="AI434" s="1246">
        <f t="shared" ref="AI434:AJ434" si="692">(AI383/AI327)</f>
        <v>0.0994537604800705</v>
      </c>
      <c r="AJ434" s="1246">
        <f t="shared" si="692"/>
        <v>0.101524145576671</v>
      </c>
      <c r="AK434" s="1246">
        <f t="shared" ref="AK434" si="693">(AK383/AK327)</f>
        <v>0.103583230755109</v>
      </c>
      <c r="AL434" s="1246"/>
      <c r="AM434" s="1246"/>
      <c r="AU434" s="1826"/>
      <c r="AV434" s="1826"/>
      <c r="AW434" s="1933"/>
    </row>
    <row r="435" customHeight="1" spans="1:49">
      <c r="A435" s="1686" t="s">
        <v>168</v>
      </c>
      <c r="B435" s="1687">
        <v>10.0795689335753</v>
      </c>
      <c r="C435" s="1687">
        <v>9.35356452674723</v>
      </c>
      <c r="D435" s="1687">
        <v>8.88909209640565</v>
      </c>
      <c r="E435" s="1687">
        <v>3.97738972443727</v>
      </c>
      <c r="F435" s="1687">
        <v>4.4569198444963</v>
      </c>
      <c r="G435" s="1687">
        <v>3.51328191945158</v>
      </c>
      <c r="H435" s="1769">
        <f>(H389/H327)</f>
        <v>0.0369764397905759</v>
      </c>
      <c r="I435" s="1769">
        <f>(I389/I327)</f>
        <v>0.0370994940978078</v>
      </c>
      <c r="J435" s="1769">
        <f>(J389/J327)</f>
        <v>0.0437210786660284</v>
      </c>
      <c r="K435" s="1769">
        <f>(K389/K327)</f>
        <v>0.0566552901023891</v>
      </c>
      <c r="L435" s="1246">
        <f>(L389/L327)</f>
        <v>0.0654008438818565</v>
      </c>
      <c r="M435" s="1246">
        <v>0.0502022930160779</v>
      </c>
      <c r="N435" s="1246">
        <f t="shared" ref="N435:AA435" si="694">(N389/N327)</f>
        <v>0.0537916302553646</v>
      </c>
      <c r="O435" s="1246">
        <f t="shared" si="694"/>
        <v>0.0596351514029077</v>
      </c>
      <c r="P435" s="1246">
        <f t="shared" si="694"/>
        <v>0.0236008091706001</v>
      </c>
      <c r="Q435" s="1246">
        <f t="shared" si="694"/>
        <v>0.047372810675563</v>
      </c>
      <c r="R435" s="1246">
        <f t="shared" si="694"/>
        <v>0.0456353674097425</v>
      </c>
      <c r="S435" s="1246">
        <f t="shared" si="694"/>
        <v>0.035207955385339</v>
      </c>
      <c r="T435" s="1246">
        <f t="shared" si="694"/>
        <v>0.0544174586413235</v>
      </c>
      <c r="U435" s="1246">
        <f t="shared" si="694"/>
        <v>0.0388055593780102</v>
      </c>
      <c r="V435" s="1246">
        <f t="shared" si="694"/>
        <v>0.0404966006503104</v>
      </c>
      <c r="W435" s="1246">
        <f t="shared" si="694"/>
        <v>0.0528252980819077</v>
      </c>
      <c r="X435" s="1246">
        <f t="shared" si="694"/>
        <v>0.0674079083796776</v>
      </c>
      <c r="Y435" s="1246">
        <f t="shared" si="694"/>
        <v>0.0779831165868126</v>
      </c>
      <c r="Z435" s="1246">
        <f t="shared" si="694"/>
        <v>0.0811302398375703</v>
      </c>
      <c r="AA435" s="1246">
        <f t="shared" si="694"/>
        <v>0.0216186252771619</v>
      </c>
      <c r="AB435" s="1246">
        <f t="shared" ref="AB435:AG435" si="695">(AB389/AB327)</f>
        <v>0.0702646698690778</v>
      </c>
      <c r="AC435" s="1246">
        <f t="shared" si="695"/>
        <v>0.0112833725734086</v>
      </c>
      <c r="AD435" s="1246">
        <f t="shared" si="695"/>
        <v>-0.000677048070412178</v>
      </c>
      <c r="AE435" s="1246">
        <f t="shared" si="695"/>
        <v>0.0293897885642337</v>
      </c>
      <c r="AF435" s="1717">
        <f t="shared" si="695"/>
        <v>0.0554995768006126</v>
      </c>
      <c r="AG435" s="1246">
        <f t="shared" si="695"/>
        <v>0.0635482392251449</v>
      </c>
      <c r="AH435" s="1246">
        <f t="shared" ref="AH435" si="696">(AH389/AH327)</f>
        <v>0.0718039018811003</v>
      </c>
      <c r="AI435" s="1246">
        <f t="shared" ref="AI435:AJ435" si="697">(AI389/AI327)</f>
        <v>0.0745903203600529</v>
      </c>
      <c r="AJ435" s="1246">
        <f t="shared" si="697"/>
        <v>0.0761431091825033</v>
      </c>
      <c r="AK435" s="1246">
        <f t="shared" ref="AK435" si="698">(AK389/AK327)</f>
        <v>0.0776874230663314</v>
      </c>
      <c r="AL435" s="1246"/>
      <c r="AM435" s="1246"/>
      <c r="AU435" s="1826"/>
      <c r="AV435" s="1826"/>
      <c r="AW435" s="1933"/>
    </row>
    <row r="436" customHeight="1" spans="1:49">
      <c r="B436" s="1977"/>
      <c r="C436" s="1977"/>
      <c r="D436" s="1977"/>
      <c r="E436" s="1977"/>
      <c r="F436" s="1977"/>
      <c r="G436" s="1977"/>
      <c r="H436" s="1977"/>
      <c r="I436" s="1977"/>
      <c r="J436" s="1977"/>
      <c r="K436" s="1977"/>
      <c r="L436" s="1978"/>
      <c r="M436" s="1978"/>
      <c r="N436" s="1978"/>
      <c r="O436" s="1978"/>
      <c r="P436" s="1978"/>
      <c r="Q436" s="1978"/>
      <c r="R436" s="1978"/>
      <c r="S436" s="1978"/>
      <c r="T436" s="1978"/>
      <c r="U436" s="1978"/>
      <c r="V436" s="1978"/>
      <c r="W436" s="1978"/>
      <c r="X436" s="1978"/>
      <c r="Y436" s="1978"/>
      <c r="Z436" s="1978"/>
      <c r="AA436" s="1978"/>
      <c r="AB436" s="1978"/>
      <c r="AC436" s="1978"/>
      <c r="AD436" s="1978"/>
      <c r="AE436" s="1978"/>
      <c r="AF436" s="2030"/>
      <c r="AG436" s="1978"/>
      <c r="AH436" s="1978"/>
      <c r="AI436" s="1978"/>
      <c r="AJ436" s="1978"/>
      <c r="AK436" s="1978"/>
      <c r="AL436" s="1978"/>
      <c r="AM436" s="1246"/>
      <c r="AU436" s="1826"/>
      <c r="AV436" s="1826"/>
      <c r="AW436" s="1933"/>
    </row>
    <row r="437" customHeight="1" spans="1:49">
      <c r="A437" s="1697" t="s">
        <v>196</v>
      </c>
      <c r="B437" s="1914" t="str">
        <f t="shared" ref="B437:P437" si="699">B1</f>
        <v>FY 95</v>
      </c>
      <c r="C437" s="1914" t="str">
        <f t="shared" si="699"/>
        <v>FY 96</v>
      </c>
      <c r="D437" s="1914" t="str">
        <f t="shared" si="699"/>
        <v>FY 97</v>
      </c>
      <c r="E437" s="1914" t="str">
        <f t="shared" si="699"/>
        <v>FY 98</v>
      </c>
      <c r="F437" s="1914" t="str">
        <f t="shared" si="699"/>
        <v>FY 99</v>
      </c>
      <c r="G437" s="1914" t="str">
        <f t="shared" si="699"/>
        <v>FY 00</v>
      </c>
      <c r="H437" s="1914" t="str">
        <f t="shared" si="699"/>
        <v>FY 01</v>
      </c>
      <c r="I437" s="1914" t="str">
        <f t="shared" si="699"/>
        <v>FY 02</v>
      </c>
      <c r="J437" s="1914" t="str">
        <f t="shared" si="699"/>
        <v>FY 03</v>
      </c>
      <c r="K437" s="1914" t="str">
        <f t="shared" si="699"/>
        <v>FY 04</v>
      </c>
      <c r="L437" s="1915" t="str">
        <f t="shared" si="699"/>
        <v>FY 05</v>
      </c>
      <c r="M437" s="1915" t="str">
        <f t="shared" si="699"/>
        <v>FY 06</v>
      </c>
      <c r="N437" s="1915" t="str">
        <f t="shared" si="699"/>
        <v>FY 07</v>
      </c>
      <c r="O437" s="1915" t="str">
        <f t="shared" si="699"/>
        <v>FY 08</v>
      </c>
      <c r="P437" s="1915" t="str">
        <f t="shared" si="699"/>
        <v>FY 09</v>
      </c>
      <c r="Q437" s="1915" t="str">
        <f t="shared" ref="Q437:AK437" si="700">Q$1</f>
        <v>FY 10</v>
      </c>
      <c r="R437" s="1915" t="str">
        <f t="shared" si="700"/>
        <v>FY 11</v>
      </c>
      <c r="S437" s="1915" t="str">
        <f t="shared" si="700"/>
        <v>FY 12</v>
      </c>
      <c r="T437" s="1915" t="str">
        <f t="shared" si="700"/>
        <v>FY 13</v>
      </c>
      <c r="U437" s="1915" t="str">
        <f t="shared" si="700"/>
        <v>FY 14</v>
      </c>
      <c r="V437" s="1915" t="str">
        <f t="shared" si="700"/>
        <v>FY 15</v>
      </c>
      <c r="W437" s="1915" t="str">
        <f t="shared" si="700"/>
        <v>FY 16</v>
      </c>
      <c r="X437" s="1915" t="str">
        <f t="shared" si="700"/>
        <v>FY 17</v>
      </c>
      <c r="Y437" s="1915" t="str">
        <f t="shared" si="700"/>
        <v>FY 18</v>
      </c>
      <c r="Z437" s="1915" t="str">
        <f t="shared" si="700"/>
        <v>FY 19</v>
      </c>
      <c r="AA437" s="1915" t="str">
        <f t="shared" si="700"/>
        <v>FY 20</v>
      </c>
      <c r="AB437" s="1915" t="str">
        <f t="shared" si="700"/>
        <v>FY 21</v>
      </c>
      <c r="AC437" s="1915" t="str">
        <f t="shared" si="700"/>
        <v>FY 22</v>
      </c>
      <c r="AD437" s="1915" t="str">
        <f t="shared" si="700"/>
        <v>FY 23</v>
      </c>
      <c r="AE437" s="1915" t="str">
        <f t="shared" si="700"/>
        <v>FY 24</v>
      </c>
      <c r="AF437" s="1916" t="str">
        <f t="shared" si="700"/>
        <v>FY 25</v>
      </c>
      <c r="AG437" s="1915" t="str">
        <f t="shared" si="700"/>
        <v>FY 26E</v>
      </c>
      <c r="AH437" s="1915" t="str">
        <f t="shared" si="700"/>
        <v>FY 27E</v>
      </c>
      <c r="AI437" s="1915" t="str">
        <f t="shared" si="700"/>
        <v>FY 28E</v>
      </c>
      <c r="AJ437" s="1915" t="str">
        <f t="shared" si="700"/>
        <v>FY 29E</v>
      </c>
      <c r="AK437" s="1915" t="str">
        <f t="shared" si="700"/>
        <v>FY 30E</v>
      </c>
      <c r="AL437" s="1915"/>
      <c r="AM437" s="1246"/>
      <c r="AU437" s="1826"/>
      <c r="AV437" s="1826"/>
      <c r="AW437" s="1933"/>
    </row>
    <row r="438" customHeight="1" spans="1:49">
      <c r="A438" s="1737" t="s">
        <v>197</v>
      </c>
      <c r="B438" s="1756"/>
      <c r="C438" s="1756"/>
      <c r="D438" s="1756"/>
      <c r="E438" s="1756"/>
      <c r="F438" s="1756"/>
      <c r="G438" s="1756"/>
      <c r="H438" s="1756"/>
      <c r="I438" s="1756"/>
      <c r="J438" s="1756"/>
      <c r="K438" s="1756"/>
      <c r="L438" s="1741">
        <v>1.24448859110941</v>
      </c>
      <c r="M438" s="1741">
        <v>1.25609692307692</v>
      </c>
      <c r="N438" s="1741">
        <v>1.37040095571096</v>
      </c>
      <c r="O438" s="1741">
        <v>1.47154165535957</v>
      </c>
      <c r="P438" s="1741">
        <v>1.39527312294099</v>
      </c>
      <c r="Q438" s="1741">
        <f>'[137]Master FX'!$AA$76</f>
        <v>1.32690896661932</v>
      </c>
      <c r="R438" s="1741">
        <f>'[137]Master FX'!$AE$76</f>
        <v>1.39200917431527</v>
      </c>
      <c r="S438" s="1741">
        <f>'[137]Master FX'!$AI$76</f>
        <v>1.28553307692308</v>
      </c>
      <c r="T438" s="1741">
        <f>'[137]Master FX'!$AM$76</f>
        <v>1.32794221244901</v>
      </c>
      <c r="U438" s="1741">
        <f>'[137]Master FX'!$AQ$76</f>
        <v>1.32907636227054</v>
      </c>
      <c r="V438" s="1741">
        <f>'[137]Master FX'!$AU$76</f>
        <v>1.10998815523019</v>
      </c>
      <c r="W438" s="1741">
        <f>'[137]Master FX'!$AY$76</f>
        <v>1.10646912004662</v>
      </c>
      <c r="X438" s="1741">
        <f>'[137]Master FX'!$BC$76</f>
        <v>1.12992290236686</v>
      </c>
      <c r="Y438" s="1741">
        <f>Interim!GK493</f>
        <v>1.1837</v>
      </c>
      <c r="Z438" s="1741">
        <f>Interim!GS493</f>
        <v>1.1205</v>
      </c>
      <c r="AA438" s="1741">
        <f>Interim!HA493</f>
        <v>1.14525</v>
      </c>
      <c r="AB438" s="1741">
        <f>Interim!HI493</f>
        <v>1.206375</v>
      </c>
      <c r="AC438" s="1741">
        <f>Interim!HQ493</f>
        <v>1.04875</v>
      </c>
      <c r="AD438" s="1741">
        <f>Interim!HY493</f>
        <v>1.0835</v>
      </c>
      <c r="AE438" s="1741">
        <f>Interim!IG493</f>
        <v>1.079</v>
      </c>
      <c r="AF438" s="2037">
        <f>Interim!IO493</f>
        <v>1.12875</v>
      </c>
      <c r="AG438" s="1741">
        <f>Interim!IW493</f>
        <v>1.155825</v>
      </c>
      <c r="AH438" s="1741">
        <f>Interim!IU493</f>
        <v>1.145</v>
      </c>
      <c r="AI438" s="1741">
        <f t="shared" ref="AI438:AK447" si="701">AH438</f>
        <v>1.145</v>
      </c>
      <c r="AJ438" s="1741">
        <f t="shared" si="701"/>
        <v>1.145</v>
      </c>
      <c r="AK438" s="1741">
        <f t="shared" si="701"/>
        <v>1.145</v>
      </c>
      <c r="AL438" s="1741"/>
      <c r="AM438" s="1246"/>
      <c r="AU438" s="1826"/>
      <c r="AV438" s="1826"/>
      <c r="AW438" s="1933"/>
    </row>
    <row r="439" customHeight="1" spans="1:49">
      <c r="A439" s="1737" t="s">
        <v>198</v>
      </c>
      <c r="B439" s="1946"/>
      <c r="C439" s="1756"/>
      <c r="D439" s="1756"/>
      <c r="E439" s="1946"/>
      <c r="F439" s="1946"/>
      <c r="G439" s="1946"/>
      <c r="H439" s="1946"/>
      <c r="I439" s="1946"/>
      <c r="J439" s="1946"/>
      <c r="K439" s="1946"/>
      <c r="L439" s="1741">
        <v>136.960813701923</v>
      </c>
      <c r="M439" s="1741">
        <v>146.134192307692</v>
      </c>
      <c r="N439" s="1741">
        <v>161.274825174825</v>
      </c>
      <c r="O439" s="1741">
        <v>152.627834055248</v>
      </c>
      <c r="P439" s="1741">
        <v>130.58939728786</v>
      </c>
      <c r="Q439" s="1741">
        <f>'[137]Master FX'!$AA$75</f>
        <v>116.560710227273</v>
      </c>
      <c r="R439" s="1741">
        <f>'[137]Master FX'!$AE$75</f>
        <v>111.130393411276</v>
      </c>
      <c r="S439" s="1741">
        <f>'[137]Master FX'!$AI$75</f>
        <v>102.652534382284</v>
      </c>
      <c r="T439" s="1741">
        <f>'[137]Master FX'!$AM$75</f>
        <v>129.603662514569</v>
      </c>
      <c r="U439" s="1741">
        <f>'[137]Master FX'!$AQ$75</f>
        <v>140.461670472756</v>
      </c>
      <c r="V439" s="1741">
        <f>'[137]Master FX'!$AU$75</f>
        <v>134.40786509324</v>
      </c>
      <c r="W439" s="1741">
        <f>'[137]Master FX'!$AY$75</f>
        <v>120.327902680653</v>
      </c>
      <c r="X439" s="1741">
        <f>'[137]Master FX'!$BC$75</f>
        <v>126.761461538462</v>
      </c>
      <c r="Y439" s="1741">
        <f>Interim!GK496</f>
        <v>130.75</v>
      </c>
      <c r="Z439" s="1741">
        <f>Interim!GS496</f>
        <v>121.875</v>
      </c>
      <c r="AA439" s="1741">
        <f>Interim!HA496</f>
        <v>122.075</v>
      </c>
      <c r="AB439" s="1741">
        <f>Interim!HI496</f>
        <v>130.7825</v>
      </c>
      <c r="AC439" s="1741">
        <f>Interim!HQ496</f>
        <v>138.1375</v>
      </c>
      <c r="AD439" s="1741">
        <f>Interim!HY496</f>
        <v>151.825</v>
      </c>
      <c r="AE439" s="1741">
        <f>Interim!IG496</f>
        <v>159.7125</v>
      </c>
      <c r="AF439" s="2037">
        <f>Interim!IO496</f>
        <v>168.8375</v>
      </c>
      <c r="AG439" s="1741">
        <f>Interim!IW496</f>
        <v>185.375</v>
      </c>
      <c r="AH439" s="1741">
        <f>Interim!IU496</f>
        <v>187.3</v>
      </c>
      <c r="AI439" s="1741">
        <f t="shared" si="701"/>
        <v>187.3</v>
      </c>
      <c r="AJ439" s="1741">
        <f t="shared" si="701"/>
        <v>187.3</v>
      </c>
      <c r="AK439" s="1741">
        <f t="shared" si="701"/>
        <v>187.3</v>
      </c>
      <c r="AL439" s="1741"/>
      <c r="AM439" s="1246"/>
      <c r="AU439" s="1826"/>
      <c r="AV439" s="1826"/>
      <c r="AW439" s="1933"/>
    </row>
    <row r="440" customHeight="1" spans="1:49">
      <c r="A440" s="1737" t="s">
        <v>199</v>
      </c>
      <c r="B440" s="1769"/>
      <c r="C440" s="1756"/>
      <c r="D440" s="1756"/>
      <c r="E440" s="1769"/>
      <c r="F440" s="1769"/>
      <c r="G440" s="1769"/>
      <c r="H440" s="1769"/>
      <c r="I440" s="1769"/>
      <c r="J440" s="1769"/>
      <c r="K440" s="1769"/>
      <c r="L440" s="1741">
        <v>200.34774371722</v>
      </c>
      <c r="M440" s="1741">
        <v>214.411653846154</v>
      </c>
      <c r="N440" s="1741">
        <v>235.804172494172</v>
      </c>
      <c r="O440" s="1741">
        <v>192.805751008941</v>
      </c>
      <c r="P440" s="1741">
        <v>146.454469571843</v>
      </c>
      <c r="Q440" s="1741">
        <v>147.106774193548</v>
      </c>
      <c r="R440" s="1741">
        <v>147.106774193548</v>
      </c>
      <c r="S440" s="1741">
        <f t="shared" ref="S440:X440" si="702">R440</f>
        <v>147.106774193548</v>
      </c>
      <c r="T440" s="1741">
        <f t="shared" si="702"/>
        <v>147.106774193548</v>
      </c>
      <c r="U440" s="1741">
        <f t="shared" si="702"/>
        <v>147.106774193548</v>
      </c>
      <c r="V440" s="1741">
        <f t="shared" si="702"/>
        <v>147.106774193548</v>
      </c>
      <c r="W440" s="1741">
        <f t="shared" si="702"/>
        <v>147.106774193548</v>
      </c>
      <c r="X440" s="1741">
        <f t="shared" si="702"/>
        <v>147.106774193548</v>
      </c>
      <c r="Y440" s="1741">
        <v>9.26</v>
      </c>
      <c r="Z440" s="1741">
        <v>8.77</v>
      </c>
      <c r="AA440" s="1741">
        <v>8.8</v>
      </c>
      <c r="AB440" s="1741">
        <v>9.4</v>
      </c>
      <c r="AC440" s="1741">
        <v>8</v>
      </c>
      <c r="AD440" s="1741">
        <v>8.48</v>
      </c>
      <c r="AE440" s="1741">
        <v>8.47</v>
      </c>
      <c r="AF440" s="2037">
        <v>8.4</v>
      </c>
      <c r="AG440" s="1741">
        <v>9</v>
      </c>
      <c r="AH440" s="1741">
        <v>8.9</v>
      </c>
      <c r="AI440" s="1741">
        <f t="shared" si="701"/>
        <v>8.9</v>
      </c>
      <c r="AJ440" s="1741">
        <f t="shared" si="701"/>
        <v>8.9</v>
      </c>
      <c r="AK440" s="1741">
        <f t="shared" si="701"/>
        <v>8.9</v>
      </c>
      <c r="AL440" s="1741"/>
      <c r="AM440" s="1246"/>
      <c r="AU440" s="1826"/>
      <c r="AV440" s="1826"/>
      <c r="AW440" s="1933"/>
    </row>
    <row r="441" customHeight="1" spans="1:49">
      <c r="A441" s="1737" t="s">
        <v>200</v>
      </c>
      <c r="B441" s="1769"/>
      <c r="C441" s="1756"/>
      <c r="D441" s="1756"/>
      <c r="E441" s="1769"/>
      <c r="F441" s="1769"/>
      <c r="G441" s="1769"/>
      <c r="H441" s="1769"/>
      <c r="I441" s="1769"/>
      <c r="J441" s="1769"/>
      <c r="K441" s="1769"/>
      <c r="L441" s="1741">
        <f>'[137]Master FX'!$G$92</f>
        <v>35.1890122636218</v>
      </c>
      <c r="M441" s="1741">
        <f>'[137]Master FX'!$K$92</f>
        <v>34.1156769230769</v>
      </c>
      <c r="N441" s="1741">
        <f>'[137]Master FX'!$O$92</f>
        <v>35.0154693356643</v>
      </c>
      <c r="O441" s="1741">
        <f>'[137]Master FX'!$S$92</f>
        <v>36.4592889417423</v>
      </c>
      <c r="P441" s="1741">
        <f>'[137]Master FX'!W92</f>
        <v>44.1099169105114</v>
      </c>
      <c r="Q441" s="1741">
        <f>'[137]Master FX'!AA92</f>
        <v>40.2763605705492</v>
      </c>
      <c r="R441" s="1741">
        <f>'[137]Master FX'!AE92</f>
        <v>40.873406572516</v>
      </c>
      <c r="S441" s="1741">
        <f>'[137]Master FX'!AI92</f>
        <v>39.9054985081585</v>
      </c>
      <c r="T441" s="1741">
        <f>'[137]Master FX'!AM92</f>
        <v>42.3046438029939</v>
      </c>
      <c r="U441" s="1741">
        <f>'[137]Master FX'!AQ92</f>
        <v>51.0051874007503</v>
      </c>
      <c r="V441" s="1741">
        <f>'[137]Master FX'!AU92</f>
        <v>67.994849667468</v>
      </c>
      <c r="W441" s="1741">
        <f>'[137]Master FX'!AY92</f>
        <v>74.1525691142191</v>
      </c>
      <c r="X441" s="1741">
        <f>'[137]Master FX'!BC92</f>
        <v>65.6270796153846</v>
      </c>
      <c r="Y441" s="1741">
        <f>Interim!GK494</f>
        <v>74.05</v>
      </c>
      <c r="Z441" s="1741">
        <f>Interim!GS494</f>
        <v>72.910625</v>
      </c>
      <c r="AA441" s="1741">
        <f>Interim!HA494</f>
        <v>82.56</v>
      </c>
      <c r="AB441" s="1741">
        <f>Interim!HI494</f>
        <v>89.56875</v>
      </c>
      <c r="AC441" s="1741">
        <f>Interim!HQ494</f>
        <v>73.4</v>
      </c>
      <c r="AD441" s="1741"/>
      <c r="AE441" s="1741"/>
      <c r="AF441" s="2037"/>
      <c r="AG441" s="1741"/>
      <c r="AH441" s="1741"/>
      <c r="AI441" s="1741"/>
      <c r="AJ441" s="1741"/>
      <c r="AK441" s="1741"/>
      <c r="AL441" s="1741"/>
      <c r="AM441" s="1246"/>
      <c r="AU441" s="1826"/>
      <c r="AV441" s="1826"/>
      <c r="AW441" s="1933"/>
    </row>
    <row r="442" customHeight="1" spans="1:49">
      <c r="A442" s="1737" t="s">
        <v>201</v>
      </c>
      <c r="B442" s="1769"/>
      <c r="C442" s="1756"/>
      <c r="D442" s="1756"/>
      <c r="E442" s="1769"/>
      <c r="F442" s="1769"/>
      <c r="G442" s="1769"/>
      <c r="H442" s="1769"/>
      <c r="I442" s="1769"/>
      <c r="J442" s="1769"/>
      <c r="K442" s="1769"/>
      <c r="L442" s="1741"/>
      <c r="M442" s="1741"/>
      <c r="N442" s="1741"/>
      <c r="O442" s="1741">
        <f>'[137]Master FX'!$S$93</f>
        <v>24.8799885804196</v>
      </c>
      <c r="P442" s="1741">
        <f>'[137]Master FX'!W93</f>
        <v>31.7553252744027</v>
      </c>
      <c r="Q442" s="1741">
        <f>'[137]Master FX'!AA93</f>
        <v>30.3811129256854</v>
      </c>
      <c r="R442" s="1741">
        <f>'[137]Master FX'!AE93</f>
        <v>29.4029356786313</v>
      </c>
      <c r="S442" s="1741">
        <f>'[137]Master FX'!AI93</f>
        <v>31.0677959778555</v>
      </c>
      <c r="T442" s="1741">
        <f>'[137]Master FX'!AM93</f>
        <v>31.8522827468313</v>
      </c>
      <c r="U442" s="1741">
        <f>'[137]Master FX'!AQ93</f>
        <v>38.5971936969697</v>
      </c>
      <c r="V442" s="1741">
        <f>'[137]Master FX'!AU93</f>
        <v>61.2474579526697</v>
      </c>
      <c r="W442" s="1741">
        <f>'[137]Master FX'!AY93</f>
        <v>67.0144026247086</v>
      </c>
      <c r="X442" s="1741">
        <f>'[137]Master FX'!BC93</f>
        <v>58.0840131153846</v>
      </c>
      <c r="Y442" s="1741">
        <v>55.8</v>
      </c>
      <c r="Z442" s="1741">
        <v>64.84</v>
      </c>
      <c r="AA442" s="1741">
        <f>Interim!HA494</f>
        <v>82.56</v>
      </c>
      <c r="AB442" s="1741">
        <f>Interim!HI494</f>
        <v>89.56875</v>
      </c>
      <c r="AC442" s="1741">
        <f>Interim!HQ494</f>
        <v>73.4</v>
      </c>
      <c r="AD442" s="1741"/>
      <c r="AE442" s="1741"/>
      <c r="AF442" s="2037"/>
      <c r="AG442" s="1741"/>
      <c r="AH442" s="1741"/>
      <c r="AI442" s="1741"/>
      <c r="AJ442" s="1741"/>
      <c r="AK442" s="1741"/>
      <c r="AL442" s="1741"/>
      <c r="AM442" s="1246"/>
      <c r="AU442" s="1826"/>
      <c r="AV442" s="1826"/>
      <c r="AW442" s="1933"/>
    </row>
    <row r="443" customHeight="1" spans="1:49">
      <c r="A443" s="1737" t="s">
        <v>202</v>
      </c>
      <c r="B443" s="1769"/>
      <c r="C443" s="1756"/>
      <c r="D443" s="1756"/>
      <c r="E443" s="1769"/>
      <c r="F443" s="1769"/>
      <c r="G443" s="1769"/>
      <c r="H443" s="1769"/>
      <c r="I443" s="1769"/>
      <c r="J443" s="1769"/>
      <c r="K443" s="1769"/>
      <c r="L443" s="1741">
        <f>'[137]Master FX'!$G$89</f>
        <v>3.03812043851981</v>
      </c>
      <c r="M443" s="1741">
        <f>'[137]Master FX'!$K$89</f>
        <v>2.73249980769231</v>
      </c>
      <c r="N443" s="1741">
        <f>'[137]Master FX'!$O$89</f>
        <v>2.66368690850816</v>
      </c>
      <c r="O443" s="1741">
        <f>'[137]Master FX'!$S$89</f>
        <v>2.67550293153985</v>
      </c>
      <c r="P443" s="1741">
        <f>'[137]Master FX'!$W$89</f>
        <v>2.77141821623689</v>
      </c>
      <c r="Q443" s="1741">
        <f>'[137]Master FX'!$AA$89</f>
        <v>2.33460454545455</v>
      </c>
      <c r="R443" s="1741">
        <f>'[137]Master FX'!$AE$89</f>
        <v>2.32733085773601</v>
      </c>
      <c r="S443" s="1741">
        <f>'[137]Master FX'!$AI$89</f>
        <v>2.51000071386946</v>
      </c>
      <c r="T443" s="1741">
        <f>'[137]Master FX'!$AM$89</f>
        <v>2.86701591792322</v>
      </c>
      <c r="U443" s="1741">
        <f>'[137]Master FX'!$AQ$89</f>
        <v>3.12334078525641</v>
      </c>
      <c r="V443" s="1741">
        <f>'[137]Master FX'!$AU$89</f>
        <v>3.69560962285111</v>
      </c>
      <c r="W443" s="1741">
        <f>'[137]Master FX'!$AY$89</f>
        <v>3.85961662296037</v>
      </c>
      <c r="X443" s="1741">
        <f>'[137]Master FX'!$BC$89</f>
        <v>3.58454211538462</v>
      </c>
      <c r="Y443" s="1741">
        <f>Interim!GK497</f>
        <v>4.284</v>
      </c>
      <c r="Z443" s="1741">
        <f>Interim!GS497</f>
        <v>4.34425</v>
      </c>
      <c r="AA443" s="1741">
        <f>Interim!HA497</f>
        <v>5.715</v>
      </c>
      <c r="AB443" s="1741">
        <f>Interim!HI497</f>
        <v>6.42375</v>
      </c>
      <c r="AC443" s="1741">
        <f>Interim!HQ497</f>
        <v>5.43</v>
      </c>
      <c r="AD443" s="1741">
        <f>Interim!HY497</f>
        <v>5.42625</v>
      </c>
      <c r="AE443" s="1741">
        <f>Interim!IG497</f>
        <v>5.577</v>
      </c>
      <c r="AF443" s="2037">
        <f>Interim!IO497</f>
        <v>6.29875</v>
      </c>
      <c r="AG443" s="1741">
        <f>Interim!IW497</f>
        <v>5.945</v>
      </c>
      <c r="AH443" s="1741">
        <f>Interim!IU497</f>
        <v>5.87</v>
      </c>
      <c r="AI443" s="1741">
        <f t="shared" si="701"/>
        <v>5.87</v>
      </c>
      <c r="AJ443" s="1741">
        <f t="shared" si="701"/>
        <v>5.87</v>
      </c>
      <c r="AK443" s="1741">
        <f t="shared" si="701"/>
        <v>5.87</v>
      </c>
      <c r="AL443" s="1741"/>
      <c r="AM443" s="1246"/>
      <c r="AU443" s="1826"/>
      <c r="AV443" s="1826"/>
      <c r="AW443" s="1933"/>
    </row>
    <row r="444" customHeight="1" spans="1:49">
      <c r="A444" s="1737" t="s">
        <v>203</v>
      </c>
      <c r="B444" s="1769"/>
      <c r="C444" s="1756"/>
      <c r="D444" s="1756"/>
      <c r="E444" s="1769"/>
      <c r="F444" s="1769"/>
      <c r="G444" s="1769"/>
      <c r="H444" s="1769"/>
      <c r="I444" s="1769"/>
      <c r="J444" s="1769"/>
      <c r="K444" s="1769"/>
      <c r="L444" s="1741">
        <f>'[137]Master FX'!$G$82</f>
        <v>10.1995265996504</v>
      </c>
      <c r="M444" s="1741">
        <f>'[137]Master FX'!$K$82</f>
        <v>10.0119753846154</v>
      </c>
      <c r="N444" s="1741">
        <f>'[137]Master FX'!$O$82</f>
        <v>10.4182988141026</v>
      </c>
      <c r="O444" s="1741">
        <f>'[137]Master FX'!$S$82</f>
        <v>10.2326392482083</v>
      </c>
      <c r="P444" s="1741">
        <f>'[137]Master FX'!$W$82</f>
        <v>9.51805056799971</v>
      </c>
      <c r="Q444" s="1741">
        <f>'[137]Master FX'!$AA$82</f>
        <v>8.98128603219697</v>
      </c>
      <c r="R444" s="1741">
        <f>'[137]Master FX'!$AE$82</f>
        <v>8.99933711793415</v>
      </c>
      <c r="S444" s="1741">
        <f>'[137]Master FX'!$AI$82</f>
        <v>8.11033960664336</v>
      </c>
      <c r="T444" s="1741">
        <f>'[137]Master FX'!$AM$82</f>
        <v>8.16424476061699</v>
      </c>
      <c r="U444" s="1741">
        <f>'[137]Master FX'!$AQ$82</f>
        <v>8.18965801027098</v>
      </c>
      <c r="V444" s="1741">
        <f>'[137]Master FX'!$AU$82</f>
        <v>6.97492091592002</v>
      </c>
      <c r="W444" s="1741">
        <f>'[137]Master FX'!$AY$82</f>
        <v>7.3483296969697</v>
      </c>
      <c r="X444" s="1741">
        <f>'[137]Master FX'!$BC$82</f>
        <v>7.63258403846154</v>
      </c>
      <c r="Y444" s="1741">
        <f>Interim!GK499</f>
        <v>7.875625</v>
      </c>
      <c r="Z444" s="1741">
        <f>Interim!GS499</f>
        <v>7.7745</v>
      </c>
      <c r="AA444" s="1741">
        <f>Interim!HA499</f>
        <v>7.901</v>
      </c>
      <c r="AB444" s="1741">
        <f>Interim!HI499</f>
        <v>7.80025</v>
      </c>
      <c r="AC444" s="1741">
        <f>Interim!HQ499</f>
        <v>7.08</v>
      </c>
      <c r="AD444" s="1741">
        <f>Interim!HY499</f>
        <v>7.655</v>
      </c>
      <c r="AE444" s="1741">
        <f>Interim!IG499</f>
        <v>7.74</v>
      </c>
      <c r="AF444" s="2037">
        <f>Interim!IO499</f>
        <v>8.15233333333333</v>
      </c>
      <c r="AG444" s="1741">
        <f>Interim!IW499</f>
        <v>7.875</v>
      </c>
      <c r="AH444" s="1741">
        <f>Interim!IU499</f>
        <v>7.74</v>
      </c>
      <c r="AI444" s="1741">
        <f t="shared" si="701"/>
        <v>7.74</v>
      </c>
      <c r="AJ444" s="1741">
        <f t="shared" si="701"/>
        <v>7.74</v>
      </c>
      <c r="AK444" s="1741">
        <f t="shared" si="701"/>
        <v>7.74</v>
      </c>
      <c r="AL444" s="1741"/>
      <c r="AM444" s="1246"/>
      <c r="AU444" s="1826"/>
      <c r="AV444" s="1826"/>
      <c r="AW444" s="1933"/>
    </row>
    <row r="445" customHeight="1" spans="1:49">
      <c r="A445" s="1737" t="s">
        <v>204</v>
      </c>
      <c r="B445" s="1769"/>
      <c r="C445" s="1756"/>
      <c r="D445" s="1756"/>
      <c r="E445" s="1769"/>
      <c r="F445" s="1769"/>
      <c r="G445" s="1769"/>
      <c r="H445" s="1769"/>
      <c r="I445" s="1769"/>
      <c r="J445" s="1769"/>
      <c r="K445" s="1769"/>
      <c r="L445" s="1741">
        <f>'[137]Master FX'!$G$77</f>
        <v>0.683858430124563</v>
      </c>
      <c r="M445" s="1741">
        <f>'[137]Master FX'!$K$77</f>
        <v>0.681765384615385</v>
      </c>
      <c r="N445" s="1741">
        <f>'[137]Master FX'!$O$77</f>
        <v>0.684561637529138</v>
      </c>
      <c r="O445" s="1741">
        <f>'[137]Master FX'!$S$77</f>
        <v>0.797026576296838</v>
      </c>
      <c r="P445" s="1741">
        <f>'[137]Master FX'!$W$77</f>
        <v>0.89133998361014</v>
      </c>
      <c r="Q445" s="1741">
        <f>'[137]Master FX'!$AA$77</f>
        <v>0.858468957149621</v>
      </c>
      <c r="R445" s="1741">
        <f>'[137]Master FX'!$AE$77</f>
        <v>0.867843630354021</v>
      </c>
      <c r="S445" s="1741">
        <f>'[137]Master FX'!$AI$77</f>
        <v>0.81113858974359</v>
      </c>
      <c r="T445" s="1741">
        <f>'[137]Master FX'!$AM$77</f>
        <v>0.849086033653846</v>
      </c>
      <c r="U445" s="1741">
        <f>'[137]Master FX'!$AQ$77</f>
        <v>0.806411954672931</v>
      </c>
      <c r="V445" s="1741">
        <f>'[137]Master FX'!$AU$77</f>
        <v>0.726473229075612</v>
      </c>
      <c r="W445" s="1741">
        <f>'[137]Master FX'!$AY$77</f>
        <v>0.819196028554779</v>
      </c>
      <c r="X445" s="1741">
        <f>'[137]Master FX'!$BC$77</f>
        <v>0.878719076923077</v>
      </c>
      <c r="Y445" s="1741">
        <f>Interim!GK500</f>
        <v>0.88275</v>
      </c>
      <c r="Z445" s="1741">
        <f>Interim!GS500</f>
        <v>0.897275</v>
      </c>
      <c r="AA445" s="1741">
        <f>Interim!HA500</f>
        <v>0.88605</v>
      </c>
      <c r="AB445" s="1741">
        <f>Interim!HI500</f>
        <v>0.868815</v>
      </c>
      <c r="AC445" s="1741">
        <f>Interim!HQ500</f>
        <v>0.851875</v>
      </c>
      <c r="AD445" s="1741">
        <f>Interim!HY500</f>
        <v>0.8697</v>
      </c>
      <c r="AE445" s="1741">
        <f>Interim!IG500</f>
        <v>0.846925</v>
      </c>
      <c r="AF445" s="2037">
        <f>Interim!IO500</f>
        <v>0.8574</v>
      </c>
      <c r="AG445" s="1741">
        <f>Interim!IW500</f>
        <v>0.86275</v>
      </c>
      <c r="AH445" s="1741">
        <f>Interim!IU500</f>
        <v>0.858</v>
      </c>
      <c r="AI445" s="1741">
        <f t="shared" si="701"/>
        <v>0.858</v>
      </c>
      <c r="AJ445" s="1741">
        <f t="shared" si="701"/>
        <v>0.858</v>
      </c>
      <c r="AK445" s="1741">
        <f t="shared" si="701"/>
        <v>0.858</v>
      </c>
      <c r="AL445" s="1741"/>
      <c r="AM445" s="1246"/>
      <c r="AU445" s="1826"/>
      <c r="AV445" s="1826"/>
      <c r="AW445" s="1933"/>
    </row>
    <row r="446" customHeight="1" spans="1:49">
      <c r="A446" s="1737" t="s">
        <v>205</v>
      </c>
      <c r="B446" s="1769"/>
      <c r="C446" s="1756"/>
      <c r="D446" s="1756"/>
      <c r="E446" s="1769"/>
      <c r="F446" s="1769"/>
      <c r="G446" s="1769"/>
      <c r="H446" s="1769"/>
      <c r="I446" s="1769"/>
      <c r="J446" s="1769"/>
      <c r="K446" s="1769"/>
      <c r="L446" s="1741"/>
      <c r="M446" s="1741"/>
      <c r="N446" s="1741"/>
      <c r="O446" s="1741"/>
      <c r="P446" s="1741">
        <f>AVERAGE('[137]Master FX'!$W$24:$Z$24)</f>
        <v>5.20366385580565</v>
      </c>
      <c r="Q446" s="1741">
        <f>AVERAGE('[137]Master FX'!$AA$24:$AD$24)</f>
        <v>5.1899201467803</v>
      </c>
      <c r="R446" s="1741">
        <f>AVERAGE('[137]Master FX'!$AE$24:$AH$24)</f>
        <v>5.74628736860796</v>
      </c>
      <c r="S446" s="1741">
        <f>AVERAGE('[137]Master FX'!$AI$24:$AL$24)</f>
        <v>5.84641298368299</v>
      </c>
      <c r="T446" s="1741">
        <f>AVERAGE('[137]Master FX'!$AM$24:$AP$24)</f>
        <v>7.27700661877185</v>
      </c>
      <c r="U446" s="1741">
        <f>AVERAGE('[137]Master FX'!$AQ$24:$AT$24)</f>
        <v>10.7690482960919</v>
      </c>
      <c r="V446" s="1741">
        <f>AVERAGE('[137]Master FX'!$AU$24:$AX$24)</f>
        <v>10.275041037205</v>
      </c>
      <c r="W446" s="1741">
        <f>AVERAGE('[137]Master FX'!$AY$24:$BB$24)</f>
        <v>16.3334266351981</v>
      </c>
      <c r="X446" s="1741">
        <f>AVERAGE('[137]Master FX'!$BC$24:$BF$24)</f>
        <v>18.6896767692308</v>
      </c>
      <c r="Y446" s="1741">
        <f>Interim!GK498</f>
        <v>31.98</v>
      </c>
      <c r="Z446" s="1741">
        <f>Interim!GS498</f>
        <v>48.35275</v>
      </c>
      <c r="AA446" s="1741">
        <f>Interim!HA498</f>
        <v>78.6505</v>
      </c>
      <c r="AB446" s="1741">
        <f>Interim!HI498</f>
        <v>107.77</v>
      </c>
      <c r="AC446" s="1741">
        <f>Interim!HQ498</f>
        <v>136.9325</v>
      </c>
      <c r="AD446" s="1741">
        <f>Interim!HY498</f>
        <v>898.4</v>
      </c>
      <c r="AE446" s="1741">
        <f>Interim!IG498</f>
        <v>953.1</v>
      </c>
      <c r="AF446" s="2037">
        <f>Interim!IO498</f>
        <v>1408.75</v>
      </c>
      <c r="AG446" s="1741">
        <f>Interim!IW498</f>
        <v>1679</v>
      </c>
      <c r="AH446" s="1741">
        <f>Interim!IU498</f>
        <v>1704</v>
      </c>
      <c r="AI446" s="1741">
        <f t="shared" si="701"/>
        <v>1704</v>
      </c>
      <c r="AJ446" s="1741">
        <f t="shared" si="701"/>
        <v>1704</v>
      </c>
      <c r="AK446" s="1741">
        <f t="shared" si="701"/>
        <v>1704</v>
      </c>
      <c r="AL446" s="1741"/>
      <c r="AM446" s="1246"/>
      <c r="AU446" s="1826"/>
      <c r="AV446" s="1826"/>
      <c r="AW446" s="1933"/>
    </row>
    <row r="447" customHeight="1" spans="1:49">
      <c r="A447" s="1737" t="s">
        <v>206</v>
      </c>
      <c r="B447" s="1769"/>
      <c r="C447" s="1756"/>
      <c r="D447" s="1756"/>
      <c r="E447" s="1769"/>
      <c r="F447" s="1769"/>
      <c r="G447" s="1769"/>
      <c r="H447" s="1769"/>
      <c r="I447" s="1769"/>
      <c r="J447" s="1769"/>
      <c r="K447" s="1769"/>
      <c r="L447" s="1741"/>
      <c r="M447" s="1741"/>
      <c r="N447" s="1741"/>
      <c r="O447" s="1741"/>
      <c r="P447" s="1741">
        <f>'[137]Master FX'!$W$90</f>
        <v>18.7839553395068</v>
      </c>
      <c r="Q447" s="1741">
        <f>'[137]Master FX'!$AA$90</f>
        <v>16.7522020809659</v>
      </c>
      <c r="R447" s="1741">
        <f>'[137]Master FX'!$AE$90</f>
        <v>17.2853406011619</v>
      </c>
      <c r="S447" s="1741">
        <f>'[137]Master FX'!$AI$90</f>
        <v>16.9078725885781</v>
      </c>
      <c r="T447" s="1741">
        <f>'[137]Master FX'!$AM$90</f>
        <v>16.9544990877222</v>
      </c>
      <c r="U447" s="1741">
        <f>'[137]Master FX'!$AQ$90</f>
        <v>17.6711930537405</v>
      </c>
      <c r="V447" s="1741">
        <f>'[137]Master FX'!$AU$90</f>
        <v>17.6039281874454</v>
      </c>
      <c r="W447" s="1741">
        <f>'[137]Master FX'!$AY$90</f>
        <v>20.6648463706294</v>
      </c>
      <c r="X447" s="1741">
        <f>'[137]Master FX'!$BC$90</f>
        <v>21.2886941153846</v>
      </c>
      <c r="Y447" s="1741">
        <f>Interim!GK501</f>
        <v>22.5275</v>
      </c>
      <c r="Z447" s="1741">
        <f>Interim!GS501</f>
        <v>21.8</v>
      </c>
      <c r="AA447" s="1741">
        <f>Interim!HA501</f>
        <v>23.959</v>
      </c>
      <c r="AB447" s="1741">
        <f>Interim!HI501</f>
        <v>24.33</v>
      </c>
      <c r="AC447" s="1741">
        <f>Interim!HQ501</f>
        <v>21.265</v>
      </c>
      <c r="AD447" s="1741">
        <f>Interim!HY501</f>
        <v>19.177</v>
      </c>
      <c r="AE447" s="1741">
        <f>Interim!IG501</f>
        <v>19.885</v>
      </c>
      <c r="AF447" s="2037">
        <f>Interim!IO501</f>
        <v>21.6891666666667</v>
      </c>
      <c r="AG447" s="1741">
        <f>Interim!IW501</f>
        <v>20.3375</v>
      </c>
      <c r="AH447" s="1741">
        <f>Interim!IU501</f>
        <v>20</v>
      </c>
      <c r="AI447" s="1741">
        <f t="shared" si="701"/>
        <v>20</v>
      </c>
      <c r="AJ447" s="1741">
        <f t="shared" si="701"/>
        <v>20</v>
      </c>
      <c r="AK447" s="1741">
        <f t="shared" si="701"/>
        <v>20</v>
      </c>
      <c r="AL447" s="1741"/>
      <c r="AM447" s="1246"/>
      <c r="AU447" s="1826"/>
      <c r="AV447" s="1826"/>
      <c r="AW447" s="1933"/>
    </row>
    <row r="448" customHeight="1" spans="1:49">
      <c r="B448" s="1977"/>
      <c r="C448" s="1977"/>
      <c r="D448" s="1977"/>
      <c r="E448" s="1977"/>
      <c r="F448" s="1977"/>
      <c r="G448" s="1977"/>
      <c r="H448" s="1977"/>
      <c r="I448" s="1977"/>
      <c r="J448" s="1977"/>
      <c r="K448" s="1977"/>
      <c r="L448" s="1978"/>
      <c r="M448" s="1978"/>
      <c r="N448" s="1978"/>
      <c r="O448" s="1978"/>
      <c r="P448" s="1978"/>
      <c r="Q448" s="1978"/>
      <c r="R448" s="1978"/>
      <c r="S448" s="1978"/>
      <c r="T448" s="1978"/>
      <c r="U448" s="1978"/>
      <c r="V448" s="1978"/>
      <c r="W448" s="1978"/>
      <c r="X448" s="1978"/>
      <c r="Y448" s="1978"/>
      <c r="Z448" s="1978"/>
      <c r="AA448" s="1978"/>
      <c r="AB448" s="1978"/>
      <c r="AC448" s="1978"/>
      <c r="AD448" s="1978"/>
      <c r="AE448" s="1978"/>
      <c r="AF448" s="2030"/>
      <c r="AG448" s="1978"/>
      <c r="AH448" s="1978"/>
      <c r="AI448" s="1978"/>
      <c r="AJ448" s="1978"/>
      <c r="AK448" s="1978"/>
      <c r="AL448" s="1978"/>
      <c r="AM448" s="1246"/>
      <c r="AU448" s="1826"/>
      <c r="AV448" s="1826"/>
      <c r="AW448" s="1933"/>
    </row>
    <row r="449" customHeight="1" spans="1:49">
      <c r="A449" s="1697" t="s">
        <v>207</v>
      </c>
      <c r="B449" s="1914" t="str">
        <f t="shared" ref="B449:L449" si="703">B1</f>
        <v>FY 95</v>
      </c>
      <c r="C449" s="1914" t="str">
        <f t="shared" si="703"/>
        <v>FY 96</v>
      </c>
      <c r="D449" s="1914" t="str">
        <f t="shared" si="703"/>
        <v>FY 97</v>
      </c>
      <c r="E449" s="1914" t="str">
        <f t="shared" si="703"/>
        <v>FY 98</v>
      </c>
      <c r="F449" s="1914" t="str">
        <f t="shared" si="703"/>
        <v>FY 99</v>
      </c>
      <c r="G449" s="1914" t="str">
        <f t="shared" si="703"/>
        <v>FY 00</v>
      </c>
      <c r="H449" s="1914" t="str">
        <f t="shared" si="703"/>
        <v>FY 01</v>
      </c>
      <c r="I449" s="1914" t="str">
        <f t="shared" si="703"/>
        <v>FY 02</v>
      </c>
      <c r="J449" s="1914" t="str">
        <f t="shared" si="703"/>
        <v>FY 03</v>
      </c>
      <c r="K449" s="1914" t="str">
        <f t="shared" si="703"/>
        <v>FY 04</v>
      </c>
      <c r="L449" s="1915" t="str">
        <f t="shared" si="703"/>
        <v>FY 05</v>
      </c>
      <c r="M449" s="1915" t="s">
        <v>25</v>
      </c>
      <c r="N449" s="1915" t="s">
        <v>26</v>
      </c>
      <c r="O449" s="1915" t="s">
        <v>27</v>
      </c>
      <c r="P449" s="1915" t="str">
        <f>P$1</f>
        <v>FY 09</v>
      </c>
      <c r="Q449" s="1915" t="str">
        <f t="shared" ref="Q449:AA449" si="704">Q1</f>
        <v>FY 10</v>
      </c>
      <c r="R449" s="1915" t="str">
        <f t="shared" si="704"/>
        <v>FY 11</v>
      </c>
      <c r="S449" s="1915" t="str">
        <f t="shared" si="704"/>
        <v>FY 12</v>
      </c>
      <c r="T449" s="1915" t="str">
        <f t="shared" si="704"/>
        <v>FY 13</v>
      </c>
      <c r="U449" s="1915" t="str">
        <f t="shared" si="704"/>
        <v>FY 14</v>
      </c>
      <c r="V449" s="1915" t="str">
        <f t="shared" si="704"/>
        <v>FY 15</v>
      </c>
      <c r="W449" s="1915" t="str">
        <f t="shared" si="704"/>
        <v>FY 16</v>
      </c>
      <c r="X449" s="1915" t="str">
        <f t="shared" si="704"/>
        <v>FY 17</v>
      </c>
      <c r="Y449" s="1915" t="str">
        <f t="shared" si="704"/>
        <v>FY 18</v>
      </c>
      <c r="Z449" s="1915" t="str">
        <f t="shared" si="704"/>
        <v>FY 19</v>
      </c>
      <c r="AA449" s="1915" t="str">
        <f t="shared" si="704"/>
        <v>FY 20</v>
      </c>
      <c r="AB449" s="1915" t="str">
        <f t="shared" ref="AB449:AG449" si="705">AB1</f>
        <v>FY 21</v>
      </c>
      <c r="AC449" s="1915" t="str">
        <f t="shared" si="705"/>
        <v>FY 22</v>
      </c>
      <c r="AD449" s="1915" t="str">
        <f t="shared" si="705"/>
        <v>FY 23</v>
      </c>
      <c r="AE449" s="1915" t="str">
        <f t="shared" si="705"/>
        <v>FY 24</v>
      </c>
      <c r="AF449" s="1916" t="str">
        <f t="shared" si="705"/>
        <v>FY 25</v>
      </c>
      <c r="AG449" s="1915" t="str">
        <f t="shared" si="705"/>
        <v>FY 26E</v>
      </c>
      <c r="AH449" s="1915" t="str">
        <f t="shared" ref="AH449" si="706">AH1</f>
        <v>FY 27E</v>
      </c>
      <c r="AI449" s="1915" t="str">
        <f t="shared" ref="AI449:AJ449" si="707">AI1</f>
        <v>FY 28E</v>
      </c>
      <c r="AJ449" s="1915" t="str">
        <f t="shared" si="707"/>
        <v>FY 29E</v>
      </c>
      <c r="AK449" s="1915" t="str">
        <f t="shared" ref="AK449" si="708">AK1</f>
        <v>FY 30E</v>
      </c>
      <c r="AL449" s="1915"/>
      <c r="AM449" s="1246"/>
      <c r="AU449" s="1826"/>
      <c r="AV449" s="1826"/>
      <c r="AW449" s="1933"/>
    </row>
    <row r="450" customHeight="1" spans="1:49">
      <c r="A450" s="1737" t="s">
        <v>197</v>
      </c>
      <c r="B450" s="1756"/>
      <c r="C450" s="1756"/>
      <c r="D450" s="1756"/>
      <c r="E450" s="1756"/>
      <c r="F450" s="1756"/>
      <c r="G450" s="1756"/>
      <c r="H450" s="1756"/>
      <c r="I450" s="1756"/>
      <c r="J450" s="1756"/>
      <c r="K450" s="1756"/>
      <c r="L450" s="1741"/>
      <c r="M450" s="1246">
        <f t="shared" ref="M450:U450" si="709">-(M438/L438-1)</f>
        <v>-0.00932779299902076</v>
      </c>
      <c r="N450" s="1246">
        <f t="shared" si="709"/>
        <v>-0.0909993731646397</v>
      </c>
      <c r="O450" s="1246">
        <f t="shared" si="709"/>
        <v>-0.0738037281914614</v>
      </c>
      <c r="P450" s="1246">
        <f t="shared" si="709"/>
        <v>0.051828999974821</v>
      </c>
      <c r="Q450" s="1246">
        <f t="shared" si="709"/>
        <v>0.0489969706988762</v>
      </c>
      <c r="R450" s="1246">
        <f t="shared" si="709"/>
        <v>-0.049061547802945</v>
      </c>
      <c r="S450" s="1246">
        <f t="shared" si="709"/>
        <v>0.0764909451437824</v>
      </c>
      <c r="T450" s="1246">
        <f t="shared" si="709"/>
        <v>-0.0329895327372194</v>
      </c>
      <c r="U450" s="1246">
        <f t="shared" si="709"/>
        <v>-0.00085406564449908</v>
      </c>
      <c r="V450" s="1246">
        <f t="shared" ref="V450:AF459" si="710">-(V438/U438-1)</f>
        <v>0.164842452442743</v>
      </c>
      <c r="W450" s="1246">
        <f t="shared" si="710"/>
        <v>0.00317033579771564</v>
      </c>
      <c r="X450" s="1246">
        <f t="shared" si="710"/>
        <v>-0.021196960579664</v>
      </c>
      <c r="Y450" s="1246">
        <f t="shared" si="710"/>
        <v>-0.0475935991035215</v>
      </c>
      <c r="Z450" s="1246">
        <f t="shared" si="710"/>
        <v>0.0533919067331249</v>
      </c>
      <c r="AA450" s="1246">
        <f t="shared" si="710"/>
        <v>-0.0220883534136544</v>
      </c>
      <c r="AB450" s="1246">
        <f t="shared" si="710"/>
        <v>-0.0533726260641783</v>
      </c>
      <c r="AC450" s="1246">
        <f t="shared" si="710"/>
        <v>0.13066003522951</v>
      </c>
      <c r="AD450" s="1246">
        <f t="shared" si="710"/>
        <v>-0.0331346841477949</v>
      </c>
      <c r="AE450" s="1246">
        <f t="shared" si="710"/>
        <v>0.00415320719889245</v>
      </c>
      <c r="AF450" s="1717">
        <f t="shared" si="710"/>
        <v>-0.0461075069508805</v>
      </c>
      <c r="AG450" s="1246">
        <f t="shared" ref="AG450:AK459" si="711">-(AG438/AF438-1)</f>
        <v>-0.0239867109634553</v>
      </c>
      <c r="AH450" s="1246">
        <f t="shared" si="711"/>
        <v>0.00936560465468395</v>
      </c>
      <c r="AI450" s="1246">
        <f t="shared" si="711"/>
        <v>0</v>
      </c>
      <c r="AJ450" s="1246">
        <f t="shared" si="711"/>
        <v>0</v>
      </c>
      <c r="AK450" s="1246">
        <f t="shared" si="711"/>
        <v>0</v>
      </c>
      <c r="AL450" s="1246"/>
      <c r="AM450" s="1246"/>
      <c r="AU450" s="1826"/>
      <c r="AV450" s="1826"/>
      <c r="AW450" s="1933"/>
    </row>
    <row r="451" customHeight="1" spans="1:49">
      <c r="A451" s="1737" t="s">
        <v>198</v>
      </c>
      <c r="B451" s="1946"/>
      <c r="C451" s="1756"/>
      <c r="D451" s="1756"/>
      <c r="E451" s="1946"/>
      <c r="F451" s="1946"/>
      <c r="G451" s="1946"/>
      <c r="H451" s="1946"/>
      <c r="I451" s="1946"/>
      <c r="J451" s="1946"/>
      <c r="K451" s="1946"/>
      <c r="L451" s="1741"/>
      <c r="M451" s="1246">
        <f t="shared" ref="M451:V451" si="712">-(M439/L439-1)</f>
        <v>-0.0669781257705859</v>
      </c>
      <c r="N451" s="1246">
        <f t="shared" si="712"/>
        <v>-0.10360773634177</v>
      </c>
      <c r="O451" s="1246">
        <f t="shared" si="712"/>
        <v>0.053616496624341</v>
      </c>
      <c r="P451" s="1246">
        <f t="shared" si="712"/>
        <v>0.144393300893011</v>
      </c>
      <c r="Q451" s="1246">
        <f t="shared" si="712"/>
        <v>0.107425927004347</v>
      </c>
      <c r="R451" s="1246">
        <f t="shared" si="712"/>
        <v>0.046587883733793</v>
      </c>
      <c r="S451" s="1246">
        <f t="shared" si="712"/>
        <v>0.0762874922760021</v>
      </c>
      <c r="T451" s="1246">
        <f t="shared" si="712"/>
        <v>-0.262547128470464</v>
      </c>
      <c r="U451" s="1246">
        <f t="shared" si="712"/>
        <v>-0.0837785580092472</v>
      </c>
      <c r="V451" s="1246">
        <f t="shared" si="712"/>
        <v>0.0430993406182687</v>
      </c>
      <c r="W451" s="1246">
        <f t="shared" si="710"/>
        <v>0.104755494798016</v>
      </c>
      <c r="X451" s="1246">
        <f t="shared" si="710"/>
        <v>-0.0534668910076774</v>
      </c>
      <c r="Y451" s="1246">
        <f t="shared" si="710"/>
        <v>-0.0314649138084311</v>
      </c>
      <c r="Z451" s="1246">
        <f t="shared" si="710"/>
        <v>0.0678776290630975</v>
      </c>
      <c r="AA451" s="1246">
        <f t="shared" si="710"/>
        <v>-0.00164102564102575</v>
      </c>
      <c r="AB451" s="1246">
        <f t="shared" si="710"/>
        <v>-0.071329100962523</v>
      </c>
      <c r="AC451" s="1246">
        <f t="shared" si="710"/>
        <v>-0.0562384111024028</v>
      </c>
      <c r="AD451" s="1246">
        <f t="shared" si="710"/>
        <v>-0.0990860555605828</v>
      </c>
      <c r="AE451" s="1246">
        <f t="shared" si="710"/>
        <v>-0.0519512596739669</v>
      </c>
      <c r="AF451" s="1717">
        <f t="shared" si="710"/>
        <v>-0.0571339124990218</v>
      </c>
      <c r="AG451" s="1246">
        <f t="shared" si="711"/>
        <v>-0.0979492115199525</v>
      </c>
      <c r="AH451" s="1246">
        <f t="shared" si="711"/>
        <v>-0.010384356035064</v>
      </c>
      <c r="AI451" s="1246">
        <f t="shared" si="711"/>
        <v>0</v>
      </c>
      <c r="AJ451" s="1246">
        <f t="shared" si="711"/>
        <v>0</v>
      </c>
      <c r="AK451" s="1246">
        <f t="shared" si="711"/>
        <v>0</v>
      </c>
      <c r="AL451" s="1246"/>
      <c r="AM451" s="1246"/>
      <c r="AU451" s="1826"/>
      <c r="AV451" s="1826"/>
      <c r="AW451" s="1933"/>
    </row>
    <row r="452" customHeight="1" spans="1:49">
      <c r="A452" s="1737" t="s">
        <v>199</v>
      </c>
      <c r="B452" s="1769"/>
      <c r="C452" s="1756"/>
      <c r="D452" s="1756"/>
      <c r="E452" s="1769"/>
      <c r="F452" s="1769"/>
      <c r="G452" s="1769"/>
      <c r="H452" s="1769"/>
      <c r="I452" s="1769"/>
      <c r="J452" s="1769"/>
      <c r="K452" s="1769"/>
      <c r="L452" s="1741"/>
      <c r="M452" s="1246">
        <f t="shared" ref="M452:U452" si="713">-(M440/L440-1)</f>
        <v>-0.0701974969520194</v>
      </c>
      <c r="N452" s="1246">
        <f t="shared" si="713"/>
        <v>-0.0997731152401273</v>
      </c>
      <c r="O452" s="1246">
        <f t="shared" si="713"/>
        <v>0.182348009496286</v>
      </c>
      <c r="P452" s="1246">
        <f t="shared" si="713"/>
        <v>0.240404039788984</v>
      </c>
      <c r="Q452" s="1246">
        <f t="shared" si="713"/>
        <v>-0.00445397551616278</v>
      </c>
      <c r="R452" s="1246">
        <f t="shared" si="713"/>
        <v>0</v>
      </c>
      <c r="S452" s="1246">
        <f t="shared" si="713"/>
        <v>0</v>
      </c>
      <c r="T452" s="1246">
        <f t="shared" si="713"/>
        <v>0</v>
      </c>
      <c r="U452" s="1246">
        <f t="shared" si="713"/>
        <v>0</v>
      </c>
      <c r="V452" s="1246">
        <f t="shared" si="710"/>
        <v>0</v>
      </c>
      <c r="W452" s="1246">
        <f t="shared" si="710"/>
        <v>0</v>
      </c>
      <c r="X452" s="1246">
        <f t="shared" si="710"/>
        <v>0</v>
      </c>
      <c r="Y452" s="1246">
        <f t="shared" si="710"/>
        <v>0.937052524937998</v>
      </c>
      <c r="Z452" s="1246">
        <f t="shared" si="710"/>
        <v>0.0529157667386609</v>
      </c>
      <c r="AA452" s="1246">
        <f t="shared" si="710"/>
        <v>-0.00342075256556451</v>
      </c>
      <c r="AB452" s="1246">
        <f t="shared" si="710"/>
        <v>-0.0681818181818181</v>
      </c>
      <c r="AC452" s="1246">
        <f t="shared" si="710"/>
        <v>0.148936170212766</v>
      </c>
      <c r="AD452" s="1246">
        <f t="shared" si="710"/>
        <v>-0.0600000000000001</v>
      </c>
      <c r="AE452" s="1246">
        <f t="shared" si="710"/>
        <v>0.00117924528301883</v>
      </c>
      <c r="AF452" s="1717">
        <f t="shared" si="710"/>
        <v>0.00826446280991744</v>
      </c>
      <c r="AG452" s="1246">
        <f t="shared" si="711"/>
        <v>-0.0714285714285714</v>
      </c>
      <c r="AH452" s="1246">
        <f t="shared" si="711"/>
        <v>0.0111111111111111</v>
      </c>
      <c r="AI452" s="1246">
        <f t="shared" si="711"/>
        <v>0</v>
      </c>
      <c r="AJ452" s="1246">
        <f t="shared" si="711"/>
        <v>0</v>
      </c>
      <c r="AK452" s="1246">
        <f t="shared" si="711"/>
        <v>0</v>
      </c>
      <c r="AL452" s="1246"/>
      <c r="AM452" s="1246"/>
      <c r="AU452" s="1826"/>
      <c r="AV452" s="1826"/>
      <c r="AW452" s="1933"/>
    </row>
    <row r="453" customHeight="1" spans="1:49">
      <c r="A453" s="1737" t="s">
        <v>200</v>
      </c>
      <c r="B453" s="1769"/>
      <c r="C453" s="1756"/>
      <c r="D453" s="1756"/>
      <c r="E453" s="1769"/>
      <c r="F453" s="1769"/>
      <c r="G453" s="1769"/>
      <c r="H453" s="1769"/>
      <c r="I453" s="1769"/>
      <c r="J453" s="1769"/>
      <c r="K453" s="1769"/>
      <c r="L453" s="1741"/>
      <c r="M453" s="1246">
        <f t="shared" ref="M453:S453" si="714">-(M441/L441-1)</f>
        <v>0.0305020025144178</v>
      </c>
      <c r="N453" s="1246">
        <f t="shared" si="714"/>
        <v>-0.0263747489055028</v>
      </c>
      <c r="O453" s="1246">
        <f t="shared" si="714"/>
        <v>-0.0412337642039668</v>
      </c>
      <c r="P453" s="1246">
        <f t="shared" si="714"/>
        <v>-0.209840295596379</v>
      </c>
      <c r="Q453" s="1246">
        <f t="shared" si="714"/>
        <v>0.0869091716436353</v>
      </c>
      <c r="R453" s="1246">
        <f t="shared" si="714"/>
        <v>-0.0148237326687197</v>
      </c>
      <c r="S453" s="1246">
        <f t="shared" si="714"/>
        <v>0.0236806311370277</v>
      </c>
      <c r="T453" s="1246">
        <f t="shared" ref="T453:U459" si="715">-(T441/S441-1)</f>
        <v>-0.0601206696953023</v>
      </c>
      <c r="U453" s="1246">
        <f t="shared" si="715"/>
        <v>-0.205664031548723</v>
      </c>
      <c r="V453" s="1246">
        <f t="shared" si="710"/>
        <v>-0.333096752164227</v>
      </c>
      <c r="W453" s="1246">
        <f t="shared" si="710"/>
        <v>-0.0905615568953499</v>
      </c>
      <c r="X453" s="1246">
        <f t="shared" si="710"/>
        <v>0.114972274065144</v>
      </c>
      <c r="Y453" s="1246">
        <f t="shared" si="710"/>
        <v>-0.128345195824329</v>
      </c>
      <c r="Z453" s="1246">
        <f t="shared" si="710"/>
        <v>0.0153865631330182</v>
      </c>
      <c r="AA453" s="1246">
        <f t="shared" si="710"/>
        <v>-0.132345251463693</v>
      </c>
      <c r="AB453" s="1246">
        <f t="shared" si="710"/>
        <v>-0.0848928052325579</v>
      </c>
      <c r="AC453" s="1246">
        <f t="shared" si="710"/>
        <v>0.180517758704905</v>
      </c>
      <c r="AD453" s="1246"/>
      <c r="AE453" s="1246"/>
      <c r="AF453" s="1717"/>
      <c r="AG453" s="1246"/>
      <c r="AH453" s="1246"/>
      <c r="AI453" s="1246"/>
      <c r="AJ453" s="1246"/>
      <c r="AK453" s="1246"/>
      <c r="AL453" s="1246"/>
      <c r="AM453" s="1246"/>
      <c r="AU453" s="1826"/>
      <c r="AV453" s="1826"/>
      <c r="AW453" s="1933"/>
    </row>
    <row r="454" customHeight="1" spans="1:49">
      <c r="A454" s="1737" t="s">
        <v>201</v>
      </c>
      <c r="B454" s="1769"/>
      <c r="C454" s="1756"/>
      <c r="D454" s="1756"/>
      <c r="E454" s="1769"/>
      <c r="F454" s="1769"/>
      <c r="G454" s="1769"/>
      <c r="H454" s="1769"/>
      <c r="I454" s="1769"/>
      <c r="J454" s="1769"/>
      <c r="K454" s="1769"/>
      <c r="L454" s="1741"/>
      <c r="M454" s="1246"/>
      <c r="N454" s="1246"/>
      <c r="O454" s="1246"/>
      <c r="P454" s="1246">
        <f t="shared" ref="P454:S457" si="716">-(P442/O442-1)</f>
        <v>-0.276340026112148</v>
      </c>
      <c r="Q454" s="1246">
        <f t="shared" si="716"/>
        <v>0.0432750203892566</v>
      </c>
      <c r="R454" s="1246">
        <f t="shared" si="716"/>
        <v>0.032196886580385</v>
      </c>
      <c r="S454" s="1246">
        <f t="shared" si="716"/>
        <v>-0.0566222474320537</v>
      </c>
      <c r="T454" s="1246">
        <f t="shared" si="715"/>
        <v>-0.0252508021339841</v>
      </c>
      <c r="U454" s="1246">
        <f t="shared" si="715"/>
        <v>-0.211755967499987</v>
      </c>
      <c r="V454" s="1246">
        <f t="shared" si="710"/>
        <v>-0.586837075087102</v>
      </c>
      <c r="W454" s="1246">
        <f t="shared" si="710"/>
        <v>-0.0941581065535066</v>
      </c>
      <c r="X454" s="1246">
        <f t="shared" si="710"/>
        <v>0.133260749324822</v>
      </c>
      <c r="Y454" s="1246">
        <f t="shared" si="710"/>
        <v>0.0393225776402089</v>
      </c>
      <c r="Z454" s="1246">
        <f t="shared" si="710"/>
        <v>-0.162007168458781</v>
      </c>
      <c r="AA454" s="1246">
        <f t="shared" si="710"/>
        <v>-0.273288093769278</v>
      </c>
      <c r="AB454" s="1246">
        <f t="shared" si="710"/>
        <v>-0.0848928052325579</v>
      </c>
      <c r="AC454" s="1246">
        <f t="shared" si="710"/>
        <v>0.180517758704905</v>
      </c>
      <c r="AD454" s="1246"/>
      <c r="AE454" s="1246"/>
      <c r="AF454" s="1717"/>
      <c r="AG454" s="1246"/>
      <c r="AH454" s="1246"/>
      <c r="AI454" s="1246"/>
      <c r="AJ454" s="1246"/>
      <c r="AK454" s="1246"/>
      <c r="AL454" s="1246"/>
      <c r="AM454" s="1246"/>
      <c r="AU454" s="1826"/>
      <c r="AV454" s="1826"/>
      <c r="AW454" s="1933"/>
    </row>
    <row r="455" customHeight="1" spans="1:49">
      <c r="A455" s="1737" t="s">
        <v>202</v>
      </c>
      <c r="B455" s="1769"/>
      <c r="C455" s="1756"/>
      <c r="D455" s="1756"/>
      <c r="E455" s="1769"/>
      <c r="F455" s="1769"/>
      <c r="G455" s="1769"/>
      <c r="H455" s="1769"/>
      <c r="I455" s="1769"/>
      <c r="J455" s="1769"/>
      <c r="K455" s="1769"/>
      <c r="L455" s="1741"/>
      <c r="M455" s="1246">
        <f t="shared" ref="M455:O457" si="717">-(M443/L443-1)</f>
        <v>0.100595297985094</v>
      </c>
      <c r="N455" s="1246">
        <f t="shared" si="717"/>
        <v>0.0251831304765083</v>
      </c>
      <c r="O455" s="1246">
        <f t="shared" si="717"/>
        <v>-0.00443596542594893</v>
      </c>
      <c r="P455" s="1246">
        <f t="shared" si="716"/>
        <v>-0.0358494410775443</v>
      </c>
      <c r="Q455" s="1246">
        <f t="shared" si="716"/>
        <v>0.157613769088759</v>
      </c>
      <c r="R455" s="1246">
        <f t="shared" si="716"/>
        <v>0.00311559734289624</v>
      </c>
      <c r="S455" s="1246">
        <f t="shared" si="716"/>
        <v>-0.0784889933144906</v>
      </c>
      <c r="T455" s="1246">
        <f t="shared" si="715"/>
        <v>-0.142237092635475</v>
      </c>
      <c r="U455" s="1246">
        <f t="shared" si="715"/>
        <v>-0.089404759049563</v>
      </c>
      <c r="V455" s="1246">
        <f t="shared" si="710"/>
        <v>-0.183223310211958</v>
      </c>
      <c r="W455" s="1246">
        <f t="shared" si="710"/>
        <v>-0.0443788757056911</v>
      </c>
      <c r="X455" s="1246">
        <f t="shared" si="710"/>
        <v>0.0712699043576952</v>
      </c>
      <c r="Y455" s="1246">
        <f t="shared" si="710"/>
        <v>-0.195131724527202</v>
      </c>
      <c r="Z455" s="1246">
        <f t="shared" si="710"/>
        <v>-0.0140639589169</v>
      </c>
      <c r="AA455" s="1246">
        <f t="shared" si="710"/>
        <v>-0.315532025090637</v>
      </c>
      <c r="AB455" s="1246">
        <f t="shared" si="710"/>
        <v>-0.124015748031496</v>
      </c>
      <c r="AC455" s="1246">
        <f t="shared" si="710"/>
        <v>0.154699357851722</v>
      </c>
      <c r="AD455" s="1246">
        <f t="shared" si="710"/>
        <v>0.00069060773480667</v>
      </c>
      <c r="AE455" s="1246">
        <f t="shared" si="710"/>
        <v>-0.0277816171389083</v>
      </c>
      <c r="AF455" s="1717">
        <f t="shared" si="710"/>
        <v>-0.129415456338533</v>
      </c>
      <c r="AG455" s="1246">
        <f t="shared" si="711"/>
        <v>0.0561619368922405</v>
      </c>
      <c r="AH455" s="1246">
        <f t="shared" si="711"/>
        <v>0.0126156433978133</v>
      </c>
      <c r="AI455" s="1246">
        <f t="shared" si="711"/>
        <v>0</v>
      </c>
      <c r="AJ455" s="1246">
        <f t="shared" si="711"/>
        <v>0</v>
      </c>
      <c r="AK455" s="1246">
        <f t="shared" si="711"/>
        <v>0</v>
      </c>
      <c r="AL455" s="1246"/>
      <c r="AM455" s="1246"/>
      <c r="AU455" s="1826"/>
      <c r="AV455" s="1826"/>
      <c r="AW455" s="1933"/>
    </row>
    <row r="456" customHeight="1" spans="1:49">
      <c r="A456" s="1737" t="s">
        <v>203</v>
      </c>
      <c r="B456" s="1769"/>
      <c r="C456" s="1756"/>
      <c r="D456" s="1756"/>
      <c r="E456" s="1769"/>
      <c r="F456" s="1769"/>
      <c r="G456" s="1769"/>
      <c r="H456" s="1769"/>
      <c r="I456" s="1769"/>
      <c r="J456" s="1769"/>
      <c r="K456" s="1769"/>
      <c r="L456" s="1741"/>
      <c r="M456" s="1246">
        <f t="shared" si="717"/>
        <v>0.0183882274537522</v>
      </c>
      <c r="N456" s="1246">
        <f t="shared" si="717"/>
        <v>-0.0405837423563329</v>
      </c>
      <c r="O456" s="1246">
        <f t="shared" si="717"/>
        <v>0.0178205260961595</v>
      </c>
      <c r="P456" s="1246">
        <f t="shared" si="716"/>
        <v>0.06983424929533</v>
      </c>
      <c r="Q456" s="1246">
        <f t="shared" si="716"/>
        <v>0.0563943773956583</v>
      </c>
      <c r="R456" s="1246">
        <f t="shared" si="716"/>
        <v>-0.00200985534504361</v>
      </c>
      <c r="S456" s="1246">
        <f t="shared" si="716"/>
        <v>0.0987847771053239</v>
      </c>
      <c r="T456" s="1246">
        <f t="shared" si="715"/>
        <v>-0.00664647309336797</v>
      </c>
      <c r="U456" s="1246">
        <f t="shared" si="715"/>
        <v>-0.00311274960503116</v>
      </c>
      <c r="V456" s="1246">
        <f t="shared" si="710"/>
        <v>0.148325741175945</v>
      </c>
      <c r="W456" s="1246">
        <f t="shared" si="710"/>
        <v>-0.0535359161130251</v>
      </c>
      <c r="X456" s="1246">
        <f t="shared" si="710"/>
        <v>-0.0386828508265031</v>
      </c>
      <c r="Y456" s="1246">
        <f t="shared" si="710"/>
        <v>-0.0318425529694459</v>
      </c>
      <c r="Z456" s="1246">
        <f t="shared" si="710"/>
        <v>0.0128402507737481</v>
      </c>
      <c r="AA456" s="1246">
        <f t="shared" si="710"/>
        <v>-0.0162711428387678</v>
      </c>
      <c r="AB456" s="1246">
        <f t="shared" si="710"/>
        <v>0.0127515504366535</v>
      </c>
      <c r="AC456" s="1246">
        <f t="shared" si="710"/>
        <v>0.0923367840774335</v>
      </c>
      <c r="AD456" s="1246">
        <f t="shared" si="710"/>
        <v>-0.081214689265537</v>
      </c>
      <c r="AE456" s="1246">
        <f t="shared" si="710"/>
        <v>-0.0111038536903985</v>
      </c>
      <c r="AF456" s="1717">
        <f t="shared" si="710"/>
        <v>-0.0532730404823427</v>
      </c>
      <c r="AG456" s="1246">
        <f t="shared" si="711"/>
        <v>0.0340188902972564</v>
      </c>
      <c r="AH456" s="1246">
        <f t="shared" si="711"/>
        <v>0.0171428571428571</v>
      </c>
      <c r="AI456" s="1246">
        <f t="shared" si="711"/>
        <v>0</v>
      </c>
      <c r="AJ456" s="1246">
        <f t="shared" si="711"/>
        <v>0</v>
      </c>
      <c r="AK456" s="1246">
        <f t="shared" si="711"/>
        <v>0</v>
      </c>
      <c r="AL456" s="1246"/>
      <c r="AM456" s="1246"/>
      <c r="AU456" s="1826"/>
      <c r="AV456" s="1826"/>
      <c r="AW456" s="1933"/>
    </row>
    <row r="457" customHeight="1" spans="1:49">
      <c r="A457" s="1737" t="s">
        <v>204</v>
      </c>
      <c r="B457" s="1769"/>
      <c r="C457" s="1756"/>
      <c r="D457" s="1756"/>
      <c r="E457" s="1769"/>
      <c r="F457" s="1769"/>
      <c r="G457" s="1769"/>
      <c r="H457" s="1769"/>
      <c r="I457" s="1769"/>
      <c r="J457" s="1769"/>
      <c r="K457" s="1769"/>
      <c r="L457" s="1741"/>
      <c r="M457" s="1246">
        <f t="shared" si="717"/>
        <v>0.00306064152604957</v>
      </c>
      <c r="N457" s="1246">
        <f t="shared" si="717"/>
        <v>-0.00410148854261716</v>
      </c>
      <c r="O457" s="1246">
        <f t="shared" si="717"/>
        <v>-0.164287527378297</v>
      </c>
      <c r="P457" s="1246">
        <f t="shared" si="716"/>
        <v>-0.118331571516101</v>
      </c>
      <c r="Q457" s="1246">
        <f t="shared" si="716"/>
        <v>0.036878213773585</v>
      </c>
      <c r="R457" s="1246">
        <f t="shared" si="716"/>
        <v>-0.0109202238780146</v>
      </c>
      <c r="S457" s="1246">
        <f t="shared" si="716"/>
        <v>0.0653401587879365</v>
      </c>
      <c r="T457" s="1246">
        <f t="shared" si="715"/>
        <v>-0.0467829349880298</v>
      </c>
      <c r="U457" s="1246">
        <f t="shared" si="715"/>
        <v>0.0502588398460367</v>
      </c>
      <c r="V457" s="1246">
        <f t="shared" si="710"/>
        <v>0.0991288945235703</v>
      </c>
      <c r="W457" s="1246">
        <f t="shared" si="710"/>
        <v>-0.127634158793642</v>
      </c>
      <c r="X457" s="1246">
        <f t="shared" si="710"/>
        <v>-0.0726603234067291</v>
      </c>
      <c r="Y457" s="1246">
        <f t="shared" si="710"/>
        <v>-0.00458727161249017</v>
      </c>
      <c r="Z457" s="1246">
        <f t="shared" si="710"/>
        <v>-0.016454262248655</v>
      </c>
      <c r="AA457" s="1246">
        <f t="shared" si="710"/>
        <v>0.0125101000250758</v>
      </c>
      <c r="AB457" s="1246">
        <f t="shared" si="710"/>
        <v>0.0194514982224481</v>
      </c>
      <c r="AC457" s="1246">
        <f t="shared" si="710"/>
        <v>0.0194978217457112</v>
      </c>
      <c r="AD457" s="1246">
        <f t="shared" si="710"/>
        <v>-0.0209244314013206</v>
      </c>
      <c r="AE457" s="1246">
        <f t="shared" si="710"/>
        <v>0.0261871909853972</v>
      </c>
      <c r="AF457" s="1717">
        <f t="shared" si="710"/>
        <v>-0.0123682734598696</v>
      </c>
      <c r="AG457" s="1246">
        <f t="shared" si="711"/>
        <v>-0.0062397947282482</v>
      </c>
      <c r="AH457" s="1246">
        <f t="shared" si="711"/>
        <v>0.00550565053607655</v>
      </c>
      <c r="AI457" s="1246">
        <f t="shared" si="711"/>
        <v>0</v>
      </c>
      <c r="AJ457" s="1246">
        <f t="shared" si="711"/>
        <v>0</v>
      </c>
      <c r="AK457" s="1246">
        <f t="shared" si="711"/>
        <v>0</v>
      </c>
      <c r="AL457" s="1246"/>
      <c r="AM457" s="1246"/>
      <c r="AU457" s="1826"/>
      <c r="AV457" s="1826"/>
      <c r="AW457" s="1933"/>
    </row>
    <row r="458" customHeight="1" spans="1:49">
      <c r="A458" s="1737" t="s">
        <v>205</v>
      </c>
      <c r="B458" s="1769"/>
      <c r="C458" s="1756"/>
      <c r="D458" s="1756"/>
      <c r="E458" s="1769"/>
      <c r="F458" s="1769"/>
      <c r="G458" s="1769"/>
      <c r="H458" s="1769"/>
      <c r="I458" s="1769"/>
      <c r="J458" s="1769"/>
      <c r="K458" s="1769"/>
      <c r="L458" s="1741"/>
      <c r="M458" s="1246"/>
      <c r="N458" s="1246"/>
      <c r="O458" s="1246"/>
      <c r="P458" s="1246"/>
      <c r="Q458" s="1246">
        <f t="shared" ref="Q458:S459" si="718">-(Q446/P446-1)</f>
        <v>0.00264116003765624</v>
      </c>
      <c r="R458" s="1246">
        <f t="shared" si="718"/>
        <v>-0.107201499462917</v>
      </c>
      <c r="S458" s="1246">
        <f t="shared" si="718"/>
        <v>-0.0174244009483442</v>
      </c>
      <c r="T458" s="1246">
        <f t="shared" si="715"/>
        <v>-0.244695959570693</v>
      </c>
      <c r="U458" s="1246">
        <f t="shared" si="715"/>
        <v>-0.479873368303935</v>
      </c>
      <c r="V458" s="1246">
        <f t="shared" si="710"/>
        <v>0.0458728798779947</v>
      </c>
      <c r="W458" s="1246">
        <f t="shared" si="710"/>
        <v>-0.58962154759833</v>
      </c>
      <c r="X458" s="1246">
        <f t="shared" si="710"/>
        <v>-0.144259388226288</v>
      </c>
      <c r="Y458" s="1246">
        <f t="shared" si="710"/>
        <v>-0.711105033803975</v>
      </c>
      <c r="Z458" s="1246">
        <f t="shared" si="710"/>
        <v>-0.511968417761101</v>
      </c>
      <c r="AA458" s="1246">
        <f t="shared" si="710"/>
        <v>-0.626598280345999</v>
      </c>
      <c r="AB458" s="1246">
        <f t="shared" si="710"/>
        <v>-0.370239222891145</v>
      </c>
      <c r="AC458" s="1246">
        <f t="shared" si="710"/>
        <v>-0.270599424700752</v>
      </c>
      <c r="AD458" s="1246">
        <f t="shared" si="710"/>
        <v>-5.56089679221514</v>
      </c>
      <c r="AE458" s="1246">
        <f t="shared" si="710"/>
        <v>-0.0608860195903829</v>
      </c>
      <c r="AF458" s="1717">
        <f t="shared" si="710"/>
        <v>-0.478071555975239</v>
      </c>
      <c r="AG458" s="1246">
        <f t="shared" si="711"/>
        <v>-0.191836734693878</v>
      </c>
      <c r="AH458" s="1246">
        <f t="shared" si="711"/>
        <v>-0.0148898153662895</v>
      </c>
      <c r="AI458" s="1246">
        <f t="shared" si="711"/>
        <v>0</v>
      </c>
      <c r="AJ458" s="1246">
        <f t="shared" si="711"/>
        <v>0</v>
      </c>
      <c r="AK458" s="1246">
        <f t="shared" si="711"/>
        <v>0</v>
      </c>
      <c r="AL458" s="1246"/>
      <c r="AM458" s="1246"/>
      <c r="AU458" s="1826"/>
      <c r="AV458" s="1826"/>
      <c r="AW458" s="1933"/>
    </row>
    <row r="459" customHeight="1" spans="1:49">
      <c r="A459" s="1737" t="s">
        <v>206</v>
      </c>
      <c r="B459" s="1769"/>
      <c r="C459" s="1756"/>
      <c r="D459" s="1756"/>
      <c r="E459" s="1769"/>
      <c r="F459" s="1769"/>
      <c r="G459" s="1769"/>
      <c r="H459" s="1769"/>
      <c r="I459" s="1769"/>
      <c r="J459" s="1769"/>
      <c r="K459" s="1769"/>
      <c r="L459" s="1741"/>
      <c r="M459" s="1772"/>
      <c r="N459" s="1772"/>
      <c r="O459" s="1772"/>
      <c r="P459" s="1772"/>
      <c r="Q459" s="1246">
        <f t="shared" si="718"/>
        <v>0.10816429350573</v>
      </c>
      <c r="R459" s="1246">
        <f t="shared" si="718"/>
        <v>-0.0318249814334384</v>
      </c>
      <c r="S459" s="1246">
        <f t="shared" si="718"/>
        <v>0.0218374645483351</v>
      </c>
      <c r="T459" s="1246">
        <f t="shared" si="715"/>
        <v>-0.00275767982635355</v>
      </c>
      <c r="U459" s="1246">
        <f t="shared" si="715"/>
        <v>-0.0422716095775051</v>
      </c>
      <c r="V459" s="1246">
        <f t="shared" si="710"/>
        <v>0.0038064700040682</v>
      </c>
      <c r="W459" s="1246">
        <f t="shared" si="710"/>
        <v>-0.173876997826369</v>
      </c>
      <c r="X459" s="1246">
        <f t="shared" si="710"/>
        <v>-0.0301888401958752</v>
      </c>
      <c r="Y459" s="1246">
        <f t="shared" si="710"/>
        <v>-0.0581907879318977</v>
      </c>
      <c r="Z459" s="1246">
        <f t="shared" si="710"/>
        <v>0.0322938630562646</v>
      </c>
      <c r="AA459" s="1246">
        <f t="shared" si="710"/>
        <v>-0.0990366972477064</v>
      </c>
      <c r="AB459" s="1246">
        <f t="shared" si="710"/>
        <v>-0.0154847865102883</v>
      </c>
      <c r="AC459" s="1246">
        <f t="shared" si="710"/>
        <v>0.125976161117961</v>
      </c>
      <c r="AD459" s="1246">
        <f t="shared" si="710"/>
        <v>0.0981895132847402</v>
      </c>
      <c r="AE459" s="1246">
        <f t="shared" si="710"/>
        <v>-0.0369192261563329</v>
      </c>
      <c r="AF459" s="1717">
        <f t="shared" si="710"/>
        <v>-0.0907300310116503</v>
      </c>
      <c r="AG459" s="1246">
        <f t="shared" si="711"/>
        <v>0.0623198985668728</v>
      </c>
      <c r="AH459" s="1246">
        <f t="shared" si="711"/>
        <v>0.0165949600491702</v>
      </c>
      <c r="AI459" s="1246">
        <f t="shared" si="711"/>
        <v>0</v>
      </c>
      <c r="AJ459" s="1246">
        <f t="shared" si="711"/>
        <v>0</v>
      </c>
      <c r="AK459" s="1246">
        <f t="shared" si="711"/>
        <v>0</v>
      </c>
      <c r="AL459" s="1246"/>
      <c r="AM459" s="1246"/>
      <c r="AU459" s="1826"/>
      <c r="AV459" s="1826"/>
      <c r="AW459" s="1933"/>
    </row>
    <row r="460" customHeight="1" spans="1:49">
      <c r="A460" s="1737"/>
      <c r="B460" s="1769"/>
      <c r="C460" s="1756"/>
      <c r="D460" s="1756"/>
      <c r="E460" s="1769"/>
      <c r="F460" s="1769"/>
      <c r="G460" s="1769"/>
      <c r="H460" s="1769"/>
      <c r="I460" s="1769"/>
      <c r="J460" s="1769"/>
      <c r="K460" s="1769"/>
      <c r="L460" s="1741"/>
      <c r="M460" s="1246"/>
      <c r="N460" s="1246"/>
      <c r="O460" s="1246"/>
      <c r="P460" s="1772"/>
      <c r="Q460" s="1772"/>
      <c r="R460" s="1772"/>
      <c r="S460" s="1772"/>
      <c r="T460" s="1944"/>
      <c r="U460" s="1944"/>
      <c r="V460" s="1944"/>
      <c r="W460" s="1246"/>
      <c r="X460" s="1246"/>
      <c r="Y460" s="1246"/>
      <c r="Z460" s="1246"/>
      <c r="AA460" s="1246"/>
      <c r="AB460" s="1246"/>
      <c r="AC460" s="1246"/>
      <c r="AD460" s="1246"/>
      <c r="AE460" s="1246"/>
      <c r="AF460" s="1717"/>
      <c r="AG460" s="1246"/>
      <c r="AH460" s="1246"/>
      <c r="AI460" s="1246"/>
      <c r="AJ460" s="1246"/>
      <c r="AK460" s="1246"/>
      <c r="AL460" s="1246"/>
      <c r="AM460" s="1246"/>
      <c r="AU460" s="1826"/>
      <c r="AV460" s="1826"/>
      <c r="AW460" s="1933"/>
    </row>
    <row r="461" customHeight="1" spans="1:49">
      <c r="A461" s="1697" t="s">
        <v>208</v>
      </c>
      <c r="B461" s="1914" t="s">
        <v>14</v>
      </c>
      <c r="C461" s="1914" t="s">
        <v>15</v>
      </c>
      <c r="D461" s="1914" t="s">
        <v>16</v>
      </c>
      <c r="E461" s="1914" t="s">
        <v>17</v>
      </c>
      <c r="F461" s="1914" t="s">
        <v>18</v>
      </c>
      <c r="G461" s="1914" t="s">
        <v>19</v>
      </c>
      <c r="H461" s="1914" t="s">
        <v>20</v>
      </c>
      <c r="I461" s="1914" t="s">
        <v>21</v>
      </c>
      <c r="J461" s="1914" t="s">
        <v>22</v>
      </c>
      <c r="K461" s="1914" t="s">
        <v>23</v>
      </c>
      <c r="L461" s="1915" t="s">
        <v>24</v>
      </c>
      <c r="M461" s="1915" t="s">
        <v>25</v>
      </c>
      <c r="N461" s="1915" t="s">
        <v>26</v>
      </c>
      <c r="O461" s="1915" t="s">
        <v>27</v>
      </c>
      <c r="P461" s="1915" t="str">
        <f t="shared" ref="P461:AK461" si="719">P$1</f>
        <v>FY 09</v>
      </c>
      <c r="Q461" s="1915" t="str">
        <f t="shared" si="719"/>
        <v>FY 10</v>
      </c>
      <c r="R461" s="1915" t="str">
        <f t="shared" si="719"/>
        <v>FY 11</v>
      </c>
      <c r="S461" s="1915" t="str">
        <f t="shared" si="719"/>
        <v>FY 12</v>
      </c>
      <c r="T461" s="1915" t="str">
        <f t="shared" si="719"/>
        <v>FY 13</v>
      </c>
      <c r="U461" s="1915" t="str">
        <f t="shared" si="719"/>
        <v>FY 14</v>
      </c>
      <c r="V461" s="1915" t="str">
        <f t="shared" si="719"/>
        <v>FY 15</v>
      </c>
      <c r="W461" s="1915" t="str">
        <f t="shared" si="719"/>
        <v>FY 16</v>
      </c>
      <c r="X461" s="1915" t="str">
        <f t="shared" si="719"/>
        <v>FY 17</v>
      </c>
      <c r="Y461" s="1915" t="str">
        <f t="shared" si="719"/>
        <v>FY 18</v>
      </c>
      <c r="Z461" s="1915" t="str">
        <f t="shared" si="719"/>
        <v>FY 19</v>
      </c>
      <c r="AA461" s="1915" t="str">
        <f t="shared" si="719"/>
        <v>FY 20</v>
      </c>
      <c r="AB461" s="1915" t="str">
        <f t="shared" si="719"/>
        <v>FY 21</v>
      </c>
      <c r="AC461" s="1915" t="str">
        <f t="shared" si="719"/>
        <v>FY 22</v>
      </c>
      <c r="AD461" s="1915" t="str">
        <f t="shared" si="719"/>
        <v>FY 23</v>
      </c>
      <c r="AE461" s="1915" t="str">
        <f t="shared" si="719"/>
        <v>FY 24</v>
      </c>
      <c r="AF461" s="1916" t="str">
        <f t="shared" si="719"/>
        <v>FY 25</v>
      </c>
      <c r="AG461" s="1915" t="str">
        <f t="shared" si="719"/>
        <v>FY 26E</v>
      </c>
      <c r="AH461" s="1915" t="str">
        <f t="shared" si="719"/>
        <v>FY 27E</v>
      </c>
      <c r="AI461" s="1915" t="str">
        <f t="shared" si="719"/>
        <v>FY 28E</v>
      </c>
      <c r="AJ461" s="1915" t="str">
        <f t="shared" si="719"/>
        <v>FY 29E</v>
      </c>
      <c r="AK461" s="1915" t="str">
        <f t="shared" si="719"/>
        <v>FY 30E</v>
      </c>
      <c r="AL461" s="1915"/>
      <c r="AM461" s="1246"/>
      <c r="AU461" s="1826"/>
      <c r="AV461" s="1826"/>
      <c r="AW461" s="1933"/>
    </row>
    <row r="462" customHeight="1" spans="1:49">
      <c r="A462" s="1737" t="s">
        <v>209</v>
      </c>
      <c r="B462" s="1756"/>
      <c r="C462" s="1756"/>
      <c r="D462" s="1756"/>
      <c r="E462" s="1756"/>
      <c r="F462" s="1756"/>
      <c r="G462" s="1756"/>
      <c r="H462" s="1756"/>
      <c r="I462" s="1756"/>
      <c r="J462" s="1756"/>
      <c r="K462" s="1756"/>
      <c r="L462" s="1741"/>
      <c r="M462" s="1246"/>
      <c r="N462" s="1246"/>
      <c r="O462" s="1246"/>
      <c r="P462" s="1246"/>
      <c r="Q462" s="1246"/>
      <c r="R462" s="1246"/>
      <c r="S462" s="1246"/>
      <c r="T462" s="1246"/>
      <c r="U462" s="1246">
        <v>0</v>
      </c>
      <c r="V462" s="1246">
        <v>0</v>
      </c>
      <c r="W462" s="1246">
        <v>1</v>
      </c>
      <c r="X462" s="1246">
        <v>1</v>
      </c>
      <c r="Y462" s="1246">
        <v>1</v>
      </c>
      <c r="Z462" s="1246">
        <v>1</v>
      </c>
      <c r="AA462" s="1246">
        <v>1</v>
      </c>
      <c r="AB462" s="1246">
        <v>1</v>
      </c>
      <c r="AC462" s="1246">
        <v>1</v>
      </c>
      <c r="AD462" s="1246">
        <v>1</v>
      </c>
      <c r="AE462" s="1246">
        <v>1</v>
      </c>
      <c r="AF462" s="1717">
        <v>1</v>
      </c>
      <c r="AG462" s="1246">
        <v>1</v>
      </c>
      <c r="AH462" s="1246">
        <v>1</v>
      </c>
      <c r="AI462" s="1246">
        <v>1</v>
      </c>
      <c r="AJ462" s="1246">
        <v>1</v>
      </c>
      <c r="AK462" s="1246">
        <v>1</v>
      </c>
      <c r="AL462" s="1246"/>
      <c r="AM462" s="1246"/>
      <c r="AU462" s="1826"/>
      <c r="AV462" s="1826"/>
      <c r="AW462" s="1933"/>
    </row>
    <row r="463" customHeight="1" spans="1:49">
      <c r="A463" s="1737" t="s">
        <v>210</v>
      </c>
      <c r="B463" s="1946"/>
      <c r="C463" s="1756"/>
      <c r="D463" s="1756"/>
      <c r="E463" s="1946"/>
      <c r="F463" s="1946"/>
      <c r="G463" s="1946"/>
      <c r="H463" s="1946"/>
      <c r="I463" s="1946"/>
      <c r="J463" s="1946"/>
      <c r="K463" s="1946"/>
      <c r="L463" s="1741"/>
      <c r="M463" s="1246"/>
      <c r="N463" s="1246"/>
      <c r="O463" s="1246"/>
      <c r="P463" s="1246"/>
      <c r="Q463" s="1246"/>
      <c r="R463" s="1246"/>
      <c r="S463" s="1246"/>
      <c r="T463" s="1246"/>
      <c r="U463" s="1246">
        <f>U106*U450</f>
        <v>-0.000130287176347242</v>
      </c>
      <c r="V463" s="1246">
        <f t="shared" ref="V463:AB463" si="720">V106*V450</f>
        <v>0.0268386706489692</v>
      </c>
      <c r="W463" s="1246">
        <f t="shared" si="720"/>
        <v>0.000560766497760796</v>
      </c>
      <c r="X463" s="1246">
        <f t="shared" si="720"/>
        <v>-0.00427076098020849</v>
      </c>
      <c r="Y463" s="1246">
        <f t="shared" si="720"/>
        <v>-0.0101810993656084</v>
      </c>
      <c r="Z463" s="1246">
        <f t="shared" si="720"/>
        <v>0.0119991201925931</v>
      </c>
      <c r="AA463" s="1246">
        <f t="shared" si="720"/>
        <v>-0.00530058148336134</v>
      </c>
      <c r="AB463" s="1246">
        <f t="shared" si="720"/>
        <v>-0.0128316499980046</v>
      </c>
      <c r="AC463" s="1246">
        <f t="shared" ref="AC463:AD463" si="721">AC106*AC450</f>
        <v>0.0371357516502334</v>
      </c>
      <c r="AD463" s="1246">
        <f t="shared" si="721"/>
        <v>-0.00776208579223901</v>
      </c>
      <c r="AE463" s="1246">
        <f t="shared" ref="AE463:AF463" si="722">AE106*AE450</f>
        <v>0.000888417595339968</v>
      </c>
      <c r="AF463" s="1717">
        <f t="shared" si="722"/>
        <v>-0.00945342339523312</v>
      </c>
      <c r="AG463" s="1246">
        <f t="shared" ref="AG463:AH463" si="723">AG106*AG450</f>
        <v>-0.00490797779373701</v>
      </c>
      <c r="AH463" s="1246">
        <f t="shared" si="723"/>
        <v>0.00192306239498344</v>
      </c>
      <c r="AI463" s="1246">
        <f t="shared" ref="AI463:AJ463" si="724">AI106*AI450</f>
        <v>0</v>
      </c>
      <c r="AJ463" s="1246">
        <f t="shared" si="724"/>
        <v>0</v>
      </c>
      <c r="AK463" s="1246">
        <f t="shared" ref="AK463" si="725">AK106*AK450</f>
        <v>0</v>
      </c>
      <c r="AL463" s="1246"/>
      <c r="AM463" s="1246"/>
      <c r="AU463" s="1826"/>
      <c r="AV463" s="1826"/>
      <c r="AW463" s="1933"/>
    </row>
    <row r="464" customHeight="1" spans="1:49">
      <c r="A464" s="1737" t="s">
        <v>211</v>
      </c>
      <c r="B464" s="1769"/>
      <c r="C464" s="1756"/>
      <c r="D464" s="1756"/>
      <c r="E464" s="1769"/>
      <c r="F464" s="1769"/>
      <c r="G464" s="1769"/>
      <c r="H464" s="1769"/>
      <c r="I464" s="1769"/>
      <c r="J464" s="1769"/>
      <c r="K464" s="1769"/>
      <c r="L464" s="1741"/>
      <c r="M464" s="1246"/>
      <c r="N464" s="1246"/>
      <c r="O464" s="1246"/>
      <c r="P464" s="1246"/>
      <c r="Q464" s="1246"/>
      <c r="R464" s="1246"/>
      <c r="S464" s="1246"/>
      <c r="T464" s="1246"/>
      <c r="U464" s="1246">
        <f>U456*U116</f>
        <v>-0.000382534287111103</v>
      </c>
      <c r="V464" s="1246">
        <f t="shared" ref="V464:AB464" si="726">V456*V116</f>
        <v>0.0216503845677451</v>
      </c>
      <c r="W464" s="1246">
        <f t="shared" si="726"/>
        <v>-0.00835371215656846</v>
      </c>
      <c r="X464" s="1246">
        <f t="shared" si="726"/>
        <v>-0.00690778215579321</v>
      </c>
      <c r="Y464" s="1246">
        <f t="shared" si="726"/>
        <v>-0.0103758918893367</v>
      </c>
      <c r="Z464" s="1246">
        <f t="shared" si="726"/>
        <v>0.00436168779064531</v>
      </c>
      <c r="AA464" s="1246">
        <f t="shared" si="726"/>
        <v>-0.00536741085580399</v>
      </c>
      <c r="AB464" s="1246">
        <f t="shared" si="726"/>
        <v>0.00276061398499088</v>
      </c>
      <c r="AC464" s="1246">
        <f t="shared" ref="AC464:AD464" si="727">AC456*AC116</f>
        <v>0.0130397866190823</v>
      </c>
      <c r="AD464" s="1246">
        <f t="shared" si="727"/>
        <v>-0.0119398711368233</v>
      </c>
      <c r="AE464" s="1246">
        <f t="shared" ref="AE464:AF464" si="728">AE456*AE116</f>
        <v>-0.0015700125027213</v>
      </c>
      <c r="AF464" s="1717">
        <f t="shared" si="728"/>
        <v>-0.00777699216585568</v>
      </c>
      <c r="AG464" s="1246">
        <f t="shared" ref="AG464:AH464" si="729">AG456*AG116</f>
        <v>0.005227042952256</v>
      </c>
      <c r="AH464" s="1246">
        <f t="shared" si="729"/>
        <v>0.00268682514892479</v>
      </c>
      <c r="AI464" s="1246">
        <f t="shared" ref="AI464:AJ464" si="730">AI456*AI116</f>
        <v>0</v>
      </c>
      <c r="AJ464" s="1246">
        <f t="shared" si="730"/>
        <v>0</v>
      </c>
      <c r="AK464" s="1246">
        <f t="shared" ref="AK464" si="731">AK456*AK116</f>
        <v>0</v>
      </c>
      <c r="AL464" s="1246"/>
      <c r="AM464" s="1246"/>
      <c r="AU464" s="1826"/>
      <c r="AV464" s="1826"/>
      <c r="AW464" s="1933"/>
    </row>
    <row r="465" customHeight="1" spans="1:49">
      <c r="A465" s="1987" t="s">
        <v>212</v>
      </c>
      <c r="B465" s="1918"/>
      <c r="C465" s="1918"/>
      <c r="D465" s="1918"/>
      <c r="E465" s="1918"/>
      <c r="F465" s="1918"/>
      <c r="G465" s="1918"/>
      <c r="H465" s="1918"/>
      <c r="I465" s="1918"/>
      <c r="J465" s="1918"/>
      <c r="K465" s="1918"/>
      <c r="L465" s="1919"/>
      <c r="M465" s="1919"/>
      <c r="N465" s="2038"/>
      <c r="O465" s="2038"/>
      <c r="P465" s="2038"/>
      <c r="Q465" s="2038"/>
      <c r="R465" s="2038"/>
      <c r="S465" s="2038"/>
      <c r="T465" s="2038"/>
      <c r="U465" s="2038">
        <f t="shared" ref="U465:AA465" si="732">SUM(U462:U464)</f>
        <v>-0.000512821463458344</v>
      </c>
      <c r="V465" s="2038">
        <f t="shared" si="732"/>
        <v>0.0484890552167143</v>
      </c>
      <c r="W465" s="2038">
        <f t="shared" si="732"/>
        <v>0.992207054341192</v>
      </c>
      <c r="X465" s="2038">
        <f t="shared" si="732"/>
        <v>0.988821456863998</v>
      </c>
      <c r="Y465" s="2038">
        <f t="shared" si="732"/>
        <v>0.979443008745055</v>
      </c>
      <c r="Z465" s="2038">
        <f t="shared" si="732"/>
        <v>1.01636080798324</v>
      </c>
      <c r="AA465" s="2038">
        <f t="shared" si="732"/>
        <v>0.989332007660835</v>
      </c>
      <c r="AB465" s="2038">
        <f t="shared" ref="AB465:AG465" si="733">SUM(AB462:AB464)</f>
        <v>0.989928963986986</v>
      </c>
      <c r="AC465" s="2038">
        <f t="shared" si="733"/>
        <v>1.05017553826932</v>
      </c>
      <c r="AD465" s="2038">
        <f t="shared" si="733"/>
        <v>0.980298043070938</v>
      </c>
      <c r="AE465" s="2038">
        <f t="shared" si="733"/>
        <v>0.999318405092619</v>
      </c>
      <c r="AF465" s="2039">
        <f t="shared" si="733"/>
        <v>0.982769584438911</v>
      </c>
      <c r="AG465" s="2038">
        <f t="shared" si="733"/>
        <v>1.00031906515852</v>
      </c>
      <c r="AH465" s="2038">
        <f t="shared" ref="AH465" si="734">SUM(AH462:AH464)</f>
        <v>1.00460988754391</v>
      </c>
      <c r="AI465" s="2038">
        <f t="shared" ref="AI465:AJ465" si="735">SUM(AI462:AI464)</f>
        <v>1</v>
      </c>
      <c r="AJ465" s="2038">
        <f t="shared" si="735"/>
        <v>1</v>
      </c>
      <c r="AK465" s="2038">
        <f t="shared" ref="AK465" si="736">SUM(AK462:AK464)</f>
        <v>1</v>
      </c>
      <c r="AL465" s="2038"/>
      <c r="AM465" s="1246"/>
      <c r="AU465" s="1826"/>
      <c r="AV465" s="1826"/>
      <c r="AW465" s="1933"/>
    </row>
    <row r="466" customHeight="1" spans="1:49">
      <c r="B466" s="1977"/>
      <c r="C466" s="1977"/>
      <c r="D466" s="1977"/>
      <c r="E466" s="1977"/>
      <c r="F466" s="1977"/>
      <c r="G466" s="1977"/>
      <c r="H466" s="1977"/>
      <c r="I466" s="1977"/>
      <c r="J466" s="1977"/>
      <c r="K466" s="1977"/>
      <c r="L466" s="1978"/>
      <c r="M466" s="1978"/>
      <c r="N466" s="1978"/>
      <c r="O466" s="1978"/>
      <c r="P466" s="1978"/>
      <c r="Q466" s="1978"/>
      <c r="R466" s="1978"/>
      <c r="S466" s="1978"/>
      <c r="T466" s="1978"/>
      <c r="U466" s="1978"/>
      <c r="V466" s="1978"/>
      <c r="W466" s="1978"/>
      <c r="X466" s="1978"/>
      <c r="Y466" s="1978"/>
      <c r="Z466" s="1978"/>
      <c r="AA466" s="1978"/>
      <c r="AB466" s="1978"/>
      <c r="AC466" s="1978"/>
      <c r="AD466" s="1978"/>
      <c r="AE466" s="1978"/>
      <c r="AF466" s="2030"/>
      <c r="AG466" s="1978"/>
      <c r="AH466" s="1978"/>
      <c r="AI466" s="1978"/>
      <c r="AJ466" s="1978"/>
      <c r="AK466" s="1978"/>
      <c r="AL466" s="1978"/>
      <c r="AM466" s="1246"/>
      <c r="AU466" s="1826"/>
      <c r="AV466" s="1826"/>
      <c r="AW466" s="1933"/>
    </row>
    <row r="467" customHeight="1" spans="1:49">
      <c r="A467" s="1697" t="s">
        <v>213</v>
      </c>
      <c r="B467" s="1914" t="s">
        <v>14</v>
      </c>
      <c r="C467" s="1914" t="s">
        <v>15</v>
      </c>
      <c r="D467" s="1914" t="s">
        <v>16</v>
      </c>
      <c r="E467" s="1914" t="s">
        <v>17</v>
      </c>
      <c r="F467" s="1914" t="s">
        <v>18</v>
      </c>
      <c r="G467" s="1914" t="s">
        <v>19</v>
      </c>
      <c r="H467" s="1914" t="s">
        <v>20</v>
      </c>
      <c r="I467" s="1914" t="s">
        <v>21</v>
      </c>
      <c r="J467" s="1914" t="s">
        <v>22</v>
      </c>
      <c r="K467" s="1914" t="s">
        <v>23</v>
      </c>
      <c r="L467" s="1915" t="s">
        <v>24</v>
      </c>
      <c r="M467" s="1915" t="s">
        <v>25</v>
      </c>
      <c r="N467" s="1915" t="s">
        <v>26</v>
      </c>
      <c r="O467" s="1915" t="s">
        <v>27</v>
      </c>
      <c r="P467" s="1915" t="str">
        <f t="shared" ref="P467:AK467" si="737">P$1</f>
        <v>FY 09</v>
      </c>
      <c r="Q467" s="1915" t="str">
        <f t="shared" si="737"/>
        <v>FY 10</v>
      </c>
      <c r="R467" s="1915" t="str">
        <f t="shared" si="737"/>
        <v>FY 11</v>
      </c>
      <c r="S467" s="1915" t="str">
        <f t="shared" si="737"/>
        <v>FY 12</v>
      </c>
      <c r="T467" s="1915" t="str">
        <f t="shared" si="737"/>
        <v>FY 13</v>
      </c>
      <c r="U467" s="1915" t="str">
        <f t="shared" si="737"/>
        <v>FY 14</v>
      </c>
      <c r="V467" s="1915" t="str">
        <f t="shared" si="737"/>
        <v>FY 15</v>
      </c>
      <c r="W467" s="1915" t="str">
        <f t="shared" si="737"/>
        <v>FY 16</v>
      </c>
      <c r="X467" s="1915" t="str">
        <f t="shared" si="737"/>
        <v>FY 17</v>
      </c>
      <c r="Y467" s="1915" t="str">
        <f t="shared" si="737"/>
        <v>FY 18</v>
      </c>
      <c r="Z467" s="1915" t="str">
        <f t="shared" si="737"/>
        <v>FY 19</v>
      </c>
      <c r="AA467" s="1915" t="str">
        <f t="shared" si="737"/>
        <v>FY 20</v>
      </c>
      <c r="AB467" s="1915" t="str">
        <f t="shared" si="737"/>
        <v>FY 21</v>
      </c>
      <c r="AC467" s="1915" t="str">
        <f t="shared" si="737"/>
        <v>FY 22</v>
      </c>
      <c r="AD467" s="1915" t="str">
        <f t="shared" si="737"/>
        <v>FY 23</v>
      </c>
      <c r="AE467" s="1915" t="str">
        <f t="shared" si="737"/>
        <v>FY 24</v>
      </c>
      <c r="AF467" s="1916" t="str">
        <f t="shared" si="737"/>
        <v>FY 25</v>
      </c>
      <c r="AG467" s="1915" t="str">
        <f t="shared" si="737"/>
        <v>FY 26E</v>
      </c>
      <c r="AH467" s="1915" t="str">
        <f t="shared" si="737"/>
        <v>FY 27E</v>
      </c>
      <c r="AI467" s="1915" t="str">
        <f t="shared" si="737"/>
        <v>FY 28E</v>
      </c>
      <c r="AJ467" s="1915" t="str">
        <f t="shared" si="737"/>
        <v>FY 29E</v>
      </c>
      <c r="AK467" s="1915" t="str">
        <f t="shared" si="737"/>
        <v>FY 30E</v>
      </c>
      <c r="AL467" s="1915"/>
      <c r="AM467" s="1246"/>
      <c r="AU467" s="1826"/>
      <c r="AV467" s="1826"/>
      <c r="AW467" s="1933"/>
    </row>
    <row r="468" customHeight="1" spans="1:49">
      <c r="A468" s="1737" t="s">
        <v>209</v>
      </c>
      <c r="B468" s="1756"/>
      <c r="C468" s="1756"/>
      <c r="D468" s="1756"/>
      <c r="E468" s="1756"/>
      <c r="F468" s="1756"/>
      <c r="G468" s="1756"/>
      <c r="H468" s="1756"/>
      <c r="I468" s="1756"/>
      <c r="J468" s="1756"/>
      <c r="K468" s="1756"/>
      <c r="L468" s="1741"/>
      <c r="M468" s="1246">
        <v>0.19</v>
      </c>
      <c r="N468" s="1246">
        <v>0.17</v>
      </c>
      <c r="O468" s="1246">
        <v>0.13</v>
      </c>
      <c r="P468" s="1246">
        <v>0.16</v>
      </c>
      <c r="Q468" s="1246">
        <v>0.09</v>
      </c>
      <c r="R468" s="1246">
        <v>0.08</v>
      </c>
      <c r="S468" s="1246">
        <v>0.08</v>
      </c>
      <c r="T468" s="1824">
        <f>S468</f>
        <v>0.08</v>
      </c>
      <c r="U468" s="1824">
        <f>7%+1%</f>
        <v>0.08</v>
      </c>
      <c r="V468" s="1824">
        <f t="shared" ref="V468:X470" si="738">U468</f>
        <v>0.08</v>
      </c>
      <c r="W468" s="1246">
        <f t="shared" si="738"/>
        <v>0.08</v>
      </c>
      <c r="X468" s="1246">
        <f t="shared" si="738"/>
        <v>0.08</v>
      </c>
      <c r="Y468" s="1246">
        <f t="shared" ref="Y468:AF470" si="739">X468</f>
        <v>0.08</v>
      </c>
      <c r="Z468" s="1246">
        <f t="shared" si="739"/>
        <v>0.08</v>
      </c>
      <c r="AA468" s="1246">
        <f t="shared" si="739"/>
        <v>0.08</v>
      </c>
      <c r="AB468" s="1246">
        <f t="shared" si="739"/>
        <v>0.08</v>
      </c>
      <c r="AC468" s="1246">
        <f t="shared" si="739"/>
        <v>0.08</v>
      </c>
      <c r="AD468" s="1246">
        <f t="shared" si="739"/>
        <v>0.08</v>
      </c>
      <c r="AE468" s="1246">
        <f t="shared" si="739"/>
        <v>0.08</v>
      </c>
      <c r="AF468" s="1717">
        <f t="shared" si="739"/>
        <v>0.08</v>
      </c>
      <c r="AG468" s="1246">
        <f t="shared" ref="AG468:AK470" si="740">AF468</f>
        <v>0.08</v>
      </c>
      <c r="AH468" s="1246">
        <f t="shared" si="740"/>
        <v>0.08</v>
      </c>
      <c r="AI468" s="1246">
        <f t="shared" si="740"/>
        <v>0.08</v>
      </c>
      <c r="AJ468" s="1246">
        <f t="shared" si="740"/>
        <v>0.08</v>
      </c>
      <c r="AK468" s="1246">
        <f t="shared" si="740"/>
        <v>0.08</v>
      </c>
      <c r="AL468" s="1246"/>
      <c r="AM468" s="1246"/>
      <c r="AU468" s="1826"/>
      <c r="AV468" s="1826"/>
      <c r="AW468" s="1933"/>
    </row>
    <row r="469" customHeight="1" spans="1:49">
      <c r="A469" s="1737" t="s">
        <v>210</v>
      </c>
      <c r="B469" s="1946"/>
      <c r="C469" s="1756"/>
      <c r="D469" s="1756"/>
      <c r="E469" s="1946"/>
      <c r="F469" s="1946"/>
      <c r="G469" s="1946"/>
      <c r="H469" s="1946"/>
      <c r="I469" s="1946"/>
      <c r="J469" s="1946"/>
      <c r="K469" s="1946"/>
      <c r="L469" s="1741"/>
      <c r="M469" s="1246">
        <v>0.15</v>
      </c>
      <c r="N469" s="1246">
        <v>0.12</v>
      </c>
      <c r="O469" s="1246">
        <v>0.13</v>
      </c>
      <c r="P469" s="1246">
        <v>0.1</v>
      </c>
      <c r="Q469" s="1246">
        <v>0.16</v>
      </c>
      <c r="R469" s="1246">
        <v>0.15</v>
      </c>
      <c r="S469" s="1246">
        <v>0.16</v>
      </c>
      <c r="T469" s="1824">
        <v>0.14</v>
      </c>
      <c r="U469" s="1824">
        <v>0.09</v>
      </c>
      <c r="V469" s="1824">
        <f t="shared" si="738"/>
        <v>0.09</v>
      </c>
      <c r="W469" s="1246">
        <f t="shared" si="738"/>
        <v>0.09</v>
      </c>
      <c r="X469" s="1246">
        <f t="shared" si="738"/>
        <v>0.09</v>
      </c>
      <c r="Y469" s="1246">
        <f t="shared" si="739"/>
        <v>0.09</v>
      </c>
      <c r="Z469" s="1246">
        <f t="shared" si="739"/>
        <v>0.09</v>
      </c>
      <c r="AA469" s="1246">
        <f t="shared" si="739"/>
        <v>0.09</v>
      </c>
      <c r="AB469" s="1246">
        <f t="shared" si="739"/>
        <v>0.09</v>
      </c>
      <c r="AC469" s="1246">
        <f t="shared" si="739"/>
        <v>0.09</v>
      </c>
      <c r="AD469" s="1246">
        <f t="shared" si="739"/>
        <v>0.09</v>
      </c>
      <c r="AE469" s="1246">
        <f t="shared" si="739"/>
        <v>0.09</v>
      </c>
      <c r="AF469" s="1717">
        <f t="shared" si="739"/>
        <v>0.09</v>
      </c>
      <c r="AG469" s="1246">
        <f t="shared" si="740"/>
        <v>0.09</v>
      </c>
      <c r="AH469" s="1246">
        <f t="shared" si="740"/>
        <v>0.09</v>
      </c>
      <c r="AI469" s="1246">
        <f t="shared" si="740"/>
        <v>0.09</v>
      </c>
      <c r="AJ469" s="1246">
        <f t="shared" si="740"/>
        <v>0.09</v>
      </c>
      <c r="AK469" s="1246">
        <f t="shared" si="740"/>
        <v>0.09</v>
      </c>
      <c r="AL469" s="1246"/>
      <c r="AM469" s="1246"/>
      <c r="AU469" s="1826"/>
      <c r="AV469" s="1826"/>
      <c r="AW469" s="1933"/>
    </row>
    <row r="470" customHeight="1" spans="1:49">
      <c r="A470" s="1737" t="s">
        <v>211</v>
      </c>
      <c r="B470" s="1769"/>
      <c r="C470" s="1756"/>
      <c r="D470" s="1756"/>
      <c r="E470" s="1769"/>
      <c r="F470" s="1769"/>
      <c r="G470" s="1769"/>
      <c r="H470" s="1769"/>
      <c r="I470" s="1769"/>
      <c r="J470" s="1769"/>
      <c r="K470" s="1769"/>
      <c r="L470" s="1741"/>
      <c r="M470" s="1246">
        <v>0.66</v>
      </c>
      <c r="N470" s="1246">
        <v>0.71</v>
      </c>
      <c r="O470" s="1246">
        <v>0.74</v>
      </c>
      <c r="P470" s="1246">
        <v>0.74</v>
      </c>
      <c r="Q470" s="1246">
        <v>0.75</v>
      </c>
      <c r="R470" s="1246">
        <v>0.77</v>
      </c>
      <c r="S470" s="1246">
        <v>0.76</v>
      </c>
      <c r="T470" s="1824">
        <v>0.78</v>
      </c>
      <c r="U470" s="1824">
        <f>1-U468-U469</f>
        <v>0.83</v>
      </c>
      <c r="V470" s="1824">
        <f t="shared" si="738"/>
        <v>0.83</v>
      </c>
      <c r="W470" s="1246">
        <f t="shared" si="738"/>
        <v>0.83</v>
      </c>
      <c r="X470" s="1246">
        <f t="shared" si="738"/>
        <v>0.83</v>
      </c>
      <c r="Y470" s="1246">
        <f t="shared" si="739"/>
        <v>0.83</v>
      </c>
      <c r="Z470" s="1246">
        <f t="shared" si="739"/>
        <v>0.83</v>
      </c>
      <c r="AA470" s="1246">
        <f t="shared" si="739"/>
        <v>0.83</v>
      </c>
      <c r="AB470" s="1246">
        <f t="shared" si="739"/>
        <v>0.83</v>
      </c>
      <c r="AC470" s="1246">
        <f t="shared" si="739"/>
        <v>0.83</v>
      </c>
      <c r="AD470" s="1246">
        <f t="shared" si="739"/>
        <v>0.83</v>
      </c>
      <c r="AE470" s="1246">
        <f t="shared" si="739"/>
        <v>0.83</v>
      </c>
      <c r="AF470" s="1717">
        <f t="shared" si="739"/>
        <v>0.83</v>
      </c>
      <c r="AG470" s="1246">
        <f t="shared" si="740"/>
        <v>0.83</v>
      </c>
      <c r="AH470" s="1246">
        <f t="shared" si="740"/>
        <v>0.83</v>
      </c>
      <c r="AI470" s="1246">
        <f t="shared" si="740"/>
        <v>0.83</v>
      </c>
      <c r="AJ470" s="1246">
        <f t="shared" si="740"/>
        <v>0.83</v>
      </c>
      <c r="AK470" s="1246">
        <f t="shared" si="740"/>
        <v>0.83</v>
      </c>
      <c r="AL470" s="1246"/>
      <c r="AM470" s="1246"/>
      <c r="AU470" s="1826"/>
      <c r="AV470" s="1826"/>
      <c r="AW470" s="1933"/>
    </row>
    <row r="471" customHeight="1" spans="1:49">
      <c r="A471" s="1987" t="s">
        <v>212</v>
      </c>
      <c r="B471" s="1918"/>
      <c r="C471" s="1918"/>
      <c r="D471" s="1918"/>
      <c r="E471" s="1918"/>
      <c r="F471" s="1918"/>
      <c r="G471" s="1918"/>
      <c r="H471" s="1918"/>
      <c r="I471" s="1918"/>
      <c r="J471" s="1918"/>
      <c r="K471" s="1918"/>
      <c r="L471" s="1919"/>
      <c r="M471" s="1919"/>
      <c r="N471" s="2040">
        <f t="shared" ref="N471:S471" si="741">SUM(N468:N470)</f>
        <v>1</v>
      </c>
      <c r="O471" s="2040">
        <f t="shared" si="741"/>
        <v>1</v>
      </c>
      <c r="P471" s="2040">
        <f t="shared" si="741"/>
        <v>1</v>
      </c>
      <c r="Q471" s="2040">
        <f t="shared" si="741"/>
        <v>1</v>
      </c>
      <c r="R471" s="2040">
        <f t="shared" si="741"/>
        <v>1</v>
      </c>
      <c r="S471" s="2040">
        <f t="shared" si="741"/>
        <v>1</v>
      </c>
      <c r="T471" s="2040">
        <f t="shared" ref="T471:AA471" si="742">SUM(T468:T470)</f>
        <v>1</v>
      </c>
      <c r="U471" s="2040">
        <f t="shared" si="742"/>
        <v>1</v>
      </c>
      <c r="V471" s="2040">
        <f t="shared" si="742"/>
        <v>1</v>
      </c>
      <c r="W471" s="2040">
        <f t="shared" si="742"/>
        <v>1</v>
      </c>
      <c r="X471" s="2040">
        <f t="shared" si="742"/>
        <v>1</v>
      </c>
      <c r="Y471" s="2040">
        <f t="shared" si="742"/>
        <v>1</v>
      </c>
      <c r="Z471" s="2040">
        <f t="shared" si="742"/>
        <v>1</v>
      </c>
      <c r="AA471" s="2040">
        <f t="shared" si="742"/>
        <v>1</v>
      </c>
      <c r="AB471" s="2040">
        <f t="shared" ref="AB471:AG471" si="743">SUM(AB468:AB470)</f>
        <v>1</v>
      </c>
      <c r="AC471" s="2040">
        <f t="shared" si="743"/>
        <v>1</v>
      </c>
      <c r="AD471" s="2040">
        <f t="shared" si="743"/>
        <v>1</v>
      </c>
      <c r="AE471" s="2040">
        <f t="shared" si="743"/>
        <v>1</v>
      </c>
      <c r="AF471" s="2041">
        <f t="shared" si="743"/>
        <v>1</v>
      </c>
      <c r="AG471" s="2040">
        <f t="shared" si="743"/>
        <v>1</v>
      </c>
      <c r="AH471" s="2040">
        <f t="shared" ref="AH471" si="744">SUM(AH468:AH470)</f>
        <v>1</v>
      </c>
      <c r="AI471" s="2040">
        <f t="shared" ref="AI471:AJ471" si="745">SUM(AI468:AI470)</f>
        <v>1</v>
      </c>
      <c r="AJ471" s="2040">
        <f t="shared" si="745"/>
        <v>1</v>
      </c>
      <c r="AK471" s="2040">
        <f t="shared" ref="AK471" si="746">SUM(AK468:AK470)</f>
        <v>1</v>
      </c>
      <c r="AL471" s="2040"/>
      <c r="AM471" s="1246"/>
      <c r="AU471" s="1826"/>
      <c r="AV471" s="1826"/>
      <c r="AW471" s="1933"/>
    </row>
    <row r="472" customHeight="1" spans="1:49">
      <c r="B472" s="1977"/>
      <c r="C472" s="1977"/>
      <c r="D472" s="1977"/>
      <c r="E472" s="1977"/>
      <c r="F472" s="1977"/>
      <c r="G472" s="1977"/>
      <c r="H472" s="1977"/>
      <c r="I472" s="1977"/>
      <c r="J472" s="1977"/>
      <c r="K472" s="1977"/>
      <c r="L472" s="1978"/>
      <c r="M472" s="1978"/>
      <c r="N472" s="1978"/>
      <c r="O472" s="1978"/>
      <c r="P472" s="1978"/>
      <c r="Q472" s="1978"/>
      <c r="R472" s="1978"/>
      <c r="S472" s="1978"/>
      <c r="T472" s="1978"/>
      <c r="U472" s="1978"/>
      <c r="V472" s="1978"/>
      <c r="W472" s="1978"/>
      <c r="X472" s="1978"/>
      <c r="Y472" s="1978"/>
      <c r="Z472" s="1978"/>
      <c r="AA472" s="1978"/>
      <c r="AB472" s="1978"/>
      <c r="AC472" s="1978"/>
      <c r="AD472" s="1978"/>
      <c r="AE472" s="1978"/>
      <c r="AF472" s="2030"/>
      <c r="AG472" s="1978"/>
      <c r="AH472" s="1978"/>
      <c r="AI472" s="1978"/>
      <c r="AJ472" s="1978"/>
      <c r="AK472" s="1978"/>
      <c r="AL472" s="1978"/>
      <c r="AM472" s="1246"/>
      <c r="AU472" s="1826"/>
      <c r="AV472" s="1826"/>
      <c r="AW472" s="1933"/>
    </row>
    <row r="473" customHeight="1" spans="1:49">
      <c r="A473" s="1697" t="s">
        <v>208</v>
      </c>
      <c r="B473" s="1914" t="s">
        <v>14</v>
      </c>
      <c r="C473" s="1914" t="s">
        <v>15</v>
      </c>
      <c r="D473" s="1914" t="s">
        <v>16</v>
      </c>
      <c r="E473" s="1914" t="s">
        <v>17</v>
      </c>
      <c r="F473" s="1914" t="s">
        <v>18</v>
      </c>
      <c r="G473" s="1914" t="s">
        <v>19</v>
      </c>
      <c r="H473" s="1914" t="s">
        <v>20</v>
      </c>
      <c r="I473" s="1914" t="s">
        <v>21</v>
      </c>
      <c r="J473" s="1914" t="s">
        <v>22</v>
      </c>
      <c r="K473" s="1914" t="s">
        <v>23</v>
      </c>
      <c r="L473" s="1915" t="s">
        <v>24</v>
      </c>
      <c r="M473" s="1915" t="s">
        <v>25</v>
      </c>
      <c r="N473" s="1915" t="s">
        <v>214</v>
      </c>
      <c r="O473" s="1915" t="s">
        <v>215</v>
      </c>
      <c r="P473" s="1915" t="str">
        <f t="shared" ref="P473:AK473" si="747">P$1</f>
        <v>FY 09</v>
      </c>
      <c r="Q473" s="1915" t="str">
        <f t="shared" si="747"/>
        <v>FY 10</v>
      </c>
      <c r="R473" s="1915" t="str">
        <f t="shared" si="747"/>
        <v>FY 11</v>
      </c>
      <c r="S473" s="1915" t="str">
        <f t="shared" si="747"/>
        <v>FY 12</v>
      </c>
      <c r="T473" s="1915" t="str">
        <f t="shared" si="747"/>
        <v>FY 13</v>
      </c>
      <c r="U473" s="1915" t="str">
        <f t="shared" si="747"/>
        <v>FY 14</v>
      </c>
      <c r="V473" s="1915" t="str">
        <f t="shared" si="747"/>
        <v>FY 15</v>
      </c>
      <c r="W473" s="1915" t="str">
        <f t="shared" si="747"/>
        <v>FY 16</v>
      </c>
      <c r="X473" s="1915" t="str">
        <f t="shared" si="747"/>
        <v>FY 17</v>
      </c>
      <c r="Y473" s="1915" t="str">
        <f t="shared" si="747"/>
        <v>FY 18</v>
      </c>
      <c r="Z473" s="1915" t="str">
        <f t="shared" si="747"/>
        <v>FY 19</v>
      </c>
      <c r="AA473" s="1915" t="str">
        <f t="shared" si="747"/>
        <v>FY 20</v>
      </c>
      <c r="AB473" s="1915" t="str">
        <f t="shared" si="747"/>
        <v>FY 21</v>
      </c>
      <c r="AC473" s="1915" t="str">
        <f t="shared" si="747"/>
        <v>FY 22</v>
      </c>
      <c r="AD473" s="1915" t="str">
        <f t="shared" si="747"/>
        <v>FY 23</v>
      </c>
      <c r="AE473" s="1915" t="str">
        <f t="shared" si="747"/>
        <v>FY 24</v>
      </c>
      <c r="AF473" s="1916" t="str">
        <f t="shared" si="747"/>
        <v>FY 25</v>
      </c>
      <c r="AG473" s="1915" t="str">
        <f t="shared" si="747"/>
        <v>FY 26E</v>
      </c>
      <c r="AH473" s="1915" t="str">
        <f t="shared" si="747"/>
        <v>FY 27E</v>
      </c>
      <c r="AI473" s="1915" t="str">
        <f t="shared" si="747"/>
        <v>FY 28E</v>
      </c>
      <c r="AJ473" s="1915" t="str">
        <f t="shared" si="747"/>
        <v>FY 29E</v>
      </c>
      <c r="AK473" s="1915" t="str">
        <f t="shared" si="747"/>
        <v>FY 30E</v>
      </c>
      <c r="AL473" s="1915"/>
      <c r="AM473" s="1246"/>
      <c r="AU473" s="1826"/>
      <c r="AV473" s="1826"/>
      <c r="AW473" s="1933"/>
    </row>
    <row r="474" customHeight="1" spans="1:49">
      <c r="A474" s="1737" t="s">
        <v>209</v>
      </c>
      <c r="B474" s="1756"/>
      <c r="C474" s="1756"/>
      <c r="D474" s="1756"/>
      <c r="E474" s="1756"/>
      <c r="F474" s="1756"/>
      <c r="G474" s="1756"/>
      <c r="H474" s="1756"/>
      <c r="I474" s="1756"/>
      <c r="J474" s="1756"/>
      <c r="K474" s="1756"/>
      <c r="L474" s="1741"/>
      <c r="M474" s="1246"/>
      <c r="N474" s="1246">
        <v>0</v>
      </c>
      <c r="O474" s="1246">
        <v>0</v>
      </c>
      <c r="P474" s="1246">
        <v>0</v>
      </c>
      <c r="Q474" s="1246">
        <v>0</v>
      </c>
      <c r="R474" s="1246">
        <v>0</v>
      </c>
      <c r="S474" s="1246">
        <v>0</v>
      </c>
      <c r="T474" s="1246">
        <v>0</v>
      </c>
      <c r="U474" s="1246">
        <v>0</v>
      </c>
      <c r="V474" s="1246">
        <v>0</v>
      </c>
      <c r="W474" s="1246">
        <v>1</v>
      </c>
      <c r="X474" s="1246">
        <v>1</v>
      </c>
      <c r="Y474" s="1246">
        <v>1</v>
      </c>
      <c r="Z474" s="1246">
        <v>1</v>
      </c>
      <c r="AA474" s="1246">
        <v>1</v>
      </c>
      <c r="AB474" s="1246">
        <v>1</v>
      </c>
      <c r="AC474" s="1246">
        <v>1</v>
      </c>
      <c r="AD474" s="1246">
        <v>1</v>
      </c>
      <c r="AE474" s="1246">
        <v>1</v>
      </c>
      <c r="AF474" s="1717">
        <v>1</v>
      </c>
      <c r="AG474" s="1246">
        <v>1</v>
      </c>
      <c r="AH474" s="1246">
        <v>1</v>
      </c>
      <c r="AI474" s="1246">
        <v>1</v>
      </c>
      <c r="AJ474" s="1246">
        <v>1</v>
      </c>
      <c r="AK474" s="1246">
        <v>1</v>
      </c>
      <c r="AL474" s="1246"/>
      <c r="AM474" s="1246"/>
      <c r="AU474" s="1826"/>
      <c r="AV474" s="1826"/>
      <c r="AW474" s="1933"/>
    </row>
    <row r="475" customHeight="1" spans="1:49">
      <c r="A475" s="1737" t="s">
        <v>210</v>
      </c>
      <c r="B475" s="1946"/>
      <c r="C475" s="1756"/>
      <c r="D475" s="1756"/>
      <c r="E475" s="1946"/>
      <c r="F475" s="1946"/>
      <c r="G475" s="1946"/>
      <c r="H475" s="1946"/>
      <c r="I475" s="1946"/>
      <c r="J475" s="1946"/>
      <c r="K475" s="1946"/>
      <c r="L475" s="1741"/>
      <c r="M475" s="1246"/>
      <c r="N475" s="1246">
        <f t="shared" ref="N475:S475" si="748">N469*N450</f>
        <v>-0.0109199247797568</v>
      </c>
      <c r="O475" s="1246">
        <f t="shared" si="748"/>
        <v>-0.00959448466488998</v>
      </c>
      <c r="P475" s="1246">
        <f t="shared" si="748"/>
        <v>0.00518289999748211</v>
      </c>
      <c r="Q475" s="1246">
        <f t="shared" si="748"/>
        <v>0.00783951531182019</v>
      </c>
      <c r="R475" s="1246">
        <f t="shared" si="748"/>
        <v>-0.00735923217044175</v>
      </c>
      <c r="S475" s="1246">
        <f t="shared" si="748"/>
        <v>0.0122385512230052</v>
      </c>
      <c r="T475" s="1246">
        <f t="shared" ref="T475:AA475" si="749">T469*T450</f>
        <v>-0.00461853458321071</v>
      </c>
      <c r="U475" s="1246">
        <f t="shared" si="749"/>
        <v>-7.68659080049172e-5</v>
      </c>
      <c r="V475" s="1246">
        <f t="shared" si="749"/>
        <v>0.0148358207198469</v>
      </c>
      <c r="W475" s="1246">
        <f t="shared" si="749"/>
        <v>0.000285330221794408</v>
      </c>
      <c r="X475" s="1246">
        <f t="shared" si="749"/>
        <v>-0.00190772645216976</v>
      </c>
      <c r="Y475" s="1246">
        <f t="shared" si="749"/>
        <v>-0.00428342391931693</v>
      </c>
      <c r="Z475" s="1246">
        <f t="shared" si="749"/>
        <v>0.00480527160598124</v>
      </c>
      <c r="AA475" s="1246">
        <f t="shared" si="749"/>
        <v>-0.0019879518072289</v>
      </c>
      <c r="AB475" s="1246">
        <f t="shared" ref="AB475:AG475" si="750">AB469*AB450</f>
        <v>-0.00480353634577604</v>
      </c>
      <c r="AC475" s="1246">
        <f t="shared" si="750"/>
        <v>0.0117594031706559</v>
      </c>
      <c r="AD475" s="1246">
        <f t="shared" si="750"/>
        <v>-0.00298212157330154</v>
      </c>
      <c r="AE475" s="1246">
        <f t="shared" si="750"/>
        <v>0.00037378864790032</v>
      </c>
      <c r="AF475" s="1717">
        <f t="shared" si="750"/>
        <v>-0.00414967562557925</v>
      </c>
      <c r="AG475" s="1246">
        <f t="shared" si="750"/>
        <v>-0.00215880398671098</v>
      </c>
      <c r="AH475" s="1246">
        <f t="shared" ref="AH475" si="751">AH469*AH450</f>
        <v>0.000842904418921555</v>
      </c>
      <c r="AI475" s="1246">
        <f t="shared" ref="AI475:AJ475" si="752">AI469*AI450</f>
        <v>0</v>
      </c>
      <c r="AJ475" s="1246">
        <f t="shared" si="752"/>
        <v>0</v>
      </c>
      <c r="AK475" s="1246">
        <f t="shared" ref="AK475" si="753">AK469*AK450</f>
        <v>0</v>
      </c>
      <c r="AL475" s="1246"/>
      <c r="AM475" s="1246"/>
      <c r="AU475" s="1826"/>
      <c r="AV475" s="1826"/>
      <c r="AW475" s="1933"/>
    </row>
    <row r="476" customHeight="1" spans="1:49">
      <c r="A476" s="1737" t="s">
        <v>211</v>
      </c>
      <c r="B476" s="1769"/>
      <c r="C476" s="1756"/>
      <c r="D476" s="1756"/>
      <c r="E476" s="1769"/>
      <c r="F476" s="1769"/>
      <c r="G476" s="1769"/>
      <c r="H476" s="1769"/>
      <c r="I476" s="1769"/>
      <c r="J476" s="1769"/>
      <c r="K476" s="1769"/>
      <c r="L476" s="1741"/>
      <c r="M476" s="1246"/>
      <c r="N476" s="1246">
        <f t="shared" ref="N476:S476" si="754">N470*N452</f>
        <v>-0.0708389118204904</v>
      </c>
      <c r="O476" s="1246">
        <f t="shared" si="754"/>
        <v>0.134937527027252</v>
      </c>
      <c r="P476" s="1246">
        <f t="shared" si="754"/>
        <v>0.177898989443848</v>
      </c>
      <c r="Q476" s="1246">
        <f t="shared" si="754"/>
        <v>-0.00334048163712208</v>
      </c>
      <c r="R476" s="1246">
        <f t="shared" si="754"/>
        <v>0</v>
      </c>
      <c r="S476" s="1246">
        <f t="shared" si="754"/>
        <v>0</v>
      </c>
      <c r="T476" s="1246">
        <f t="shared" ref="T476:AA476" si="755">T470*T452</f>
        <v>0</v>
      </c>
      <c r="U476" s="1246">
        <f t="shared" si="755"/>
        <v>0</v>
      </c>
      <c r="V476" s="1246">
        <f t="shared" si="755"/>
        <v>0</v>
      </c>
      <c r="W476" s="1246">
        <f t="shared" si="755"/>
        <v>0</v>
      </c>
      <c r="X476" s="1246">
        <f t="shared" si="755"/>
        <v>0</v>
      </c>
      <c r="Y476" s="1246">
        <f t="shared" si="755"/>
        <v>0.777753595698538</v>
      </c>
      <c r="Z476" s="1246">
        <f t="shared" si="755"/>
        <v>0.0439200863930886</v>
      </c>
      <c r="AA476" s="1246">
        <f t="shared" si="755"/>
        <v>-0.00283922462941854</v>
      </c>
      <c r="AB476" s="1246">
        <f t="shared" ref="AB476:AG476" si="756">AB470*AB452</f>
        <v>-0.056590909090909</v>
      </c>
      <c r="AC476" s="1246">
        <f t="shared" si="756"/>
        <v>0.123617021276596</v>
      </c>
      <c r="AD476" s="1246">
        <f t="shared" si="756"/>
        <v>-0.0498</v>
      </c>
      <c r="AE476" s="1246">
        <f t="shared" si="756"/>
        <v>0.000978773584905626</v>
      </c>
      <c r="AF476" s="1717">
        <f t="shared" si="756"/>
        <v>0.00685950413223147</v>
      </c>
      <c r="AG476" s="1246">
        <f t="shared" si="756"/>
        <v>-0.0592857142857143</v>
      </c>
      <c r="AH476" s="1246">
        <f t="shared" ref="AH476" si="757">AH470*AH452</f>
        <v>0.00922222222222219</v>
      </c>
      <c r="AI476" s="1246">
        <f t="shared" ref="AI476:AJ476" si="758">AI470*AI452</f>
        <v>0</v>
      </c>
      <c r="AJ476" s="1246">
        <f t="shared" si="758"/>
        <v>0</v>
      </c>
      <c r="AK476" s="1246">
        <f t="shared" ref="AK476" si="759">AK470*AK452</f>
        <v>0</v>
      </c>
      <c r="AL476" s="1246"/>
      <c r="AM476" s="1246"/>
      <c r="AU476" s="1826"/>
      <c r="AV476" s="1826"/>
      <c r="AW476" s="1933"/>
    </row>
    <row r="477" customHeight="1" spans="1:49">
      <c r="A477" s="1987" t="s">
        <v>212</v>
      </c>
      <c r="B477" s="1918"/>
      <c r="C477" s="1918"/>
      <c r="D477" s="1918"/>
      <c r="E477" s="1918"/>
      <c r="F477" s="1918"/>
      <c r="G477" s="1918"/>
      <c r="H477" s="1918"/>
      <c r="I477" s="1918"/>
      <c r="J477" s="1918"/>
      <c r="K477" s="1918"/>
      <c r="L477" s="1919"/>
      <c r="M477" s="1919"/>
      <c r="N477" s="2038">
        <f t="shared" ref="N477:S477" si="760">SUM(N474:N476)</f>
        <v>-0.0817588366002472</v>
      </c>
      <c r="O477" s="2038">
        <f t="shared" si="760"/>
        <v>0.125343042362362</v>
      </c>
      <c r="P477" s="2038">
        <f t="shared" si="760"/>
        <v>0.18308188944133</v>
      </c>
      <c r="Q477" s="2038">
        <f t="shared" si="760"/>
        <v>0.00449903367469811</v>
      </c>
      <c r="R477" s="2038">
        <f t="shared" si="760"/>
        <v>-0.00735923217044175</v>
      </c>
      <c r="S477" s="2038">
        <f t="shared" si="760"/>
        <v>0.0122385512230052</v>
      </c>
      <c r="T477" s="2038">
        <f t="shared" ref="T477:AA477" si="761">SUM(T474:T476)</f>
        <v>-0.00461853458321071</v>
      </c>
      <c r="U477" s="2038">
        <f t="shared" si="761"/>
        <v>-7.68659080049172e-5</v>
      </c>
      <c r="V477" s="2038">
        <f t="shared" si="761"/>
        <v>0.0148358207198469</v>
      </c>
      <c r="W477" s="2038">
        <f t="shared" si="761"/>
        <v>1.00028533022179</v>
      </c>
      <c r="X477" s="2038">
        <f t="shared" si="761"/>
        <v>0.99809227354783</v>
      </c>
      <c r="Y477" s="2038">
        <f t="shared" si="761"/>
        <v>1.77347017177922</v>
      </c>
      <c r="Z477" s="2038">
        <f t="shared" si="761"/>
        <v>1.04872535799907</v>
      </c>
      <c r="AA477" s="2038">
        <f t="shared" si="761"/>
        <v>0.995172823563353</v>
      </c>
      <c r="AB477" s="2038">
        <f t="shared" ref="AB477:AG477" si="762">SUM(AB474:AB476)</f>
        <v>0.938605554563315</v>
      </c>
      <c r="AC477" s="2038">
        <f t="shared" si="762"/>
        <v>1.13537642444725</v>
      </c>
      <c r="AD477" s="2038">
        <f t="shared" si="762"/>
        <v>0.947217878426698</v>
      </c>
      <c r="AE477" s="2038">
        <f t="shared" si="762"/>
        <v>1.00135256223281</v>
      </c>
      <c r="AF477" s="2039">
        <f t="shared" si="762"/>
        <v>1.00270982850665</v>
      </c>
      <c r="AG477" s="2038">
        <f t="shared" si="762"/>
        <v>0.938555481727575</v>
      </c>
      <c r="AH477" s="2038">
        <f t="shared" ref="AH477" si="763">SUM(AH474:AH476)</f>
        <v>1.01006512664114</v>
      </c>
      <c r="AI477" s="2038">
        <f t="shared" ref="AI477:AJ477" si="764">SUM(AI474:AI476)</f>
        <v>1</v>
      </c>
      <c r="AJ477" s="2038">
        <f t="shared" si="764"/>
        <v>1</v>
      </c>
      <c r="AK477" s="2038">
        <f t="shared" ref="AK477" si="765">SUM(AK474:AK476)</f>
        <v>1</v>
      </c>
      <c r="AL477" s="2038"/>
      <c r="AM477" s="1246"/>
      <c r="AU477" s="1826"/>
      <c r="AV477" s="1826"/>
      <c r="AW477" s="1933"/>
    </row>
    <row r="478" customHeight="1" spans="1:49">
      <c r="AM478" s="1246"/>
      <c r="AU478" s="1826"/>
      <c r="AV478" s="1826"/>
      <c r="AW478" s="1933"/>
    </row>
    <row r="479" customHeight="1" spans="1:49">
      <c r="A479" s="1697" t="s">
        <v>216</v>
      </c>
      <c r="B479" s="1914" t="s">
        <v>14</v>
      </c>
      <c r="C479" s="1914" t="s">
        <v>15</v>
      </c>
      <c r="D479" s="1914" t="s">
        <v>16</v>
      </c>
      <c r="E479" s="1914" t="s">
        <v>17</v>
      </c>
      <c r="F479" s="1914" t="s">
        <v>18</v>
      </c>
      <c r="G479" s="1914" t="s">
        <v>19</v>
      </c>
      <c r="H479" s="1914" t="s">
        <v>20</v>
      </c>
      <c r="I479" s="1914" t="s">
        <v>21</v>
      </c>
      <c r="J479" s="1914" t="s">
        <v>22</v>
      </c>
      <c r="K479" s="1914" t="s">
        <v>23</v>
      </c>
      <c r="L479" s="1915" t="s">
        <v>24</v>
      </c>
      <c r="M479" s="1915" t="s">
        <v>25</v>
      </c>
      <c r="N479" s="1915" t="s">
        <v>26</v>
      </c>
      <c r="O479" s="1915" t="s">
        <v>27</v>
      </c>
      <c r="P479" s="1915" t="str">
        <f t="shared" ref="P479:AK479" si="766">P$1</f>
        <v>FY 09</v>
      </c>
      <c r="Q479" s="1915" t="str">
        <f t="shared" si="766"/>
        <v>FY 10</v>
      </c>
      <c r="R479" s="1915" t="str">
        <f t="shared" si="766"/>
        <v>FY 11</v>
      </c>
      <c r="S479" s="1915" t="str">
        <f t="shared" si="766"/>
        <v>FY 12</v>
      </c>
      <c r="T479" s="1915" t="str">
        <f t="shared" si="766"/>
        <v>FY 13</v>
      </c>
      <c r="U479" s="1915" t="str">
        <f t="shared" si="766"/>
        <v>FY 14</v>
      </c>
      <c r="V479" s="1915" t="str">
        <f t="shared" si="766"/>
        <v>FY 15</v>
      </c>
      <c r="W479" s="1915" t="str">
        <f t="shared" si="766"/>
        <v>FY 16</v>
      </c>
      <c r="X479" s="1915" t="str">
        <f t="shared" si="766"/>
        <v>FY 17</v>
      </c>
      <c r="Y479" s="1915" t="str">
        <f t="shared" si="766"/>
        <v>FY 18</v>
      </c>
      <c r="Z479" s="1915" t="str">
        <f t="shared" si="766"/>
        <v>FY 19</v>
      </c>
      <c r="AA479" s="1915" t="str">
        <f t="shared" si="766"/>
        <v>FY 20</v>
      </c>
      <c r="AB479" s="1915" t="str">
        <f t="shared" si="766"/>
        <v>FY 21</v>
      </c>
      <c r="AC479" s="1915" t="str">
        <f t="shared" si="766"/>
        <v>FY 22</v>
      </c>
      <c r="AD479" s="1915" t="str">
        <f t="shared" si="766"/>
        <v>FY 23</v>
      </c>
      <c r="AE479" s="1915" t="str">
        <f t="shared" si="766"/>
        <v>FY 24</v>
      </c>
      <c r="AF479" s="1916" t="str">
        <f t="shared" si="766"/>
        <v>FY 25</v>
      </c>
      <c r="AG479" s="1915" t="str">
        <f t="shared" si="766"/>
        <v>FY 26E</v>
      </c>
      <c r="AH479" s="1915" t="str">
        <f t="shared" si="766"/>
        <v>FY 27E</v>
      </c>
      <c r="AI479" s="1915" t="str">
        <f t="shared" si="766"/>
        <v>FY 28E</v>
      </c>
      <c r="AJ479" s="1915" t="str">
        <f t="shared" si="766"/>
        <v>FY 29E</v>
      </c>
      <c r="AK479" s="1915" t="str">
        <f t="shared" si="766"/>
        <v>FY 30E</v>
      </c>
      <c r="AL479" s="1915"/>
      <c r="AM479" s="1246"/>
      <c r="AU479" s="1826"/>
      <c r="AV479" s="1826"/>
      <c r="AW479" s="1933"/>
    </row>
    <row r="480" customHeight="1" spans="1:49">
      <c r="A480" s="1737" t="s">
        <v>217</v>
      </c>
      <c r="B480" s="2042"/>
      <c r="C480" s="2042"/>
      <c r="D480" s="2042"/>
      <c r="E480" s="2042"/>
      <c r="F480" s="2042"/>
      <c r="G480" s="2042">
        <v>60</v>
      </c>
      <c r="H480" s="2042">
        <v>52</v>
      </c>
      <c r="I480" s="2042">
        <v>62</v>
      </c>
      <c r="J480" s="2042">
        <v>73</v>
      </c>
      <c r="K480" s="2042">
        <v>94</v>
      </c>
      <c r="L480" s="1688">
        <v>117</v>
      </c>
      <c r="M480" s="1688">
        <v>278</v>
      </c>
      <c r="N480" s="1688">
        <v>337</v>
      </c>
      <c r="O480" s="1688">
        <v>422</v>
      </c>
      <c r="P480" s="1688">
        <v>480</v>
      </c>
      <c r="Q480" s="1688">
        <v>544</v>
      </c>
      <c r="R480" s="1688">
        <v>548</v>
      </c>
      <c r="S480" s="1688">
        <v>637</v>
      </c>
      <c r="T480" s="1688">
        <v>672</v>
      </c>
      <c r="U480" s="1688">
        <v>643</v>
      </c>
      <c r="V480" s="1688">
        <v>680</v>
      </c>
      <c r="W480" s="1688">
        <v>707</v>
      </c>
      <c r="X480" s="1688">
        <v>779</v>
      </c>
      <c r="Y480" s="1688">
        <v>810</v>
      </c>
      <c r="Z480" s="1688">
        <f>Y480*(1+Z16)</f>
        <v>924.475666313105</v>
      </c>
      <c r="AA480" s="1688">
        <v>874.610749417892</v>
      </c>
      <c r="AB480" s="1688">
        <f t="shared" ref="AB480:AK480" si="767">AA480*(1+AB16)</f>
        <v>951.67426622951</v>
      </c>
      <c r="AC480" s="1688">
        <f t="shared" si="767"/>
        <v>994.611338740744</v>
      </c>
      <c r="AD480" s="1688">
        <f t="shared" si="767"/>
        <v>1039.54917105493</v>
      </c>
      <c r="AE480" s="1688">
        <f t="shared" si="767"/>
        <v>1180.71085871614</v>
      </c>
      <c r="AF480" s="1689">
        <f t="shared" si="767"/>
        <v>1183.49096076196</v>
      </c>
      <c r="AG480" s="1688">
        <f t="shared" si="767"/>
        <v>1264.19602685377</v>
      </c>
      <c r="AH480" s="1688">
        <f t="shared" si="767"/>
        <v>1353.04763436148</v>
      </c>
      <c r="AI480" s="1688">
        <f t="shared" si="767"/>
        <v>1437.02794068456</v>
      </c>
      <c r="AJ480" s="1688">
        <f t="shared" si="767"/>
        <v>1526.02822620367</v>
      </c>
      <c r="AK480" s="1688">
        <f t="shared" si="767"/>
        <v>1620.33119808281</v>
      </c>
      <c r="AM480" s="1246"/>
      <c r="AU480" s="1826"/>
      <c r="AV480" s="1826"/>
      <c r="AW480" s="1933"/>
    </row>
    <row r="481" customHeight="1" spans="1:160">
      <c r="A481" s="1737" t="s">
        <v>113</v>
      </c>
      <c r="B481" s="2042"/>
      <c r="C481" s="2042"/>
      <c r="D481" s="2042"/>
      <c r="E481" s="2042"/>
      <c r="F481" s="2042"/>
      <c r="G481" s="2042"/>
      <c r="H481" s="1769">
        <f>H480/G480-1</f>
        <v>-0.133333333333333</v>
      </c>
      <c r="I481" s="1769">
        <f t="shared" ref="I481:T481" si="768">I480/H480-1</f>
        <v>0.192307692307692</v>
      </c>
      <c r="J481" s="1769">
        <f t="shared" si="768"/>
        <v>0.17741935483871</v>
      </c>
      <c r="K481" s="1769">
        <f t="shared" si="768"/>
        <v>0.287671232876712</v>
      </c>
      <c r="L481" s="1246">
        <f t="shared" si="768"/>
        <v>0.24468085106383</v>
      </c>
      <c r="M481" s="1246">
        <f t="shared" si="768"/>
        <v>1.37606837606838</v>
      </c>
      <c r="N481" s="1246">
        <f t="shared" si="768"/>
        <v>0.212230215827338</v>
      </c>
      <c r="O481" s="1246">
        <f t="shared" si="768"/>
        <v>0.252225519287834</v>
      </c>
      <c r="P481" s="1246">
        <f t="shared" si="768"/>
        <v>0.137440758293839</v>
      </c>
      <c r="Q481" s="1246">
        <f t="shared" si="768"/>
        <v>0.133333333333333</v>
      </c>
      <c r="R481" s="1246">
        <f t="shared" si="768"/>
        <v>0.00735294117647056</v>
      </c>
      <c r="S481" s="1246">
        <f t="shared" si="768"/>
        <v>0.162408759124088</v>
      </c>
      <c r="T481" s="1246">
        <f t="shared" si="768"/>
        <v>0.054945054945055</v>
      </c>
      <c r="U481" s="1246">
        <f t="shared" ref="U481:AK481" si="769">U480/T480-1</f>
        <v>-0.0431547619047619</v>
      </c>
      <c r="V481" s="1246">
        <f t="shared" si="769"/>
        <v>0.0575427682737168</v>
      </c>
      <c r="W481" s="1246">
        <f t="shared" si="769"/>
        <v>0.0397058823529413</v>
      </c>
      <c r="X481" s="1246">
        <f t="shared" si="769"/>
        <v>0.101838755304102</v>
      </c>
      <c r="Y481" s="1246">
        <f t="shared" si="769"/>
        <v>0.0397946084724006</v>
      </c>
      <c r="Z481" s="1246">
        <f t="shared" si="769"/>
        <v>0.141327983102598</v>
      </c>
      <c r="AA481" s="1246">
        <f t="shared" si="769"/>
        <v>-0.0539385932071942</v>
      </c>
      <c r="AB481" s="1246">
        <f t="shared" si="769"/>
        <v>0.0881117878586655</v>
      </c>
      <c r="AC481" s="1246">
        <f t="shared" si="769"/>
        <v>0.0451174041737501</v>
      </c>
      <c r="AD481" s="1246">
        <f t="shared" si="769"/>
        <v>0.0451812990299079</v>
      </c>
      <c r="AE481" s="1246">
        <f t="shared" si="769"/>
        <v>0.135791256048005</v>
      </c>
      <c r="AF481" s="1717">
        <f t="shared" si="769"/>
        <v>0.00235460021841649</v>
      </c>
      <c r="AG481" s="1246">
        <f t="shared" si="769"/>
        <v>0.0681923806497495</v>
      </c>
      <c r="AH481" s="1246">
        <f t="shared" si="769"/>
        <v>0.0702830934604612</v>
      </c>
      <c r="AI481" s="1246">
        <f t="shared" si="769"/>
        <v>0.0620675164645659</v>
      </c>
      <c r="AJ481" s="1246">
        <f t="shared" si="769"/>
        <v>0.0619335804123007</v>
      </c>
      <c r="AK481" s="1246">
        <f t="shared" si="769"/>
        <v>0.0617963483635831</v>
      </c>
      <c r="AL481" s="1246"/>
      <c r="AM481" s="1246"/>
      <c r="AO481" s="2043"/>
      <c r="AP481" s="2043"/>
      <c r="AQ481" s="2043"/>
      <c r="AR481" s="2043"/>
      <c r="AS481" s="2043"/>
      <c r="AT481" s="2044"/>
      <c r="AU481" s="2044"/>
      <c r="AV481" s="2044"/>
    </row>
    <row r="482" customHeight="1" spans="1:160">
      <c r="A482" s="1737" t="s">
        <v>218</v>
      </c>
      <c r="B482" s="1769"/>
      <c r="C482" s="1769"/>
      <c r="D482" s="1769"/>
      <c r="E482" s="1769"/>
      <c r="F482" s="1769"/>
      <c r="G482" s="1769">
        <f>H482</f>
        <v>0.017631103074141</v>
      </c>
      <c r="H482" s="1769">
        <f>I482</f>
        <v>0.017631103074141</v>
      </c>
      <c r="I482" s="1769">
        <f>J482</f>
        <v>0.017631103074141</v>
      </c>
      <c r="J482" s="1769">
        <f>K482</f>
        <v>0.017631103074141</v>
      </c>
      <c r="K482" s="1769">
        <f>L482</f>
        <v>0.017631103074141</v>
      </c>
      <c r="L482" s="1246">
        <f t="shared" ref="L482:W482" si="770">L480/L327</f>
        <v>0.017631103074141</v>
      </c>
      <c r="M482" s="1246">
        <f t="shared" si="770"/>
        <v>0.0275684252280841</v>
      </c>
      <c r="N482" s="1246">
        <f t="shared" si="770"/>
        <v>0.0327216234585882</v>
      </c>
      <c r="O482" s="1246">
        <f t="shared" si="770"/>
        <v>0.039077692378924</v>
      </c>
      <c r="P482" s="1246">
        <f t="shared" si="770"/>
        <v>0.0462383200077064</v>
      </c>
      <c r="Q482" s="1246">
        <f t="shared" si="770"/>
        <v>0.045371142618849</v>
      </c>
      <c r="R482" s="1246">
        <f t="shared" si="770"/>
        <v>0.0411318772048337</v>
      </c>
      <c r="S482" s="1246">
        <f t="shared" si="770"/>
        <v>0.0428005106497346</v>
      </c>
      <c r="T482" s="1246">
        <f t="shared" si="770"/>
        <v>0.0473072861668427</v>
      </c>
      <c r="U482" s="1246">
        <f t="shared" si="770"/>
        <v>0.0442410898582634</v>
      </c>
      <c r="V482" s="1246">
        <f t="shared" si="770"/>
        <v>0.0402010050251256</v>
      </c>
      <c r="W482" s="1246">
        <f t="shared" si="770"/>
        <v>0.0366511145671332</v>
      </c>
      <c r="X482" s="1246">
        <f t="shared" ref="X482:AE482" si="771">X480/X327</f>
        <v>0.0367141106607597</v>
      </c>
      <c r="Y482" s="1246">
        <f t="shared" si="771"/>
        <v>0.0369609856262834</v>
      </c>
      <c r="Z482" s="1246">
        <f t="shared" si="771"/>
        <v>0.0391047614869551</v>
      </c>
      <c r="AA482" s="1246">
        <f t="shared" si="771"/>
        <v>0.0440743171446227</v>
      </c>
      <c r="AB482" s="1246">
        <f t="shared" si="771"/>
        <v>0.0448184169835881</v>
      </c>
      <c r="AC482" s="1246">
        <f t="shared" si="771"/>
        <v>0.044183347640742</v>
      </c>
      <c r="AD482" s="1246">
        <f t="shared" si="771"/>
        <v>0.0502731971687265</v>
      </c>
      <c r="AE482" s="1246">
        <f t="shared" si="771"/>
        <v>0.0512617053234984</v>
      </c>
      <c r="AF482" s="1717">
        <f t="shared" ref="AF482:AG482" si="772">AF480/AF327</f>
        <v>0.0477002523381547</v>
      </c>
      <c r="AG482" s="1246">
        <f t="shared" si="772"/>
        <v>0.0465926817700342</v>
      </c>
      <c r="AH482" s="1246">
        <f t="shared" ref="AH482" si="773">AH480/AH327</f>
        <v>0.0463632066705544</v>
      </c>
      <c r="AI482" s="1246">
        <f t="shared" ref="AI482:AJ482" si="774">AI480/AI327</f>
        <v>0.0461174032320138</v>
      </c>
      <c r="AJ482" s="1246">
        <f t="shared" si="774"/>
        <v>0.046219782753941</v>
      </c>
      <c r="AK482" s="1246">
        <f t="shared" ref="AK482" si="775">AK480/AK327</f>
        <v>0.0463132285846338</v>
      </c>
      <c r="AL482" s="1246"/>
      <c r="AM482" s="1246"/>
      <c r="AO482" s="1246"/>
      <c r="AP482" s="1246"/>
      <c r="AQ482" s="1246"/>
      <c r="AR482" s="1246"/>
      <c r="AS482" s="1829"/>
      <c r="AT482" s="1826"/>
      <c r="AU482" s="1826"/>
      <c r="AV482" s="1826"/>
    </row>
    <row r="483" customHeight="1" spans="1:160">
      <c r="W483" s="1719"/>
      <c r="AM483" s="1246"/>
    </row>
    <row r="484" customHeight="1" spans="1:160">
      <c r="A484" s="1686" t="s">
        <v>219</v>
      </c>
      <c r="L484" s="1688">
        <f t="shared" ref="L484:Y484" si="776">L364</f>
        <v>111.526</v>
      </c>
      <c r="M484" s="1688">
        <f t="shared" si="776"/>
        <v>193</v>
      </c>
      <c r="N484" s="1688">
        <f t="shared" si="776"/>
        <v>215</v>
      </c>
      <c r="O484" s="1688">
        <f t="shared" si="776"/>
        <v>234</v>
      </c>
      <c r="P484" s="1688">
        <f t="shared" si="776"/>
        <v>299</v>
      </c>
      <c r="Q484" s="1688">
        <f t="shared" si="776"/>
        <v>260</v>
      </c>
      <c r="R484" s="1688">
        <f t="shared" si="776"/>
        <v>249</v>
      </c>
      <c r="S484" s="1688">
        <f t="shared" si="776"/>
        <v>263</v>
      </c>
      <c r="T484" s="1688">
        <f t="shared" si="776"/>
        <v>286</v>
      </c>
      <c r="U484" s="1688">
        <f t="shared" si="776"/>
        <v>323</v>
      </c>
      <c r="V484" s="1688">
        <f t="shared" si="776"/>
        <v>354</v>
      </c>
      <c r="W484" s="1688">
        <f t="shared" si="776"/>
        <v>388</v>
      </c>
      <c r="X484" s="1688">
        <f t="shared" si="776"/>
        <v>451</v>
      </c>
      <c r="Y484" s="1688">
        <f t="shared" si="776"/>
        <v>514</v>
      </c>
      <c r="Z484" s="1688">
        <f>Z485*AVERAGE('Balance Sheet &amp; Cash Flow'!Z21:AA21)</f>
        <v>593.004941482444</v>
      </c>
      <c r="AA484" s="1688">
        <f>AA485*AVERAGE('Balance Sheet &amp; Cash Flow'!AA21:AB21)</f>
        <v>674.015084525357</v>
      </c>
      <c r="AB484" s="1688">
        <f>AB485*AVERAGE('Balance Sheet &amp; Cash Flow'!AB21:AM21)</f>
        <v>1140.27300913136</v>
      </c>
      <c r="AC484" s="1688">
        <f>AC485*AVERAGE('Balance Sheet &amp; Cash Flow'!AC21:AN21)</f>
        <v>1183.81079118884</v>
      </c>
      <c r="AD484" s="1688">
        <f>AD485*AVERAGE('Balance Sheet &amp; Cash Flow'!AD21:AO21)</f>
        <v>1227.01990814076</v>
      </c>
      <c r="AE484" s="1688">
        <f>AE485*AVERAGE('Balance Sheet &amp; Cash Flow'!AE21:AP21)</f>
        <v>1269.15884009139</v>
      </c>
      <c r="AF484" s="1689">
        <f>AF485*AVERAGE('Balance Sheet &amp; Cash Flow'!AF21:AQ21)</f>
        <v>1314.20902549549</v>
      </c>
      <c r="AG484" s="1688">
        <f>AG485*AVERAGE('Balance Sheet &amp; Cash Flow'!AG21:AR21)</f>
        <v>1356.54104556615</v>
      </c>
      <c r="AH484" s="1688">
        <f>AH485*AVERAGE('Balance Sheet &amp; Cash Flow'!AH21:AS21)</f>
        <v>1396.36878653894</v>
      </c>
      <c r="AI484" s="1688">
        <f>AI485*AVERAGE('Balance Sheet &amp; Cash Flow'!AI21:AT21)</f>
        <v>1437.97473269989</v>
      </c>
      <c r="AJ484" s="1688">
        <f>AJ485*AVERAGE('Balance Sheet &amp; Cash Flow'!AJ21:AU21)</f>
        <v>1481.30948645076</v>
      </c>
      <c r="AK484" s="1688">
        <f>AK485*AVERAGE('Balance Sheet &amp; Cash Flow'!AK21:AV21)</f>
        <v>1526.32399363951</v>
      </c>
      <c r="AM484" s="1246"/>
    </row>
    <row r="485" customHeight="1" spans="1:160">
      <c r="A485" s="1708" t="s">
        <v>220</v>
      </c>
      <c r="L485" s="1246">
        <f>L484/AVERAGE('Balance Sheet &amp; Cash Flow'!L21:M21)</f>
        <v>0.135976556522884</v>
      </c>
      <c r="M485" s="1246">
        <f>M484/AVERAGE('Balance Sheet &amp; Cash Flow'!M21:N21)</f>
        <v>0.193677872553939</v>
      </c>
      <c r="N485" s="1246">
        <f>N484/AVERAGE('Balance Sheet &amp; Cash Flow'!N21:O21)</f>
        <v>0.183525394793</v>
      </c>
      <c r="O485" s="1246">
        <f>O484/AVERAGE('Balance Sheet &amp; Cash Flow'!O21:P21)</f>
        <v>0.172312223858616</v>
      </c>
      <c r="P485" s="1246">
        <f>P484/AVERAGE('Balance Sheet &amp; Cash Flow'!P21:Q21)</f>
        <v>0.197882197220384</v>
      </c>
      <c r="Q485" s="1246">
        <f>Q484/AVERAGE('Balance Sheet &amp; Cash Flow'!Q21:R21)</f>
        <v>0.158633312995729</v>
      </c>
      <c r="R485" s="1246">
        <f>R484/AVERAGE('Balance Sheet &amp; Cash Flow'!R21:S21)</f>
        <v>0.128748707342296</v>
      </c>
      <c r="S485" s="1246">
        <f>S484/AVERAGE('Balance Sheet &amp; Cash Flow'!S21:T21)</f>
        <v>0.121421975992613</v>
      </c>
      <c r="T485" s="1246">
        <f>T484/AVERAGE('Balance Sheet &amp; Cash Flow'!T21:U21)</f>
        <v>0.122196111941893</v>
      </c>
      <c r="U485" s="1246">
        <f>U484/AVERAGE('Balance Sheet &amp; Cash Flow'!U21:V21)</f>
        <v>0.123235406333461</v>
      </c>
      <c r="V485" s="1246">
        <f>V484/AVERAGE('Balance Sheet &amp; Cash Flow'!V21:W21)</f>
        <v>0.117140966247518</v>
      </c>
      <c r="W485" s="1246">
        <f>W484/AVERAGE('Balance Sheet &amp; Cash Flow'!W21:X21)</f>
        <v>0.112971320425098</v>
      </c>
      <c r="X485" s="1246">
        <f>X484/AVERAGE('Balance Sheet &amp; Cash Flow'!X21:Y21)</f>
        <v>0.123952178095369</v>
      </c>
      <c r="Y485" s="1246">
        <f>Y484/AVERAGE('Balance Sheet &amp; Cash Flow'!Y21:Z21)</f>
        <v>0.133680104031209</v>
      </c>
      <c r="Z485" s="1829">
        <f t="shared" ref="Z485:AK485" si="777">Y485</f>
        <v>0.133680104031209</v>
      </c>
      <c r="AA485" s="1829">
        <f t="shared" si="777"/>
        <v>0.133680104031209</v>
      </c>
      <c r="AB485" s="1829">
        <f t="shared" si="777"/>
        <v>0.133680104031209</v>
      </c>
      <c r="AC485" s="1829">
        <f t="shared" si="777"/>
        <v>0.133680104031209</v>
      </c>
      <c r="AD485" s="1829">
        <f t="shared" si="777"/>
        <v>0.133680104031209</v>
      </c>
      <c r="AE485" s="1829">
        <f t="shared" si="777"/>
        <v>0.133680104031209</v>
      </c>
      <c r="AF485" s="1847">
        <f t="shared" si="777"/>
        <v>0.133680104031209</v>
      </c>
      <c r="AG485" s="1829">
        <f t="shared" si="777"/>
        <v>0.133680104031209</v>
      </c>
      <c r="AH485" s="1829">
        <f t="shared" si="777"/>
        <v>0.133680104031209</v>
      </c>
      <c r="AI485" s="1829">
        <f t="shared" si="777"/>
        <v>0.133680104031209</v>
      </c>
      <c r="AJ485" s="1829">
        <f t="shared" si="777"/>
        <v>0.133680104031209</v>
      </c>
      <c r="AK485" s="1829">
        <f t="shared" si="777"/>
        <v>0.133680104031209</v>
      </c>
      <c r="AL485" s="1829"/>
      <c r="AM485" s="1246"/>
    </row>
    <row r="486" customHeight="1" spans="1:160">
      <c r="A486" s="1686" t="s">
        <v>221</v>
      </c>
      <c r="B486" s="2045"/>
      <c r="C486" s="2045"/>
      <c r="D486" s="2045"/>
      <c r="E486" s="2045"/>
      <c r="F486" s="2045"/>
      <c r="G486" s="2045"/>
      <c r="H486" s="2045"/>
      <c r="I486" s="2045"/>
      <c r="J486" s="2045"/>
      <c r="K486" s="2045"/>
      <c r="L486" s="1688">
        <f>-'Balance Sheet &amp; Cash Flow'!M111</f>
        <v>215</v>
      </c>
      <c r="M486" s="1688">
        <f>-'Balance Sheet &amp; Cash Flow'!N111</f>
        <v>277</v>
      </c>
      <c r="N486" s="1688">
        <f>-'Balance Sheet &amp; Cash Flow'!O111</f>
        <v>285</v>
      </c>
      <c r="O486" s="1688">
        <f>-'Balance Sheet &amp; Cash Flow'!P111</f>
        <v>376</v>
      </c>
      <c r="P486" s="1688">
        <f>-'Balance Sheet &amp; Cash Flow'!Q111</f>
        <v>241</v>
      </c>
      <c r="Q486" s="1688">
        <f>-'Balance Sheet &amp; Cash Flow'!R111</f>
        <v>269</v>
      </c>
      <c r="R486" s="1688">
        <f>-'Balance Sheet &amp; Cash Flow'!S111</f>
        <v>376</v>
      </c>
      <c r="S486" s="1688">
        <f>-'Balance Sheet &amp; Cash Flow'!T111</f>
        <v>434</v>
      </c>
      <c r="T486" s="1688">
        <f>-'Balance Sheet &amp; Cash Flow'!U111</f>
        <v>474</v>
      </c>
      <c r="U486" s="1688">
        <f>-'Balance Sheet &amp; Cash Flow'!V111</f>
        <v>548</v>
      </c>
      <c r="V486" s="1688">
        <f>-'Balance Sheet &amp; Cash Flow'!W111</f>
        <v>513</v>
      </c>
      <c r="W486" s="1688">
        <f>-'Balance Sheet &amp; Cash Flow'!X111</f>
        <v>651</v>
      </c>
      <c r="X486" s="1688">
        <f>-'Balance Sheet &amp; Cash Flow'!Y111</f>
        <v>606</v>
      </c>
      <c r="Y486" s="1688">
        <f>-'Balance Sheet &amp; Cash Flow'!Z111</f>
        <v>611</v>
      </c>
      <c r="Z486" s="1688">
        <f>-'Balance Sheet &amp; Cash Flow'!AA111</f>
        <v>598</v>
      </c>
      <c r="AA486" s="1688">
        <f>-'Balance Sheet &amp; Cash Flow'!AB111</f>
        <v>368</v>
      </c>
      <c r="AB486" s="1688">
        <f>-'Balance Sheet &amp; Cash Flow'!AC111</f>
        <v>494</v>
      </c>
      <c r="AC486" s="1688">
        <f>-'Balance Sheet &amp; Cash Flow'!AD111</f>
        <v>504</v>
      </c>
      <c r="AD486" s="1688">
        <f>-'Balance Sheet &amp; Cash Flow'!AE111</f>
        <v>363</v>
      </c>
      <c r="AE486" s="1688">
        <f>-'Balance Sheet &amp; Cash Flow'!AG111</f>
        <v>363</v>
      </c>
      <c r="AF486" s="1689">
        <f>-'Balance Sheet &amp; Cash Flow'!AM111</f>
        <v>0</v>
      </c>
      <c r="AG486" s="1688">
        <f>-'Balance Sheet &amp; Cash Flow'!AN111</f>
        <v>0</v>
      </c>
      <c r="AH486" s="1688">
        <f>-'Balance Sheet &amp; Cash Flow'!AO111</f>
        <v>0</v>
      </c>
      <c r="AI486" s="1688">
        <f>-'Balance Sheet &amp; Cash Flow'!AP111</f>
        <v>0</v>
      </c>
      <c r="AJ486" s="1688">
        <f>-'Balance Sheet &amp; Cash Flow'!AQ111</f>
        <v>0</v>
      </c>
      <c r="AK486" s="1688">
        <f>-'Balance Sheet &amp; Cash Flow'!AR111</f>
        <v>0</v>
      </c>
      <c r="AM486" s="1246"/>
      <c r="AW486" s="2046"/>
    </row>
    <row r="487" customHeight="1" spans="1:160">
      <c r="A487" s="2047" t="s">
        <v>222</v>
      </c>
      <c r="B487" s="2048"/>
      <c r="C487" s="2048"/>
      <c r="D487" s="2048"/>
      <c r="E487" s="2048"/>
      <c r="F487" s="2048"/>
      <c r="G487" s="2048"/>
      <c r="H487" s="2048"/>
      <c r="I487" s="2048"/>
      <c r="J487" s="2048"/>
      <c r="K487" s="2048"/>
      <c r="L487" s="2049">
        <f t="shared" ref="L487:S487" si="778">L486/L484</f>
        <v>1.92780158886717</v>
      </c>
      <c r="M487" s="2049">
        <f t="shared" si="778"/>
        <v>1.43523316062176</v>
      </c>
      <c r="N487" s="2049">
        <f t="shared" si="778"/>
        <v>1.32558139534884</v>
      </c>
      <c r="O487" s="2049">
        <f t="shared" si="778"/>
        <v>1.60683760683761</v>
      </c>
      <c r="P487" s="2049">
        <f t="shared" si="778"/>
        <v>0.806020066889632</v>
      </c>
      <c r="Q487" s="2049">
        <f t="shared" si="778"/>
        <v>1.03461538461538</v>
      </c>
      <c r="R487" s="2049">
        <f t="shared" si="778"/>
        <v>1.51004016064257</v>
      </c>
      <c r="S487" s="2049">
        <f t="shared" si="778"/>
        <v>1.65019011406844</v>
      </c>
      <c r="T487" s="2049">
        <f t="shared" ref="T487:AA487" si="779">T486/T484</f>
        <v>1.65734265734266</v>
      </c>
      <c r="U487" s="2049">
        <f t="shared" si="779"/>
        <v>1.69659442724458</v>
      </c>
      <c r="V487" s="2049">
        <f t="shared" si="779"/>
        <v>1.44915254237288</v>
      </c>
      <c r="W487" s="2049">
        <f t="shared" si="779"/>
        <v>1.67783505154639</v>
      </c>
      <c r="X487" s="2049">
        <f t="shared" si="779"/>
        <v>1.34368070953437</v>
      </c>
      <c r="Y487" s="2049">
        <f t="shared" si="779"/>
        <v>1.18871595330739</v>
      </c>
      <c r="Z487" s="2049">
        <f t="shared" si="779"/>
        <v>1.00842329998983</v>
      </c>
      <c r="AA487" s="2049">
        <f t="shared" si="779"/>
        <v>0.545981845879824</v>
      </c>
      <c r="AB487" s="2049">
        <f t="shared" ref="AB487:AG487" si="780">AB486/AB484</f>
        <v>0.433229582778881</v>
      </c>
      <c r="AC487" s="2049">
        <f t="shared" si="780"/>
        <v>0.425743711538444</v>
      </c>
      <c r="AD487" s="2049">
        <f t="shared" si="780"/>
        <v>0.295838720783296</v>
      </c>
      <c r="AE487" s="2049">
        <f t="shared" si="780"/>
        <v>0.286016208951326</v>
      </c>
      <c r="AF487" s="2050">
        <f t="shared" si="780"/>
        <v>0</v>
      </c>
      <c r="AG487" s="2049">
        <f t="shared" si="780"/>
        <v>0</v>
      </c>
      <c r="AH487" s="2049">
        <f t="shared" ref="AH487" si="781">AH486/AH484</f>
        <v>0</v>
      </c>
      <c r="AI487" s="2049">
        <f t="shared" ref="AI487:AJ487" si="782">AI486/AI484</f>
        <v>0</v>
      </c>
      <c r="AJ487" s="2049">
        <f t="shared" si="782"/>
        <v>0</v>
      </c>
      <c r="AK487" s="2049">
        <f t="shared" ref="AK487" si="783">AK486/AK484</f>
        <v>0</v>
      </c>
      <c r="AL487" s="2049"/>
      <c r="AM487" s="1246"/>
      <c r="AW487" s="2051"/>
    </row>
    <row r="488" customHeight="1" spans="1:160">
      <c r="AM488" s="1246"/>
    </row>
    <row r="489" customHeight="1" spans="1:160">
      <c r="A489" s="1697" t="s">
        <v>223</v>
      </c>
      <c r="B489" s="1914" t="s">
        <v>14</v>
      </c>
      <c r="C489" s="1914" t="s">
        <v>15</v>
      </c>
      <c r="D489" s="1914" t="s">
        <v>16</v>
      </c>
      <c r="E489" s="1914" t="s">
        <v>17</v>
      </c>
      <c r="F489" s="1914" t="s">
        <v>18</v>
      </c>
      <c r="G489" s="1914" t="s">
        <v>19</v>
      </c>
      <c r="H489" s="1914" t="s">
        <v>20</v>
      </c>
      <c r="I489" s="1914" t="s">
        <v>21</v>
      </c>
      <c r="J489" s="1914" t="s">
        <v>22</v>
      </c>
      <c r="K489" s="1914" t="s">
        <v>23</v>
      </c>
      <c r="L489" s="1915" t="s">
        <v>24</v>
      </c>
      <c r="M489" s="1915" t="s">
        <v>25</v>
      </c>
      <c r="N489" s="1915" t="s">
        <v>26</v>
      </c>
      <c r="O489" s="1915" t="s">
        <v>27</v>
      </c>
      <c r="P489" s="1915" t="str">
        <f t="shared" ref="P489:AK489" si="784">P$1</f>
        <v>FY 09</v>
      </c>
      <c r="Q489" s="1915" t="str">
        <f t="shared" si="784"/>
        <v>FY 10</v>
      </c>
      <c r="R489" s="1915" t="str">
        <f t="shared" si="784"/>
        <v>FY 11</v>
      </c>
      <c r="S489" s="1915" t="str">
        <f t="shared" si="784"/>
        <v>FY 12</v>
      </c>
      <c r="T489" s="1915" t="str">
        <f t="shared" si="784"/>
        <v>FY 13</v>
      </c>
      <c r="U489" s="1915" t="str">
        <f t="shared" si="784"/>
        <v>FY 14</v>
      </c>
      <c r="V489" s="1915" t="str">
        <f t="shared" si="784"/>
        <v>FY 15</v>
      </c>
      <c r="W489" s="1915" t="str">
        <f t="shared" si="784"/>
        <v>FY 16</v>
      </c>
      <c r="X489" s="1915" t="str">
        <f t="shared" si="784"/>
        <v>FY 17</v>
      </c>
      <c r="Y489" s="1915" t="str">
        <f t="shared" si="784"/>
        <v>FY 18</v>
      </c>
      <c r="Z489" s="1915" t="str">
        <f t="shared" si="784"/>
        <v>FY 19</v>
      </c>
      <c r="AA489" s="1915" t="str">
        <f t="shared" si="784"/>
        <v>FY 20</v>
      </c>
      <c r="AB489" s="1915" t="str">
        <f t="shared" si="784"/>
        <v>FY 21</v>
      </c>
      <c r="AC489" s="1915" t="str">
        <f t="shared" si="784"/>
        <v>FY 22</v>
      </c>
      <c r="AD489" s="1915" t="str">
        <f t="shared" si="784"/>
        <v>FY 23</v>
      </c>
      <c r="AE489" s="1915" t="str">
        <f t="shared" si="784"/>
        <v>FY 24</v>
      </c>
      <c r="AF489" s="1916" t="str">
        <f t="shared" si="784"/>
        <v>FY 25</v>
      </c>
      <c r="AG489" s="1915" t="str">
        <f t="shared" si="784"/>
        <v>FY 26E</v>
      </c>
      <c r="AH489" s="1915" t="str">
        <f t="shared" si="784"/>
        <v>FY 27E</v>
      </c>
      <c r="AI489" s="1915" t="str">
        <f t="shared" si="784"/>
        <v>FY 28E</v>
      </c>
      <c r="AJ489" s="1915" t="str">
        <f t="shared" si="784"/>
        <v>FY 29E</v>
      </c>
      <c r="AK489" s="1915" t="str">
        <f t="shared" si="784"/>
        <v>FY 30E</v>
      </c>
      <c r="AL489" s="1915"/>
      <c r="AM489" s="1246"/>
    </row>
    <row r="490" customHeight="1" spans="1:160">
      <c r="A490" s="1737" t="s">
        <v>224</v>
      </c>
      <c r="B490" s="2042"/>
      <c r="C490" s="2042"/>
      <c r="D490" s="2042"/>
      <c r="E490" s="2042"/>
      <c r="F490" s="2042">
        <v>580</v>
      </c>
      <c r="G490" s="2042">
        <v>630</v>
      </c>
      <c r="H490" s="2042">
        <v>695</v>
      </c>
      <c r="I490" s="2042">
        <v>758</v>
      </c>
      <c r="J490" s="2042">
        <v>709</v>
      </c>
      <c r="K490" s="2042">
        <v>637</v>
      </c>
      <c r="L490" s="2052">
        <v>706</v>
      </c>
      <c r="M490" s="2052">
        <v>1087</v>
      </c>
      <c r="N490" s="2052">
        <v>1186</v>
      </c>
      <c r="O490" s="2043">
        <v>1283</v>
      </c>
      <c r="P490" s="2043">
        <v>1352</v>
      </c>
      <c r="Q490" s="2053">
        <v>1521</v>
      </c>
      <c r="R490" s="2053">
        <v>1646</v>
      </c>
      <c r="S490" s="2053">
        <v>1872</v>
      </c>
      <c r="T490" s="2053">
        <v>1833</v>
      </c>
      <c r="U490" s="2053">
        <v>1842</v>
      </c>
      <c r="V490" s="2053">
        <v>2184</v>
      </c>
      <c r="W490" s="2054">
        <v>2532</v>
      </c>
      <c r="X490" s="2053">
        <f t="shared" ref="X490:AK490" si="785">W490/W348*X348</f>
        <v>4874.9772016093</v>
      </c>
      <c r="Y490" s="2053">
        <f t="shared" si="785"/>
        <v>5036.83504693786</v>
      </c>
      <c r="Z490" s="2053">
        <f t="shared" si="785"/>
        <v>5655.96960214573</v>
      </c>
      <c r="AA490" s="2053">
        <f t="shared" si="785"/>
        <v>5616.35404559678</v>
      </c>
      <c r="AB490" s="2053">
        <f t="shared" si="785"/>
        <v>5412.61689763075</v>
      </c>
      <c r="AC490" s="2053">
        <f t="shared" si="785"/>
        <v>6339.62092087617</v>
      </c>
      <c r="AD490" s="2053">
        <f t="shared" si="785"/>
        <v>6278.49977648637</v>
      </c>
      <c r="AE490" s="2053">
        <f t="shared" si="785"/>
        <v>6718.79839070184</v>
      </c>
      <c r="AF490" s="2055">
        <f t="shared" si="785"/>
        <v>6652.01788109075</v>
      </c>
      <c r="AG490" s="2053">
        <f t="shared" si="785"/>
        <v>7224.63997958177</v>
      </c>
      <c r="AH490" s="2053">
        <f t="shared" si="785"/>
        <v>7728.07185696319</v>
      </c>
      <c r="AI490" s="2053">
        <f t="shared" si="785"/>
        <v>8152.62768919326</v>
      </c>
      <c r="AJ490" s="2053">
        <f t="shared" si="785"/>
        <v>8584.67141092421</v>
      </c>
      <c r="AK490" s="2053">
        <f t="shared" si="785"/>
        <v>9039.41954533891</v>
      </c>
      <c r="AL490" s="2053"/>
      <c r="AM490" s="1246"/>
    </row>
    <row r="491" s="1685" customFormat="1" customHeight="1" spans="1:160">
      <c r="A491" s="1737" t="s">
        <v>218</v>
      </c>
      <c r="B491" s="1687"/>
      <c r="C491" s="1687"/>
      <c r="D491" s="1687"/>
      <c r="E491" s="1687"/>
      <c r="F491" s="1948">
        <f t="shared" ref="F491:AA491" si="786">F490/F327</f>
        <v>0.108330220395966</v>
      </c>
      <c r="G491" s="1948">
        <f t="shared" si="786"/>
        <v>0.107969151670951</v>
      </c>
      <c r="H491" s="1948">
        <f t="shared" si="786"/>
        <v>0.113710732984293</v>
      </c>
      <c r="I491" s="1948">
        <f t="shared" si="786"/>
        <v>0.116204200521233</v>
      </c>
      <c r="J491" s="1948">
        <f t="shared" si="786"/>
        <v>0.113132280197862</v>
      </c>
      <c r="K491" s="1948">
        <f t="shared" si="786"/>
        <v>0.108703071672355</v>
      </c>
      <c r="L491" s="1949">
        <f t="shared" si="786"/>
        <v>0.106389391199518</v>
      </c>
      <c r="M491" s="1949">
        <f t="shared" si="786"/>
        <v>0.107794525981753</v>
      </c>
      <c r="N491" s="1949">
        <f t="shared" si="786"/>
        <v>0.115156811340907</v>
      </c>
      <c r="O491" s="1949">
        <f t="shared" si="786"/>
        <v>0.118807296971942</v>
      </c>
      <c r="P491" s="1949">
        <f t="shared" si="786"/>
        <v>0.130237934688373</v>
      </c>
      <c r="Q491" s="1949">
        <f t="shared" si="786"/>
        <v>0.126855713094245</v>
      </c>
      <c r="R491" s="1949">
        <f t="shared" si="786"/>
        <v>0.123545747954665</v>
      </c>
      <c r="S491" s="1949">
        <f t="shared" si="786"/>
        <v>0.125781092521669</v>
      </c>
      <c r="T491" s="1949">
        <f t="shared" si="786"/>
        <v>0.129039070749736</v>
      </c>
      <c r="U491" s="1949">
        <f t="shared" si="786"/>
        <v>0.126737305628182</v>
      </c>
      <c r="V491" s="1949">
        <f t="shared" si="786"/>
        <v>0.129116169080698</v>
      </c>
      <c r="W491" s="2056">
        <f t="shared" si="786"/>
        <v>0.131259720062208</v>
      </c>
      <c r="X491" s="1949">
        <f t="shared" si="786"/>
        <v>0.229756678367862</v>
      </c>
      <c r="Y491" s="1949">
        <f t="shared" si="786"/>
        <v>0.22983504663189</v>
      </c>
      <c r="Z491" s="1949">
        <f t="shared" si="786"/>
        <v>0.239244092980235</v>
      </c>
      <c r="AA491" s="1949">
        <f t="shared" si="786"/>
        <v>0.283025299616851</v>
      </c>
      <c r="AB491" s="1949">
        <f t="shared" ref="AB491:AG491" si="787">AB490/AB327</f>
        <v>0.2549033106165</v>
      </c>
      <c r="AC491" s="1949">
        <f t="shared" si="787"/>
        <v>0.281623247340241</v>
      </c>
      <c r="AD491" s="1949">
        <f t="shared" si="787"/>
        <v>0.303631868482753</v>
      </c>
      <c r="AE491" s="1949">
        <f t="shared" si="787"/>
        <v>0.291703138570826</v>
      </c>
      <c r="AF491" s="2057">
        <f t="shared" si="787"/>
        <v>0.2681076087659</v>
      </c>
      <c r="AG491" s="1949">
        <f t="shared" si="787"/>
        <v>0.266268319407283</v>
      </c>
      <c r="AH491" s="1949">
        <f t="shared" ref="AH491" si="788">AH490/AH327</f>
        <v>0.264808262155799</v>
      </c>
      <c r="AI491" s="1949">
        <f t="shared" ref="AI491:AJ491" si="789">AI490/AI327</f>
        <v>0.261635844299521</v>
      </c>
      <c r="AJ491" s="1949">
        <f t="shared" si="789"/>
        <v>0.260009376506729</v>
      </c>
      <c r="AK491" s="1949">
        <f t="shared" ref="AK491" si="790">AK490/AK327</f>
        <v>0.258369834618399</v>
      </c>
      <c r="AL491" s="1949"/>
      <c r="AM491" s="1246"/>
      <c r="AN491" s="1688"/>
      <c r="AO491" s="1688"/>
      <c r="AP491" s="1688"/>
      <c r="AQ491" s="1688"/>
      <c r="AR491" s="1688"/>
      <c r="AS491" s="1688"/>
      <c r="AT491" s="1690"/>
      <c r="AU491" s="1690"/>
      <c r="AV491" s="1690"/>
      <c r="AW491" s="1691"/>
      <c r="AX491" s="1686"/>
      <c r="AY491" s="1686"/>
      <c r="AZ491" s="1686"/>
      <c r="BA491" s="1686"/>
      <c r="BB491" s="1686"/>
      <c r="BC491" s="1686"/>
      <c r="BD491" s="1686"/>
      <c r="BE491" s="1686"/>
      <c r="BF491" s="1686"/>
      <c r="BG491" s="1686"/>
      <c r="BH491" s="1686"/>
      <c r="BI491" s="1686"/>
      <c r="BJ491" s="1686"/>
      <c r="BK491" s="1686"/>
      <c r="BL491" s="1686"/>
      <c r="BM491" s="1686"/>
      <c r="BN491" s="1686"/>
      <c r="BO491" s="1686"/>
      <c r="BP491" s="1686"/>
      <c r="BQ491" s="1686"/>
      <c r="BR491" s="1686"/>
      <c r="BS491" s="1686"/>
      <c r="BT491" s="1686"/>
      <c r="BU491" s="1686"/>
      <c r="BV491" s="1686"/>
      <c r="BW491" s="1686"/>
      <c r="BX491" s="1686"/>
      <c r="BY491" s="1686"/>
      <c r="BZ491" s="1686"/>
      <c r="CA491" s="1686"/>
      <c r="CB491" s="1686"/>
      <c r="CC491" s="1686"/>
      <c r="CD491" s="1686"/>
      <c r="CE491" s="1686"/>
      <c r="CF491" s="1686"/>
      <c r="CG491" s="1686"/>
      <c r="CH491" s="1686"/>
      <c r="CI491" s="1686"/>
      <c r="CJ491" s="1686"/>
      <c r="CK491" s="1686"/>
      <c r="CL491" s="1686"/>
      <c r="CM491" s="1686"/>
      <c r="CN491" s="1686"/>
      <c r="CO491" s="1686"/>
      <c r="CP491" s="1686"/>
      <c r="CQ491" s="1686"/>
      <c r="CR491" s="1686"/>
      <c r="CS491" s="1686"/>
      <c r="CT491" s="1686"/>
      <c r="CU491" s="1686"/>
      <c r="CV491" s="1686"/>
      <c r="CW491" s="1686"/>
      <c r="CX491" s="1686"/>
      <c r="CY491" s="1686"/>
      <c r="CZ491" s="1686"/>
      <c r="DA491" s="1686"/>
      <c r="DB491" s="1686"/>
      <c r="DC491" s="1686"/>
      <c r="DD491" s="1686"/>
      <c r="DE491" s="1686"/>
      <c r="DF491" s="1686"/>
      <c r="DG491" s="1686"/>
      <c r="DH491" s="1686"/>
      <c r="DI491" s="1686"/>
      <c r="DJ491" s="1686"/>
      <c r="DK491" s="1686"/>
      <c r="DL491" s="1686"/>
      <c r="DM491" s="1686"/>
      <c r="DN491" s="1686"/>
      <c r="DO491" s="1686"/>
      <c r="DP491" s="1686"/>
      <c r="DQ491" s="1686"/>
      <c r="DR491" s="1686"/>
      <c r="DS491" s="1686"/>
      <c r="DT491" s="1686"/>
      <c r="DU491" s="1686"/>
      <c r="DV491" s="1686"/>
      <c r="DW491" s="1686"/>
      <c r="DX491" s="1686"/>
      <c r="DY491" s="1686"/>
      <c r="DZ491" s="1686"/>
      <c r="EA491" s="1686"/>
      <c r="EB491" s="1686"/>
      <c r="EC491" s="1686"/>
      <c r="ED491" s="1686"/>
      <c r="EE491" s="1686"/>
      <c r="EF491" s="1686"/>
      <c r="EG491" s="1686"/>
      <c r="EH491" s="1686"/>
      <c r="EI491" s="1686"/>
      <c r="EJ491" s="1686"/>
      <c r="EK491" s="1686"/>
      <c r="EL491" s="1686"/>
      <c r="EM491" s="1686"/>
      <c r="EN491" s="1686"/>
      <c r="EO491" s="1686"/>
      <c r="EP491" s="1686"/>
      <c r="EQ491" s="1686"/>
      <c r="ER491" s="1686"/>
      <c r="ES491" s="1686"/>
      <c r="ET491" s="1686"/>
      <c r="EU491" s="1686"/>
      <c r="EV491" s="1686"/>
      <c r="EW491" s="1686"/>
      <c r="EX491" s="1686"/>
      <c r="EY491" s="1686"/>
      <c r="EZ491" s="1686"/>
      <c r="FA491" s="1686"/>
      <c r="FB491" s="1686"/>
      <c r="FC491" s="1686"/>
      <c r="FD491" s="1686"/>
    </row>
    <row r="492" customHeight="1" spans="1:160">
      <c r="A492" s="1686" t="s">
        <v>225</v>
      </c>
      <c r="F492" s="1733">
        <v>12829</v>
      </c>
      <c r="G492" s="1733">
        <v>13362</v>
      </c>
      <c r="H492" s="1733">
        <v>13941</v>
      </c>
      <c r="I492" s="1733">
        <v>14716</v>
      </c>
      <c r="J492" s="1733">
        <v>15686</v>
      </c>
      <c r="K492" s="1733">
        <v>14254</v>
      </c>
      <c r="L492" s="1745">
        <v>15935</v>
      </c>
      <c r="M492" s="1745">
        <v>26376</v>
      </c>
      <c r="N492" s="1745">
        <v>31344</v>
      </c>
      <c r="O492" s="1745">
        <v>38982</v>
      </c>
      <c r="P492" s="1688">
        <v>39596</v>
      </c>
      <c r="Q492" s="1688">
        <v>42541</v>
      </c>
      <c r="R492" s="1688">
        <v>46824</v>
      </c>
      <c r="S492" s="1688">
        <v>46306</v>
      </c>
      <c r="T492" s="1688">
        <v>49808</v>
      </c>
      <c r="U492" s="1688">
        <v>53731</v>
      </c>
      <c r="V492" s="1688">
        <v>55555</v>
      </c>
      <c r="W492" s="2058">
        <v>60617</v>
      </c>
      <c r="X492" s="1688">
        <f t="shared" ref="X492:AC492" si="791">X327*1000/X493</f>
        <v>65368.1937202045</v>
      </c>
      <c r="Y492" s="1688">
        <f t="shared" si="791"/>
        <v>66191.6706578341</v>
      </c>
      <c r="Z492" s="1688">
        <f t="shared" si="791"/>
        <v>70004.7548246503</v>
      </c>
      <c r="AA492" s="1688">
        <f t="shared" si="791"/>
        <v>57609.0538429979</v>
      </c>
      <c r="AB492" s="1688">
        <f t="shared" si="791"/>
        <v>60435.6455501054</v>
      </c>
      <c r="AC492" s="1688">
        <f t="shared" si="791"/>
        <v>62813.9303493299</v>
      </c>
      <c r="AD492" s="1688">
        <f t="shared" ref="AD492:AE492" si="792">AD327*1000/AD493</f>
        <v>56567.8327093875</v>
      </c>
      <c r="AE492" s="1688">
        <f t="shared" si="792"/>
        <v>61774.7995309651</v>
      </c>
      <c r="AF492" s="1689">
        <f t="shared" ref="AF492:AG492" si="793">AF327*1000/AF493</f>
        <v>65238.6452839947</v>
      </c>
      <c r="AG492" s="1688">
        <f t="shared" si="793"/>
        <v>69945.085679935</v>
      </c>
      <c r="AH492" s="1688">
        <f t="shared" ref="AH492" si="794">AH327*1000/AH493</f>
        <v>73756.4392779203</v>
      </c>
      <c r="AI492" s="1688">
        <f t="shared" ref="AI492:AJ492" si="795">AI327*1000/AI493</f>
        <v>77207.6826095677</v>
      </c>
      <c r="AJ492" s="1688">
        <f t="shared" si="795"/>
        <v>80203.7445534726</v>
      </c>
      <c r="AK492" s="1688">
        <f t="shared" ref="AK492" si="796">AK327*1000/AK493</f>
        <v>83321.7807397165</v>
      </c>
      <c r="AM492" s="1246"/>
    </row>
    <row r="493" customHeight="1" spans="1:160">
      <c r="A493" s="1686" t="s">
        <v>226</v>
      </c>
      <c r="F493" s="1687">
        <f t="shared" ref="F493:W493" si="797">F327*1000/F492</f>
        <v>417.335723750877</v>
      </c>
      <c r="G493" s="1687">
        <f t="shared" si="797"/>
        <v>436.686124831612</v>
      </c>
      <c r="H493" s="1687">
        <f t="shared" si="797"/>
        <v>438.419051717954</v>
      </c>
      <c r="I493" s="1687">
        <f t="shared" si="797"/>
        <v>443.259037782006</v>
      </c>
      <c r="J493" s="1687">
        <f t="shared" si="797"/>
        <v>399.528241744231</v>
      </c>
      <c r="K493" s="1687">
        <f t="shared" si="797"/>
        <v>411.112670127683</v>
      </c>
      <c r="L493" s="1688">
        <f t="shared" si="797"/>
        <v>416.44179479134</v>
      </c>
      <c r="M493" s="1688">
        <f t="shared" si="797"/>
        <v>382.317258113436</v>
      </c>
      <c r="N493" s="1688">
        <f t="shared" si="797"/>
        <v>328.579632465544</v>
      </c>
      <c r="O493" s="1688">
        <f t="shared" si="797"/>
        <v>277.025293725309</v>
      </c>
      <c r="P493" s="1688">
        <f t="shared" si="797"/>
        <v>262.172946762299</v>
      </c>
      <c r="Q493" s="1688">
        <f t="shared" si="797"/>
        <v>281.845748807033</v>
      </c>
      <c r="R493" s="1688">
        <f t="shared" si="797"/>
        <v>284.533572526909</v>
      </c>
      <c r="S493" s="1688">
        <f t="shared" si="797"/>
        <v>321.405433421155</v>
      </c>
      <c r="T493" s="1688">
        <f t="shared" si="797"/>
        <v>285.195149373595</v>
      </c>
      <c r="U493" s="1688">
        <f t="shared" si="797"/>
        <v>270.495617055331</v>
      </c>
      <c r="V493" s="1688">
        <f t="shared" si="797"/>
        <v>304.473044730447</v>
      </c>
      <c r="W493" s="2058">
        <f t="shared" si="797"/>
        <v>318.227559925433</v>
      </c>
      <c r="X493" s="2059">
        <f t="shared" ref="X493:AK493" si="798">W493*(1+2%)</f>
        <v>324.592111123942</v>
      </c>
      <c r="Y493" s="2059">
        <f t="shared" si="798"/>
        <v>331.083953346421</v>
      </c>
      <c r="Z493" s="2059">
        <f t="shared" si="798"/>
        <v>337.705632413349</v>
      </c>
      <c r="AA493" s="2059">
        <f t="shared" si="798"/>
        <v>344.459745061616</v>
      </c>
      <c r="AB493" s="2059">
        <f t="shared" si="798"/>
        <v>351.348939962849</v>
      </c>
      <c r="AC493" s="2059">
        <f t="shared" si="798"/>
        <v>358.375918762106</v>
      </c>
      <c r="AD493" s="2059">
        <f t="shared" si="798"/>
        <v>365.543437137348</v>
      </c>
      <c r="AE493" s="2059">
        <f t="shared" si="798"/>
        <v>372.854305880095</v>
      </c>
      <c r="AF493" s="2060">
        <f t="shared" si="798"/>
        <v>380.311391997697</v>
      </c>
      <c r="AG493" s="2059">
        <f t="shared" si="798"/>
        <v>387.917619837651</v>
      </c>
      <c r="AH493" s="2059">
        <f t="shared" si="798"/>
        <v>395.675972234404</v>
      </c>
      <c r="AI493" s="2059">
        <f t="shared" si="798"/>
        <v>403.589491679092</v>
      </c>
      <c r="AJ493" s="2059">
        <f t="shared" si="798"/>
        <v>411.661281512673</v>
      </c>
      <c r="AK493" s="2059">
        <f t="shared" si="798"/>
        <v>419.894507142927</v>
      </c>
      <c r="AL493" s="2059"/>
      <c r="AM493" s="1246"/>
    </row>
    <row r="494" customHeight="1" spans="1:160">
      <c r="A494" s="1686" t="s">
        <v>227</v>
      </c>
      <c r="L494" s="1688">
        <f t="shared" ref="L494:S494" si="799">(L490*1000000)/L492</f>
        <v>44304.9890178852</v>
      </c>
      <c r="M494" s="1688">
        <f t="shared" si="799"/>
        <v>41211.7076129815</v>
      </c>
      <c r="N494" s="1688">
        <f t="shared" si="799"/>
        <v>37838.1827462991</v>
      </c>
      <c r="O494" s="1688">
        <f t="shared" si="799"/>
        <v>32912.6263403622</v>
      </c>
      <c r="P494" s="1688">
        <f t="shared" si="799"/>
        <v>34144.8631174866</v>
      </c>
      <c r="Q494" s="1688">
        <f t="shared" si="799"/>
        <v>35753.7434474977</v>
      </c>
      <c r="R494" s="1688">
        <f t="shared" si="799"/>
        <v>35152.9130360499</v>
      </c>
      <c r="S494" s="1688">
        <f t="shared" si="799"/>
        <v>40426.7265581134</v>
      </c>
      <c r="T494" s="1688">
        <f t="shared" ref="T494:AA494" si="800">(T490*1000000)/T492</f>
        <v>36801.3170575008</v>
      </c>
      <c r="U494" s="1688">
        <f t="shared" si="800"/>
        <v>34281.8856898252</v>
      </c>
      <c r="V494" s="1688">
        <f t="shared" si="800"/>
        <v>39312.3931239312</v>
      </c>
      <c r="W494" s="2058">
        <f t="shared" si="800"/>
        <v>41770.460431892</v>
      </c>
      <c r="X494" s="1688">
        <f t="shared" si="800"/>
        <v>74577.2052762489</v>
      </c>
      <c r="Y494" s="1688">
        <f t="shared" si="800"/>
        <v>76094.695856445</v>
      </c>
      <c r="Z494" s="1688">
        <f t="shared" si="800"/>
        <v>80794.0777210483</v>
      </c>
      <c r="AA494" s="1688">
        <f t="shared" si="800"/>
        <v>97490.8225520079</v>
      </c>
      <c r="AB494" s="1688">
        <f t="shared" ref="AB494:AG494" si="801">(AB490*1000000)/AB492</f>
        <v>89560.0079781279</v>
      </c>
      <c r="AC494" s="1688">
        <f t="shared" si="801"/>
        <v>100926.990010327</v>
      </c>
      <c r="AD494" s="1688">
        <f t="shared" si="801"/>
        <v>110990.636829621</v>
      </c>
      <c r="AE494" s="1688">
        <f t="shared" si="801"/>
        <v>108762.77125487</v>
      </c>
      <c r="AF494" s="1689">
        <f t="shared" si="801"/>
        <v>101964.377894933</v>
      </c>
      <c r="AG494" s="1688">
        <f t="shared" si="801"/>
        <v>103290.172702645</v>
      </c>
      <c r="AH494" s="1688">
        <f t="shared" ref="AH494" si="802">(AH490*1000000)/AH492</f>
        <v>104778.266584199</v>
      </c>
      <c r="AI494" s="1688">
        <f t="shared" ref="AI494:AJ494" si="803">(AI490*1000000)/AI492</f>
        <v>105593.477405874</v>
      </c>
      <c r="AJ494" s="1688">
        <f t="shared" si="803"/>
        <v>107035.793138071</v>
      </c>
      <c r="AK494" s="1688">
        <f t="shared" ref="AK494" si="804">(AK490*1000000)/AK492</f>
        <v>108488.074367692</v>
      </c>
      <c r="AM494" s="1246"/>
    </row>
    <row r="495" customHeight="1" spans="1:160">
      <c r="A495" s="1708" t="s">
        <v>228</v>
      </c>
      <c r="E495" s="2061"/>
      <c r="L495" s="1949" t="e">
        <f t="shared" ref="L495:S495" si="805">L494/K494-1</f>
        <v>#DIV/0!</v>
      </c>
      <c r="M495" s="1949">
        <f t="shared" si="805"/>
        <v>-0.0698179025313596</v>
      </c>
      <c r="N495" s="1949">
        <f t="shared" si="805"/>
        <v>-0.081858410196517</v>
      </c>
      <c r="O495" s="1949">
        <f t="shared" si="805"/>
        <v>-0.130174232704626</v>
      </c>
      <c r="P495" s="1949">
        <f t="shared" si="805"/>
        <v>0.0374396368245231</v>
      </c>
      <c r="Q495" s="1949">
        <f t="shared" si="805"/>
        <v>0.0471192496650288</v>
      </c>
      <c r="R495" s="1949">
        <f t="shared" si="805"/>
        <v>-0.0168046854262995</v>
      </c>
      <c r="S495" s="1949">
        <f t="shared" si="805"/>
        <v>0.15002493581841</v>
      </c>
      <c r="T495" s="1949">
        <f t="shared" ref="T495:AK495" si="806">T494/S494-1</f>
        <v>-0.0896785322304315</v>
      </c>
      <c r="U495" s="1949">
        <f t="shared" si="806"/>
        <v>-0.0684603587349615</v>
      </c>
      <c r="V495" s="1949">
        <f t="shared" si="806"/>
        <v>0.146739519512459</v>
      </c>
      <c r="W495" s="2056">
        <f t="shared" si="806"/>
        <v>0.062526524401906</v>
      </c>
      <c r="X495" s="1949">
        <f t="shared" si="806"/>
        <v>0.785405391876138</v>
      </c>
      <c r="Y495" s="1949">
        <f t="shared" si="806"/>
        <v>0.0203479142799066</v>
      </c>
      <c r="Z495" s="1949">
        <f t="shared" si="806"/>
        <v>0.0617570227689563</v>
      </c>
      <c r="AA495" s="1949">
        <f t="shared" si="806"/>
        <v>0.20665802868135</v>
      </c>
      <c r="AB495" s="1949">
        <f t="shared" si="806"/>
        <v>-0.0813493451616867</v>
      </c>
      <c r="AC495" s="1949">
        <f t="shared" si="806"/>
        <v>0.126920288294021</v>
      </c>
      <c r="AD495" s="1949">
        <f t="shared" si="806"/>
        <v>0.0997121465552893</v>
      </c>
      <c r="AE495" s="1949">
        <f t="shared" si="806"/>
        <v>-0.0200725542116686</v>
      </c>
      <c r="AF495" s="2057">
        <f t="shared" si="806"/>
        <v>-0.0625066213512164</v>
      </c>
      <c r="AG495" s="1949">
        <f t="shared" si="806"/>
        <v>0.0130025292664218</v>
      </c>
      <c r="AH495" s="1949">
        <f t="shared" si="806"/>
        <v>0.0144069260668001</v>
      </c>
      <c r="AI495" s="1949">
        <f t="shared" si="806"/>
        <v>0.00778034270131811</v>
      </c>
      <c r="AJ495" s="1949">
        <f t="shared" si="806"/>
        <v>0.0136591366022898</v>
      </c>
      <c r="AK495" s="1949">
        <f t="shared" si="806"/>
        <v>0.0135681830072243</v>
      </c>
      <c r="AL495" s="1949"/>
      <c r="AM495" s="1246"/>
    </row>
    <row r="496" customHeight="1" spans="1:160">
      <c r="AM496" s="1246"/>
    </row>
    <row r="497" customHeight="1" spans="1:42">
      <c r="A497" s="1697" t="s">
        <v>229</v>
      </c>
      <c r="B497" s="1914"/>
      <c r="C497" s="1914"/>
      <c r="D497" s="1914"/>
      <c r="E497" s="1914"/>
      <c r="F497" s="1914"/>
      <c r="G497" s="1914"/>
      <c r="H497" s="1914"/>
      <c r="I497" s="1914"/>
      <c r="J497" s="1914"/>
      <c r="K497" s="1914"/>
      <c r="L497" s="1915"/>
      <c r="M497" s="1915"/>
      <c r="N497" s="1915"/>
      <c r="O497" s="1915"/>
      <c r="P497" s="1915"/>
      <c r="Q497" s="1915"/>
      <c r="R497" s="1915"/>
      <c r="S497" s="1915"/>
      <c r="T497" s="1915"/>
      <c r="U497" s="1915"/>
      <c r="V497" s="1915"/>
      <c r="W497" s="1915"/>
      <c r="X497" s="1915"/>
      <c r="Y497" s="1915"/>
      <c r="Z497" s="1915"/>
      <c r="AA497" s="1915"/>
      <c r="AB497" s="1915"/>
      <c r="AC497" s="1915"/>
      <c r="AD497" s="1915"/>
      <c r="AE497" s="1915"/>
      <c r="AF497" s="1916"/>
      <c r="AG497" s="1915"/>
      <c r="AH497" s="1915"/>
      <c r="AI497" s="1915"/>
      <c r="AJ497" s="1915"/>
      <c r="AK497" s="1915"/>
      <c r="AL497" s="1915"/>
      <c r="AM497" s="1246"/>
      <c r="AN497" s="1246"/>
      <c r="AO497" s="1246"/>
      <c r="AP497" s="1772"/>
    </row>
    <row r="498" customHeight="1" spans="1:42">
      <c r="A498" s="2062" t="s">
        <v>230</v>
      </c>
      <c r="B498" s="2063"/>
      <c r="C498" s="2063"/>
      <c r="D498" s="2063"/>
      <c r="E498" s="2063"/>
      <c r="F498" s="2063"/>
      <c r="G498" s="2063"/>
      <c r="H498" s="2063"/>
      <c r="I498" s="2063"/>
      <c r="J498" s="2063"/>
      <c r="K498" s="2063"/>
      <c r="L498" s="2064"/>
      <c r="M498" s="2064"/>
      <c r="N498" s="2064"/>
      <c r="O498" s="2064"/>
      <c r="P498" s="2064"/>
      <c r="Q498" s="2064"/>
      <c r="R498" s="2064"/>
      <c r="S498" s="2064"/>
      <c r="T498" s="2064"/>
      <c r="U498" s="2064"/>
      <c r="V498" s="2064"/>
      <c r="W498" s="2064"/>
      <c r="X498" s="2064"/>
      <c r="Y498" s="2064"/>
      <c r="Z498" s="2064"/>
      <c r="AA498" s="2064"/>
      <c r="AB498" s="2064"/>
      <c r="AC498" s="2064"/>
      <c r="AD498" s="2064"/>
      <c r="AE498" s="2064"/>
      <c r="AF498" s="2065"/>
      <c r="AG498" s="2064"/>
      <c r="AH498" s="2064"/>
      <c r="AI498" s="2064"/>
      <c r="AJ498" s="2064"/>
      <c r="AK498" s="2064"/>
      <c r="AL498" s="2064"/>
      <c r="AM498" s="1246"/>
      <c r="AN498" s="1246"/>
      <c r="AO498" s="1246"/>
    </row>
    <row r="499" customHeight="1" spans="1:42">
      <c r="A499" s="2062" t="s">
        <v>231</v>
      </c>
      <c r="B499" s="2063"/>
      <c r="C499" s="2063"/>
      <c r="D499" s="2063"/>
      <c r="E499" s="2063"/>
      <c r="F499" s="2063"/>
      <c r="G499" s="2063"/>
      <c r="H499" s="2063"/>
      <c r="I499" s="2063"/>
      <c r="J499" s="2063"/>
      <c r="K499" s="2063"/>
      <c r="L499" s="2064"/>
      <c r="M499" s="2064"/>
      <c r="N499" s="2064"/>
      <c r="O499" s="2066"/>
      <c r="P499" s="2066">
        <f t="shared" ref="P499:U499" si="807">P501*P$522</f>
        <v>819.58</v>
      </c>
      <c r="Q499" s="2066">
        <f t="shared" si="807"/>
        <v>1098.94</v>
      </c>
      <c r="R499" s="2066">
        <f t="shared" si="807"/>
        <v>1312.71</v>
      </c>
      <c r="S499" s="2066">
        <f t="shared" si="807"/>
        <v>1585.31</v>
      </c>
      <c r="T499" s="2066">
        <f t="shared" si="807"/>
        <v>1585.16</v>
      </c>
      <c r="U499" s="2066">
        <f t="shared" si="807"/>
        <v>1681.04868470819</v>
      </c>
      <c r="V499" s="2066">
        <f t="shared" ref="V499:AK499" si="808">V502*(AVERAGE(U533:V533))</f>
        <v>1849.06312885236</v>
      </c>
      <c r="W499" s="2066">
        <f t="shared" si="808"/>
        <v>1854.51437628412</v>
      </c>
      <c r="X499" s="2066">
        <f t="shared" si="808"/>
        <v>1974.4418197828</v>
      </c>
      <c r="Y499" s="2066">
        <f t="shared" si="808"/>
        <v>2094.36926328148</v>
      </c>
      <c r="Z499" s="2066">
        <f t="shared" si="808"/>
        <v>2214.29670678016</v>
      </c>
      <c r="AA499" s="2066">
        <f t="shared" si="808"/>
        <v>2334.22415027884</v>
      </c>
      <c r="AB499" s="2066">
        <f t="shared" si="808"/>
        <v>2454.15159377752</v>
      </c>
      <c r="AC499" s="2066">
        <f t="shared" si="808"/>
        <v>2574.0790372762</v>
      </c>
      <c r="AD499" s="2066">
        <f t="shared" si="808"/>
        <v>2694.00648077488</v>
      </c>
      <c r="AE499" s="2066">
        <f t="shared" si="808"/>
        <v>2813.93392427355</v>
      </c>
      <c r="AF499" s="2067">
        <f t="shared" si="808"/>
        <v>2933.86136777223</v>
      </c>
      <c r="AG499" s="2066">
        <f t="shared" si="808"/>
        <v>3053.78881127091</v>
      </c>
      <c r="AH499" s="2066">
        <f t="shared" si="808"/>
        <v>3173.71625476959</v>
      </c>
      <c r="AI499" s="2066">
        <f t="shared" si="808"/>
        <v>3293.64369826827</v>
      </c>
      <c r="AJ499" s="2066">
        <f t="shared" si="808"/>
        <v>3413.57114176695</v>
      </c>
      <c r="AK499" s="2066">
        <f t="shared" si="808"/>
        <v>3533.49858526563</v>
      </c>
      <c r="AL499" s="2066"/>
      <c r="AM499" s="1246"/>
      <c r="AN499" s="1246"/>
      <c r="AO499" s="1246"/>
    </row>
    <row r="500" customHeight="1" spans="1:42">
      <c r="A500" s="2068" t="s">
        <v>61</v>
      </c>
      <c r="B500" s="2063"/>
      <c r="C500" s="2063"/>
      <c r="D500" s="2063"/>
      <c r="E500" s="2063"/>
      <c r="F500" s="2063"/>
      <c r="G500" s="2063"/>
      <c r="H500" s="2063"/>
      <c r="I500" s="2063"/>
      <c r="J500" s="2063"/>
      <c r="K500" s="2063"/>
      <c r="L500" s="2064"/>
      <c r="M500" s="2064"/>
      <c r="N500" s="2064"/>
      <c r="O500" s="1246"/>
      <c r="P500" s="1246"/>
      <c r="Q500" s="1246">
        <f t="shared" ref="Q500:AK500" si="809">Q499/P499-1</f>
        <v>0.340857512384392</v>
      </c>
      <c r="R500" s="1246">
        <f t="shared" si="809"/>
        <v>0.194523813856989</v>
      </c>
      <c r="S500" s="1246">
        <f t="shared" si="809"/>
        <v>0.20766201217329</v>
      </c>
      <c r="T500" s="1246">
        <f t="shared" si="809"/>
        <v>-9.46187181055658e-5</v>
      </c>
      <c r="U500" s="1246">
        <f t="shared" si="809"/>
        <v>0.060491486479717</v>
      </c>
      <c r="V500" s="1246">
        <f t="shared" si="809"/>
        <v>0.0999462095729486</v>
      </c>
      <c r="W500" s="1246">
        <f t="shared" si="809"/>
        <v>0.00294811320754729</v>
      </c>
      <c r="X500" s="1246">
        <f t="shared" si="809"/>
        <v>0.0646678424456202</v>
      </c>
      <c r="Y500" s="1246">
        <f t="shared" si="809"/>
        <v>0.0607399226946437</v>
      </c>
      <c r="Z500" s="1246">
        <f t="shared" si="809"/>
        <v>0.0572618427902134</v>
      </c>
      <c r="AA500" s="1246">
        <f t="shared" si="809"/>
        <v>0.0541605120630233</v>
      </c>
      <c r="AB500" s="1246">
        <f t="shared" si="809"/>
        <v>0.0513778608127042</v>
      </c>
      <c r="AC500" s="1246">
        <f t="shared" si="809"/>
        <v>0.0488671701466015</v>
      </c>
      <c r="AD500" s="1246">
        <f t="shared" si="809"/>
        <v>0.046590427784837</v>
      </c>
      <c r="AE500" s="1246">
        <f t="shared" si="809"/>
        <v>0.0445163901254553</v>
      </c>
      <c r="AF500" s="1717">
        <f t="shared" si="809"/>
        <v>0.042619139868268</v>
      </c>
      <c r="AG500" s="1246">
        <f t="shared" si="809"/>
        <v>0.0408769973987366</v>
      </c>
      <c r="AH500" s="1246">
        <f t="shared" si="809"/>
        <v>0.0392716886826134</v>
      </c>
      <c r="AI500" s="1246">
        <f t="shared" si="809"/>
        <v>0.0377877018206803</v>
      </c>
      <c r="AJ500" s="1246">
        <f t="shared" si="809"/>
        <v>0.0364117841774247</v>
      </c>
      <c r="AK500" s="1246">
        <f t="shared" si="809"/>
        <v>0.0351325455126157</v>
      </c>
      <c r="AL500" s="1246"/>
      <c r="AM500" s="1246"/>
      <c r="AN500" s="1246"/>
      <c r="AO500" s="1246"/>
    </row>
    <row r="501" customHeight="1" spans="1:42">
      <c r="A501" s="2068" t="s">
        <v>232</v>
      </c>
      <c r="B501" s="2063"/>
      <c r="C501" s="2063"/>
      <c r="D501" s="2063"/>
      <c r="E501" s="2063"/>
      <c r="F501" s="2063"/>
      <c r="G501" s="2063"/>
      <c r="H501" s="2063"/>
      <c r="I501" s="2063"/>
      <c r="J501" s="2063"/>
      <c r="K501" s="2063"/>
      <c r="L501" s="2064"/>
      <c r="M501" s="2064"/>
      <c r="N501" s="2064"/>
      <c r="O501" s="1246"/>
      <c r="P501" s="1246">
        <v>0.43</v>
      </c>
      <c r="Q501" s="1246">
        <v>0.46</v>
      </c>
      <c r="R501" s="1246">
        <v>0.47</v>
      </c>
      <c r="S501" s="1246">
        <v>0.47</v>
      </c>
      <c r="T501" s="1246">
        <v>0.46</v>
      </c>
      <c r="U501" s="1246">
        <v>0.44</v>
      </c>
      <c r="V501" s="1246">
        <f t="shared" ref="V501:AA501" si="810">V499/V$522</f>
        <v>0.43806281185794</v>
      </c>
      <c r="W501" s="1246">
        <f t="shared" si="810"/>
        <v>0.370680466976638</v>
      </c>
      <c r="X501" s="1246">
        <f t="shared" si="810"/>
        <v>0.336935464126758</v>
      </c>
      <c r="Y501" s="1246">
        <f t="shared" si="810"/>
        <v>0.3228066065477</v>
      </c>
      <c r="Z501" s="1246">
        <f t="shared" si="810"/>
        <v>0.283375570358351</v>
      </c>
      <c r="AA501" s="1246">
        <f t="shared" si="810"/>
        <v>0.28707713076852</v>
      </c>
      <c r="AB501" s="1246">
        <f t="shared" ref="AB501:AG501" si="811">AB499/AB$522</f>
        <v>0.295894923007339</v>
      </c>
      <c r="AC501" s="1246">
        <f t="shared" si="811"/>
        <v>0.291251305417085</v>
      </c>
      <c r="AD501" s="1246">
        <f t="shared" si="811"/>
        <v>0.310119314006547</v>
      </c>
      <c r="AE501" s="1246">
        <f t="shared" si="811"/>
        <v>0.296515692758014</v>
      </c>
      <c r="AF501" s="1717">
        <f t="shared" si="811"/>
        <v>0.295424566284587</v>
      </c>
      <c r="AG501" s="1246">
        <f t="shared" si="811"/>
        <v>0.287870088836509</v>
      </c>
      <c r="AH501" s="1246">
        <f t="shared" ref="AH501" si="812">AH499/AH$522</f>
        <v>0.277505961190547</v>
      </c>
      <c r="AI501" s="1246">
        <f t="shared" ref="AI501:AJ501" si="813">AI499/AI$522</f>
        <v>0.269151657668669</v>
      </c>
      <c r="AJ501" s="1246">
        <f t="shared" si="813"/>
        <v>0.260702756765137</v>
      </c>
      <c r="AK501" s="1246">
        <f t="shared" ref="AK501" si="814">AK499/AK$522</f>
        <v>0.252207390871451</v>
      </c>
      <c r="AL501" s="1246"/>
      <c r="AM501" s="1246"/>
      <c r="AN501" s="1246"/>
      <c r="AO501" s="1246"/>
    </row>
    <row r="502" customHeight="1" spans="1:42">
      <c r="A502" s="2068" t="s">
        <v>233</v>
      </c>
      <c r="B502" s="2063"/>
      <c r="C502" s="2063"/>
      <c r="D502" s="2063"/>
      <c r="E502" s="2063"/>
      <c r="F502" s="2063"/>
      <c r="G502" s="2063"/>
      <c r="H502" s="2063"/>
      <c r="I502" s="2063"/>
      <c r="J502" s="2063"/>
      <c r="K502" s="2063"/>
      <c r="L502" s="2064"/>
      <c r="M502" s="2064"/>
      <c r="N502" s="2064"/>
      <c r="O502" s="2069"/>
      <c r="P502" s="2069">
        <f t="shared" ref="P502:U502" si="815">P499/AVERAGE(O533:P533)</f>
        <v>0.737695769576958</v>
      </c>
      <c r="Q502" s="2069">
        <f t="shared" si="815"/>
        <v>0.860227005870842</v>
      </c>
      <c r="R502" s="2069">
        <f t="shared" si="815"/>
        <v>0.969863317325453</v>
      </c>
      <c r="S502" s="2069">
        <f t="shared" si="815"/>
        <v>1.13560888252149</v>
      </c>
      <c r="T502" s="2069">
        <f t="shared" si="815"/>
        <v>1.0233440929632</v>
      </c>
      <c r="U502" s="2069">
        <f t="shared" si="815"/>
        <v>0.986820478255467</v>
      </c>
      <c r="V502" s="2069">
        <f>U502*(1+V523)</f>
        <v>1.09024948635163</v>
      </c>
      <c r="W502" s="2069">
        <f t="shared" ref="W502:AK502" si="816">V502*(1+$AN502)</f>
        <v>1.09024948635163</v>
      </c>
      <c r="X502" s="2069">
        <f t="shared" si="816"/>
        <v>1.09024948635163</v>
      </c>
      <c r="Y502" s="2069">
        <f t="shared" si="816"/>
        <v>1.09024948635163</v>
      </c>
      <c r="Z502" s="2069">
        <f t="shared" si="816"/>
        <v>1.09024948635163</v>
      </c>
      <c r="AA502" s="2069">
        <f t="shared" si="816"/>
        <v>1.09024948635163</v>
      </c>
      <c r="AB502" s="2069">
        <f t="shared" si="816"/>
        <v>1.09024948635163</v>
      </c>
      <c r="AC502" s="2069">
        <f t="shared" si="816"/>
        <v>1.09024948635163</v>
      </c>
      <c r="AD502" s="2069">
        <f t="shared" si="816"/>
        <v>1.09024948635163</v>
      </c>
      <c r="AE502" s="2069">
        <f t="shared" si="816"/>
        <v>1.09024948635163</v>
      </c>
      <c r="AF502" s="2070">
        <f t="shared" si="816"/>
        <v>1.09024948635163</v>
      </c>
      <c r="AG502" s="2069">
        <f t="shared" si="816"/>
        <v>1.09024948635163</v>
      </c>
      <c r="AH502" s="2069">
        <f t="shared" si="816"/>
        <v>1.09024948635163</v>
      </c>
      <c r="AI502" s="2069">
        <f t="shared" si="816"/>
        <v>1.09024948635163</v>
      </c>
      <c r="AJ502" s="2069">
        <f t="shared" si="816"/>
        <v>1.09024948635163</v>
      </c>
      <c r="AK502" s="2069">
        <f t="shared" si="816"/>
        <v>1.09024948635163</v>
      </c>
      <c r="AL502" s="2069"/>
      <c r="AM502" s="1246"/>
      <c r="AN502" s="1714"/>
      <c r="AO502" s="1714"/>
      <c r="AP502" s="1246"/>
    </row>
    <row r="503" customHeight="1" spans="1:42">
      <c r="A503" s="2068" t="s">
        <v>61</v>
      </c>
      <c r="B503" s="2063"/>
      <c r="C503" s="2063"/>
      <c r="D503" s="2063"/>
      <c r="E503" s="2063"/>
      <c r="F503" s="2063"/>
      <c r="G503" s="2063"/>
      <c r="H503" s="2063"/>
      <c r="I503" s="2063"/>
      <c r="J503" s="2063"/>
      <c r="K503" s="2063"/>
      <c r="L503" s="2064"/>
      <c r="M503" s="2064"/>
      <c r="N503" s="2064"/>
      <c r="O503" s="1246"/>
      <c r="P503" s="1246"/>
      <c r="Q503" s="1246">
        <f t="shared" ref="Q503:AK503" si="817">Q502/P502-1</f>
        <v>0.166099957932728</v>
      </c>
      <c r="R503" s="1246">
        <f t="shared" si="817"/>
        <v>0.127450441228152</v>
      </c>
      <c r="S503" s="1246">
        <f t="shared" si="817"/>
        <v>0.170895797619304</v>
      </c>
      <c r="T503" s="1246">
        <f t="shared" si="817"/>
        <v>-0.0988586751003714</v>
      </c>
      <c r="U503" s="1246">
        <f t="shared" si="817"/>
        <v>-0.0356904534446247</v>
      </c>
      <c r="V503" s="1246">
        <f t="shared" si="817"/>
        <v>0.104810358494999</v>
      </c>
      <c r="W503" s="1246">
        <f t="shared" si="817"/>
        <v>0</v>
      </c>
      <c r="X503" s="1246">
        <f t="shared" si="817"/>
        <v>0</v>
      </c>
      <c r="Y503" s="1246">
        <f t="shared" si="817"/>
        <v>0</v>
      </c>
      <c r="Z503" s="1246">
        <f t="shared" si="817"/>
        <v>0</v>
      </c>
      <c r="AA503" s="1246">
        <f t="shared" si="817"/>
        <v>0</v>
      </c>
      <c r="AB503" s="1246">
        <f t="shared" si="817"/>
        <v>0</v>
      </c>
      <c r="AC503" s="1246">
        <f t="shared" si="817"/>
        <v>0</v>
      </c>
      <c r="AD503" s="1246">
        <f t="shared" si="817"/>
        <v>0</v>
      </c>
      <c r="AE503" s="1246">
        <f t="shared" si="817"/>
        <v>0</v>
      </c>
      <c r="AF503" s="1717">
        <f t="shared" si="817"/>
        <v>0</v>
      </c>
      <c r="AG503" s="1246">
        <f t="shared" si="817"/>
        <v>0</v>
      </c>
      <c r="AH503" s="1246">
        <f t="shared" si="817"/>
        <v>0</v>
      </c>
      <c r="AI503" s="1246">
        <f t="shared" si="817"/>
        <v>0</v>
      </c>
      <c r="AJ503" s="1246">
        <f t="shared" si="817"/>
        <v>0</v>
      </c>
      <c r="AK503" s="1246">
        <f t="shared" si="817"/>
        <v>0</v>
      </c>
      <c r="AL503" s="1246"/>
      <c r="AM503" s="1246"/>
    </row>
    <row r="504" customHeight="1" spans="1:42">
      <c r="A504" s="2062" t="s">
        <v>234</v>
      </c>
      <c r="B504" s="2063"/>
      <c r="C504" s="2063"/>
      <c r="D504" s="2063"/>
      <c r="E504" s="2063"/>
      <c r="F504" s="2063"/>
      <c r="G504" s="2063"/>
      <c r="H504" s="2063"/>
      <c r="I504" s="2063"/>
      <c r="J504" s="2063"/>
      <c r="K504" s="2063"/>
      <c r="L504" s="2064"/>
      <c r="M504" s="2064"/>
      <c r="N504" s="2064"/>
      <c r="O504" s="2066"/>
      <c r="P504" s="2066">
        <f t="shared" ref="P504:U504" si="818">P506*P$522</f>
        <v>1010.18</v>
      </c>
      <c r="Q504" s="2066">
        <f t="shared" si="818"/>
        <v>1194.5</v>
      </c>
      <c r="R504" s="2066">
        <f t="shared" si="818"/>
        <v>1312.71</v>
      </c>
      <c r="S504" s="2066">
        <f t="shared" si="818"/>
        <v>1517.85</v>
      </c>
      <c r="T504" s="2066">
        <f t="shared" si="818"/>
        <v>1516.24</v>
      </c>
      <c r="U504" s="2066">
        <f t="shared" si="818"/>
        <v>1604.63738085782</v>
      </c>
      <c r="V504" s="2066"/>
      <c r="W504" s="2066"/>
      <c r="X504" s="2066"/>
      <c r="Y504" s="2066"/>
      <c r="Z504" s="2066"/>
      <c r="AA504" s="2066"/>
      <c r="AB504" s="2066"/>
      <c r="AC504" s="2066"/>
      <c r="AD504" s="2066"/>
      <c r="AE504" s="2066"/>
      <c r="AF504" s="2067"/>
      <c r="AG504" s="2066"/>
      <c r="AH504" s="2066"/>
      <c r="AI504" s="2066"/>
      <c r="AJ504" s="2066"/>
      <c r="AK504" s="2066"/>
      <c r="AL504" s="2066"/>
      <c r="AM504" s="1246"/>
    </row>
    <row r="505" customHeight="1" spans="1:42">
      <c r="A505" s="2068" t="s">
        <v>61</v>
      </c>
      <c r="B505" s="2063"/>
      <c r="C505" s="2063"/>
      <c r="D505" s="2063"/>
      <c r="E505" s="2063"/>
      <c r="F505" s="2063"/>
      <c r="G505" s="2063"/>
      <c r="H505" s="2063"/>
      <c r="I505" s="2063"/>
      <c r="J505" s="2063"/>
      <c r="K505" s="2063"/>
      <c r="L505" s="2064"/>
      <c r="M505" s="2064"/>
      <c r="N505" s="2064"/>
      <c r="O505" s="1246"/>
      <c r="P505" s="1246"/>
      <c r="Q505" s="1246">
        <f>Q504/P504-1</f>
        <v>0.182462531430042</v>
      </c>
      <c r="R505" s="1246">
        <f>R504/Q504-1</f>
        <v>0.0989619087484304</v>
      </c>
      <c r="S505" s="1246">
        <f>S504/R504-1</f>
        <v>0.156272139314853</v>
      </c>
      <c r="T505" s="1246">
        <f>T504/S504-1</f>
        <v>-0.00106071087393356</v>
      </c>
      <c r="U505" s="1246">
        <f>U504/T504-1</f>
        <v>0.0583003883671556</v>
      </c>
      <c r="V505" s="1246"/>
      <c r="W505" s="1246"/>
      <c r="X505" s="1246"/>
      <c r="Y505" s="1246"/>
      <c r="Z505" s="1246"/>
      <c r="AA505" s="1246"/>
      <c r="AB505" s="1246"/>
      <c r="AC505" s="1246"/>
      <c r="AD505" s="1246"/>
      <c r="AE505" s="1246"/>
      <c r="AF505" s="1717"/>
      <c r="AG505" s="1246"/>
      <c r="AH505" s="1246"/>
      <c r="AI505" s="1246"/>
      <c r="AJ505" s="1246"/>
      <c r="AK505" s="1246"/>
      <c r="AL505" s="1246"/>
      <c r="AM505" s="1246"/>
    </row>
    <row r="506" customHeight="1" spans="1:42">
      <c r="A506" s="2068" t="s">
        <v>232</v>
      </c>
      <c r="B506" s="2063"/>
      <c r="C506" s="2063"/>
      <c r="D506" s="2063"/>
      <c r="E506" s="2063"/>
      <c r="F506" s="2063"/>
      <c r="G506" s="2063"/>
      <c r="H506" s="2063"/>
      <c r="I506" s="2063"/>
      <c r="J506" s="2063"/>
      <c r="K506" s="2063"/>
      <c r="L506" s="2064"/>
      <c r="M506" s="2064"/>
      <c r="N506" s="2064"/>
      <c r="O506" s="1246"/>
      <c r="P506" s="1246">
        <v>0.53</v>
      </c>
      <c r="Q506" s="1246">
        <v>0.5</v>
      </c>
      <c r="R506" s="1246">
        <v>0.47</v>
      </c>
      <c r="S506" s="1246">
        <v>0.45</v>
      </c>
      <c r="T506" s="1246">
        <v>0.44</v>
      </c>
      <c r="U506" s="1246">
        <v>0.42</v>
      </c>
      <c r="V506" s="1246"/>
      <c r="W506" s="1246"/>
      <c r="X506" s="1246"/>
      <c r="Y506" s="1246"/>
      <c r="Z506" s="1246"/>
      <c r="AA506" s="1246"/>
      <c r="AB506" s="1246"/>
      <c r="AC506" s="1246"/>
      <c r="AD506" s="1246"/>
      <c r="AE506" s="1246"/>
      <c r="AF506" s="1717"/>
      <c r="AG506" s="1246"/>
      <c r="AH506" s="1246"/>
      <c r="AI506" s="1246"/>
      <c r="AJ506" s="1246"/>
      <c r="AK506" s="1246"/>
      <c r="AL506" s="1246"/>
      <c r="AM506" s="1246"/>
    </row>
    <row r="507" customHeight="1" spans="1:42">
      <c r="A507" s="2068" t="s">
        <v>233</v>
      </c>
      <c r="B507" s="2063"/>
      <c r="C507" s="2063"/>
      <c r="D507" s="2063"/>
      <c r="E507" s="2063"/>
      <c r="F507" s="2063"/>
      <c r="G507" s="2063"/>
      <c r="H507" s="2063"/>
      <c r="I507" s="2063"/>
      <c r="J507" s="2063"/>
      <c r="K507" s="2063"/>
      <c r="L507" s="2064"/>
      <c r="M507" s="2064"/>
      <c r="N507" s="2064"/>
      <c r="O507" s="2069"/>
      <c r="P507" s="2069">
        <f t="shared" ref="P507:U507" si="819">P504/AVERAGE(O534:P534)</f>
        <v>1.40693593314763</v>
      </c>
      <c r="Q507" s="2069">
        <f t="shared" si="819"/>
        <v>1.61418918918919</v>
      </c>
      <c r="R507" s="2069">
        <f t="shared" si="819"/>
        <v>1.79946538725154</v>
      </c>
      <c r="S507" s="2069">
        <f t="shared" si="819"/>
        <v>2.07356557377049</v>
      </c>
      <c r="T507" s="2069">
        <f t="shared" si="819"/>
        <v>2.00959575878065</v>
      </c>
      <c r="U507" s="2069">
        <f t="shared" si="819"/>
        <v>1.96888022191143</v>
      </c>
      <c r="V507" s="2069"/>
      <c r="W507" s="2069"/>
      <c r="X507" s="2069"/>
      <c r="Y507" s="2069"/>
      <c r="Z507" s="2069"/>
      <c r="AA507" s="2069"/>
      <c r="AB507" s="2069"/>
      <c r="AC507" s="2069"/>
      <c r="AD507" s="2069"/>
      <c r="AE507" s="2069"/>
      <c r="AF507" s="2070"/>
      <c r="AG507" s="2069"/>
      <c r="AH507" s="2069"/>
      <c r="AI507" s="2069"/>
      <c r="AJ507" s="2069"/>
      <c r="AK507" s="2069"/>
      <c r="AL507" s="2069"/>
      <c r="AM507" s="1246"/>
      <c r="AN507" s="1246"/>
      <c r="AO507" s="1246"/>
      <c r="AP507" s="1246"/>
    </row>
    <row r="508" customHeight="1" spans="1:42">
      <c r="A508" s="2068" t="s">
        <v>61</v>
      </c>
      <c r="B508" s="2063"/>
      <c r="C508" s="2063"/>
      <c r="D508" s="2063"/>
      <c r="E508" s="2063"/>
      <c r="F508" s="2063"/>
      <c r="G508" s="2063"/>
      <c r="H508" s="2063"/>
      <c r="I508" s="2063"/>
      <c r="J508" s="2063"/>
      <c r="K508" s="2063"/>
      <c r="L508" s="2064"/>
      <c r="M508" s="2064"/>
      <c r="N508" s="2064"/>
      <c r="O508" s="1246"/>
      <c r="P508" s="1246"/>
      <c r="Q508" s="1246">
        <f>Q507/P507-1</f>
        <v>0.147308239955095</v>
      </c>
      <c r="R508" s="1246">
        <f>R507/Q507-1</f>
        <v>0.114779729230759</v>
      </c>
      <c r="S508" s="1246">
        <f>S507/R507-1</f>
        <v>0.152323122445608</v>
      </c>
      <c r="T508" s="1246">
        <f>T507/S507-1</f>
        <v>-0.0308501528955857</v>
      </c>
      <c r="U508" s="1246">
        <f>U507/T507-1</f>
        <v>-0.0202605607079523</v>
      </c>
      <c r="V508" s="1246"/>
      <c r="W508" s="1246"/>
      <c r="X508" s="1246"/>
      <c r="Y508" s="1246"/>
      <c r="Z508" s="1246"/>
      <c r="AA508" s="1246"/>
      <c r="AB508" s="1246"/>
      <c r="AC508" s="1246"/>
      <c r="AD508" s="1246"/>
      <c r="AE508" s="1246"/>
      <c r="AF508" s="1717"/>
      <c r="AG508" s="1246"/>
      <c r="AH508" s="1246"/>
      <c r="AI508" s="1246"/>
      <c r="AJ508" s="1246"/>
      <c r="AK508" s="1246"/>
      <c r="AL508" s="1246"/>
      <c r="AM508" s="1246"/>
    </row>
    <row r="509" customHeight="1" spans="1:42">
      <c r="A509" s="2062" t="s">
        <v>235</v>
      </c>
      <c r="B509" s="2063"/>
      <c r="C509" s="2063"/>
      <c r="D509" s="2063"/>
      <c r="E509" s="2063"/>
      <c r="F509" s="2063"/>
      <c r="G509" s="2063"/>
      <c r="H509" s="2063"/>
      <c r="I509" s="2063"/>
      <c r="J509" s="2063"/>
      <c r="K509" s="2063"/>
      <c r="L509" s="2064"/>
      <c r="M509" s="2064"/>
      <c r="N509" s="2064"/>
      <c r="O509" s="2066"/>
      <c r="P509" s="2066">
        <f>P522-P519-P504-P499</f>
        <v>46.6542011834318</v>
      </c>
      <c r="Q509" s="2066">
        <f>Q522-Q519-Q504-Q499</f>
        <v>40.5599999999999</v>
      </c>
      <c r="R509" s="2066">
        <f>R522-R519-R504-R499</f>
        <v>78.5799999999999</v>
      </c>
      <c r="S509" s="2066">
        <f>S511*S$522</f>
        <v>101.19</v>
      </c>
      <c r="T509" s="2066">
        <f>T511*T$522</f>
        <v>103.38</v>
      </c>
      <c r="U509" s="2066">
        <f>U511*U$522</f>
        <v>114.616955775558</v>
      </c>
      <c r="V509" s="2066"/>
      <c r="W509" s="2066"/>
      <c r="X509" s="2066"/>
      <c r="Y509" s="2066"/>
      <c r="Z509" s="2066"/>
      <c r="AA509" s="2066"/>
      <c r="AB509" s="2066"/>
      <c r="AC509" s="2066"/>
      <c r="AD509" s="2066"/>
      <c r="AE509" s="2066"/>
      <c r="AF509" s="2067"/>
      <c r="AG509" s="2066"/>
      <c r="AH509" s="2066"/>
      <c r="AI509" s="2066"/>
      <c r="AJ509" s="2066"/>
      <c r="AK509" s="2066"/>
      <c r="AL509" s="2066"/>
      <c r="AM509" s="1246"/>
    </row>
    <row r="510" customHeight="1" spans="1:42">
      <c r="A510" s="2068" t="s">
        <v>61</v>
      </c>
      <c r="B510" s="2063"/>
      <c r="C510" s="2063"/>
      <c r="D510" s="2063"/>
      <c r="E510" s="2063"/>
      <c r="F510" s="2063"/>
      <c r="G510" s="2063"/>
      <c r="H510" s="2063"/>
      <c r="I510" s="2063"/>
      <c r="J510" s="2063"/>
      <c r="K510" s="2063"/>
      <c r="L510" s="2064"/>
      <c r="M510" s="2064"/>
      <c r="N510" s="2064"/>
      <c r="O510" s="1246"/>
      <c r="P510" s="1246"/>
      <c r="Q510" s="1246">
        <f>Q509/P509-1</f>
        <v>-0.130624917560396</v>
      </c>
      <c r="R510" s="1246">
        <f>R509/Q509-1</f>
        <v>0.937376725838265</v>
      </c>
      <c r="S510" s="1246">
        <f>S509/R509-1</f>
        <v>0.287732247391195</v>
      </c>
      <c r="T510" s="1246">
        <f>T509/S509-1</f>
        <v>0.0216424547880225</v>
      </c>
      <c r="U510" s="1246">
        <f>U509/T509-1</f>
        <v>0.108695644956068</v>
      </c>
      <c r="V510" s="1246"/>
      <c r="W510" s="1246"/>
      <c r="X510" s="1246"/>
      <c r="Y510" s="1246"/>
      <c r="Z510" s="1246"/>
      <c r="AA510" s="1246"/>
      <c r="AB510" s="1246"/>
      <c r="AC510" s="1246"/>
      <c r="AD510" s="1246"/>
      <c r="AE510" s="1246"/>
      <c r="AF510" s="1717"/>
      <c r="AG510" s="1246"/>
      <c r="AH510" s="1246"/>
      <c r="AI510" s="1246"/>
      <c r="AJ510" s="1246"/>
      <c r="AK510" s="1246"/>
      <c r="AL510" s="1246"/>
      <c r="AM510" s="1246"/>
    </row>
    <row r="511" customHeight="1" spans="1:42">
      <c r="A511" s="2068" t="s">
        <v>232</v>
      </c>
      <c r="B511" s="2063"/>
      <c r="C511" s="2063"/>
      <c r="D511" s="2063"/>
      <c r="E511" s="2063"/>
      <c r="F511" s="2063"/>
      <c r="G511" s="2063"/>
      <c r="H511" s="2063"/>
      <c r="I511" s="2063"/>
      <c r="J511" s="2063"/>
      <c r="K511" s="2063"/>
      <c r="L511" s="2064"/>
      <c r="M511" s="2064"/>
      <c r="N511" s="2064"/>
      <c r="O511" s="1246"/>
      <c r="P511" s="1246">
        <f>P509/P$522</f>
        <v>0.0244775452169107</v>
      </c>
      <c r="Q511" s="1246">
        <f>Q509/Q$522</f>
        <v>0.0169778149853495</v>
      </c>
      <c r="R511" s="1246">
        <f>R509/R$522</f>
        <v>0.0281346222699606</v>
      </c>
      <c r="S511" s="1246">
        <v>0.03</v>
      </c>
      <c r="T511" s="1246">
        <v>0.03</v>
      </c>
      <c r="U511" s="1246">
        <v>0.03</v>
      </c>
      <c r="V511" s="1246"/>
      <c r="W511" s="1246"/>
      <c r="X511" s="1246"/>
      <c r="Y511" s="1246"/>
      <c r="Z511" s="1246"/>
      <c r="AA511" s="1246"/>
      <c r="AB511" s="1246"/>
      <c r="AC511" s="1246"/>
      <c r="AD511" s="1246"/>
      <c r="AE511" s="1246"/>
      <c r="AF511" s="1717"/>
      <c r="AG511" s="1246"/>
      <c r="AH511" s="1246"/>
      <c r="AI511" s="1246"/>
      <c r="AJ511" s="1246"/>
      <c r="AK511" s="1246"/>
      <c r="AL511" s="1246"/>
      <c r="AM511" s="1246"/>
    </row>
    <row r="512" customHeight="1" spans="1:42">
      <c r="A512" s="2068" t="s">
        <v>233</v>
      </c>
      <c r="B512" s="2063"/>
      <c r="C512" s="2063"/>
      <c r="D512" s="2063"/>
      <c r="E512" s="2063"/>
      <c r="F512" s="2063"/>
      <c r="G512" s="2063"/>
      <c r="H512" s="2063"/>
      <c r="I512" s="2063"/>
      <c r="J512" s="2063"/>
      <c r="K512" s="2063"/>
      <c r="L512" s="2064"/>
      <c r="M512" s="2064"/>
      <c r="N512" s="2064"/>
      <c r="O512" s="2069"/>
      <c r="P512" s="2069">
        <f t="shared" ref="P512:U512" si="820">P509/AVERAGE(O535:P535)</f>
        <v>0.223761156755069</v>
      </c>
      <c r="Q512" s="2069">
        <f t="shared" si="820"/>
        <v>0.185629290617849</v>
      </c>
      <c r="R512" s="2069">
        <f t="shared" si="820"/>
        <v>0.322049180327869</v>
      </c>
      <c r="S512" s="2069">
        <f t="shared" si="820"/>
        <v>0.352578397212544</v>
      </c>
      <c r="T512" s="2069">
        <f t="shared" si="820"/>
        <v>0.357098445595855</v>
      </c>
      <c r="U512" s="2069">
        <f t="shared" si="820"/>
        <v>0.372132973297267</v>
      </c>
      <c r="V512" s="2069"/>
      <c r="W512" s="2069"/>
      <c r="X512" s="2069"/>
      <c r="Y512" s="2069"/>
      <c r="Z512" s="2069"/>
      <c r="AA512" s="2069"/>
      <c r="AB512" s="2069"/>
      <c r="AC512" s="2069"/>
      <c r="AD512" s="2069"/>
      <c r="AE512" s="2069"/>
      <c r="AF512" s="2070"/>
      <c r="AG512" s="2069"/>
      <c r="AH512" s="2069"/>
      <c r="AI512" s="2069"/>
      <c r="AJ512" s="2069"/>
      <c r="AK512" s="2069"/>
      <c r="AL512" s="2069"/>
      <c r="AM512" s="1246"/>
      <c r="AN512" s="1246"/>
      <c r="AO512" s="1246"/>
      <c r="AP512" s="1246"/>
    </row>
    <row r="513" customHeight="1" spans="1:47">
      <c r="A513" s="2068" t="s">
        <v>61</v>
      </c>
      <c r="B513" s="2063"/>
      <c r="C513" s="2063"/>
      <c r="D513" s="2063"/>
      <c r="E513" s="2063"/>
      <c r="F513" s="2063"/>
      <c r="G513" s="2063"/>
      <c r="H513" s="2063"/>
      <c r="I513" s="2063"/>
      <c r="J513" s="2063"/>
      <c r="K513" s="2063"/>
      <c r="L513" s="2064"/>
      <c r="M513" s="2064"/>
      <c r="N513" s="2064"/>
      <c r="O513" s="1246"/>
      <c r="P513" s="1246"/>
      <c r="Q513" s="1246">
        <f>Q512/P512-1</f>
        <v>-0.170413250852826</v>
      </c>
      <c r="R513" s="1246">
        <f>R512/Q512-1</f>
        <v>0.734904977851069</v>
      </c>
      <c r="S513" s="1246">
        <f>S512/R512-1</f>
        <v>0.0947967538796219</v>
      </c>
      <c r="T513" s="1246">
        <f>T512/S512-1</f>
        <v>0.0128199810851899</v>
      </c>
      <c r="U513" s="1246">
        <f>U512/T512-1</f>
        <v>0.0421019130350053</v>
      </c>
      <c r="V513" s="1246"/>
      <c r="W513" s="1246"/>
      <c r="X513" s="1246"/>
      <c r="Y513" s="1246"/>
      <c r="Z513" s="1246"/>
      <c r="AA513" s="1246"/>
      <c r="AB513" s="1246"/>
      <c r="AC513" s="1246"/>
      <c r="AD513" s="1246"/>
      <c r="AE513" s="1246"/>
      <c r="AF513" s="1717"/>
      <c r="AG513" s="1246"/>
      <c r="AH513" s="1246"/>
      <c r="AI513" s="1246"/>
      <c r="AJ513" s="1246"/>
      <c r="AK513" s="1246"/>
      <c r="AL513" s="1246"/>
      <c r="AM513" s="1246"/>
      <c r="AN513" s="1246"/>
      <c r="AO513" s="1246"/>
    </row>
    <row r="514" customHeight="1" spans="1:47">
      <c r="A514" s="2062" t="s">
        <v>236</v>
      </c>
      <c r="B514" s="2063"/>
      <c r="C514" s="2063"/>
      <c r="D514" s="2063"/>
      <c r="E514" s="2063"/>
      <c r="F514" s="2063"/>
      <c r="G514" s="2063"/>
      <c r="H514" s="2063"/>
      <c r="I514" s="2063"/>
      <c r="J514" s="2063"/>
      <c r="K514" s="2063"/>
      <c r="L514" s="2064"/>
      <c r="M514" s="2064"/>
      <c r="N514" s="2064"/>
      <c r="O514" s="1246"/>
      <c r="P514" s="2066">
        <f t="shared" ref="P514:U514" si="821">P504+P509</f>
        <v>1056.83420118343</v>
      </c>
      <c r="Q514" s="2066">
        <f t="shared" si="821"/>
        <v>1235.06</v>
      </c>
      <c r="R514" s="2066">
        <f t="shared" si="821"/>
        <v>1391.29</v>
      </c>
      <c r="S514" s="2066">
        <f t="shared" si="821"/>
        <v>1619.04</v>
      </c>
      <c r="T514" s="2066">
        <f t="shared" si="821"/>
        <v>1619.62</v>
      </c>
      <c r="U514" s="2066">
        <f t="shared" si="821"/>
        <v>1719.25433663337</v>
      </c>
      <c r="V514" s="2066">
        <f t="shared" ref="V514:AA514" si="822">V522-V499-V519</f>
        <v>1744.18581011413</v>
      </c>
      <c r="W514" s="2066">
        <f t="shared" si="822"/>
        <v>2147.97056427502</v>
      </c>
      <c r="X514" s="2066">
        <f t="shared" si="822"/>
        <v>2374.83009317866</v>
      </c>
      <c r="Y514" s="2066">
        <f t="shared" si="822"/>
        <v>2416.62865070803</v>
      </c>
      <c r="Z514" s="2066">
        <f t="shared" si="822"/>
        <v>2934.23144417351</v>
      </c>
      <c r="AA514" s="2066">
        <f t="shared" si="822"/>
        <v>1788.24166544792</v>
      </c>
      <c r="AB514" s="2066">
        <f t="shared" ref="AB514:AG514" si="823">AB522-AB499-AB519</f>
        <v>2031.55205535916</v>
      </c>
      <c r="AC514" s="2066">
        <f t="shared" si="823"/>
        <v>2114.00791640225</v>
      </c>
      <c r="AD514" s="2066">
        <f t="shared" si="823"/>
        <v>2205.89433143593</v>
      </c>
      <c r="AE514" s="2066">
        <f t="shared" si="823"/>
        <v>2751.33057373799</v>
      </c>
      <c r="AF514" s="2067">
        <f t="shared" si="823"/>
        <v>2644.50710324188</v>
      </c>
      <c r="AG514" s="2066">
        <f t="shared" si="823"/>
        <v>2904.98188592315</v>
      </c>
      <c r="AH514" s="2066">
        <f t="shared" ref="AH514" si="824">AH522-AH499-AH519</f>
        <v>3203.85528024482</v>
      </c>
      <c r="AI514" s="2066">
        <f t="shared" ref="AI514:AJ514" si="825">AI522-AI499-AI519</f>
        <v>3479.7678629996</v>
      </c>
      <c r="AJ514" s="2066">
        <f t="shared" si="825"/>
        <v>3779.34204909631</v>
      </c>
      <c r="AK514" s="2066">
        <f t="shared" ref="AK514" si="826">AK522-AK499-AK519</f>
        <v>4103.91037488923</v>
      </c>
      <c r="AL514" s="2066"/>
      <c r="AM514" s="1246"/>
      <c r="AN514" s="1246"/>
      <c r="AO514" s="1246"/>
    </row>
    <row r="515" customHeight="1" spans="1:47">
      <c r="A515" s="2068" t="s">
        <v>61</v>
      </c>
      <c r="B515" s="2063"/>
      <c r="C515" s="2063"/>
      <c r="D515" s="2063"/>
      <c r="E515" s="2063"/>
      <c r="F515" s="2063"/>
      <c r="G515" s="2063"/>
      <c r="H515" s="2063"/>
      <c r="I515" s="2063"/>
      <c r="J515" s="2063"/>
      <c r="K515" s="2063"/>
      <c r="L515" s="2064"/>
      <c r="M515" s="2064"/>
      <c r="N515" s="2064"/>
      <c r="O515" s="1246"/>
      <c r="P515" s="1246"/>
      <c r="Q515" s="1246">
        <f t="shared" ref="Q515:AK515" si="827">Q514/P514-1</f>
        <v>0.168641210340271</v>
      </c>
      <c r="R515" s="1246">
        <f t="shared" si="827"/>
        <v>0.126495878742733</v>
      </c>
      <c r="S515" s="1246">
        <f t="shared" si="827"/>
        <v>0.163697000625319</v>
      </c>
      <c r="T515" s="1246">
        <f t="shared" si="827"/>
        <v>0.000358236979938642</v>
      </c>
      <c r="U515" s="1246">
        <f t="shared" si="827"/>
        <v>0.0615171068728309</v>
      </c>
      <c r="V515" s="1246">
        <f t="shared" si="827"/>
        <v>0.014501329413293</v>
      </c>
      <c r="W515" s="1246">
        <f t="shared" si="827"/>
        <v>0.231503290428946</v>
      </c>
      <c r="X515" s="1246">
        <f t="shared" si="827"/>
        <v>0.105615753156377</v>
      </c>
      <c r="Y515" s="1246">
        <f t="shared" si="827"/>
        <v>0.0176006517895448</v>
      </c>
      <c r="Z515" s="1246">
        <f t="shared" si="827"/>
        <v>0.214183835532131</v>
      </c>
      <c r="AA515" s="1246">
        <f t="shared" si="827"/>
        <v>-0.390558754661693</v>
      </c>
      <c r="AB515" s="1246">
        <f t="shared" si="827"/>
        <v>0.136061246425714</v>
      </c>
      <c r="AC515" s="1246">
        <f t="shared" si="827"/>
        <v>0.0405876191188748</v>
      </c>
      <c r="AD515" s="1246">
        <f t="shared" si="827"/>
        <v>0.0434655018653176</v>
      </c>
      <c r="AE515" s="1246">
        <f t="shared" si="827"/>
        <v>0.247263087142989</v>
      </c>
      <c r="AF515" s="1717">
        <f t="shared" si="827"/>
        <v>-0.0388261125419703</v>
      </c>
      <c r="AG515" s="1246">
        <f t="shared" si="827"/>
        <v>0.0984965335740493</v>
      </c>
      <c r="AH515" s="1246">
        <f t="shared" si="827"/>
        <v>0.102883049209339</v>
      </c>
      <c r="AI515" s="1246">
        <f t="shared" si="827"/>
        <v>0.0861189281725887</v>
      </c>
      <c r="AJ515" s="1246">
        <f t="shared" si="827"/>
        <v>0.0860902789758153</v>
      </c>
      <c r="AK515" s="1246">
        <f t="shared" si="827"/>
        <v>0.0858795847469076</v>
      </c>
      <c r="AL515" s="1246"/>
      <c r="AM515" s="1246"/>
      <c r="AN515" s="1246"/>
      <c r="AO515" s="1246"/>
      <c r="AQ515" s="1821"/>
      <c r="AR515" s="1821"/>
      <c r="AS515" s="1821"/>
      <c r="AT515" s="1821"/>
      <c r="AU515" s="1821"/>
    </row>
    <row r="516" customHeight="1" spans="1:47">
      <c r="A516" s="2068" t="s">
        <v>232</v>
      </c>
      <c r="B516" s="2063"/>
      <c r="C516" s="2063"/>
      <c r="D516" s="2063"/>
      <c r="E516" s="2063"/>
      <c r="F516" s="2063"/>
      <c r="G516" s="2063"/>
      <c r="H516" s="2063"/>
      <c r="I516" s="2063"/>
      <c r="J516" s="2063"/>
      <c r="K516" s="2063"/>
      <c r="L516" s="2064"/>
      <c r="M516" s="2064"/>
      <c r="N516" s="2064"/>
      <c r="O516" s="1246"/>
      <c r="P516" s="1246">
        <f t="shared" ref="P516:U516" si="828">P514/P$522</f>
        <v>0.554477545216911</v>
      </c>
      <c r="Q516" s="1246">
        <f t="shared" si="828"/>
        <v>0.516977814985349</v>
      </c>
      <c r="R516" s="1246">
        <f t="shared" si="828"/>
        <v>0.498134622269961</v>
      </c>
      <c r="S516" s="1246">
        <f t="shared" si="828"/>
        <v>0.48</v>
      </c>
      <c r="T516" s="1246">
        <f t="shared" si="828"/>
        <v>0.47</v>
      </c>
      <c r="U516" s="1246">
        <f t="shared" si="828"/>
        <v>0.45</v>
      </c>
      <c r="V516" s="1246">
        <f t="shared" ref="V516:AA516" si="829">V514/V$522</f>
        <v>0.413216254469113</v>
      </c>
      <c r="W516" s="1246">
        <f t="shared" si="829"/>
        <v>0.429336510948436</v>
      </c>
      <c r="X516" s="1246">
        <f t="shared" si="829"/>
        <v>0.405261108050966</v>
      </c>
      <c r="Y516" s="1246">
        <f t="shared" si="829"/>
        <v>0.372476672427255</v>
      </c>
      <c r="Z516" s="1246">
        <f t="shared" si="829"/>
        <v>0.375509527025021</v>
      </c>
      <c r="AA516" s="1246">
        <f t="shared" si="829"/>
        <v>0.219928872887458</v>
      </c>
      <c r="AB516" s="1246">
        <f t="shared" ref="AB516:AG516" si="830">AB514/AB$522</f>
        <v>0.244942464243061</v>
      </c>
      <c r="AC516" s="1246">
        <f t="shared" si="830"/>
        <v>0.239195283593827</v>
      </c>
      <c r="AD516" s="1246">
        <f t="shared" si="830"/>
        <v>0.253930508971558</v>
      </c>
      <c r="AE516" s="1246">
        <f t="shared" si="830"/>
        <v>0.28991892241707</v>
      </c>
      <c r="AF516" s="1717">
        <f t="shared" si="830"/>
        <v>0.26628809820178</v>
      </c>
      <c r="AG516" s="1246">
        <f t="shared" si="830"/>
        <v>0.273842575649858</v>
      </c>
      <c r="AH516" s="1246">
        <f t="shared" ref="AH516" si="831">AH514/AH$522</f>
        <v>0.280141281604361</v>
      </c>
      <c r="AI516" s="1246">
        <f t="shared" ref="AI516:AJ516" si="832">AI514/AI$522</f>
        <v>0.284361447208434</v>
      </c>
      <c r="AJ516" s="1246">
        <f t="shared" si="832"/>
        <v>0.288637573391191</v>
      </c>
      <c r="AK516" s="1246">
        <f t="shared" ref="AK516" si="833">AK514/AK$522</f>
        <v>0.292921166669516</v>
      </c>
      <c r="AL516" s="1246"/>
      <c r="AM516" s="1246"/>
      <c r="AN516" s="1246"/>
      <c r="AO516" s="1246"/>
      <c r="AT516" s="1688"/>
    </row>
    <row r="517" customHeight="1" spans="1:47">
      <c r="A517" s="2068" t="s">
        <v>233</v>
      </c>
      <c r="B517" s="2063"/>
      <c r="C517" s="2063"/>
      <c r="D517" s="2063"/>
      <c r="E517" s="2063"/>
      <c r="F517" s="2063"/>
      <c r="G517" s="2063"/>
      <c r="H517" s="2063"/>
      <c r="I517" s="2063"/>
      <c r="J517" s="2063"/>
      <c r="K517" s="2063"/>
      <c r="L517" s="2064"/>
      <c r="M517" s="2064"/>
      <c r="N517" s="2064"/>
      <c r="O517" s="1246"/>
      <c r="P517" s="2069">
        <f t="shared" ref="P517:U517" si="834">P514/AVERAGE((P534+P535),(O534+O535))</f>
        <v>1.14067371957197</v>
      </c>
      <c r="Q517" s="2069">
        <f t="shared" si="834"/>
        <v>1.28853416797079</v>
      </c>
      <c r="R517" s="2069">
        <f t="shared" si="834"/>
        <v>1.42916281458654</v>
      </c>
      <c r="S517" s="2069">
        <f t="shared" si="834"/>
        <v>1.5888518155054</v>
      </c>
      <c r="T517" s="2069">
        <f t="shared" si="834"/>
        <v>1.5513601532567</v>
      </c>
      <c r="U517" s="2069">
        <f t="shared" si="834"/>
        <v>1.53094776191752</v>
      </c>
      <c r="V517" s="2069">
        <f t="shared" ref="V517:AK517" si="835">V514/AVERAGE((V537-V533),(U537-U533))</f>
        <v>1.48821314856154</v>
      </c>
      <c r="W517" s="2069">
        <f t="shared" si="835"/>
        <v>1.79446162428991</v>
      </c>
      <c r="X517" s="2069">
        <f t="shared" si="835"/>
        <v>2.03498722637417</v>
      </c>
      <c r="Y517" s="2069">
        <f t="shared" si="835"/>
        <v>2.26488158454361</v>
      </c>
      <c r="Z517" s="2069">
        <f t="shared" si="835"/>
        <v>3.03436550586713</v>
      </c>
      <c r="AA517" s="2069">
        <f t="shared" si="835"/>
        <v>2.06256247456508</v>
      </c>
      <c r="AB517" s="2069">
        <f t="shared" si="835"/>
        <v>2.64869889877335</v>
      </c>
      <c r="AC517" s="2069">
        <f t="shared" si="835"/>
        <v>3.16942716102286</v>
      </c>
      <c r="AD517" s="2069">
        <f t="shared" si="835"/>
        <v>3.89046619300869</v>
      </c>
      <c r="AE517" s="2069">
        <f t="shared" si="835"/>
        <v>5.8915001578972</v>
      </c>
      <c r="AF517" s="2070">
        <f t="shared" si="835"/>
        <v>7.20574142572719</v>
      </c>
      <c r="AG517" s="2069">
        <f t="shared" si="835"/>
        <v>10.8800819697496</v>
      </c>
      <c r="AH517" s="2069">
        <f t="shared" si="835"/>
        <v>19.1847621571546</v>
      </c>
      <c r="AI517" s="2069">
        <f t="shared" si="835"/>
        <v>51.9368337761134</v>
      </c>
      <c r="AJ517" s="2069">
        <f t="shared" si="835"/>
        <v>-114.525516639282</v>
      </c>
      <c r="AK517" s="2069">
        <f t="shared" si="835"/>
        <v>-30.8564689841295</v>
      </c>
      <c r="AL517" s="2069"/>
      <c r="AM517" s="1246"/>
      <c r="AN517" s="1246"/>
      <c r="AO517" s="1246"/>
      <c r="AP517" s="1246"/>
    </row>
    <row r="518" customHeight="1" spans="1:47">
      <c r="A518" s="2068" t="s">
        <v>61</v>
      </c>
      <c r="B518" s="2063"/>
      <c r="C518" s="2063"/>
      <c r="D518" s="2063"/>
      <c r="E518" s="2063"/>
      <c r="F518" s="2063"/>
      <c r="G518" s="2063"/>
      <c r="H518" s="2063"/>
      <c r="I518" s="2063"/>
      <c r="J518" s="2063"/>
      <c r="K518" s="2063"/>
      <c r="L518" s="2064"/>
      <c r="M518" s="2064"/>
      <c r="N518" s="2064"/>
      <c r="O518" s="1246"/>
      <c r="P518" s="1246"/>
      <c r="Q518" s="1246">
        <f t="shared" ref="Q518:AK518" si="836">Q517/P517-1</f>
        <v>0.129625541346126</v>
      </c>
      <c r="R518" s="1246">
        <f t="shared" si="836"/>
        <v>0.109138469208947</v>
      </c>
      <c r="S518" s="1246">
        <f t="shared" si="836"/>
        <v>0.111736045249017</v>
      </c>
      <c r="T518" s="1246">
        <f t="shared" si="836"/>
        <v>-0.02359670164506</v>
      </c>
      <c r="U518" s="1246">
        <f t="shared" si="836"/>
        <v>-0.0131577385794877</v>
      </c>
      <c r="V518" s="1246">
        <f t="shared" si="836"/>
        <v>-0.0279138285570579</v>
      </c>
      <c r="W518" s="1246">
        <f t="shared" si="836"/>
        <v>0.205782670328091</v>
      </c>
      <c r="X518" s="1246">
        <f t="shared" si="836"/>
        <v>0.13403775195217</v>
      </c>
      <c r="Y518" s="1246">
        <f t="shared" si="836"/>
        <v>0.112970909689221</v>
      </c>
      <c r="Z518" s="1246">
        <f t="shared" si="836"/>
        <v>0.339745762681266</v>
      </c>
      <c r="AA518" s="1246">
        <f t="shared" si="836"/>
        <v>-0.320265646779536</v>
      </c>
      <c r="AB518" s="1246">
        <f t="shared" si="836"/>
        <v>0.284178749219157</v>
      </c>
      <c r="AC518" s="1246">
        <f t="shared" si="836"/>
        <v>0.196597756917807</v>
      </c>
      <c r="AD518" s="1246">
        <f t="shared" si="836"/>
        <v>0.22749821824368</v>
      </c>
      <c r="AE518" s="1246">
        <f t="shared" si="836"/>
        <v>0.5143429773235</v>
      </c>
      <c r="AF518" s="1717">
        <f t="shared" si="836"/>
        <v>0.223074129272207</v>
      </c>
      <c r="AG518" s="1246">
        <f t="shared" si="836"/>
        <v>0.509918456260959</v>
      </c>
      <c r="AH518" s="1246">
        <f t="shared" si="836"/>
        <v>0.763292060711937</v>
      </c>
      <c r="AI518" s="1246">
        <f t="shared" si="836"/>
        <v>1.70719195529586</v>
      </c>
      <c r="AJ518" s="1246">
        <f t="shared" si="836"/>
        <v>-3.20509238458726</v>
      </c>
      <c r="AK518" s="1246">
        <f t="shared" si="836"/>
        <v>-0.730571230852271</v>
      </c>
      <c r="AL518" s="1246"/>
      <c r="AM518" s="1246"/>
      <c r="AN518" s="1246"/>
      <c r="AO518" s="1246"/>
      <c r="AR518" s="1736"/>
      <c r="AS518" s="1736"/>
      <c r="AT518" s="1736"/>
    </row>
    <row r="519" customHeight="1" spans="1:47">
      <c r="A519" s="2062" t="s">
        <v>237</v>
      </c>
      <c r="B519" s="2063"/>
      <c r="C519" s="2063"/>
      <c r="D519" s="2063"/>
      <c r="E519" s="2063"/>
      <c r="F519" s="2063"/>
      <c r="G519" s="2063"/>
      <c r="H519" s="2063"/>
      <c r="I519" s="2063"/>
      <c r="J519" s="2063"/>
      <c r="K519" s="2063"/>
      <c r="L519" s="2064"/>
      <c r="M519" s="2064"/>
      <c r="N519" s="2064"/>
      <c r="O519" s="2066"/>
      <c r="P519" s="2066">
        <f t="shared" ref="P519:AA519" si="837">P21</f>
        <v>29.585798816568</v>
      </c>
      <c r="Q519" s="2066">
        <f t="shared" si="837"/>
        <v>55</v>
      </c>
      <c r="R519" s="2066">
        <f t="shared" si="837"/>
        <v>89</v>
      </c>
      <c r="S519" s="2066">
        <f t="shared" si="837"/>
        <v>158</v>
      </c>
      <c r="T519" s="2066">
        <f t="shared" si="837"/>
        <v>250</v>
      </c>
      <c r="U519" s="2066">
        <f t="shared" si="837"/>
        <v>422</v>
      </c>
      <c r="V519" s="2066">
        <f t="shared" si="837"/>
        <v>627.75106103351</v>
      </c>
      <c r="W519" s="2066">
        <f t="shared" si="837"/>
        <v>1000.51505944085</v>
      </c>
      <c r="X519" s="2066">
        <f t="shared" si="837"/>
        <v>1510.72808703854</v>
      </c>
      <c r="Y519" s="2066">
        <f t="shared" si="837"/>
        <v>1977.00208601049</v>
      </c>
      <c r="Z519" s="2066">
        <f t="shared" si="837"/>
        <v>2665.47184904633</v>
      </c>
      <c r="AA519" s="2066">
        <f t="shared" si="837"/>
        <v>4008.53418427324</v>
      </c>
      <c r="AB519" s="2066">
        <f t="shared" ref="AB519:AG519" si="838">AB21</f>
        <v>3808.29331720076</v>
      </c>
      <c r="AC519" s="2066">
        <f t="shared" si="838"/>
        <v>4149.91304632156</v>
      </c>
      <c r="AD519" s="2066">
        <f t="shared" si="838"/>
        <v>3787.0991877892</v>
      </c>
      <c r="AE519" s="2066">
        <f t="shared" si="838"/>
        <v>3924.73550198845</v>
      </c>
      <c r="AF519" s="2067">
        <f t="shared" si="838"/>
        <v>4352.63152898589</v>
      </c>
      <c r="AG519" s="2066">
        <f t="shared" si="838"/>
        <v>4649.4478350386</v>
      </c>
      <c r="AH519" s="2066">
        <f t="shared" ref="AH519" si="839">AH21</f>
        <v>5058.99811975561</v>
      </c>
      <c r="AI519" s="2066">
        <f t="shared" ref="AI519:AJ519" si="840">AI21</f>
        <v>5463.71796933606</v>
      </c>
      <c r="AJ519" s="2066">
        <f t="shared" si="840"/>
        <v>5900.81540688294</v>
      </c>
      <c r="AK519" s="2066">
        <f t="shared" ref="AK519" si="841">AK21</f>
        <v>6372.88063943358</v>
      </c>
      <c r="AL519" s="2066"/>
      <c r="AM519" s="1246"/>
      <c r="AN519" s="1246"/>
      <c r="AO519" s="1246"/>
    </row>
    <row r="520" customHeight="1" spans="1:47">
      <c r="A520" s="2068" t="s">
        <v>61</v>
      </c>
      <c r="B520" s="2063"/>
      <c r="C520" s="2063"/>
      <c r="D520" s="2063"/>
      <c r="E520" s="2063"/>
      <c r="F520" s="2063"/>
      <c r="G520" s="2063"/>
      <c r="H520" s="2063"/>
      <c r="I520" s="2063"/>
      <c r="J520" s="2063"/>
      <c r="K520" s="2063"/>
      <c r="L520" s="2064"/>
      <c r="M520" s="2064"/>
      <c r="N520" s="2064"/>
      <c r="O520" s="1246"/>
      <c r="P520" s="1246"/>
      <c r="Q520" s="1246">
        <f t="shared" ref="Q520:AK520" si="842">Q519/P519-1</f>
        <v>0.859</v>
      </c>
      <c r="R520" s="1246">
        <f t="shared" si="842"/>
        <v>0.618181818181818</v>
      </c>
      <c r="S520" s="1246">
        <f t="shared" si="842"/>
        <v>0.775280898876404</v>
      </c>
      <c r="T520" s="1246">
        <f t="shared" si="842"/>
        <v>0.582278481012658</v>
      </c>
      <c r="U520" s="1246">
        <f t="shared" si="842"/>
        <v>0.688</v>
      </c>
      <c r="V520" s="1246">
        <f t="shared" si="842"/>
        <v>0.487561756003578</v>
      </c>
      <c r="W520" s="1246">
        <f t="shared" si="842"/>
        <v>0.593808631392255</v>
      </c>
      <c r="X520" s="1246">
        <f t="shared" si="842"/>
        <v>0.509950372843786</v>
      </c>
      <c r="Y520" s="1246">
        <f t="shared" si="842"/>
        <v>0.30864190781412</v>
      </c>
      <c r="Z520" s="1246">
        <f t="shared" si="842"/>
        <v>0.348239269906457</v>
      </c>
      <c r="AA520" s="1246">
        <f t="shared" si="842"/>
        <v>0.503874139847865</v>
      </c>
      <c r="AB520" s="1246">
        <f t="shared" si="842"/>
        <v>-0.049953638379359</v>
      </c>
      <c r="AC520" s="1246">
        <f t="shared" si="842"/>
        <v>0.0897041537157393</v>
      </c>
      <c r="AD520" s="1246">
        <f t="shared" si="842"/>
        <v>-0.0874268579805427</v>
      </c>
      <c r="AE520" s="1246">
        <f t="shared" si="842"/>
        <v>0.036343466958308</v>
      </c>
      <c r="AF520" s="1717">
        <f t="shared" si="842"/>
        <v>0.109025443059957</v>
      </c>
      <c r="AG520" s="1246">
        <f t="shared" si="842"/>
        <v>0.0681923806497495</v>
      </c>
      <c r="AH520" s="1246">
        <f t="shared" si="842"/>
        <v>0.0880857898072562</v>
      </c>
      <c r="AI520" s="1246">
        <f t="shared" si="842"/>
        <v>0.0800000000000001</v>
      </c>
      <c r="AJ520" s="1246">
        <f t="shared" si="842"/>
        <v>0.0800000000000001</v>
      </c>
      <c r="AK520" s="1246">
        <f t="shared" si="842"/>
        <v>0.0800000000000001</v>
      </c>
      <c r="AL520" s="1246"/>
      <c r="AM520" s="1246"/>
      <c r="AN520" s="1246"/>
      <c r="AO520" s="1246"/>
    </row>
    <row r="521" customHeight="1" spans="1:47">
      <c r="A521" s="2068" t="s">
        <v>232</v>
      </c>
      <c r="B521" s="2063"/>
      <c r="C521" s="2063"/>
      <c r="D521" s="2063"/>
      <c r="E521" s="2063"/>
      <c r="F521" s="2063"/>
      <c r="G521" s="2063"/>
      <c r="H521" s="2063"/>
      <c r="I521" s="2063"/>
      <c r="J521" s="2063"/>
      <c r="K521" s="2063"/>
      <c r="L521" s="2064"/>
      <c r="M521" s="2064"/>
      <c r="N521" s="2064"/>
      <c r="O521" s="1246"/>
      <c r="P521" s="1246">
        <f t="shared" ref="P521:U521" si="843">P519/P$522</f>
        <v>0.0155224547830892</v>
      </c>
      <c r="Q521" s="1246">
        <f t="shared" si="843"/>
        <v>0.0230221850146505</v>
      </c>
      <c r="R521" s="1246">
        <f t="shared" si="843"/>
        <v>0.0318653777300394</v>
      </c>
      <c r="S521" s="1246">
        <f t="shared" si="843"/>
        <v>0.0468425733768159</v>
      </c>
      <c r="T521" s="1246">
        <f t="shared" si="843"/>
        <v>0.0725478816018572</v>
      </c>
      <c r="U521" s="1246">
        <f t="shared" si="843"/>
        <v>0.110454861711654</v>
      </c>
      <c r="V521" s="1246">
        <f t="shared" ref="V521:AA521" si="844">V519/V$522</f>
        <v>0.148720933672947</v>
      </c>
      <c r="W521" s="1246">
        <f t="shared" si="844"/>
        <v>0.199983022074926</v>
      </c>
      <c r="X521" s="1246">
        <f t="shared" si="844"/>
        <v>0.257803427822277</v>
      </c>
      <c r="Y521" s="1246">
        <f t="shared" si="844"/>
        <v>0.304716721025045</v>
      </c>
      <c r="Z521" s="1246">
        <f t="shared" si="844"/>
        <v>0.341114902616628</v>
      </c>
      <c r="AA521" s="1246">
        <f t="shared" si="844"/>
        <v>0.492993996344022</v>
      </c>
      <c r="AB521" s="1246">
        <f t="shared" ref="AB521:AG521" si="845">AB519/AB$522</f>
        <v>0.459162612749601</v>
      </c>
      <c r="AC521" s="1246">
        <f t="shared" si="845"/>
        <v>0.469553410989088</v>
      </c>
      <c r="AD521" s="1246">
        <f t="shared" si="845"/>
        <v>0.435950177021895</v>
      </c>
      <c r="AE521" s="1246">
        <f t="shared" si="845"/>
        <v>0.413565384824916</v>
      </c>
      <c r="AF521" s="1717">
        <f t="shared" si="845"/>
        <v>0.438287335513633</v>
      </c>
      <c r="AG521" s="1246">
        <f t="shared" si="845"/>
        <v>0.438287335513633</v>
      </c>
      <c r="AH521" s="1246">
        <f t="shared" ref="AH521" si="846">AH519/AH$522</f>
        <v>0.442352757205092</v>
      </c>
      <c r="AI521" s="1246">
        <f t="shared" ref="AI521:AJ521" si="847">AI519/AI$522</f>
        <v>0.446486895122897</v>
      </c>
      <c r="AJ521" s="1246">
        <f t="shared" si="847"/>
        <v>0.450659669843671</v>
      </c>
      <c r="AK521" s="1246">
        <f t="shared" ref="AK521" si="848">AK519/AK$522</f>
        <v>0.454871442459033</v>
      </c>
      <c r="AL521" s="1246"/>
      <c r="AM521" s="1246"/>
      <c r="AN521" s="1246"/>
      <c r="AO521" s="1246"/>
    </row>
    <row r="522" customHeight="1" spans="1:47">
      <c r="A522" s="2062" t="s">
        <v>238</v>
      </c>
      <c r="B522" s="2063"/>
      <c r="C522" s="2063"/>
      <c r="D522" s="2063"/>
      <c r="E522" s="2063"/>
      <c r="F522" s="2063"/>
      <c r="G522" s="2063"/>
      <c r="H522" s="2063"/>
      <c r="I522" s="2063"/>
      <c r="J522" s="2063"/>
      <c r="K522" s="2063"/>
      <c r="L522" s="2064"/>
      <c r="M522" s="2064"/>
      <c r="N522" s="2064"/>
      <c r="O522" s="1246"/>
      <c r="P522" s="2066">
        <f t="shared" ref="P522:U522" si="849">P$10</f>
        <v>1906</v>
      </c>
      <c r="Q522" s="2066">
        <f t="shared" si="849"/>
        <v>2389</v>
      </c>
      <c r="R522" s="2066">
        <f t="shared" si="849"/>
        <v>2793</v>
      </c>
      <c r="S522" s="2066">
        <f t="shared" si="849"/>
        <v>3373</v>
      </c>
      <c r="T522" s="2066">
        <f t="shared" si="849"/>
        <v>3446</v>
      </c>
      <c r="U522" s="2066">
        <f t="shared" si="849"/>
        <v>3820.56519251861</v>
      </c>
      <c r="V522" s="2066">
        <f t="shared" ref="V522:AK522" si="850">V$10</f>
        <v>4221</v>
      </c>
      <c r="W522" s="2066">
        <f t="shared" si="850"/>
        <v>5003</v>
      </c>
      <c r="X522" s="2066">
        <f t="shared" si="850"/>
        <v>5860</v>
      </c>
      <c r="Y522" s="2066">
        <f t="shared" si="850"/>
        <v>6488</v>
      </c>
      <c r="Z522" s="2066">
        <f t="shared" si="850"/>
        <v>7814</v>
      </c>
      <c r="AA522" s="2066">
        <f t="shared" si="850"/>
        <v>8131.00000000001</v>
      </c>
      <c r="AB522" s="2066">
        <f t="shared" si="850"/>
        <v>8293.99696633744</v>
      </c>
      <c r="AC522" s="2066">
        <f t="shared" si="850"/>
        <v>8838</v>
      </c>
      <c r="AD522" s="2066">
        <f t="shared" si="850"/>
        <v>8687</v>
      </c>
      <c r="AE522" s="2066">
        <f t="shared" si="850"/>
        <v>9490</v>
      </c>
      <c r="AF522" s="2067">
        <f t="shared" si="850"/>
        <v>9931</v>
      </c>
      <c r="AG522" s="2066">
        <f t="shared" si="850"/>
        <v>10608.2185322327</v>
      </c>
      <c r="AH522" s="2066">
        <f t="shared" si="850"/>
        <v>11436.56965477</v>
      </c>
      <c r="AI522" s="2066">
        <f t="shared" si="850"/>
        <v>12237.1295306039</v>
      </c>
      <c r="AJ522" s="2066">
        <f t="shared" si="850"/>
        <v>13093.7285977462</v>
      </c>
      <c r="AK522" s="2066">
        <f t="shared" si="850"/>
        <v>14010.2895995884</v>
      </c>
      <c r="AL522" s="2066"/>
      <c r="AM522" s="1246"/>
      <c r="AN522" s="1246"/>
      <c r="AO522" s="1246"/>
    </row>
    <row r="523" customHeight="1" spans="1:47">
      <c r="A523" s="2068" t="s">
        <v>61</v>
      </c>
      <c r="B523" s="2063"/>
      <c r="C523" s="2063"/>
      <c r="D523" s="2063"/>
      <c r="E523" s="2063"/>
      <c r="F523" s="2063"/>
      <c r="G523" s="2063"/>
      <c r="H523" s="2063"/>
      <c r="I523" s="2063"/>
      <c r="J523" s="2063"/>
      <c r="K523" s="2063"/>
      <c r="L523" s="2064"/>
      <c r="M523" s="2064"/>
      <c r="N523" s="2064"/>
      <c r="O523" s="1246"/>
      <c r="P523" s="1246"/>
      <c r="Q523" s="1246">
        <f>Q522/P522-1</f>
        <v>0.253410283315845</v>
      </c>
      <c r="R523" s="1246">
        <f>R522/Q522-1</f>
        <v>0.16910841356216</v>
      </c>
      <c r="S523" s="1246">
        <f>S522/R522-1</f>
        <v>0.20766201217329</v>
      </c>
      <c r="T523" s="1246">
        <f>T522/S522-1</f>
        <v>0.0216424547880225</v>
      </c>
      <c r="U523" s="1246">
        <f>U522/T522-1</f>
        <v>0.108695644956068</v>
      </c>
      <c r="V523" s="1246">
        <f t="shared" ref="V523:AK523" si="851">V522/U522-1</f>
        <v>0.104810358494999</v>
      </c>
      <c r="W523" s="1246">
        <f t="shared" si="851"/>
        <v>0.185264155413409</v>
      </c>
      <c r="X523" s="1246">
        <f t="shared" si="851"/>
        <v>0.171297221667</v>
      </c>
      <c r="Y523" s="1246">
        <f t="shared" si="851"/>
        <v>0.10716723549488</v>
      </c>
      <c r="Z523" s="1246">
        <f t="shared" si="851"/>
        <v>0.204377311960543</v>
      </c>
      <c r="AA523" s="1246">
        <f t="shared" si="851"/>
        <v>0.0405682109035075</v>
      </c>
      <c r="AB523" s="1246">
        <f t="shared" si="851"/>
        <v>0.020046361620641</v>
      </c>
      <c r="AC523" s="1246">
        <f t="shared" si="851"/>
        <v>0.0655899725874618</v>
      </c>
      <c r="AD523" s="1246">
        <f t="shared" si="851"/>
        <v>-0.0170853134193256</v>
      </c>
      <c r="AE523" s="1246">
        <f t="shared" si="851"/>
        <v>0.0924369747899156</v>
      </c>
      <c r="AF523" s="1717">
        <f t="shared" si="851"/>
        <v>0.0464699683877765</v>
      </c>
      <c r="AG523" s="1246">
        <f t="shared" si="851"/>
        <v>0.0681923806497495</v>
      </c>
      <c r="AH523" s="1246">
        <f t="shared" si="851"/>
        <v>0.0780857898072562</v>
      </c>
      <c r="AI523" s="1246">
        <f t="shared" si="851"/>
        <v>0.0700000000000001</v>
      </c>
      <c r="AJ523" s="1246">
        <f t="shared" si="851"/>
        <v>0.0700000000000001</v>
      </c>
      <c r="AK523" s="1246">
        <f t="shared" si="851"/>
        <v>0.0700000000000001</v>
      </c>
      <c r="AL523" s="1246"/>
      <c r="AM523" s="1246"/>
      <c r="AN523" s="1246"/>
      <c r="AO523" s="1246"/>
    </row>
    <row r="524" customHeight="1" spans="1:47">
      <c r="A524" s="2068" t="s">
        <v>100</v>
      </c>
      <c r="B524" s="2063"/>
      <c r="C524" s="2063"/>
      <c r="D524" s="2063"/>
      <c r="E524" s="2063"/>
      <c r="F524" s="2063"/>
      <c r="G524" s="2063"/>
      <c r="H524" s="2063"/>
      <c r="I524" s="2063"/>
      <c r="J524" s="2063"/>
      <c r="K524" s="2063"/>
      <c r="L524" s="2064"/>
      <c r="M524" s="2064"/>
      <c r="N524" s="2064"/>
      <c r="O524" s="1246"/>
      <c r="P524" s="1246"/>
      <c r="Q524" s="1246">
        <f t="shared" ref="Q524:AA524" si="852">Q13</f>
        <v>0.178</v>
      </c>
      <c r="R524" s="1246">
        <f t="shared" si="852"/>
        <v>0.2</v>
      </c>
      <c r="S524" s="1246">
        <f t="shared" si="852"/>
        <v>0.137507697815968</v>
      </c>
      <c r="T524" s="1246">
        <f t="shared" si="852"/>
        <v>0.0811464571597984</v>
      </c>
      <c r="U524" s="1246">
        <f t="shared" si="852"/>
        <v>0.209</v>
      </c>
      <c r="V524" s="1246">
        <f t="shared" si="852"/>
        <v>0.11</v>
      </c>
      <c r="W524" s="1246">
        <f t="shared" si="852"/>
        <v>0.23</v>
      </c>
      <c r="X524" s="1246">
        <f t="shared" si="852"/>
        <v>0.17189886068359</v>
      </c>
      <c r="Y524" s="1246">
        <f t="shared" si="852"/>
        <v>0.149692832764505</v>
      </c>
      <c r="Z524" s="1246">
        <f t="shared" si="852"/>
        <v>0.186138042054086</v>
      </c>
      <c r="AA524" s="1246">
        <f t="shared" si="852"/>
        <v>0.0666940710556427</v>
      </c>
      <c r="AB524" s="1246">
        <f t="shared" ref="AB524:AG524" si="853">AB13</f>
        <v>0.11</v>
      </c>
      <c r="AC524" s="1246">
        <f t="shared" si="853"/>
        <v>0.02</v>
      </c>
      <c r="AD524" s="1246">
        <f t="shared" si="853"/>
        <v>0.03</v>
      </c>
      <c r="AE524" s="1246">
        <f t="shared" si="853"/>
        <v>0.11</v>
      </c>
      <c r="AF524" s="1717">
        <f t="shared" si="853"/>
        <v>0.14</v>
      </c>
      <c r="AG524" s="1246">
        <f t="shared" si="853"/>
        <v>0.08</v>
      </c>
      <c r="AH524" s="1246">
        <f t="shared" ref="AH524" si="854">AH13</f>
        <v>0.07</v>
      </c>
      <c r="AI524" s="1246">
        <f t="shared" ref="AI524:AJ524" si="855">AI13</f>
        <v>0.07</v>
      </c>
      <c r="AJ524" s="1246">
        <f t="shared" si="855"/>
        <v>0.07</v>
      </c>
      <c r="AK524" s="1246">
        <f t="shared" ref="AK524" si="856">AK13</f>
        <v>0.07</v>
      </c>
      <c r="AL524" s="1246"/>
      <c r="AM524" s="1246"/>
      <c r="AN524" s="1246"/>
      <c r="AO524" s="1246"/>
    </row>
    <row r="525" customHeight="1" spans="1:47">
      <c r="A525" s="2062" t="s">
        <v>239</v>
      </c>
      <c r="B525" s="2063"/>
      <c r="C525" s="2063"/>
      <c r="D525" s="2063"/>
      <c r="E525" s="2063"/>
      <c r="F525" s="2063"/>
      <c r="G525" s="2063"/>
      <c r="H525" s="2063"/>
      <c r="I525" s="2063"/>
      <c r="J525" s="2063"/>
      <c r="K525" s="2063"/>
      <c r="L525" s="2064"/>
      <c r="M525" s="2064"/>
      <c r="N525" s="2064"/>
      <c r="O525" s="1246"/>
      <c r="P525" s="2066">
        <f t="shared" ref="P525:U525" si="857">P522-P519</f>
        <v>1876.41420118343</v>
      </c>
      <c r="Q525" s="2066">
        <f t="shared" si="857"/>
        <v>2334</v>
      </c>
      <c r="R525" s="2066">
        <f t="shared" si="857"/>
        <v>2704</v>
      </c>
      <c r="S525" s="2066">
        <f t="shared" si="857"/>
        <v>3215</v>
      </c>
      <c r="T525" s="2066">
        <f t="shared" si="857"/>
        <v>3196</v>
      </c>
      <c r="U525" s="2066">
        <f t="shared" si="857"/>
        <v>3398.56519251861</v>
      </c>
      <c r="V525" s="2066">
        <f t="shared" ref="V525:AA525" si="858">V522-V519</f>
        <v>3593.24893896649</v>
      </c>
      <c r="W525" s="2066">
        <f t="shared" si="858"/>
        <v>4002.48494055915</v>
      </c>
      <c r="X525" s="2066">
        <f t="shared" si="858"/>
        <v>4349.27191296146</v>
      </c>
      <c r="Y525" s="2066">
        <f t="shared" si="858"/>
        <v>4510.99791398951</v>
      </c>
      <c r="Z525" s="2066">
        <f t="shared" si="858"/>
        <v>5148.52815095367</v>
      </c>
      <c r="AA525" s="2066">
        <f t="shared" si="858"/>
        <v>4122.46581572676</v>
      </c>
      <c r="AB525" s="2066">
        <f t="shared" ref="AB525:AG525" si="859">AB522-AB519</f>
        <v>4485.70364913668</v>
      </c>
      <c r="AC525" s="2066">
        <f t="shared" si="859"/>
        <v>4688.08695367844</v>
      </c>
      <c r="AD525" s="2066">
        <f t="shared" si="859"/>
        <v>4899.9008122108</v>
      </c>
      <c r="AE525" s="2066">
        <f t="shared" si="859"/>
        <v>5565.26449801155</v>
      </c>
      <c r="AF525" s="2067">
        <f t="shared" si="859"/>
        <v>5578.36847101411</v>
      </c>
      <c r="AG525" s="2066">
        <f t="shared" si="859"/>
        <v>5958.77069719407</v>
      </c>
      <c r="AH525" s="2066">
        <f t="shared" ref="AH525" si="860">AH522-AH519</f>
        <v>6377.57153501441</v>
      </c>
      <c r="AI525" s="2066">
        <f t="shared" ref="AI525:AJ525" si="861">AI522-AI519</f>
        <v>6773.41156126787</v>
      </c>
      <c r="AJ525" s="2066">
        <f t="shared" si="861"/>
        <v>7192.91319086326</v>
      </c>
      <c r="AK525" s="2066">
        <f t="shared" ref="AK525" si="862">AK522-AK519</f>
        <v>7637.40896015486</v>
      </c>
      <c r="AL525" s="2066"/>
      <c r="AM525" s="1246"/>
      <c r="AN525" s="1246"/>
      <c r="AO525" s="1246"/>
    </row>
    <row r="526" customHeight="1" spans="1:47">
      <c r="A526" s="2068" t="s">
        <v>61</v>
      </c>
      <c r="B526" s="2063"/>
      <c r="C526" s="2063"/>
      <c r="D526" s="2063"/>
      <c r="E526" s="2063"/>
      <c r="F526" s="2063"/>
      <c r="G526" s="2063"/>
      <c r="H526" s="2063"/>
      <c r="I526" s="2063"/>
      <c r="J526" s="2063"/>
      <c r="K526" s="2063"/>
      <c r="L526" s="2064"/>
      <c r="M526" s="2064"/>
      <c r="N526" s="2064"/>
      <c r="O526" s="1246"/>
      <c r="P526" s="1246"/>
      <c r="Q526" s="1246">
        <f t="shared" ref="Q526:AK526" si="863">Q525/P525-1</f>
        <v>0.243861828869113</v>
      </c>
      <c r="R526" s="1246">
        <f t="shared" si="863"/>
        <v>0.158526135389889</v>
      </c>
      <c r="S526" s="1246">
        <f t="shared" si="863"/>
        <v>0.188979289940828</v>
      </c>
      <c r="T526" s="1246">
        <f t="shared" si="863"/>
        <v>-0.00590979782270606</v>
      </c>
      <c r="U526" s="1246">
        <f t="shared" si="863"/>
        <v>0.0633808487229692</v>
      </c>
      <c r="V526" s="1246">
        <f t="shared" si="863"/>
        <v>0.05728409944186</v>
      </c>
      <c r="W526" s="1246">
        <f t="shared" si="863"/>
        <v>0.113890244885277</v>
      </c>
      <c r="X526" s="1246">
        <f t="shared" si="863"/>
        <v>0.0866429174756289</v>
      </c>
      <c r="Y526" s="1246">
        <f t="shared" si="863"/>
        <v>0.0371846148653254</v>
      </c>
      <c r="Z526" s="1246">
        <f t="shared" si="863"/>
        <v>0.141327983102598</v>
      </c>
      <c r="AA526" s="1246">
        <f t="shared" si="863"/>
        <v>-0.199292361844589</v>
      </c>
      <c r="AB526" s="1246">
        <f t="shared" si="863"/>
        <v>0.0881117878586655</v>
      </c>
      <c r="AC526" s="1246">
        <f t="shared" si="863"/>
        <v>0.0451174041737501</v>
      </c>
      <c r="AD526" s="1246">
        <f t="shared" si="863"/>
        <v>0.0451812990299079</v>
      </c>
      <c r="AE526" s="1246">
        <f t="shared" si="863"/>
        <v>0.135791256048005</v>
      </c>
      <c r="AF526" s="1717">
        <f t="shared" si="863"/>
        <v>0.00235460021841649</v>
      </c>
      <c r="AG526" s="1246">
        <f t="shared" si="863"/>
        <v>0.0681923806497495</v>
      </c>
      <c r="AH526" s="1246">
        <f t="shared" si="863"/>
        <v>0.0702830934604612</v>
      </c>
      <c r="AI526" s="1246">
        <f t="shared" si="863"/>
        <v>0.0620675164645659</v>
      </c>
      <c r="AJ526" s="1246">
        <f t="shared" si="863"/>
        <v>0.0619335804123007</v>
      </c>
      <c r="AK526" s="1246">
        <f t="shared" si="863"/>
        <v>0.0617963483635831</v>
      </c>
      <c r="AL526" s="1246"/>
      <c r="AM526" s="1246"/>
      <c r="AN526" s="1246"/>
      <c r="AO526" s="1246"/>
    </row>
    <row r="527" customHeight="1" spans="1:47">
      <c r="A527" s="2068" t="s">
        <v>100</v>
      </c>
      <c r="B527" s="2063"/>
      <c r="C527" s="2063"/>
      <c r="D527" s="2063"/>
      <c r="E527" s="2063"/>
      <c r="F527" s="2063"/>
      <c r="G527" s="2063"/>
      <c r="H527" s="2063"/>
      <c r="I527" s="2063"/>
      <c r="J527" s="2063"/>
      <c r="K527" s="2063"/>
      <c r="L527" s="2064"/>
      <c r="M527" s="2064"/>
      <c r="N527" s="2064"/>
      <c r="O527" s="1246"/>
      <c r="P527" s="1246"/>
      <c r="Q527" s="1246">
        <f t="shared" ref="Q527:AA527" si="864">Q18</f>
        <v>0.168372834669276</v>
      </c>
      <c r="R527" s="1246">
        <f t="shared" si="864"/>
        <v>0.189702090359504</v>
      </c>
      <c r="S527" s="1246">
        <f t="shared" si="864"/>
        <v>0.118270663353226</v>
      </c>
      <c r="T527" s="1246">
        <f t="shared" si="864"/>
        <v>0.0536818040435459</v>
      </c>
      <c r="U527" s="1246">
        <f t="shared" si="864"/>
        <v>0.16902816020025</v>
      </c>
      <c r="V527" s="1246">
        <f t="shared" si="864"/>
        <v>0.0715072854015044</v>
      </c>
      <c r="W527" s="1246">
        <f t="shared" si="864"/>
        <v>0.167106950893009</v>
      </c>
      <c r="X527" s="1246">
        <f t="shared" si="864"/>
        <v>0.0723841364605459</v>
      </c>
      <c r="Y527" s="1246">
        <f t="shared" si="864"/>
        <v>0.0766422277882259</v>
      </c>
      <c r="Z527" s="1246">
        <f t="shared" si="864"/>
        <v>0.123088713196141</v>
      </c>
      <c r="AA527" s="1246">
        <f t="shared" si="864"/>
        <v>-0.173166501692453</v>
      </c>
      <c r="AB527" s="1246">
        <f t="shared" ref="AB527:AG527" si="865">AB18</f>
        <v>0.178065426238024</v>
      </c>
      <c r="AC527" s="1246">
        <f t="shared" si="865"/>
        <v>0.00302030800481567</v>
      </c>
      <c r="AD527" s="1246">
        <f t="shared" si="865"/>
        <v>0.12</v>
      </c>
      <c r="AE527" s="1246">
        <f t="shared" si="865"/>
        <v>0.15</v>
      </c>
      <c r="AF527" s="1717">
        <f t="shared" si="865"/>
        <v>0.125895601176222</v>
      </c>
      <c r="AG527" s="1246">
        <f t="shared" si="865"/>
        <v>0.08</v>
      </c>
      <c r="AH527" s="1246">
        <f t="shared" ref="AH527" si="866">AH18</f>
        <v>0.0621973036532049</v>
      </c>
      <c r="AI527" s="1246">
        <f t="shared" ref="AI527:AJ527" si="867">AI18</f>
        <v>0.0620675164645657</v>
      </c>
      <c r="AJ527" s="1246">
        <f t="shared" si="867"/>
        <v>0.0619335804123006</v>
      </c>
      <c r="AK527" s="1246">
        <f t="shared" ref="AK527" si="868">AK18</f>
        <v>0.0617963483635832</v>
      </c>
      <c r="AL527" s="1246"/>
      <c r="AM527" s="1246"/>
      <c r="AN527" s="1246"/>
      <c r="AO527" s="1246"/>
    </row>
    <row r="528" customHeight="1" spans="1:47">
      <c r="A528" s="2068" t="s">
        <v>240</v>
      </c>
      <c r="B528" s="2063"/>
      <c r="C528" s="2063"/>
      <c r="D528" s="2063"/>
      <c r="E528" s="2063"/>
      <c r="F528" s="2063"/>
      <c r="G528" s="2063"/>
      <c r="H528" s="2063"/>
      <c r="I528" s="2063"/>
      <c r="J528" s="2063"/>
      <c r="K528" s="2063"/>
      <c r="L528" s="2064"/>
      <c r="M528" s="2064"/>
      <c r="N528" s="2064"/>
      <c r="O528" s="1246"/>
      <c r="P528" s="1246"/>
      <c r="Q528" s="1246">
        <f>Q527-Q530</f>
        <v>0.0583728346692758</v>
      </c>
      <c r="R528" s="1246">
        <f>R527-R530</f>
        <v>0.0497020903595041</v>
      </c>
      <c r="S528" s="1246">
        <f>S527-S530</f>
        <v>0.048270663353226</v>
      </c>
      <c r="T528" s="1246">
        <f>T527-T530</f>
        <v>0.0636818040435459</v>
      </c>
      <c r="U528" s="1246">
        <f>U527-U530</f>
        <v>0.0790281602002503</v>
      </c>
      <c r="V528" s="1246">
        <f t="shared" ref="V528:AA528" si="869">V539*V529</f>
        <v>-0.0231719876416066</v>
      </c>
      <c r="W528" s="1246">
        <f t="shared" si="869"/>
        <v>0.0398512221041445</v>
      </c>
      <c r="X528" s="1246">
        <f t="shared" si="869"/>
        <v>0.00252270433905138</v>
      </c>
      <c r="Y528" s="1246">
        <f t="shared" si="869"/>
        <v>0.00251424740194428</v>
      </c>
      <c r="Z528" s="1246">
        <f t="shared" si="869"/>
        <v>0.00250584697627804</v>
      </c>
      <c r="AA528" s="1246">
        <f t="shared" si="869"/>
        <v>0.00249750249750258</v>
      </c>
      <c r="AB528" s="1246">
        <f t="shared" ref="AB528:AG528" si="870">AB539*AB529</f>
        <v>0.00248921340856284</v>
      </c>
      <c r="AC528" s="1246">
        <f t="shared" si="870"/>
        <v>0.00248097915977502</v>
      </c>
      <c r="AD528" s="1246">
        <f t="shared" si="870"/>
        <v>0.00247279920870419</v>
      </c>
      <c r="AE528" s="1246">
        <f t="shared" si="870"/>
        <v>0.00246467302004605</v>
      </c>
      <c r="AF528" s="1717">
        <f t="shared" si="870"/>
        <v>0.00245660006550935</v>
      </c>
      <c r="AG528" s="1246">
        <f t="shared" si="870"/>
        <v>0.00244857982370233</v>
      </c>
      <c r="AH528" s="1246">
        <f t="shared" ref="AH528" si="871">AH539*AH529</f>
        <v>0.00244061178001947</v>
      </c>
      <c r="AI528" s="1246">
        <f t="shared" ref="AI528:AJ528" si="872">AI539*AI529</f>
        <v>0.00243269542653257</v>
      </c>
      <c r="AJ528" s="1246">
        <f t="shared" si="872"/>
        <v>0.00242483026188167</v>
      </c>
      <c r="AK528" s="1246">
        <f t="shared" ref="AK528" si="873">AK539*AK529</f>
        <v>0.00241701579116982</v>
      </c>
      <c r="AL528" s="1246"/>
      <c r="AM528" s="1246"/>
      <c r="AN528" s="1246"/>
      <c r="AO528" s="1246"/>
    </row>
    <row r="529" customHeight="1" spans="1:49">
      <c r="A529" s="2068" t="s">
        <v>241</v>
      </c>
      <c r="B529" s="2063"/>
      <c r="C529" s="2063"/>
      <c r="D529" s="2063"/>
      <c r="E529" s="2063"/>
      <c r="F529" s="2063"/>
      <c r="G529" s="2063"/>
      <c r="H529" s="2063"/>
      <c r="I529" s="2063"/>
      <c r="J529" s="2063"/>
      <c r="K529" s="2063"/>
      <c r="L529" s="2064"/>
      <c r="M529" s="2064"/>
      <c r="N529" s="2064"/>
      <c r="O529" s="1246"/>
      <c r="P529" s="1246"/>
      <c r="Q529" s="1246">
        <f>Q528/Q539</f>
        <v>2.2262191429041</v>
      </c>
      <c r="R529" s="1246">
        <f>R528/R539</f>
        <v>0.989681974702408</v>
      </c>
      <c r="S529" s="1246">
        <f>S528/S539</f>
        <v>1.85608486184017</v>
      </c>
      <c r="T529" s="1246">
        <f>T528/T539</f>
        <v>0.529815281260249</v>
      </c>
      <c r="U529" s="1246">
        <f>U528/U539</f>
        <v>1.2516598783161</v>
      </c>
      <c r="V529" s="1246">
        <v>0.75</v>
      </c>
      <c r="W529" s="1246">
        <v>0.75</v>
      </c>
      <c r="X529" s="1861">
        <v>0.75</v>
      </c>
      <c r="Y529" s="1861">
        <v>0.75</v>
      </c>
      <c r="Z529" s="1861">
        <v>0.75</v>
      </c>
      <c r="AA529" s="1861">
        <v>0.75</v>
      </c>
      <c r="AB529" s="1861">
        <v>0.75</v>
      </c>
      <c r="AC529" s="1861">
        <v>0.75</v>
      </c>
      <c r="AD529" s="1861">
        <v>0.75</v>
      </c>
      <c r="AE529" s="1861">
        <v>0.75</v>
      </c>
      <c r="AF529" s="1871">
        <v>0.75</v>
      </c>
      <c r="AG529" s="1861">
        <v>0.75</v>
      </c>
      <c r="AH529" s="1861">
        <v>0.75</v>
      </c>
      <c r="AI529" s="1861">
        <v>0.75</v>
      </c>
      <c r="AJ529" s="1861">
        <v>0.75</v>
      </c>
      <c r="AK529" s="1861">
        <v>0.75</v>
      </c>
      <c r="AL529" s="1861"/>
      <c r="AM529" s="1246"/>
      <c r="AN529" s="1246"/>
      <c r="AO529" s="1246"/>
    </row>
    <row r="530" customHeight="1" spans="1:49">
      <c r="A530" s="2068" t="s">
        <v>242</v>
      </c>
      <c r="B530" s="2063"/>
      <c r="C530" s="2063"/>
      <c r="D530" s="2063"/>
      <c r="E530" s="2063"/>
      <c r="F530" s="2063"/>
      <c r="G530" s="2063"/>
      <c r="H530" s="2063"/>
      <c r="I530" s="2063"/>
      <c r="J530" s="2063"/>
      <c r="K530" s="2063"/>
      <c r="L530" s="2064"/>
      <c r="M530" s="2064"/>
      <c r="N530" s="2064"/>
      <c r="O530" s="2064"/>
      <c r="P530" s="2064"/>
      <c r="Q530" s="1246">
        <f>Interim!DY16</f>
        <v>0.11</v>
      </c>
      <c r="R530" s="1246">
        <f>Interim!EG16</f>
        <v>0.14</v>
      </c>
      <c r="S530" s="1246">
        <f>Interim!EO16</f>
        <v>0.07</v>
      </c>
      <c r="T530" s="1246">
        <f>Interim!EW16</f>
        <v>-0.01</v>
      </c>
      <c r="U530" s="1246">
        <f>Interim!FE16</f>
        <v>0.09</v>
      </c>
      <c r="V530" s="1246">
        <f t="shared" ref="V530:AA530" si="874">V527-V528</f>
        <v>0.094679273043111</v>
      </c>
      <c r="W530" s="1246">
        <f t="shared" si="874"/>
        <v>0.127255728788864</v>
      </c>
      <c r="X530" s="1246">
        <f t="shared" si="874"/>
        <v>0.0698614321214945</v>
      </c>
      <c r="Y530" s="1246">
        <f t="shared" si="874"/>
        <v>0.0741279803862817</v>
      </c>
      <c r="Z530" s="1246">
        <f t="shared" si="874"/>
        <v>0.120582866219863</v>
      </c>
      <c r="AA530" s="1246">
        <f t="shared" si="874"/>
        <v>-0.175664004189956</v>
      </c>
      <c r="AB530" s="1246">
        <f t="shared" ref="AB530:AG530" si="875">AB527-AB528</f>
        <v>0.175576212829462</v>
      </c>
      <c r="AC530" s="1246">
        <f t="shared" si="875"/>
        <v>0.000539328845040654</v>
      </c>
      <c r="AD530" s="1246">
        <f t="shared" si="875"/>
        <v>0.117527200791296</v>
      </c>
      <c r="AE530" s="1246">
        <f t="shared" si="875"/>
        <v>0.147535326979954</v>
      </c>
      <c r="AF530" s="1717">
        <f t="shared" si="875"/>
        <v>0.123439001110712</v>
      </c>
      <c r="AG530" s="1246">
        <f t="shared" si="875"/>
        <v>0.0775514201762977</v>
      </c>
      <c r="AH530" s="1246">
        <f t="shared" ref="AH530" si="876">AH527-AH528</f>
        <v>0.0597566918731854</v>
      </c>
      <c r="AI530" s="1246">
        <f t="shared" ref="AI530:AJ530" si="877">AI527-AI528</f>
        <v>0.0596348210380332</v>
      </c>
      <c r="AJ530" s="1246">
        <f t="shared" si="877"/>
        <v>0.059508750150419</v>
      </c>
      <c r="AK530" s="1246">
        <f t="shared" ref="AK530" si="878">AK527-AK528</f>
        <v>0.0593793325724134</v>
      </c>
      <c r="AL530" s="1246"/>
      <c r="AM530" s="1246"/>
      <c r="AN530" s="1246"/>
      <c r="AO530" s="1246"/>
    </row>
    <row r="531" customHeight="1" spans="1:49">
      <c r="A531" s="2068" t="s">
        <v>243</v>
      </c>
      <c r="B531" s="2063"/>
      <c r="C531" s="2063"/>
      <c r="D531" s="2063"/>
      <c r="E531" s="2063"/>
      <c r="F531" s="2063"/>
      <c r="G531" s="2063"/>
      <c r="H531" s="2063"/>
      <c r="I531" s="2063"/>
      <c r="J531" s="2063"/>
      <c r="K531" s="2063"/>
      <c r="L531" s="2064"/>
      <c r="M531" s="2064"/>
      <c r="N531" s="2064"/>
      <c r="O531" s="2064"/>
      <c r="P531" s="2064"/>
      <c r="Q531" s="1246"/>
      <c r="R531" s="1246"/>
      <c r="S531" s="1246"/>
      <c r="T531" s="1246"/>
      <c r="U531" s="1246"/>
      <c r="V531" s="1246">
        <f t="shared" ref="V531:AK531" si="879">U521*V520+(1-U521)*V530</f>
        <v>0.13807505336744</v>
      </c>
      <c r="W531" s="1246">
        <f t="shared" si="879"/>
        <v>0.196641912071864</v>
      </c>
      <c r="X531" s="1246">
        <f t="shared" si="879"/>
        <v>0.157871748468891</v>
      </c>
      <c r="Y531" s="1246">
        <f t="shared" si="879"/>
        <v>0.134586474749243</v>
      </c>
      <c r="Z531" s="1246">
        <f t="shared" si="879"/>
        <v>0.189953579071596</v>
      </c>
      <c r="AA531" s="1246">
        <f t="shared" si="879"/>
        <v>0.0561365836377893</v>
      </c>
      <c r="AB531" s="1246">
        <f t="shared" si="879"/>
        <v>0.0643913501871525</v>
      </c>
      <c r="AC531" s="1246">
        <f t="shared" si="879"/>
        <v>0.0414804827980312</v>
      </c>
      <c r="AD531" s="1246">
        <f t="shared" si="879"/>
        <v>0.0212903233989211</v>
      </c>
      <c r="AE531" s="1246">
        <f t="shared" si="879"/>
        <v>0.0990612159201237</v>
      </c>
      <c r="AF531" s="1717">
        <f t="shared" si="879"/>
        <v>0.117478052428756</v>
      </c>
      <c r="AG531" s="1246">
        <f t="shared" si="879"/>
        <v>0.0734494716792401</v>
      </c>
      <c r="AH531" s="1246">
        <f t="shared" si="879"/>
        <v>0.0721729767242141</v>
      </c>
      <c r="AI531" s="1246">
        <f t="shared" si="879"/>
        <v>0.0686434141028344</v>
      </c>
      <c r="AJ531" s="1246">
        <f t="shared" si="879"/>
        <v>0.068657824672946</v>
      </c>
      <c r="AK531" s="1246">
        <f t="shared" si="879"/>
        <v>0.0686722357472858</v>
      </c>
      <c r="AL531" s="1246"/>
      <c r="AM531" s="1246"/>
      <c r="AN531" s="1246"/>
      <c r="AO531" s="1246"/>
    </row>
    <row r="532" customHeight="1" spans="1:49">
      <c r="A532" s="2071"/>
      <c r="B532" s="2063"/>
      <c r="C532" s="2063"/>
      <c r="D532" s="2063"/>
      <c r="E532" s="2063"/>
      <c r="F532" s="2063"/>
      <c r="G532" s="2063"/>
      <c r="H532" s="2063"/>
      <c r="I532" s="2063"/>
      <c r="J532" s="2063"/>
      <c r="K532" s="2063"/>
      <c r="L532" s="2064"/>
      <c r="M532" s="2064"/>
      <c r="N532" s="2064"/>
      <c r="O532" s="2064"/>
      <c r="P532" s="2064"/>
      <c r="Q532" s="2064"/>
      <c r="R532" s="2064"/>
      <c r="S532" s="2064"/>
      <c r="T532" s="2064"/>
      <c r="U532" s="2064"/>
      <c r="V532" s="2064"/>
      <c r="W532" s="2072"/>
      <c r="X532" s="2064"/>
      <c r="Y532" s="2064"/>
      <c r="Z532" s="2064"/>
      <c r="AA532" s="2064"/>
      <c r="AB532" s="2064"/>
      <c r="AC532" s="2064"/>
      <c r="AD532" s="2064"/>
      <c r="AE532" s="2064"/>
      <c r="AF532" s="2065"/>
      <c r="AG532" s="2064"/>
      <c r="AH532" s="2064"/>
      <c r="AI532" s="2064"/>
      <c r="AJ532" s="2064"/>
      <c r="AK532" s="2064"/>
      <c r="AL532" s="2064"/>
      <c r="AM532" s="1246"/>
      <c r="AN532" s="1246"/>
      <c r="AO532" s="1246"/>
    </row>
    <row r="533" customHeight="1" spans="1:49">
      <c r="A533" s="2073" t="s">
        <v>244</v>
      </c>
      <c r="O533" s="2074">
        <f>'Sales &amp; stores'!K400</f>
        <v>1019</v>
      </c>
      <c r="P533" s="2074">
        <f>'Sales &amp; stores'!L400</f>
        <v>1203</v>
      </c>
      <c r="Q533" s="2074">
        <f>'Sales &amp; stores'!M400</f>
        <v>1352</v>
      </c>
      <c r="R533" s="2074">
        <f>'Sales &amp; stores'!N400</f>
        <v>1355</v>
      </c>
      <c r="S533" s="2074">
        <f>'Sales &amp; stores'!O400</f>
        <v>1437</v>
      </c>
      <c r="T533" s="2074">
        <f>'Sales &amp; stores'!P400</f>
        <v>1661</v>
      </c>
      <c r="U533" s="2074">
        <v>1746</v>
      </c>
      <c r="V533" s="2074">
        <f>U533-100</f>
        <v>1646</v>
      </c>
      <c r="W533" s="2075">
        <f t="shared" ref="W533:AK533" si="880">V533+(550/5)</f>
        <v>1756</v>
      </c>
      <c r="X533" s="2076">
        <f t="shared" si="880"/>
        <v>1866</v>
      </c>
      <c r="Y533" s="2076">
        <f t="shared" si="880"/>
        <v>1976</v>
      </c>
      <c r="Z533" s="2076">
        <f t="shared" si="880"/>
        <v>2086</v>
      </c>
      <c r="AA533" s="2076">
        <f t="shared" si="880"/>
        <v>2196</v>
      </c>
      <c r="AB533" s="2076">
        <f t="shared" si="880"/>
        <v>2306</v>
      </c>
      <c r="AC533" s="2076">
        <f t="shared" si="880"/>
        <v>2416</v>
      </c>
      <c r="AD533" s="2076">
        <f t="shared" si="880"/>
        <v>2526</v>
      </c>
      <c r="AE533" s="2076">
        <f t="shared" si="880"/>
        <v>2636</v>
      </c>
      <c r="AF533" s="2077">
        <f t="shared" si="880"/>
        <v>2746</v>
      </c>
      <c r="AG533" s="2076">
        <f t="shared" si="880"/>
        <v>2856</v>
      </c>
      <c r="AH533" s="2076">
        <f t="shared" si="880"/>
        <v>2966</v>
      </c>
      <c r="AI533" s="2076">
        <f t="shared" si="880"/>
        <v>3076</v>
      </c>
      <c r="AJ533" s="2076">
        <f t="shared" si="880"/>
        <v>3186</v>
      </c>
      <c r="AK533" s="2076">
        <f t="shared" si="880"/>
        <v>3296</v>
      </c>
      <c r="AL533" s="2076"/>
      <c r="AM533" s="1246"/>
      <c r="AN533" s="1686"/>
      <c r="AO533" s="1686"/>
      <c r="AP533" s="1686"/>
      <c r="AQ533" s="1686"/>
      <c r="AR533" s="1686"/>
      <c r="AS533" s="1686"/>
      <c r="AT533" s="1686"/>
      <c r="AU533" s="1686"/>
      <c r="AV533" s="1686"/>
      <c r="AW533" s="1686"/>
    </row>
    <row r="534" customHeight="1" spans="1:49">
      <c r="A534" s="2073" t="s">
        <v>245</v>
      </c>
      <c r="O534" s="2074">
        <f>'Sales &amp; stores'!K401</f>
        <v>681</v>
      </c>
      <c r="P534" s="2074">
        <f>'Sales &amp; stores'!L401</f>
        <v>755</v>
      </c>
      <c r="Q534" s="2074">
        <f>'Sales &amp; stores'!M401</f>
        <v>725</v>
      </c>
      <c r="R534" s="2074">
        <f>'Sales &amp; stores'!N401</f>
        <v>734</v>
      </c>
      <c r="S534" s="2074">
        <f>'Sales &amp; stores'!O401</f>
        <v>730</v>
      </c>
      <c r="T534" s="2074">
        <f>'Sales &amp; stores'!P401</f>
        <v>779</v>
      </c>
      <c r="U534" s="2074">
        <v>851</v>
      </c>
      <c r="V534" s="2074"/>
      <c r="W534" s="2075"/>
      <c r="X534" s="2078"/>
      <c r="Y534" s="2078"/>
      <c r="Z534" s="2078"/>
      <c r="AA534" s="2078"/>
      <c r="AB534" s="2078"/>
      <c r="AC534" s="2078"/>
      <c r="AD534" s="2078"/>
      <c r="AE534" s="2078"/>
      <c r="AF534" s="2079"/>
      <c r="AG534" s="2078"/>
      <c r="AH534" s="2078"/>
      <c r="AI534" s="2078"/>
      <c r="AJ534" s="2078"/>
      <c r="AK534" s="2078"/>
      <c r="AL534" s="2078"/>
      <c r="AM534" s="1246"/>
      <c r="AN534" s="1686"/>
      <c r="AO534" s="1686"/>
      <c r="AP534" s="1686"/>
      <c r="AQ534" s="1686"/>
      <c r="AR534" s="1686"/>
      <c r="AS534" s="1686"/>
      <c r="AT534" s="1686"/>
      <c r="AU534" s="1686"/>
      <c r="AV534" s="1686"/>
      <c r="AW534" s="1686"/>
    </row>
    <row r="535" customHeight="1" spans="1:49">
      <c r="A535" s="2073" t="s">
        <v>246</v>
      </c>
      <c r="O535" s="2074">
        <f>'Sales &amp; stores'!K402</f>
        <v>173</v>
      </c>
      <c r="P535" s="2074">
        <f>'Sales &amp; stores'!L402</f>
        <v>244</v>
      </c>
      <c r="Q535" s="2074">
        <f>'Sales &amp; stores'!M402</f>
        <v>193</v>
      </c>
      <c r="R535" s="2074">
        <f>'Sales &amp; stores'!N402</f>
        <v>295</v>
      </c>
      <c r="S535" s="2074">
        <f>'Sales &amp; stores'!O402</f>
        <v>279</v>
      </c>
      <c r="T535" s="2074">
        <f>'Sales &amp; stores'!P402</f>
        <v>300</v>
      </c>
      <c r="U535" s="2074">
        <v>316</v>
      </c>
      <c r="V535" s="2074"/>
      <c r="W535" s="2075"/>
      <c r="X535" s="2074"/>
      <c r="Y535" s="2078"/>
      <c r="Z535" s="2078"/>
      <c r="AA535" s="2078"/>
      <c r="AB535" s="2078"/>
      <c r="AC535" s="2078"/>
      <c r="AD535" s="2078"/>
      <c r="AE535" s="2078"/>
      <c r="AF535" s="2079"/>
      <c r="AG535" s="2078"/>
      <c r="AH535" s="2078"/>
      <c r="AI535" s="2078"/>
      <c r="AJ535" s="2078"/>
      <c r="AK535" s="2078"/>
      <c r="AL535" s="2078"/>
      <c r="AM535" s="1246"/>
      <c r="AN535" s="1678"/>
      <c r="AO535" s="1686"/>
      <c r="AP535" s="1686"/>
      <c r="AQ535" s="1686"/>
      <c r="AR535" s="1686"/>
      <c r="AS535" s="1686"/>
      <c r="AT535" s="1686"/>
      <c r="AU535" s="1686"/>
      <c r="AV535" s="1686"/>
      <c r="AW535" s="1686"/>
    </row>
    <row r="536" customHeight="1" spans="1:49">
      <c r="A536" s="2073" t="s">
        <v>64</v>
      </c>
      <c r="O536" s="2074">
        <f>'Sales &amp; stores'!K403</f>
        <v>11</v>
      </c>
      <c r="P536" s="2074">
        <f>'Sales &amp; stores'!L403</f>
        <v>10</v>
      </c>
      <c r="Q536" s="2074">
        <f>'Sales &amp; stores'!M403</f>
        <v>0</v>
      </c>
      <c r="R536" s="2074">
        <f>'Sales &amp; stores'!N403</f>
        <v>0.0502202643171805</v>
      </c>
      <c r="S536" s="2074">
        <f>'Sales &amp; stores'!O403</f>
        <v>0</v>
      </c>
      <c r="T536" s="2074">
        <f>'Sales &amp; stores'!P403</f>
        <v>0</v>
      </c>
      <c r="U536" s="2074"/>
      <c r="V536" s="2074"/>
      <c r="W536" s="2080"/>
      <c r="X536" s="2081"/>
      <c r="Y536" s="2082"/>
      <c r="Z536" s="2082"/>
      <c r="AA536" s="2082"/>
      <c r="AB536" s="2082"/>
      <c r="AC536" s="2082"/>
      <c r="AD536" s="2082"/>
      <c r="AE536" s="2082"/>
      <c r="AF536" s="2083"/>
      <c r="AG536" s="2082"/>
      <c r="AH536" s="2082"/>
      <c r="AI536" s="2082"/>
      <c r="AJ536" s="2082"/>
      <c r="AK536" s="2082"/>
      <c r="AL536" s="2082"/>
      <c r="AM536" s="1246"/>
      <c r="AP536" s="1686"/>
      <c r="AQ536" s="1686"/>
      <c r="AR536" s="1686"/>
      <c r="AS536" s="1686"/>
      <c r="AT536" s="1686"/>
      <c r="AU536" s="1686"/>
      <c r="AV536" s="1686"/>
      <c r="AW536" s="1686"/>
    </row>
    <row r="537" customHeight="1" spans="1:49">
      <c r="A537" s="2084" t="s">
        <v>247</v>
      </c>
      <c r="O537" s="2085">
        <f>'Sales &amp; stores'!K399</f>
        <v>1884</v>
      </c>
      <c r="P537" s="2085">
        <f>'Sales &amp; stores'!L399</f>
        <v>2212</v>
      </c>
      <c r="Q537" s="2085">
        <f>'Sales &amp; stores'!M399</f>
        <v>2270</v>
      </c>
      <c r="R537" s="2085">
        <f>'Sales &amp; stores'!N399</f>
        <v>2384</v>
      </c>
      <c r="S537" s="2085">
        <f>'Sales &amp; stores'!O399</f>
        <v>2446</v>
      </c>
      <c r="T537" s="2085">
        <v>2740</v>
      </c>
      <c r="U537" s="2085">
        <v>2913</v>
      </c>
      <c r="V537" s="2085">
        <f t="shared" ref="V537:AK537" si="881">U537+V538</f>
        <v>2823</v>
      </c>
      <c r="W537" s="2085">
        <f t="shared" si="881"/>
        <v>2973</v>
      </c>
      <c r="X537" s="2085">
        <f t="shared" si="881"/>
        <v>2983</v>
      </c>
      <c r="Y537" s="2085">
        <f t="shared" si="881"/>
        <v>2993</v>
      </c>
      <c r="Z537" s="2085">
        <f t="shared" si="881"/>
        <v>3003</v>
      </c>
      <c r="AA537" s="2085">
        <f t="shared" si="881"/>
        <v>3013</v>
      </c>
      <c r="AB537" s="2085">
        <f t="shared" si="881"/>
        <v>3023</v>
      </c>
      <c r="AC537" s="2085">
        <f t="shared" si="881"/>
        <v>3033</v>
      </c>
      <c r="AD537" s="2085">
        <f t="shared" si="881"/>
        <v>3043</v>
      </c>
      <c r="AE537" s="2085">
        <f t="shared" si="881"/>
        <v>3053</v>
      </c>
      <c r="AF537" s="2086">
        <f t="shared" si="881"/>
        <v>3063</v>
      </c>
      <c r="AG537" s="2085">
        <f t="shared" si="881"/>
        <v>3073</v>
      </c>
      <c r="AH537" s="2085">
        <f t="shared" si="881"/>
        <v>3083</v>
      </c>
      <c r="AI537" s="2085">
        <f t="shared" si="881"/>
        <v>3093</v>
      </c>
      <c r="AJ537" s="2085">
        <f t="shared" si="881"/>
        <v>3103</v>
      </c>
      <c r="AK537" s="2085">
        <f t="shared" si="881"/>
        <v>3113</v>
      </c>
      <c r="AL537" s="2085"/>
      <c r="AM537" s="1246"/>
      <c r="AO537" s="1686"/>
      <c r="AP537" s="1686"/>
      <c r="AQ537" s="1686"/>
      <c r="AR537" s="1686"/>
      <c r="AS537" s="1686"/>
      <c r="AT537" s="1686"/>
      <c r="AU537" s="1686"/>
      <c r="AV537" s="1686"/>
      <c r="AW537" s="1686"/>
    </row>
    <row r="538" customHeight="1" spans="1:49">
      <c r="A538" s="2073" t="s">
        <v>248</v>
      </c>
      <c r="O538" s="2078"/>
      <c r="P538" s="2074">
        <f t="shared" ref="P538:U538" si="882">P537-O537</f>
        <v>328</v>
      </c>
      <c r="Q538" s="2078">
        <f t="shared" si="882"/>
        <v>58</v>
      </c>
      <c r="R538" s="2078">
        <f t="shared" si="882"/>
        <v>114</v>
      </c>
      <c r="S538" s="2078">
        <f t="shared" si="882"/>
        <v>62</v>
      </c>
      <c r="T538" s="2078">
        <f t="shared" si="882"/>
        <v>294</v>
      </c>
      <c r="U538" s="2078">
        <f t="shared" si="882"/>
        <v>173</v>
      </c>
      <c r="V538" s="2078">
        <v>-90</v>
      </c>
      <c r="W538" s="2074">
        <f>(550/5)+40</f>
        <v>150</v>
      </c>
      <c r="X538" s="2087">
        <v>10</v>
      </c>
      <c r="Y538" s="2087">
        <v>10</v>
      </c>
      <c r="Z538" s="2087">
        <v>10</v>
      </c>
      <c r="AA538" s="2087">
        <v>10</v>
      </c>
      <c r="AB538" s="2087">
        <v>10</v>
      </c>
      <c r="AC538" s="2087">
        <v>10</v>
      </c>
      <c r="AD538" s="2087">
        <v>10</v>
      </c>
      <c r="AE538" s="2087">
        <v>10</v>
      </c>
      <c r="AF538" s="2088">
        <v>10</v>
      </c>
      <c r="AG538" s="2087">
        <v>10</v>
      </c>
      <c r="AH538" s="2087">
        <v>10</v>
      </c>
      <c r="AI538" s="2087">
        <v>10</v>
      </c>
      <c r="AJ538" s="2087">
        <v>10</v>
      </c>
      <c r="AK538" s="2087">
        <v>10</v>
      </c>
      <c r="AL538" s="2087"/>
      <c r="AM538" s="1246"/>
      <c r="AP538" s="2089"/>
      <c r="AQ538" s="1686"/>
      <c r="AR538" s="1686"/>
      <c r="AS538" s="1686"/>
      <c r="AT538" s="1686"/>
      <c r="AU538" s="1686"/>
      <c r="AV538" s="1686"/>
      <c r="AW538" s="1686"/>
    </row>
    <row r="539" customHeight="1" spans="1:49">
      <c r="A539" s="2073" t="s">
        <v>249</v>
      </c>
      <c r="O539" s="2078"/>
      <c r="P539" s="1246">
        <f t="shared" ref="P539:AK539" si="883">P537/O537-1</f>
        <v>0.174097664543524</v>
      </c>
      <c r="Q539" s="1246">
        <f t="shared" si="883"/>
        <v>0.0262206148282098</v>
      </c>
      <c r="R539" s="1246">
        <f t="shared" si="883"/>
        <v>0.0502202643171805</v>
      </c>
      <c r="S539" s="1246">
        <f t="shared" si="883"/>
        <v>0.026006711409396</v>
      </c>
      <c r="T539" s="1246">
        <f t="shared" si="883"/>
        <v>0.120196238757154</v>
      </c>
      <c r="U539" s="1246">
        <f t="shared" si="883"/>
        <v>0.063138686131387</v>
      </c>
      <c r="V539" s="1246">
        <f t="shared" si="883"/>
        <v>-0.0308959835221421</v>
      </c>
      <c r="W539" s="1246">
        <f t="shared" si="883"/>
        <v>0.053134962805526</v>
      </c>
      <c r="X539" s="1246">
        <f t="shared" si="883"/>
        <v>0.00336360578540185</v>
      </c>
      <c r="Y539" s="1246">
        <f t="shared" si="883"/>
        <v>0.00335232986925904</v>
      </c>
      <c r="Z539" s="1246">
        <f t="shared" si="883"/>
        <v>0.00334112930170405</v>
      </c>
      <c r="AA539" s="1246">
        <f t="shared" si="883"/>
        <v>0.00333000333000344</v>
      </c>
      <c r="AB539" s="1246">
        <f t="shared" si="883"/>
        <v>0.00331895121141712</v>
      </c>
      <c r="AC539" s="1246">
        <f t="shared" si="883"/>
        <v>0.00330797221303336</v>
      </c>
      <c r="AD539" s="1246">
        <f t="shared" si="883"/>
        <v>0.00329706561160559</v>
      </c>
      <c r="AE539" s="1246">
        <f t="shared" si="883"/>
        <v>0.00328623069339473</v>
      </c>
      <c r="AF539" s="1717">
        <f t="shared" si="883"/>
        <v>0.00327546675401247</v>
      </c>
      <c r="AG539" s="1246">
        <f t="shared" si="883"/>
        <v>0.00326477309826978</v>
      </c>
      <c r="AH539" s="1246">
        <f t="shared" si="883"/>
        <v>0.00325414904002597</v>
      </c>
      <c r="AI539" s="1246">
        <f t="shared" si="883"/>
        <v>0.00324359390204343</v>
      </c>
      <c r="AJ539" s="1246">
        <f t="shared" si="883"/>
        <v>0.00323310701584223</v>
      </c>
      <c r="AK539" s="1246">
        <f t="shared" si="883"/>
        <v>0.00322268772155976</v>
      </c>
      <c r="AL539" s="1246"/>
      <c r="AM539" s="1246"/>
      <c r="AN539" s="1686"/>
      <c r="AO539" s="1686"/>
      <c r="AP539" s="1686"/>
      <c r="AQ539" s="1686"/>
      <c r="AR539" s="1686"/>
      <c r="AS539" s="1686"/>
      <c r="AT539" s="1686"/>
      <c r="AU539" s="1686"/>
      <c r="AV539" s="1686"/>
      <c r="AW539" s="1686"/>
    </row>
    <row r="540" customHeight="1" spans="1:49">
      <c r="A540" s="2073" t="s">
        <v>250</v>
      </c>
      <c r="O540" s="2087">
        <f>-'Balance Sheet &amp; Cash Flow'!P111*0.75</f>
        <v>282</v>
      </c>
      <c r="P540" s="2087">
        <f>-'Balance Sheet &amp; Cash Flow'!Q111*0.75</f>
        <v>180.75</v>
      </c>
      <c r="Q540" s="2087">
        <f>-'Balance Sheet &amp; Cash Flow'!R111*0.75</f>
        <v>201.75</v>
      </c>
      <c r="R540" s="2087">
        <f>-'Balance Sheet &amp; Cash Flow'!S111*0.75</f>
        <v>282</v>
      </c>
      <c r="S540" s="2087">
        <f>-'Balance Sheet &amp; Cash Flow'!T111*0.75</f>
        <v>325.5</v>
      </c>
      <c r="T540" s="2087">
        <f>-'Balance Sheet &amp; Cash Flow'!U111*0.75</f>
        <v>355.5</v>
      </c>
      <c r="U540" s="2087">
        <f>-'Balance Sheet &amp; Cash Flow'!V111*0.75</f>
        <v>411</v>
      </c>
      <c r="V540" s="2087">
        <f>-'Balance Sheet &amp; Cash Flow'!W111*0.7</f>
        <v>359.1</v>
      </c>
      <c r="W540" s="2087">
        <f>-'Balance Sheet &amp; Cash Flow'!X111*0.6</f>
        <v>390.6</v>
      </c>
      <c r="X540" s="2087">
        <f>-'Balance Sheet &amp; Cash Flow'!Y111*0.6</f>
        <v>363.6</v>
      </c>
      <c r="Y540" s="2087">
        <f>-'Balance Sheet &amp; Cash Flow'!Z111*0.6</f>
        <v>366.6</v>
      </c>
      <c r="Z540" s="2087">
        <f>-'Balance Sheet &amp; Cash Flow'!AA111*0.6</f>
        <v>358.8</v>
      </c>
      <c r="AA540" s="2087">
        <f>-'Balance Sheet &amp; Cash Flow'!AB111*0.6</f>
        <v>220.8</v>
      </c>
      <c r="AB540" s="2087">
        <f>-'Balance Sheet &amp; Cash Flow'!AC111*0.6</f>
        <v>296.4</v>
      </c>
      <c r="AC540" s="2087">
        <f>-'Balance Sheet &amp; Cash Flow'!AD111*0.6</f>
        <v>302.4</v>
      </c>
      <c r="AD540" s="2087">
        <f>-'Balance Sheet &amp; Cash Flow'!AE111*0.6</f>
        <v>217.8</v>
      </c>
      <c r="AE540" s="2087">
        <f>-'Balance Sheet &amp; Cash Flow'!AG111*0.6</f>
        <v>217.8</v>
      </c>
      <c r="AF540" s="2088">
        <f>-'Balance Sheet &amp; Cash Flow'!AM111*0.6</f>
        <v>0</v>
      </c>
      <c r="AG540" s="2087">
        <f>-'Balance Sheet &amp; Cash Flow'!AN111*0.6</f>
        <v>0</v>
      </c>
      <c r="AH540" s="2087">
        <f>-'Balance Sheet &amp; Cash Flow'!AO111*0.6</f>
        <v>0</v>
      </c>
      <c r="AI540" s="2087">
        <f>-'Balance Sheet &amp; Cash Flow'!AP111*0.6</f>
        <v>0</v>
      </c>
      <c r="AJ540" s="2087">
        <f>-'Balance Sheet &amp; Cash Flow'!AQ111*0.6</f>
        <v>0</v>
      </c>
      <c r="AK540" s="2087">
        <f>-'Balance Sheet &amp; Cash Flow'!AR111*0.6</f>
        <v>0</v>
      </c>
      <c r="AL540" s="2087"/>
      <c r="AM540" s="1246"/>
      <c r="AO540" s="1686"/>
      <c r="AP540" s="1681"/>
      <c r="AQ540" s="1686"/>
      <c r="AR540" s="1686"/>
      <c r="AS540" s="1686"/>
      <c r="AT540" s="1686"/>
      <c r="AU540" s="1686"/>
      <c r="AV540" s="1686"/>
      <c r="AW540" s="1686"/>
    </row>
    <row r="541" customHeight="1" spans="1:49">
      <c r="A541" s="2084" t="s">
        <v>251</v>
      </c>
      <c r="B541" s="1756"/>
      <c r="C541" s="1756"/>
      <c r="D541" s="1756"/>
      <c r="E541" s="1756"/>
      <c r="F541" s="1756"/>
      <c r="G541" s="1756"/>
      <c r="H541" s="1756"/>
      <c r="I541" s="1756"/>
      <c r="J541" s="1756"/>
      <c r="K541" s="1756"/>
      <c r="L541" s="1772"/>
      <c r="M541" s="1772"/>
      <c r="N541" s="1772"/>
      <c r="O541" s="2090"/>
      <c r="P541" s="2090">
        <f>P540/(P537-O537)</f>
        <v>0.551067073170732</v>
      </c>
      <c r="Q541" s="2090">
        <f>Q540/(Q537-P537)</f>
        <v>3.47844827586207</v>
      </c>
      <c r="R541" s="2090">
        <f>R540/(R537-Q537)</f>
        <v>2.47368421052632</v>
      </c>
      <c r="S541" s="2090">
        <f>S540/(S537-R537)</f>
        <v>5.25</v>
      </c>
      <c r="T541" s="2090">
        <f>T540/(T537-S537)</f>
        <v>1.20918367346939</v>
      </c>
      <c r="U541" s="2090">
        <f>U540/U538</f>
        <v>2.3757225433526</v>
      </c>
      <c r="V541" s="2090">
        <f t="shared" ref="V541:AA541" si="884">V540/V538</f>
        <v>-3.99</v>
      </c>
      <c r="W541" s="2090">
        <f t="shared" si="884"/>
        <v>2.604</v>
      </c>
      <c r="X541" s="2091">
        <f t="shared" si="884"/>
        <v>36.36</v>
      </c>
      <c r="Y541" s="2091">
        <f t="shared" si="884"/>
        <v>36.66</v>
      </c>
      <c r="Z541" s="2091">
        <f t="shared" si="884"/>
        <v>35.88</v>
      </c>
      <c r="AA541" s="2091">
        <f t="shared" si="884"/>
        <v>22.08</v>
      </c>
      <c r="AB541" s="2091">
        <f t="shared" ref="AB541:AG541" si="885">AB540/AB538</f>
        <v>29.64</v>
      </c>
      <c r="AC541" s="2091">
        <f t="shared" si="885"/>
        <v>30.24</v>
      </c>
      <c r="AD541" s="2091">
        <f t="shared" si="885"/>
        <v>21.78</v>
      </c>
      <c r="AE541" s="2091">
        <f t="shared" si="885"/>
        <v>21.78</v>
      </c>
      <c r="AF541" s="2092">
        <f t="shared" si="885"/>
        <v>0</v>
      </c>
      <c r="AG541" s="2091">
        <f t="shared" si="885"/>
        <v>0</v>
      </c>
      <c r="AH541" s="2091">
        <f t="shared" ref="AH541" si="886">AH540/AH538</f>
        <v>0</v>
      </c>
      <c r="AI541" s="2091">
        <f t="shared" ref="AI541:AJ541" si="887">AI540/AI538</f>
        <v>0</v>
      </c>
      <c r="AJ541" s="2091">
        <f t="shared" si="887"/>
        <v>0</v>
      </c>
      <c r="AK541" s="2091">
        <f t="shared" ref="AK541" si="888">AK540/AK538</f>
        <v>0</v>
      </c>
      <c r="AL541" s="2091"/>
      <c r="AM541" s="1246"/>
      <c r="AN541" s="1686"/>
      <c r="AO541" s="1686"/>
      <c r="AP541" s="1686"/>
      <c r="AQ541" s="1686"/>
      <c r="AR541" s="1686"/>
      <c r="AS541" s="1686"/>
      <c r="AT541" s="1686"/>
      <c r="AU541" s="1686"/>
      <c r="AV541" s="1686"/>
      <c r="AW541" s="1686"/>
    </row>
    <row r="542" customHeight="1" spans="1:49">
      <c r="A542" s="1737" t="s">
        <v>61</v>
      </c>
      <c r="O542" s="2082"/>
      <c r="P542" s="2082"/>
      <c r="Q542" s="1246">
        <f t="shared" ref="Q542:AK542" si="889">Q541/P541-1</f>
        <v>5.31220489340392</v>
      </c>
      <c r="R542" s="1246">
        <f t="shared" si="889"/>
        <v>-0.288854105524033</v>
      </c>
      <c r="S542" s="1246">
        <f t="shared" si="889"/>
        <v>1.12234042553191</v>
      </c>
      <c r="T542" s="1246">
        <f t="shared" si="889"/>
        <v>-0.769679300291545</v>
      </c>
      <c r="U542" s="1246">
        <f t="shared" si="889"/>
        <v>0.964732567498354</v>
      </c>
      <c r="V542" s="1246">
        <f t="shared" si="889"/>
        <v>-2.67948905109489</v>
      </c>
      <c r="W542" s="1246">
        <f t="shared" si="889"/>
        <v>-1.65263157894737</v>
      </c>
      <c r="X542" s="1246">
        <f t="shared" si="889"/>
        <v>12.963133640553</v>
      </c>
      <c r="Y542" s="1246">
        <f t="shared" si="889"/>
        <v>0.00825082508250818</v>
      </c>
      <c r="Z542" s="1246">
        <f t="shared" si="889"/>
        <v>-0.0212765957446807</v>
      </c>
      <c r="AA542" s="1246">
        <f t="shared" si="889"/>
        <v>-0.384615384615385</v>
      </c>
      <c r="AB542" s="1246">
        <f t="shared" si="889"/>
        <v>0.342391304347826</v>
      </c>
      <c r="AC542" s="1246">
        <f t="shared" si="889"/>
        <v>0.0202429149797572</v>
      </c>
      <c r="AD542" s="1246">
        <f t="shared" si="889"/>
        <v>-0.279761904761905</v>
      </c>
      <c r="AE542" s="1246">
        <f t="shared" si="889"/>
        <v>0</v>
      </c>
      <c r="AF542" s="1717">
        <f t="shared" si="889"/>
        <v>-1</v>
      </c>
      <c r="AG542" s="1246" t="e">
        <f t="shared" si="889"/>
        <v>#DIV/0!</v>
      </c>
      <c r="AH542" s="1246" t="e">
        <f t="shared" si="889"/>
        <v>#DIV/0!</v>
      </c>
      <c r="AI542" s="1246" t="e">
        <f t="shared" si="889"/>
        <v>#DIV/0!</v>
      </c>
      <c r="AJ542" s="1246" t="e">
        <f t="shared" si="889"/>
        <v>#DIV/0!</v>
      </c>
      <c r="AK542" s="1246" t="e">
        <f t="shared" si="889"/>
        <v>#DIV/0!</v>
      </c>
      <c r="AL542" s="1246"/>
      <c r="AM542" s="1246"/>
      <c r="AN542" s="1686"/>
      <c r="AO542" s="1686"/>
      <c r="AP542" s="1686"/>
      <c r="AQ542" s="1686"/>
      <c r="AR542" s="1686"/>
      <c r="AS542" s="1686"/>
      <c r="AT542" s="1686"/>
      <c r="AU542" s="1686"/>
      <c r="AV542" s="1686"/>
      <c r="AW542" s="1686"/>
    </row>
    <row r="543" customHeight="1" spans="1:49">
      <c r="A543" s="1737"/>
      <c r="O543" s="2082"/>
      <c r="P543" s="2082"/>
      <c r="Q543" s="2082"/>
      <c r="R543" s="2082"/>
      <c r="S543" s="2082"/>
      <c r="T543" s="2093"/>
      <c r="U543" s="2093"/>
      <c r="V543" s="2093"/>
      <c r="W543" s="2082"/>
      <c r="X543" s="2078"/>
      <c r="Y543" s="2078"/>
      <c r="Z543" s="2078"/>
      <c r="AA543" s="2078"/>
      <c r="AB543" s="2078"/>
      <c r="AC543" s="2078"/>
      <c r="AD543" s="2078"/>
      <c r="AE543" s="2078"/>
      <c r="AF543" s="2079"/>
      <c r="AG543" s="2078"/>
      <c r="AH543" s="2078"/>
      <c r="AI543" s="2078"/>
      <c r="AJ543" s="2078"/>
      <c r="AK543" s="2078"/>
      <c r="AL543" s="2078"/>
      <c r="AM543" s="1246"/>
      <c r="AN543" s="1686"/>
      <c r="AO543" s="1686"/>
      <c r="AP543" s="1686"/>
      <c r="AQ543" s="1686"/>
      <c r="AR543" s="1686"/>
      <c r="AS543" s="1686"/>
      <c r="AT543" s="1686"/>
      <c r="AU543" s="1686"/>
      <c r="AV543" s="1686"/>
      <c r="AW543" s="1686"/>
    </row>
    <row r="544" customHeight="1" spans="1:49">
      <c r="A544" s="1737" t="s">
        <v>252</v>
      </c>
      <c r="O544" s="2082"/>
      <c r="P544" s="2094">
        <f>P537-O537</f>
        <v>328</v>
      </c>
      <c r="Q544" s="2094">
        <f>Q537-P537</f>
        <v>58</v>
      </c>
      <c r="R544" s="2094">
        <f>R537-Q537</f>
        <v>114</v>
      </c>
      <c r="S544" s="2094">
        <f>S537-R537</f>
        <v>62</v>
      </c>
      <c r="T544" s="2094">
        <f>T537-S537</f>
        <v>294</v>
      </c>
      <c r="U544" s="2094">
        <f>U540/U541</f>
        <v>173</v>
      </c>
      <c r="V544" s="2094">
        <f t="shared" ref="V544:AK544" si="890">V545-U545</f>
        <v>-90</v>
      </c>
      <c r="W544" s="2094">
        <f t="shared" si="890"/>
        <v>150</v>
      </c>
      <c r="X544" s="2094">
        <f t="shared" si="890"/>
        <v>10</v>
      </c>
      <c r="Y544" s="2094">
        <f t="shared" si="890"/>
        <v>10</v>
      </c>
      <c r="Z544" s="2094">
        <f t="shared" si="890"/>
        <v>10</v>
      </c>
      <c r="AA544" s="2094">
        <f t="shared" si="890"/>
        <v>10</v>
      </c>
      <c r="AB544" s="2094">
        <f t="shared" si="890"/>
        <v>10</v>
      </c>
      <c r="AC544" s="2094">
        <f t="shared" si="890"/>
        <v>10</v>
      </c>
      <c r="AD544" s="2094">
        <f t="shared" si="890"/>
        <v>10</v>
      </c>
      <c r="AE544" s="2094">
        <f t="shared" si="890"/>
        <v>10</v>
      </c>
      <c r="AF544" s="2095">
        <f t="shared" si="890"/>
        <v>10</v>
      </c>
      <c r="AG544" s="2094">
        <f t="shared" si="890"/>
        <v>10</v>
      </c>
      <c r="AH544" s="2094">
        <f t="shared" si="890"/>
        <v>10</v>
      </c>
      <c r="AI544" s="2094">
        <f t="shared" si="890"/>
        <v>10</v>
      </c>
      <c r="AJ544" s="2094">
        <f t="shared" si="890"/>
        <v>10</v>
      </c>
      <c r="AK544" s="2094">
        <f t="shared" si="890"/>
        <v>10</v>
      </c>
      <c r="AL544" s="2094"/>
      <c r="AM544" s="1246"/>
      <c r="AN544" s="1686"/>
      <c r="AO544" s="1686"/>
      <c r="AP544" s="1686"/>
      <c r="AQ544" s="1686"/>
      <c r="AR544" s="1686"/>
      <c r="AS544" s="1686"/>
      <c r="AT544" s="1686"/>
      <c r="AU544" s="1686"/>
      <c r="AV544" s="1686"/>
      <c r="AW544" s="1686"/>
    </row>
    <row r="545" customHeight="1" spans="1:49">
      <c r="A545" s="2096" t="s">
        <v>253</v>
      </c>
      <c r="B545" s="1756"/>
      <c r="C545" s="1756"/>
      <c r="D545" s="1756"/>
      <c r="E545" s="1756"/>
      <c r="F545" s="1756"/>
      <c r="G545" s="1756"/>
      <c r="H545" s="1756"/>
      <c r="I545" s="1756"/>
      <c r="J545" s="1756"/>
      <c r="K545" s="1756"/>
      <c r="L545" s="1772"/>
      <c r="M545" s="1772"/>
      <c r="N545" s="1772"/>
      <c r="O545" s="2097">
        <f>O537</f>
        <v>1884</v>
      </c>
      <c r="P545" s="2097">
        <f>P537</f>
        <v>2212</v>
      </c>
      <c r="Q545" s="2097">
        <f>Q537</f>
        <v>2270</v>
      </c>
      <c r="R545" s="2097">
        <f>R537</f>
        <v>2384</v>
      </c>
      <c r="S545" s="2097">
        <f>S537</f>
        <v>2446</v>
      </c>
      <c r="T545" s="2097">
        <f>S545+T544</f>
        <v>2740</v>
      </c>
      <c r="U545" s="2097">
        <f>T545+U544</f>
        <v>2913</v>
      </c>
      <c r="V545" s="2097">
        <f t="shared" ref="V545:AA545" si="891">V537</f>
        <v>2823</v>
      </c>
      <c r="W545" s="2097">
        <f t="shared" si="891"/>
        <v>2973</v>
      </c>
      <c r="X545" s="2097">
        <f t="shared" si="891"/>
        <v>2983</v>
      </c>
      <c r="Y545" s="2097">
        <f t="shared" si="891"/>
        <v>2993</v>
      </c>
      <c r="Z545" s="2097">
        <f t="shared" si="891"/>
        <v>3003</v>
      </c>
      <c r="AA545" s="2097">
        <f t="shared" si="891"/>
        <v>3013</v>
      </c>
      <c r="AB545" s="2097">
        <f t="shared" ref="AB545:AG545" si="892">AB537</f>
        <v>3023</v>
      </c>
      <c r="AC545" s="2097">
        <f t="shared" si="892"/>
        <v>3033</v>
      </c>
      <c r="AD545" s="2097">
        <f t="shared" si="892"/>
        <v>3043</v>
      </c>
      <c r="AE545" s="2097">
        <f t="shared" si="892"/>
        <v>3053</v>
      </c>
      <c r="AF545" s="2098">
        <f t="shared" si="892"/>
        <v>3063</v>
      </c>
      <c r="AG545" s="2097">
        <f t="shared" si="892"/>
        <v>3073</v>
      </c>
      <c r="AH545" s="2097">
        <f t="shared" ref="AH545" si="893">AH537</f>
        <v>3083</v>
      </c>
      <c r="AI545" s="2097">
        <f t="shared" ref="AI545:AJ545" si="894">AI537</f>
        <v>3093</v>
      </c>
      <c r="AJ545" s="2097">
        <f t="shared" si="894"/>
        <v>3103</v>
      </c>
      <c r="AK545" s="2097">
        <f t="shared" ref="AK545" si="895">AK537</f>
        <v>3113</v>
      </c>
      <c r="AL545" s="2097"/>
      <c r="AM545" s="1246"/>
      <c r="AN545" s="1686"/>
      <c r="AO545" s="1686"/>
      <c r="AP545" s="1686"/>
      <c r="AQ545" s="1686"/>
      <c r="AR545" s="1686"/>
      <c r="AS545" s="1686"/>
      <c r="AT545" s="1686"/>
      <c r="AU545" s="1686"/>
      <c r="AV545" s="1686"/>
      <c r="AW545" s="1686"/>
    </row>
    <row r="546" customHeight="1" spans="1:49">
      <c r="A546" s="1737" t="s">
        <v>254</v>
      </c>
      <c r="O546" s="2099"/>
      <c r="P546" s="2099">
        <f t="shared" ref="P546:V546" si="896">P525/AVERAGE(O545:P545)</f>
        <v>0.916217871671598</v>
      </c>
      <c r="Q546" s="2099">
        <f t="shared" si="896"/>
        <v>1.04149933065596</v>
      </c>
      <c r="R546" s="2099">
        <f t="shared" si="896"/>
        <v>1.16201117318436</v>
      </c>
      <c r="S546" s="2099">
        <f t="shared" si="896"/>
        <v>1.33126293995859</v>
      </c>
      <c r="T546" s="2099">
        <f t="shared" si="896"/>
        <v>1.23254917084458</v>
      </c>
      <c r="U546" s="2099">
        <f t="shared" si="896"/>
        <v>1.20239348753533</v>
      </c>
      <c r="V546" s="2099">
        <f t="shared" si="896"/>
        <v>1.25287619908176</v>
      </c>
      <c r="W546" s="2099">
        <f t="shared" ref="W546:AK546" si="897">W525/AVERAGE(V545:W545)</f>
        <v>1.38111971723918</v>
      </c>
      <c r="X546" s="2099">
        <f t="shared" si="897"/>
        <v>1.46046739857672</v>
      </c>
      <c r="Y546" s="2099">
        <f t="shared" si="897"/>
        <v>1.5097047904918</v>
      </c>
      <c r="Z546" s="2099">
        <f t="shared" si="897"/>
        <v>1.71732093093852</v>
      </c>
      <c r="AA546" s="2099">
        <f t="shared" si="897"/>
        <v>1.37050060363257</v>
      </c>
      <c r="AB546" s="2099">
        <f t="shared" si="897"/>
        <v>1.48631664981335</v>
      </c>
      <c r="AC546" s="2099">
        <f t="shared" si="897"/>
        <v>1.54824536118839</v>
      </c>
      <c r="AD546" s="2099">
        <f t="shared" si="897"/>
        <v>1.61287057676458</v>
      </c>
      <c r="AE546" s="2099">
        <f t="shared" si="897"/>
        <v>1.82587417913765</v>
      </c>
      <c r="AF546" s="2100">
        <f t="shared" si="897"/>
        <v>1.82418851243104</v>
      </c>
      <c r="AG546" s="2099">
        <f t="shared" si="897"/>
        <v>1.9422329521493</v>
      </c>
      <c r="AH546" s="2099">
        <f t="shared" si="897"/>
        <v>2.07198555393581</v>
      </c>
      <c r="AI546" s="2099">
        <f t="shared" si="897"/>
        <v>2.19346229315669</v>
      </c>
      <c r="AJ546" s="2099">
        <f t="shared" si="897"/>
        <v>2.32179250834837</v>
      </c>
      <c r="AK546" s="2099">
        <f t="shared" si="897"/>
        <v>2.45733879026861</v>
      </c>
      <c r="AL546" s="2099"/>
      <c r="AM546" s="1246"/>
      <c r="AN546" s="1686"/>
      <c r="AO546" s="1686"/>
      <c r="AP546" s="1686"/>
      <c r="AQ546" s="1686"/>
      <c r="AR546" s="1686"/>
      <c r="AS546" s="1686"/>
      <c r="AT546" s="1686"/>
      <c r="AU546" s="1686"/>
      <c r="AV546" s="1686"/>
      <c r="AW546" s="1686"/>
    </row>
    <row r="547" customHeight="1" spans="1:49">
      <c r="A547" s="1737" t="s">
        <v>113</v>
      </c>
      <c r="O547" s="1246"/>
      <c r="P547" s="1246" t="e">
        <f t="shared" ref="P547:AK547" si="898">P546/O546-1</f>
        <v>#DIV/0!</v>
      </c>
      <c r="Q547" s="1246">
        <f t="shared" si="898"/>
        <v>0.136737628524741</v>
      </c>
      <c r="R547" s="1246">
        <f t="shared" si="898"/>
        <v>0.115709956772127</v>
      </c>
      <c r="S547" s="1246">
        <f t="shared" si="898"/>
        <v>0.145654164675904</v>
      </c>
      <c r="T547" s="1246">
        <f t="shared" si="898"/>
        <v>-0.0741504673127017</v>
      </c>
      <c r="U547" s="1246">
        <f t="shared" si="898"/>
        <v>-0.0244661097687389</v>
      </c>
      <c r="V547" s="1246">
        <f t="shared" si="898"/>
        <v>0.0419851837769936</v>
      </c>
      <c r="W547" s="1246">
        <f t="shared" si="898"/>
        <v>0.10235928996928</v>
      </c>
      <c r="X547" s="1246">
        <f t="shared" si="898"/>
        <v>0.0574517041116094</v>
      </c>
      <c r="Y547" s="1246">
        <f t="shared" si="898"/>
        <v>0.0337134481489085</v>
      </c>
      <c r="Z547" s="1246">
        <f t="shared" si="898"/>
        <v>0.137521018515865</v>
      </c>
      <c r="AA547" s="1246">
        <f t="shared" si="898"/>
        <v>-0.201954288833137</v>
      </c>
      <c r="AB547" s="1246">
        <f t="shared" si="898"/>
        <v>0.0845063810069135</v>
      </c>
      <c r="AC547" s="1246">
        <f t="shared" si="898"/>
        <v>0.0416658935919345</v>
      </c>
      <c r="AD547" s="1246">
        <f t="shared" si="898"/>
        <v>0.0417409392569326</v>
      </c>
      <c r="AE547" s="1246">
        <f t="shared" si="898"/>
        <v>0.132064906782756</v>
      </c>
      <c r="AF547" s="1717">
        <f t="shared" si="898"/>
        <v>-0.000923210769871341</v>
      </c>
      <c r="AG547" s="1246">
        <f t="shared" si="898"/>
        <v>0.0647106584181663</v>
      </c>
      <c r="AH547" s="1246">
        <f t="shared" si="898"/>
        <v>0.0668058904277762</v>
      </c>
      <c r="AI547" s="1246">
        <f t="shared" si="898"/>
        <v>0.0586281786521805</v>
      </c>
      <c r="AJ547" s="1246">
        <f t="shared" si="898"/>
        <v>0.0585057767311763</v>
      </c>
      <c r="AK547" s="1246">
        <f t="shared" si="898"/>
        <v>0.05838001519639</v>
      </c>
      <c r="AL547" s="1246"/>
      <c r="AM547" s="1246"/>
      <c r="AN547" s="1686"/>
      <c r="AO547" s="1686"/>
      <c r="AP547" s="1686"/>
      <c r="AQ547" s="1686"/>
      <c r="AR547" s="1686"/>
      <c r="AS547" s="1686"/>
      <c r="AT547" s="1686"/>
      <c r="AU547" s="1686"/>
      <c r="AV547" s="1686"/>
      <c r="AW547" s="1686"/>
    </row>
    <row r="548" customHeight="1" spans="1:49">
      <c r="A548" s="1737" t="s">
        <v>255</v>
      </c>
      <c r="O548" s="2099">
        <f t="shared" ref="O548:AA548" si="899">(O15+O21)/O545</f>
        <v>0.922505307855626</v>
      </c>
      <c r="P548" s="2099">
        <f t="shared" si="899"/>
        <v>0.861663652802893</v>
      </c>
      <c r="Q548" s="2099">
        <f t="shared" si="899"/>
        <v>1.05242290748899</v>
      </c>
      <c r="R548" s="2099">
        <f t="shared" si="899"/>
        <v>1.17156040268456</v>
      </c>
      <c r="S548" s="2099">
        <f t="shared" si="899"/>
        <v>1.3789860997547</v>
      </c>
      <c r="T548" s="2099">
        <f t="shared" si="899"/>
        <v>1.25766423357664</v>
      </c>
      <c r="U548" s="2099">
        <f t="shared" si="899"/>
        <v>1.31155688037027</v>
      </c>
      <c r="V548" s="2099">
        <f t="shared" si="899"/>
        <v>1.4952178533475</v>
      </c>
      <c r="W548" s="2099">
        <f t="shared" si="899"/>
        <v>1.6828119744366</v>
      </c>
      <c r="X548" s="2099">
        <f t="shared" si="899"/>
        <v>1.96446530338585</v>
      </c>
      <c r="Y548" s="2099">
        <f t="shared" si="899"/>
        <v>2.16772469094554</v>
      </c>
      <c r="Z548" s="2099">
        <f t="shared" si="899"/>
        <v>2.6020646020646</v>
      </c>
      <c r="AA548" s="2099">
        <f t="shared" si="899"/>
        <v>2.69863923000332</v>
      </c>
      <c r="AB548" s="2099">
        <f t="shared" ref="AB548:AG548" si="900">(AB15+AB21)/AB545</f>
        <v>2.74363114996277</v>
      </c>
      <c r="AC548" s="2099">
        <f t="shared" si="900"/>
        <v>2.91394658753709</v>
      </c>
      <c r="AD548" s="2099">
        <f t="shared" si="900"/>
        <v>2.85474860335196</v>
      </c>
      <c r="AE548" s="2099">
        <f t="shared" si="900"/>
        <v>3.10841794955781</v>
      </c>
      <c r="AF548" s="2100">
        <f t="shared" si="900"/>
        <v>3.24224616389161</v>
      </c>
      <c r="AG548" s="2099">
        <f t="shared" si="900"/>
        <v>3.45207241530513</v>
      </c>
      <c r="AH548" s="2099">
        <f t="shared" ref="AH548" si="901">(AH15+AH21)/AH545</f>
        <v>3.70955875925074</v>
      </c>
      <c r="AI548" s="2099">
        <f t="shared" ref="AI548:AJ548" si="902">(AI15+AI21)/AI545</f>
        <v>3.95639493391656</v>
      </c>
      <c r="AJ548" s="2099">
        <f t="shared" si="902"/>
        <v>4.21969983813928</v>
      </c>
      <c r="AK548" s="2099">
        <f t="shared" ref="AK548" si="903">(AK15+AK21)/AK545</f>
        <v>4.50057487940521</v>
      </c>
      <c r="AL548" s="2099"/>
      <c r="AM548" s="1246"/>
      <c r="AN548" s="1686"/>
      <c r="AO548" s="1686"/>
      <c r="AP548" s="1686"/>
      <c r="AQ548" s="1686"/>
      <c r="AR548" s="1686"/>
      <c r="AS548" s="1686"/>
      <c r="AT548" s="1686"/>
      <c r="AU548" s="1686"/>
      <c r="AV548" s="1686"/>
      <c r="AW548" s="1686"/>
    </row>
    <row r="549" customHeight="1" spans="1:49">
      <c r="A549" s="1737" t="s">
        <v>113</v>
      </c>
      <c r="O549" s="1246"/>
      <c r="P549" s="1246">
        <f t="shared" ref="P549:AK549" si="904">P548/O548-1</f>
        <v>-0.0659526341308108</v>
      </c>
      <c r="Q549" s="1246">
        <f t="shared" si="904"/>
        <v>0.221384822332444</v>
      </c>
      <c r="R549" s="1246">
        <f t="shared" si="904"/>
        <v>0.113203061571352</v>
      </c>
      <c r="S549" s="1246">
        <f t="shared" si="904"/>
        <v>0.177050791913788</v>
      </c>
      <c r="T549" s="1246">
        <f t="shared" si="904"/>
        <v>-0.0879790348863128</v>
      </c>
      <c r="U549" s="1246">
        <f t="shared" si="904"/>
        <v>0.0428513790523948</v>
      </c>
      <c r="V549" s="1246">
        <f t="shared" si="904"/>
        <v>0.140032792878474</v>
      </c>
      <c r="W549" s="1246">
        <f t="shared" si="904"/>
        <v>0.125462734857738</v>
      </c>
      <c r="X549" s="1246">
        <f t="shared" si="904"/>
        <v>0.167370647005025</v>
      </c>
      <c r="Y549" s="1246">
        <f t="shared" si="904"/>
        <v>0.103468046602482</v>
      </c>
      <c r="Z549" s="1246">
        <f t="shared" si="904"/>
        <v>0.200366731501133</v>
      </c>
      <c r="AA549" s="1246">
        <f t="shared" si="904"/>
        <v>0.0371146157793669</v>
      </c>
      <c r="AB549" s="1246">
        <f t="shared" si="904"/>
        <v>0.0166720766003943</v>
      </c>
      <c r="AC549" s="1246">
        <f t="shared" si="904"/>
        <v>0.0620766525327718</v>
      </c>
      <c r="AD549" s="1246">
        <f t="shared" si="904"/>
        <v>-0.0203153978313555</v>
      </c>
      <c r="AE549" s="1246">
        <f t="shared" si="904"/>
        <v>0.0888587337981372</v>
      </c>
      <c r="AF549" s="1717">
        <f t="shared" si="904"/>
        <v>0.0430534813868368</v>
      </c>
      <c r="AG549" s="1246">
        <f t="shared" si="904"/>
        <v>0.064716323439695</v>
      </c>
      <c r="AH549" s="1246">
        <f t="shared" si="904"/>
        <v>0.0745889173135579</v>
      </c>
      <c r="AI549" s="1246">
        <f t="shared" si="904"/>
        <v>0.0665405754930488</v>
      </c>
      <c r="AJ549" s="1246">
        <f t="shared" si="904"/>
        <v>0.0665517241379312</v>
      </c>
      <c r="AK549" s="1246">
        <f t="shared" si="904"/>
        <v>0.0665628011564408</v>
      </c>
      <c r="AL549" s="1246"/>
      <c r="AM549" s="1246"/>
      <c r="AN549" s="1686"/>
      <c r="AO549" s="1686"/>
      <c r="AP549" s="1686"/>
      <c r="AQ549" s="1686"/>
      <c r="AR549" s="1686"/>
      <c r="AS549" s="1686"/>
      <c r="AT549" s="1686"/>
      <c r="AU549" s="1686"/>
      <c r="AV549" s="1686"/>
      <c r="AW549" s="1686"/>
    </row>
    <row r="550" customHeight="1" spans="1:49">
      <c r="A550" s="1737"/>
      <c r="O550" s="1679"/>
      <c r="P550" s="1679"/>
      <c r="Q550" s="1679"/>
      <c r="R550" s="1679"/>
      <c r="S550" s="1679"/>
      <c r="T550" s="1679"/>
      <c r="U550" s="1679"/>
      <c r="V550" s="1679"/>
      <c r="W550" s="1679"/>
      <c r="X550" s="1679"/>
      <c r="Y550" s="1679"/>
      <c r="Z550" s="1679"/>
      <c r="AA550" s="1679"/>
      <c r="AB550" s="1679"/>
      <c r="AC550" s="1679"/>
      <c r="AD550" s="1679"/>
      <c r="AE550" s="1679"/>
      <c r="AF550" s="2101"/>
      <c r="AG550" s="1679"/>
      <c r="AH550" s="1679"/>
      <c r="AI550" s="1679"/>
      <c r="AJ550" s="1679"/>
      <c r="AK550" s="1679"/>
      <c r="AL550" s="1679"/>
      <c r="AM550" s="1246"/>
      <c r="AN550" s="1686"/>
      <c r="AO550" s="1686"/>
      <c r="AP550" s="1686"/>
      <c r="AQ550" s="1686"/>
      <c r="AR550" s="1686"/>
      <c r="AS550" s="1686"/>
      <c r="AT550" s="1686"/>
      <c r="AU550" s="1686"/>
      <c r="AV550" s="1686"/>
      <c r="AW550" s="1686"/>
    </row>
    <row r="551" customHeight="1" spans="1:49">
      <c r="A551" s="2102" t="s">
        <v>256</v>
      </c>
      <c r="B551" s="2103"/>
      <c r="C551" s="2103"/>
      <c r="D551" s="2103"/>
      <c r="E551" s="2103"/>
      <c r="F551" s="2103"/>
      <c r="G551" s="2103"/>
      <c r="H551" s="2103"/>
      <c r="I551" s="2103"/>
      <c r="J551" s="2103"/>
      <c r="K551" s="2103"/>
      <c r="L551" s="2104"/>
      <c r="M551" s="2104"/>
      <c r="N551" s="2104"/>
      <c r="O551" s="2104"/>
      <c r="P551" s="2105"/>
      <c r="Q551" s="2105"/>
      <c r="R551" s="2105"/>
      <c r="S551" s="2105"/>
      <c r="T551" s="2105"/>
      <c r="U551" s="2105"/>
      <c r="V551" s="2105"/>
      <c r="W551" s="2105"/>
      <c r="X551" s="2105"/>
      <c r="Y551" s="2105"/>
      <c r="Z551" s="2105"/>
      <c r="AA551" s="2105"/>
      <c r="AB551" s="2105"/>
      <c r="AC551" s="2105"/>
      <c r="AD551" s="2105"/>
      <c r="AE551" s="2105"/>
      <c r="AF551" s="2106"/>
      <c r="AG551" s="2105"/>
      <c r="AH551" s="2105"/>
      <c r="AI551" s="2105"/>
      <c r="AJ551" s="2105"/>
      <c r="AK551" s="2105"/>
      <c r="AL551" s="2105"/>
      <c r="AM551" s="1246"/>
      <c r="AN551" s="1686"/>
      <c r="AO551" s="1686"/>
      <c r="AP551" s="1686"/>
      <c r="AQ551" s="1686"/>
      <c r="AR551" s="1686"/>
      <c r="AS551" s="1686"/>
      <c r="AT551" s="1686"/>
      <c r="AU551" s="1686"/>
      <c r="AV551" s="1686"/>
      <c r="AW551" s="1686"/>
    </row>
    <row r="552" customHeight="1" spans="1:49">
      <c r="AM552" s="1246"/>
    </row>
    <row r="553" customHeight="1" spans="1:49">
      <c r="AM553" s="1246"/>
    </row>
    <row r="554" customHeight="1" spans="1:49">
      <c r="AM554" s="1246"/>
    </row>
    <row r="555" customHeight="1" spans="1:49">
      <c r="AM555" s="1246"/>
    </row>
    <row r="556" customHeight="1" spans="1:49">
      <c r="AM556" s="1246"/>
    </row>
    <row r="557" customHeight="1" spans="1:49">
      <c r="AM557" s="1246"/>
    </row>
    <row r="558" customHeight="1" spans="1:49">
      <c r="AM558" s="1246"/>
    </row>
    <row r="559" customHeight="1" spans="1:49">
      <c r="AM559" s="1246"/>
    </row>
    <row r="560" customHeight="1" spans="1:49">
      <c r="AM560" s="1246"/>
    </row>
    <row r="561" customHeight="1" spans="39:39">
      <c r="AM561" s="1246"/>
    </row>
    <row r="562" customHeight="1" spans="39:39">
      <c r="AM562" s="1246"/>
    </row>
    <row r="563" customHeight="1" spans="39:39">
      <c r="AM563" s="1246"/>
    </row>
    <row r="564" customHeight="1" spans="39:39">
      <c r="AM564" s="1246"/>
    </row>
    <row r="565" customHeight="1" spans="39:39">
      <c r="AM565" s="1246"/>
    </row>
    <row r="566" customHeight="1" spans="39:39">
      <c r="AM566" s="1246"/>
    </row>
    <row r="567" customHeight="1" spans="39:39">
      <c r="AM567" s="1246"/>
    </row>
    <row r="568" customHeight="1" spans="39:39">
      <c r="AM568" s="1246"/>
    </row>
    <row r="569" customHeight="1" spans="39:39">
      <c r="AM569" s="1246"/>
    </row>
    <row r="570" customHeight="1" spans="39:39">
      <c r="AM570" s="1246"/>
    </row>
    <row r="571" customHeight="1" spans="39:39">
      <c r="AM571" s="1246"/>
    </row>
    <row r="572" customHeight="1" spans="39:39">
      <c r="AM572" s="1246"/>
    </row>
    <row r="573" customHeight="1" spans="39:39">
      <c r="AM573" s="1246"/>
    </row>
    <row r="574" customHeight="1" spans="39:39">
      <c r="AM574" s="1246"/>
    </row>
    <row r="575" customHeight="1" spans="39:39">
      <c r="AM575" s="1246"/>
    </row>
    <row r="576" customHeight="1" spans="39:39">
      <c r="AM576" s="1246"/>
    </row>
    <row r="577" customHeight="1" spans="39:39">
      <c r="AM577" s="1246"/>
    </row>
    <row r="578" customHeight="1" spans="39:39">
      <c r="AM578" s="1246"/>
    </row>
    <row r="579" customHeight="1" spans="39:39">
      <c r="AM579" s="1246"/>
    </row>
    <row r="580" customHeight="1" spans="39:39">
      <c r="AM580" s="1246"/>
    </row>
  </sheetData>
  <mergeCells count="8">
    <mergeCell ref="AM1:AN1"/>
    <mergeCell ref="AO1:AO2"/>
    <mergeCell ref="AP1:AP2"/>
    <mergeCell ref="AQ1:AQ2"/>
    <mergeCell ref="AR1:AR2"/>
    <mergeCell ref="AS1:AS2"/>
    <mergeCell ref="AT1:AT2"/>
    <mergeCell ref="AU1:AU2"/>
  </mergeCells>
  <printOptions horizontalCentered="1" verticalCentered="1"/>
  <pageMargins left="0.511811023622047" right="0.31496062992126" top="0.433070866141732" bottom="0.196850393700787" header="0.196850393700787" footer="0.196850393700787"/>
  <pageSetup paperSize="1" scale="13" orientation="portrait"/>
  <headerFooter alignWithMargins="0"/>
  <customProperties>
    <customPr name="Qube.Worksheet.ID" r:id="rId4"/>
    <customPr name="Qube.Worksheet.Visibility" r:id="rId5"/>
  </customPropertie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pageSetUpPr fitToPage="1"/>
  </sheetPr>
  <dimension ref="A1:NQ1066"/>
  <sheetViews>
    <sheetView showGridLines="0" zoomScale="90" zoomScaleNormal="90" zoomScaleSheetLayoutView="80" workbookViewId="0">
      <pane xSplit="1" ySplit="2" topLeftCell="IH440" activePane="bottomRight" state="frozen"/>
      <selection/>
      <selection pane="topRight"/>
      <selection pane="bottomLeft"/>
      <selection pane="bottomRight" activeCell="IS445" sqref="IS445"/>
    </sheetView>
  </sheetViews>
  <sheetFormatPr defaultColWidth="66.2857142857143" defaultRowHeight="16.8"/>
  <cols>
    <col min="1" max="1" width="43.2857142857143" style="1035" customWidth="1"/>
    <col min="2" max="3" width="45" style="1036" hidden="1" customWidth="1" outlineLevel="2"/>
    <col min="4" max="5" width="50.7142857142857" style="1036" hidden="1" customWidth="1" outlineLevel="2"/>
    <col min="6" max="6" width="56" style="1036" hidden="1" customWidth="1" outlineLevel="2"/>
    <col min="7" max="7" width="45" style="1036" hidden="1" customWidth="1" outlineLevel="2"/>
    <col min="8" max="8" width="52" style="1036" hidden="1" customWidth="1" outlineLevel="2" collapsed="1"/>
    <col min="9" max="9" width="56" style="1036" hidden="1" customWidth="1" outlineLevel="2" collapsed="1"/>
    <col min="10" max="11" width="50" style="1036" hidden="1" customWidth="1" outlineLevel="2"/>
    <col min="12" max="12" width="56" style="1036" hidden="1" customWidth="1" outlineLevel="2"/>
    <col min="13" max="13" width="50" style="1036" hidden="1" customWidth="1" outlineLevel="2"/>
    <col min="14" max="14" width="56" style="1036" hidden="1" customWidth="1" outlineLevel="2"/>
    <col min="15" max="15" width="57" style="1036" hidden="1" customWidth="1" outlineLevel="2"/>
    <col min="16" max="16" width="57" style="1036" hidden="1" customWidth="1" outlineLevel="2" collapsed="1"/>
    <col min="17" max="17" width="56" style="1036" hidden="1" customWidth="1" outlineLevel="2" collapsed="1"/>
    <col min="18" max="20" width="57" style="1036" hidden="1" customWidth="1" outlineLevel="2"/>
    <col min="21" max="22" width="56" style="1036" hidden="1" customWidth="1" outlineLevel="2"/>
    <col min="23" max="23" width="57" style="1036" hidden="1" customWidth="1" outlineLevel="2"/>
    <col min="24" max="24" width="59" style="1036" hidden="1" customWidth="1" outlineLevel="2" collapsed="1"/>
    <col min="25" max="25" width="56" style="1036" hidden="1" customWidth="1" outlineLevel="2" collapsed="1"/>
    <col min="26" max="28" width="64" style="1036" hidden="1" customWidth="1" outlineLevel="2"/>
    <col min="29" max="29" width="59" style="1036" hidden="1" customWidth="1" outlineLevel="2"/>
    <col min="30" max="30" width="99.7142857142857" style="1036" hidden="1" customWidth="1" outlineLevel="2"/>
    <col min="31" max="31" width="57" style="1036" hidden="1" customWidth="1" outlineLevel="2"/>
    <col min="32" max="33" width="56" style="1036" hidden="1" customWidth="1" outlineLevel="2" collapsed="1"/>
    <col min="34" max="38" width="56" style="1036" hidden="1" customWidth="1" outlineLevel="2"/>
    <col min="39" max="39" width="57" style="1036" hidden="1" customWidth="1" outlineLevel="2"/>
    <col min="40" max="41" width="56" style="1036" hidden="1" customWidth="1" outlineLevel="2" collapsed="1"/>
    <col min="42" max="47" width="56" style="1036" hidden="1" customWidth="1" outlineLevel="2"/>
    <col min="48" max="49" width="56" style="1036" hidden="1" customWidth="1" outlineLevel="2" collapsed="1"/>
    <col min="50" max="55" width="56" style="1036" hidden="1" customWidth="1" outlineLevel="2"/>
    <col min="56" max="57" width="56" style="1036" hidden="1" customWidth="1" outlineLevel="2" collapsed="1"/>
    <col min="58" max="63" width="56" style="1036" hidden="1" customWidth="1" outlineLevel="2"/>
    <col min="64" max="65" width="56" style="1036" hidden="1" customWidth="1" outlineLevel="2" collapsed="1"/>
    <col min="66" max="66" width="56" style="1036" hidden="1" customWidth="1" outlineLevel="2"/>
    <col min="67" max="67" width="57" style="1036" hidden="1" customWidth="1" outlineLevel="2"/>
    <col min="68" max="70" width="56" style="1036" hidden="1" customWidth="1" outlineLevel="2"/>
    <col min="71" max="71" width="57" style="1036" hidden="1" customWidth="1" outlineLevel="2"/>
    <col min="72" max="73" width="56" style="1036" hidden="1" customWidth="1" outlineLevel="2" collapsed="1"/>
    <col min="74" max="74" width="56" style="1036" hidden="1" customWidth="1" outlineLevel="2"/>
    <col min="75" max="75" width="57" style="1036" hidden="1" customWidth="1" outlineLevel="2"/>
    <col min="76" max="78" width="56" style="1036" hidden="1" customWidth="1" outlineLevel="2"/>
    <col min="79" max="79" width="57" style="1036" hidden="1" customWidth="1" outlineLevel="2"/>
    <col min="80" max="80" width="56" style="1036" hidden="1" customWidth="1" outlineLevel="2" collapsed="1"/>
    <col min="81" max="81" width="63" style="1036" hidden="1" customWidth="1" outlineLevel="2" collapsed="1"/>
    <col min="82" max="85" width="63" style="1036" hidden="1" customWidth="1" outlineLevel="2"/>
    <col min="86" max="86" width="71" style="1036" hidden="1" customWidth="1" outlineLevel="2"/>
    <col min="87" max="87" width="63" style="1036" hidden="1" customWidth="1" outlineLevel="2"/>
    <col min="88" max="88" width="73.2857142857143" style="1036" hidden="1" customWidth="1" outlineLevel="2"/>
    <col min="89" max="89" width="71" style="1036" hidden="1" customWidth="1" outlineLevel="2" collapsed="1"/>
    <col min="90" max="95" width="70.7142857142857" style="1036" hidden="1" customWidth="1" outlineLevel="2"/>
    <col min="96" max="97" width="70.7142857142857" style="1036" hidden="1" customWidth="1" outlineLevel="2" collapsed="1"/>
    <col min="98" max="99" width="70.7142857142857" style="1036" hidden="1" customWidth="1" outlineLevel="1" collapsed="1"/>
    <col min="100" max="100" width="70.7142857142857" style="1036" hidden="1" customWidth="1" outlineLevel="3" collapsed="1"/>
    <col min="101" max="101" width="70.7142857142857" style="1036" hidden="1" customWidth="1" outlineLevel="1" collapsed="1"/>
    <col min="102" max="102" width="70.7142857142857" style="1036" hidden="1" customWidth="1" outlineLevel="3" collapsed="1"/>
    <col min="103" max="103" width="70.7142857142857" style="1036" hidden="1" customWidth="1" outlineLevel="1" collapsed="1"/>
    <col min="104" max="104" width="70.7142857142857" style="1036" hidden="1" customWidth="1" outlineLevel="2"/>
    <col min="105" max="105" width="69.2857142857143" style="1036" hidden="1" customWidth="1" outlineLevel="2" collapsed="1"/>
    <col min="106" max="106" width="74.7142857142857" style="1037" hidden="1" customWidth="1" outlineLevel="1" collapsed="1"/>
    <col min="107" max="107" width="70.7142857142857" style="1037" hidden="1" customWidth="1" outlineLevel="1" collapsed="1"/>
    <col min="108" max="108" width="70.7142857142857" style="1037" hidden="1" customWidth="1" outlineLevel="2" collapsed="1"/>
    <col min="109" max="109" width="70.7142857142857" style="1037" hidden="1" customWidth="1" outlineLevel="1" collapsed="1"/>
    <col min="110" max="110" width="70.7142857142857" style="1037" hidden="1" customWidth="1" outlineLevel="2" collapsed="1"/>
    <col min="111" max="111" width="70.7142857142857" style="1037" hidden="1" customWidth="1" outlineLevel="1" collapsed="1"/>
    <col min="112" max="112" width="70.7142857142857" style="1037" hidden="1" customWidth="1" outlineLevel="2"/>
    <col min="113" max="113" width="70.7142857142857" style="1038" hidden="1" customWidth="1" outlineLevel="1" collapsed="1"/>
    <col min="114" max="114" width="74.7142857142857" style="1037" hidden="1" customWidth="1" outlineLevel="1"/>
    <col min="115" max="115" width="70.7142857142857" style="1037" hidden="1" customWidth="1" outlineLevel="1" collapsed="1"/>
    <col min="116" max="116" width="77.7142857142857" style="1037" hidden="1" customWidth="1" outlineLevel="2" collapsed="1"/>
    <col min="117" max="117" width="70.7142857142857" style="1037" hidden="1" customWidth="1" outlineLevel="1" collapsed="1"/>
    <col min="118" max="118" width="70.7142857142857" style="1037" hidden="1" customWidth="1" outlineLevel="2" collapsed="1"/>
    <col min="119" max="119" width="70.7142857142857" style="1037" hidden="1" customWidth="1" outlineLevel="1" collapsed="1"/>
    <col min="120" max="120" width="70.7142857142857" style="1037" hidden="1" customWidth="1" outlineLevel="2"/>
    <col min="121" max="121" width="69.2857142857143" style="1038" hidden="1" customWidth="1" outlineLevel="2"/>
    <col min="122" max="123" width="15.7142857142857" style="1037" hidden="1" customWidth="1" outlineLevel="1" collapsed="1"/>
    <col min="124" max="124" width="15.7142857142857" style="1037" hidden="1" customWidth="1" outlineLevel="2" collapsed="1"/>
    <col min="125" max="125" width="15.7142857142857" style="1037" hidden="1" customWidth="1" outlineLevel="1" collapsed="1"/>
    <col min="126" max="126" width="15.7142857142857" style="1037" hidden="1" customWidth="1" outlineLevel="2" collapsed="1"/>
    <col min="127" max="127" width="15.7142857142857" style="1037" hidden="1" customWidth="1" outlineLevel="1" collapsed="1"/>
    <col min="128" max="128" width="15.7142857142857" style="1037" hidden="1" customWidth="1" outlineLevel="2"/>
    <col min="129" max="129" width="15.7142857142857" style="1038" hidden="1" customWidth="1" outlineLevel="2" collapsed="1"/>
    <col min="130" max="131" width="15.7142857142857" style="1037" hidden="1" customWidth="1" outlineLevel="1" collapsed="1"/>
    <col min="132" max="132" width="15.7142857142857" style="1037" hidden="1" customWidth="1" outlineLevel="2" collapsed="1"/>
    <col min="133" max="133" width="15.7142857142857" style="1037" hidden="1" customWidth="1" outlineLevel="1" collapsed="1"/>
    <col min="134" max="134" width="15.7142857142857" style="1037" hidden="1" customWidth="1" outlineLevel="2" collapsed="1"/>
    <col min="135" max="135" width="15.7142857142857" style="1037" hidden="1" customWidth="1" outlineLevel="1" collapsed="1"/>
    <col min="136" max="136" width="15.7142857142857" style="1037" hidden="1" customWidth="1" outlineLevel="2"/>
    <col min="137" max="137" width="15.7142857142857" style="1038" hidden="1" customWidth="1" outlineLevel="2"/>
    <col min="138" max="138" width="15.7142857142857" style="1037" hidden="1" customWidth="1" outlineLevel="1" collapsed="1"/>
    <col min="139" max="139" width="15.7142857142857" style="1037" hidden="1" customWidth="1" outlineLevel="2"/>
    <col min="140" max="140" width="15.7142857142857" style="1037" hidden="1" customWidth="1" outlineLevel="3" collapsed="1"/>
    <col min="141" max="141" width="15.7142857142857" style="1037" hidden="1" customWidth="1" outlineLevel="2"/>
    <col min="142" max="142" width="15.7142857142857" style="1037" hidden="1" customWidth="1" outlineLevel="3" collapsed="1"/>
    <col min="143" max="143" width="15.7142857142857" style="1037" hidden="1" customWidth="1" outlineLevel="2"/>
    <col min="144" max="144" width="15.7142857142857" style="1037" hidden="1" customWidth="1" outlineLevel="3"/>
    <col min="145" max="145" width="15.7142857142857" style="1038" hidden="1" customWidth="1" outlineLevel="3"/>
    <col min="146" max="147" width="15.7142857142857" style="1037" hidden="1" customWidth="1" outlineLevel="2"/>
    <col min="148" max="148" width="15.7142857142857" style="1037" hidden="1" customWidth="1" outlineLevel="3"/>
    <col min="149" max="149" width="15.7142857142857" style="1037" hidden="1" customWidth="1" outlineLevel="2"/>
    <col min="150" max="150" width="15.7142857142857" style="1037" hidden="1" customWidth="1" outlineLevel="3"/>
    <col min="151" max="151" width="15.7142857142857" style="1037" hidden="1" customWidth="1" outlineLevel="2"/>
    <col min="152" max="152" width="15.7142857142857" style="1037" hidden="1" customWidth="1" outlineLevel="3"/>
    <col min="153" max="153" width="15.7142857142857" style="1039" hidden="1" customWidth="1" outlineLevel="3"/>
    <col min="154" max="155" width="15.7142857142857" style="891" hidden="1" customWidth="1" outlineLevel="2"/>
    <col min="156" max="156" width="15.7142857142857" style="891" hidden="1" customWidth="1" outlineLevel="3"/>
    <col min="157" max="157" width="15.7142857142857" style="891" hidden="1" customWidth="1" outlineLevel="2"/>
    <col min="158" max="158" width="15.7142857142857" style="891" hidden="1" customWidth="1" outlineLevel="3"/>
    <col min="159" max="159" width="15.7142857142857" style="891" hidden="1" customWidth="1" outlineLevel="2"/>
    <col min="160" max="160" width="15.7142857142857" style="891" hidden="1" customWidth="1" outlineLevel="3"/>
    <col min="161" max="161" width="15.7142857142857" style="1039" hidden="1" customWidth="1" outlineLevel="3"/>
    <col min="162" max="163" width="15.7142857142857" style="891" hidden="1" customWidth="1" outlineLevel="2"/>
    <col min="164" max="164" width="15.7142857142857" style="891" hidden="1" customWidth="1" outlineLevel="3"/>
    <col min="165" max="165" width="15.7142857142857" style="891" hidden="1" customWidth="1" outlineLevel="2"/>
    <col min="166" max="166" width="15.7142857142857" style="891" hidden="1" customWidth="1" outlineLevel="3"/>
    <col min="167" max="167" width="15.7142857142857" style="891" hidden="1" customWidth="1" outlineLevel="2"/>
    <col min="168" max="168" width="15.7142857142857" style="891" hidden="1" customWidth="1" outlineLevel="3"/>
    <col min="169" max="169" width="15.7142857142857" style="1039" hidden="1" customWidth="1" outlineLevel="3"/>
    <col min="170" max="170" width="15.7142857142857" style="891" hidden="1" customWidth="1" outlineLevel="1" collapsed="1"/>
    <col min="171" max="171" width="15.7142857142857" style="891" hidden="1" customWidth="1" outlineLevel="1"/>
    <col min="172" max="172" width="15.7142857142857" style="891" hidden="1" customWidth="1" outlineLevel="2"/>
    <col min="173" max="173" width="15.7142857142857" style="891" hidden="1" customWidth="1" outlineLevel="1" collapsed="1"/>
    <col min="174" max="174" width="15.7142857142857" style="891" hidden="1" customWidth="1" outlineLevel="2"/>
    <col min="175" max="175" width="15.7142857142857" style="891" hidden="1" customWidth="1" outlineLevel="1" collapsed="1"/>
    <col min="176" max="177" width="15.7142857142857" style="891" hidden="1" customWidth="1" outlineLevel="2"/>
    <col min="178" max="178" width="10.5714285714286" style="1040" hidden="1" customWidth="1" outlineLevel="1" collapsed="1"/>
    <col min="179" max="179" width="15" style="891" hidden="1" customWidth="1" outlineLevel="1"/>
    <col min="180" max="184" width="10.5714285714286" style="891" hidden="1" customWidth="1" outlineLevel="1"/>
    <col min="185" max="185" width="11.5714285714286" style="1039" hidden="1" customWidth="1" outlineLevel="1"/>
    <col min="186" max="187" width="15.7142857142857" style="891" hidden="1" customWidth="1" outlineLevel="2"/>
    <col min="188" max="188" width="10.5714285714286" style="891" hidden="1" customWidth="1" outlineLevel="2"/>
    <col min="189" max="191" width="15.7142857142857" style="891" hidden="1" customWidth="1" outlineLevel="2"/>
    <col min="192" max="192" width="10.5714285714286" style="891" hidden="1" customWidth="1" outlineLevel="2"/>
    <col min="193" max="193" width="15.7142857142857" style="1039" hidden="1" customWidth="1" outlineLevel="2"/>
    <col min="194" max="194" width="9.42857142857143" style="891" hidden="1" customWidth="1" outlineLevel="1" collapsed="1"/>
    <col min="195" max="195" width="8.57142857142857" style="891" hidden="1" customWidth="1" outlineLevel="1"/>
    <col min="196" max="197" width="8.71428571428571" style="891" hidden="1" customWidth="1" outlineLevel="1"/>
    <col min="198" max="198" width="9.42857142857143" style="891" hidden="1" customWidth="1" outlineLevel="1"/>
    <col min="199" max="200" width="8.71428571428571" style="891" hidden="1" customWidth="1" outlineLevel="1"/>
    <col min="201" max="201" width="9.57142857142857" style="1039" hidden="1" customWidth="1" outlineLevel="1"/>
    <col min="202" max="204" width="9.85714285714286" style="891" hidden="1" customWidth="1" outlineLevel="1"/>
    <col min="205" max="206" width="8.71428571428571" style="891" hidden="1" customWidth="1" outlineLevel="1"/>
    <col min="207" max="207" width="8.57142857142857" style="891" hidden="1" customWidth="1" outlineLevel="1"/>
    <col min="208" max="208" width="8.71428571428571" style="891" hidden="1" customWidth="1" outlineLevel="1"/>
    <col min="209" max="209" width="9.57142857142857" style="1039" hidden="1" customWidth="1" outlineLevel="1"/>
    <col min="210" max="211" width="8.71428571428571" style="891" hidden="1" customWidth="1" outlineLevel="1"/>
    <col min="212" max="212" width="9.14285714285714" style="891" hidden="1" customWidth="1" outlineLevel="1"/>
    <col min="213" max="216" width="8.71428571428571" style="891" hidden="1" customWidth="1" outlineLevel="1"/>
    <col min="217" max="217" width="9.57142857142857" style="1039" hidden="1" customWidth="1" outlineLevel="1"/>
    <col min="218" max="222" width="8.71428571428571" style="891" hidden="1" customWidth="1" outlineLevel="1"/>
    <col min="223" max="223" width="9.85714285714286" style="891" hidden="1" customWidth="1" outlineLevel="1"/>
    <col min="224" max="224" width="8.71428571428571" style="891" hidden="1" customWidth="1" outlineLevel="1"/>
    <col min="225" max="225" width="9.57142857142857" style="1039" hidden="1" customWidth="1" outlineLevel="1"/>
    <col min="226" max="226" width="16.8571428571429" style="891" hidden="1" customWidth="1" outlineLevel="1"/>
    <col min="227" max="227" width="8.42857142857143" style="891" hidden="1" customWidth="1" outlineLevel="1"/>
    <col min="228" max="228" width="8.71428571428571" style="891" hidden="1" customWidth="1" outlineLevel="1"/>
    <col min="229" max="229" width="8.42857142857143" style="891" hidden="1" customWidth="1" outlineLevel="1"/>
    <col min="230" max="230" width="8.71428571428571" style="891" hidden="1" customWidth="1" outlineLevel="1"/>
    <col min="231" max="231" width="9.71428571428571" style="891" hidden="1" customWidth="1" outlineLevel="1"/>
    <col min="232" max="233" width="8.71428571428571" style="891" hidden="1" customWidth="1" outlineLevel="1"/>
    <col min="234" max="234" width="16.8571428571429" style="891" hidden="1" customWidth="1" outlineLevel="1"/>
    <col min="235" max="235" width="8.42857142857143" style="891" hidden="1" customWidth="1" outlineLevel="1"/>
    <col min="236" max="236" width="10.2857142857143" style="891" hidden="1" customWidth="1" outlineLevel="1"/>
    <col min="237" max="237" width="8.42857142857143" style="891" hidden="1" customWidth="1" outlineLevel="1"/>
    <col min="238" max="238" width="8.71428571428571" style="891" hidden="1" customWidth="1" outlineLevel="1"/>
    <col min="239" max="239" width="8.42857142857143" style="891" hidden="1" customWidth="1" outlineLevel="1"/>
    <col min="240" max="240" width="8.71428571428571" style="891" hidden="1" customWidth="1" outlineLevel="1"/>
    <col min="241" max="241" width="9.14285714285714" style="1039" hidden="1" customWidth="1" outlineLevel="1"/>
    <col min="242" max="242" width="9.57142857142857" style="891" customWidth="1" outlineLevel="1"/>
    <col min="243" max="243" width="10" style="891" customWidth="1" outlineLevel="1"/>
    <col min="244" max="244" width="8.71428571428571" style="891" hidden="1" customWidth="1" outlineLevel="1"/>
    <col min="245" max="245" width="10.7142857142857" style="891" customWidth="1" outlineLevel="1"/>
    <col min="246" max="246" width="9.57142857142857" style="891" hidden="1" customWidth="1" outlineLevel="1"/>
    <col min="247" max="247" width="9.57142857142857" style="891" customWidth="1" outlineLevel="1"/>
    <col min="248" max="248" width="9.57142857142857" style="891" hidden="1" customWidth="1" outlineLevel="1"/>
    <col min="249" max="249" width="10.1428571428571" style="1039" customWidth="1" outlineLevel="1"/>
    <col min="250" max="250" width="10.1428571428571" style="891" customWidth="1" outlineLevel="1"/>
    <col min="251" max="251" width="9.71428571428571" style="891" customWidth="1" outlineLevel="1"/>
    <col min="252" max="252" width="8.71428571428571" style="891" hidden="1" customWidth="1" outlineLevel="1"/>
    <col min="253" max="253" width="9.85714285714286" style="891" customWidth="1" outlineLevel="1"/>
    <col min="254" max="254" width="12.7142857142857" style="891" hidden="1" customWidth="1" outlineLevel="1"/>
    <col min="255" max="255" width="9.71428571428571" style="891" customWidth="1" outlineLevel="1"/>
    <col min="256" max="256" width="8.71428571428571" style="891" hidden="1" customWidth="1" outlineLevel="1"/>
    <col min="257" max="257" width="9.85714285714286" style="891" customWidth="1" outlineLevel="1"/>
    <col min="258" max="274" width="12.7142857142857" style="891" customWidth="1" outlineLevel="1"/>
    <col min="275" max="280" width="12.7142857142857" style="1037" customWidth="1"/>
    <col min="281" max="281" width="12.7142857142857" style="1041" customWidth="1"/>
    <col min="282" max="285" width="12.7142857142857" style="1037" customWidth="1"/>
    <col min="286" max="310" width="12.7142857142857" style="1035" customWidth="1"/>
    <col min="311" max="16384" width="66.2857142857143" style="1035"/>
  </cols>
  <sheetData>
    <row r="1" spans="1:286">
      <c r="A1" s="1042">
        <f ca="1">TODAY()</f>
        <v>46294</v>
      </c>
      <c r="B1" s="1043">
        <v>1995</v>
      </c>
      <c r="C1" s="1043"/>
      <c r="D1" s="1043"/>
      <c r="E1" s="1043"/>
      <c r="F1" s="1043"/>
      <c r="G1" s="1043"/>
      <c r="H1" s="1043"/>
      <c r="I1" s="1043"/>
      <c r="J1" s="1043">
        <v>1996</v>
      </c>
      <c r="K1" s="1043"/>
      <c r="L1" s="1043"/>
      <c r="M1" s="1043"/>
      <c r="N1" s="1043"/>
      <c r="O1" s="1043"/>
      <c r="P1" s="1043"/>
      <c r="Q1" s="1043"/>
      <c r="R1" s="1043">
        <v>1997</v>
      </c>
      <c r="S1" s="1043"/>
      <c r="T1" s="1043"/>
      <c r="U1" s="1043"/>
      <c r="V1" s="1043"/>
      <c r="W1" s="1043"/>
      <c r="X1" s="1043"/>
      <c r="Y1" s="1043"/>
      <c r="Z1" s="1043">
        <v>1998</v>
      </c>
      <c r="AA1" s="1043"/>
      <c r="AB1" s="1043"/>
      <c r="AC1" s="1043"/>
      <c r="AD1" s="1043"/>
      <c r="AE1" s="1043"/>
      <c r="AF1" s="1043"/>
      <c r="AG1" s="1043"/>
      <c r="AH1" s="1043">
        <v>1999</v>
      </c>
      <c r="AI1" s="1043"/>
      <c r="AJ1" s="1043"/>
      <c r="AK1" s="1043"/>
      <c r="AL1" s="1043"/>
      <c r="AM1" s="1043"/>
      <c r="AN1" s="1043"/>
      <c r="AO1" s="1043"/>
      <c r="AP1" s="1043">
        <v>2000</v>
      </c>
      <c r="AQ1" s="1043"/>
      <c r="AR1" s="1043"/>
      <c r="AS1" s="1043"/>
      <c r="AT1" s="1043"/>
      <c r="AU1" s="1043"/>
      <c r="AV1" s="1043"/>
      <c r="AW1" s="1043"/>
      <c r="AX1" s="1044">
        <v>2001</v>
      </c>
      <c r="AY1" s="1045"/>
      <c r="AZ1" s="1045"/>
      <c r="BA1" s="1045"/>
      <c r="BB1" s="1045"/>
      <c r="BC1" s="1045"/>
      <c r="BD1" s="1045"/>
      <c r="BE1" s="1046"/>
      <c r="BF1" s="1045">
        <v>2002</v>
      </c>
      <c r="BG1" s="1045"/>
      <c r="BH1" s="1045"/>
      <c r="BI1" s="1045"/>
      <c r="BJ1" s="1045"/>
      <c r="BK1" s="1045"/>
      <c r="BL1" s="1045"/>
      <c r="BM1" s="1045"/>
      <c r="BN1" s="1044">
        <v>2003</v>
      </c>
      <c r="BO1" s="1045"/>
      <c r="BP1" s="1045"/>
      <c r="BQ1" s="1045"/>
      <c r="BR1" s="1045"/>
      <c r="BS1" s="1045"/>
      <c r="BT1" s="1045"/>
      <c r="BU1" s="1046"/>
      <c r="BV1" s="1044">
        <v>2004</v>
      </c>
      <c r="BW1" s="1045"/>
      <c r="BX1" s="1045"/>
      <c r="BY1" s="1045"/>
      <c r="BZ1" s="1045"/>
      <c r="CA1" s="1045"/>
      <c r="CB1" s="1045"/>
      <c r="CC1" s="1046"/>
      <c r="CD1" s="1044">
        <v>2005</v>
      </c>
      <c r="CE1" s="1045"/>
      <c r="CF1" s="1045"/>
      <c r="CG1" s="1045"/>
      <c r="CH1" s="1045"/>
      <c r="CI1" s="1045"/>
      <c r="CJ1" s="1045"/>
      <c r="CK1" s="1046"/>
      <c r="CL1" s="1044">
        <v>2006</v>
      </c>
      <c r="CM1" s="1045"/>
      <c r="CN1" s="1045"/>
      <c r="CO1" s="1045"/>
      <c r="CP1" s="1045"/>
      <c r="CQ1" s="1045"/>
      <c r="CR1" s="1045"/>
      <c r="CS1" s="1046"/>
      <c r="CT1" s="1044">
        <v>2007</v>
      </c>
      <c r="CU1" s="1045"/>
      <c r="CV1" s="1045"/>
      <c r="CW1" s="1045"/>
      <c r="CX1" s="1045"/>
      <c r="CY1" s="1045"/>
      <c r="CZ1" s="1045"/>
      <c r="DA1" s="1046"/>
      <c r="DB1" s="1044">
        <v>2008</v>
      </c>
      <c r="DC1" s="1045"/>
      <c r="DD1" s="1045"/>
      <c r="DE1" s="1045"/>
      <c r="DF1" s="1045"/>
      <c r="DG1" s="1045"/>
      <c r="DH1" s="1045"/>
      <c r="DI1" s="1046"/>
      <c r="DJ1" s="1044">
        <v>2009</v>
      </c>
      <c r="DK1" s="1045"/>
      <c r="DL1" s="1045"/>
      <c r="DM1" s="1045"/>
      <c r="DN1" s="1045"/>
      <c r="DO1" s="1045"/>
      <c r="DP1" s="1045"/>
      <c r="DQ1" s="1045"/>
      <c r="DR1" s="1045">
        <v>2010</v>
      </c>
      <c r="DS1" s="1045"/>
      <c r="DT1" s="1045"/>
      <c r="DU1" s="1045"/>
      <c r="DV1" s="1045"/>
      <c r="DW1" s="1045"/>
      <c r="DX1" s="1045"/>
      <c r="DY1" s="1045"/>
      <c r="DZ1" s="1045">
        <v>2011</v>
      </c>
      <c r="EA1" s="1045"/>
      <c r="EB1" s="1045"/>
      <c r="EC1" s="1045"/>
      <c r="ED1" s="1045"/>
      <c r="EE1" s="1045"/>
      <c r="EF1" s="1045"/>
      <c r="EG1" s="1045"/>
      <c r="EH1" s="1045">
        <v>2012</v>
      </c>
      <c r="EI1" s="1045"/>
      <c r="EJ1" s="1045"/>
      <c r="EK1" s="1045"/>
      <c r="EL1" s="1045"/>
      <c r="EM1" s="1045"/>
      <c r="EN1" s="1045"/>
      <c r="EO1" s="1046"/>
      <c r="EP1" s="1045">
        <v>2013</v>
      </c>
      <c r="EQ1" s="1045"/>
      <c r="ER1" s="1045"/>
      <c r="ES1" s="1045"/>
      <c r="ET1" s="1045"/>
      <c r="EU1" s="1045"/>
      <c r="EV1" s="1045"/>
      <c r="EW1" s="1045"/>
      <c r="EX1" s="1045">
        <v>2014</v>
      </c>
      <c r="EY1" s="1045"/>
      <c r="EZ1" s="1045"/>
      <c r="FA1" s="1045"/>
      <c r="FB1" s="1045"/>
      <c r="FC1" s="1045"/>
      <c r="FD1" s="1045"/>
      <c r="FE1" s="1045"/>
      <c r="FF1" s="1045">
        <v>2015</v>
      </c>
      <c r="FG1" s="1045"/>
      <c r="FH1" s="1045"/>
      <c r="FI1" s="1045"/>
      <c r="FJ1" s="1045"/>
      <c r="FK1" s="1045"/>
      <c r="FL1" s="1045"/>
      <c r="FM1" s="1045"/>
      <c r="FN1" s="1045">
        <v>2016</v>
      </c>
      <c r="FO1" s="1045"/>
      <c r="FP1" s="1045"/>
      <c r="FQ1" s="1045"/>
      <c r="FR1" s="1045"/>
      <c r="FS1" s="1045"/>
      <c r="FT1" s="1045"/>
      <c r="FU1" s="1045"/>
      <c r="FV1" s="1044">
        <v>2017</v>
      </c>
      <c r="FW1" s="1045"/>
      <c r="FX1" s="1045"/>
      <c r="FY1" s="1045"/>
      <c r="FZ1" s="1045"/>
      <c r="GA1" s="1045"/>
      <c r="GB1" s="1045"/>
      <c r="GC1" s="1045"/>
      <c r="GD1" s="1044" t="s">
        <v>257</v>
      </c>
      <c r="GE1" s="1045"/>
      <c r="GF1" s="1045"/>
      <c r="GG1" s="1045"/>
      <c r="GH1" s="1045"/>
      <c r="GI1" s="1045"/>
      <c r="GJ1" s="1045"/>
      <c r="GK1" s="1045"/>
      <c r="GL1" s="1045"/>
      <c r="GM1" s="1045"/>
      <c r="GN1" s="1045"/>
      <c r="GO1" s="1045"/>
      <c r="GP1" s="1045"/>
      <c r="GQ1" s="1045"/>
      <c r="GR1" s="1045"/>
      <c r="GS1" s="1046"/>
      <c r="GT1" s="1045"/>
      <c r="GU1" s="1045"/>
      <c r="GV1" s="1045"/>
      <c r="GW1" s="1045"/>
      <c r="GX1" s="1045"/>
      <c r="GY1" s="1045"/>
      <c r="GZ1" s="1045"/>
      <c r="HA1" s="1046"/>
      <c r="HB1" s="1045"/>
      <c r="HC1" s="1045"/>
      <c r="HD1" s="1045"/>
      <c r="HE1" s="1045"/>
      <c r="HF1" s="1045"/>
      <c r="HG1" s="1045"/>
      <c r="HH1" s="1045"/>
      <c r="HI1" s="1046"/>
      <c r="HJ1" s="1045"/>
      <c r="HK1" s="1045"/>
      <c r="HL1" s="1045"/>
      <c r="HM1" s="1045"/>
      <c r="HN1" s="1045"/>
      <c r="HO1" s="1045"/>
      <c r="HP1" s="1045"/>
      <c r="HQ1" s="1046"/>
      <c r="HR1" s="1047"/>
      <c r="HS1" s="1047"/>
      <c r="HT1" s="1047"/>
      <c r="HU1" s="1047"/>
      <c r="HV1" s="1047"/>
      <c r="HW1" s="1047"/>
      <c r="HX1" s="1047"/>
      <c r="HY1" s="1048"/>
      <c r="HZ1" s="1047"/>
      <c r="IA1" s="1047"/>
      <c r="IB1" s="1047"/>
      <c r="IC1" s="1047"/>
      <c r="ID1" s="1047"/>
      <c r="IE1" s="1047"/>
      <c r="IF1" s="1047"/>
      <c r="IG1" s="1048"/>
      <c r="IH1" s="1047"/>
      <c r="II1" s="1047"/>
      <c r="IJ1" s="1047"/>
      <c r="IK1" s="1047"/>
      <c r="IL1" s="1047"/>
      <c r="IM1" s="1047"/>
      <c r="IN1" s="1047"/>
      <c r="IO1" s="1048"/>
      <c r="IP1" s="1045"/>
      <c r="IQ1" s="1045"/>
      <c r="IR1" s="1045"/>
      <c r="IS1" s="1045"/>
      <c r="IT1" s="1045"/>
      <c r="IU1" s="1045"/>
      <c r="IV1" s="1045"/>
      <c r="IW1" s="1045"/>
      <c r="IX1" s="1049"/>
      <c r="IY1" s="1049"/>
      <c r="IZ1" s="1049"/>
      <c r="JA1" s="1049"/>
      <c r="JB1" s="1049"/>
      <c r="JC1" s="1049"/>
      <c r="JD1" s="1050">
        <v>2015</v>
      </c>
      <c r="JE1" s="1050"/>
      <c r="JF1" s="1050"/>
      <c r="JG1" s="1050"/>
      <c r="JH1" s="1050"/>
      <c r="JI1" s="1050"/>
      <c r="JJ1" s="1035"/>
      <c r="JK1" s="1050">
        <v>2016</v>
      </c>
      <c r="JL1" s="1050"/>
      <c r="JM1" s="1050"/>
      <c r="JN1" s="1050"/>
      <c r="JO1" s="1050"/>
      <c r="JP1" s="1050"/>
      <c r="JQ1" s="1035"/>
      <c r="JR1" s="1035"/>
      <c r="JS1" s="1035"/>
      <c r="JT1" s="1035"/>
      <c r="JU1" s="1035"/>
      <c r="JV1" s="1035"/>
      <c r="JW1" s="1035"/>
      <c r="JX1" s="1035"/>
      <c r="JY1" s="1035"/>
    </row>
    <row r="2" spans="1:286">
      <c r="A2" s="1051" t="s">
        <v>258</v>
      </c>
      <c r="B2" s="1052" t="s">
        <v>259</v>
      </c>
      <c r="C2" s="1052" t="s">
        <v>260</v>
      </c>
      <c r="D2" s="1052" t="s">
        <v>261</v>
      </c>
      <c r="E2" s="1052" t="s">
        <v>262</v>
      </c>
      <c r="F2" s="1052" t="s">
        <v>263</v>
      </c>
      <c r="G2" s="1052" t="s">
        <v>264</v>
      </c>
      <c r="H2" s="1052" t="s">
        <v>265</v>
      </c>
      <c r="I2" s="1052" t="s">
        <v>14</v>
      </c>
      <c r="J2" s="1052" t="s">
        <v>266</v>
      </c>
      <c r="K2" s="1052" t="s">
        <v>267</v>
      </c>
      <c r="L2" s="1052" t="s">
        <v>268</v>
      </c>
      <c r="M2" s="1052" t="s">
        <v>269</v>
      </c>
      <c r="N2" s="1052" t="s">
        <v>270</v>
      </c>
      <c r="O2" s="1052" t="s">
        <v>271</v>
      </c>
      <c r="P2" s="1052" t="s">
        <v>272</v>
      </c>
      <c r="Q2" s="1052" t="s">
        <v>15</v>
      </c>
      <c r="R2" s="1052" t="s">
        <v>273</v>
      </c>
      <c r="S2" s="1052" t="s">
        <v>274</v>
      </c>
      <c r="T2" s="1052" t="s">
        <v>275</v>
      </c>
      <c r="U2" s="1052" t="s">
        <v>276</v>
      </c>
      <c r="V2" s="1052" t="s">
        <v>277</v>
      </c>
      <c r="W2" s="1052" t="s">
        <v>278</v>
      </c>
      <c r="X2" s="1052" t="s">
        <v>279</v>
      </c>
      <c r="Y2" s="1052" t="s">
        <v>16</v>
      </c>
      <c r="Z2" s="1052" t="s">
        <v>280</v>
      </c>
      <c r="AA2" s="1052" t="s">
        <v>281</v>
      </c>
      <c r="AB2" s="1052" t="s">
        <v>282</v>
      </c>
      <c r="AC2" s="1052" t="s">
        <v>283</v>
      </c>
      <c r="AD2" s="1052" t="s">
        <v>277</v>
      </c>
      <c r="AE2" s="1052" t="s">
        <v>284</v>
      </c>
      <c r="AF2" s="1052" t="s">
        <v>285</v>
      </c>
      <c r="AG2" s="1052" t="s">
        <v>17</v>
      </c>
      <c r="AH2" s="1052" t="s">
        <v>286</v>
      </c>
      <c r="AI2" s="1052" t="s">
        <v>287</v>
      </c>
      <c r="AJ2" s="1052" t="s">
        <v>288</v>
      </c>
      <c r="AK2" s="1052" t="s">
        <v>289</v>
      </c>
      <c r="AL2" s="1052" t="s">
        <v>290</v>
      </c>
      <c r="AM2" s="1052" t="s">
        <v>291</v>
      </c>
      <c r="AN2" s="1052" t="s">
        <v>292</v>
      </c>
      <c r="AO2" s="1052" t="s">
        <v>18</v>
      </c>
      <c r="AP2" s="1052" t="s">
        <v>293</v>
      </c>
      <c r="AQ2" s="1052" t="s">
        <v>294</v>
      </c>
      <c r="AR2" s="1052" t="s">
        <v>295</v>
      </c>
      <c r="AS2" s="1052" t="s">
        <v>296</v>
      </c>
      <c r="AT2" s="1052" t="s">
        <v>297</v>
      </c>
      <c r="AU2" s="1052" t="s">
        <v>298</v>
      </c>
      <c r="AV2" s="1052" t="s">
        <v>299</v>
      </c>
      <c r="AW2" s="1052" t="s">
        <v>19</v>
      </c>
      <c r="AX2" s="1053" t="s">
        <v>300</v>
      </c>
      <c r="AY2" s="1052" t="s">
        <v>301</v>
      </c>
      <c r="AZ2" s="1052" t="s">
        <v>302</v>
      </c>
      <c r="BA2" s="1052" t="s">
        <v>303</v>
      </c>
      <c r="BB2" s="1052" t="s">
        <v>304</v>
      </c>
      <c r="BC2" s="1052" t="s">
        <v>305</v>
      </c>
      <c r="BD2" s="1052" t="s">
        <v>306</v>
      </c>
      <c r="BE2" s="1054" t="s">
        <v>20</v>
      </c>
      <c r="BF2" s="1052" t="s">
        <v>307</v>
      </c>
      <c r="BG2" s="1052" t="s">
        <v>308</v>
      </c>
      <c r="BH2" s="1052" t="s">
        <v>309</v>
      </c>
      <c r="BI2" s="1052" t="s">
        <v>310</v>
      </c>
      <c r="BJ2" s="1052" t="s">
        <v>311</v>
      </c>
      <c r="BK2" s="1052" t="s">
        <v>312</v>
      </c>
      <c r="BL2" s="1052" t="s">
        <v>313</v>
      </c>
      <c r="BM2" s="1052" t="s">
        <v>21</v>
      </c>
      <c r="BN2" s="1053" t="s">
        <v>314</v>
      </c>
      <c r="BO2" s="1052" t="s">
        <v>315</v>
      </c>
      <c r="BP2" s="1052" t="s">
        <v>316</v>
      </c>
      <c r="BQ2" s="1052" t="s">
        <v>317</v>
      </c>
      <c r="BR2" s="1052" t="s">
        <v>318</v>
      </c>
      <c r="BS2" s="1052" t="s">
        <v>319</v>
      </c>
      <c r="BT2" s="1052" t="s">
        <v>320</v>
      </c>
      <c r="BU2" s="1054" t="s">
        <v>22</v>
      </c>
      <c r="BV2" s="1053" t="s">
        <v>321</v>
      </c>
      <c r="BW2" s="1052" t="s">
        <v>322</v>
      </c>
      <c r="BX2" s="1052" t="s">
        <v>323</v>
      </c>
      <c r="BY2" s="1052" t="s">
        <v>324</v>
      </c>
      <c r="BZ2" s="1052" t="s">
        <v>325</v>
      </c>
      <c r="CA2" s="1052" t="s">
        <v>326</v>
      </c>
      <c r="CB2" s="1052" t="s">
        <v>327</v>
      </c>
      <c r="CC2" s="1054" t="s">
        <v>23</v>
      </c>
      <c r="CD2" s="1053" t="s">
        <v>328</v>
      </c>
      <c r="CE2" s="1052" t="s">
        <v>329</v>
      </c>
      <c r="CF2" s="1052" t="s">
        <v>330</v>
      </c>
      <c r="CG2" s="1052" t="s">
        <v>331</v>
      </c>
      <c r="CH2" s="1052" t="s">
        <v>332</v>
      </c>
      <c r="CI2" s="1052" t="s">
        <v>333</v>
      </c>
      <c r="CJ2" s="1052" t="s">
        <v>334</v>
      </c>
      <c r="CK2" s="1054" t="s">
        <v>24</v>
      </c>
      <c r="CL2" s="1053" t="s">
        <v>335</v>
      </c>
      <c r="CM2" s="1052" t="s">
        <v>336</v>
      </c>
      <c r="CN2" s="1052" t="s">
        <v>337</v>
      </c>
      <c r="CO2" s="1052" t="s">
        <v>338</v>
      </c>
      <c r="CP2" s="1052" t="s">
        <v>339</v>
      </c>
      <c r="CQ2" s="1052" t="s">
        <v>340</v>
      </c>
      <c r="CR2" s="1052" t="s">
        <v>341</v>
      </c>
      <c r="CS2" s="1054" t="s">
        <v>25</v>
      </c>
      <c r="CT2" s="1053" t="s">
        <v>342</v>
      </c>
      <c r="CU2" s="1052" t="s">
        <v>343</v>
      </c>
      <c r="CV2" s="1052" t="s">
        <v>344</v>
      </c>
      <c r="CW2" s="1052" t="s">
        <v>345</v>
      </c>
      <c r="CX2" s="1052" t="s">
        <v>346</v>
      </c>
      <c r="CY2" s="1052" t="s">
        <v>347</v>
      </c>
      <c r="CZ2" s="1052" t="s">
        <v>348</v>
      </c>
      <c r="DA2" s="1054" t="s">
        <v>26</v>
      </c>
      <c r="DB2" s="1055" t="s">
        <v>349</v>
      </c>
      <c r="DC2" s="1047" t="s">
        <v>350</v>
      </c>
      <c r="DD2" s="1047" t="s">
        <v>351</v>
      </c>
      <c r="DE2" s="1047" t="s">
        <v>352</v>
      </c>
      <c r="DF2" s="1047" t="s">
        <v>353</v>
      </c>
      <c r="DG2" s="1047" t="s">
        <v>354</v>
      </c>
      <c r="DH2" s="1047" t="s">
        <v>355</v>
      </c>
      <c r="DI2" s="1048" t="s">
        <v>27</v>
      </c>
      <c r="DJ2" s="1047" t="s">
        <v>356</v>
      </c>
      <c r="DK2" s="1047" t="s">
        <v>357</v>
      </c>
      <c r="DL2" s="1047" t="s">
        <v>358</v>
      </c>
      <c r="DM2" s="1047" t="s">
        <v>359</v>
      </c>
      <c r="DN2" s="1047" t="s">
        <v>360</v>
      </c>
      <c r="DO2" s="1047" t="s">
        <v>361</v>
      </c>
      <c r="DP2" s="1047" t="s">
        <v>362</v>
      </c>
      <c r="DQ2" s="1048" t="s">
        <v>28</v>
      </c>
      <c r="DR2" s="1047" t="s">
        <v>363</v>
      </c>
      <c r="DS2" s="1047" t="s">
        <v>364</v>
      </c>
      <c r="DT2" s="1047" t="s">
        <v>365</v>
      </c>
      <c r="DU2" s="1047" t="s">
        <v>366</v>
      </c>
      <c r="DV2" s="1047" t="s">
        <v>367</v>
      </c>
      <c r="DW2" s="1047" t="s">
        <v>368</v>
      </c>
      <c r="DX2" s="1047" t="s">
        <v>369</v>
      </c>
      <c r="DY2" s="1048" t="s">
        <v>29</v>
      </c>
      <c r="DZ2" s="1047" t="s">
        <v>370</v>
      </c>
      <c r="EA2" s="1047" t="s">
        <v>371</v>
      </c>
      <c r="EB2" s="1047" t="s">
        <v>372</v>
      </c>
      <c r="EC2" s="1047" t="s">
        <v>373</v>
      </c>
      <c r="ED2" s="1047" t="s">
        <v>374</v>
      </c>
      <c r="EE2" s="1047" t="s">
        <v>375</v>
      </c>
      <c r="EF2" s="1047" t="s">
        <v>376</v>
      </c>
      <c r="EG2" s="1048" t="s">
        <v>30</v>
      </c>
      <c r="EH2" s="1047" t="s">
        <v>377</v>
      </c>
      <c r="EI2" s="1047" t="s">
        <v>378</v>
      </c>
      <c r="EJ2" s="1047" t="s">
        <v>379</v>
      </c>
      <c r="EK2" s="1047" t="s">
        <v>380</v>
      </c>
      <c r="EL2" s="1047" t="s">
        <v>381</v>
      </c>
      <c r="EM2" s="1047" t="s">
        <v>382</v>
      </c>
      <c r="EN2" s="1047" t="s">
        <v>383</v>
      </c>
      <c r="EO2" s="1048" t="s">
        <v>31</v>
      </c>
      <c r="EP2" s="1047" t="s">
        <v>384</v>
      </c>
      <c r="EQ2" s="1047" t="s">
        <v>385</v>
      </c>
      <c r="ER2" s="1047" t="s">
        <v>386</v>
      </c>
      <c r="ES2" s="1047" t="s">
        <v>387</v>
      </c>
      <c r="ET2" s="1047" t="s">
        <v>388</v>
      </c>
      <c r="EU2" s="1047" t="s">
        <v>389</v>
      </c>
      <c r="EV2" s="1047" t="s">
        <v>390</v>
      </c>
      <c r="EW2" s="1048" t="s">
        <v>391</v>
      </c>
      <c r="EX2" s="1047" t="s">
        <v>392</v>
      </c>
      <c r="EY2" s="1047" t="s">
        <v>393</v>
      </c>
      <c r="EZ2" s="1047" t="s">
        <v>394</v>
      </c>
      <c r="FA2" s="1047" t="s">
        <v>395</v>
      </c>
      <c r="FB2" s="1047" t="s">
        <v>396</v>
      </c>
      <c r="FC2" s="1047" t="s">
        <v>397</v>
      </c>
      <c r="FD2" s="1047" t="s">
        <v>398</v>
      </c>
      <c r="FE2" s="1048" t="s">
        <v>399</v>
      </c>
      <c r="FF2" s="1047" t="s">
        <v>400</v>
      </c>
      <c r="FG2" s="1047" t="s">
        <v>401</v>
      </c>
      <c r="FH2" s="1047" t="s">
        <v>402</v>
      </c>
      <c r="FI2" s="1047" t="s">
        <v>403</v>
      </c>
      <c r="FJ2" s="1047" t="s">
        <v>404</v>
      </c>
      <c r="FK2" s="1047" t="s">
        <v>405</v>
      </c>
      <c r="FL2" s="1047" t="s">
        <v>406</v>
      </c>
      <c r="FM2" s="1048" t="s">
        <v>407</v>
      </c>
      <c r="FN2" s="1047" t="s">
        <v>408</v>
      </c>
      <c r="FO2" s="1047" t="s">
        <v>409</v>
      </c>
      <c r="FP2" s="1047" t="s">
        <v>410</v>
      </c>
      <c r="FQ2" s="1047" t="s">
        <v>411</v>
      </c>
      <c r="FR2" s="1047" t="s">
        <v>412</v>
      </c>
      <c r="FS2" s="1047" t="s">
        <v>413</v>
      </c>
      <c r="FT2" s="1047" t="s">
        <v>414</v>
      </c>
      <c r="FU2" s="1047" t="s">
        <v>415</v>
      </c>
      <c r="FV2" s="1055" t="s">
        <v>416</v>
      </c>
      <c r="FW2" s="1047" t="s">
        <v>417</v>
      </c>
      <c r="FX2" s="1047" t="s">
        <v>418</v>
      </c>
      <c r="FY2" s="1047" t="s">
        <v>419</v>
      </c>
      <c r="FZ2" s="1047" t="s">
        <v>420</v>
      </c>
      <c r="GA2" s="1047" t="s">
        <v>421</v>
      </c>
      <c r="GB2" s="1047" t="s">
        <v>422</v>
      </c>
      <c r="GC2" s="1048" t="s">
        <v>423</v>
      </c>
      <c r="GD2" s="1047" t="s">
        <v>424</v>
      </c>
      <c r="GE2" s="1047" t="s">
        <v>425</v>
      </c>
      <c r="GF2" s="1047" t="s">
        <v>426</v>
      </c>
      <c r="GG2" s="1047" t="s">
        <v>427</v>
      </c>
      <c r="GH2" s="1047" t="s">
        <v>428</v>
      </c>
      <c r="GI2" s="1047" t="s">
        <v>429</v>
      </c>
      <c r="GJ2" s="1047" t="s">
        <v>430</v>
      </c>
      <c r="GK2" s="1048" t="s">
        <v>431</v>
      </c>
      <c r="GL2" s="1047" t="s">
        <v>432</v>
      </c>
      <c r="GM2" s="1047" t="s">
        <v>433</v>
      </c>
      <c r="GN2" s="1047" t="s">
        <v>434</v>
      </c>
      <c r="GO2" s="1047" t="s">
        <v>435</v>
      </c>
      <c r="GP2" s="1047" t="s">
        <v>436</v>
      </c>
      <c r="GQ2" s="1047" t="s">
        <v>437</v>
      </c>
      <c r="GR2" s="1047" t="s">
        <v>438</v>
      </c>
      <c r="GS2" s="1048" t="s">
        <v>439</v>
      </c>
      <c r="GT2" s="1047" t="s">
        <v>440</v>
      </c>
      <c r="GU2" s="1047" t="s">
        <v>441</v>
      </c>
      <c r="GV2" s="1047" t="s">
        <v>442</v>
      </c>
      <c r="GW2" s="1047" t="s">
        <v>443</v>
      </c>
      <c r="GX2" s="1047" t="s">
        <v>444</v>
      </c>
      <c r="GY2" s="1047" t="s">
        <v>445</v>
      </c>
      <c r="GZ2" s="1047" t="s">
        <v>446</v>
      </c>
      <c r="HA2" s="1048" t="s">
        <v>447</v>
      </c>
      <c r="HB2" s="1047" t="s">
        <v>448</v>
      </c>
      <c r="HC2" s="1047" t="s">
        <v>449</v>
      </c>
      <c r="HD2" s="1047" t="s">
        <v>450</v>
      </c>
      <c r="HE2" s="1047" t="s">
        <v>451</v>
      </c>
      <c r="HF2" s="1047" t="s">
        <v>452</v>
      </c>
      <c r="HG2" s="1047" t="s">
        <v>453</v>
      </c>
      <c r="HH2" s="1047" t="s">
        <v>454</v>
      </c>
      <c r="HI2" s="1048" t="s">
        <v>455</v>
      </c>
      <c r="HJ2" s="1047" t="s">
        <v>456</v>
      </c>
      <c r="HK2" s="1047" t="s">
        <v>457</v>
      </c>
      <c r="HL2" s="1047" t="s">
        <v>458</v>
      </c>
      <c r="HM2" s="1047" t="s">
        <v>459</v>
      </c>
      <c r="HN2" s="1047" t="s">
        <v>460</v>
      </c>
      <c r="HO2" s="1047" t="s">
        <v>461</v>
      </c>
      <c r="HP2" s="1047" t="s">
        <v>462</v>
      </c>
      <c r="HQ2" s="1048" t="s">
        <v>463</v>
      </c>
      <c r="HR2" s="1047" t="s">
        <v>464</v>
      </c>
      <c r="HS2" s="1047" t="s">
        <v>465</v>
      </c>
      <c r="HT2" s="1047" t="s">
        <v>466</v>
      </c>
      <c r="HU2" s="1047" t="s">
        <v>467</v>
      </c>
      <c r="HV2" s="1047" t="s">
        <v>468</v>
      </c>
      <c r="HW2" s="1047" t="s">
        <v>469</v>
      </c>
      <c r="HX2" s="1047" t="s">
        <v>470</v>
      </c>
      <c r="HY2" s="1048" t="s">
        <v>471</v>
      </c>
      <c r="HZ2" s="1047" t="s">
        <v>472</v>
      </c>
      <c r="IA2" s="1047" t="s">
        <v>473</v>
      </c>
      <c r="IB2" s="1047" t="s">
        <v>474</v>
      </c>
      <c r="IC2" s="1047" t="s">
        <v>475</v>
      </c>
      <c r="ID2" s="1047" t="s">
        <v>476</v>
      </c>
      <c r="IE2" s="1047" t="s">
        <v>477</v>
      </c>
      <c r="IF2" s="1047" t="s">
        <v>478</v>
      </c>
      <c r="IG2" s="1048" t="s">
        <v>479</v>
      </c>
      <c r="IH2" s="1047" t="s">
        <v>480</v>
      </c>
      <c r="II2" s="1047" t="s">
        <v>481</v>
      </c>
      <c r="IJ2" s="1047" t="s">
        <v>482</v>
      </c>
      <c r="IK2" s="1047" t="s">
        <v>483</v>
      </c>
      <c r="IL2" s="1047" t="s">
        <v>484</v>
      </c>
      <c r="IM2" s="1047" t="s">
        <v>485</v>
      </c>
      <c r="IN2" s="1047" t="s">
        <v>486</v>
      </c>
      <c r="IO2" s="1048" t="s">
        <v>487</v>
      </c>
      <c r="IP2" s="1047" t="s">
        <v>488</v>
      </c>
      <c r="IQ2" s="1047" t="s">
        <v>489</v>
      </c>
      <c r="IR2" s="1047" t="s">
        <v>490</v>
      </c>
      <c r="IS2" s="1047" t="s">
        <v>491</v>
      </c>
      <c r="IT2" s="1047" t="s">
        <v>484</v>
      </c>
      <c r="IU2" s="1047" t="s">
        <v>492</v>
      </c>
      <c r="IV2" s="1047" t="s">
        <v>486</v>
      </c>
      <c r="IW2" s="1048" t="s">
        <v>493</v>
      </c>
      <c r="IX2" s="1056"/>
      <c r="IY2" s="1049"/>
      <c r="IZ2" s="1049"/>
      <c r="JA2" s="1049"/>
      <c r="JB2" s="1057" t="s">
        <v>494</v>
      </c>
      <c r="JC2" s="1057" t="s">
        <v>495</v>
      </c>
      <c r="JD2" s="1057" t="s">
        <v>496</v>
      </c>
      <c r="JE2" s="1057" t="s">
        <v>497</v>
      </c>
      <c r="JF2" s="1057" t="s">
        <v>498</v>
      </c>
      <c r="JG2" s="1057" t="s">
        <v>494</v>
      </c>
      <c r="JH2" s="1057" t="s">
        <v>499</v>
      </c>
      <c r="JI2" s="1057" t="s">
        <v>495</v>
      </c>
      <c r="JJ2" s="1057" t="s">
        <v>500</v>
      </c>
      <c r="JK2" s="1057" t="s">
        <v>496</v>
      </c>
      <c r="JL2" s="1057" t="s">
        <v>497</v>
      </c>
      <c r="JM2" s="1057" t="s">
        <v>498</v>
      </c>
      <c r="JN2" s="1057" t="s">
        <v>494</v>
      </c>
      <c r="JO2" s="1057" t="s">
        <v>499</v>
      </c>
      <c r="JP2" s="1057" t="s">
        <v>495</v>
      </c>
      <c r="JQ2" s="1035"/>
      <c r="JR2" s="1035"/>
      <c r="JS2" s="1035"/>
      <c r="JT2" s="1035"/>
      <c r="JU2" s="1035"/>
      <c r="JV2" s="1035"/>
      <c r="JW2" s="1035"/>
      <c r="JX2" s="1035"/>
      <c r="JY2" s="1035"/>
    </row>
    <row r="3" spans="1:286">
      <c r="A3" s="1058" t="s">
        <v>501</v>
      </c>
      <c r="AD3" s="1036" t="s">
        <v>502</v>
      </c>
      <c r="AX3" s="1059"/>
      <c r="BE3" s="1060"/>
      <c r="BN3" s="1059"/>
      <c r="BU3" s="1060"/>
      <c r="BV3" s="1059"/>
      <c r="CC3" s="1060"/>
      <c r="CD3" s="1059"/>
      <c r="CE3" s="1036" t="e">
        <f>CE2/2</f>
        <v>#VALUE!</v>
      </c>
      <c r="CJ3" s="1061"/>
      <c r="CK3" s="1060"/>
      <c r="CL3" s="1059"/>
      <c r="CS3" s="1060"/>
      <c r="CT3" s="1059"/>
      <c r="CW3" s="1062"/>
      <c r="CX3" s="1062"/>
      <c r="DA3" s="1060"/>
      <c r="DB3" s="1063"/>
      <c r="DE3" s="1064"/>
      <c r="DF3" s="1064"/>
      <c r="DM3" s="1064"/>
      <c r="DN3" s="1064"/>
      <c r="DU3" s="1064"/>
      <c r="DV3" s="1064"/>
      <c r="EC3" s="1064"/>
      <c r="ED3" s="1064"/>
      <c r="EK3" s="1064"/>
      <c r="EL3" s="1064"/>
      <c r="EW3" s="1038"/>
      <c r="EX3" s="1037"/>
      <c r="EY3" s="1065"/>
      <c r="EZ3" s="1037"/>
      <c r="FA3" s="1037"/>
      <c r="FB3" s="1037"/>
      <c r="FC3" s="1037"/>
      <c r="FD3" s="1037"/>
      <c r="FE3" s="1038"/>
      <c r="FF3" s="1037"/>
      <c r="FG3" s="1037"/>
      <c r="FH3" s="1037"/>
      <c r="FI3" s="1037"/>
      <c r="FJ3" s="1037"/>
      <c r="FK3" s="1037"/>
      <c r="FL3" s="1037"/>
      <c r="FM3" s="1038"/>
      <c r="FN3" s="1037"/>
      <c r="FO3" s="1037"/>
      <c r="FP3" s="1037"/>
      <c r="FQ3" s="1037"/>
      <c r="FR3" s="1037"/>
      <c r="FS3" s="1037"/>
      <c r="FT3" s="1037"/>
      <c r="FU3" s="1037"/>
      <c r="FV3" s="1063"/>
      <c r="FW3" s="1037"/>
      <c r="FX3" s="1037"/>
      <c r="FY3" s="1037"/>
      <c r="FZ3" s="1037"/>
      <c r="GA3" s="1037"/>
      <c r="GB3" s="1037"/>
      <c r="GC3" s="1038"/>
      <c r="GD3" s="1037"/>
      <c r="GE3" s="1037"/>
      <c r="GF3" s="1037"/>
      <c r="GG3" s="1037"/>
      <c r="GH3" s="1037"/>
      <c r="GI3" s="1037"/>
      <c r="GJ3" s="1037"/>
      <c r="GK3" s="1038"/>
      <c r="GL3" s="1037"/>
      <c r="GM3" s="1037"/>
      <c r="GN3" s="1037"/>
      <c r="GO3" s="1037"/>
      <c r="GP3" s="1037"/>
      <c r="GQ3" s="1037"/>
      <c r="GR3" s="1037"/>
      <c r="GS3" s="1038"/>
      <c r="GT3" s="1037"/>
      <c r="GU3" s="1037"/>
      <c r="GV3" s="1037"/>
      <c r="GW3" s="1037"/>
      <c r="GX3" s="1037"/>
      <c r="GY3" s="1037"/>
      <c r="GZ3" s="1037"/>
      <c r="HA3" s="1038"/>
      <c r="HB3" s="1037"/>
      <c r="HC3" s="1037"/>
      <c r="HD3" s="1037"/>
      <c r="HE3" s="1037"/>
      <c r="HF3" s="1037"/>
      <c r="HG3" s="1037"/>
      <c r="HH3" s="1037"/>
      <c r="HI3" s="1038"/>
      <c r="HJ3" s="1037"/>
      <c r="HK3" s="1037"/>
      <c r="HL3" s="1037"/>
      <c r="HM3" s="1037"/>
      <c r="HN3" s="1037"/>
      <c r="HO3" s="1037"/>
      <c r="HP3" s="1037"/>
      <c r="HQ3" s="1038"/>
      <c r="HR3" s="1037"/>
      <c r="HS3" s="1037"/>
      <c r="HT3" s="1037"/>
      <c r="HU3" s="1037"/>
      <c r="HV3" s="1037"/>
      <c r="HW3" s="1037"/>
      <c r="HX3" s="1037"/>
      <c r="HY3" s="1037"/>
      <c r="HZ3" s="1037"/>
      <c r="IA3" s="1037"/>
      <c r="IB3" s="1037"/>
      <c r="IC3" s="1037"/>
      <c r="ID3" s="1037"/>
      <c r="IE3" s="1037"/>
      <c r="IF3" s="1037"/>
      <c r="IG3" s="1038"/>
      <c r="IH3" s="1037"/>
      <c r="II3" s="1037"/>
      <c r="IJ3" s="1037"/>
      <c r="IK3" s="1037"/>
      <c r="IL3" s="1037"/>
      <c r="IM3" s="1037"/>
      <c r="IN3" s="1037"/>
      <c r="IO3" s="1038"/>
      <c r="IP3" s="1037"/>
      <c r="IQ3" s="1037"/>
      <c r="IR3" s="1037"/>
      <c r="IS3" s="1037"/>
      <c r="IT3" s="1037"/>
      <c r="IU3" s="1037"/>
      <c r="IV3" s="1037"/>
      <c r="IW3" s="1037"/>
      <c r="IX3" s="1049"/>
      <c r="IY3" s="1049"/>
      <c r="IZ3" s="1049"/>
      <c r="JA3" s="1049"/>
      <c r="JB3" s="1037"/>
      <c r="JC3" s="1037"/>
      <c r="JD3" s="1037"/>
      <c r="JE3" s="1037"/>
      <c r="JF3" s="1037"/>
      <c r="JG3" s="1037"/>
      <c r="JH3" s="1037"/>
      <c r="JI3" s="1037"/>
      <c r="JJ3" s="1037"/>
      <c r="JK3" s="1037"/>
      <c r="JL3" s="1037"/>
      <c r="JM3" s="1037"/>
      <c r="JN3" s="1037"/>
      <c r="JQ3" s="1035"/>
      <c r="JR3" s="1035"/>
      <c r="JS3" s="1035"/>
      <c r="JT3" s="1035"/>
      <c r="JU3" s="1035"/>
      <c r="JV3" s="1035"/>
      <c r="JW3" s="1035"/>
      <c r="JX3" s="1035"/>
      <c r="JY3" s="1035"/>
    </row>
    <row r="4" spans="1:286">
      <c r="A4" s="1051" t="s">
        <v>52</v>
      </c>
      <c r="B4" s="1066"/>
      <c r="C4" s="1066"/>
      <c r="D4" s="1066"/>
      <c r="E4" s="1066"/>
      <c r="F4" s="1066"/>
      <c r="G4" s="1066"/>
      <c r="H4" s="1066"/>
      <c r="I4" s="1066"/>
      <c r="J4" s="1066"/>
      <c r="K4" s="1066"/>
      <c r="L4" s="1066"/>
      <c r="M4" s="1066"/>
      <c r="N4" s="1066"/>
      <c r="O4" s="1066"/>
      <c r="P4" s="1066"/>
      <c r="Q4" s="1066"/>
      <c r="R4" s="1066"/>
      <c r="S4" s="1066"/>
      <c r="T4" s="1066"/>
      <c r="U4" s="1066"/>
      <c r="V4" s="1066"/>
      <c r="W4" s="1066"/>
      <c r="X4" s="1066"/>
      <c r="Y4" s="1066"/>
      <c r="Z4" s="1066"/>
      <c r="AA4" s="1066"/>
      <c r="AB4" s="1066"/>
      <c r="AC4" s="1066"/>
      <c r="AD4" s="1066"/>
      <c r="AE4" s="1066"/>
      <c r="AF4" s="1066"/>
      <c r="AG4" s="1066"/>
      <c r="AH4" s="1066"/>
      <c r="AI4" s="1066"/>
      <c r="AJ4" s="1066"/>
      <c r="AK4" s="1066"/>
      <c r="AL4" s="1066"/>
      <c r="AM4" s="1066"/>
      <c r="AN4" s="1066"/>
      <c r="AO4" s="1066"/>
      <c r="AP4" s="1066"/>
      <c r="AQ4" s="1066"/>
      <c r="AR4" s="1066"/>
      <c r="AS4" s="1066"/>
      <c r="AT4" s="1066"/>
      <c r="AU4" s="1066"/>
      <c r="AV4" s="1066"/>
      <c r="AW4" s="1066"/>
      <c r="AX4" s="1067"/>
      <c r="AY4" s="1066"/>
      <c r="AZ4" s="1066"/>
      <c r="BA4" s="1066"/>
      <c r="BB4" s="1066"/>
      <c r="BC4" s="1066"/>
      <c r="BD4" s="1066"/>
      <c r="BE4" s="1068"/>
      <c r="BF4" s="1066"/>
      <c r="BG4" s="1066"/>
      <c r="BH4" s="1066"/>
      <c r="BI4" s="1066"/>
      <c r="BJ4" s="1066"/>
      <c r="BK4" s="1066"/>
      <c r="BL4" s="1066"/>
      <c r="BM4" s="1066"/>
      <c r="BN4" s="1067"/>
      <c r="BO4" s="1066"/>
      <c r="BP4" s="1066"/>
      <c r="BQ4" s="1066"/>
      <c r="BR4" s="1066"/>
      <c r="BS4" s="1066"/>
      <c r="BT4" s="1066"/>
      <c r="BU4" s="1068"/>
      <c r="BV4" s="1067"/>
      <c r="BW4" s="1066"/>
      <c r="BX4" s="1066"/>
      <c r="BY4" s="1066"/>
      <c r="BZ4" s="1066"/>
      <c r="CA4" s="1066"/>
      <c r="CB4" s="1066"/>
      <c r="CC4" s="1068"/>
      <c r="CD4" s="1067"/>
      <c r="CE4" s="1066"/>
      <c r="CF4" s="1066"/>
      <c r="CG4" s="1066"/>
      <c r="CH4" s="1066"/>
      <c r="CI4" s="1066"/>
      <c r="CJ4" s="1069"/>
      <c r="CK4" s="1068"/>
      <c r="CL4" s="1067"/>
      <c r="CM4" s="1066"/>
      <c r="CN4" s="1066"/>
      <c r="CO4" s="1066"/>
      <c r="CP4" s="1066"/>
      <c r="CQ4" s="1066"/>
      <c r="CR4" s="1066"/>
      <c r="CS4" s="1068"/>
      <c r="CT4" s="1051"/>
      <c r="CU4" s="1051"/>
      <c r="CV4" s="1051"/>
      <c r="CW4" s="1051"/>
      <c r="CX4" s="1051"/>
      <c r="CY4" s="1051"/>
      <c r="CZ4" s="1051"/>
      <c r="DA4" s="1051"/>
      <c r="DB4" s="1047" t="str">
        <f t="shared" ref="DB4:EG4" si="0">DB$2</f>
        <v>Q1 08</v>
      </c>
      <c r="DC4" s="1047" t="str">
        <f t="shared" si="0"/>
        <v>Q2 08</v>
      </c>
      <c r="DD4" s="1047" t="str">
        <f t="shared" si="0"/>
        <v>H1 08</v>
      </c>
      <c r="DE4" s="1047" t="str">
        <f t="shared" si="0"/>
        <v>Q3 08</v>
      </c>
      <c r="DF4" s="1047" t="str">
        <f t="shared" si="0"/>
        <v>9M 08</v>
      </c>
      <c r="DG4" s="1047" t="str">
        <f t="shared" si="0"/>
        <v>Q4 08</v>
      </c>
      <c r="DH4" s="1047" t="str">
        <f t="shared" si="0"/>
        <v>H2 08</v>
      </c>
      <c r="DI4" s="1048" t="str">
        <f t="shared" si="0"/>
        <v>FY 08</v>
      </c>
      <c r="DJ4" s="1047" t="str">
        <f t="shared" si="0"/>
        <v>Q1 09</v>
      </c>
      <c r="DK4" s="1047" t="str">
        <f t="shared" si="0"/>
        <v>Q2 09</v>
      </c>
      <c r="DL4" s="1047" t="str">
        <f t="shared" si="0"/>
        <v>H1 09</v>
      </c>
      <c r="DM4" s="1047" t="str">
        <f t="shared" si="0"/>
        <v>Q3 09</v>
      </c>
      <c r="DN4" s="1047" t="str">
        <f t="shared" si="0"/>
        <v>9M 09</v>
      </c>
      <c r="DO4" s="1047" t="str">
        <f t="shared" si="0"/>
        <v>Q4 09</v>
      </c>
      <c r="DP4" s="1047" t="str">
        <f t="shared" si="0"/>
        <v>H2 09</v>
      </c>
      <c r="DQ4" s="1048" t="str">
        <f t="shared" si="0"/>
        <v>FY 09</v>
      </c>
      <c r="DR4" s="1047" t="str">
        <f t="shared" si="0"/>
        <v>Q1 10</v>
      </c>
      <c r="DS4" s="1047" t="str">
        <f t="shared" si="0"/>
        <v>Q2 10</v>
      </c>
      <c r="DT4" s="1047" t="str">
        <f t="shared" si="0"/>
        <v>H1 10</v>
      </c>
      <c r="DU4" s="1047" t="str">
        <f t="shared" si="0"/>
        <v>Q3 10</v>
      </c>
      <c r="DV4" s="1047" t="str">
        <f t="shared" si="0"/>
        <v>9M 10</v>
      </c>
      <c r="DW4" s="1047" t="str">
        <f t="shared" si="0"/>
        <v>Q4 10</v>
      </c>
      <c r="DX4" s="1047" t="str">
        <f t="shared" si="0"/>
        <v>H2 10</v>
      </c>
      <c r="DY4" s="1048" t="str">
        <f t="shared" si="0"/>
        <v>FY 10</v>
      </c>
      <c r="DZ4" s="1047" t="str">
        <f t="shared" si="0"/>
        <v>Q1 11</v>
      </c>
      <c r="EA4" s="1047" t="str">
        <f t="shared" si="0"/>
        <v>Q2 11</v>
      </c>
      <c r="EB4" s="1047" t="str">
        <f t="shared" si="0"/>
        <v>H1 11</v>
      </c>
      <c r="EC4" s="1047" t="str">
        <f t="shared" si="0"/>
        <v>Q3 11</v>
      </c>
      <c r="ED4" s="1047" t="str">
        <f t="shared" si="0"/>
        <v>9M 11</v>
      </c>
      <c r="EE4" s="1047" t="str">
        <f t="shared" si="0"/>
        <v>Q4 11</v>
      </c>
      <c r="EF4" s="1047" t="str">
        <f t="shared" si="0"/>
        <v>H2 11</v>
      </c>
      <c r="EG4" s="1048" t="str">
        <f t="shared" si="0"/>
        <v>FY 11</v>
      </c>
      <c r="EH4" s="1047" t="str">
        <f t="shared" ref="EH4:FN4" si="1">EH$2</f>
        <v>Q1 12</v>
      </c>
      <c r="EI4" s="1047" t="str">
        <f t="shared" si="1"/>
        <v>Q2 12</v>
      </c>
      <c r="EJ4" s="1047" t="str">
        <f t="shared" si="1"/>
        <v>H1 12</v>
      </c>
      <c r="EK4" s="1047" t="str">
        <f t="shared" si="1"/>
        <v>Q3 12</v>
      </c>
      <c r="EL4" s="1047" t="str">
        <f t="shared" si="1"/>
        <v>9M 12</v>
      </c>
      <c r="EM4" s="1047" t="str">
        <f t="shared" si="1"/>
        <v>Q4 12</v>
      </c>
      <c r="EN4" s="1047" t="str">
        <f t="shared" si="1"/>
        <v>H2 12</v>
      </c>
      <c r="EO4" s="1048" t="str">
        <f t="shared" si="1"/>
        <v>FY 12</v>
      </c>
      <c r="EP4" s="1047" t="str">
        <f t="shared" si="1"/>
        <v>1Q13</v>
      </c>
      <c r="EQ4" s="1047" t="str">
        <f t="shared" si="1"/>
        <v>2Q13</v>
      </c>
      <c r="ER4" s="1047" t="str">
        <f t="shared" si="1"/>
        <v>1H13</v>
      </c>
      <c r="ES4" s="1047" t="str">
        <f t="shared" si="1"/>
        <v>3Q13</v>
      </c>
      <c r="ET4" s="1047" t="str">
        <f t="shared" si="1"/>
        <v>9M13</v>
      </c>
      <c r="EU4" s="1047" t="str">
        <f t="shared" si="1"/>
        <v>4Q13</v>
      </c>
      <c r="EV4" s="1047" t="str">
        <f t="shared" si="1"/>
        <v>2H13</v>
      </c>
      <c r="EW4" s="1048" t="str">
        <f t="shared" si="1"/>
        <v>FY13</v>
      </c>
      <c r="EX4" s="1047" t="str">
        <f t="shared" si="1"/>
        <v>1Q14</v>
      </c>
      <c r="EY4" s="1047" t="str">
        <f t="shared" si="1"/>
        <v>2Q14</v>
      </c>
      <c r="EZ4" s="1047" t="str">
        <f t="shared" si="1"/>
        <v>1H14</v>
      </c>
      <c r="FA4" s="1047" t="str">
        <f t="shared" si="1"/>
        <v>3Q14</v>
      </c>
      <c r="FB4" s="1047" t="str">
        <f t="shared" si="1"/>
        <v>9M14</v>
      </c>
      <c r="FC4" s="1047" t="str">
        <f t="shared" si="1"/>
        <v>4Q14</v>
      </c>
      <c r="FD4" s="1047" t="str">
        <f t="shared" si="1"/>
        <v>2H14</v>
      </c>
      <c r="FE4" s="1048" t="str">
        <f t="shared" si="1"/>
        <v>FY14</v>
      </c>
      <c r="FF4" s="1047" t="str">
        <f t="shared" si="1"/>
        <v>1Q15</v>
      </c>
      <c r="FG4" s="1047" t="str">
        <f t="shared" si="1"/>
        <v>2Q15</v>
      </c>
      <c r="FH4" s="1047" t="str">
        <f t="shared" si="1"/>
        <v>1H15</v>
      </c>
      <c r="FI4" s="1047" t="str">
        <f t="shared" si="1"/>
        <v>3Q15</v>
      </c>
      <c r="FJ4" s="1047" t="str">
        <f t="shared" si="1"/>
        <v>9M15</v>
      </c>
      <c r="FK4" s="1047" t="str">
        <f t="shared" si="1"/>
        <v>4Q15</v>
      </c>
      <c r="FL4" s="1047" t="str">
        <f t="shared" si="1"/>
        <v>2H15</v>
      </c>
      <c r="FM4" s="1048" t="str">
        <f t="shared" si="1"/>
        <v>FY15</v>
      </c>
      <c r="FN4" s="1047" t="str">
        <f t="shared" si="1"/>
        <v>1Q16</v>
      </c>
      <c r="FO4" s="1047" t="str">
        <f t="shared" ref="FO4:GN4" si="2">FO$2</f>
        <v>2Q16</v>
      </c>
      <c r="FP4" s="1047" t="str">
        <f t="shared" si="2"/>
        <v>1H16</v>
      </c>
      <c r="FQ4" s="1047" t="str">
        <f t="shared" si="2"/>
        <v>3Q16</v>
      </c>
      <c r="FR4" s="1047" t="str">
        <f t="shared" si="2"/>
        <v>9M16</v>
      </c>
      <c r="FS4" s="1047" t="str">
        <f t="shared" si="2"/>
        <v>4Q16</v>
      </c>
      <c r="FT4" s="1047" t="str">
        <f t="shared" si="2"/>
        <v>2H16</v>
      </c>
      <c r="FU4" s="1047" t="str">
        <f t="shared" si="2"/>
        <v>FY16</v>
      </c>
      <c r="FV4" s="1055" t="str">
        <f t="shared" si="2"/>
        <v>1Q17</v>
      </c>
      <c r="FW4" s="1047" t="str">
        <f t="shared" si="2"/>
        <v>2Q17</v>
      </c>
      <c r="FX4" s="1047" t="str">
        <f t="shared" si="2"/>
        <v>1H17</v>
      </c>
      <c r="FY4" s="1047" t="str">
        <f t="shared" si="2"/>
        <v>3Q17</v>
      </c>
      <c r="FZ4" s="1047" t="str">
        <f t="shared" si="2"/>
        <v>9M17</v>
      </c>
      <c r="GA4" s="1047" t="str">
        <f t="shared" si="2"/>
        <v>4Q17</v>
      </c>
      <c r="GB4" s="1047" t="str">
        <f t="shared" si="2"/>
        <v>2H17</v>
      </c>
      <c r="GC4" s="1048" t="str">
        <f t="shared" si="2"/>
        <v>FY17</v>
      </c>
      <c r="GD4" s="1047" t="str">
        <f t="shared" si="2"/>
        <v>1Q18</v>
      </c>
      <c r="GE4" s="1047" t="str">
        <f t="shared" si="2"/>
        <v>2Q18</v>
      </c>
      <c r="GF4" s="1047" t="str">
        <f t="shared" si="2"/>
        <v>1H18</v>
      </c>
      <c r="GG4" s="1047" t="str">
        <f t="shared" si="2"/>
        <v>3Q18</v>
      </c>
      <c r="GH4" s="1047" t="str">
        <f t="shared" si="2"/>
        <v>9M18</v>
      </c>
      <c r="GI4" s="1047" t="str">
        <f t="shared" si="2"/>
        <v>4Q18</v>
      </c>
      <c r="GJ4" s="1047" t="str">
        <f t="shared" si="2"/>
        <v>2H18</v>
      </c>
      <c r="GK4" s="1048" t="str">
        <f t="shared" si="2"/>
        <v>FY18</v>
      </c>
      <c r="GL4" s="1047" t="str">
        <f t="shared" si="2"/>
        <v>1Q19</v>
      </c>
      <c r="GM4" s="1047" t="str">
        <f t="shared" si="2"/>
        <v>2Q19</v>
      </c>
      <c r="GN4" s="1047" t="str">
        <f t="shared" si="2"/>
        <v>1H19</v>
      </c>
      <c r="GO4" s="1047" t="str">
        <f t="shared" ref="GO4:GS4" si="3">GO$2</f>
        <v>3Q19</v>
      </c>
      <c r="GP4" s="1047" t="str">
        <f t="shared" si="3"/>
        <v>9M19</v>
      </c>
      <c r="GQ4" s="1047" t="str">
        <f t="shared" si="3"/>
        <v>4Q19</v>
      </c>
      <c r="GR4" s="1047" t="str">
        <f t="shared" si="3"/>
        <v>2H19</v>
      </c>
      <c r="GS4" s="1048" t="str">
        <f t="shared" si="3"/>
        <v>FY19</v>
      </c>
      <c r="GT4" s="1047" t="s">
        <v>440</v>
      </c>
      <c r="GU4" s="1047" t="s">
        <v>441</v>
      </c>
      <c r="GV4" s="1047" t="s">
        <v>442</v>
      </c>
      <c r="GW4" s="1047" t="s">
        <v>443</v>
      </c>
      <c r="GX4" s="1047" t="s">
        <v>444</v>
      </c>
      <c r="GY4" s="1047" t="s">
        <v>445</v>
      </c>
      <c r="GZ4" s="1047" t="s">
        <v>446</v>
      </c>
      <c r="HA4" s="1048" t="s">
        <v>447</v>
      </c>
      <c r="HB4" s="1047" t="s">
        <v>448</v>
      </c>
      <c r="HC4" s="1047" t="s">
        <v>449</v>
      </c>
      <c r="HD4" s="1047" t="s">
        <v>450</v>
      </c>
      <c r="HE4" s="1047" t="s">
        <v>451</v>
      </c>
      <c r="HF4" s="1047" t="s">
        <v>452</v>
      </c>
      <c r="HG4" s="1047" t="s">
        <v>453</v>
      </c>
      <c r="HH4" s="1047" t="s">
        <v>454</v>
      </c>
      <c r="HI4" s="1048" t="s">
        <v>455</v>
      </c>
      <c r="HJ4" s="1047" t="s">
        <v>456</v>
      </c>
      <c r="HK4" s="1047" t="s">
        <v>457</v>
      </c>
      <c r="HL4" s="1047" t="s">
        <v>458</v>
      </c>
      <c r="HM4" s="1047" t="s">
        <v>459</v>
      </c>
      <c r="HN4" s="1047" t="s">
        <v>460</v>
      </c>
      <c r="HO4" s="1047" t="s">
        <v>461</v>
      </c>
      <c r="HP4" s="1047" t="s">
        <v>462</v>
      </c>
      <c r="HQ4" s="1048" t="s">
        <v>463</v>
      </c>
      <c r="HR4" s="1047" t="s">
        <v>464</v>
      </c>
      <c r="HS4" s="1047" t="s">
        <v>465</v>
      </c>
      <c r="HT4" s="1047" t="s">
        <v>503</v>
      </c>
      <c r="HU4" s="1047" t="s">
        <v>467</v>
      </c>
      <c r="HV4" s="1047" t="s">
        <v>468</v>
      </c>
      <c r="HW4" s="1047" t="s">
        <v>469</v>
      </c>
      <c r="HX4" s="1047" t="s">
        <v>470</v>
      </c>
      <c r="HY4" s="1048" t="s">
        <v>471</v>
      </c>
      <c r="HZ4" s="1047" t="s">
        <v>472</v>
      </c>
      <c r="IA4" s="1047" t="s">
        <v>473</v>
      </c>
      <c r="IB4" s="1047" t="s">
        <v>503</v>
      </c>
      <c r="IC4" s="1047" t="s">
        <v>475</v>
      </c>
      <c r="ID4" s="1047" t="s">
        <v>468</v>
      </c>
      <c r="IE4" s="1047" t="s">
        <v>477</v>
      </c>
      <c r="IF4" s="1047" t="s">
        <v>470</v>
      </c>
      <c r="IG4" s="1048" t="s">
        <v>479</v>
      </c>
      <c r="IH4" s="1047" t="str">
        <f>IH2</f>
        <v>1Q25</v>
      </c>
      <c r="II4" s="1047" t="str">
        <f t="shared" ref="II4:IQ4" si="4">II2</f>
        <v>2Q25</v>
      </c>
      <c r="IJ4" s="1047" t="str">
        <f t="shared" si="4"/>
        <v>1H25</v>
      </c>
      <c r="IK4" s="1047" t="str">
        <f t="shared" si="4"/>
        <v>3Q25</v>
      </c>
      <c r="IL4" s="1047" t="str">
        <f t="shared" si="4"/>
        <v>9M25E</v>
      </c>
      <c r="IM4" s="1047" t="str">
        <f t="shared" si="4"/>
        <v>4Q25</v>
      </c>
      <c r="IN4" s="1047" t="str">
        <f t="shared" si="4"/>
        <v>2H25E</v>
      </c>
      <c r="IO4" s="1048" t="str">
        <f t="shared" si="4"/>
        <v>FY25</v>
      </c>
      <c r="IP4" s="1047" t="str">
        <f t="shared" si="4"/>
        <v>1Q26</v>
      </c>
      <c r="IQ4" s="1047" t="str">
        <f t="shared" si="4"/>
        <v>2Q26</v>
      </c>
      <c r="IR4" s="1047"/>
      <c r="IS4" s="1047"/>
      <c r="IT4" s="1047"/>
      <c r="IU4" s="1070"/>
      <c r="IV4" s="1070"/>
      <c r="IW4" s="1070"/>
      <c r="IX4" s="1049"/>
      <c r="IY4" s="1049"/>
      <c r="IZ4" s="1037"/>
      <c r="JA4" s="1037"/>
      <c r="JB4" s="1037"/>
      <c r="JC4" s="1037"/>
      <c r="JD4" s="1037"/>
      <c r="JE4" s="1037"/>
      <c r="JF4" s="1037"/>
      <c r="JG4" s="1037"/>
      <c r="JH4" s="1037"/>
      <c r="JI4" s="1037"/>
      <c r="JJ4" s="1037"/>
      <c r="JK4" s="1037"/>
      <c r="JL4" s="1037"/>
      <c r="JM4" s="1037"/>
      <c r="JN4" s="1037"/>
      <c r="JQ4" s="1035"/>
      <c r="JR4" s="1035"/>
      <c r="JS4" s="1035"/>
      <c r="JT4" s="1035"/>
      <c r="JU4" s="1035"/>
      <c r="JV4" s="1035"/>
      <c r="JW4" s="1035"/>
      <c r="JX4" s="1035"/>
      <c r="JY4" s="1035"/>
    </row>
    <row r="5" spans="1:286">
      <c r="A5" s="1025" t="s">
        <v>60</v>
      </c>
      <c r="AX5" s="1059"/>
      <c r="BE5" s="1060"/>
      <c r="BN5" s="1059"/>
      <c r="BU5" s="1060"/>
      <c r="BV5" s="1059"/>
      <c r="CC5" s="1060"/>
      <c r="CD5" s="1059"/>
      <c r="CJ5" s="1061"/>
      <c r="CK5" s="1060"/>
      <c r="CL5" s="1059"/>
      <c r="CS5" s="1060"/>
      <c r="CT5" s="1025"/>
      <c r="CU5" s="1025"/>
      <c r="CV5" s="1025"/>
      <c r="CW5" s="1025"/>
      <c r="CX5" s="1025"/>
      <c r="CY5" s="1025"/>
      <c r="CZ5" s="1025"/>
      <c r="DA5" s="1025"/>
      <c r="DB5" s="1071">
        <v>1968</v>
      </c>
      <c r="DC5" s="1071">
        <v>1755</v>
      </c>
      <c r="DD5" s="1071">
        <f>DB5+DC5</f>
        <v>3723</v>
      </c>
      <c r="DE5" s="1071">
        <v>2241</v>
      </c>
      <c r="DF5" s="1071">
        <f>DD5+DE5</f>
        <v>5964</v>
      </c>
      <c r="DG5" s="1071">
        <v>1794</v>
      </c>
      <c r="DH5" s="1071">
        <f>DE5+DG5</f>
        <v>4035</v>
      </c>
      <c r="DI5" s="1072">
        <f>'Profit and Loss'!O5</f>
        <v>7758</v>
      </c>
      <c r="DJ5" s="1071">
        <v>1874</v>
      </c>
      <c r="DK5" s="1071">
        <v>1605</v>
      </c>
      <c r="DL5" s="1071">
        <f>DJ5+DK5</f>
        <v>3479</v>
      </c>
      <c r="DM5" s="1071">
        <v>2036</v>
      </c>
      <c r="DN5" s="1071">
        <f>DM5+DL5</f>
        <v>5515</v>
      </c>
      <c r="DO5" s="1071">
        <v>1650</v>
      </c>
      <c r="DP5" s="1071">
        <f>DO5+DM5</f>
        <v>3686</v>
      </c>
      <c r="DQ5" s="1072">
        <f>'Profit and Loss'!P5</f>
        <v>7164</v>
      </c>
      <c r="DR5" s="1071">
        <v>1898</v>
      </c>
      <c r="DS5" s="1073">
        <v>1928</v>
      </c>
      <c r="DT5" s="1073">
        <f>DR5+DS5</f>
        <v>3826</v>
      </c>
      <c r="DU5" s="1073">
        <v>2421</v>
      </c>
      <c r="DV5" s="1073">
        <f>DT5+DU5</f>
        <v>6247</v>
      </c>
      <c r="DW5" s="1073">
        <f>DY5-DV5</f>
        <v>1934</v>
      </c>
      <c r="DX5" s="1073">
        <f>DU5+DW5</f>
        <v>4355</v>
      </c>
      <c r="DY5" s="1074">
        <f>'Profit and Loss'!Q5</f>
        <v>8181</v>
      </c>
      <c r="DZ5" s="1071">
        <v>2320</v>
      </c>
      <c r="EA5" s="1071">
        <v>1973</v>
      </c>
      <c r="EB5" s="1071">
        <f>DZ5+EA5</f>
        <v>4293</v>
      </c>
      <c r="EC5" s="1071">
        <f>ED5-EB5</f>
        <v>2576</v>
      </c>
      <c r="ED5" s="1071">
        <v>6869</v>
      </c>
      <c r="EE5" s="1071">
        <v>2081</v>
      </c>
      <c r="EF5" s="1071">
        <f>+EG5-EB5</f>
        <v>4657</v>
      </c>
      <c r="EG5" s="1072">
        <f>DZ5+EA5+EC5+EE5</f>
        <v>8950</v>
      </c>
      <c r="EH5" s="1071">
        <v>2614</v>
      </c>
      <c r="EI5" s="1071">
        <f>+EJ5-EH5</f>
        <v>2113</v>
      </c>
      <c r="EJ5" s="1071">
        <v>4727</v>
      </c>
      <c r="EK5" s="1071">
        <f>EL5-EJ5</f>
        <v>2743</v>
      </c>
      <c r="EL5" s="1071">
        <v>7470</v>
      </c>
      <c r="EM5" s="1071">
        <v>2063</v>
      </c>
      <c r="EN5" s="1071">
        <f>EK5+EM5</f>
        <v>4806</v>
      </c>
      <c r="EO5" s="1072">
        <f>EH5+EI5+EK5+EM5</f>
        <v>9533</v>
      </c>
      <c r="EP5" s="1071">
        <v>2481</v>
      </c>
      <c r="EQ5" s="1071">
        <f>ER5-EP5</f>
        <v>2014</v>
      </c>
      <c r="ER5" s="1071">
        <v>4495</v>
      </c>
      <c r="ES5" s="1071">
        <v>2553</v>
      </c>
      <c r="ET5" s="1071">
        <f>ER5+ES5</f>
        <v>7048</v>
      </c>
      <c r="EU5" s="1071">
        <v>2052</v>
      </c>
      <c r="EV5" s="1071">
        <f>ES5+EU5</f>
        <v>4605</v>
      </c>
      <c r="EW5" s="1072">
        <f>EP5+EQ5+ES5+EU5</f>
        <v>9100</v>
      </c>
      <c r="EX5" s="1071">
        <v>2357</v>
      </c>
      <c r="EY5" s="1071">
        <v>2085</v>
      </c>
      <c r="EZ5" s="1071">
        <f>EX5+EY5</f>
        <v>4442</v>
      </c>
      <c r="FA5" s="1071">
        <v>2717</v>
      </c>
      <c r="FB5" s="1071">
        <f>EZ5+FA5</f>
        <v>7159</v>
      </c>
      <c r="FC5" s="1071">
        <f>EU5*(1+FC6)</f>
        <v>2038.227403184</v>
      </c>
      <c r="FD5" s="1071">
        <f>FA5+FC5</f>
        <v>4755.227403184</v>
      </c>
      <c r="FE5" s="1072">
        <f>EZ5+FD5</f>
        <v>9197.227403184</v>
      </c>
      <c r="FF5" s="1071">
        <f t="shared" ref="FF5:FK5" si="5">FF26-FF21-FF10</f>
        <v>2811</v>
      </c>
      <c r="FG5" s="1071">
        <f t="shared" si="5"/>
        <v>2485</v>
      </c>
      <c r="FH5" s="1071">
        <f t="shared" si="5"/>
        <v>5296</v>
      </c>
      <c r="FI5" s="1071">
        <f t="shared" si="5"/>
        <v>3311</v>
      </c>
      <c r="FJ5" s="1071">
        <f t="shared" si="5"/>
        <v>8607</v>
      </c>
      <c r="FK5" s="1071">
        <f t="shared" si="5"/>
        <v>2620</v>
      </c>
      <c r="FL5" s="1071">
        <f>FM5-FH5</f>
        <v>5931</v>
      </c>
      <c r="FM5" s="1072">
        <f t="shared" ref="FM5:FT5" si="6">FM26-FM21-FM10</f>
        <v>11227</v>
      </c>
      <c r="FN5" s="1071">
        <f t="shared" si="6"/>
        <v>3339</v>
      </c>
      <c r="FO5" s="1071">
        <f t="shared" si="6"/>
        <v>2869</v>
      </c>
      <c r="FP5" s="1071">
        <f t="shared" si="6"/>
        <v>6208</v>
      </c>
      <c r="FQ5" s="1071">
        <f t="shared" si="6"/>
        <v>3716</v>
      </c>
      <c r="FR5" s="1071">
        <f t="shared" si="6"/>
        <v>9924</v>
      </c>
      <c r="FS5" s="1071">
        <f t="shared" si="6"/>
        <v>2888</v>
      </c>
      <c r="FT5" s="1071">
        <f t="shared" si="6"/>
        <v>6604</v>
      </c>
      <c r="FU5" s="1071">
        <f t="shared" ref="FU5:GC5" si="7">FU26-FU21-FU10</f>
        <v>12812</v>
      </c>
      <c r="FV5" s="1075">
        <f t="shared" si="7"/>
        <v>3959</v>
      </c>
      <c r="FW5" s="1076">
        <f t="shared" si="7"/>
        <v>3373</v>
      </c>
      <c r="FX5" s="1076">
        <f t="shared" si="7"/>
        <v>7332</v>
      </c>
      <c r="FY5" s="1071">
        <f t="shared" si="7"/>
        <v>4069</v>
      </c>
      <c r="FZ5" s="1071">
        <f t="shared" si="7"/>
        <v>11401</v>
      </c>
      <c r="GA5" s="1071">
        <f t="shared" si="7"/>
        <v>3216</v>
      </c>
      <c r="GB5" s="1071">
        <f t="shared" si="7"/>
        <v>7285</v>
      </c>
      <c r="GC5" s="1072">
        <f t="shared" si="7"/>
        <v>14617</v>
      </c>
      <c r="GD5" s="1075">
        <f t="shared" ref="GD5:GH5" si="8">GD26-GD21-GD10</f>
        <v>4027</v>
      </c>
      <c r="GE5" s="1076">
        <f t="shared" si="8"/>
        <v>3501</v>
      </c>
      <c r="GF5" s="1076">
        <f t="shared" si="8"/>
        <v>7528</v>
      </c>
      <c r="GG5" s="1076">
        <f t="shared" si="8"/>
        <v>3945</v>
      </c>
      <c r="GH5" s="1071">
        <f t="shared" si="8"/>
        <v>11473</v>
      </c>
      <c r="GI5" s="1071">
        <f>GI26-GI10-GI21</f>
        <v>3125</v>
      </c>
      <c r="GJ5" s="1071">
        <f t="shared" ref="GJ5" si="9">GJ26-GJ21-GJ10</f>
        <v>7070</v>
      </c>
      <c r="GK5" s="1072">
        <f>GK26-GK10-GK21</f>
        <v>14598</v>
      </c>
      <c r="GL5" s="1076">
        <f t="shared" ref="GL5:GN5" si="10">GL26-GL21-GL10</f>
        <v>4093</v>
      </c>
      <c r="GM5" s="1076">
        <f t="shared" si="10"/>
        <v>3512</v>
      </c>
      <c r="GN5" s="1076">
        <f t="shared" si="10"/>
        <v>7605</v>
      </c>
      <c r="GO5" s="1076">
        <f t="shared" ref="GO5:GP5" si="11">GO26-GO21-GO10</f>
        <v>4288</v>
      </c>
      <c r="GP5" s="1071">
        <f t="shared" si="11"/>
        <v>11893</v>
      </c>
      <c r="GQ5" s="1071">
        <f>GQ26-GQ10-GQ21</f>
        <v>3329</v>
      </c>
      <c r="GR5" s="1071">
        <f t="shared" ref="GR5" si="12">GR26-GR21-GR10</f>
        <v>7617</v>
      </c>
      <c r="GS5" s="1072">
        <f>GS26-GS10-GS21</f>
        <v>15222</v>
      </c>
      <c r="GT5" s="1076">
        <f t="shared" ref="GT5:GW5" si="13">GT26-GT21-GT10</f>
        <v>3002</v>
      </c>
      <c r="GU5" s="1076">
        <f t="shared" si="13"/>
        <v>1675</v>
      </c>
      <c r="GV5" s="1076">
        <f t="shared" si="13"/>
        <v>4677</v>
      </c>
      <c r="GW5" s="1076">
        <f t="shared" si="13"/>
        <v>3707.232</v>
      </c>
      <c r="GX5" s="1071"/>
      <c r="GY5" s="1071">
        <f>HA5-GW5-GU5-GT5</f>
        <v>2852.76799999999</v>
      </c>
      <c r="GZ5" s="1071">
        <f t="shared" ref="GZ5" si="14">GZ26-GZ21-GZ10</f>
        <v>6559.99999999999</v>
      </c>
      <c r="HA5" s="1072">
        <f>'Profit and Loss'!AA5</f>
        <v>11237</v>
      </c>
      <c r="HB5" s="1076">
        <f t="shared" ref="HB5:HE5" si="15">HB26-HB21-HB10</f>
        <v>3420</v>
      </c>
      <c r="HC5" s="1076">
        <f t="shared" si="15"/>
        <v>3139</v>
      </c>
      <c r="HD5" s="1076">
        <f t="shared" si="15"/>
        <v>6559</v>
      </c>
      <c r="HE5" s="1076">
        <f t="shared" si="15"/>
        <v>3694</v>
      </c>
      <c r="HF5" s="1071"/>
      <c r="HG5" s="1071">
        <f>HI5-HE5-HC5-HB5</f>
        <v>2543.00303366256</v>
      </c>
      <c r="HH5" s="1071">
        <f t="shared" ref="HH5" si="16">HH26-HH21-HH10</f>
        <v>6359</v>
      </c>
      <c r="HI5" s="1072">
        <f>'Profit and Loss'!AB5</f>
        <v>12796.0030336626</v>
      </c>
      <c r="HJ5" s="1076">
        <f t="shared" ref="HJ5:HK5" si="17">HJ26-HJ21-HJ10</f>
        <v>3361</v>
      </c>
      <c r="HK5" s="1076">
        <f t="shared" si="17"/>
        <v>3451</v>
      </c>
      <c r="HL5" s="1071"/>
      <c r="HM5" s="1076">
        <f t="shared" ref="HM5" si="18">HM26-HM21-HM10</f>
        <v>4050</v>
      </c>
      <c r="HN5" s="1071"/>
      <c r="HO5" s="1071">
        <f>HQ5-HM5-HK5-HJ5</f>
        <v>2661</v>
      </c>
      <c r="HP5" s="1071">
        <f t="shared" ref="HP5" si="19">HP26-HP21-HP10</f>
        <v>6828</v>
      </c>
      <c r="HQ5" s="1072">
        <f>'Profit and Loss'!AC5</f>
        <v>13523</v>
      </c>
      <c r="HR5" s="1076">
        <f t="shared" ref="HR5:HS5" si="20">HR26-HR21-HR10</f>
        <v>3420</v>
      </c>
      <c r="HS5" s="1076">
        <f t="shared" si="20"/>
        <v>2557</v>
      </c>
      <c r="HT5" s="1071"/>
      <c r="HU5" s="1076">
        <f t="shared" ref="HU5" si="21">HU26-HU21-HU10</f>
        <v>3369</v>
      </c>
      <c r="HV5" s="1071"/>
      <c r="HW5" s="1071">
        <f>HY5-HU5-HS5-HR5</f>
        <v>2446</v>
      </c>
      <c r="HX5" s="1071">
        <f t="shared" ref="HX5" si="22">HX26-HX21-HX10</f>
        <v>5815</v>
      </c>
      <c r="HY5" s="1072">
        <f>'Profit and Loss'!AD5</f>
        <v>11792</v>
      </c>
      <c r="HZ5" s="1076">
        <f t="shared" ref="HZ5:IA5" si="23">HZ26-HZ21-HZ10</f>
        <v>3230</v>
      </c>
      <c r="IA5" s="1076">
        <f t="shared" si="23"/>
        <v>3211</v>
      </c>
      <c r="IB5" s="1071"/>
      <c r="IC5" s="1076">
        <f t="shared" ref="IC5:IG5" si="24">IC26-IC21-IC10</f>
        <v>3863</v>
      </c>
      <c r="ID5" s="1071"/>
      <c r="IE5" s="1076">
        <f t="shared" si="24"/>
        <v>3155.00000000001</v>
      </c>
      <c r="IF5" s="1071"/>
      <c r="IG5" s="1076">
        <f t="shared" si="24"/>
        <v>13543</v>
      </c>
      <c r="IH5" s="1076">
        <f t="shared" ref="IH5:II5" si="25">IH26-IH21-IH10</f>
        <v>3969</v>
      </c>
      <c r="II5" s="1076">
        <f t="shared" si="25"/>
        <v>3600</v>
      </c>
      <c r="IJ5" s="1071"/>
      <c r="IK5" s="1076">
        <f t="shared" ref="IK5:IQ5" si="26">IK26-IK21-IK10</f>
        <v>4192</v>
      </c>
      <c r="IL5" s="1071"/>
      <c r="IM5" s="1076">
        <f t="shared" si="26"/>
        <v>3048</v>
      </c>
      <c r="IN5" s="1071"/>
      <c r="IO5" s="1077">
        <f t="shared" si="26"/>
        <v>14808</v>
      </c>
      <c r="IP5" s="1076">
        <f t="shared" si="26"/>
        <v>4050</v>
      </c>
      <c r="IQ5" s="1076">
        <f t="shared" si="26"/>
        <v>3805</v>
      </c>
      <c r="IR5" s="1071"/>
      <c r="IS5" s="1071"/>
      <c r="IT5" s="1071"/>
      <c r="IU5" s="1071"/>
      <c r="IV5" s="1071"/>
      <c r="IW5" s="1071"/>
      <c r="IX5" s="1071"/>
      <c r="IY5" s="1049"/>
      <c r="IZ5" s="1049"/>
      <c r="JA5" s="1049"/>
      <c r="JB5" s="1037"/>
      <c r="JC5" s="1037"/>
      <c r="JD5" s="1037"/>
      <c r="JE5" s="1037"/>
      <c r="JF5" s="1037"/>
      <c r="JG5" s="1037"/>
      <c r="JH5" s="1037"/>
      <c r="JI5" s="1037"/>
      <c r="JJ5" s="1037"/>
      <c r="JK5" s="1037"/>
      <c r="JL5" s="1037"/>
      <c r="JM5" s="1037"/>
      <c r="JN5" s="1037"/>
      <c r="JQ5" s="1035"/>
      <c r="JR5" s="1078"/>
      <c r="JS5" s="1079"/>
      <c r="JT5" s="1079"/>
      <c r="JU5" s="1079"/>
      <c r="JV5" s="1079"/>
      <c r="JW5" s="1079"/>
      <c r="JX5" s="1079"/>
      <c r="JY5" s="1079"/>
      <c r="JZ5" s="1079"/>
    </row>
    <row r="6" spans="1:286">
      <c r="A6" s="967" t="s">
        <v>61</v>
      </c>
      <c r="AX6" s="1059"/>
      <c r="BE6" s="1060"/>
      <c r="BN6" s="1059"/>
      <c r="BU6" s="1060"/>
      <c r="BV6" s="1059"/>
      <c r="CC6" s="1060"/>
      <c r="CD6" s="1059"/>
      <c r="CJ6" s="1061"/>
      <c r="CK6" s="1060"/>
      <c r="CL6" s="1059"/>
      <c r="CS6" s="1060"/>
      <c r="CT6" s="967"/>
      <c r="CU6" s="967"/>
      <c r="CV6" s="967"/>
      <c r="CW6" s="967"/>
      <c r="CX6" s="967"/>
      <c r="CY6" s="967"/>
      <c r="CZ6" s="967"/>
      <c r="DA6" s="967"/>
      <c r="DJ6" s="1080">
        <f t="shared" ref="DJ6:FB6" si="27">DJ5/DB5-1</f>
        <v>-0.0477642276422764</v>
      </c>
      <c r="DK6" s="1080">
        <f t="shared" si="27"/>
        <v>-0.0854700854700855</v>
      </c>
      <c r="DL6" s="1080">
        <f t="shared" si="27"/>
        <v>-0.0655385441847972</v>
      </c>
      <c r="DM6" s="1080">
        <f t="shared" si="27"/>
        <v>-0.0914770191878626</v>
      </c>
      <c r="DN6" s="1080">
        <f t="shared" si="27"/>
        <v>-0.0752850435949027</v>
      </c>
      <c r="DO6" s="1080">
        <f t="shared" si="27"/>
        <v>-0.080267558528428</v>
      </c>
      <c r="DP6" s="1080">
        <f t="shared" si="27"/>
        <v>-0.0864931846344485</v>
      </c>
      <c r="DQ6" s="1081">
        <f t="shared" si="27"/>
        <v>-0.0765661252900232</v>
      </c>
      <c r="DR6" s="1082">
        <f t="shared" si="27"/>
        <v>0.0128068303094984</v>
      </c>
      <c r="DS6" s="1082">
        <f t="shared" si="27"/>
        <v>0.201246105919003</v>
      </c>
      <c r="DT6" s="1083">
        <f t="shared" si="27"/>
        <v>0.0997413049726934</v>
      </c>
      <c r="DU6" s="1083">
        <f t="shared" si="27"/>
        <v>0.18909626719057</v>
      </c>
      <c r="DV6" s="1083">
        <f t="shared" si="27"/>
        <v>0.132728921124207</v>
      </c>
      <c r="DW6" s="1083">
        <f t="shared" si="27"/>
        <v>0.172121212121212</v>
      </c>
      <c r="DX6" s="1083">
        <f t="shared" si="27"/>
        <v>0.181497558328812</v>
      </c>
      <c r="DY6" s="1084">
        <f t="shared" si="27"/>
        <v>0.141959798994975</v>
      </c>
      <c r="DZ6" s="1082">
        <f t="shared" si="27"/>
        <v>0.222339304531085</v>
      </c>
      <c r="EA6" s="1082">
        <f t="shared" si="27"/>
        <v>0.0233402489626555</v>
      </c>
      <c r="EB6" s="1082">
        <f t="shared" si="27"/>
        <v>0.122059592263461</v>
      </c>
      <c r="EC6" s="1082">
        <f t="shared" si="27"/>
        <v>0.0640231309376291</v>
      </c>
      <c r="ED6" s="1082">
        <f t="shared" si="27"/>
        <v>0.0995677925404195</v>
      </c>
      <c r="EE6" s="1082">
        <f t="shared" si="27"/>
        <v>0.0760082730093072</v>
      </c>
      <c r="EF6" s="1082">
        <f t="shared" si="27"/>
        <v>0.0693455797933409</v>
      </c>
      <c r="EG6" s="1085">
        <f t="shared" si="27"/>
        <v>0.0939982887177606</v>
      </c>
      <c r="EH6" s="1082">
        <f t="shared" si="27"/>
        <v>0.126724137931034</v>
      </c>
      <c r="EI6" s="1082">
        <f t="shared" si="27"/>
        <v>0.0709579320831222</v>
      </c>
      <c r="EJ6" s="1082">
        <f t="shared" si="27"/>
        <v>0.101094805497321</v>
      </c>
      <c r="EK6" s="1082">
        <f t="shared" si="27"/>
        <v>0.0648291925465838</v>
      </c>
      <c r="EL6" s="1082">
        <f t="shared" si="27"/>
        <v>0.0874945406900567</v>
      </c>
      <c r="EM6" s="1082">
        <f t="shared" si="27"/>
        <v>-0.00864968765016816</v>
      </c>
      <c r="EN6" s="1082">
        <f t="shared" si="27"/>
        <v>0.0319948464676831</v>
      </c>
      <c r="EO6" s="1085">
        <f t="shared" si="27"/>
        <v>0.0651396648044693</v>
      </c>
      <c r="EP6" s="1082">
        <f t="shared" si="27"/>
        <v>-0.0508798775822494</v>
      </c>
      <c r="EQ6" s="1082">
        <f t="shared" si="27"/>
        <v>-0.0468528159015618</v>
      </c>
      <c r="ER6" s="1082">
        <f t="shared" si="27"/>
        <v>-0.049079754601227</v>
      </c>
      <c r="ES6" s="1082">
        <f t="shared" si="27"/>
        <v>-0.0692672256653299</v>
      </c>
      <c r="ET6" s="1082">
        <f t="shared" si="27"/>
        <v>-0.0564926372155288</v>
      </c>
      <c r="EU6" s="1082">
        <f t="shared" si="27"/>
        <v>-0.00533204071740179</v>
      </c>
      <c r="EV6" s="1082">
        <f t="shared" si="27"/>
        <v>-0.0418227215980025</v>
      </c>
      <c r="EW6" s="1085">
        <f t="shared" si="27"/>
        <v>-0.0454211685723277</v>
      </c>
      <c r="EX6" s="1082">
        <f t="shared" si="27"/>
        <v>-0.0499798468359532</v>
      </c>
      <c r="EY6" s="1082">
        <f t="shared" si="27"/>
        <v>0.035253227408143</v>
      </c>
      <c r="EZ6" s="1082">
        <f t="shared" si="27"/>
        <v>-0.0117908787541713</v>
      </c>
      <c r="FA6" s="1082">
        <f t="shared" si="27"/>
        <v>0.064238151194673</v>
      </c>
      <c r="FB6" s="1082">
        <f t="shared" si="27"/>
        <v>0.0157491486946653</v>
      </c>
      <c r="FC6" s="1082">
        <f>FC7+FC8</f>
        <v>-0.00671179182066283</v>
      </c>
      <c r="FD6" s="1082">
        <f t="shared" ref="FD6:FT6" si="28">FD5/EV5-1</f>
        <v>0.0326226717011944</v>
      </c>
      <c r="FE6" s="1085">
        <f t="shared" si="28"/>
        <v>0.0106843300202197</v>
      </c>
      <c r="FF6" s="1082">
        <f t="shared" si="28"/>
        <v>0.192617734408146</v>
      </c>
      <c r="FG6" s="1082">
        <f t="shared" si="28"/>
        <v>0.191846522781774</v>
      </c>
      <c r="FH6" s="1082">
        <f t="shared" si="28"/>
        <v>0.192255740657362</v>
      </c>
      <c r="FI6" s="1082">
        <f t="shared" si="28"/>
        <v>0.218623481781377</v>
      </c>
      <c r="FJ6" s="1082">
        <f t="shared" si="28"/>
        <v>0.202262885877916</v>
      </c>
      <c r="FK6" s="1082">
        <f t="shared" si="28"/>
        <v>0.285430661911026</v>
      </c>
      <c r="FL6" s="1082">
        <f t="shared" si="28"/>
        <v>0.247258963057945</v>
      </c>
      <c r="FM6" s="1085">
        <f t="shared" si="28"/>
        <v>0.220693966544016</v>
      </c>
      <c r="FN6" s="1082">
        <f t="shared" si="28"/>
        <v>0.187833511205977</v>
      </c>
      <c r="FO6" s="1082">
        <f t="shared" si="28"/>
        <v>0.154527162977867</v>
      </c>
      <c r="FP6" s="1082">
        <f t="shared" si="28"/>
        <v>0.172205438066465</v>
      </c>
      <c r="FQ6" s="1082">
        <f t="shared" si="28"/>
        <v>0.122319540924192</v>
      </c>
      <c r="FR6" s="1082">
        <f t="shared" si="28"/>
        <v>0.153014987800627</v>
      </c>
      <c r="FS6" s="1082">
        <f t="shared" si="28"/>
        <v>0.102290076335878</v>
      </c>
      <c r="FT6" s="1082">
        <f t="shared" si="28"/>
        <v>0.113471589951104</v>
      </c>
      <c r="FU6" s="1082">
        <f t="shared" ref="FU6:GC6" si="29">FU5/FM5-1</f>
        <v>0.14117751848223</v>
      </c>
      <c r="FV6" s="1086">
        <f t="shared" si="29"/>
        <v>0.185684336627733</v>
      </c>
      <c r="FW6" s="1087">
        <f t="shared" si="29"/>
        <v>0.175670965493203</v>
      </c>
      <c r="FX6" s="1087">
        <f t="shared" si="29"/>
        <v>0.181056701030928</v>
      </c>
      <c r="FY6" s="1082">
        <f t="shared" si="29"/>
        <v>0.094994617868676</v>
      </c>
      <c r="FZ6" s="1082">
        <f t="shared" si="29"/>
        <v>0.148831116485288</v>
      </c>
      <c r="GA6" s="1082">
        <f t="shared" si="29"/>
        <v>0.113573407202216</v>
      </c>
      <c r="GB6" s="1082">
        <f t="shared" si="29"/>
        <v>0.103119321623259</v>
      </c>
      <c r="GC6" s="1085">
        <f t="shared" si="29"/>
        <v>0.140883546674992</v>
      </c>
      <c r="GD6" s="1086">
        <f t="shared" ref="GD6:GP6" si="30">GD5/FV5-1</f>
        <v>0.0171760545592321</v>
      </c>
      <c r="GE6" s="1087">
        <f t="shared" si="30"/>
        <v>0.0379484138748889</v>
      </c>
      <c r="GF6" s="1087">
        <f t="shared" si="30"/>
        <v>0.0267321331151118</v>
      </c>
      <c r="GG6" s="1087">
        <f t="shared" si="30"/>
        <v>-0.0304743180142535</v>
      </c>
      <c r="GH6" s="1082">
        <f t="shared" si="30"/>
        <v>0.00631523550565771</v>
      </c>
      <c r="GI6" s="1082">
        <f t="shared" si="30"/>
        <v>-0.0282960199004975</v>
      </c>
      <c r="GJ6" s="1082">
        <f t="shared" si="30"/>
        <v>-0.0295126973232664</v>
      </c>
      <c r="GK6" s="1085">
        <f t="shared" si="30"/>
        <v>-0.0012998563316684</v>
      </c>
      <c r="GL6" s="1087">
        <f t="shared" si="30"/>
        <v>0.0163893717407499</v>
      </c>
      <c r="GM6" s="1087">
        <f t="shared" si="30"/>
        <v>0.00314195944015938</v>
      </c>
      <c r="GN6" s="1087">
        <f t="shared" si="30"/>
        <v>0.0102284803400639</v>
      </c>
      <c r="GO6" s="1087">
        <f t="shared" si="30"/>
        <v>0.0869455006337134</v>
      </c>
      <c r="GP6" s="1082">
        <f t="shared" si="30"/>
        <v>0.0366076876143986</v>
      </c>
      <c r="GQ6" s="1082">
        <f t="shared" ref="GQ6" si="31">GQ5/GI5-1</f>
        <v>0.0652799999999993</v>
      </c>
      <c r="GR6" s="1082">
        <f t="shared" ref="GR6" si="32">GR5/GJ5-1</f>
        <v>0.0773691654879773</v>
      </c>
      <c r="GS6" s="1085">
        <f t="shared" ref="GS6" si="33">GS5/GK5-1</f>
        <v>0.0427455815865185</v>
      </c>
      <c r="GT6" s="1087">
        <f t="shared" ref="GT6" si="34">GT5/GL5-1</f>
        <v>-0.266552650867334</v>
      </c>
      <c r="GU6" s="1087">
        <f t="shared" ref="GU6" si="35">GU5/GM5-1</f>
        <v>-0.523063781321184</v>
      </c>
      <c r="GV6" s="1087">
        <f t="shared" ref="GV6:HA6" si="36">GV5/GN5-1</f>
        <v>-0.385009861932939</v>
      </c>
      <c r="GW6" s="1087">
        <f t="shared" si="36"/>
        <v>-0.135440298507462</v>
      </c>
      <c r="GX6" s="1082"/>
      <c r="GY6" s="1087">
        <f t="shared" si="36"/>
        <v>-0.14305557224392</v>
      </c>
      <c r="GZ6" s="1082">
        <f t="shared" si="36"/>
        <v>-0.138768544046214</v>
      </c>
      <c r="HA6" s="1088">
        <f t="shared" si="36"/>
        <v>-0.261792142950993</v>
      </c>
      <c r="HB6" s="1087">
        <f>HB5/2917-1</f>
        <v>0.172437435721632</v>
      </c>
      <c r="HC6" s="1087">
        <f t="shared" ref="HC6:HE6" si="37">HC5/GU5-1</f>
        <v>0.874029850746269</v>
      </c>
      <c r="HD6" s="1087">
        <f t="shared" si="37"/>
        <v>0.402394697455634</v>
      </c>
      <c r="HE6" s="1087">
        <f t="shared" si="37"/>
        <v>-0.00356923979939849</v>
      </c>
      <c r="HF6" s="1082"/>
      <c r="HG6" s="1087">
        <f t="shared" ref="HG6" si="38">HG5/GY5-1</f>
        <v>-0.108584002042028</v>
      </c>
      <c r="HH6" s="1082">
        <f t="shared" ref="HH6" si="39">HH5/GZ5-1</f>
        <v>-0.0306402439024379</v>
      </c>
      <c r="HI6" s="1088">
        <f t="shared" ref="HI6:HJ6" si="40">HI5/HA5-1</f>
        <v>0.138738367327807</v>
      </c>
      <c r="HJ6" s="1087">
        <f t="shared" si="40"/>
        <v>-0.0172514619883046</v>
      </c>
      <c r="HK6" s="1087">
        <f t="shared" ref="HK6" si="41">HK5/HC5-1</f>
        <v>0.0993947116916221</v>
      </c>
      <c r="HL6" s="1082"/>
      <c r="HM6" s="1087">
        <f t="shared" ref="HM6" si="42">HM5/HE5-1</f>
        <v>0.096372495939361</v>
      </c>
      <c r="HN6" s="1082"/>
      <c r="HO6" s="1087">
        <f t="shared" ref="HO6" si="43">HO5/HG5-1</f>
        <v>0.0464006392345866</v>
      </c>
      <c r="HP6" s="1082">
        <f t="shared" ref="HP6" si="44">HP5/HH5-1</f>
        <v>0.0737537348639723</v>
      </c>
      <c r="HQ6" s="1088">
        <f t="shared" ref="HQ6:HR6" si="45">HQ5/HI5-1</f>
        <v>0.0568143790232714</v>
      </c>
      <c r="HR6" s="1087">
        <f t="shared" si="45"/>
        <v>0.0175542993156803</v>
      </c>
      <c r="HS6" s="1087">
        <f t="shared" ref="HS6" si="46">HS5/HK5-1</f>
        <v>-0.259055346276441</v>
      </c>
      <c r="HT6" s="1082"/>
      <c r="HU6" s="1087">
        <f t="shared" ref="HU6" si="47">HU5/HM5-1</f>
        <v>-0.168148148148148</v>
      </c>
      <c r="HV6" s="1082"/>
      <c r="HW6" s="1087">
        <f t="shared" ref="HW6" si="48">HW5/HO5-1</f>
        <v>-0.0807966929725662</v>
      </c>
      <c r="HX6" s="1082">
        <f t="shared" ref="HX6" si="49">HX5/HP5-1</f>
        <v>-0.148359695371998</v>
      </c>
      <c r="HY6" s="1088">
        <f t="shared" ref="HY6:HZ6" si="50">HY5/HQ5-1</f>
        <v>-0.128004141092953</v>
      </c>
      <c r="HZ6" s="1087">
        <f t="shared" si="50"/>
        <v>-0.0555555555555558</v>
      </c>
      <c r="IA6" s="1087">
        <f t="shared" ref="IA6" si="51">IA5/HS5-1</f>
        <v>0.255768478685959</v>
      </c>
      <c r="IB6" s="1082"/>
      <c r="IC6" s="1087">
        <f t="shared" ref="IC6" si="52">IC5/HU5-1</f>
        <v>0.146631047788661</v>
      </c>
      <c r="ID6" s="1082"/>
      <c r="IE6" s="1087"/>
      <c r="IF6" s="1082"/>
      <c r="IG6" s="1085"/>
      <c r="IH6" s="1087">
        <f>IH5/HZ5-1</f>
        <v>0.228792569659443</v>
      </c>
      <c r="II6" s="1087">
        <f t="shared" ref="II6" si="53">II5/IA5-1</f>
        <v>0.121146060417316</v>
      </c>
      <c r="IJ6" s="1082"/>
      <c r="IK6" s="1087">
        <f t="shared" ref="IK6" si="54">IK5/IC5-1</f>
        <v>0.0851669686771948</v>
      </c>
      <c r="IL6" s="1082"/>
      <c r="IM6" s="1087">
        <v>-0.06</v>
      </c>
      <c r="IN6" s="1082"/>
      <c r="IO6" s="1085">
        <v>0.07</v>
      </c>
      <c r="IP6" s="1087">
        <f>IP5/IH5-1</f>
        <v>0.0204081632653066</v>
      </c>
      <c r="IQ6" s="1087">
        <f t="shared" ref="IQ6" si="55">IQ5/II5-1</f>
        <v>0.0569444444444451</v>
      </c>
      <c r="IR6" s="1082"/>
      <c r="IS6" s="1082"/>
      <c r="IT6" s="1082"/>
      <c r="IU6" s="1082"/>
      <c r="IV6" s="1082"/>
      <c r="IW6" s="1082"/>
      <c r="IX6" s="1082"/>
      <c r="IY6" s="1049"/>
      <c r="IZ6" s="1049"/>
      <c r="JA6" s="1049"/>
      <c r="JB6" s="1089"/>
      <c r="JC6" s="1089"/>
      <c r="JD6" s="1089"/>
      <c r="JE6" s="1089"/>
      <c r="JF6" s="1089"/>
      <c r="JG6" s="1089"/>
      <c r="JH6" s="1089"/>
      <c r="JI6" s="1089"/>
      <c r="JJ6" s="1089"/>
      <c r="JK6" s="1089"/>
      <c r="JL6" s="1089"/>
      <c r="JM6" s="1089"/>
      <c r="JN6" s="1089"/>
      <c r="JO6" s="1089"/>
      <c r="JP6" s="1089"/>
      <c r="JQ6" s="1035"/>
      <c r="JR6" s="1090"/>
      <c r="JS6" s="1082"/>
      <c r="JT6" s="1082"/>
      <c r="JU6" s="1082"/>
      <c r="JV6" s="1082"/>
      <c r="JW6" s="1082"/>
      <c r="JX6" s="1082"/>
      <c r="JY6" s="1082"/>
      <c r="JZ6" s="1082"/>
    </row>
    <row r="7" spans="1:286">
      <c r="A7" s="967" t="s">
        <v>63</v>
      </c>
      <c r="AX7" s="1059"/>
      <c r="BE7" s="1060"/>
      <c r="BN7" s="1059"/>
      <c r="BU7" s="1060"/>
      <c r="BV7" s="1059"/>
      <c r="CC7" s="1060"/>
      <c r="CD7" s="1059"/>
      <c r="CJ7" s="1061"/>
      <c r="CK7" s="1060"/>
      <c r="CL7" s="1059"/>
      <c r="CS7" s="1060"/>
      <c r="CT7" s="967"/>
      <c r="CU7" s="967"/>
      <c r="CV7" s="967"/>
      <c r="CW7" s="967"/>
      <c r="CX7" s="967"/>
      <c r="CY7" s="967"/>
      <c r="CZ7" s="967"/>
      <c r="DA7" s="967"/>
      <c r="DJ7" s="1080">
        <f t="shared" ref="DJ7:DW7" si="56">DJ6-DJ8</f>
        <v>0.0322357723577236</v>
      </c>
      <c r="DK7" s="1080">
        <f t="shared" si="56"/>
        <v>0.0445299145299145</v>
      </c>
      <c r="DL7" s="1080">
        <f t="shared" si="56"/>
        <v>0.0380311576685469</v>
      </c>
      <c r="DM7" s="1080">
        <f t="shared" si="56"/>
        <v>-0.00147701918786255</v>
      </c>
      <c r="DN7" s="1080">
        <f t="shared" si="56"/>
        <v>0.0231857813547954</v>
      </c>
      <c r="DO7" s="1080">
        <f t="shared" si="56"/>
        <v>-0.040267558528428</v>
      </c>
      <c r="DP7" s="1080">
        <f t="shared" si="56"/>
        <v>-0.018723667905824</v>
      </c>
      <c r="DQ7" s="1081">
        <f t="shared" si="56"/>
        <v>0.0134338747099768</v>
      </c>
      <c r="DR7" s="1082">
        <f t="shared" si="56"/>
        <v>0.00280683030949836</v>
      </c>
      <c r="DS7" s="1082">
        <f t="shared" si="56"/>
        <v>0.0802461059190032</v>
      </c>
      <c r="DT7" s="1082">
        <f t="shared" si="56"/>
        <v>0.0397413049726934</v>
      </c>
      <c r="DU7" s="1082">
        <f t="shared" si="56"/>
        <v>0.0930962671905698</v>
      </c>
      <c r="DV7" s="1082">
        <f t="shared" si="56"/>
        <v>0.0577289211242066</v>
      </c>
      <c r="DW7" s="1082">
        <f t="shared" si="56"/>
        <v>0.0961212121212121</v>
      </c>
      <c r="DX7" s="1082">
        <f>((DW7*DO5)+(DU7*DM5))/DP5</f>
        <v>0.0944503526858383</v>
      </c>
      <c r="DY7" s="1085">
        <f>'Profit and Loss'!Q7</f>
        <v>0.0669597989949748</v>
      </c>
      <c r="DZ7" s="1082">
        <f>DZ6-DZ8</f>
        <v>0.0423393045310853</v>
      </c>
      <c r="EA7" s="1082">
        <f>EA6-EA8</f>
        <v>-0.0366597510373445</v>
      </c>
      <c r="EB7" s="1082">
        <f>EB6-EB8</f>
        <v>-0.00794040773653937</v>
      </c>
      <c r="EC7" s="1082">
        <f>EC6-EC8</f>
        <v>-0.0359768690623709</v>
      </c>
      <c r="ED7" s="1082">
        <f>ED6-ED8</f>
        <v>-0.0204322074595805</v>
      </c>
      <c r="EE7" s="1082">
        <f>+EE6-EE8</f>
        <v>-0.0139917269906928</v>
      </c>
      <c r="EF7" s="1082">
        <f>+EF6-EF8</f>
        <v>-0.0230838117106775</v>
      </c>
      <c r="EG7" s="1085">
        <f>EG6-EG8</f>
        <v>-0.0160017112822394</v>
      </c>
      <c r="EH7" s="1082">
        <f>+EH6-EH8</f>
        <v>0.0267241379310344</v>
      </c>
      <c r="EI7" s="1082">
        <f>+EI6-EI8</f>
        <v>0.0609579320831222</v>
      </c>
      <c r="EJ7" s="1082">
        <f>+EJ6-EJ8</f>
        <v>0.0410948054973213</v>
      </c>
      <c r="EK7" s="1082">
        <f>EK6-EK8</f>
        <v>0.0608291925465838</v>
      </c>
      <c r="EL7" s="1082">
        <f>EL6-EL8</f>
        <v>0.0484945406900567</v>
      </c>
      <c r="EM7" s="1082">
        <f>EM6-EM8</f>
        <v>0.0273503123498318</v>
      </c>
      <c r="EN7" s="1082">
        <f>+EN6-EN8</f>
        <v>0.0458690143869445</v>
      </c>
      <c r="EO7" s="1085">
        <f>+EO6-EO8</f>
        <v>0.0442326256983241</v>
      </c>
      <c r="EP7" s="1082">
        <f t="shared" ref="EP7:FB7" si="57">EP6-EP8</f>
        <v>-0.0188798775822494</v>
      </c>
      <c r="EQ7" s="1082">
        <f t="shared" si="57"/>
        <v>-0.0368528159015618</v>
      </c>
      <c r="ER7" s="1082">
        <f t="shared" si="57"/>
        <v>-0.027079754601227</v>
      </c>
      <c r="ES7" s="1082">
        <f t="shared" si="57"/>
        <v>-0.0612672256653299</v>
      </c>
      <c r="ET7" s="1082">
        <f t="shared" si="57"/>
        <v>-0.0395285140562249</v>
      </c>
      <c r="EU7" s="1082">
        <f t="shared" si="57"/>
        <v>-0.0843320407174018</v>
      </c>
      <c r="EV7" s="1082">
        <f t="shared" si="57"/>
        <v>-0.0711679151061173</v>
      </c>
      <c r="EW7" s="1085">
        <f t="shared" si="57"/>
        <v>-0.0492242735759992</v>
      </c>
      <c r="EX7" s="1082">
        <f t="shared" si="57"/>
        <v>-0.0559798468359532</v>
      </c>
      <c r="EY7" s="1082">
        <f t="shared" si="57"/>
        <v>-0.065746772591857</v>
      </c>
      <c r="EZ7" s="1082">
        <f t="shared" si="57"/>
        <v>-0.0603559510567297</v>
      </c>
      <c r="FA7" s="1091">
        <f t="shared" si="57"/>
        <v>-0.020761848805327</v>
      </c>
      <c r="FB7" s="1082">
        <f t="shared" si="57"/>
        <v>-0.0460137627695799</v>
      </c>
      <c r="FC7" s="1082">
        <f>((EU95*(0.1*FC492)+EU100*FC102+EU105*FC483+EU110*FC112+EU115*FC117+EU120*FC122)/EU127)-(FE842/EW5)</f>
        <v>-0.0567117918206628</v>
      </c>
      <c r="FD7" s="1082">
        <f t="shared" ref="FD7:FN7" si="58">FD6-FD8</f>
        <v>-0.0367812370935939</v>
      </c>
      <c r="FE7" s="1085">
        <f t="shared" si="58"/>
        <v>-0.0484261095402198</v>
      </c>
      <c r="FF7" s="1082">
        <f t="shared" si="58"/>
        <v>0.107289775625411</v>
      </c>
      <c r="FG7" s="1082">
        <f t="shared" si="58"/>
        <v>0.121768904546757</v>
      </c>
      <c r="FH7" s="1082">
        <f t="shared" si="58"/>
        <v>0.115043689568194</v>
      </c>
      <c r="FI7" s="1082">
        <f t="shared" si="58"/>
        <v>0.0783770025851083</v>
      </c>
      <c r="FJ7" s="1082">
        <f t="shared" si="58"/>
        <v>0.0998142753002039</v>
      </c>
      <c r="FK7" s="1082">
        <f t="shared" si="58"/>
        <v>0.143146455609703</v>
      </c>
      <c r="FL7" s="1082">
        <f t="shared" si="58"/>
        <v>0.106253371499832</v>
      </c>
      <c r="FM7" s="1085">
        <f t="shared" si="58"/>
        <v>0.110498845831167</v>
      </c>
      <c r="FN7" s="1082">
        <f t="shared" si="58"/>
        <v>-0.0446204197794379</v>
      </c>
      <c r="FO7" s="1082">
        <f t="shared" ref="FO7:GC7" si="59">FO6-FO8</f>
        <v>-0.073235412474849</v>
      </c>
      <c r="FP7" s="1082">
        <f t="shared" si="59"/>
        <v>-0.0580472054380665</v>
      </c>
      <c r="FQ7" s="1082">
        <f t="shared" si="59"/>
        <v>-0.0384859559045604</v>
      </c>
      <c r="FR7" s="1082">
        <f t="shared" si="59"/>
        <v>-0.050522249331939</v>
      </c>
      <c r="FS7" s="1082">
        <f t="shared" si="59"/>
        <v>-0.025537786259542</v>
      </c>
      <c r="FT7" s="1082">
        <f t="shared" si="59"/>
        <v>-0.0327661439892093</v>
      </c>
      <c r="FU7" s="1082">
        <f t="shared" si="59"/>
        <v>-0.0446917253050681</v>
      </c>
      <c r="FV7" s="1086">
        <f t="shared" si="59"/>
        <v>0.0116558849955075</v>
      </c>
      <c r="FW7" s="1087">
        <f t="shared" si="59"/>
        <v>-0.0030414778668526</v>
      </c>
      <c r="FX7" s="1087">
        <f t="shared" si="59"/>
        <v>0.00486356314432987</v>
      </c>
      <c r="FY7" s="1082">
        <f t="shared" si="59"/>
        <v>-0.0392814145357373</v>
      </c>
      <c r="FZ7" s="1082">
        <f t="shared" si="59"/>
        <v>-0.011666337808827</v>
      </c>
      <c r="GA7" s="1082">
        <f t="shared" si="59"/>
        <v>-0.0405713296398892</v>
      </c>
      <c r="GB7" s="1082">
        <f t="shared" si="59"/>
        <v>-0.0398455082396729</v>
      </c>
      <c r="GC7" s="1085">
        <f t="shared" si="59"/>
        <v>-0.0181819182340618</v>
      </c>
      <c r="GD7" s="1086">
        <f t="shared" ref="GD7:GF7" si="60">GD6-GD8</f>
        <v>-0.0852437484213185</v>
      </c>
      <c r="GE7" s="1087">
        <f t="shared" si="60"/>
        <v>-0.0676768455380966</v>
      </c>
      <c r="GF7" s="1087">
        <f t="shared" si="60"/>
        <v>-0.0771623022367703</v>
      </c>
      <c r="GG7" s="1087">
        <f t="shared" ref="GG7:GH7" si="61">GG6-GG8</f>
        <v>-0.0527284345047922</v>
      </c>
      <c r="GH7" s="1082">
        <f t="shared" si="61"/>
        <v>-0.0684418910621874</v>
      </c>
      <c r="GI7" s="1082">
        <f>GI12</f>
        <v>-0.0101897983392646</v>
      </c>
      <c r="GJ7" s="1082">
        <f>GJ6-GJ8</f>
        <v>-0.0352425531914891</v>
      </c>
      <c r="GK7" s="1085">
        <f>GK12</f>
        <v>-0.0513580921858798</v>
      </c>
      <c r="GL7" s="1087">
        <f t="shared" ref="GL7:GN7" si="62">GL6-GL8</f>
        <v>0.014795132853241</v>
      </c>
      <c r="GM7" s="1087">
        <f t="shared" si="62"/>
        <v>0.00509511568123337</v>
      </c>
      <c r="GN7" s="1087">
        <f t="shared" si="62"/>
        <v>0.0105672954303935</v>
      </c>
      <c r="GO7" s="1087">
        <f t="shared" ref="GO7:GP7" si="63">GO6-GO8</f>
        <v>0.0276499366286437</v>
      </c>
      <c r="GP7" s="1082">
        <f t="shared" si="63"/>
        <v>0.0164411749324498</v>
      </c>
      <c r="GQ7" s="1082">
        <f>GQ12</f>
        <v>0.0259533898305084</v>
      </c>
      <c r="GR7" s="1082">
        <f>GR6-GR8</f>
        <v>0.0186278642149929</v>
      </c>
      <c r="GS7" s="1085">
        <f>GS12</f>
        <v>0.0182392699064566</v>
      </c>
      <c r="GT7" s="1087">
        <f t="shared" ref="GT7:GW7" si="64">GT6-GT8</f>
        <v>-0.00135426337649647</v>
      </c>
      <c r="GU7" s="1087">
        <f t="shared" si="64"/>
        <v>-0.00189626423690159</v>
      </c>
      <c r="GV7" s="1087">
        <f t="shared" si="64"/>
        <v>-0.00160456015779087</v>
      </c>
      <c r="GW7" s="1087">
        <f t="shared" si="64"/>
        <v>-0.0380942164179102</v>
      </c>
      <c r="GX7" s="1082"/>
      <c r="GY7" s="1087">
        <f t="shared" ref="GY7:HA7" si="65">GY6-GY8</f>
        <v>-0.0479545749043668</v>
      </c>
      <c r="GZ7" s="1082">
        <f t="shared" si="65"/>
        <v>-0.0424036733433948</v>
      </c>
      <c r="HA7" s="1088">
        <f t="shared" si="65"/>
        <v>-0.0251492221690078</v>
      </c>
      <c r="HB7" s="1087">
        <f t="shared" ref="HB7:HE7" si="66">HB6-HB8</f>
        <v>-0.266952348303051</v>
      </c>
      <c r="HC7" s="1087">
        <f t="shared" si="66"/>
        <v>-0.103080948164072</v>
      </c>
      <c r="HD7" s="1087">
        <f t="shared" si="66"/>
        <v>-0.233847302835375</v>
      </c>
      <c r="HE7" s="1087">
        <f t="shared" si="66"/>
        <v>-0.0372409210384374</v>
      </c>
      <c r="HF7" s="1082"/>
      <c r="HG7" s="1087">
        <f t="shared" ref="HG7:HH7" si="67">HG6-HG8</f>
        <v>-0.0592630935557708</v>
      </c>
      <c r="HH7" s="1082">
        <f t="shared" si="67"/>
        <v>-0.0282206745004019</v>
      </c>
      <c r="HI7" s="1088">
        <f t="shared" ref="HI7:HK7" si="68">HI6-HI8</f>
        <v>-0.0623115028091047</v>
      </c>
      <c r="HJ7" s="1087">
        <f t="shared" si="68"/>
        <v>0.0325223577981332</v>
      </c>
      <c r="HK7" s="1087">
        <f t="shared" si="68"/>
        <v>0.0642491239248174</v>
      </c>
      <c r="HL7" s="1082"/>
      <c r="HM7" s="1087">
        <f t="shared" ref="HM7" si="69">HM6-HM8</f>
        <v>0.0608370330265294</v>
      </c>
      <c r="HN7" s="1082"/>
      <c r="HO7" s="1087">
        <f t="shared" ref="HO7:HP7" si="70">HO6-HO8</f>
        <v>0.0614033739914739</v>
      </c>
      <c r="HP7" s="1082">
        <f t="shared" si="70"/>
        <v>0.0591105519735806</v>
      </c>
      <c r="HQ7" s="1088">
        <f t="shared" ref="HQ7:HS7" si="71">HQ6-HQ8</f>
        <v>0.0525786032222332</v>
      </c>
      <c r="HR7" s="1087">
        <f t="shared" si="71"/>
        <v>0.00726914324298534</v>
      </c>
      <c r="HS7" s="1087">
        <f t="shared" si="71"/>
        <v>-0.0310023181686468</v>
      </c>
      <c r="HT7" s="1082"/>
      <c r="HU7" s="1087">
        <f t="shared" ref="HU7" si="72">HU6-HU8</f>
        <v>-0.0190692898317347</v>
      </c>
      <c r="HV7" s="1082"/>
      <c r="HW7" s="1087">
        <f t="shared" ref="HW7:HX7" si="73">HW6-HW8</f>
        <v>0.104038707252914</v>
      </c>
      <c r="HX7" s="1082">
        <f t="shared" si="73"/>
        <v>0.0120996450177908</v>
      </c>
      <c r="HY7" s="1088">
        <f t="shared" ref="HY7:IA7" si="74">HY6-HY8</f>
        <v>0.0326194170066907</v>
      </c>
      <c r="HZ7" s="1087">
        <f t="shared" si="74"/>
        <v>-0.0900916868398854</v>
      </c>
      <c r="IA7" s="1087">
        <f t="shared" si="74"/>
        <v>0.0673594055533829</v>
      </c>
      <c r="IB7" s="1082"/>
      <c r="IC7" s="1087">
        <f t="shared" ref="IC7" si="75">IC6-IC8</f>
        <v>0.0168417928168588</v>
      </c>
      <c r="ID7" s="1082"/>
      <c r="IE7" s="1087"/>
      <c r="IF7" s="1082"/>
      <c r="IG7" s="1085"/>
      <c r="IH7" s="1087">
        <f t="shared" ref="IH7:II7" si="76">IH6-IH8</f>
        <v>0.0336131355209221</v>
      </c>
      <c r="II7" s="1087">
        <f t="shared" si="76"/>
        <v>-0.0666459047025848</v>
      </c>
      <c r="IJ7" s="1082"/>
      <c r="IK7" s="1087">
        <f t="shared" ref="IK7:IQ7" si="77">IK6-IK8</f>
        <v>-0.0218780067305195</v>
      </c>
      <c r="IL7" s="1082"/>
      <c r="IM7" s="1087">
        <f t="shared" si="77"/>
        <v>-0.08</v>
      </c>
      <c r="IN7" s="1082"/>
      <c r="IO7" s="1088">
        <f t="shared" si="77"/>
        <v>-0.05</v>
      </c>
      <c r="IP7" s="1087">
        <f t="shared" si="77"/>
        <v>-0.0595918367346934</v>
      </c>
      <c r="IQ7" s="1087">
        <f t="shared" si="77"/>
        <v>-0.00350277777777757</v>
      </c>
      <c r="IR7" s="1082"/>
      <c r="IS7" s="1082"/>
      <c r="IT7" s="1082"/>
      <c r="IU7" s="1082"/>
      <c r="IV7" s="1082"/>
      <c r="IW7" s="1082"/>
      <c r="IX7" s="1082"/>
      <c r="IY7" s="1049"/>
      <c r="IZ7" s="1082"/>
      <c r="JA7" s="891" t="s">
        <v>504</v>
      </c>
      <c r="JB7" s="765">
        <f>(EK5*(1+ES8)*(1+FA8))/EK5-1</f>
        <v>0.0763200000000002</v>
      </c>
      <c r="JC7" s="765">
        <f>(EM5*(1+EU8)*(1+FC8))/EM5-1</f>
        <v>0.13295</v>
      </c>
      <c r="JD7" s="765">
        <f>(EP5*(1+EX8)*(1+FF8))/EP5-1</f>
        <v>0.0918399265354308</v>
      </c>
      <c r="JE7" s="765">
        <f>(EQ5*(1+EY8)*(1+FG8))/EQ5-1</f>
        <v>0.178155457676754</v>
      </c>
      <c r="JF7" s="765">
        <f>(EJ5*(1+ER8)*(1+EZ8))/EJ5-1</f>
        <v>0.0254966407119022</v>
      </c>
      <c r="JG7" s="765">
        <f>(ES5*(1+FA8)*(1+FI8))/ES5-1</f>
        <v>0.237167429927951</v>
      </c>
      <c r="JH7" s="765">
        <f>(EL5*(1+ET8)*(1+FB8))/EL5-1</f>
        <v>0.0437510346681849</v>
      </c>
      <c r="JI7" s="765">
        <f>(EU5*(1+FC8)*(1+FK8))/EU5-1</f>
        <v>0.199398416616389</v>
      </c>
      <c r="JJ7" s="765">
        <f>(EN5*(1+EV8)*(1+FD8))/EN5-1</f>
        <v>0.100785773436706</v>
      </c>
      <c r="JK7" s="765">
        <f t="shared" ref="JK7:JP7" si="78">(EX5*(1+FF8)*(1+FN8))/EX5-1</f>
        <v>0.337616709210157</v>
      </c>
      <c r="JL7" s="765">
        <f t="shared" si="78"/>
        <v>0.313801252498533</v>
      </c>
      <c r="JM7" s="765">
        <f t="shared" si="78"/>
        <v>0.325242973467388</v>
      </c>
      <c r="JN7" s="765">
        <f t="shared" si="78"/>
        <v>0.32360438079066</v>
      </c>
      <c r="JO7" s="765">
        <f t="shared" si="78"/>
        <v>0.326837954855336</v>
      </c>
      <c r="JP7" s="765">
        <f t="shared" si="78"/>
        <v>0.288299954869326</v>
      </c>
      <c r="JQ7" s="1035"/>
      <c r="JR7" s="1092"/>
      <c r="JS7" s="1079"/>
      <c r="JT7" s="1079"/>
      <c r="JU7" s="1079"/>
      <c r="JV7" s="1079"/>
      <c r="JW7" s="1079"/>
      <c r="JX7" s="1079"/>
      <c r="JY7" s="1079"/>
      <c r="JZ7" s="1079"/>
    </row>
    <row r="8" spans="1:286">
      <c r="A8" s="967" t="s">
        <v>65</v>
      </c>
      <c r="AX8" s="1059"/>
      <c r="BE8" s="1060"/>
      <c r="BN8" s="1059"/>
      <c r="BU8" s="1060"/>
      <c r="BV8" s="1059"/>
      <c r="CC8" s="1060"/>
      <c r="CD8" s="1059"/>
      <c r="CJ8" s="1061"/>
      <c r="CK8" s="1060"/>
      <c r="CL8" s="1059"/>
      <c r="CS8" s="1060"/>
      <c r="CT8" s="967"/>
      <c r="CU8" s="967"/>
      <c r="CV8" s="967"/>
      <c r="CW8" s="967"/>
      <c r="CX8" s="967"/>
      <c r="CY8" s="967"/>
      <c r="CZ8" s="967"/>
      <c r="DA8" s="967"/>
      <c r="DB8" s="1080"/>
      <c r="DC8" s="1080"/>
      <c r="DD8" s="1080"/>
      <c r="DE8" s="1080"/>
      <c r="DF8" s="1080"/>
      <c r="DG8" s="1080"/>
      <c r="DH8" s="1080"/>
      <c r="DI8" s="1081"/>
      <c r="DJ8" s="1080">
        <v>-0.08</v>
      </c>
      <c r="DK8" s="1080">
        <v>-0.13</v>
      </c>
      <c r="DL8" s="1080">
        <f>(DJ8*DB5+DK8*DC5)/DD5</f>
        <v>-0.103569701853344</v>
      </c>
      <c r="DM8" s="1080">
        <v>-0.09</v>
      </c>
      <c r="DN8" s="1080">
        <f>(DJ8*DB5+DK8*DC5+DM8*DE5)/DF5</f>
        <v>-0.0984708249496982</v>
      </c>
      <c r="DO8" s="1080">
        <v>-0.04</v>
      </c>
      <c r="DP8" s="1080">
        <f>(DM8*DE5+DO8*DG5)/DH5</f>
        <v>-0.0677695167286245</v>
      </c>
      <c r="DQ8" s="1081">
        <f>'Profit and Loss'!P8</f>
        <v>-0.09</v>
      </c>
      <c r="DR8" s="1082">
        <v>0.01</v>
      </c>
      <c r="DS8" s="1082">
        <v>0.121</v>
      </c>
      <c r="DT8" s="1083">
        <v>0.06</v>
      </c>
      <c r="DU8" s="1082">
        <v>0.096</v>
      </c>
      <c r="DV8" s="1083">
        <v>0.075</v>
      </c>
      <c r="DW8" s="1083">
        <v>0.076</v>
      </c>
      <c r="DX8" s="1083">
        <f>DX6-DX7</f>
        <v>0.0870472056429733</v>
      </c>
      <c r="DY8" s="1084">
        <f>DY6-DY7</f>
        <v>0.075</v>
      </c>
      <c r="DZ8" s="1082">
        <v>0.18</v>
      </c>
      <c r="EA8" s="1083">
        <v>0.06</v>
      </c>
      <c r="EB8" s="1083">
        <v>0.13</v>
      </c>
      <c r="EC8" s="1083">
        <v>0.1</v>
      </c>
      <c r="ED8" s="1083">
        <v>0.12</v>
      </c>
      <c r="EE8" s="1083">
        <v>0.09</v>
      </c>
      <c r="EF8" s="1083">
        <f>(-EB8*DT5+EG8*DY5)/DX5</f>
        <v>0.0924293915040184</v>
      </c>
      <c r="EG8" s="1084">
        <v>0.11</v>
      </c>
      <c r="EH8" s="1082">
        <v>0.1</v>
      </c>
      <c r="EI8" s="1082">
        <v>0.01</v>
      </c>
      <c r="EJ8" s="1083">
        <v>0.06</v>
      </c>
      <c r="EK8" s="1083">
        <v>0.004</v>
      </c>
      <c r="EL8" s="1083">
        <v>0.039</v>
      </c>
      <c r="EM8" s="1082">
        <v>-0.036</v>
      </c>
      <c r="EN8" s="1083">
        <f>+(EK8*EC5+EM8*EE5)/EF5</f>
        <v>-0.0138741679192613</v>
      </c>
      <c r="EO8" s="1093">
        <f>(EH8*DZ5+EI8*EA5+EK8*EC5+EM8*EE5)/EG5</f>
        <v>0.0209070391061453</v>
      </c>
      <c r="EP8" s="1083">
        <v>-0.032</v>
      </c>
      <c r="EQ8" s="1083">
        <v>-0.01</v>
      </c>
      <c r="ER8" s="1094">
        <v>-0.022</v>
      </c>
      <c r="ES8" s="1083">
        <v>-0.008</v>
      </c>
      <c r="ET8" s="1094">
        <f>(EH5*EP8+EI5*EQ8+EK5*ES8)/EL5</f>
        <v>-0.0169641231593039</v>
      </c>
      <c r="EU8" s="1083">
        <v>0.079</v>
      </c>
      <c r="EV8" s="1094">
        <f>(EK5*ES8+EM5*EU8)/EN5</f>
        <v>0.0293451935081149</v>
      </c>
      <c r="EW8" s="1084">
        <f>(EH5*EP8+EI5*EQ8+EK5*ES8+EM5*EU8)/EO5</f>
        <v>0.00380310500367146</v>
      </c>
      <c r="EX8" s="1083">
        <v>0.006</v>
      </c>
      <c r="EY8" s="1083">
        <v>0.101</v>
      </c>
      <c r="EZ8" s="1083">
        <f>(EP5*EX8+EQ5*EY8)/ER5</f>
        <v>0.0485650723025584</v>
      </c>
      <c r="FA8" s="1095">
        <v>0.085</v>
      </c>
      <c r="FB8" s="1083">
        <f>(EP5*EX8+EQ5*EY8+ES5*FA8)/ET5</f>
        <v>0.0617629114642452</v>
      </c>
      <c r="FC8" s="1096">
        <v>0.05</v>
      </c>
      <c r="FD8" s="1083">
        <f>(ES5*FA8+EU5*FC8)/EV5</f>
        <v>0.0694039087947883</v>
      </c>
      <c r="FE8" s="1084">
        <f>(EP5*EX8+EQ5*EY8+ES5*FA8+EU5*FC8)/EW5</f>
        <v>0.0591104395604396</v>
      </c>
      <c r="FF8" s="1083">
        <f t="shared" ref="FF8:FK8" si="79">(EX26*FF29-EX10*FF13-EX21*FF24)/EX5</f>
        <v>0.0853279587827344</v>
      </c>
      <c r="FG8" s="1083">
        <f t="shared" si="79"/>
        <v>0.0700776182350177</v>
      </c>
      <c r="FH8" s="1083">
        <f t="shared" si="79"/>
        <v>0.0772120510891679</v>
      </c>
      <c r="FI8" s="1083">
        <f t="shared" si="79"/>
        <v>0.140246479196268</v>
      </c>
      <c r="FJ8" s="1083">
        <f t="shared" si="79"/>
        <v>0.102448610577712</v>
      </c>
      <c r="FK8" s="1083">
        <f t="shared" si="79"/>
        <v>0.142284206301323</v>
      </c>
      <c r="FL8" s="1083">
        <f>(FE5*FM8-EZ5*FH8)/FD5</f>
        <v>0.141005591558113</v>
      </c>
      <c r="FM8" s="1084">
        <f>(FE26*FM29-FE10*FM13-FE21*FM24)/FE5</f>
        <v>0.11019512071285</v>
      </c>
      <c r="FN8" s="1083">
        <f t="shared" ref="FN8:GH8" si="80">(FF26*FN29-FF21*FN24-FF10*FN13)/FF5</f>
        <v>0.232453930985414</v>
      </c>
      <c r="FO8" s="1083">
        <f t="shared" si="80"/>
        <v>0.227762575452716</v>
      </c>
      <c r="FP8" s="1083">
        <f t="shared" si="80"/>
        <v>0.230252643504532</v>
      </c>
      <c r="FQ8" s="1083">
        <f t="shared" si="80"/>
        <v>0.160805496828753</v>
      </c>
      <c r="FR8" s="1083">
        <f t="shared" si="80"/>
        <v>0.203537237132566</v>
      </c>
      <c r="FS8" s="1083">
        <f t="shared" si="80"/>
        <v>0.12782786259542</v>
      </c>
      <c r="FT8" s="1083">
        <f t="shared" si="80"/>
        <v>0.146237733940314</v>
      </c>
      <c r="FU8" s="1083">
        <f t="shared" si="80"/>
        <v>0.185869243787298</v>
      </c>
      <c r="FV8" s="1086">
        <f t="shared" si="80"/>
        <v>0.174028451632225</v>
      </c>
      <c r="FW8" s="1087">
        <f t="shared" si="80"/>
        <v>0.178712443360056</v>
      </c>
      <c r="FX8" s="1087">
        <f t="shared" si="80"/>
        <v>0.176193137886598</v>
      </c>
      <c r="FY8" s="1083">
        <f t="shared" si="80"/>
        <v>0.134276032404413</v>
      </c>
      <c r="FZ8" s="1083">
        <f t="shared" si="80"/>
        <v>0.160497454294115</v>
      </c>
      <c r="GA8" s="1083">
        <f t="shared" si="80"/>
        <v>0.154144736842105</v>
      </c>
      <c r="GB8" s="1083">
        <f t="shared" si="80"/>
        <v>0.142964829862932</v>
      </c>
      <c r="GC8" s="1084">
        <f t="shared" si="80"/>
        <v>0.159065464909054</v>
      </c>
      <c r="GD8" s="1086">
        <f t="shared" si="80"/>
        <v>0.102419802980551</v>
      </c>
      <c r="GE8" s="1087">
        <f t="shared" si="80"/>
        <v>0.105625259412985</v>
      </c>
      <c r="GF8" s="1087">
        <f t="shared" si="80"/>
        <v>0.103894435351882</v>
      </c>
      <c r="GG8" s="1087">
        <f t="shared" si="80"/>
        <v>0.0222541164905387</v>
      </c>
      <c r="GH8" s="1083">
        <f t="shared" si="80"/>
        <v>0.0747571265678451</v>
      </c>
      <c r="GI8" s="1083">
        <f>GI6-GI7</f>
        <v>-0.0181062215612329</v>
      </c>
      <c r="GJ8" s="1083">
        <f>(GB26*GJ29-GB21*GJ24-GB10*GJ13)/GB5</f>
        <v>0.00572985586822265</v>
      </c>
      <c r="GK8" s="1084">
        <f>GK6-GK7</f>
        <v>0.0500582358542114</v>
      </c>
      <c r="GL8" s="1087">
        <f>(GD26*GL29-GD21*GL24-GD10*GL13)/GD5</f>
        <v>0.00159423888750898</v>
      </c>
      <c r="GM8" s="1087">
        <f>(GE26*GM29-GE21*GM24-GE10*GM13)/GE5</f>
        <v>-0.00195315624107399</v>
      </c>
      <c r="GN8" s="1087">
        <f>(GF26*GN29-GF21*GN24-GF10*GN13)/GF5</f>
        <v>-0.00033881509032963</v>
      </c>
      <c r="GO8" s="1087">
        <f>(GG26*GO29-GG21*GO24-GG10*GO13)/GG5</f>
        <v>0.0592955640050697</v>
      </c>
      <c r="GP8" s="1083">
        <f>(GH26*GP29-GH21*GP24-GH10*GP13)/GH5</f>
        <v>0.0201665126819488</v>
      </c>
      <c r="GQ8" s="1083">
        <f>GQ6-GQ7</f>
        <v>0.0393266101694909</v>
      </c>
      <c r="GR8" s="1083">
        <f>(GJ26*GR29-GJ21*GR24-GJ10*GR13)/GJ5</f>
        <v>0.0587413012729844</v>
      </c>
      <c r="GS8" s="1084">
        <f>GS6-GS7</f>
        <v>0.0245063116800619</v>
      </c>
      <c r="GT8" s="1087">
        <f>(GL26*GT29-GL21*GT24-GL10*GT13)/GL5</f>
        <v>-0.265198387490838</v>
      </c>
      <c r="GU8" s="1087">
        <f>(GM26*GU29-GM21*GU24-GM10*GU13)/GM5</f>
        <v>-0.521167517084283</v>
      </c>
      <c r="GV8" s="1087">
        <f>(GN26*GV29-GN21*GV24-GN10*GV13)/GN5</f>
        <v>-0.383405301775148</v>
      </c>
      <c r="GW8" s="1087">
        <f>(GO26*GW29-GO21*GW24-GO10*GW13)/GO5</f>
        <v>-0.0973460820895522</v>
      </c>
      <c r="GX8" s="1083"/>
      <c r="GY8" s="1087">
        <f>(GQ26*GY29-GQ21*GY24-GQ10*GY13)/GQ5</f>
        <v>-0.095100997339553</v>
      </c>
      <c r="GZ8" s="1083">
        <f>(GR26*GZ29-GR21*GZ24-GR10*GZ13)/GR5</f>
        <v>-0.0963648707028189</v>
      </c>
      <c r="HA8" s="1088">
        <f>(GS26*HA29-GS21*HA24-GS10*HA13)/GS5</f>
        <v>-0.236642920781985</v>
      </c>
      <c r="HB8" s="1087">
        <f>(4381*HB29-47*HB24-1464*HB13)/2917</f>
        <v>0.439389784024683</v>
      </c>
      <c r="HC8" s="1087">
        <f>(GU26*HC29-GU21*HC24-GU10*HC13)/GU5</f>
        <v>0.977110798910341</v>
      </c>
      <c r="HD8" s="1087">
        <f>(GV26*HD29-GV21*HD24-GV10*HD13)/GV5</f>
        <v>0.636242000291009</v>
      </c>
      <c r="HE8" s="1087">
        <f>(GW26*HE29-GW21*HE24-GW10*HE13)/GW5</f>
        <v>0.0336716812390389</v>
      </c>
      <c r="HF8" s="1083"/>
      <c r="HG8" s="1087">
        <f>(GY26*HG29-GY21*HG24-GY10*HG13)/GY5</f>
        <v>-0.0493209084862568</v>
      </c>
      <c r="HH8" s="1083">
        <f>(GZ26*HH29-GZ21*HH24-GZ10*HH13)/GZ5</f>
        <v>-0.00241956940203603</v>
      </c>
      <c r="HI8" s="1088">
        <f>(HA26*HI29-HA21*HI24-HA10*HI13)/HA5</f>
        <v>0.201049870136912</v>
      </c>
      <c r="HJ8" s="1087">
        <f>(4381*HJ29-47*HJ24-1464*HJ13)/2917</f>
        <v>-0.0497738197864378</v>
      </c>
      <c r="HK8" s="1087">
        <f>(HC26*HK29-HC21*HK24-HC10*HK13)/HC5</f>
        <v>0.0351455877668047</v>
      </c>
      <c r="HL8" s="1083"/>
      <c r="HM8" s="1087">
        <f>(HE26*HM29-HE21*HM24-HE10*HM13)/HE5</f>
        <v>0.0355354629128316</v>
      </c>
      <c r="HN8" s="1083"/>
      <c r="HO8" s="1087">
        <f>(HG26*HO29-HG21*HO24-HG10*HO13)/HG5</f>
        <v>-0.0150027347568873</v>
      </c>
      <c r="HP8" s="1083">
        <f>(HH26*HP29-HH21*HP24-HH10*HP13)/HH5</f>
        <v>0.0146431828903917</v>
      </c>
      <c r="HQ8" s="1088">
        <f>(HI26*HQ29-HI21*HQ24-HI10*HQ13)/HI5</f>
        <v>0.00423577580103817</v>
      </c>
      <c r="HR8" s="1087">
        <f>(4381*HR29-47*HR24-1464*HR13)/2917</f>
        <v>0.010285156072695</v>
      </c>
      <c r="HS8" s="1087">
        <f>(HK26*HS29-HK21*HS24-HK10*HS13)/HK5</f>
        <v>-0.228053028107795</v>
      </c>
      <c r="HT8" s="1083"/>
      <c r="HU8" s="1087">
        <f>(HM26*HU29-HM21*HU24-HM10*HU13)/HM5</f>
        <v>-0.149078858316413</v>
      </c>
      <c r="HV8" s="1083"/>
      <c r="HW8" s="1087">
        <f>(HO26*HW29-HO21*HW24-HO10*HW13)/HO5</f>
        <v>-0.18483540022548</v>
      </c>
      <c r="HX8" s="1083">
        <f>(HP26*HX29-HP21*HX24-HP10*HX13)/HP5</f>
        <v>-0.160459340389788</v>
      </c>
      <c r="HY8" s="1088">
        <f>(HQ26*HY29-HQ21*HY24-HQ10*HY13)/HQ5</f>
        <v>-0.160623558099643</v>
      </c>
      <c r="HZ8" s="1087">
        <f>(4381*HZ29-47*HZ24-1464*HZ13)/2917</f>
        <v>0.0345361312843296</v>
      </c>
      <c r="IA8" s="1087">
        <f>(HS26*IA29-HS21*IA24-HS10*IA13)/HS5</f>
        <v>0.188409073132576</v>
      </c>
      <c r="IB8" s="1083"/>
      <c r="IC8" s="1087">
        <f>(HU26*IC29-HU21*IC24-HU10*IC13)/HU5</f>
        <v>0.129789254971802</v>
      </c>
      <c r="ID8" s="1083"/>
      <c r="IE8" s="1087"/>
      <c r="IF8" s="1083"/>
      <c r="IG8" s="1084"/>
      <c r="IH8" s="1087">
        <f>(4381*IH29-47*IH24-1464*IH13)/2917</f>
        <v>0.195179434138521</v>
      </c>
      <c r="II8" s="1087">
        <f>(IA26*II29-IA21*II24-IA10*II13)/IA5</f>
        <v>0.1877919651199</v>
      </c>
      <c r="IJ8" s="1083"/>
      <c r="IK8" s="1087">
        <f>(IC26*IK29-IC21*IK24-IC10*IK13)/IC5</f>
        <v>0.107044975407714</v>
      </c>
      <c r="IL8" s="1083"/>
      <c r="IM8" s="1087">
        <v>0.02</v>
      </c>
      <c r="IN8" s="1083"/>
      <c r="IO8" s="1084">
        <v>0.12</v>
      </c>
      <c r="IP8" s="1087">
        <v>0.08</v>
      </c>
      <c r="IQ8" s="1087">
        <f>(II26*IQ29-II21*IQ24-II10*IQ13)/II5</f>
        <v>0.0604472222222227</v>
      </c>
      <c r="IR8" s="1083"/>
      <c r="IS8" s="1083"/>
      <c r="IT8" s="1083"/>
      <c r="IU8" s="1083"/>
      <c r="IV8" s="1083"/>
      <c r="IW8" s="1083"/>
      <c r="IX8" s="1097"/>
      <c r="IY8" s="1049"/>
      <c r="IZ8" s="1082"/>
      <c r="JA8" s="891" t="s">
        <v>505</v>
      </c>
      <c r="JB8" s="765">
        <f>(EC5*(1+EK8)*(1+ES8)*(1+FA8))/EC5-1</f>
        <v>0.08062528</v>
      </c>
      <c r="JC8" s="765">
        <f>(EE5*(1+EM8)*(1+EU8)*(1+FC8))/EE5-1</f>
        <v>0.0921638</v>
      </c>
      <c r="JD8" s="765">
        <f>(EH5*(1+EP8)*(1+EX8)*(1+FF8))/EH5-1</f>
        <v>0.0569010488862971</v>
      </c>
      <c r="JE8" s="765">
        <f>(EI5*(1+EQ8)*(1+EY8)*(1+FG8))/EI5-1</f>
        <v>0.166373903099987</v>
      </c>
      <c r="JF8" s="765">
        <f>(EB5*(1+EJ8)*(1+ER8)*(1+EZ8))/EB5-1</f>
        <v>0.0870264391546161</v>
      </c>
      <c r="JG8" s="765">
        <f>(EK5*(1+ES8)*(1+FA8)*(1+FI8))/EK5-1</f>
        <v>0.227270090488528</v>
      </c>
      <c r="JH8" s="765">
        <f>(ED5*(1+EL8)*(1+ET8)*(1+FB8))/ED5-1</f>
        <v>0.0844573250202438</v>
      </c>
      <c r="JI8" s="765">
        <f>(EM5*(1+EU8)*(1+FC8)*(1+FK8))/EM5-1</f>
        <v>0.294150891529084</v>
      </c>
      <c r="JJ8" s="765">
        <f>(EF5*(1+EN8)*(1+EV8)*(1+FD8))/EF5-1</f>
        <v>0.0855132867729107</v>
      </c>
      <c r="JK8" s="765">
        <f t="shared" ref="JK8:JP8" si="81">(EP5*(1+EX8)*(1+FF8)*(1+FN8))/EP5-1</f>
        <v>0.345642409465418</v>
      </c>
      <c r="JL8" s="765">
        <f t="shared" si="81"/>
        <v>0.446495179000885</v>
      </c>
      <c r="JM8" s="765">
        <f t="shared" si="81"/>
        <v>0.389603494292289</v>
      </c>
      <c r="JN8" s="765">
        <f t="shared" si="81"/>
        <v>0.436110753157866</v>
      </c>
      <c r="JO8" s="765">
        <f t="shared" si="81"/>
        <v>0.408787329988467</v>
      </c>
      <c r="JP8" s="765">
        <f t="shared" si="81"/>
        <v>0.352714952612793</v>
      </c>
      <c r="JQ8" s="1035"/>
      <c r="JR8" s="1090"/>
      <c r="JS8" s="1082"/>
      <c r="JT8" s="1082"/>
      <c r="JU8" s="1082"/>
      <c r="JV8" s="1082"/>
      <c r="JW8" s="1082"/>
      <c r="JX8" s="1082"/>
      <c r="JY8" s="1082"/>
      <c r="JZ8" s="1082"/>
    </row>
    <row r="9" spans="1:286">
      <c r="A9" s="967" t="s">
        <v>66</v>
      </c>
      <c r="AX9" s="1059"/>
      <c r="BE9" s="1060"/>
      <c r="BN9" s="1059"/>
      <c r="BU9" s="1060"/>
      <c r="BV9" s="1059"/>
      <c r="CC9" s="1060"/>
      <c r="CD9" s="1059"/>
      <c r="CJ9" s="1061"/>
      <c r="CK9" s="1060"/>
      <c r="CL9" s="1059"/>
      <c r="CS9" s="1060"/>
      <c r="CT9" s="967"/>
      <c r="CU9" s="967"/>
      <c r="CV9" s="967"/>
      <c r="CW9" s="967"/>
      <c r="CX9" s="967"/>
      <c r="CY9" s="967"/>
      <c r="CZ9" s="967"/>
      <c r="DA9" s="967"/>
      <c r="DB9" s="1080">
        <f t="shared" ref="DB9:EG9" si="82">DB5/DB$26</f>
        <v>0.753157290470723</v>
      </c>
      <c r="DC9" s="1080">
        <f t="shared" si="82"/>
        <v>0.698090692124105</v>
      </c>
      <c r="DD9" s="1080">
        <f t="shared" si="82"/>
        <v>0.726155646576946</v>
      </c>
      <c r="DE9" s="1080">
        <f t="shared" si="82"/>
        <v>0.727833712244235</v>
      </c>
      <c r="DF9" s="1080">
        <f t="shared" si="82"/>
        <v>0.726785279064099</v>
      </c>
      <c r="DG9" s="1080">
        <f t="shared" si="82"/>
        <v>0.696428571428571</v>
      </c>
      <c r="DH9" s="1080">
        <f t="shared" si="82"/>
        <v>0.713527851458886</v>
      </c>
      <c r="DI9" s="1081">
        <f t="shared" si="82"/>
        <v>0.815601614622095</v>
      </c>
      <c r="DJ9" s="1080">
        <f t="shared" si="82"/>
        <v>0.727202173069461</v>
      </c>
      <c r="DK9" s="1080">
        <f t="shared" si="82"/>
        <v>0.653235653235653</v>
      </c>
      <c r="DL9" s="1080">
        <f t="shared" si="82"/>
        <v>0.691100516487882</v>
      </c>
      <c r="DM9" s="1080">
        <f t="shared" si="82"/>
        <v>0.704986149584488</v>
      </c>
      <c r="DN9" s="1080">
        <f t="shared" si="82"/>
        <v>0.696074719172031</v>
      </c>
      <c r="DO9" s="1080">
        <f t="shared" si="82"/>
        <v>0.671277461350692</v>
      </c>
      <c r="DP9" s="1080">
        <f t="shared" si="82"/>
        <v>0.690132933907508</v>
      </c>
      <c r="DQ9" s="1081">
        <f t="shared" si="82"/>
        <v>0.691305606484609</v>
      </c>
      <c r="DR9" s="1082">
        <f t="shared" si="82"/>
        <v>0.709798055347794</v>
      </c>
      <c r="DS9" s="1083">
        <f t="shared" si="82"/>
        <v>0.660953033938978</v>
      </c>
      <c r="DT9" s="1083">
        <f t="shared" si="82"/>
        <v>0.684436493738819</v>
      </c>
      <c r="DU9" s="1083">
        <f t="shared" si="82"/>
        <v>0.698096885813149</v>
      </c>
      <c r="DV9" s="1083">
        <f t="shared" si="82"/>
        <v>0.689666593066902</v>
      </c>
      <c r="DW9" s="1083">
        <f t="shared" si="82"/>
        <v>0.659618008185539</v>
      </c>
      <c r="DX9" s="1083">
        <f t="shared" si="82"/>
        <v>0.68046875</v>
      </c>
      <c r="DY9" s="1084">
        <f t="shared" si="82"/>
        <v>0.68231859883236</v>
      </c>
      <c r="DZ9" s="1082">
        <f t="shared" si="82"/>
        <v>0.708829819737244</v>
      </c>
      <c r="EA9" s="1083">
        <f t="shared" si="82"/>
        <v>0.643929503916449</v>
      </c>
      <c r="EB9" s="1083">
        <f t="shared" si="82"/>
        <v>0.677449897427805</v>
      </c>
      <c r="EC9" s="1083">
        <f t="shared" si="82"/>
        <v>0.688034188034188</v>
      </c>
      <c r="ED9" s="1083">
        <f t="shared" si="82"/>
        <v>0.681380815395298</v>
      </c>
      <c r="EE9" s="1083">
        <f t="shared" si="82"/>
        <v>0.642085775995063</v>
      </c>
      <c r="EF9" s="1083">
        <f t="shared" si="82"/>
        <v>0.666714387974231</v>
      </c>
      <c r="EG9" s="1084">
        <f t="shared" si="82"/>
        <v>0.67177062223223</v>
      </c>
      <c r="EH9" s="1082">
        <f t="shared" ref="EH9:FM9" si="83">EH5/EH$26</f>
        <v>0.683577405857741</v>
      </c>
      <c r="EI9" s="1083">
        <f t="shared" si="83"/>
        <v>0.600796133067956</v>
      </c>
      <c r="EJ9" s="1083">
        <f t="shared" si="83"/>
        <v>0.643917722381147</v>
      </c>
      <c r="EK9" s="1083">
        <f t="shared" si="83"/>
        <v>0.657320872274143</v>
      </c>
      <c r="EL9" s="1083">
        <f t="shared" si="83"/>
        <v>0.648775403856175</v>
      </c>
      <c r="EM9" s="1083">
        <f t="shared" si="83"/>
        <v>0.612347877708519</v>
      </c>
      <c r="EN9" s="1083">
        <f t="shared" si="83"/>
        <v>0.637231503579952</v>
      </c>
      <c r="EO9" s="1084">
        <f t="shared" si="83"/>
        <v>0.640529463145871</v>
      </c>
      <c r="EP9" s="1083">
        <f t="shared" si="83"/>
        <v>0.661423620367902</v>
      </c>
      <c r="EQ9" s="1083">
        <f t="shared" si="83"/>
        <v>0.595329589122081</v>
      </c>
      <c r="ER9" s="1083">
        <f t="shared" si="83"/>
        <v>0.630081300813008</v>
      </c>
      <c r="ES9" s="1083">
        <f t="shared" si="83"/>
        <v>0.65815931941222</v>
      </c>
      <c r="ET9" s="1083">
        <f t="shared" si="83"/>
        <v>0.639970943430491</v>
      </c>
      <c r="EU9" s="1083">
        <f t="shared" si="83"/>
        <v>0.58982466225927</v>
      </c>
      <c r="EV9" s="1083">
        <f t="shared" si="83"/>
        <v>0.625849415602066</v>
      </c>
      <c r="EW9" s="1084">
        <f t="shared" si="83"/>
        <v>0.62793265249793</v>
      </c>
      <c r="EX9" s="1083">
        <f t="shared" si="83"/>
        <v>0.667138409283895</v>
      </c>
      <c r="EY9" s="1083">
        <f t="shared" si="83"/>
        <v>0.611078546307151</v>
      </c>
      <c r="EZ9" s="1083">
        <f t="shared" si="83"/>
        <v>0.6445153801509</v>
      </c>
      <c r="FA9" s="1095">
        <f t="shared" si="83"/>
        <v>0.668388683886839</v>
      </c>
      <c r="FB9" s="1083">
        <f t="shared" si="83"/>
        <v>0.653372273432509</v>
      </c>
      <c r="FC9" s="1083">
        <f t="shared" si="83"/>
        <v>0.564605928859834</v>
      </c>
      <c r="FD9" s="1094">
        <f t="shared" si="83"/>
        <v>0.62821851187834</v>
      </c>
      <c r="FE9" s="1084">
        <f t="shared" si="83"/>
        <v>0.635985265947865</v>
      </c>
      <c r="FF9" s="1083">
        <f t="shared" si="83"/>
        <v>0.688464364437913</v>
      </c>
      <c r="FG9" s="1083">
        <f t="shared" si="83"/>
        <v>0.6360378807269</v>
      </c>
      <c r="FH9" s="1083">
        <f t="shared" si="83"/>
        <v>0.662828535669587</v>
      </c>
      <c r="FI9" s="1083">
        <f t="shared" si="83"/>
        <v>0.696026907714946</v>
      </c>
      <c r="FJ9" s="1083">
        <f t="shared" si="83"/>
        <v>0.675217698281949</v>
      </c>
      <c r="FK9" s="1083">
        <f t="shared" si="83"/>
        <v>0.628598848368522</v>
      </c>
      <c r="FL9" s="1083">
        <f t="shared" si="83"/>
        <v>0.66453781512605</v>
      </c>
      <c r="FM9" s="1084">
        <f t="shared" si="83"/>
        <v>0.663730416789831</v>
      </c>
      <c r="FN9" s="1083">
        <f t="shared" ref="FN9:FU9" si="84">FN5/FN$26</f>
        <v>0.700146781295869</v>
      </c>
      <c r="FO9" s="1083">
        <f t="shared" si="84"/>
        <v>0.648654759213204</v>
      </c>
      <c r="FP9" s="1083">
        <f t="shared" si="84"/>
        <v>0.675369886858137</v>
      </c>
      <c r="FQ9" s="1083">
        <f t="shared" si="84"/>
        <v>0.686622320768662</v>
      </c>
      <c r="FR9" s="1083">
        <f t="shared" si="84"/>
        <v>0.679539852095316</v>
      </c>
      <c r="FS9" s="1083">
        <f t="shared" si="84"/>
        <v>0.616303883909518</v>
      </c>
      <c r="FT9" s="1083">
        <f t="shared" si="84"/>
        <v>0.653990889285007</v>
      </c>
      <c r="FU9" s="1083">
        <f t="shared" si="84"/>
        <v>0.664178330741317</v>
      </c>
      <c r="FV9" s="1086">
        <f t="shared" ref="FV9:GC9" si="85">FV5/FV$26</f>
        <v>0.726955563716489</v>
      </c>
      <c r="FW9" s="1087">
        <f t="shared" si="85"/>
        <v>0.669511710996427</v>
      </c>
      <c r="FX9" s="1087">
        <f t="shared" si="85"/>
        <v>0.699351392598245</v>
      </c>
      <c r="FY9" s="1083">
        <f t="shared" si="85"/>
        <v>0.716625572384643</v>
      </c>
      <c r="FZ9" s="1083">
        <f t="shared" si="85"/>
        <v>0.70542012127212</v>
      </c>
      <c r="GA9" s="1083">
        <f t="shared" si="85"/>
        <v>0.636075949367089</v>
      </c>
      <c r="GB9" s="1083">
        <f t="shared" si="85"/>
        <v>0.678684553754425</v>
      </c>
      <c r="GC9" s="1084">
        <f t="shared" si="85"/>
        <v>0.688896220190404</v>
      </c>
      <c r="GD9" s="1086">
        <f t="shared" ref="GD9:GF9" si="86">GD5/GD$26</f>
        <v>0.725847152126893</v>
      </c>
      <c r="GE9" s="1087">
        <f t="shared" si="86"/>
        <v>0.665462839764303</v>
      </c>
      <c r="GF9" s="1087">
        <f t="shared" si="86"/>
        <v>0.696456656489962</v>
      </c>
      <c r="GG9" s="1087">
        <f t="shared" ref="GG9:GN9" si="87">GG5/GG$26</f>
        <v>0.671718031670356</v>
      </c>
      <c r="GH9" s="1083">
        <f t="shared" si="87"/>
        <v>0.687747272509292</v>
      </c>
      <c r="GI9" s="1087">
        <f t="shared" si="87"/>
        <v>0.597171794381808</v>
      </c>
      <c r="GJ9" s="1083">
        <f t="shared" si="87"/>
        <v>0.636592832703044</v>
      </c>
      <c r="GK9" s="1088">
        <f t="shared" si="87"/>
        <v>0.66611909650924</v>
      </c>
      <c r="GL9" s="1087">
        <f t="shared" si="87"/>
        <v>0.695733469318375</v>
      </c>
      <c r="GM9" s="1087">
        <f t="shared" si="87"/>
        <v>0.63750226901434</v>
      </c>
      <c r="GN9" s="1087">
        <f t="shared" si="87"/>
        <v>0.667573735955056</v>
      </c>
      <c r="GO9" s="1087">
        <f t="shared" ref="GO9:GS9" si="88">GO5/GO$26</f>
        <v>0.668954758190328</v>
      </c>
      <c r="GP9" s="1083">
        <f t="shared" si="88"/>
        <v>0.668071003258061</v>
      </c>
      <c r="GQ9" s="1087">
        <f t="shared" si="88"/>
        <v>0.570131871895872</v>
      </c>
      <c r="GR9" s="1083">
        <f t="shared" si="88"/>
        <v>0.621846681361744</v>
      </c>
      <c r="GS9" s="1088">
        <f t="shared" si="88"/>
        <v>0.643881392496087</v>
      </c>
      <c r="GT9" s="1087">
        <f t="shared" ref="GT9:GW9" si="89">GT5/GT$26</f>
        <v>0.631601094045866</v>
      </c>
      <c r="GU9" s="1087">
        <f t="shared" si="89"/>
        <v>0.468053988001611</v>
      </c>
      <c r="GV9" s="1087">
        <f t="shared" si="89"/>
        <v>0.561353595513588</v>
      </c>
      <c r="GW9" s="1087">
        <f t="shared" si="89"/>
        <v>0.621568050819523</v>
      </c>
      <c r="GX9" s="1083"/>
      <c r="GY9" s="1087">
        <f t="shared" ref="GY9:HA9" si="90">GY5/GY$26</f>
        <v>0.51419467555246</v>
      </c>
      <c r="GZ9" s="1083">
        <f t="shared" si="90"/>
        <v>0.569822693935809</v>
      </c>
      <c r="HA9" s="1088">
        <f t="shared" si="90"/>
        <v>0.566266881677081</v>
      </c>
      <c r="HB9" s="1087">
        <f t="shared" ref="HB9:HE9" si="91">HB5/HB$26</f>
        <v>0.649202733485194</v>
      </c>
      <c r="HC9" s="1087">
        <f t="shared" si="91"/>
        <v>0.618278510931653</v>
      </c>
      <c r="HD9" s="1087">
        <f t="shared" si="91"/>
        <v>0.634026099565007</v>
      </c>
      <c r="HE9" s="1087">
        <f t="shared" si="91"/>
        <v>0.64221140472879</v>
      </c>
      <c r="HF9" s="1083"/>
      <c r="HG9" s="1087">
        <f t="shared" ref="HG9:HK9" si="92">HG5/HG$26</f>
        <v>0.495036603788702</v>
      </c>
      <c r="HH9" s="1083">
        <f t="shared" si="92"/>
        <v>0.583983836899623</v>
      </c>
      <c r="HI9" s="1088">
        <f t="shared" si="92"/>
        <v>0.602618584989289</v>
      </c>
      <c r="HJ9" s="1087">
        <f t="shared" si="92"/>
        <v>0.633911731422105</v>
      </c>
      <c r="HK9" s="1087">
        <f t="shared" si="92"/>
        <v>0.616580310880829</v>
      </c>
      <c r="HL9" s="1083"/>
      <c r="HM9" s="1087">
        <f t="shared" ref="HM9" si="93">HM5/HM$26</f>
        <v>0.632022471910112</v>
      </c>
      <c r="HN9" s="1083"/>
      <c r="HO9" s="1087">
        <f t="shared" ref="HO9:HS9" si="94">HO5/HO$26</f>
        <v>0.511337432744042</v>
      </c>
      <c r="HP9" s="1083">
        <f t="shared" si="94"/>
        <v>0.582146815585301</v>
      </c>
      <c r="HQ9" s="1088">
        <f t="shared" si="94"/>
        <v>0.600728532717338</v>
      </c>
      <c r="HR9" s="1087">
        <f t="shared" si="94"/>
        <v>0.648464163822526</v>
      </c>
      <c r="HS9" s="1087">
        <f t="shared" si="94"/>
        <v>0.517297187942545</v>
      </c>
      <c r="HT9" s="1083"/>
      <c r="HU9" s="1087">
        <f t="shared" ref="HU9" si="95">HU5/HU$26</f>
        <v>0.596388741370154</v>
      </c>
      <c r="HV9" s="1083"/>
      <c r="HW9" s="1087">
        <f t="shared" ref="HW9:IA9" si="96">HW5/HW$26</f>
        <v>0.508312551953449</v>
      </c>
      <c r="HX9" s="1083">
        <f t="shared" si="96"/>
        <v>0.555874199407322</v>
      </c>
      <c r="HY9" s="1088">
        <f t="shared" si="96"/>
        <v>0.570267917593578</v>
      </c>
      <c r="HZ9" s="1087">
        <f t="shared" si="96"/>
        <v>0.608515448379804</v>
      </c>
      <c r="IA9" s="1087">
        <f t="shared" si="96"/>
        <v>0.571149057274991</v>
      </c>
      <c r="IB9" s="1083"/>
      <c r="IC9" s="1087">
        <f t="shared" ref="IC9" si="97">IC5/IC$26</f>
        <v>0.619268996473228</v>
      </c>
      <c r="ID9" s="1083"/>
      <c r="IE9" s="1087"/>
      <c r="IF9" s="1083"/>
      <c r="IG9" s="1084"/>
      <c r="IH9" s="1087">
        <f t="shared" ref="IH9:II9" si="98">IH5/IH$26</f>
        <v>0.645051194539249</v>
      </c>
      <c r="II9" s="1087">
        <f t="shared" si="98"/>
        <v>0.604838709677419</v>
      </c>
      <c r="IJ9" s="1083"/>
      <c r="IK9" s="1087">
        <f t="shared" ref="IK9:IQ9" si="99">IK5/IK$26</f>
        <v>0.632277526395173</v>
      </c>
      <c r="IL9" s="1083"/>
      <c r="IM9" s="1087">
        <f t="shared" si="99"/>
        <v>0.50164581961817</v>
      </c>
      <c r="IN9" s="1083"/>
      <c r="IO9" s="1088">
        <f t="shared" si="99"/>
        <v>0.59683205030027</v>
      </c>
      <c r="IP9" s="1087">
        <f t="shared" si="99"/>
        <v>0.614381067961165</v>
      </c>
      <c r="IQ9" s="1087">
        <f t="shared" si="99"/>
        <v>0.564288892184488</v>
      </c>
      <c r="IR9" s="1083"/>
      <c r="IS9" s="1083"/>
      <c r="IT9" s="1083"/>
      <c r="IU9" s="1083"/>
      <c r="IV9" s="1083"/>
      <c r="IW9" s="1083"/>
      <c r="IX9" s="1083"/>
      <c r="IY9" s="1049"/>
      <c r="IZ9" s="1037"/>
      <c r="JB9" s="765"/>
      <c r="JC9" s="765"/>
      <c r="JD9" s="765"/>
      <c r="JE9" s="765"/>
      <c r="JF9" s="765"/>
      <c r="JG9" s="765"/>
      <c r="JH9" s="765"/>
      <c r="JI9" s="765"/>
      <c r="JJ9" s="765"/>
      <c r="JK9" s="765"/>
      <c r="JL9" s="765"/>
      <c r="JM9" s="765"/>
      <c r="JN9" s="765"/>
      <c r="JO9" s="765"/>
      <c r="JP9" s="765"/>
      <c r="JQ9" s="1035"/>
      <c r="JR9" s="1092"/>
      <c r="JS9" s="1079"/>
      <c r="JT9" s="1079"/>
      <c r="JU9" s="1079"/>
      <c r="JV9" s="1079"/>
      <c r="JW9" s="1079"/>
      <c r="JX9" s="1079"/>
      <c r="JY9" s="1079"/>
      <c r="JZ9" s="1079"/>
    </row>
    <row r="10" spans="1:286">
      <c r="A10" s="1025" t="s">
        <v>62</v>
      </c>
      <c r="AX10" s="1059"/>
      <c r="BE10" s="1060"/>
      <c r="BN10" s="1059"/>
      <c r="BU10" s="1060"/>
      <c r="BV10" s="1059"/>
      <c r="CC10" s="1060"/>
      <c r="CD10" s="1059"/>
      <c r="CJ10" s="1061"/>
      <c r="CK10" s="1060"/>
      <c r="CL10" s="1059"/>
      <c r="CS10" s="1060"/>
      <c r="CT10" s="1025"/>
      <c r="CU10" s="1025"/>
      <c r="CV10" s="1025"/>
      <c r="CW10" s="1025"/>
      <c r="CX10" s="1025"/>
      <c r="CY10" s="1025"/>
      <c r="CZ10" s="1025"/>
      <c r="DA10" s="1025"/>
      <c r="DB10" s="1071">
        <v>360</v>
      </c>
      <c r="DC10" s="1071">
        <v>423</v>
      </c>
      <c r="DD10" s="1071">
        <f>DB10+DC10</f>
        <v>783</v>
      </c>
      <c r="DE10" s="1071">
        <v>491</v>
      </c>
      <c r="DF10" s="1071">
        <f>DD10+DE10</f>
        <v>1274</v>
      </c>
      <c r="DG10" s="1071">
        <v>464</v>
      </c>
      <c r="DH10" s="1071">
        <f>DE10+DG10</f>
        <v>955</v>
      </c>
      <c r="DI10" s="1072">
        <f>'Profit and Loss'!O10</f>
        <v>1738</v>
      </c>
      <c r="DJ10" s="1071">
        <v>400</v>
      </c>
      <c r="DK10" s="1071">
        <v>486</v>
      </c>
      <c r="DL10" s="1071">
        <f>DJ10+DK10</f>
        <v>886</v>
      </c>
      <c r="DM10" s="1071">
        <v>524</v>
      </c>
      <c r="DN10" s="1071">
        <f>DM10+DL10</f>
        <v>1410</v>
      </c>
      <c r="DO10" s="1071">
        <v>497</v>
      </c>
      <c r="DP10" s="1071">
        <f>DO10+DM10</f>
        <v>1021</v>
      </c>
      <c r="DQ10" s="1072">
        <f>'Profit and Loss'!P10</f>
        <v>1906</v>
      </c>
      <c r="DR10" s="1071">
        <v>459</v>
      </c>
      <c r="DS10" s="1073">
        <v>602</v>
      </c>
      <c r="DT10" s="1073">
        <f>DR10+DS10</f>
        <v>1061</v>
      </c>
      <c r="DU10" s="1073">
        <v>665</v>
      </c>
      <c r="DV10" s="1073">
        <f>DT10+DU10</f>
        <v>1726</v>
      </c>
      <c r="DW10" s="1073">
        <f>DY10-DV10</f>
        <v>663</v>
      </c>
      <c r="DX10" s="1073">
        <f>DU10+DW10</f>
        <v>1328</v>
      </c>
      <c r="DY10" s="1074">
        <f>'Profit and Loss'!Q10</f>
        <v>2389</v>
      </c>
      <c r="DZ10" s="1071">
        <v>577</v>
      </c>
      <c r="EA10" s="1071">
        <v>681</v>
      </c>
      <c r="EB10" s="1071">
        <f>DZ10+EA10</f>
        <v>1258</v>
      </c>
      <c r="EC10" s="1071">
        <f>ED10-EB10</f>
        <v>757</v>
      </c>
      <c r="ED10" s="1071">
        <v>2015</v>
      </c>
      <c r="EE10" s="1071">
        <f>+EF10-EC10</f>
        <v>778</v>
      </c>
      <c r="EF10" s="1071">
        <f>+EG10-EB10</f>
        <v>1535</v>
      </c>
      <c r="EG10" s="1072">
        <v>2793</v>
      </c>
      <c r="EH10" s="1071">
        <v>693</v>
      </c>
      <c r="EI10" s="1071">
        <f>+EJ10-EH10</f>
        <v>854</v>
      </c>
      <c r="EJ10" s="1071">
        <v>1547</v>
      </c>
      <c r="EK10" s="1071">
        <f>EL10-EJ10</f>
        <v>944</v>
      </c>
      <c r="EL10" s="1071">
        <v>2491</v>
      </c>
      <c r="EM10" s="1071">
        <v>882</v>
      </c>
      <c r="EN10" s="1071">
        <f>EK10+EM10</f>
        <v>1826</v>
      </c>
      <c r="EO10" s="1072">
        <f>EH10+EI10+EK10+EM10</f>
        <v>3373</v>
      </c>
      <c r="EP10" s="1071">
        <v>722</v>
      </c>
      <c r="EQ10" s="1071">
        <f>ER10-EP10</f>
        <v>867</v>
      </c>
      <c r="ER10" s="1071">
        <v>1589</v>
      </c>
      <c r="ES10" s="1071">
        <v>923</v>
      </c>
      <c r="ET10" s="1071">
        <f>ER10+ES10</f>
        <v>2512</v>
      </c>
      <c r="EU10" s="1071">
        <v>934</v>
      </c>
      <c r="EV10" s="1071">
        <f>ES10+EU10</f>
        <v>1857</v>
      </c>
      <c r="EW10" s="1072">
        <f>EP10+EQ10+ES10+EU10</f>
        <v>3446</v>
      </c>
      <c r="EX10" s="1071">
        <v>794</v>
      </c>
      <c r="EY10" s="1071">
        <v>958</v>
      </c>
      <c r="EZ10" s="1071">
        <f>EX10+EY10</f>
        <v>1752</v>
      </c>
      <c r="FA10" s="1098">
        <v>1047</v>
      </c>
      <c r="FB10" s="1071">
        <f>EZ10+FA10</f>
        <v>2799</v>
      </c>
      <c r="FC10" s="1071">
        <f>EU10*(1+FC11)</f>
        <v>1021.56519251861</v>
      </c>
      <c r="FD10" s="1071">
        <f>FA10+FC10</f>
        <v>2068.56519251861</v>
      </c>
      <c r="FE10" s="1072">
        <f>EZ10+FD10</f>
        <v>3820.56519251861</v>
      </c>
      <c r="FF10" s="1071">
        <v>895</v>
      </c>
      <c r="FG10" s="1071">
        <f>FH10-FF10</f>
        <v>1057</v>
      </c>
      <c r="FH10" s="1071">
        <v>1952</v>
      </c>
      <c r="FI10" s="1071">
        <f>FJ10-FH10</f>
        <v>1104</v>
      </c>
      <c r="FJ10" s="1071">
        <v>3056</v>
      </c>
      <c r="FK10" s="1071">
        <f>FM10-FJ10</f>
        <v>1165</v>
      </c>
      <c r="FL10" s="1071">
        <f>FM10-FH10</f>
        <v>2269</v>
      </c>
      <c r="FM10" s="1072">
        <v>4221</v>
      </c>
      <c r="FN10" s="1071">
        <v>1034</v>
      </c>
      <c r="FO10" s="1071">
        <f>FP10-FN10</f>
        <v>1177</v>
      </c>
      <c r="FP10" s="1071">
        <v>2211</v>
      </c>
      <c r="FQ10" s="1071">
        <v>1330</v>
      </c>
      <c r="FR10" s="1071">
        <f>FN10+FO10+FQ10</f>
        <v>3541</v>
      </c>
      <c r="FS10" s="1071">
        <f>FU10-FN10-FO10-FQ10</f>
        <v>1462</v>
      </c>
      <c r="FT10" s="1071">
        <f>FQ10+FS10</f>
        <v>2792</v>
      </c>
      <c r="FU10" s="1071">
        <v>5003</v>
      </c>
      <c r="FV10" s="1075">
        <v>1290</v>
      </c>
      <c r="FW10" s="1076">
        <v>1467</v>
      </c>
      <c r="FX10" s="1076">
        <f>FV10+FW10</f>
        <v>2757</v>
      </c>
      <c r="FY10" s="1071">
        <v>1417</v>
      </c>
      <c r="FZ10" s="1071">
        <f>FV10+FW10+FY10</f>
        <v>4174</v>
      </c>
      <c r="GA10" s="1071">
        <f>GC10-FV10-FW10-FY10</f>
        <v>1686</v>
      </c>
      <c r="GB10" s="1071">
        <f>FY10+GA10</f>
        <v>3103</v>
      </c>
      <c r="GC10" s="1072">
        <v>5860</v>
      </c>
      <c r="GD10" s="1071">
        <v>1331</v>
      </c>
      <c r="GE10" s="1076">
        <v>1571</v>
      </c>
      <c r="GF10" s="1076">
        <f>GD10+GE10</f>
        <v>2902</v>
      </c>
      <c r="GG10" s="1071">
        <v>1698</v>
      </c>
      <c r="GH10" s="1071">
        <f>GD10+GE10+GG10</f>
        <v>4600</v>
      </c>
      <c r="GI10" s="1071">
        <f>GK10-GD10-GE10-GG10</f>
        <v>1888</v>
      </c>
      <c r="GJ10" s="1071">
        <f>GG10+GI10</f>
        <v>3586</v>
      </c>
      <c r="GK10" s="1072">
        <v>6488</v>
      </c>
      <c r="GL10" s="1071">
        <v>1595</v>
      </c>
      <c r="GM10" s="1076">
        <v>1850</v>
      </c>
      <c r="GN10" s="1076">
        <f>GL10+GM10</f>
        <v>3445</v>
      </c>
      <c r="GO10" s="1071">
        <v>1960</v>
      </c>
      <c r="GP10" s="1071">
        <f>GL10+GM10+GO10</f>
        <v>5405</v>
      </c>
      <c r="GQ10" s="1071">
        <f>GS10-GL10-GM10-GO10</f>
        <v>2409</v>
      </c>
      <c r="GR10" s="1071">
        <f>GO10+GQ10</f>
        <v>4369</v>
      </c>
      <c r="GS10" s="1072">
        <v>7814</v>
      </c>
      <c r="GT10" s="1071">
        <v>1595</v>
      </c>
      <c r="GU10" s="1076">
        <v>1830</v>
      </c>
      <c r="GV10" s="1076">
        <f>GT10+GU10</f>
        <v>3425</v>
      </c>
      <c r="GW10" s="1071">
        <v>2104</v>
      </c>
      <c r="GX10" s="1071"/>
      <c r="GY10" s="1071">
        <f>HA10-GW10-GU10-GT10</f>
        <v>2602.00000000001</v>
      </c>
      <c r="GZ10" s="1071">
        <f>GW10+GY10</f>
        <v>4706.00000000001</v>
      </c>
      <c r="HA10" s="1072">
        <f>'Profit and Loss'!AA10</f>
        <v>8131.00000000001</v>
      </c>
      <c r="HB10" s="1071">
        <v>1809</v>
      </c>
      <c r="HC10" s="1071">
        <v>1904</v>
      </c>
      <c r="HD10" s="1076">
        <f>HB10+HC10</f>
        <v>3713</v>
      </c>
      <c r="HE10" s="1071">
        <v>2014</v>
      </c>
      <c r="HF10" s="1071"/>
      <c r="HG10" s="1071">
        <f>HI10-HE10-HC10-HB10</f>
        <v>2445</v>
      </c>
      <c r="HH10" s="1071">
        <f>HE10+HG10</f>
        <v>4459</v>
      </c>
      <c r="HI10" s="1072">
        <v>8172</v>
      </c>
      <c r="HJ10" s="1071">
        <v>1905</v>
      </c>
      <c r="HK10" s="1071">
        <v>2117</v>
      </c>
      <c r="HL10" s="1071"/>
      <c r="HM10" s="1071">
        <v>2312</v>
      </c>
      <c r="HN10" s="1071"/>
      <c r="HO10" s="1071">
        <f>HQ10-HM10-HK10-HJ10</f>
        <v>2504</v>
      </c>
      <c r="HP10" s="1071">
        <f>HM10+HO10</f>
        <v>4816</v>
      </c>
      <c r="HQ10" s="1072">
        <v>8838</v>
      </c>
      <c r="HR10" s="1071">
        <v>1774</v>
      </c>
      <c r="HS10" s="1071">
        <v>2338</v>
      </c>
      <c r="HT10" s="1071"/>
      <c r="HU10" s="1071">
        <v>2242</v>
      </c>
      <c r="HV10" s="1071"/>
      <c r="HW10" s="1071">
        <f>HY10-HU10-HS10-HR10</f>
        <v>2333</v>
      </c>
      <c r="HX10" s="1071">
        <f>HU10+HW10</f>
        <v>4575</v>
      </c>
      <c r="HY10" s="1072">
        <v>8687</v>
      </c>
      <c r="HZ10" s="1071">
        <v>2046</v>
      </c>
      <c r="IA10" s="1071">
        <v>2388</v>
      </c>
      <c r="IB10" s="1071"/>
      <c r="IC10" s="1071">
        <v>2346</v>
      </c>
      <c r="ID10" s="1071"/>
      <c r="IE10" s="1071">
        <f>IG10-IC10-IA10-HZ10</f>
        <v>2710</v>
      </c>
      <c r="IF10" s="1071"/>
      <c r="IG10" s="1072">
        <v>9490</v>
      </c>
      <c r="IH10" s="1071">
        <v>2163</v>
      </c>
      <c r="II10" s="1071">
        <v>2338</v>
      </c>
      <c r="IJ10" s="1071"/>
      <c r="IK10" s="1071">
        <v>2417</v>
      </c>
      <c r="IL10" s="1071"/>
      <c r="IM10" s="1071">
        <v>3012</v>
      </c>
      <c r="IN10" s="1071"/>
      <c r="IO10" s="1072">
        <v>9931</v>
      </c>
      <c r="IP10" s="1071">
        <v>2480</v>
      </c>
      <c r="IQ10" s="1071">
        <v>2909</v>
      </c>
      <c r="IR10" s="1071"/>
      <c r="IS10" s="1071"/>
      <c r="IT10" s="1071"/>
      <c r="IU10" s="1071"/>
      <c r="IV10" s="1071"/>
      <c r="IW10" s="1071"/>
      <c r="IX10" s="1071"/>
      <c r="IY10" s="1049"/>
      <c r="IZ10" s="1037"/>
      <c r="JB10" s="765"/>
      <c r="JC10" s="765"/>
      <c r="JD10" s="765"/>
      <c r="JE10" s="765"/>
      <c r="JF10" s="765"/>
      <c r="JG10" s="765"/>
      <c r="JH10" s="765"/>
      <c r="JI10" s="765"/>
      <c r="JJ10" s="765"/>
      <c r="JK10" s="765"/>
      <c r="JL10" s="765"/>
      <c r="JM10" s="765"/>
      <c r="JN10" s="765"/>
      <c r="JO10" s="765"/>
      <c r="JP10" s="765"/>
      <c r="JQ10" s="1035"/>
      <c r="JR10" s="1090"/>
      <c r="JS10" s="1082"/>
      <c r="JT10" s="1082"/>
      <c r="JU10" s="1082"/>
      <c r="JV10" s="1082"/>
      <c r="JW10" s="1082"/>
      <c r="JX10" s="1082"/>
      <c r="JY10" s="1082"/>
      <c r="JZ10" s="1082"/>
    </row>
    <row r="11" spans="1:286">
      <c r="A11" s="967" t="s">
        <v>61</v>
      </c>
      <c r="AX11" s="1059"/>
      <c r="BE11" s="1060"/>
      <c r="BN11" s="1059"/>
      <c r="BU11" s="1060"/>
      <c r="BV11" s="1059"/>
      <c r="CC11" s="1060"/>
      <c r="CD11" s="1059"/>
      <c r="CJ11" s="1061"/>
      <c r="CK11" s="1060"/>
      <c r="CL11" s="1059"/>
      <c r="CS11" s="1060"/>
      <c r="CT11" s="967"/>
      <c r="CU11" s="967"/>
      <c r="CV11" s="967"/>
      <c r="CW11" s="967"/>
      <c r="CX11" s="967"/>
      <c r="CY11" s="967"/>
      <c r="CZ11" s="967"/>
      <c r="DA11" s="967"/>
      <c r="DJ11" s="1080">
        <f t="shared" ref="DJ11:DS11" si="100">DJ10/DB10-1</f>
        <v>0.111111111111111</v>
      </c>
      <c r="DK11" s="1080">
        <f t="shared" si="100"/>
        <v>0.148936170212766</v>
      </c>
      <c r="DL11" s="1080">
        <f t="shared" si="100"/>
        <v>0.13154533844189</v>
      </c>
      <c r="DM11" s="1080">
        <f t="shared" si="100"/>
        <v>0.0672097759674135</v>
      </c>
      <c r="DN11" s="1080">
        <f t="shared" si="100"/>
        <v>0.106750392464678</v>
      </c>
      <c r="DO11" s="1080">
        <f t="shared" si="100"/>
        <v>0.0711206896551724</v>
      </c>
      <c r="DP11" s="1080">
        <f t="shared" si="100"/>
        <v>0.0691099476439792</v>
      </c>
      <c r="DQ11" s="1081">
        <f t="shared" si="100"/>
        <v>0.0966628308400461</v>
      </c>
      <c r="DR11" s="1082">
        <f t="shared" si="100"/>
        <v>0.1475</v>
      </c>
      <c r="DS11" s="1083">
        <f t="shared" si="100"/>
        <v>0.238683127572016</v>
      </c>
      <c r="DT11" s="1083">
        <f t="shared" ref="DT11:EG11" si="101">DT10/DL10-1</f>
        <v>0.197516930022573</v>
      </c>
      <c r="DU11" s="1083">
        <f t="shared" si="101"/>
        <v>0.269083969465649</v>
      </c>
      <c r="DV11" s="1083">
        <f t="shared" si="101"/>
        <v>0.224113475177305</v>
      </c>
      <c r="DW11" s="1083">
        <f t="shared" si="101"/>
        <v>0.334004024144869</v>
      </c>
      <c r="DX11" s="1083">
        <f t="shared" si="101"/>
        <v>0.300685602350637</v>
      </c>
      <c r="DY11" s="1084">
        <f t="shared" si="101"/>
        <v>0.253410283315845</v>
      </c>
      <c r="DZ11" s="1082">
        <f t="shared" si="101"/>
        <v>0.257080610021786</v>
      </c>
      <c r="EA11" s="1082">
        <f t="shared" si="101"/>
        <v>0.131229235880399</v>
      </c>
      <c r="EB11" s="1082">
        <f t="shared" si="101"/>
        <v>0.185673892554194</v>
      </c>
      <c r="EC11" s="1082">
        <f t="shared" si="101"/>
        <v>0.138345864661654</v>
      </c>
      <c r="ED11" s="1082">
        <f t="shared" si="101"/>
        <v>0.167439165701043</v>
      </c>
      <c r="EE11" s="1082">
        <f t="shared" si="101"/>
        <v>0.173453996983409</v>
      </c>
      <c r="EF11" s="1082">
        <f t="shared" si="101"/>
        <v>0.155873493975904</v>
      </c>
      <c r="EG11" s="1085">
        <f t="shared" si="101"/>
        <v>0.16910841356216</v>
      </c>
      <c r="EH11" s="1082">
        <f>+EH10/DZ10-1</f>
        <v>0.20103986135182</v>
      </c>
      <c r="EI11" s="1082">
        <f t="shared" ref="EI11:FB11" si="102">EI10/EA10-1</f>
        <v>0.254038179148311</v>
      </c>
      <c r="EJ11" s="1082">
        <f t="shared" si="102"/>
        <v>0.22972972972973</v>
      </c>
      <c r="EK11" s="1082">
        <f t="shared" si="102"/>
        <v>0.247027741083223</v>
      </c>
      <c r="EL11" s="1082">
        <f t="shared" si="102"/>
        <v>0.236228287841191</v>
      </c>
      <c r="EM11" s="1082">
        <f t="shared" si="102"/>
        <v>0.133676092544987</v>
      </c>
      <c r="EN11" s="1082">
        <f t="shared" si="102"/>
        <v>0.18957654723127</v>
      </c>
      <c r="EO11" s="1085">
        <f t="shared" si="102"/>
        <v>0.20766201217329</v>
      </c>
      <c r="EP11" s="1082">
        <f t="shared" si="102"/>
        <v>0.0418470418470418</v>
      </c>
      <c r="EQ11" s="1082">
        <f t="shared" si="102"/>
        <v>0.0152224824355971</v>
      </c>
      <c r="ER11" s="1082">
        <f t="shared" si="102"/>
        <v>0.0271493212669682</v>
      </c>
      <c r="ES11" s="1082">
        <f t="shared" si="102"/>
        <v>-0.0222457627118644</v>
      </c>
      <c r="ET11" s="1082">
        <f t="shared" si="102"/>
        <v>0.00843034925732633</v>
      </c>
      <c r="EU11" s="1082">
        <f t="shared" si="102"/>
        <v>0.0589569160997732</v>
      </c>
      <c r="EV11" s="1082">
        <f t="shared" si="102"/>
        <v>0.0169769989047097</v>
      </c>
      <c r="EW11" s="1085">
        <f t="shared" si="102"/>
        <v>0.0216424547880225</v>
      </c>
      <c r="EX11" s="1082">
        <f t="shared" si="102"/>
        <v>0.0997229916897506</v>
      </c>
      <c r="EY11" s="1082">
        <f t="shared" si="102"/>
        <v>0.104959630911188</v>
      </c>
      <c r="EZ11" s="1082">
        <f t="shared" si="102"/>
        <v>0.102580239144116</v>
      </c>
      <c r="FA11" s="1091">
        <f t="shared" si="102"/>
        <v>0.134344528710726</v>
      </c>
      <c r="FB11" s="1082">
        <f t="shared" si="102"/>
        <v>0.114251592356688</v>
      </c>
      <c r="FC11" s="1082">
        <f>FC12+FC13</f>
        <v>0.0937528827822376</v>
      </c>
      <c r="FD11" s="1082">
        <f t="shared" ref="FD11:FN11" si="103">FD10/EV10-1</f>
        <v>0.113928482777927</v>
      </c>
      <c r="FE11" s="1085">
        <f t="shared" si="103"/>
        <v>0.108695644956068</v>
      </c>
      <c r="FF11" s="1082">
        <f t="shared" si="103"/>
        <v>0.1272040302267</v>
      </c>
      <c r="FG11" s="1082">
        <f t="shared" si="103"/>
        <v>0.103340292275574</v>
      </c>
      <c r="FH11" s="1082">
        <f t="shared" si="103"/>
        <v>0.114155251141552</v>
      </c>
      <c r="FI11" s="1082">
        <f t="shared" si="103"/>
        <v>0.0544412607449856</v>
      </c>
      <c r="FJ11" s="1082">
        <f t="shared" si="103"/>
        <v>0.0918185066095034</v>
      </c>
      <c r="FK11" s="1082">
        <f t="shared" si="103"/>
        <v>0.140406905532636</v>
      </c>
      <c r="FL11" s="1082">
        <f t="shared" si="103"/>
        <v>0.096895571967615</v>
      </c>
      <c r="FM11" s="1085">
        <f t="shared" si="103"/>
        <v>0.104810358494999</v>
      </c>
      <c r="FN11" s="1082">
        <f t="shared" si="103"/>
        <v>0.155307262569832</v>
      </c>
      <c r="FO11" s="1082">
        <f t="shared" ref="FO11:FX11" si="104">FO10/FG10-1</f>
        <v>0.11352885525071</v>
      </c>
      <c r="FP11" s="1082">
        <f t="shared" si="104"/>
        <v>0.132684426229508</v>
      </c>
      <c r="FQ11" s="1082">
        <f t="shared" si="104"/>
        <v>0.204710144927536</v>
      </c>
      <c r="FR11" s="1082">
        <f t="shared" si="104"/>
        <v>0.158704188481675</v>
      </c>
      <c r="FS11" s="1082">
        <f t="shared" si="104"/>
        <v>0.254935622317596</v>
      </c>
      <c r="FT11" s="1082">
        <f t="shared" si="104"/>
        <v>0.230498016747466</v>
      </c>
      <c r="FU11" s="1082">
        <f t="shared" si="104"/>
        <v>0.185264155413409</v>
      </c>
      <c r="FV11" s="1086">
        <f t="shared" si="104"/>
        <v>0.247582205029014</v>
      </c>
      <c r="FW11" s="1087">
        <f t="shared" si="104"/>
        <v>0.246389124893798</v>
      </c>
      <c r="FX11" s="1087">
        <f t="shared" si="104"/>
        <v>0.246947082767978</v>
      </c>
      <c r="FY11" s="1082">
        <f t="shared" ref="FY11:FZ11" si="105">FY10/FQ10-1</f>
        <v>0.0654135338345865</v>
      </c>
      <c r="FZ11" s="1082">
        <f t="shared" si="105"/>
        <v>0.178763061282124</v>
      </c>
      <c r="GA11" s="1082">
        <f t="shared" ref="GA11" si="106">GA10/FS10-1</f>
        <v>0.153214774281806</v>
      </c>
      <c r="GB11" s="1082">
        <f t="shared" ref="GB11:GC11" si="107">GB10/FT10-1</f>
        <v>0.111389684813754</v>
      </c>
      <c r="GC11" s="1085">
        <f t="shared" si="107"/>
        <v>0.171297221667</v>
      </c>
      <c r="GD11" s="1086">
        <f>GD10/1311-1</f>
        <v>0.015255530129672</v>
      </c>
      <c r="GE11" s="1087">
        <f>GE10/1496-1</f>
        <v>0.0501336898395721</v>
      </c>
      <c r="GF11" s="1087">
        <f>GF10/(1496+1311)-1</f>
        <v>0.0338439615247594</v>
      </c>
      <c r="GG11" s="1087">
        <f>GG10/1444-1</f>
        <v>0.17590027700831</v>
      </c>
      <c r="GH11" s="1082">
        <f>GH10/FZ10-1</f>
        <v>0.102060373742214</v>
      </c>
      <c r="GI11" s="1082">
        <f>GI10/GA10-1</f>
        <v>0.119810201660735</v>
      </c>
      <c r="GJ11" s="1082">
        <f>GJ10/GB10-1</f>
        <v>0.155655816951337</v>
      </c>
      <c r="GK11" s="1088">
        <f>GK12+GK13</f>
        <v>0.0983347405786253</v>
      </c>
      <c r="GL11" s="1087">
        <f>GL10/GD10-1</f>
        <v>0.198347107438017</v>
      </c>
      <c r="GM11" s="1087">
        <f>GM10/1496-1</f>
        <v>0.236631016042781</v>
      </c>
      <c r="GN11" s="1087">
        <f>GN10/(1496+1311)-1</f>
        <v>0.227288920555754</v>
      </c>
      <c r="GO11" s="1087">
        <f>GO10/1444-1</f>
        <v>0.357340720221607</v>
      </c>
      <c r="GP11" s="1082">
        <f>GP10/GH10-1</f>
        <v>0.175</v>
      </c>
      <c r="GQ11" s="1082">
        <f>GQ10/GI10-1</f>
        <v>0.275953389830508</v>
      </c>
      <c r="GR11" s="1082">
        <f>GR10/GJ10-1</f>
        <v>0.21834913552705</v>
      </c>
      <c r="GS11" s="1088">
        <f>GS12+GS13</f>
        <v>0.195109326927224</v>
      </c>
      <c r="GT11" s="1087">
        <f>GT10/GL10-1</f>
        <v>0</v>
      </c>
      <c r="GU11" s="1087">
        <f>GU10/1850-1</f>
        <v>-0.0108108108108108</v>
      </c>
      <c r="GV11" s="1087">
        <f>GV10/(1595+1850)-1</f>
        <v>-0.00580551523947748</v>
      </c>
      <c r="GW11" s="1087">
        <f>GW10/1960-1</f>
        <v>0.073469387755102</v>
      </c>
      <c r="GX11" s="1082"/>
      <c r="GY11" s="1087">
        <f>GY10/2409-1</f>
        <v>0.0801162308011654</v>
      </c>
      <c r="GZ11" s="1082">
        <f>GZ10/GR10-1</f>
        <v>0.0771343556878021</v>
      </c>
      <c r="HA11" s="1088">
        <f>HA10/7814-1</f>
        <v>0.0405682109035075</v>
      </c>
      <c r="HB11" s="1087">
        <f>HB10/1464-1</f>
        <v>0.235655737704918</v>
      </c>
      <c r="HC11" s="1087">
        <f>HC10/1683-1</f>
        <v>0.131313131313131</v>
      </c>
      <c r="HD11" s="1087">
        <f>HD10/(1464+1683)-1</f>
        <v>0.179853829043533</v>
      </c>
      <c r="HE11" s="1087">
        <f>HE10/1927-1</f>
        <v>0.0451478982874935</v>
      </c>
      <c r="HF11" s="1082"/>
      <c r="HG11" s="1087">
        <f>HG10/2396-1</f>
        <v>0.0204507512520868</v>
      </c>
      <c r="HH11" s="1082">
        <f>HH10/GZ10-1</f>
        <v>-0.0524861878453053</v>
      </c>
      <c r="HI11" s="1088">
        <f>HI10/7471-1</f>
        <v>0.0938294739660019</v>
      </c>
      <c r="HJ11" s="1087">
        <f>HJ10/HB10-1</f>
        <v>0.0530679933665008</v>
      </c>
      <c r="HK11" s="1087">
        <f>HK10/1683-1</f>
        <v>0.25787284610814</v>
      </c>
      <c r="HL11" s="1082"/>
      <c r="HM11" s="1087">
        <f>HM10/1927-1</f>
        <v>0.199792423456149</v>
      </c>
      <c r="HN11" s="1082"/>
      <c r="HO11" s="1087">
        <f>HO10/2396-1</f>
        <v>0.0450751252086812</v>
      </c>
      <c r="HP11" s="1082">
        <f>HP10/HH10-1</f>
        <v>0.0800627943485086</v>
      </c>
      <c r="HQ11" s="1088">
        <f>HQ10/7471-1</f>
        <v>0.182974166778209</v>
      </c>
      <c r="HR11" s="1087">
        <f>HR10/HJ10-1</f>
        <v>-0.0687664041994751</v>
      </c>
      <c r="HS11" s="1087">
        <f>HS10/1683-1</f>
        <v>0.389185977421272</v>
      </c>
      <c r="HT11" s="1082"/>
      <c r="HU11" s="1087">
        <f>HU10/1927-1</f>
        <v>0.163466528282304</v>
      </c>
      <c r="HV11" s="1082"/>
      <c r="HW11" s="1087">
        <f>HW10/2396-1</f>
        <v>-0.0262938230383973</v>
      </c>
      <c r="HX11" s="1082">
        <f>HX10/HP10-1</f>
        <v>-0.0500415282392026</v>
      </c>
      <c r="HY11" s="1088">
        <f>HY10/7471-1</f>
        <v>0.162762682371838</v>
      </c>
      <c r="HZ11" s="1087">
        <f>HZ10/HR10-1</f>
        <v>0.153325817361894</v>
      </c>
      <c r="IA11" s="1087">
        <f>IA10/1683-1</f>
        <v>0.418894830659537</v>
      </c>
      <c r="IB11" s="1082"/>
      <c r="IC11" s="1087">
        <f>IC10/1927-1</f>
        <v>0.217436429683446</v>
      </c>
      <c r="ID11" s="1082"/>
      <c r="IE11" s="1087"/>
      <c r="IF11" s="1082"/>
      <c r="IG11" s="1085"/>
      <c r="IH11" s="1087">
        <f>IH10/HZ10-1</f>
        <v>0.0571847507331378</v>
      </c>
      <c r="II11" s="1087">
        <f>II10/IA10-1</f>
        <v>-0.0209380234505863</v>
      </c>
      <c r="IJ11" s="1082"/>
      <c r="IK11" s="1087">
        <f>IK10/IC10-1</f>
        <v>0.0302642796248935</v>
      </c>
      <c r="IL11" s="1082"/>
      <c r="IM11" s="1087">
        <v>0.12</v>
      </c>
      <c r="IN11" s="1082"/>
      <c r="IO11" s="1085">
        <v>0.1</v>
      </c>
      <c r="IP11" s="1087">
        <f>IP10/IH10-1</f>
        <v>0.146555709662506</v>
      </c>
      <c r="IQ11" s="1087">
        <f>IQ10/II10-1</f>
        <v>0.244225834046193</v>
      </c>
      <c r="IR11" s="1082"/>
      <c r="IS11" s="1082"/>
      <c r="IT11" s="1082"/>
      <c r="IU11" s="1082"/>
      <c r="IV11" s="1082"/>
      <c r="IW11" s="1082"/>
      <c r="IX11" s="1082"/>
      <c r="IY11" s="1049"/>
      <c r="IZ11" s="1037"/>
      <c r="JB11" s="765"/>
      <c r="JC11" s="765"/>
      <c r="JD11" s="765"/>
      <c r="JE11" s="765"/>
      <c r="JF11" s="765"/>
      <c r="JG11" s="765"/>
      <c r="JH11" s="765"/>
      <c r="JI11" s="765"/>
      <c r="JJ11" s="765"/>
      <c r="JK11" s="765"/>
      <c r="JL11" s="765"/>
      <c r="JM11" s="765"/>
      <c r="JN11" s="765"/>
      <c r="JO11" s="765"/>
      <c r="JP11" s="765"/>
      <c r="JQ11" s="1035"/>
      <c r="JR11" s="1078"/>
      <c r="JS11" s="1079"/>
      <c r="JT11" s="1079"/>
      <c r="JU11" s="1079"/>
      <c r="JV11" s="1079"/>
      <c r="JW11" s="1079"/>
      <c r="JX11" s="1079"/>
      <c r="JY11" s="1079"/>
      <c r="JZ11" s="1079"/>
    </row>
    <row r="12" spans="1:286">
      <c r="A12" s="967" t="s">
        <v>63</v>
      </c>
      <c r="AX12" s="1059"/>
      <c r="BE12" s="1060"/>
      <c r="BN12" s="1059"/>
      <c r="BU12" s="1060"/>
      <c r="BV12" s="1059"/>
      <c r="CC12" s="1060"/>
      <c r="CD12" s="1059"/>
      <c r="CJ12" s="1061"/>
      <c r="CK12" s="1060"/>
      <c r="CL12" s="1059"/>
      <c r="CS12" s="1060"/>
      <c r="CT12" s="967"/>
      <c r="CU12" s="967"/>
      <c r="CV12" s="967"/>
      <c r="CW12" s="967"/>
      <c r="CX12" s="967"/>
      <c r="CY12" s="967"/>
      <c r="CZ12" s="967"/>
      <c r="DA12" s="967"/>
      <c r="DJ12" s="1080">
        <f t="shared" ref="DJ12:DW12" si="108">DJ11-DJ13</f>
        <v>0.0711111111111112</v>
      </c>
      <c r="DK12" s="1080">
        <f t="shared" si="108"/>
        <v>0.0789361702127661</v>
      </c>
      <c r="DL12" s="1080">
        <f t="shared" si="108"/>
        <v>0.0753384418901659</v>
      </c>
      <c r="DM12" s="1080">
        <f t="shared" si="108"/>
        <v>0.0272097759674135</v>
      </c>
      <c r="DN12" s="1080">
        <f t="shared" si="108"/>
        <v>0.0567896389324961</v>
      </c>
      <c r="DO12" s="1080">
        <f t="shared" si="108"/>
        <v>-0.0688793103448276</v>
      </c>
      <c r="DP12" s="1080">
        <f t="shared" si="108"/>
        <v>-0.0194764397905758</v>
      </c>
      <c r="DQ12" s="1081">
        <f t="shared" si="108"/>
        <v>0.0266628308400461</v>
      </c>
      <c r="DR12" s="1082">
        <f t="shared" si="108"/>
        <v>-0.0125</v>
      </c>
      <c r="DS12" s="1082">
        <f t="shared" si="108"/>
        <v>0.0716831275720165</v>
      </c>
      <c r="DT12" s="1082">
        <f t="shared" si="108"/>
        <v>0.0375169300225734</v>
      </c>
      <c r="DU12" s="1082">
        <f t="shared" si="108"/>
        <v>0.114083969465649</v>
      </c>
      <c r="DV12" s="1082">
        <f t="shared" si="108"/>
        <v>0.0631134751773051</v>
      </c>
      <c r="DW12" s="1082">
        <f t="shared" si="108"/>
        <v>0.108004024144869</v>
      </c>
      <c r="DX12" s="1082">
        <f>((DW12*DO10)+(DU12*DM10))/DP10</f>
        <v>0.111124387855044</v>
      </c>
      <c r="DY12" s="1085">
        <f>'Profit and Loss'!Q12</f>
        <v>0.0754102833158447</v>
      </c>
      <c r="DZ12" s="1082">
        <f>DZ11-DZ13</f>
        <v>0.0370806100217864</v>
      </c>
      <c r="EA12" s="1082">
        <f>EA11-EA13</f>
        <v>-0.0687707641196014</v>
      </c>
      <c r="EB12" s="1082">
        <f>EB11-EB13</f>
        <v>-0.0243261074458059</v>
      </c>
      <c r="EC12" s="1082">
        <f>EC11-EC13</f>
        <v>-0.0716541353383458</v>
      </c>
      <c r="ED12" s="1082">
        <f>ED11-ED13</f>
        <v>-0.0425608342989572</v>
      </c>
      <c r="EE12" s="1082">
        <f>+EE11-EE13</f>
        <v>-0.0065460030165912</v>
      </c>
      <c r="EF12" s="1082">
        <f>+EF11-EF13</f>
        <v>-0.0361370481927711</v>
      </c>
      <c r="EG12" s="1085">
        <f>EG11-EG13</f>
        <v>-0.0308915864378401</v>
      </c>
      <c r="EH12" s="1082">
        <f>+EH11-EH13</f>
        <v>0.0410398613518198</v>
      </c>
      <c r="EI12" s="1082">
        <f>+EI11-EI13</f>
        <v>0.0930381791483113</v>
      </c>
      <c r="EJ12" s="1082">
        <f>+EJ11-EJ13</f>
        <v>0.0677297297297298</v>
      </c>
      <c r="EK12" s="1082">
        <f>EK11-EK13</f>
        <v>0.101027741083223</v>
      </c>
      <c r="EL12" s="1082">
        <f>EL11-EL13</f>
        <v>0.080228287841191</v>
      </c>
      <c r="EM12" s="1082">
        <f>EM11-EM13</f>
        <v>0.0416760925449871</v>
      </c>
      <c r="EN12" s="1082">
        <f>+EN11-EN13</f>
        <v>0.0709459283387621</v>
      </c>
      <c r="EO12" s="1085">
        <f>+EO11-EO13</f>
        <v>0.0701543143573219</v>
      </c>
      <c r="EP12" s="1082">
        <f t="shared" ref="EP12:FB12" si="109">EP11-EP13</f>
        <v>-0.0231529581529582</v>
      </c>
      <c r="EQ12" s="1082">
        <f t="shared" si="109"/>
        <v>-0.0377775175644029</v>
      </c>
      <c r="ER12" s="1082">
        <f t="shared" si="109"/>
        <v>-0.0308506787330318</v>
      </c>
      <c r="ES12" s="1082">
        <f t="shared" si="109"/>
        <v>-0.0782457627118644</v>
      </c>
      <c r="ET12" s="1082">
        <f t="shared" si="109"/>
        <v>-0.0490449618627058</v>
      </c>
      <c r="EU12" s="1082">
        <f t="shared" si="109"/>
        <v>-0.0890430839002268</v>
      </c>
      <c r="EV12" s="1082">
        <f t="shared" si="109"/>
        <v>-0.083461117196057</v>
      </c>
      <c r="EW12" s="1085">
        <f t="shared" si="109"/>
        <v>-0.0595040023717759</v>
      </c>
      <c r="EX12" s="1082">
        <f t="shared" si="109"/>
        <v>-0.116277008310249</v>
      </c>
      <c r="EY12" s="1082">
        <f t="shared" si="109"/>
        <v>-0.116040369088812</v>
      </c>
      <c r="EZ12" s="1082">
        <f t="shared" si="109"/>
        <v>-0.116147891755821</v>
      </c>
      <c r="FA12" s="1091">
        <f t="shared" si="109"/>
        <v>-0.0636554712892741</v>
      </c>
      <c r="FB12" s="1082">
        <f t="shared" si="109"/>
        <v>-0.096860270700637</v>
      </c>
      <c r="FC12" s="1082">
        <f>((EU95*(0.1*FC492)+EU100*FC102+EU105*FC483+EU110*FC112+EU115*FC117+EU120*FC122)/EU127)*1.2</f>
        <v>-0.0312471172177624</v>
      </c>
      <c r="FD12" s="1082">
        <f t="shared" ref="FD12:FN12" si="110">FD11-FD13</f>
        <v>-0.0473553082829241</v>
      </c>
      <c r="FE12" s="1085">
        <f t="shared" si="110"/>
        <v>-0.0790765546957023</v>
      </c>
      <c r="FF12" s="1082">
        <f t="shared" si="110"/>
        <v>-0.0127959697732997</v>
      </c>
      <c r="FG12" s="1082">
        <f t="shared" si="110"/>
        <v>0.018204592901879</v>
      </c>
      <c r="FH12" s="1082">
        <f t="shared" si="110"/>
        <v>0.00415525114155245</v>
      </c>
      <c r="FI12" s="1082">
        <f t="shared" si="110"/>
        <v>-0.0355587392550144</v>
      </c>
      <c r="FJ12" s="1082">
        <f t="shared" si="110"/>
        <v>-0.00818149339049659</v>
      </c>
      <c r="FK12" s="1082">
        <f t="shared" si="110"/>
        <v>0.00300777309842321</v>
      </c>
      <c r="FL12" s="1082">
        <f t="shared" si="110"/>
        <v>-0.013104428032385</v>
      </c>
      <c r="FM12" s="1085">
        <f t="shared" si="110"/>
        <v>-0.00518964150500113</v>
      </c>
      <c r="FN12" s="1082">
        <f t="shared" si="110"/>
        <v>-0.0646927374301676</v>
      </c>
      <c r="FO12" s="1082">
        <f t="shared" ref="FO12:FX12" si="111">FO11-FO13</f>
        <v>-0.0880037842951749</v>
      </c>
      <c r="FP12" s="1082">
        <f t="shared" si="111"/>
        <v>-0.0773155737704918</v>
      </c>
      <c r="FQ12" s="1082">
        <f t="shared" si="111"/>
        <v>-0.0329710144927538</v>
      </c>
      <c r="FR12" s="1082">
        <f t="shared" si="111"/>
        <v>-0.0612958115183247</v>
      </c>
      <c r="FS12" s="1082">
        <f t="shared" si="111"/>
        <v>-0.00129613733905587</v>
      </c>
      <c r="FT12" s="1082">
        <f t="shared" si="111"/>
        <v>-0.0167078007933009</v>
      </c>
      <c r="FU12" s="1082">
        <f t="shared" si="111"/>
        <v>-0.0447358445865909</v>
      </c>
      <c r="FV12" s="1086">
        <f t="shared" si="111"/>
        <v>0.0675822050290135</v>
      </c>
      <c r="FW12" s="1087">
        <f t="shared" si="111"/>
        <v>0.0363891248937977</v>
      </c>
      <c r="FX12" s="1087">
        <f t="shared" si="111"/>
        <v>0.050976933514247</v>
      </c>
      <c r="FY12" s="1082">
        <f t="shared" ref="FY12:FZ12" si="112">FY11-FY13</f>
        <v>-0.0245864661654137</v>
      </c>
      <c r="FZ12" s="1082">
        <f t="shared" si="112"/>
        <v>0.0225953120587403</v>
      </c>
      <c r="GA12" s="1082">
        <f t="shared" ref="GA12:GB12" si="113">GA11-GA13</f>
        <v>-0.0567852257181942</v>
      </c>
      <c r="GB12" s="1082">
        <f t="shared" si="113"/>
        <v>-0.0414469914040115</v>
      </c>
      <c r="GC12" s="1085">
        <f t="shared" ref="GC12:GI12" si="114">GC11-GC13</f>
        <v>-0.000601639016589994</v>
      </c>
      <c r="GD12" s="1086">
        <f t="shared" si="114"/>
        <v>-0.094744469870328</v>
      </c>
      <c r="GE12" s="1087">
        <f t="shared" si="114"/>
        <v>-0.0698663101604279</v>
      </c>
      <c r="GF12" s="1087">
        <f t="shared" si="114"/>
        <v>-0.0814770395633798</v>
      </c>
      <c r="GG12" s="1087">
        <f t="shared" si="114"/>
        <v>-0.0640997229916898</v>
      </c>
      <c r="GH12" s="1082">
        <f t="shared" si="114"/>
        <v>-0.0555869669381888</v>
      </c>
      <c r="GI12" s="1082">
        <f t="shared" si="114"/>
        <v>-0.0101897983392646</v>
      </c>
      <c r="GJ12" s="1082">
        <f t="shared" ref="GJ12" si="115">GJ11-GJ13</f>
        <v>-0.0245762165646149</v>
      </c>
      <c r="GK12" s="1085">
        <f>GK218</f>
        <v>-0.0513580921858798</v>
      </c>
      <c r="GL12" s="1082">
        <f>GL11-GL13</f>
        <v>0.0183471074380165</v>
      </c>
      <c r="GM12" s="1087">
        <f t="shared" ref="GM12:GN12" si="116">GM11-GM13</f>
        <v>0.0766310160427807</v>
      </c>
      <c r="GN12" s="1087">
        <f t="shared" si="116"/>
        <v>0.0581159364068907</v>
      </c>
      <c r="GO12" s="1087">
        <f t="shared" ref="GO12:GR12" si="117">GO11-GO13</f>
        <v>0.247340720221607</v>
      </c>
      <c r="GP12" s="1082">
        <f t="shared" si="117"/>
        <v>0.0276695652173913</v>
      </c>
      <c r="GQ12" s="1082">
        <f t="shared" si="117"/>
        <v>0.0259533898305084</v>
      </c>
      <c r="GR12" s="1082">
        <f t="shared" si="117"/>
        <v>0.0346402677077524</v>
      </c>
      <c r="GS12" s="1085">
        <f>GS218</f>
        <v>0.0182392699064566</v>
      </c>
      <c r="GT12" s="1082">
        <f>GT11-GT13</f>
        <v>0.01</v>
      </c>
      <c r="GU12" s="1087">
        <f t="shared" ref="GU12:GW12" si="118">GU11-GU13</f>
        <v>-0.0208108108108108</v>
      </c>
      <c r="GV12" s="1087">
        <f t="shared" si="118"/>
        <v>-0.00654571843251086</v>
      </c>
      <c r="GW12" s="1087">
        <f t="shared" si="118"/>
        <v>-0.056530612244898</v>
      </c>
      <c r="GX12" s="1082"/>
      <c r="GY12" s="1087">
        <f t="shared" ref="GY12:HC12" si="119">GY11-GY13</f>
        <v>-0.0598837691988346</v>
      </c>
      <c r="GZ12" s="1082">
        <f t="shared" si="119"/>
        <v>-0.0583794918745691</v>
      </c>
      <c r="HA12" s="1088">
        <f t="shared" si="119"/>
        <v>-0.0294317890964925</v>
      </c>
      <c r="HB12" s="1082">
        <f t="shared" si="119"/>
        <v>0.309655737704918</v>
      </c>
      <c r="HC12" s="1082">
        <f t="shared" si="119"/>
        <v>-0.0386868686868687</v>
      </c>
      <c r="HD12" s="1087">
        <f t="shared" ref="HD12:HE12" si="120">HD11-HD13</f>
        <v>0.123483026123825</v>
      </c>
      <c r="HE12" s="1087">
        <f t="shared" si="120"/>
        <v>-0.00485210171250645</v>
      </c>
      <c r="HF12" s="1082"/>
      <c r="HG12" s="1087">
        <f t="shared" ref="HG12:HK12" si="121">HG11-HG13</f>
        <v>0.0204507512520868</v>
      </c>
      <c r="HH12" s="1082">
        <f t="shared" si="121"/>
        <v>-0.0748406289842768</v>
      </c>
      <c r="HI12" s="1088">
        <f t="shared" si="121"/>
        <v>-0.0161705260339981</v>
      </c>
      <c r="HJ12" s="1082">
        <f t="shared" si="121"/>
        <v>0.0430679933665008</v>
      </c>
      <c r="HK12" s="1082">
        <f t="shared" si="121"/>
        <v>0.21787284610814</v>
      </c>
      <c r="HL12" s="1082"/>
      <c r="HM12" s="1087">
        <f t="shared" ref="HM12" si="122">HM11-HM13</f>
        <v>0.139792423456149</v>
      </c>
      <c r="HN12" s="1082"/>
      <c r="HO12" s="1087">
        <f t="shared" ref="HO12:HS12" si="123">HO11-HO13</f>
        <v>0.0550751252086812</v>
      </c>
      <c r="HP12" s="1082">
        <f t="shared" si="123"/>
        <v>0.0584458398744113</v>
      </c>
      <c r="HQ12" s="1088">
        <f t="shared" si="123"/>
        <v>0.162974166778209</v>
      </c>
      <c r="HR12" s="1082">
        <f t="shared" si="123"/>
        <v>0.0012335958005249</v>
      </c>
      <c r="HS12" s="1082">
        <f t="shared" si="123"/>
        <v>0.199185977421272</v>
      </c>
      <c r="HT12" s="1082"/>
      <c r="HU12" s="1087">
        <f t="shared" ref="HU12" si="124">HU11-HU13</f>
        <v>0.063466528282304</v>
      </c>
      <c r="HV12" s="1082"/>
      <c r="HW12" s="1087">
        <f t="shared" ref="HW12:IA12" si="125">HW11-HW13</f>
        <v>-0.116293823038397</v>
      </c>
      <c r="HX12" s="1082">
        <f t="shared" si="125"/>
        <v>-0.14484219269103</v>
      </c>
      <c r="HY12" s="1088">
        <f t="shared" si="125"/>
        <v>0.0427626823718378</v>
      </c>
      <c r="HZ12" s="1082">
        <f t="shared" si="125"/>
        <v>0.0433258173618941</v>
      </c>
      <c r="IA12" s="1082">
        <f t="shared" si="125"/>
        <v>0.268894830659537</v>
      </c>
      <c r="IB12" s="1082"/>
      <c r="IC12" s="1087">
        <f t="shared" ref="IC12" si="126">IC11-IC13</f>
        <v>0.0474364296834457</v>
      </c>
      <c r="ID12" s="1082"/>
      <c r="IE12" s="1087"/>
      <c r="IF12" s="1082"/>
      <c r="IG12" s="1085"/>
      <c r="IH12" s="1082">
        <f>IH11-IH13</f>
        <v>-0.0728152492668622</v>
      </c>
      <c r="II12" s="1082">
        <f>II11-II13</f>
        <v>-0.0509380234505863</v>
      </c>
      <c r="IJ12" s="1082"/>
      <c r="IK12" s="1087">
        <f t="shared" ref="IK12:IQ12" si="127">IK11-IK13</f>
        <v>-0.109735720375106</v>
      </c>
      <c r="IL12" s="1082"/>
      <c r="IM12" s="1087">
        <f t="shared" si="127"/>
        <v>-0.07</v>
      </c>
      <c r="IN12" s="1082"/>
      <c r="IO12" s="1088">
        <f t="shared" si="127"/>
        <v>-0.04</v>
      </c>
      <c r="IP12" s="1082">
        <f t="shared" si="127"/>
        <v>-0.0734442903374941</v>
      </c>
      <c r="IQ12" s="1082">
        <f t="shared" si="127"/>
        <v>-0.00577416595380664</v>
      </c>
      <c r="IR12" s="1082"/>
      <c r="IS12" s="1082"/>
      <c r="IT12" s="1082"/>
      <c r="IU12" s="1082"/>
      <c r="IV12" s="1082"/>
      <c r="IW12" s="1082"/>
      <c r="IX12" s="1082"/>
      <c r="IY12" s="1049"/>
      <c r="IZ12" s="1082"/>
      <c r="JA12" s="891" t="s">
        <v>504</v>
      </c>
      <c r="JB12" s="765">
        <f>(EK10*(1+ES13)*(1+FA13))/EK10-1</f>
        <v>0.265088</v>
      </c>
      <c r="JC12" s="765">
        <f>(EM10*(1+EU13)*(1+FC13))/EM10-1</f>
        <v>0.2915</v>
      </c>
      <c r="JD12" s="765">
        <f>(EP10*(1+EX13)*(1+FF13))/EP10-1</f>
        <v>0.38624</v>
      </c>
      <c r="JE12" s="765">
        <f>(EQ10*(1+EY13)*(1+FG13))/EQ10-1</f>
        <v>0.324950688935282</v>
      </c>
      <c r="JF12" s="765">
        <f>(EJ10*(1+ER13)*(1+EZ13))/EJ10-1</f>
        <v>0.289414362492134</v>
      </c>
      <c r="JG12" s="765">
        <f>(ES10*(1+FA13)*(1+FI13))/ES10-1</f>
        <v>0.30582</v>
      </c>
      <c r="JH12" s="765">
        <f>(EL10*(1+ET13)*(1+FB13))/EL10-1</f>
        <v>0.280720894187706</v>
      </c>
      <c r="JI12" s="765">
        <f>(EU10*(1+FC13)*(1+FK13))/EU10-1</f>
        <v>0.27957402398849</v>
      </c>
      <c r="JJ12" s="765">
        <f>(EN10*(1+EV13)*(1+FD13))/EN10-1</f>
        <v>0.277920947293359</v>
      </c>
      <c r="JK12" s="765">
        <f t="shared" ref="JK12:JP12" si="128">(EX10*(1+FF13)*(1+FN13))/EX10-1</f>
        <v>0.3908</v>
      </c>
      <c r="JL12" s="765">
        <f t="shared" si="128"/>
        <v>0.303825961133945</v>
      </c>
      <c r="JM12" s="765">
        <f t="shared" si="128"/>
        <v>0.3431</v>
      </c>
      <c r="JN12" s="765">
        <f t="shared" si="128"/>
        <v>0.349072463768116</v>
      </c>
      <c r="JO12" s="765">
        <f t="shared" si="128"/>
        <v>0.342</v>
      </c>
      <c r="JP12" s="765">
        <f t="shared" si="128"/>
        <v>0.428836913569781</v>
      </c>
      <c r="JQ12" s="1035"/>
      <c r="JR12" s="1090"/>
      <c r="JS12" s="1082"/>
      <c r="JT12" s="1082"/>
      <c r="JU12" s="1082"/>
      <c r="JV12" s="1082"/>
      <c r="JW12" s="1082"/>
      <c r="JX12" s="1082"/>
      <c r="JY12" s="1082"/>
      <c r="JZ12" s="1082"/>
    </row>
    <row r="13" spans="1:286">
      <c r="A13" s="967" t="s">
        <v>65</v>
      </c>
      <c r="AX13" s="1059"/>
      <c r="BE13" s="1060"/>
      <c r="BN13" s="1059"/>
      <c r="BU13" s="1060"/>
      <c r="BV13" s="1059"/>
      <c r="CC13" s="1060"/>
      <c r="CD13" s="1059"/>
      <c r="CJ13" s="1061"/>
      <c r="CK13" s="1060"/>
      <c r="CL13" s="1059"/>
      <c r="CS13" s="1060"/>
      <c r="CT13" s="967"/>
      <c r="CU13" s="967"/>
      <c r="CV13" s="967"/>
      <c r="CW13" s="967"/>
      <c r="CX13" s="967"/>
      <c r="CY13" s="967"/>
      <c r="CZ13" s="967"/>
      <c r="DA13" s="967"/>
      <c r="DB13" s="1080"/>
      <c r="DC13" s="1080"/>
      <c r="DD13" s="1080"/>
      <c r="DE13" s="1080"/>
      <c r="DF13" s="1080"/>
      <c r="DG13" s="1080"/>
      <c r="DH13" s="1080"/>
      <c r="DI13" s="1081"/>
      <c r="DJ13" s="1080">
        <v>0.04</v>
      </c>
      <c r="DK13" s="1080">
        <v>0.07</v>
      </c>
      <c r="DL13" s="1080">
        <f>(DJ13*DB10+DK13*DC10)/DD10</f>
        <v>0.0562068965517241</v>
      </c>
      <c r="DM13" s="1080">
        <v>0.04</v>
      </c>
      <c r="DN13" s="1080">
        <f>(DJ13*DB10+DK13*DC10+DM13*DE10)/DF10</f>
        <v>0.0499607535321821</v>
      </c>
      <c r="DO13" s="1080">
        <v>0.14</v>
      </c>
      <c r="DP13" s="1080">
        <f>(DM13*DE10+DO13*DG10)/DH10</f>
        <v>0.088586387434555</v>
      </c>
      <c r="DQ13" s="1081">
        <f>'Profit and Loss'!P13</f>
        <v>0.07</v>
      </c>
      <c r="DR13" s="1082">
        <v>0.16</v>
      </c>
      <c r="DS13" s="1082">
        <v>0.167</v>
      </c>
      <c r="DT13" s="1083">
        <v>0.16</v>
      </c>
      <c r="DU13" s="1082">
        <v>0.155</v>
      </c>
      <c r="DV13" s="1083">
        <v>0.161</v>
      </c>
      <c r="DW13" s="1083">
        <v>0.226</v>
      </c>
      <c r="DX13" s="1083">
        <f>DX11-DX12</f>
        <v>0.189561214495593</v>
      </c>
      <c r="DY13" s="1084">
        <f>DY11-DY12</f>
        <v>0.178</v>
      </c>
      <c r="DZ13" s="1083">
        <v>0.22</v>
      </c>
      <c r="EA13" s="1083">
        <v>0.2</v>
      </c>
      <c r="EB13" s="1083">
        <v>0.21</v>
      </c>
      <c r="EC13" s="1083">
        <v>0.21</v>
      </c>
      <c r="ED13" s="1083">
        <v>0.21</v>
      </c>
      <c r="EE13" s="1083">
        <v>0.18</v>
      </c>
      <c r="EF13" s="1083">
        <f>(-EB13*DT10+EG13*DY10)/DX10</f>
        <v>0.192010542168675</v>
      </c>
      <c r="EG13" s="1084">
        <v>0.2</v>
      </c>
      <c r="EH13" s="1083">
        <v>0.16</v>
      </c>
      <c r="EI13" s="1083">
        <v>0.161</v>
      </c>
      <c r="EJ13" s="1083">
        <v>0.162</v>
      </c>
      <c r="EK13" s="1083">
        <v>0.146</v>
      </c>
      <c r="EL13" s="1083">
        <v>0.156</v>
      </c>
      <c r="EM13" s="1082">
        <v>0.092</v>
      </c>
      <c r="EN13" s="1083">
        <f>+(EK13*EC10+EM13*EE10)/EF10</f>
        <v>0.118630618892508</v>
      </c>
      <c r="EO13" s="1093">
        <f>(EH13*DZ10+EI13*EA10+EK13*EC10+EM13*EE10)/EG10</f>
        <v>0.137507697815968</v>
      </c>
      <c r="EP13" s="1083">
        <v>0.065</v>
      </c>
      <c r="EQ13" s="1083">
        <v>0.053</v>
      </c>
      <c r="ER13" s="1094">
        <v>0.058</v>
      </c>
      <c r="ES13" s="1083">
        <v>0.056</v>
      </c>
      <c r="ET13" s="1094">
        <f>(EH10*EP13+EI10*EQ13+EK10*ES13)/EL10</f>
        <v>0.0574753111200321</v>
      </c>
      <c r="EU13" s="1083">
        <v>0.148</v>
      </c>
      <c r="EV13" s="1094">
        <f>(EK10*ES13+EM10*EU13)/EN10</f>
        <v>0.100438116100767</v>
      </c>
      <c r="EW13" s="1084">
        <f>(EH10*EP13+EI10*EQ13+EK10*ES13+EM10*EU13)/EO10</f>
        <v>0.0811464571597984</v>
      </c>
      <c r="EX13" s="1083">
        <v>0.216</v>
      </c>
      <c r="EY13" s="1083">
        <v>0.221</v>
      </c>
      <c r="EZ13" s="1083">
        <f>(EP10*EX13+EQ10*EY13)/ER10</f>
        <v>0.218728130899937</v>
      </c>
      <c r="FA13" s="1095">
        <v>0.198</v>
      </c>
      <c r="FB13" s="1083">
        <f>(EP10*EX13+EQ10*EY13+ES10*FA13)/ET10</f>
        <v>0.211111863057325</v>
      </c>
      <c r="FC13" s="1096">
        <v>0.125</v>
      </c>
      <c r="FD13" s="1083">
        <f>(ES10*FA13+EU10*FC13)/EV10</f>
        <v>0.161283791060851</v>
      </c>
      <c r="FE13" s="1084">
        <f>(EP10*EX13+EQ10*EY13+ES10*FA13+EU10*FC13)/EW10</f>
        <v>0.18777219965177</v>
      </c>
      <c r="FF13" s="1083">
        <v>0.14</v>
      </c>
      <c r="FG13" s="1083">
        <f>(EZ10*FH13-EX10*FF13)/EY10</f>
        <v>0.0851356993736952</v>
      </c>
      <c r="FH13" s="1083">
        <v>0.11</v>
      </c>
      <c r="FI13" s="1083">
        <v>0.09</v>
      </c>
      <c r="FJ13" s="1083">
        <v>0.1</v>
      </c>
      <c r="FK13" s="1083">
        <f>(FE10*FM13-FB10*FJ13)/FC10</f>
        <v>0.137399132434213</v>
      </c>
      <c r="FL13" s="1083">
        <f>(FE10*FM13-EZ10*FH13)/FD10</f>
        <v>0.11</v>
      </c>
      <c r="FM13" s="1084">
        <v>0.11</v>
      </c>
      <c r="FN13" s="1083">
        <v>0.22</v>
      </c>
      <c r="FO13" s="1083">
        <f>(FH10*FP13-FF10*FN13)/FG10</f>
        <v>0.201532639545885</v>
      </c>
      <c r="FP13" s="1083">
        <v>0.21</v>
      </c>
      <c r="FQ13" s="1083">
        <f>(FJ10*FR13-FH10*FP13)/FI10</f>
        <v>0.23768115942029</v>
      </c>
      <c r="FR13" s="1083">
        <v>0.22</v>
      </c>
      <c r="FS13" s="1083">
        <f>(FM10*FU13-FJ10*FR13)/FK10</f>
        <v>0.256231759656652</v>
      </c>
      <c r="FT13" s="1083">
        <f>(FI10*FQ13+FK10*FS13)/FL10</f>
        <v>0.247205817540767</v>
      </c>
      <c r="FU13" s="1083">
        <v>0.23</v>
      </c>
      <c r="FV13" s="1086">
        <v>0.18</v>
      </c>
      <c r="FW13" s="1087">
        <v>0.21</v>
      </c>
      <c r="FX13" s="1083">
        <f>(FN10*FV13+FO10*FW13)/FP10</f>
        <v>0.195970149253731</v>
      </c>
      <c r="FY13" s="1083">
        <f>(FR10*FZ13-FP10*FX13)/FQ10</f>
        <v>0.0900000000000002</v>
      </c>
      <c r="FZ13" s="1099">
        <v>0.156167749223383</v>
      </c>
      <c r="GA13" s="1099">
        <v>0.21</v>
      </c>
      <c r="GB13" s="1083">
        <f>(FQ10*FY13+FS10*GA13)/FT10</f>
        <v>0.152836676217765</v>
      </c>
      <c r="GC13" s="1084">
        <f>(FN10*FV13+FO10*FW13+FQ10*FY13+FS10*GA13)/FU10</f>
        <v>0.17189886068359</v>
      </c>
      <c r="GD13" s="1086">
        <v>0.11</v>
      </c>
      <c r="GE13" s="1087">
        <v>0.12</v>
      </c>
      <c r="GF13" s="1083">
        <f>(FV10*GD13+FW10*GE13)/FX10</f>
        <v>0.115321001088139</v>
      </c>
      <c r="GG13" s="1083">
        <v>0.24</v>
      </c>
      <c r="GH13" s="1083">
        <f>(FX10*GF13+FY10*GG13)/FZ10</f>
        <v>0.157647340680402</v>
      </c>
      <c r="GI13" s="1083">
        <v>0.13</v>
      </c>
      <c r="GJ13" s="1083">
        <f>(FY10*GG13+GA10*GI13)/GB10</f>
        <v>0.180232033515952</v>
      </c>
      <c r="GK13" s="1084">
        <f>((GJ13*$GB$10)+(GF13*$FX$10))/$GC$10</f>
        <v>0.149692832764505</v>
      </c>
      <c r="GL13" s="1083">
        <v>0.18</v>
      </c>
      <c r="GM13" s="1087">
        <v>0.16</v>
      </c>
      <c r="GN13" s="1083">
        <f>(GD10*GL13+GE10*GM13)/GF10</f>
        <v>0.169172984148863</v>
      </c>
      <c r="GO13" s="1083">
        <v>0.11</v>
      </c>
      <c r="GP13" s="1083">
        <f>(GF10*GN13+GG10*GO13)/GH10</f>
        <v>0.147330434782609</v>
      </c>
      <c r="GQ13" s="1083">
        <v>0.25</v>
      </c>
      <c r="GR13" s="1083">
        <f>(GG10*GO13+GI10*GQ13)/GJ10</f>
        <v>0.183708867819297</v>
      </c>
      <c r="GS13" s="1084">
        <f>((GR13*$GB$10)+(GN13*$FX$10))/$GC$10</f>
        <v>0.176870057020767</v>
      </c>
      <c r="GT13" s="1083">
        <v>-0.01</v>
      </c>
      <c r="GU13" s="1087">
        <v>0.01</v>
      </c>
      <c r="GV13" s="1083">
        <f>(GL10*GT13+GM10*GU13)/GN10</f>
        <v>0.000740203193033381</v>
      </c>
      <c r="GW13" s="1083">
        <v>0.13</v>
      </c>
      <c r="GX13" s="1083"/>
      <c r="GY13" s="1083">
        <v>0.14</v>
      </c>
      <c r="GZ13" s="1083">
        <f>(GO10*GW13+GQ10*GY13)/GR10</f>
        <v>0.135513847562371</v>
      </c>
      <c r="HA13" s="1084">
        <v>0.07</v>
      </c>
      <c r="HB13" s="1083">
        <v>-0.074</v>
      </c>
      <c r="HC13" s="1083">
        <v>0.17</v>
      </c>
      <c r="HD13" s="1083">
        <f>(GT10*HB13+GU10*HC13)/GV10</f>
        <v>0.056370802919708</v>
      </c>
      <c r="HE13" s="1083">
        <v>0.05</v>
      </c>
      <c r="HF13" s="1083"/>
      <c r="HG13" s="1083">
        <v>0</v>
      </c>
      <c r="HH13" s="1083">
        <f>(GW10*HE13+GY10*HG13)/GZ10</f>
        <v>0.0223544411389715</v>
      </c>
      <c r="HI13" s="1084">
        <v>0.11</v>
      </c>
      <c r="HJ13" s="1083">
        <v>0.01</v>
      </c>
      <c r="HK13" s="1083">
        <v>0.04</v>
      </c>
      <c r="HL13" s="1083"/>
      <c r="HM13" s="1083">
        <v>0.06</v>
      </c>
      <c r="HN13" s="1083"/>
      <c r="HO13" s="1083">
        <v>-0.01</v>
      </c>
      <c r="HP13" s="1083">
        <f>(HE10*HM13+HG10*HO13)/HH10</f>
        <v>0.0216169544740973</v>
      </c>
      <c r="HQ13" s="1084">
        <v>0.02</v>
      </c>
      <c r="HR13" s="1083">
        <v>-0.07</v>
      </c>
      <c r="HS13" s="1083">
        <v>0.19</v>
      </c>
      <c r="HT13" s="1083"/>
      <c r="HU13" s="1083">
        <v>0.1</v>
      </c>
      <c r="HV13" s="1083"/>
      <c r="HW13" s="1083">
        <v>0.09</v>
      </c>
      <c r="HX13" s="1083">
        <f>(HM10*HU13+HO10*HW13)/HP10</f>
        <v>0.0948006644518272</v>
      </c>
      <c r="HY13" s="1084">
        <v>0.12</v>
      </c>
      <c r="HZ13" s="1083">
        <v>0.11</v>
      </c>
      <c r="IA13" s="1083">
        <v>0.15</v>
      </c>
      <c r="IB13" s="1083"/>
      <c r="IC13" s="1083">
        <v>0.17</v>
      </c>
      <c r="ID13" s="1083"/>
      <c r="IE13" s="1083"/>
      <c r="IF13" s="1083"/>
      <c r="IG13" s="1084"/>
      <c r="IH13" s="1083">
        <v>0.13</v>
      </c>
      <c r="II13" s="1083">
        <v>0.03</v>
      </c>
      <c r="IJ13" s="1083"/>
      <c r="IK13" s="1083">
        <v>0.14</v>
      </c>
      <c r="IL13" s="1083"/>
      <c r="IM13" s="1083">
        <v>0.19</v>
      </c>
      <c r="IN13" s="1083"/>
      <c r="IO13" s="1084">
        <v>0.14</v>
      </c>
      <c r="IP13" s="1083">
        <v>0.22</v>
      </c>
      <c r="IQ13" s="1083">
        <v>0.25</v>
      </c>
      <c r="IR13" s="1083"/>
      <c r="IS13" s="1083"/>
      <c r="IT13" s="1083"/>
      <c r="IU13" s="1083"/>
      <c r="IV13" s="1083"/>
      <c r="IW13" s="1083"/>
      <c r="IX13" s="1097"/>
      <c r="IY13" s="1049"/>
      <c r="IZ13" s="1082"/>
      <c r="JA13" s="891" t="s">
        <v>505</v>
      </c>
      <c r="JB13" s="765">
        <f>(EC10*(1+EK13)*(1+ES13)*(1+FA13))/EC10-1</f>
        <v>0.449790848</v>
      </c>
      <c r="JC13" s="765">
        <f>(EE10*(1+EM13)*(1+EU13)*(1+FC13))/EE10-1</f>
        <v>0.410318</v>
      </c>
      <c r="JD13" s="765">
        <f>(EH10*(1+EP13)*(1+EX13)*(1+FF13))/EH10-1</f>
        <v>0.4763456</v>
      </c>
      <c r="JE13" s="765">
        <f>(EI10*(1+EQ13)*(1+EY13)*(1+FG13))/EI10-1</f>
        <v>0.395173075448852</v>
      </c>
      <c r="JF13" s="765">
        <f>(EB10*(1+EJ13)*(1+ER13)*(1+EZ13))/EB10-1</f>
        <v>0.498299489215859</v>
      </c>
      <c r="JG13" s="765">
        <f>(EK10*(1+ES13)*(1+FA13)*(1+FI13))/EK10-1</f>
        <v>0.37894592</v>
      </c>
      <c r="JH13" s="765">
        <f>(ED10*(1+EL13)*(1+ET13)*(1+FB13))/ED10-1</f>
        <v>0.480513353680988</v>
      </c>
      <c r="JI13" s="765">
        <f>(EM10*(1+EU13)*(1+FC13)*(1+FK13))/EM10-1</f>
        <v>0.468950979538786</v>
      </c>
      <c r="JJ13" s="765">
        <f>(EF10*(1+EN13)*(1+EV13)*(1+FD13))/EF10-1</f>
        <v>0.429521500166471</v>
      </c>
      <c r="JK13" s="765">
        <f t="shared" ref="JK13:JP13" si="129">(EP10*(1+EX13)*(1+FF13)*(1+FN13))/EP10-1</f>
        <v>0.6912128</v>
      </c>
      <c r="JL13" s="765">
        <f t="shared" si="129"/>
        <v>0.591971498544547</v>
      </c>
      <c r="JM13" s="765">
        <f t="shared" si="129"/>
        <v>0.636873752611706</v>
      </c>
      <c r="JN13" s="765">
        <f t="shared" si="129"/>
        <v>0.616188811594203</v>
      </c>
      <c r="JO13" s="765">
        <f t="shared" si="129"/>
        <v>0.62531212022293</v>
      </c>
      <c r="JP13" s="765">
        <f t="shared" si="129"/>
        <v>0.607441527766004</v>
      </c>
      <c r="JQ13" s="1035"/>
      <c r="JR13" s="1078"/>
      <c r="JS13" s="1079"/>
      <c r="JT13" s="1079"/>
      <c r="JU13" s="1079"/>
      <c r="JV13" s="1079"/>
      <c r="JW13" s="1079"/>
      <c r="JX13" s="1079"/>
      <c r="JY13" s="1079"/>
      <c r="JZ13" s="1079"/>
    </row>
    <row r="14" spans="1:286">
      <c r="A14" s="1100" t="s">
        <v>506</v>
      </c>
      <c r="AX14" s="1059"/>
      <c r="BE14" s="1060"/>
      <c r="BN14" s="1059"/>
      <c r="BU14" s="1060"/>
      <c r="BV14" s="1059"/>
      <c r="CC14" s="1060"/>
      <c r="CD14" s="1059"/>
      <c r="CJ14" s="1061"/>
      <c r="CK14" s="1060"/>
      <c r="CL14" s="1059"/>
      <c r="CS14" s="1060"/>
      <c r="CT14" s="967"/>
      <c r="CU14" s="967"/>
      <c r="CV14" s="967"/>
      <c r="CW14" s="967"/>
      <c r="CX14" s="967"/>
      <c r="CY14" s="967"/>
      <c r="CZ14" s="967"/>
      <c r="DA14" s="967"/>
      <c r="DB14" s="1080"/>
      <c r="DC14" s="1080"/>
      <c r="DD14" s="1080"/>
      <c r="DE14" s="1080"/>
      <c r="DF14" s="1080"/>
      <c r="DG14" s="1080"/>
      <c r="DH14" s="1080"/>
      <c r="DI14" s="1081"/>
      <c r="DJ14" s="1080"/>
      <c r="DK14" s="1080"/>
      <c r="DL14" s="1080"/>
      <c r="DM14" s="1080"/>
      <c r="DN14" s="1080"/>
      <c r="DO14" s="1080"/>
      <c r="DP14" s="1080"/>
      <c r="DQ14" s="1081"/>
      <c r="DR14" s="1082">
        <f t="shared" ref="DR14:FU14" si="130">DR13-DR16-DR15</f>
        <v>0.09</v>
      </c>
      <c r="DS14" s="1082">
        <f t="shared" si="130"/>
        <v>0.0787695473251029</v>
      </c>
      <c r="DT14" s="1083">
        <f t="shared" si="130"/>
        <v>0.08</v>
      </c>
      <c r="DU14" s="1082">
        <f t="shared" si="130"/>
        <v>0.0480916030534351</v>
      </c>
      <c r="DV14" s="1083">
        <f t="shared" si="130"/>
        <v>0.071</v>
      </c>
      <c r="DW14" s="1083">
        <f t="shared" si="130"/>
        <v>0.076</v>
      </c>
      <c r="DX14" s="1083">
        <f t="shared" si="130"/>
        <v>0.0536356513222331</v>
      </c>
      <c r="DY14" s="1084">
        <f t="shared" si="130"/>
        <v>0.068</v>
      </c>
      <c r="DZ14" s="1083">
        <f t="shared" si="130"/>
        <v>0.05</v>
      </c>
      <c r="EA14" s="1083">
        <f t="shared" si="130"/>
        <v>0.0652491694352159</v>
      </c>
      <c r="EB14" s="1083">
        <f t="shared" si="130"/>
        <v>0.06</v>
      </c>
      <c r="EC14" s="1083">
        <f t="shared" si="130"/>
        <v>0.06</v>
      </c>
      <c r="ED14" s="1083">
        <f t="shared" si="130"/>
        <v>0.06</v>
      </c>
      <c r="EE14" s="1083">
        <f t="shared" si="130"/>
        <v>0.07</v>
      </c>
      <c r="EF14" s="1083">
        <f t="shared" si="130"/>
        <v>0.06</v>
      </c>
      <c r="EG14" s="1084">
        <f t="shared" si="130"/>
        <v>0.06</v>
      </c>
      <c r="EH14" s="1083">
        <f t="shared" si="130"/>
        <v>0.07</v>
      </c>
      <c r="EI14" s="1083">
        <f t="shared" si="130"/>
        <v>0.081</v>
      </c>
      <c r="EJ14" s="1083">
        <f t="shared" si="130"/>
        <v>0.072</v>
      </c>
      <c r="EK14" s="1083">
        <f t="shared" si="130"/>
        <v>0.056</v>
      </c>
      <c r="EL14" s="1083">
        <f t="shared" si="130"/>
        <v>0.066</v>
      </c>
      <c r="EM14" s="1082">
        <f t="shared" si="130"/>
        <v>0.082</v>
      </c>
      <c r="EN14" s="1083">
        <f t="shared" si="130"/>
        <v>0.0650214983713355</v>
      </c>
      <c r="EO14" s="1093">
        <f t="shared" si="130"/>
        <v>0.0675076978159685</v>
      </c>
      <c r="EP14" s="1083">
        <f t="shared" si="130"/>
        <v>0.0431470501037652</v>
      </c>
      <c r="EQ14" s="1083">
        <f t="shared" si="130"/>
        <v>0.0359943670323154</v>
      </c>
      <c r="ER14" s="1094">
        <f t="shared" si="130"/>
        <v>0.0333364957011562</v>
      </c>
      <c r="ES14" s="1083">
        <f t="shared" si="130"/>
        <v>0.0592997331752149</v>
      </c>
      <c r="ET14" s="1094">
        <f t="shared" si="130"/>
        <v>0.0460907869575655</v>
      </c>
      <c r="EU14" s="1083">
        <f t="shared" si="130"/>
        <v>0.0919896254973973</v>
      </c>
      <c r="EV14" s="1094">
        <f t="shared" si="130"/>
        <v>0.0840710831358748</v>
      </c>
      <c r="EW14" s="1084">
        <f t="shared" si="130"/>
        <v>0.0611672101986362</v>
      </c>
      <c r="EX14" s="1083">
        <f t="shared" si="130"/>
        <v>0.0837655252466628</v>
      </c>
      <c r="EY14" s="1083">
        <f t="shared" si="130"/>
        <v>0.0781967498549042</v>
      </c>
      <c r="EZ14" s="1083">
        <f t="shared" si="130"/>
        <v>0.0815720078587298</v>
      </c>
      <c r="FA14" s="1095">
        <f t="shared" si="130"/>
        <v>0.0654521183981428</v>
      </c>
      <c r="FB14" s="1083">
        <f t="shared" si="130"/>
        <v>0.0745245154078762</v>
      </c>
      <c r="FC14" s="1096">
        <f t="shared" si="130"/>
        <v>-0.00997968659315147</v>
      </c>
      <c r="FD14" s="1083">
        <f t="shared" si="130"/>
        <v>0.0712837910608508</v>
      </c>
      <c r="FE14" s="1084">
        <f t="shared" si="130"/>
        <v>0.045537724898433</v>
      </c>
      <c r="FF14" s="1083">
        <f t="shared" si="130"/>
        <v>0.038145277441474</v>
      </c>
      <c r="FG14" s="1083">
        <f t="shared" si="130"/>
        <v>0.0410718795809361</v>
      </c>
      <c r="FH14" s="1083">
        <f t="shared" si="130"/>
        <v>0.0370407288243575</v>
      </c>
      <c r="FI14" s="1083">
        <f t="shared" si="130"/>
        <v>0.0354277493888459</v>
      </c>
      <c r="FJ14" s="1083">
        <f t="shared" si="130"/>
        <v>0.0313998608468724</v>
      </c>
      <c r="FK14" s="1083">
        <f t="shared" si="130"/>
        <v>0.0470608252833994</v>
      </c>
      <c r="FL14" s="1083">
        <f t="shared" si="130"/>
        <v>0.0307023722195998</v>
      </c>
      <c r="FM14" s="1084">
        <f t="shared" si="130"/>
        <v>0.0336089580811055</v>
      </c>
      <c r="FN14" s="1083">
        <f t="shared" si="130"/>
        <v>0.0201011611737148</v>
      </c>
      <c r="FO14" s="1083">
        <f t="shared" si="130"/>
        <v>-0.00385916545882246</v>
      </c>
      <c r="FP14" s="1083">
        <f t="shared" si="130"/>
        <v>0.00712674250025588</v>
      </c>
      <c r="FQ14" s="1083">
        <f t="shared" si="130"/>
        <v>0.0265743661722754</v>
      </c>
      <c r="FR14" s="1083">
        <f t="shared" si="130"/>
        <v>0.014152323826797</v>
      </c>
      <c r="FS14" s="1083">
        <f t="shared" si="130"/>
        <v>0.0435084741420925</v>
      </c>
      <c r="FT14" s="1083">
        <f t="shared" si="130"/>
        <v>0.0352690491977655</v>
      </c>
      <c r="FU14" s="1083">
        <f t="shared" si="130"/>
        <v>0.0222546491329612</v>
      </c>
      <c r="FV14" s="1086">
        <f t="shared" ref="FV14:GC14" si="131">FV13-FV16-FV15</f>
        <v>0.0240089983002892</v>
      </c>
      <c r="FW14" s="1087">
        <f t="shared" si="131"/>
        <v>0.0180112054305488</v>
      </c>
      <c r="FX14" s="1087">
        <f t="shared" si="131"/>
        <v>0.0208161433895319</v>
      </c>
      <c r="FY14" s="1083">
        <f t="shared" si="131"/>
        <v>-0.00799337860922093</v>
      </c>
      <c r="FZ14" s="1083">
        <f t="shared" si="131"/>
        <v>0.00999528367240643</v>
      </c>
      <c r="GA14" s="1083">
        <f t="shared" si="131"/>
        <v>0.0158451550169097</v>
      </c>
      <c r="GB14" s="1083">
        <f t="shared" si="131"/>
        <v>0.0044894065488747</v>
      </c>
      <c r="GC14" s="1084">
        <f t="shared" si="131"/>
        <v>0.0117047603675221</v>
      </c>
      <c r="GD14" s="1086">
        <f t="shared" ref="GD14:GI14" si="132">GD13-GD16-GD15</f>
        <v>-0.0096069255120147</v>
      </c>
      <c r="GE14" s="1087">
        <f t="shared" si="132"/>
        <v>0.00297110876620807</v>
      </c>
      <c r="GF14" s="1087">
        <f t="shared" si="132"/>
        <v>-0.00291415210390705</v>
      </c>
      <c r="GG14" s="1087">
        <f t="shared" si="132"/>
        <v>-0.00593060514493021</v>
      </c>
      <c r="GH14" s="1083">
        <f t="shared" si="132"/>
        <v>-0.027704848270855</v>
      </c>
      <c r="GI14" s="1083">
        <f t="shared" si="132"/>
        <v>0.0281271773226536</v>
      </c>
      <c r="GJ14" s="1083">
        <f t="shared" ref="GJ14" si="133">GJ13-GJ16-GJ15</f>
        <v>0.0401814868883895</v>
      </c>
      <c r="GK14" s="1084">
        <f>((GJ14*$GB$10)+(GF14*$FX$10))/$GC$10</f>
        <v>0.0199059447891128</v>
      </c>
      <c r="GL14" s="1087">
        <f t="shared" ref="GL14:GN14" si="134">GL13-GL16-GL15</f>
        <v>-0.00188668841001803</v>
      </c>
      <c r="GM14" s="1087">
        <f t="shared" si="134"/>
        <v>-0.00274518677926666</v>
      </c>
      <c r="GN14" s="1087">
        <f t="shared" si="134"/>
        <v>-0.00235143718261956</v>
      </c>
      <c r="GO14" s="1087">
        <f t="shared" ref="GO14:GR14" si="135">GO13-GO16-GO15</f>
        <v>0.00733965905649369</v>
      </c>
      <c r="GP14" s="1083">
        <f t="shared" si="135"/>
        <v>-0.00994003915696026</v>
      </c>
      <c r="GQ14" s="1083">
        <f t="shared" si="135"/>
        <v>0.0598303083284793</v>
      </c>
      <c r="GR14" s="1083">
        <f t="shared" si="135"/>
        <v>0.03497556140605</v>
      </c>
      <c r="GS14" s="1084">
        <f>((GR14*$GB$10)+(GN14*$FX$10))/$GC$10</f>
        <v>0.0174140366434285</v>
      </c>
      <c r="GT14" s="1087">
        <f>GT13-GT16-GT15</f>
        <v>0.19060978408418</v>
      </c>
      <c r="GU14" s="1087">
        <f t="shared" ref="GU14:HC14" si="136">GU13-GU16-GU15</f>
        <v>-0.117236859433464</v>
      </c>
      <c r="GV14" s="1087">
        <f t="shared" si="136"/>
        <v>0.049369164575959</v>
      </c>
      <c r="GW14" s="1087">
        <f t="shared" si="136"/>
        <v>0.09603139966552</v>
      </c>
      <c r="GX14" s="1083"/>
      <c r="GY14" s="1087">
        <f t="shared" si="136"/>
        <v>0.0433205918748502</v>
      </c>
      <c r="GZ14" s="1083">
        <f t="shared" si="136"/>
        <v>0.0839249841737587</v>
      </c>
      <c r="HA14" s="1088">
        <f t="shared" si="136"/>
        <v>0.0992091016131874</v>
      </c>
      <c r="HB14" s="1087">
        <f t="shared" si="136"/>
        <v>-0.565987418427929</v>
      </c>
      <c r="HC14" s="1087">
        <f t="shared" si="136"/>
        <v>0.409019159488163</v>
      </c>
      <c r="HD14" s="1087">
        <f t="shared" ref="HD14:HE14" si="137">HD13-HD16-HD15</f>
        <v>-0.0214165077922367</v>
      </c>
      <c r="HE14" s="1087">
        <f t="shared" si="137"/>
        <v>0.0105604802924783</v>
      </c>
      <c r="HF14" s="1083"/>
      <c r="HG14" s="1087">
        <f t="shared" ref="HG14:HK14" si="138">HG13-HG16-HG15</f>
        <v>0.00985987992688043</v>
      </c>
      <c r="HH14" s="1083">
        <f t="shared" si="138"/>
        <v>0.0148252315510429</v>
      </c>
      <c r="HI14" s="1088">
        <f t="shared" si="138"/>
        <v>0.0902802401462391</v>
      </c>
      <c r="HJ14" s="1087">
        <f t="shared" si="138"/>
        <v>0.000816747745007989</v>
      </c>
      <c r="HK14" s="1087">
        <f t="shared" si="138"/>
        <v>-0.0196911396574481</v>
      </c>
      <c r="HL14" s="1083"/>
      <c r="HM14" s="1087">
        <f t="shared" ref="HM14" si="139">HM13-HM16-HM15</f>
        <v>0.0205604802924783</v>
      </c>
      <c r="HN14" s="1083"/>
      <c r="HO14" s="1087">
        <f t="shared" ref="HO14:HS14" si="140">HO13-HO16-HO15</f>
        <v>0.00971975985376087</v>
      </c>
      <c r="HP14" s="1083">
        <f t="shared" si="140"/>
        <v>0.0172898266931362</v>
      </c>
      <c r="HQ14" s="1088">
        <f t="shared" si="140"/>
        <v>0.000280240146239133</v>
      </c>
      <c r="HR14" s="1087">
        <f t="shared" si="140"/>
        <v>0.0356074009324081</v>
      </c>
      <c r="HS14" s="1087">
        <f t="shared" si="140"/>
        <v>0.125717234215056</v>
      </c>
      <c r="HT14" s="1083"/>
      <c r="HU14" s="1087">
        <f t="shared" ref="HU14" si="141">HU13-HU16-HU15</f>
        <v>0.0950700600365598</v>
      </c>
      <c r="HV14" s="1083"/>
      <c r="HW14" s="1087">
        <f t="shared" ref="HW14:IA14" si="142">HW13-HW16-HW15</f>
        <v>0.149159279561283</v>
      </c>
      <c r="HX14" s="1083">
        <f t="shared" si="142"/>
        <v>0.112349715478303</v>
      </c>
      <c r="HY14" s="1088">
        <f t="shared" si="142"/>
        <v>0.144649699817201</v>
      </c>
      <c r="HZ14" s="1087">
        <f t="shared" si="142"/>
        <v>-0.0461152883348642</v>
      </c>
      <c r="IA14" s="1087">
        <f t="shared" si="142"/>
        <v>0.177549756764976</v>
      </c>
      <c r="IB14" s="1083"/>
      <c r="IC14" s="1087">
        <f t="shared" ref="IC14" si="143">IC13-IC16-IC15</f>
        <v>0.184789819890321</v>
      </c>
      <c r="ID14" s="1083"/>
      <c r="IE14" s="1087"/>
      <c r="IF14" s="1083"/>
      <c r="IG14" s="1084"/>
      <c r="IH14" s="1087">
        <f>IH13-IH16-IH15</f>
        <v>0.0473507297050719</v>
      </c>
      <c r="II14" s="1087">
        <f>II13-II16-II15</f>
        <v>0.043774878382488</v>
      </c>
      <c r="IJ14" s="1083"/>
      <c r="IK14" s="1087">
        <f t="shared" ref="IK14:IQ14" si="144">IK13-IK16-IK15</f>
        <v>0.0660509005483968</v>
      </c>
      <c r="IL14" s="1083"/>
      <c r="IM14" s="1087">
        <f t="shared" si="144"/>
        <v>0.0864712607677555</v>
      </c>
      <c r="IN14" s="1083"/>
      <c r="IO14" s="1088">
        <f t="shared" si="144"/>
        <v>0.0611209605849565</v>
      </c>
      <c r="IP14" s="1087">
        <f t="shared" si="144"/>
        <v>0.1052093468126</v>
      </c>
      <c r="IQ14" s="1087">
        <f t="shared" si="144"/>
        <v>0.126026094557608</v>
      </c>
      <c r="IR14" s="1083"/>
      <c r="IS14" s="1083"/>
      <c r="IT14" s="1083"/>
      <c r="IU14" s="1083"/>
      <c r="IV14" s="1083"/>
      <c r="IW14" s="1083"/>
      <c r="IX14" s="1097"/>
      <c r="IY14" s="1049"/>
      <c r="IZ14" s="1082"/>
      <c r="JB14" s="765"/>
      <c r="JC14" s="765"/>
      <c r="JD14" s="765"/>
      <c r="JE14" s="765"/>
      <c r="JF14" s="765"/>
      <c r="JG14" s="765"/>
      <c r="JH14" s="765"/>
      <c r="JI14" s="765"/>
      <c r="JJ14" s="765"/>
      <c r="JK14" s="765"/>
      <c r="JL14" s="765"/>
      <c r="JM14" s="765"/>
      <c r="JN14" s="765"/>
      <c r="JO14" s="765"/>
      <c r="JP14" s="765"/>
      <c r="JQ14" s="1035"/>
      <c r="JR14" s="1078"/>
      <c r="JS14" s="1079"/>
      <c r="JT14" s="1079"/>
      <c r="JU14" s="1079"/>
      <c r="JV14" s="1079"/>
      <c r="JW14" s="1079"/>
      <c r="JX14" s="1079"/>
      <c r="JY14" s="1079"/>
      <c r="JZ14" s="1079"/>
    </row>
    <row r="15" spans="1:286">
      <c r="A15" s="1100" t="s">
        <v>507</v>
      </c>
      <c r="AX15" s="1059"/>
      <c r="BE15" s="1060"/>
      <c r="BN15" s="1059"/>
      <c r="BU15" s="1060"/>
      <c r="BV15" s="1059"/>
      <c r="CC15" s="1060"/>
      <c r="CD15" s="1059"/>
      <c r="CJ15" s="1061"/>
      <c r="CK15" s="1060"/>
      <c r="CL15" s="1059"/>
      <c r="CS15" s="1060"/>
      <c r="CT15" s="967"/>
      <c r="CU15" s="967"/>
      <c r="CV15" s="967"/>
      <c r="CW15" s="967"/>
      <c r="CX15" s="967"/>
      <c r="CY15" s="967"/>
      <c r="CZ15" s="967"/>
      <c r="DA15" s="967"/>
      <c r="DB15" s="1080"/>
      <c r="DC15" s="1080"/>
      <c r="DD15" s="1080"/>
      <c r="DE15" s="1080"/>
      <c r="DF15" s="1080"/>
      <c r="DG15" s="1080"/>
      <c r="DH15" s="1080"/>
      <c r="DI15" s="1081"/>
      <c r="DJ15" s="1080"/>
      <c r="DK15" s="1080"/>
      <c r="DL15" s="1080"/>
      <c r="DM15" s="1080"/>
      <c r="DN15" s="1080"/>
      <c r="DO15" s="1080"/>
      <c r="DP15" s="1080"/>
      <c r="DQ15" s="1081"/>
      <c r="DR15" s="1082"/>
      <c r="DS15" s="1082"/>
      <c r="DT15" s="1083"/>
      <c r="DU15" s="1082"/>
      <c r="DV15" s="1083"/>
      <c r="DW15" s="1083"/>
      <c r="DX15" s="1083"/>
      <c r="DY15" s="1084"/>
      <c r="DZ15" s="1083"/>
      <c r="EA15" s="1083"/>
      <c r="EB15" s="1083"/>
      <c r="EC15" s="1083"/>
      <c r="ED15" s="1083"/>
      <c r="EE15" s="1083"/>
      <c r="EF15" s="1083"/>
      <c r="EG15" s="1084"/>
      <c r="EH15" s="1083"/>
      <c r="EI15" s="1083"/>
      <c r="EJ15" s="1083"/>
      <c r="EK15" s="1083"/>
      <c r="EL15" s="1083"/>
      <c r="EM15" s="1082"/>
      <c r="EN15" s="1083"/>
      <c r="EO15" s="1093"/>
      <c r="EP15" s="1083">
        <f>EP19*'Profit and Loss'!$S26</f>
        <v>0.0318529498962348</v>
      </c>
      <c r="EQ15" s="1083">
        <f>EQ19*'Profit and Loss'!$S26</f>
        <v>0.0370056329676846</v>
      </c>
      <c r="ER15" s="1094">
        <f>ER19*'Profit and Loss'!$S26</f>
        <v>0.0346635042988438</v>
      </c>
      <c r="ES15" s="1083">
        <f>ES19*'Profit and Loss'!$S26</f>
        <v>0.0267002668247851</v>
      </c>
      <c r="ET15" s="1094">
        <f>ET19*'Profit and Loss'!$S26</f>
        <v>0.0313845241624666</v>
      </c>
      <c r="EU15" s="1083">
        <f>EU19*'Profit and Loss'!$S26</f>
        <v>0.0260103745026027</v>
      </c>
      <c r="EV15" s="1094">
        <f>EV19*'Profit and Loss'!$S26</f>
        <v>0.0263670329648919</v>
      </c>
      <c r="EW15" s="1084">
        <f>EW19*'Profit and Loss'!$S26</f>
        <v>0.0299792469611622</v>
      </c>
      <c r="EX15" s="1083">
        <f>EX19*'Profit and Loss'!$T26</f>
        <v>0.0522344747533372</v>
      </c>
      <c r="EY15" s="1083">
        <f>EY19*'Profit and Loss'!$T26</f>
        <v>0.0428032501450958</v>
      </c>
      <c r="EZ15" s="1083">
        <f>EZ19*'Profit and Loss'!$T26</f>
        <v>0.0471561230412072</v>
      </c>
      <c r="FA15" s="1095">
        <f>FA19*'Profit and Loss'!$T26</f>
        <v>0.0725478816018572</v>
      </c>
      <c r="FB15" s="1083">
        <f>FB19*'Profit and Loss'!$T26</f>
        <v>0.0565873476494486</v>
      </c>
      <c r="FC15" s="1096">
        <f>FC19*'Profit and Loss'!$T26</f>
        <v>0.0449796865931515</v>
      </c>
      <c r="FD15" s="1083">
        <f>FD19*'Profit and Loss'!$T26</f>
        <v>0</v>
      </c>
      <c r="FE15" s="1084">
        <f>FE19*'Profit and Loss'!$T26</f>
        <v>0.0522344747533372</v>
      </c>
      <c r="FF15" s="1083">
        <f>FF19*'Profit and Loss'!$U26</f>
        <v>0.061854722558526</v>
      </c>
      <c r="FG15" s="1083">
        <f>FG19*'Profit and Loss'!$U26</f>
        <v>0.064063819792759</v>
      </c>
      <c r="FH15" s="1083">
        <f>FH19*'Profit and Loss'!$U26</f>
        <v>0.0629592711756425</v>
      </c>
      <c r="FI15" s="1083">
        <f>FI19*'Profit and Loss'!$U26</f>
        <v>0.0245722506111541</v>
      </c>
      <c r="FJ15" s="1083">
        <f>FJ19*'Profit and Loss'!$U26</f>
        <v>0.0486001391531276</v>
      </c>
      <c r="FK15" s="1083">
        <f>FK19*'Profit and Loss'!$U26</f>
        <v>0.0403383071508138</v>
      </c>
      <c r="FL15" s="1083">
        <f>FL19*'Profit and Loss'!$U26</f>
        <v>0.0323583501947919</v>
      </c>
      <c r="FM15" s="1084">
        <f>FM19*'Profit and Loss'!$U26</f>
        <v>0.0463910419188945</v>
      </c>
      <c r="FN15" s="1083">
        <f>FN19*'Profit and Loss'!$V26</f>
        <v>0.0698988388262852</v>
      </c>
      <c r="FO15" s="1083">
        <f>FO19*'Profit and Loss'!$V26</f>
        <v>0.075391805004707</v>
      </c>
      <c r="FP15" s="1083">
        <f>FP19*'Profit and Loss'!$V26</f>
        <v>0.0728732574997441</v>
      </c>
      <c r="FQ15" s="1083">
        <f>FQ19*'Profit and Loss'!$V26</f>
        <v>0.0811067932480145</v>
      </c>
      <c r="FR15" s="1083">
        <f>FR19*'Profit and Loss'!$V26</f>
        <v>0.075847676173203</v>
      </c>
      <c r="FS15" s="1083">
        <f>FS19*'Profit and Loss'!$V26</f>
        <v>0.118955045171212</v>
      </c>
      <c r="FT15" s="1083">
        <f>FT19*'Profit and Loss'!$V26</f>
        <v>0.100539677113385</v>
      </c>
      <c r="FU15" s="1083">
        <f>FU19*'Profit and Loss'!$V26</f>
        <v>0.0877453508670388</v>
      </c>
      <c r="FV15" s="1086">
        <f>'Profit and Loss'!$W26*Interim!FV19</f>
        <v>0.105991001699711</v>
      </c>
      <c r="FW15" s="1087">
        <f>'Profit and Loss'!$W26*Interim!FW19</f>
        <v>0.131988794569451</v>
      </c>
      <c r="FX15" s="1087">
        <f>'Profit and Loss'!$W26*Interim!FX19</f>
        <v>0.119830622779622</v>
      </c>
      <c r="FY15" s="1083">
        <f>'Profit and Loss'!$W26*Interim!FY19</f>
        <v>0.0779933786092211</v>
      </c>
      <c r="FZ15" s="1083">
        <f>'Profit and Loss'!$W26*Interim!FZ19</f>
        <v>0.104116549143182</v>
      </c>
      <c r="GA15" s="1083">
        <f>'Profit and Loss'!$W26*Interim!GA19</f>
        <v>0.13790484498309</v>
      </c>
      <c r="GB15" s="1083">
        <f>'Profit and Loss'!$W26*Interim!GB19</f>
        <v>0.109365357061441</v>
      </c>
      <c r="GC15" s="1084">
        <f>'Profit and Loss'!$W26*Interim!GC19</f>
        <v>0.113990322582708</v>
      </c>
      <c r="GD15" s="1086">
        <f>'Profit and Loss'!$X26*Interim!GD19</f>
        <v>0.0696069255120147</v>
      </c>
      <c r="GE15" s="1087">
        <f>'Profit and Loss'!$X26*Interim!GE19</f>
        <v>0.0670288912337919</v>
      </c>
      <c r="GF15" s="1087">
        <f>'Profit and Loss'!$X26*Interim!GF19</f>
        <v>0.0682351531920463</v>
      </c>
      <c r="GG15" s="1087">
        <f>'Profit and Loss'!$X26*Interim!GG19</f>
        <v>0.19593060514493</v>
      </c>
      <c r="GH15" s="1083">
        <f>'Profit and Loss'!$W26*Interim!GH19</f>
        <v>0.135352188951258</v>
      </c>
      <c r="GI15" s="1083">
        <f>'Profit and Loss'!$X26*Interim!GI19</f>
        <v>0.0618728226773464</v>
      </c>
      <c r="GJ15" s="1083">
        <f>'Profit and Loss'!$W26*Interim!GJ19</f>
        <v>0.0954839981261126</v>
      </c>
      <c r="GK15" s="1084">
        <f>((GJ15*$GB$10)+(GF15*$FX$10))/$GC$10</f>
        <v>0.0826640210811944</v>
      </c>
      <c r="GL15" s="1087">
        <f>'Profit and Loss'!$Y26*Interim!GL19</f>
        <v>0.121886688410018</v>
      </c>
      <c r="GM15" s="1087">
        <f>'Profit and Loss'!$Y26*Interim!GM19</f>
        <v>0.112745186779267</v>
      </c>
      <c r="GN15" s="1087">
        <f>'Profit and Loss'!$Y26*Interim!GN19</f>
        <v>0.116937929257051</v>
      </c>
      <c r="GO15" s="1087">
        <f>'Profit and Loss'!$Y26*Interim!GO19</f>
        <v>0.0426603409435063</v>
      </c>
      <c r="GP15" s="1083">
        <f>'Profit and Loss'!$Y26*Interim!GP19</f>
        <v>0.100685691330873</v>
      </c>
      <c r="GQ15" s="1083">
        <f>'Profit and Loss'!$Y26*Interim!GQ19</f>
        <v>0.140169691671521</v>
      </c>
      <c r="GR15" s="1083">
        <f>'Profit and Loss'!$Y26*Interim!GR19</f>
        <v>0.0939982255431971</v>
      </c>
      <c r="GS15" s="1084">
        <f>((GR15*$GB$10)+(GN15*$FX$10))/$GC$10</f>
        <v>0.104790847239288</v>
      </c>
      <c r="GT15" s="1087">
        <f>'Profit and Loss'!$Z26*Interim!GT19</f>
        <v>0.11939021591582</v>
      </c>
      <c r="GU15" s="1087">
        <f>'Profit and Loss'!$Z26*Interim!GU19</f>
        <v>0.317236859433464</v>
      </c>
      <c r="GV15" s="1087">
        <f>'Profit and Loss'!$Y26*Interim!GV19</f>
        <v>0.201559717862357</v>
      </c>
      <c r="GW15" s="1087">
        <f>'Profit and Loss'!$Z26*Interim!GW19</f>
        <v>0.17396860033448</v>
      </c>
      <c r="GX15" s="1083"/>
      <c r="GY15" s="1087">
        <f>'Profit and Loss'!$Z26*Interim!GY19</f>
        <v>0.14667940812515</v>
      </c>
      <c r="GZ15" s="1083">
        <f>'Profit and Loss'!$Y26*Interim!GZ19</f>
        <v>0.141964235327271</v>
      </c>
      <c r="HA15" s="1088">
        <f>'Profit and Loss'!$Z26*Interim!HA19</f>
        <v>0.180790898386813</v>
      </c>
      <c r="HB15" s="1087">
        <f>'Profit and Loss'!$AA26*Interim!HB19</f>
        <v>0.211987418427929</v>
      </c>
      <c r="HC15" s="1087">
        <f>'Profit and Loss'!$AA26*Interim!HC19</f>
        <v>-0.069019159488163</v>
      </c>
      <c r="HD15" s="1087">
        <f>'Profit and Loss'!$Y26*Interim!HD19</f>
        <v>0.0382252669163243</v>
      </c>
      <c r="HE15" s="1087">
        <f>'Profit and Loss'!$AA26*Interim!HE19</f>
        <v>0.0394395197075217</v>
      </c>
      <c r="HF15" s="1083"/>
      <c r="HG15" s="1087">
        <f>'Profit and Loss'!$AA26*Interim!HG19</f>
        <v>-0.00985987992688043</v>
      </c>
      <c r="HH15" s="1083">
        <f>'Profit and Loss'!$Y26*Interim!HH19</f>
        <v>0.00752920958792863</v>
      </c>
      <c r="HI15" s="1088">
        <f>'Profit and Loss'!$AA26*Interim!HI19</f>
        <v>0.0197197598537609</v>
      </c>
      <c r="HJ15" s="1087">
        <f>'Profit and Loss'!$AB26*Interim!HJ19</f>
        <v>0.00918325225499201</v>
      </c>
      <c r="HK15" s="1087">
        <f>'Profit and Loss'!$AB26*Interim!HK19</f>
        <v>0.0596911396574481</v>
      </c>
      <c r="HL15" s="1083"/>
      <c r="HM15" s="1087">
        <f>'Profit and Loss'!$AA26*Interim!HM19</f>
        <v>0.0394395197075217</v>
      </c>
      <c r="HN15" s="1083"/>
      <c r="HO15" s="1087">
        <f>'Profit and Loss'!$AA26*Interim!HO19</f>
        <v>-0.0197197598537609</v>
      </c>
      <c r="HP15" s="1083">
        <f>'Profit and Loss'!$Y26*Interim!HP19</f>
        <v>0.00432712778096117</v>
      </c>
      <c r="HQ15" s="1087">
        <f>'Profit and Loss'!$AA26*Interim!HQ19</f>
        <v>0.0197197598537609</v>
      </c>
      <c r="HR15" s="1087">
        <f>'Profit and Loss'!$AB26*Interim!HR19</f>
        <v>-0.105607400932408</v>
      </c>
      <c r="HS15" s="1087">
        <f>'Profit and Loss'!$AB26*Interim!HS19</f>
        <v>0.0642827657849441</v>
      </c>
      <c r="HT15" s="1083"/>
      <c r="HU15" s="1087">
        <f>'Profit and Loss'!$AA26*Interim!HU19</f>
        <v>0.00492993996344022</v>
      </c>
      <c r="HV15" s="1083"/>
      <c r="HW15" s="1087">
        <f>'Profit and Loss'!$AA26*Interim!HW19</f>
        <v>-0.0591592795612826</v>
      </c>
      <c r="HX15" s="1083">
        <f>'Profit and Loss'!$Y26*Interim!HX19</f>
        <v>-0.0175490510264756</v>
      </c>
      <c r="HY15" s="1087">
        <f>'Profit and Loss'!$AA26*Interim!HY19</f>
        <v>-0.0246496998172011</v>
      </c>
      <c r="HZ15" s="1087">
        <f>'Profit and Loss'!$AB26*Interim!HZ19</f>
        <v>0.156115288334864</v>
      </c>
      <c r="IA15" s="1087">
        <f>'Profit and Loss'!$AB26*Interim!IA19</f>
        <v>-0.027549756764976</v>
      </c>
      <c r="IB15" s="1083"/>
      <c r="IC15" s="1087">
        <f>'Profit and Loss'!$AA26*Interim!IC19</f>
        <v>-0.0147898198903206</v>
      </c>
      <c r="ID15" s="1083"/>
      <c r="IE15" s="1087"/>
      <c r="IF15" s="1083"/>
      <c r="IG15" s="1084"/>
      <c r="IH15" s="1087">
        <f>'Profit and Loss'!$AB26*Interim!IH19</f>
        <v>0.0826492702949281</v>
      </c>
      <c r="II15" s="1087">
        <f>'Profit and Loss'!$AB26*Interim!II19</f>
        <v>-0.013774878382488</v>
      </c>
      <c r="IJ15" s="1083"/>
      <c r="IK15" s="1087">
        <f>'Profit and Loss'!$AA26*Interim!IK19</f>
        <v>0.0739490994516032</v>
      </c>
      <c r="IL15" s="1083"/>
      <c r="IM15" s="1087">
        <f>'Profit and Loss'!$AA26*Interim!IM19</f>
        <v>0.103528739232245</v>
      </c>
      <c r="IN15" s="1083"/>
      <c r="IO15" s="1088">
        <f>'Profit and Loss'!$AA26*Interim!IO19</f>
        <v>0.0788790394150435</v>
      </c>
      <c r="IP15" s="1087">
        <f>'Profit and Loss'!$AB26*Interim!IP19</f>
        <v>0.1147906531874</v>
      </c>
      <c r="IQ15" s="1087">
        <f>'Profit and Loss'!$AB26*Interim!IQ19</f>
        <v>0.123973905442392</v>
      </c>
      <c r="IR15" s="1083"/>
      <c r="IS15" s="1083"/>
      <c r="IT15" s="1083"/>
      <c r="IU15" s="1083"/>
      <c r="IV15" s="1083"/>
      <c r="IW15" s="1083"/>
      <c r="IX15" s="1097"/>
      <c r="IY15" s="1049"/>
      <c r="IZ15" s="1082"/>
      <c r="JB15" s="765"/>
      <c r="JC15" s="765"/>
      <c r="JD15" s="765"/>
      <c r="JE15" s="765"/>
      <c r="JF15" s="765"/>
      <c r="JG15" s="765"/>
      <c r="JH15" s="765"/>
      <c r="JI15" s="765"/>
      <c r="JJ15" s="765"/>
      <c r="JK15" s="765"/>
      <c r="JL15" s="765"/>
      <c r="JM15" s="765"/>
      <c r="JN15" s="765"/>
      <c r="JO15" s="765"/>
      <c r="JP15" s="765"/>
      <c r="JQ15" s="1035"/>
      <c r="JR15" s="1078"/>
      <c r="JS15" s="1079"/>
      <c r="JT15" s="1079"/>
      <c r="JU15" s="1079"/>
      <c r="JV15" s="1079"/>
      <c r="JW15" s="1079"/>
      <c r="JX15" s="1079"/>
      <c r="JY15" s="1079"/>
      <c r="JZ15" s="1079"/>
    </row>
    <row r="16" spans="1:286">
      <c r="A16" s="1100" t="s">
        <v>508</v>
      </c>
      <c r="AX16" s="1059"/>
      <c r="BE16" s="1060"/>
      <c r="BN16" s="1059"/>
      <c r="BU16" s="1060"/>
      <c r="BV16" s="1059"/>
      <c r="CC16" s="1060"/>
      <c r="CD16" s="1059"/>
      <c r="CJ16" s="1061"/>
      <c r="CK16" s="1060"/>
      <c r="CL16" s="1059"/>
      <c r="CS16" s="1060"/>
      <c r="CT16" s="967"/>
      <c r="CU16" s="967"/>
      <c r="CV16" s="967"/>
      <c r="CW16" s="967"/>
      <c r="CX16" s="967"/>
      <c r="CY16" s="967"/>
      <c r="CZ16" s="967"/>
      <c r="DA16" s="967"/>
      <c r="DB16" s="1080"/>
      <c r="DC16" s="1080"/>
      <c r="DD16" s="1080"/>
      <c r="DE16" s="1080"/>
      <c r="DF16" s="1080"/>
      <c r="DG16" s="1080"/>
      <c r="DH16" s="1080"/>
      <c r="DI16" s="1081"/>
      <c r="DJ16" s="1080"/>
      <c r="DK16" s="1080"/>
      <c r="DL16" s="1080"/>
      <c r="DM16" s="1080"/>
      <c r="DN16" s="1080"/>
      <c r="DO16" s="1080"/>
      <c r="DP16" s="1080"/>
      <c r="DQ16" s="1081"/>
      <c r="DR16" s="1082">
        <v>0.07</v>
      </c>
      <c r="DS16" s="1082">
        <f>(DL$10*DT16-DJ$10*DR16)/DK$10</f>
        <v>0.0882304526748971</v>
      </c>
      <c r="DT16" s="1083">
        <v>0.08</v>
      </c>
      <c r="DU16" s="1082">
        <f>(DN$10*DV16-DK$10*DS16-DJ$10*DR16)/DM$10</f>
        <v>0.106908396946565</v>
      </c>
      <c r="DV16" s="1083">
        <v>0.09</v>
      </c>
      <c r="DW16" s="1083">
        <v>0.15</v>
      </c>
      <c r="DX16" s="1082">
        <f>(DQ$10*DY16-DL$10*DT16)/DP$10</f>
        <v>0.135925563173359</v>
      </c>
      <c r="DY16" s="1084">
        <v>0.11</v>
      </c>
      <c r="DZ16" s="1083">
        <v>0.17</v>
      </c>
      <c r="EA16" s="1082">
        <f>(DT$10*EB16-DR$10*DZ16)/DS$10</f>
        <v>0.134750830564784</v>
      </c>
      <c r="EB16" s="1083">
        <v>0.15</v>
      </c>
      <c r="EC16" s="1082">
        <f>(DV$10*ED16-DS$10*EA16-DR$10*DZ16)/DU$10</f>
        <v>0.15</v>
      </c>
      <c r="ED16" s="1083">
        <v>0.15</v>
      </c>
      <c r="EE16" s="1083">
        <v>0.11</v>
      </c>
      <c r="EF16" s="1082">
        <f>(DY$10*EG16-DT$10*EB16)/DX$10</f>
        <v>0.132010542168675</v>
      </c>
      <c r="EG16" s="1084">
        <v>0.14</v>
      </c>
      <c r="EH16" s="1083">
        <v>0.09</v>
      </c>
      <c r="EI16" s="1083">
        <v>0.08</v>
      </c>
      <c r="EJ16" s="1083">
        <v>0.09</v>
      </c>
      <c r="EK16" s="1083">
        <v>0.09</v>
      </c>
      <c r="EL16" s="1083">
        <v>0.09</v>
      </c>
      <c r="EM16" s="1083">
        <v>0.01</v>
      </c>
      <c r="EN16" s="1082">
        <f>(EG$10*EO16-EB$10*EJ16)/EF$10</f>
        <v>0.0536091205211726</v>
      </c>
      <c r="EO16" s="1093">
        <v>0.07</v>
      </c>
      <c r="EP16" s="1083">
        <v>-0.01</v>
      </c>
      <c r="EQ16" s="1083">
        <v>-0.02</v>
      </c>
      <c r="ER16" s="1094">
        <v>-0.01</v>
      </c>
      <c r="ES16" s="1083">
        <v>-0.03</v>
      </c>
      <c r="ET16" s="1094">
        <v>-0.02</v>
      </c>
      <c r="EU16" s="1083">
        <v>0.03</v>
      </c>
      <c r="EV16" s="1101">
        <f>(EO$10*EW16-EJ$10*ER16)/EN$10</f>
        <v>-0.01</v>
      </c>
      <c r="EW16" s="1084">
        <v>-0.01</v>
      </c>
      <c r="EX16" s="1083">
        <v>0.08</v>
      </c>
      <c r="EY16" s="1083">
        <v>0.1</v>
      </c>
      <c r="EZ16" s="1083">
        <v>0.09</v>
      </c>
      <c r="FA16" s="1083">
        <v>0.06</v>
      </c>
      <c r="FB16" s="1083">
        <v>0.08</v>
      </c>
      <c r="FC16" s="1083">
        <v>0.09</v>
      </c>
      <c r="FD16" s="1101">
        <f>(EW$10*FE16-ER$10*EZ16)/EV$10</f>
        <v>0.09</v>
      </c>
      <c r="FE16" s="1084">
        <v>0.09</v>
      </c>
      <c r="FF16" s="1083">
        <v>0.04</v>
      </c>
      <c r="FG16" s="1083">
        <v>-0.02</v>
      </c>
      <c r="FH16" s="1083">
        <v>0.01</v>
      </c>
      <c r="FI16" s="1083">
        <v>0.03</v>
      </c>
      <c r="FJ16" s="1083">
        <v>0.02</v>
      </c>
      <c r="FK16" s="1083">
        <v>0.05</v>
      </c>
      <c r="FL16" s="1101">
        <f>(FE$10*FM16-EZ$10*FH16)/FD$10</f>
        <v>0.0469392775856083</v>
      </c>
      <c r="FM16" s="1084">
        <v>0.03</v>
      </c>
      <c r="FN16" s="1083">
        <v>0.13</v>
      </c>
      <c r="FO16" s="1094">
        <f>(FH10*FP16-FF10*FN16)/FG10</f>
        <v>0.13</v>
      </c>
      <c r="FP16" s="1083">
        <v>0.13</v>
      </c>
      <c r="FQ16" s="1083">
        <v>0.13</v>
      </c>
      <c r="FR16" s="1083">
        <v>0.13</v>
      </c>
      <c r="FS16" s="1083">
        <f>(FM10*FU16-FJ10*FR16)/FK10</f>
        <v>0.0937682403433476</v>
      </c>
      <c r="FT16" s="1083">
        <f>(FI10*FQ16+FK10*FS16)/FL10</f>
        <v>0.111397091229617</v>
      </c>
      <c r="FU16" s="1083">
        <v>0.12</v>
      </c>
      <c r="FV16" s="1086">
        <v>0.05</v>
      </c>
      <c r="FW16" s="1087">
        <v>0.06</v>
      </c>
      <c r="FX16" s="1087">
        <f>(FN10*FV16+FO10*FW16)/FP10</f>
        <v>0.0553233830845771</v>
      </c>
      <c r="FY16" s="1083">
        <v>0.02</v>
      </c>
      <c r="FZ16" s="1083">
        <f>(FN10*FV16+FO10*FW16+FQ10*FY16)/FR10</f>
        <v>0.0420559164077944</v>
      </c>
      <c r="GA16" s="1083">
        <f>85%*7.5%+15%*-5%</f>
        <v>0.05625</v>
      </c>
      <c r="GB16" s="1083">
        <f>(FQ10*FY16+FS10*GA16)/FT10</f>
        <v>0.0389819126074499</v>
      </c>
      <c r="GC16" s="1084">
        <f>(FN10*FV16+FO10*FW16+FQ10*FY16+FS10*GA16)/FU10</f>
        <v>0.04620377773336</v>
      </c>
      <c r="GD16" s="1086">
        <v>0.05</v>
      </c>
      <c r="GE16" s="1087">
        <v>0.05</v>
      </c>
      <c r="GF16" s="1087">
        <f>(FV10*GD16+FW10*GE16)/FX10</f>
        <v>0.05</v>
      </c>
      <c r="GG16" s="1083">
        <v>0.05</v>
      </c>
      <c r="GH16" s="1083">
        <f>(FV10*GD16+FW10*GE16+FY10*GG16)/FZ10</f>
        <v>0.05</v>
      </c>
      <c r="GI16" s="1083">
        <v>0.04</v>
      </c>
      <c r="GJ16" s="1083">
        <f>(FY10*GG16+GA10*GI16)/GB10</f>
        <v>0.0445665485014502</v>
      </c>
      <c r="GK16" s="1084">
        <f>((GJ16*$GB$10)+(GF16*$FX$10))/$GC$10</f>
        <v>0.047122866894198</v>
      </c>
      <c r="GL16" s="1083">
        <v>0.06</v>
      </c>
      <c r="GM16" s="1087">
        <v>0.05</v>
      </c>
      <c r="GN16" s="1087">
        <f>(GD10*GL16+GE10*GM16)/GF10</f>
        <v>0.0545864920744314</v>
      </c>
      <c r="GO16" s="1083">
        <v>0.06</v>
      </c>
      <c r="GP16" s="1083">
        <f>(GD10*GL16+GE10*GM16+GG10*GO16)/GH10</f>
        <v>0.0565847826086957</v>
      </c>
      <c r="GQ16" s="1083">
        <v>0.05</v>
      </c>
      <c r="GR16" s="1083">
        <f>(GG10*GO16+GI10*GQ16)/GJ10</f>
        <v>0.0547350808700502</v>
      </c>
      <c r="GS16" s="1084">
        <f>((GR16*$GB$10)+(GN16*$FX$10))/$GC$10</f>
        <v>0.05466517313805</v>
      </c>
      <c r="GT16" s="1083">
        <v>-0.32</v>
      </c>
      <c r="GU16" s="1087">
        <v>-0.19</v>
      </c>
      <c r="GV16" s="1087">
        <f>(GL10*GT16+GM10*GU16)/GN10</f>
        <v>-0.250188679245283</v>
      </c>
      <c r="GW16" s="1083">
        <v>-0.14</v>
      </c>
      <c r="GX16" s="1083"/>
      <c r="GY16" s="1083">
        <v>-0.05</v>
      </c>
      <c r="GZ16" s="1083">
        <f>(GO10*GW16+GQ10*GY16)/GR10</f>
        <v>-0.0903753719386587</v>
      </c>
      <c r="HA16" s="1084">
        <v>-0.21</v>
      </c>
      <c r="HB16" s="1083">
        <v>0.28</v>
      </c>
      <c r="HC16" s="1083">
        <v>-0.17</v>
      </c>
      <c r="HD16" s="1087">
        <f>(GT10*HB16+GU10*HC16)/GV10</f>
        <v>0.0395620437956204</v>
      </c>
      <c r="HE16" s="1083"/>
      <c r="HF16" s="1083"/>
      <c r="HG16" s="1083"/>
      <c r="HH16" s="1083"/>
      <c r="HI16" s="1084"/>
      <c r="HJ16" s="1083"/>
      <c r="HK16" s="1083"/>
      <c r="HL16" s="1083"/>
      <c r="HM16" s="1083"/>
      <c r="HN16" s="1083"/>
      <c r="HO16" s="1083"/>
      <c r="HP16" s="1083"/>
      <c r="HQ16" s="1084"/>
      <c r="HR16" s="1083"/>
      <c r="HS16" s="1083"/>
      <c r="HT16" s="1083"/>
      <c r="HU16" s="1083"/>
      <c r="HV16" s="1083"/>
      <c r="HW16" s="1083"/>
      <c r="HX16" s="1083"/>
      <c r="HY16" s="1084"/>
      <c r="HZ16" s="1083"/>
      <c r="IA16" s="1083"/>
      <c r="IB16" s="1083"/>
      <c r="IC16" s="1083"/>
      <c r="ID16" s="1083"/>
      <c r="IE16" s="1083"/>
      <c r="IF16" s="1083"/>
      <c r="IG16" s="1084"/>
      <c r="IH16" s="1083"/>
      <c r="II16" s="1083"/>
      <c r="IJ16" s="1083"/>
      <c r="IK16" s="1083"/>
      <c r="IL16" s="1083"/>
      <c r="IM16" s="1083"/>
      <c r="IN16" s="1083"/>
      <c r="IO16" s="1084"/>
      <c r="IP16" s="1083"/>
      <c r="IQ16" s="1083"/>
      <c r="IR16" s="1083"/>
      <c r="IS16" s="1083"/>
      <c r="IT16" s="1083"/>
      <c r="IU16" s="1083"/>
      <c r="IV16" s="1083"/>
      <c r="IW16" s="1083"/>
      <c r="IX16" s="1102"/>
      <c r="IY16" s="1049"/>
      <c r="IZ16" s="1037"/>
      <c r="JB16" s="765">
        <f>(55%*(FF10/FM10))+(55%*(FG10/FM10))+(35%*(FI10/FM10))+(25%*(FK10/FM10))</f>
        <v>0.414889836531628</v>
      </c>
      <c r="JC16" s="765"/>
      <c r="JD16" s="765"/>
      <c r="JE16" s="765"/>
      <c r="JF16" s="765"/>
      <c r="JG16" s="765"/>
      <c r="JH16" s="765"/>
      <c r="JI16" s="765"/>
      <c r="JJ16" s="765"/>
      <c r="JK16" s="765"/>
      <c r="JL16" s="765"/>
      <c r="JM16" s="765"/>
      <c r="JN16" s="765"/>
      <c r="JO16" s="765"/>
      <c r="JP16" s="765"/>
      <c r="JQ16" s="1035"/>
      <c r="JR16" s="1078"/>
      <c r="JS16" s="1079"/>
      <c r="JT16" s="1079"/>
      <c r="JU16" s="1079"/>
      <c r="JV16" s="1079"/>
      <c r="JW16" s="1079"/>
      <c r="JX16" s="1079"/>
      <c r="JY16" s="1079"/>
      <c r="JZ16" s="1079"/>
    </row>
    <row r="17" spans="1:334">
      <c r="A17" s="1100" t="s">
        <v>509</v>
      </c>
      <c r="AX17" s="1059"/>
      <c r="BE17" s="1060"/>
      <c r="BN17" s="1059"/>
      <c r="BU17" s="1060"/>
      <c r="BV17" s="1059"/>
      <c r="CC17" s="1060"/>
      <c r="CD17" s="1059"/>
      <c r="CJ17" s="1061"/>
      <c r="CK17" s="1060"/>
      <c r="CL17" s="1059"/>
      <c r="CS17" s="1060"/>
      <c r="CT17" s="967"/>
      <c r="CU17" s="967"/>
      <c r="CV17" s="967"/>
      <c r="CW17" s="967"/>
      <c r="CX17" s="967"/>
      <c r="CY17" s="967"/>
      <c r="CZ17" s="967"/>
      <c r="DA17" s="967"/>
      <c r="DB17" s="1080"/>
      <c r="DC17" s="1080"/>
      <c r="DD17" s="1080"/>
      <c r="DE17" s="1080"/>
      <c r="DF17" s="1080"/>
      <c r="DG17" s="1080"/>
      <c r="DH17" s="1080"/>
      <c r="DI17" s="1081"/>
      <c r="DJ17" s="1080"/>
      <c r="DK17" s="1080"/>
      <c r="DL17" s="1080"/>
      <c r="DM17" s="1080"/>
      <c r="DN17" s="1080"/>
      <c r="DO17" s="1080"/>
      <c r="DP17" s="1080"/>
      <c r="DQ17" s="1081"/>
      <c r="DR17" s="1082">
        <v>0.05</v>
      </c>
      <c r="DS17" s="1101">
        <f>(DL$10*DT17-DJ$10*DR17)/DK$10</f>
        <v>0.0864609053497942</v>
      </c>
      <c r="DT17" s="1083">
        <v>0.07</v>
      </c>
      <c r="DU17" s="1101">
        <f>(DN$10*DV17-DK$10*DS17-DJ$10*DR17)/DM$10</f>
        <v>0.0969083969465649</v>
      </c>
      <c r="DV17" s="1083">
        <v>0.08</v>
      </c>
      <c r="DW17" s="1083">
        <v>0.17</v>
      </c>
      <c r="DX17" s="1101">
        <f>(DQ$10*DY17-DL$10*DT17)/DP$10</f>
        <v>0.14460333006856</v>
      </c>
      <c r="DY17" s="1084">
        <v>0.11</v>
      </c>
      <c r="DZ17" s="1083">
        <v>0.17</v>
      </c>
      <c r="EA17" s="1101">
        <f>(DT$10*EB17-DR$10*DZ17)/DS$10</f>
        <v>0.134750830564784</v>
      </c>
      <c r="EB17" s="1083">
        <v>0.15</v>
      </c>
      <c r="EC17" s="1101">
        <f>(DV$10*ED17-DS$10*EA17-DR$10*DZ17)/DU$10</f>
        <v>0.15</v>
      </c>
      <c r="ED17" s="1083">
        <v>0.15</v>
      </c>
      <c r="EE17" s="1083">
        <v>0.12</v>
      </c>
      <c r="EF17" s="1101">
        <f>(DY$10*EG17-DT$10*EB17)/DX$10</f>
        <v>0.132010542168675</v>
      </c>
      <c r="EG17" s="1084">
        <v>0.14</v>
      </c>
      <c r="EH17" s="1083">
        <v>0.09</v>
      </c>
      <c r="EI17" s="1083">
        <v>0.08</v>
      </c>
      <c r="EJ17" s="1083">
        <v>0.09</v>
      </c>
      <c r="EK17" s="1083">
        <v>0.08</v>
      </c>
      <c r="EL17" s="1083">
        <v>0.09</v>
      </c>
      <c r="EM17" s="1083">
        <v>0.01</v>
      </c>
      <c r="EN17" s="1101">
        <f>(EG$10*EO17-EB$10*EJ17)/EF$10</f>
        <v>0.0536091205211726</v>
      </c>
      <c r="EO17" s="1093">
        <v>0.07</v>
      </c>
      <c r="EP17" s="1083">
        <v>0</v>
      </c>
      <c r="EQ17" s="1083">
        <v>-0.01</v>
      </c>
      <c r="ER17" s="1094">
        <v>-0.01</v>
      </c>
      <c r="ES17" s="1083">
        <v>-0.02</v>
      </c>
      <c r="ET17" s="1094">
        <v>-0.01</v>
      </c>
      <c r="EU17" s="1083">
        <v>0.03</v>
      </c>
      <c r="EV17" s="1101">
        <f>(EO$10*EW17-EJ$10*ER17)/EN$10</f>
        <v>0.00847207009857612</v>
      </c>
      <c r="EW17" s="1084">
        <v>0</v>
      </c>
      <c r="EX17" s="1083">
        <v>0.09</v>
      </c>
      <c r="EY17" s="1083">
        <v>0.12</v>
      </c>
      <c r="EZ17" s="1083">
        <v>0.1</v>
      </c>
      <c r="FA17" s="1083">
        <v>0.08</v>
      </c>
      <c r="FB17" s="1083">
        <v>0.1</v>
      </c>
      <c r="FC17" s="1083">
        <v>0.1</v>
      </c>
      <c r="FD17" s="1101">
        <f>(EW$10*FE17-ER$10*EZ17)/EV$10</f>
        <v>0.1</v>
      </c>
      <c r="FE17" s="1084">
        <v>0.1</v>
      </c>
      <c r="FF17" s="1083">
        <v>0.05</v>
      </c>
      <c r="FG17" s="1083">
        <v>-0.01</v>
      </c>
      <c r="FH17" s="1083">
        <v>0.02</v>
      </c>
      <c r="FI17" s="1083">
        <v>0.04</v>
      </c>
      <c r="FJ17" s="1083">
        <v>0.03</v>
      </c>
      <c r="FK17" s="1083">
        <v>0.05</v>
      </c>
      <c r="FL17" s="1101">
        <f>(FE$10*FM17-EZ$10*FH17)/FD$10</f>
        <v>0.0569392775856083</v>
      </c>
      <c r="FM17" s="1084">
        <v>0.04</v>
      </c>
      <c r="FN17" s="1083">
        <v>0.15</v>
      </c>
      <c r="FO17" s="1083">
        <f>(FH10*FP17-FF10*FN17)/FG10</f>
        <v>0.113065279091769</v>
      </c>
      <c r="FP17" s="1083">
        <v>0.13</v>
      </c>
      <c r="FQ17" s="1083">
        <v>0.13</v>
      </c>
      <c r="FR17" s="1083">
        <f>(FH10*FP17+FI10*FQ17)/FJ10</f>
        <v>0.13</v>
      </c>
      <c r="FS17" s="1083">
        <v>0.12</v>
      </c>
      <c r="FT17" s="1083">
        <f>(FM$10*FU17-FH$10*FP17)/FL$10</f>
        <v>0.13</v>
      </c>
      <c r="FU17" s="1094">
        <v>0.13</v>
      </c>
      <c r="FV17" s="1086">
        <v>0.05</v>
      </c>
      <c r="FW17" s="1087">
        <v>0.06</v>
      </c>
      <c r="FX17" s="1087">
        <f>(FN10*FV17+FO10*FW17)/FP10</f>
        <v>0.0553233830845771</v>
      </c>
      <c r="FY17" s="1083">
        <v>0.03</v>
      </c>
      <c r="FZ17" s="1083">
        <f>(FP10*FX17+FQ10*FY17)/FR10</f>
        <v>0.0458119175374188</v>
      </c>
      <c r="GA17" s="1083">
        <v>0.06</v>
      </c>
      <c r="GB17" s="1083">
        <f>(FU$10*GC17-FP$10*FX17)/FT$10</f>
        <v>0.0637034383954155</v>
      </c>
      <c r="GC17" s="1093">
        <v>0.06</v>
      </c>
      <c r="GD17" s="1086">
        <v>0.05</v>
      </c>
      <c r="GE17" s="1087">
        <v>0.05</v>
      </c>
      <c r="GF17" s="1087">
        <f>(FV10*GD17+FW10*GE17)/FX10</f>
        <v>0.05</v>
      </c>
      <c r="GG17" s="1094">
        <v>0.06</v>
      </c>
      <c r="GH17" s="1083">
        <f>(FX10*GF17+FY10*GG17)/FZ10</f>
        <v>0.0533948251078103</v>
      </c>
      <c r="GI17" s="1094"/>
      <c r="GJ17" s="1083"/>
      <c r="GK17" s="1093"/>
      <c r="GL17" s="1094">
        <v>0.07</v>
      </c>
      <c r="GM17" s="1087">
        <v>0.06</v>
      </c>
      <c r="GN17" s="1087">
        <f>(GD10*GL17+GE10*GM17)/GF10</f>
        <v>0.0645864920744314</v>
      </c>
      <c r="GO17" s="1094">
        <v>0.06</v>
      </c>
      <c r="GP17" s="1083">
        <f>(GF10*GN17+GG10*GO17)/GH10</f>
        <v>0.0628934782608696</v>
      </c>
      <c r="GQ17" s="1094">
        <v>0.05</v>
      </c>
      <c r="GR17" s="1083"/>
      <c r="GS17" s="1093"/>
      <c r="GT17" s="1094">
        <v>-0.32</v>
      </c>
      <c r="GU17" s="1087">
        <v>-0.2</v>
      </c>
      <c r="GV17" s="1087">
        <f>(GL10*GT17+GM10*GU17)/GN10</f>
        <v>-0.2555587808418</v>
      </c>
      <c r="GW17" s="1094">
        <v>-0.14</v>
      </c>
      <c r="GX17" s="1094"/>
      <c r="GY17" s="1094">
        <v>-0.05</v>
      </c>
      <c r="GZ17" s="1083"/>
      <c r="HA17" s="1093">
        <v>-0.21</v>
      </c>
      <c r="HB17" s="1094"/>
      <c r="HC17" s="1094"/>
      <c r="HD17" s="1087"/>
      <c r="HE17" s="1094"/>
      <c r="HF17" s="1094"/>
      <c r="HG17" s="1094"/>
      <c r="HH17" s="1083"/>
      <c r="HI17" s="1093"/>
      <c r="HJ17" s="1094"/>
      <c r="HK17" s="1094"/>
      <c r="HL17" s="1094"/>
      <c r="HM17" s="1094"/>
      <c r="HN17" s="1094"/>
      <c r="HO17" s="1094"/>
      <c r="HP17" s="1083"/>
      <c r="HQ17" s="1093"/>
      <c r="HR17" s="1094"/>
      <c r="HS17" s="1094"/>
      <c r="HT17" s="1094"/>
      <c r="HU17" s="1094"/>
      <c r="HV17" s="1094"/>
      <c r="HW17" s="1094"/>
      <c r="HX17" s="1083"/>
      <c r="HY17" s="1093"/>
      <c r="HZ17" s="1094"/>
      <c r="IA17" s="1094"/>
      <c r="IB17" s="1094"/>
      <c r="IC17" s="1094"/>
      <c r="ID17" s="1094"/>
      <c r="IE17" s="1094"/>
      <c r="IF17" s="1094"/>
      <c r="IG17" s="1093"/>
      <c r="IH17" s="1094"/>
      <c r="II17" s="1094"/>
      <c r="IJ17" s="1094"/>
      <c r="IK17" s="1094"/>
      <c r="IL17" s="1094"/>
      <c r="IM17" s="1094"/>
      <c r="IN17" s="1094"/>
      <c r="IO17" s="1093"/>
      <c r="IP17" s="1094"/>
      <c r="IQ17" s="1094"/>
      <c r="IR17" s="1083"/>
      <c r="IS17" s="1083"/>
      <c r="IT17" s="1083"/>
      <c r="IU17" s="1083"/>
      <c r="IV17" s="1083"/>
      <c r="IW17" s="1083"/>
      <c r="IX17" s="1096"/>
      <c r="IY17" s="1049"/>
      <c r="IZ17" s="1037"/>
      <c r="JB17" s="765"/>
      <c r="JC17" s="765"/>
      <c r="JD17" s="765"/>
      <c r="JE17" s="765"/>
      <c r="JF17" s="765"/>
      <c r="JG17" s="765"/>
      <c r="JH17" s="765"/>
      <c r="JI17" s="765"/>
      <c r="JJ17" s="765"/>
      <c r="JK17" s="765"/>
      <c r="JL17" s="765"/>
      <c r="JM17" s="765"/>
      <c r="JN17" s="765"/>
      <c r="JO17" s="765"/>
      <c r="JP17" s="765"/>
      <c r="JQ17" s="1035"/>
      <c r="JR17" s="1078"/>
      <c r="JS17" s="1079"/>
      <c r="JT17" s="1079"/>
      <c r="JU17" s="1079"/>
      <c r="JV17" s="1079"/>
      <c r="JW17" s="1079"/>
      <c r="JX17" s="1079"/>
      <c r="JY17" s="1079"/>
      <c r="JZ17" s="1079"/>
    </row>
    <row r="18" spans="1:334">
      <c r="A18" s="1100" t="s">
        <v>510</v>
      </c>
      <c r="AX18" s="1059"/>
      <c r="BE18" s="1060"/>
      <c r="BN18" s="1059"/>
      <c r="BU18" s="1060"/>
      <c r="BV18" s="1059"/>
      <c r="CC18" s="1060"/>
      <c r="CD18" s="1059"/>
      <c r="CJ18" s="1061"/>
      <c r="CK18" s="1060"/>
      <c r="CL18" s="1059"/>
      <c r="CS18" s="1060"/>
      <c r="CT18" s="967"/>
      <c r="CU18" s="967"/>
      <c r="CV18" s="967"/>
      <c r="CW18" s="967"/>
      <c r="CX18" s="967"/>
      <c r="CY18" s="967"/>
      <c r="CZ18" s="967"/>
      <c r="DA18" s="967"/>
      <c r="DB18" s="1080"/>
      <c r="DC18" s="1080"/>
      <c r="DD18" s="1080"/>
      <c r="DE18" s="1080"/>
      <c r="DF18" s="1080"/>
      <c r="DG18" s="1080"/>
      <c r="DH18" s="1080"/>
      <c r="DI18" s="1081"/>
      <c r="DJ18" s="1080"/>
      <c r="DK18" s="1080"/>
      <c r="DL18" s="1080"/>
      <c r="DM18" s="1080"/>
      <c r="DN18" s="1080"/>
      <c r="DO18" s="1080"/>
      <c r="DP18" s="1080"/>
      <c r="DQ18" s="1081"/>
      <c r="DR18" s="1082">
        <v>0.15</v>
      </c>
      <c r="DS18" s="1101">
        <f>(DL$10*DT18-DJ$10*DR18)/DK$10</f>
        <v>0.15</v>
      </c>
      <c r="DT18" s="1083">
        <v>0.15</v>
      </c>
      <c r="DU18" s="1101">
        <f>(DN$10*DV18-DK$10*DS18-DJ$10*DR18)/DM$10</f>
        <v>0.0692748091603053</v>
      </c>
      <c r="DV18" s="1083">
        <v>0.12</v>
      </c>
      <c r="DW18" s="1083">
        <v>0.1</v>
      </c>
      <c r="DX18" s="1101">
        <f>(DQ$10*DY18-DL$10*DT18)/DP$10</f>
        <v>0.075181194906954</v>
      </c>
      <c r="DY18" s="1084">
        <v>0.11</v>
      </c>
      <c r="DZ18" s="1083">
        <v>0.15</v>
      </c>
      <c r="EA18" s="1101">
        <f>(DT$10*EB18-DR$10*DZ18)/DS$10</f>
        <v>0.114750830564784</v>
      </c>
      <c r="EB18" s="1083">
        <v>0.13</v>
      </c>
      <c r="EC18" s="1101">
        <f>(DV$10*ED18-DS$10*EA18-DR$10*DZ18)/DU$10</f>
        <v>0.13</v>
      </c>
      <c r="ED18" s="1083">
        <v>0.13</v>
      </c>
      <c r="EE18" s="1083">
        <v>0.05</v>
      </c>
      <c r="EF18" s="1101">
        <f>(DY$10*EG18-DT$10*EB18)/DX$10</f>
        <v>0.0940210843373494</v>
      </c>
      <c r="EG18" s="1084">
        <v>0.11</v>
      </c>
      <c r="EH18" s="1083">
        <v>0.06</v>
      </c>
      <c r="EI18" s="1083">
        <v>0.09</v>
      </c>
      <c r="EJ18" s="1083">
        <v>0.08</v>
      </c>
      <c r="EK18" s="1083">
        <v>0.11</v>
      </c>
      <c r="EL18" s="1083">
        <v>0.09</v>
      </c>
      <c r="EM18" s="1083">
        <v>0.01</v>
      </c>
      <c r="EN18" s="1101">
        <f>(EG$10*EO18-EB$10*EJ18)/EF$10</f>
        <v>0.0618045602605863</v>
      </c>
      <c r="EO18" s="1093">
        <v>0.07</v>
      </c>
      <c r="EP18" s="1083">
        <v>-0.01</v>
      </c>
      <c r="EQ18" s="1083">
        <v>-0.03</v>
      </c>
      <c r="ER18" s="1094">
        <v>-0.01</v>
      </c>
      <c r="ES18" s="1083">
        <v>-0.07</v>
      </c>
      <c r="ET18" s="1094">
        <v>-0.04</v>
      </c>
      <c r="EU18" s="1083">
        <v>0</v>
      </c>
      <c r="EV18" s="1101">
        <f>(EO$10*EW18-EJ$10*ER18)/EN$10</f>
        <v>-0.0469441401971522</v>
      </c>
      <c r="EW18" s="1084">
        <v>-0.03</v>
      </c>
      <c r="EX18" s="1083">
        <v>0.04</v>
      </c>
      <c r="EY18" s="1083">
        <v>0</v>
      </c>
      <c r="EZ18" s="1083">
        <v>0.02</v>
      </c>
      <c r="FA18" s="1083">
        <v>-0.02</v>
      </c>
      <c r="FB18" s="1083">
        <v>0</v>
      </c>
      <c r="FC18" s="1083">
        <v>0.01</v>
      </c>
      <c r="FD18" s="1101">
        <f>(EW$10*FE18-ER$10*EZ18)/EV$10</f>
        <v>0.00144318793753366</v>
      </c>
      <c r="FE18" s="1084">
        <v>0.01</v>
      </c>
      <c r="FF18" s="1083">
        <v>-0.02</v>
      </c>
      <c r="FG18" s="1083">
        <v>-0.09</v>
      </c>
      <c r="FH18" s="1083">
        <v>-0.06</v>
      </c>
      <c r="FI18" s="1083">
        <v>-0.04</v>
      </c>
      <c r="FJ18" s="1083">
        <v>-0.05</v>
      </c>
      <c r="FK18" s="1083">
        <v>0.03</v>
      </c>
      <c r="FL18" s="1101">
        <f>(FE$10*FM18-EZ$10*FH18)/FD$10</f>
        <v>-0.00459108362158756</v>
      </c>
      <c r="FM18" s="1084">
        <v>-0.03</v>
      </c>
      <c r="FN18" s="1083">
        <v>0.03</v>
      </c>
      <c r="FO18" s="1083">
        <f>(FH10*FP18-FF10*FN18)/FG10</f>
        <v>0.0854020813623463</v>
      </c>
      <c r="FP18" s="1083">
        <v>0.06</v>
      </c>
      <c r="FQ18" s="1083">
        <v>0.07</v>
      </c>
      <c r="FR18" s="1083">
        <f>(FH10*FP18+FI10*FQ18)/FJ10</f>
        <v>0.0636125654450262</v>
      </c>
      <c r="FS18" s="1083">
        <v>0.04</v>
      </c>
      <c r="FT18" s="1083">
        <f>(FM$10*FU18-FH$10*FP18)/FL$10</f>
        <v>0.0413970912296166</v>
      </c>
      <c r="FU18" s="1094">
        <v>0.05</v>
      </c>
      <c r="FV18" s="1086">
        <v>-0.01</v>
      </c>
      <c r="FW18" s="1087">
        <v>0.01</v>
      </c>
      <c r="FX18" s="1087">
        <f>(FN10*FV18+FO10*FW18)/FP10</f>
        <v>0.000646766169154229</v>
      </c>
      <c r="FY18" s="1083">
        <v>-0.03</v>
      </c>
      <c r="FZ18" s="1083">
        <f>(FP10*FX18+FQ10*FY18)/FR10</f>
        <v>-0.0108641626659136</v>
      </c>
      <c r="GA18" s="1083">
        <v>0.03</v>
      </c>
      <c r="GB18" s="1083">
        <f>(FU$10*GC18-FP$10*FX18)/FT$10</f>
        <v>-0.0184312320916905</v>
      </c>
      <c r="GC18" s="1093">
        <v>-0.01</v>
      </c>
      <c r="GD18" s="1086">
        <v>-0.01</v>
      </c>
      <c r="GE18" s="1087">
        <v>0.05</v>
      </c>
      <c r="GF18" s="1087">
        <f>(FV10*GD18+FW10*GE18)/FX10</f>
        <v>0.0219260065288357</v>
      </c>
      <c r="GG18" s="1094">
        <v>0.01</v>
      </c>
      <c r="GH18" s="1083">
        <f>(FX10*GF18+FY10*GG18)/FZ10</f>
        <v>0.0178773358888357</v>
      </c>
      <c r="GI18" s="1094"/>
      <c r="GJ18" s="1083"/>
      <c r="GK18" s="1093"/>
      <c r="GL18" s="1094">
        <v>0.05</v>
      </c>
      <c r="GM18" s="1087">
        <v>0.01</v>
      </c>
      <c r="GN18" s="1087">
        <f>(GD10*GL18+GE10*GM18)/GF10</f>
        <v>0.0283459682977257</v>
      </c>
      <c r="GO18" s="1094">
        <v>0.04</v>
      </c>
      <c r="GP18" s="1083">
        <f>(GF10*GN18+GG10*GO18)/GH10</f>
        <v>0.0326478260869565</v>
      </c>
      <c r="GQ18" s="1094">
        <v>0.04</v>
      </c>
      <c r="GR18" s="1083"/>
      <c r="GS18" s="1093"/>
      <c r="GT18" s="1094">
        <v>-0.25</v>
      </c>
      <c r="GU18" s="1087">
        <v>0.01</v>
      </c>
      <c r="GV18" s="1087">
        <f>(GL10*GT18+GM10*GU18)/GN10</f>
        <v>-0.110377358490566</v>
      </c>
      <c r="GW18" s="1094">
        <v>-0.26</v>
      </c>
      <c r="GX18" s="1094"/>
      <c r="GY18" s="1094">
        <v>0.03</v>
      </c>
      <c r="GZ18" s="1083"/>
      <c r="HA18" s="1093">
        <v>-0.12</v>
      </c>
      <c r="HB18" s="1094"/>
      <c r="HC18" s="1094"/>
      <c r="HD18" s="1087"/>
      <c r="HE18" s="1094"/>
      <c r="HF18" s="1094"/>
      <c r="HG18" s="1094"/>
      <c r="HH18" s="1083"/>
      <c r="HI18" s="1093"/>
      <c r="HJ18" s="1094"/>
      <c r="HK18" s="1094"/>
      <c r="HL18" s="1094"/>
      <c r="HM18" s="1094"/>
      <c r="HN18" s="1094"/>
      <c r="HO18" s="1094"/>
      <c r="HP18" s="1083"/>
      <c r="HQ18" s="1093"/>
      <c r="HR18" s="1094"/>
      <c r="HS18" s="1094"/>
      <c r="HT18" s="1094"/>
      <c r="HU18" s="1094"/>
      <c r="HV18" s="1094"/>
      <c r="HW18" s="1094"/>
      <c r="HX18" s="1083"/>
      <c r="HY18" s="1093"/>
      <c r="HZ18" s="1094"/>
      <c r="IA18" s="1094"/>
      <c r="IB18" s="1094"/>
      <c r="IC18" s="1094"/>
      <c r="ID18" s="1094"/>
      <c r="IE18" s="1094"/>
      <c r="IF18" s="1094"/>
      <c r="IG18" s="1093"/>
      <c r="IH18" s="1094"/>
      <c r="II18" s="1094"/>
      <c r="IJ18" s="1094"/>
      <c r="IK18" s="1094"/>
      <c r="IL18" s="1094"/>
      <c r="IM18" s="1094"/>
      <c r="IN18" s="1094"/>
      <c r="IO18" s="1093"/>
      <c r="IP18" s="1094"/>
      <c r="IQ18" s="1094"/>
      <c r="IR18" s="1083"/>
      <c r="IS18" s="1083"/>
      <c r="IT18" s="1083"/>
      <c r="IU18" s="1083"/>
      <c r="IV18" s="1083"/>
      <c r="IW18" s="1083"/>
      <c r="IX18" s="1096"/>
      <c r="IY18" s="1049"/>
      <c r="IZ18" s="1037"/>
      <c r="JB18" s="765"/>
      <c r="JC18" s="765"/>
      <c r="JD18" s="765"/>
      <c r="JE18" s="765"/>
      <c r="JF18" s="765"/>
      <c r="JG18" s="765"/>
      <c r="JH18" s="765"/>
      <c r="JI18" s="765"/>
      <c r="JJ18" s="765"/>
      <c r="JK18" s="765"/>
      <c r="JL18" s="765"/>
      <c r="JM18" s="765"/>
      <c r="JN18" s="765"/>
      <c r="JO18" s="765"/>
      <c r="JP18" s="765"/>
      <c r="JQ18" s="1035"/>
      <c r="JR18" s="1078"/>
      <c r="JS18" s="1079"/>
      <c r="JT18" s="1079"/>
      <c r="JU18" s="1079"/>
      <c r="JV18" s="1079"/>
      <c r="JW18" s="1079"/>
      <c r="JX18" s="1079"/>
      <c r="JY18" s="1079"/>
      <c r="JZ18" s="1079"/>
    </row>
    <row r="19" spans="1:334">
      <c r="A19" s="967" t="s">
        <v>511</v>
      </c>
      <c r="AX19" s="1059"/>
      <c r="BE19" s="1060"/>
      <c r="BN19" s="1059"/>
      <c r="BU19" s="1060"/>
      <c r="BV19" s="1059"/>
      <c r="CC19" s="1060"/>
      <c r="CD19" s="1059"/>
      <c r="CJ19" s="1061"/>
      <c r="CK19" s="1060"/>
      <c r="CL19" s="1059"/>
      <c r="CS19" s="1060"/>
      <c r="CT19" s="967"/>
      <c r="CU19" s="967"/>
      <c r="CV19" s="967"/>
      <c r="CW19" s="967"/>
      <c r="CX19" s="967"/>
      <c r="CY19" s="967"/>
      <c r="CZ19" s="967"/>
      <c r="DA19" s="967"/>
      <c r="DB19" s="1080"/>
      <c r="DC19" s="1080"/>
      <c r="DD19" s="1080"/>
      <c r="DE19" s="1080"/>
      <c r="DF19" s="1080"/>
      <c r="DG19" s="1080"/>
      <c r="DH19" s="1080"/>
      <c r="DI19" s="1081"/>
      <c r="DJ19" s="1080"/>
      <c r="DK19" s="1080"/>
      <c r="DL19" s="1080"/>
      <c r="DM19" s="1080"/>
      <c r="DN19" s="1080"/>
      <c r="DO19" s="1080"/>
      <c r="DP19" s="1080"/>
      <c r="DQ19" s="1081"/>
      <c r="DR19" s="1082"/>
      <c r="DS19" s="1082"/>
      <c r="DT19" s="1083"/>
      <c r="DU19" s="1082"/>
      <c r="DV19" s="1083"/>
      <c r="DW19" s="1083"/>
      <c r="DX19" s="1083"/>
      <c r="DY19" s="1084"/>
      <c r="DZ19" s="1083"/>
      <c r="EA19" s="1083"/>
      <c r="EB19" s="1083"/>
      <c r="EC19" s="1083"/>
      <c r="ED19" s="1083"/>
      <c r="EE19" s="1083"/>
      <c r="EF19" s="1083"/>
      <c r="EG19" s="1084"/>
      <c r="EH19" s="1083"/>
      <c r="EI19" s="1083"/>
      <c r="EJ19" s="1083"/>
      <c r="EK19" s="1083"/>
      <c r="EL19" s="1083"/>
      <c r="EM19" s="1082"/>
      <c r="EN19" s="1083"/>
      <c r="EO19" s="1093"/>
      <c r="EP19" s="1083">
        <v>0.68</v>
      </c>
      <c r="EQ19" s="1083">
        <v>0.79</v>
      </c>
      <c r="ER19" s="1094">
        <v>0.74</v>
      </c>
      <c r="ES19" s="1083">
        <v>0.57</v>
      </c>
      <c r="ET19" s="1094">
        <v>0.67</v>
      </c>
      <c r="EU19" s="1083">
        <f>(EO10*EW19-EL10*ET19)/EM10</f>
        <v>0.555272108843538</v>
      </c>
      <c r="EV19" s="1094">
        <f>(EK10*ES19+EM10*EU19)/EN10</f>
        <v>0.562886089813801</v>
      </c>
      <c r="EW19" s="1084">
        <v>0.64</v>
      </c>
      <c r="EX19" s="1083">
        <v>0.72</v>
      </c>
      <c r="EY19" s="1083">
        <v>0.59</v>
      </c>
      <c r="EZ19" s="1083">
        <v>0.65</v>
      </c>
      <c r="FA19" s="1095">
        <v>1</v>
      </c>
      <c r="FB19" s="1083">
        <v>0.78</v>
      </c>
      <c r="FC19" s="1095">
        <v>0.62</v>
      </c>
      <c r="FD19" s="1083"/>
      <c r="FE19" s="1084">
        <f>'Profit and Loss'!U24</f>
        <v>0.72</v>
      </c>
      <c r="FF19" s="1083">
        <v>0.56</v>
      </c>
      <c r="FG19" s="1083">
        <v>0.58</v>
      </c>
      <c r="FH19" s="1083">
        <v>0.57</v>
      </c>
      <c r="FI19" s="1083">
        <f>(FB10*FJ19-EZ10*FH19)/FA10</f>
        <v>0.222464183381089</v>
      </c>
      <c r="FJ19" s="1083">
        <v>0.44</v>
      </c>
      <c r="FK19" s="1083">
        <f>(FE10*FM19-FB10*FJ19)/FC10</f>
        <v>0.365201735131573</v>
      </c>
      <c r="FL19" s="1083">
        <f>(FA10*FI19+FC10*FK19)/FD10</f>
        <v>0.292955418107938</v>
      </c>
      <c r="FM19" s="1084">
        <v>0.42</v>
      </c>
      <c r="FN19" s="1083">
        <v>0.47</v>
      </c>
      <c r="FO19" s="1083">
        <f>(FH10*FP19-FF10*FN19)/FG10</f>
        <v>0.506934720908231</v>
      </c>
      <c r="FP19" s="1083">
        <v>0.49</v>
      </c>
      <c r="FQ19" s="1083">
        <f>(FJ10*FR19-FH10*FP19)/FI10</f>
        <v>0.54536231884058</v>
      </c>
      <c r="FR19" s="1083">
        <v>0.51</v>
      </c>
      <c r="FS19" s="1083">
        <f>(FM10*FU19-FJ10*FR19)/FK10</f>
        <v>0.799854077253219</v>
      </c>
      <c r="FT19" s="1083">
        <f>(FI10*FQ19+FK10*FS19)/FL10</f>
        <v>0.676029087703834</v>
      </c>
      <c r="FU19" s="1094">
        <v>0.59</v>
      </c>
      <c r="FV19" s="1086">
        <v>0.53</v>
      </c>
      <c r="FW19" s="1087">
        <v>0.66</v>
      </c>
      <c r="FX19" s="1087">
        <f>(FN10*FV19+FO10*FW19)/FP10</f>
        <v>0.599203980099503</v>
      </c>
      <c r="FY19" s="1083">
        <v>0.39</v>
      </c>
      <c r="FZ19" s="1083">
        <f>(FN10*FV19+FO10*FW19+FQ10*FY19)/FR10</f>
        <v>0.520626941541937</v>
      </c>
      <c r="GA19" s="1083">
        <f>(FU10*GC19-FR10*FZ19)/FS10</f>
        <v>0.689582763337893</v>
      </c>
      <c r="GB19" s="1083">
        <f>(FQ10*FY19+FS10*GA19)/FT10</f>
        <v>0.546873209169054</v>
      </c>
      <c r="GC19" s="1084">
        <f>'Profit and Loss'!X24</f>
        <v>0.57</v>
      </c>
      <c r="GD19" s="1086">
        <v>0.27</v>
      </c>
      <c r="GE19" s="1087">
        <v>0.26</v>
      </c>
      <c r="GF19" s="1087">
        <f>(FV10*GD19+FW10*GE19)/FX10</f>
        <v>0.264678998911861</v>
      </c>
      <c r="GG19" s="1083">
        <v>0.76</v>
      </c>
      <c r="GH19" s="1083">
        <f>(FV10*GD19+FW10*GE19+FX10*GG19)/FZ10</f>
        <v>0.676818399616675</v>
      </c>
      <c r="GI19" s="1083">
        <v>0.24</v>
      </c>
      <c r="GJ19" s="1083">
        <f>(FY10*GG19+GA10*GI19)/GB10</f>
        <v>0.477460522075411</v>
      </c>
      <c r="GK19" s="1084">
        <v>0.36</v>
      </c>
      <c r="GL19" s="1083">
        <v>0.4</v>
      </c>
      <c r="GM19" s="1087">
        <v>0.37</v>
      </c>
      <c r="GN19" s="1087">
        <f>(GD10*GL19+GE10*GM19)/GF10</f>
        <v>0.383759476223294</v>
      </c>
      <c r="GO19" s="1083">
        <v>0.14</v>
      </c>
      <c r="GP19" s="1083">
        <f>(GD10*GL19+GE10*GM19+GF10*GO19)/GH10</f>
        <v>0.330423913043478</v>
      </c>
      <c r="GQ19" s="1083">
        <v>0.46</v>
      </c>
      <c r="GR19" s="1083">
        <f>(GG10*GO19+GI10*GQ19)/GJ10</f>
        <v>0.308477412158394</v>
      </c>
      <c r="GS19" s="1084">
        <v>0.34</v>
      </c>
      <c r="GT19" s="1083">
        <v>0.35</v>
      </c>
      <c r="GU19" s="1087">
        <v>0.93</v>
      </c>
      <c r="GV19" s="1087">
        <f>(GL10*GT19+GM10*GU19)/GN10</f>
        <v>0.661465892597968</v>
      </c>
      <c r="GW19" s="1083">
        <v>0.51</v>
      </c>
      <c r="GX19" s="1083"/>
      <c r="GY19" s="1083">
        <v>0.43</v>
      </c>
      <c r="GZ19" s="1083">
        <f>(GO10*GW19+GQ10*GY19)/GR10</f>
        <v>0.46588921950103</v>
      </c>
      <c r="HA19" s="1084">
        <v>0.53</v>
      </c>
      <c r="HB19" s="1083">
        <v>0.43</v>
      </c>
      <c r="HC19" s="1083">
        <v>-0.14</v>
      </c>
      <c r="HD19" s="1087">
        <f>(GT10*HB19+GU10*HC19)/GV10</f>
        <v>0.125445255474453</v>
      </c>
      <c r="HE19" s="1083">
        <v>0.08</v>
      </c>
      <c r="HF19" s="1083"/>
      <c r="HG19" s="1083">
        <v>-0.02</v>
      </c>
      <c r="HH19" s="1083">
        <f>(GW10*HE19+GY10*HG19)/GZ10</f>
        <v>0.024708882277943</v>
      </c>
      <c r="HI19" s="1084">
        <v>0.04</v>
      </c>
      <c r="HJ19" s="1083">
        <v>0.02</v>
      </c>
      <c r="HK19" s="1083">
        <v>0.13</v>
      </c>
      <c r="HL19" s="1083"/>
      <c r="HM19" s="1083">
        <v>0.08</v>
      </c>
      <c r="HN19" s="1083"/>
      <c r="HO19" s="1083">
        <v>-0.04</v>
      </c>
      <c r="HP19" s="1083">
        <f>(HE10*HM19+HG10*HO19)/HH10</f>
        <v>0.0142004933841669</v>
      </c>
      <c r="HQ19" s="1084">
        <v>0.04</v>
      </c>
      <c r="HR19" s="1083">
        <v>-0.23</v>
      </c>
      <c r="HS19" s="1083">
        <v>0.14</v>
      </c>
      <c r="HT19" s="1083"/>
      <c r="HU19" s="1083">
        <v>0.01</v>
      </c>
      <c r="HV19" s="1083"/>
      <c r="HW19" s="1083">
        <v>-0.12</v>
      </c>
      <c r="HX19" s="1083">
        <f>(HM10*HU19+HO10*HW19)/HP10</f>
        <v>-0.0575913621262458</v>
      </c>
      <c r="HY19" s="1084">
        <v>-0.05</v>
      </c>
      <c r="HZ19" s="1083">
        <v>0.34</v>
      </c>
      <c r="IA19" s="1083">
        <v>-0.06</v>
      </c>
      <c r="IB19" s="1083"/>
      <c r="IC19" s="1083">
        <v>-0.03</v>
      </c>
      <c r="ID19" s="1083"/>
      <c r="IE19" s="1083"/>
      <c r="IF19" s="1083"/>
      <c r="IG19" s="1084"/>
      <c r="IH19" s="1083">
        <v>0.18</v>
      </c>
      <c r="II19" s="1083">
        <v>-0.03</v>
      </c>
      <c r="IJ19" s="1083"/>
      <c r="IK19" s="1083">
        <v>0.15</v>
      </c>
      <c r="IL19" s="1083"/>
      <c r="IM19" s="1083">
        <v>0.21</v>
      </c>
      <c r="IN19" s="1083"/>
      <c r="IO19" s="1084">
        <v>0.16</v>
      </c>
      <c r="IP19" s="1083">
        <v>0.25</v>
      </c>
      <c r="IQ19" s="1083">
        <v>0.27</v>
      </c>
      <c r="IR19" s="1083"/>
      <c r="IS19" s="1083"/>
      <c r="IT19" s="1083"/>
      <c r="IU19" s="1083"/>
      <c r="IV19" s="1083"/>
      <c r="IW19" s="1083"/>
      <c r="IX19" s="1097"/>
      <c r="IY19" s="1049"/>
      <c r="IZ19" s="1037"/>
      <c r="JB19" s="765"/>
      <c r="JC19" s="765"/>
      <c r="JD19" s="765"/>
      <c r="JE19" s="765"/>
      <c r="JF19" s="765"/>
      <c r="JG19" s="765"/>
      <c r="JH19" s="765"/>
      <c r="JI19" s="765"/>
      <c r="JJ19" s="765"/>
      <c r="JK19" s="765"/>
      <c r="JL19" s="765"/>
      <c r="JM19" s="765"/>
      <c r="JN19" s="765"/>
      <c r="JO19" s="765"/>
      <c r="JP19" s="765"/>
      <c r="JQ19" s="1035"/>
      <c r="JR19" s="1078"/>
      <c r="JS19" s="1079"/>
      <c r="JT19" s="1079"/>
      <c r="JU19" s="1079"/>
      <c r="JV19" s="1079"/>
      <c r="JW19" s="1079"/>
      <c r="JX19" s="1079"/>
      <c r="JY19" s="1079"/>
      <c r="JZ19" s="1079"/>
    </row>
    <row r="20" spans="1:334">
      <c r="A20" s="967" t="s">
        <v>66</v>
      </c>
      <c r="AX20" s="1059"/>
      <c r="BE20" s="1060"/>
      <c r="BN20" s="1059"/>
      <c r="BU20" s="1060"/>
      <c r="BV20" s="1059"/>
      <c r="CC20" s="1060"/>
      <c r="CD20" s="1059"/>
      <c r="CJ20" s="1061"/>
      <c r="CK20" s="1060"/>
      <c r="CL20" s="1059"/>
      <c r="CS20" s="1060"/>
      <c r="CT20" s="967"/>
      <c r="CU20" s="967"/>
      <c r="CV20" s="967"/>
      <c r="CW20" s="967"/>
      <c r="CX20" s="967"/>
      <c r="CY20" s="967"/>
      <c r="CZ20" s="967"/>
      <c r="DA20" s="967"/>
      <c r="DB20" s="1080">
        <f t="shared" ref="DB20:EG20" si="145">DB10/DB$26</f>
        <v>0.137772675086108</v>
      </c>
      <c r="DC20" s="1080">
        <f t="shared" si="145"/>
        <v>0.168257756563246</v>
      </c>
      <c r="DD20" s="1080">
        <f t="shared" si="145"/>
        <v>0.152720889409011</v>
      </c>
      <c r="DE20" s="1080">
        <f t="shared" si="145"/>
        <v>0.159467359532316</v>
      </c>
      <c r="DF20" s="1080">
        <f t="shared" si="145"/>
        <v>0.155252254447965</v>
      </c>
      <c r="DG20" s="1080">
        <f t="shared" si="145"/>
        <v>0.180124223602484</v>
      </c>
      <c r="DH20" s="1080">
        <f t="shared" si="145"/>
        <v>0.168877099911583</v>
      </c>
      <c r="DI20" s="1081">
        <f t="shared" si="145"/>
        <v>0.182716628797783</v>
      </c>
      <c r="DJ20" s="1080">
        <f t="shared" si="145"/>
        <v>0.155219247186651</v>
      </c>
      <c r="DK20" s="1080">
        <f t="shared" si="145"/>
        <v>0.197802197802198</v>
      </c>
      <c r="DL20" s="1080">
        <f t="shared" si="145"/>
        <v>0.176003178386969</v>
      </c>
      <c r="DM20" s="1080">
        <f t="shared" si="145"/>
        <v>0.181440443213296</v>
      </c>
      <c r="DN20" s="1080">
        <f t="shared" si="145"/>
        <v>0.17796289284362</v>
      </c>
      <c r="DO20" s="1080">
        <f t="shared" si="145"/>
        <v>0.20219690805533</v>
      </c>
      <c r="DP20" s="1080">
        <f t="shared" si="145"/>
        <v>0.191162703613556</v>
      </c>
      <c r="DQ20" s="1081">
        <f t="shared" si="145"/>
        <v>0.183923574254559</v>
      </c>
      <c r="DR20" s="1082">
        <f t="shared" si="145"/>
        <v>0.171652954375467</v>
      </c>
      <c r="DS20" s="1083">
        <f t="shared" si="145"/>
        <v>0.2063764141241</v>
      </c>
      <c r="DT20" s="1083">
        <f t="shared" si="145"/>
        <v>0.189803220035778</v>
      </c>
      <c r="DU20" s="1083">
        <f t="shared" si="145"/>
        <v>0.191753171856978</v>
      </c>
      <c r="DV20" s="1083">
        <f t="shared" si="145"/>
        <v>0.190549790240671</v>
      </c>
      <c r="DW20" s="1083">
        <f t="shared" si="145"/>
        <v>0.22612551159618</v>
      </c>
      <c r="DX20" s="1083">
        <f t="shared" si="145"/>
        <v>0.2075</v>
      </c>
      <c r="DY20" s="1084">
        <f t="shared" si="145"/>
        <v>0.199249374478732</v>
      </c>
      <c r="DZ20" s="1082">
        <f t="shared" si="145"/>
        <v>0.176290864650168</v>
      </c>
      <c r="EA20" s="1083">
        <f t="shared" si="145"/>
        <v>0.222258485639687</v>
      </c>
      <c r="EB20" s="1083">
        <f t="shared" si="145"/>
        <v>0.198516648256273</v>
      </c>
      <c r="EC20" s="1083">
        <f t="shared" si="145"/>
        <v>0.202190170940171</v>
      </c>
      <c r="ED20" s="1083">
        <f t="shared" si="145"/>
        <v>0.199880964190061</v>
      </c>
      <c r="EE20" s="1083">
        <f t="shared" si="145"/>
        <v>0.240049367479173</v>
      </c>
      <c r="EF20" s="1083">
        <f t="shared" si="145"/>
        <v>0.219756621331424</v>
      </c>
      <c r="EG20" s="1084">
        <f t="shared" si="145"/>
        <v>0.209637469038505</v>
      </c>
      <c r="EH20" s="1082">
        <f t="shared" ref="EH20:FM20" si="146">EH10/EH$26</f>
        <v>0.181223849372385</v>
      </c>
      <c r="EI20" s="1083">
        <f t="shared" si="146"/>
        <v>0.242820585726471</v>
      </c>
      <c r="EJ20" s="1083">
        <f t="shared" si="146"/>
        <v>0.210734232393407</v>
      </c>
      <c r="EK20" s="1083">
        <f t="shared" si="146"/>
        <v>0.226216151449796</v>
      </c>
      <c r="EL20" s="1083">
        <f t="shared" si="146"/>
        <v>0.216345318742401</v>
      </c>
      <c r="EM20" s="1083">
        <f t="shared" si="146"/>
        <v>0.26179875333927</v>
      </c>
      <c r="EN20" s="1083">
        <f t="shared" si="146"/>
        <v>0.242110845929462</v>
      </c>
      <c r="EO20" s="1084">
        <f t="shared" si="146"/>
        <v>0.226634415104482</v>
      </c>
      <c r="EP20" s="1083">
        <f t="shared" si="146"/>
        <v>0.19248200479872</v>
      </c>
      <c r="EQ20" s="1083">
        <f t="shared" si="146"/>
        <v>0.256281407035176</v>
      </c>
      <c r="ER20" s="1083">
        <f t="shared" si="146"/>
        <v>0.22273619287917</v>
      </c>
      <c r="ES20" s="1083">
        <f t="shared" si="146"/>
        <v>0.237947924722867</v>
      </c>
      <c r="ET20" s="1083">
        <f t="shared" si="146"/>
        <v>0.228094070643785</v>
      </c>
      <c r="EU20" s="1083">
        <f t="shared" si="146"/>
        <v>0.268467950560506</v>
      </c>
      <c r="EV20" s="1083">
        <f t="shared" si="146"/>
        <v>0.252378363685784</v>
      </c>
      <c r="EW20" s="1084">
        <f t="shared" si="146"/>
        <v>0.237786364890974</v>
      </c>
      <c r="EX20" s="1083">
        <f t="shared" si="146"/>
        <v>0.224738182847438</v>
      </c>
      <c r="EY20" s="1083">
        <f t="shared" si="146"/>
        <v>0.280773739742087</v>
      </c>
      <c r="EZ20" s="1083">
        <f t="shared" si="146"/>
        <v>0.254207777132908</v>
      </c>
      <c r="FA20" s="1095">
        <f t="shared" si="146"/>
        <v>0.257564575645756</v>
      </c>
      <c r="FB20" s="1083">
        <f t="shared" si="146"/>
        <v>0.255453134982203</v>
      </c>
      <c r="FC20" s="1083">
        <f t="shared" si="146"/>
        <v>0.282982047789089</v>
      </c>
      <c r="FD20" s="1094">
        <f t="shared" si="146"/>
        <v>0.273280505175683</v>
      </c>
      <c r="FE20" s="1084">
        <f t="shared" si="146"/>
        <v>0.264190833119329</v>
      </c>
      <c r="FF20" s="1083">
        <f t="shared" si="146"/>
        <v>0.219201567474896</v>
      </c>
      <c r="FG20" s="1083">
        <f t="shared" si="146"/>
        <v>0.270540056309189</v>
      </c>
      <c r="FH20" s="1083">
        <f t="shared" si="146"/>
        <v>0.244305381727159</v>
      </c>
      <c r="FI20" s="1083">
        <f t="shared" si="146"/>
        <v>0.232079041412655</v>
      </c>
      <c r="FJ20" s="1083">
        <f t="shared" si="146"/>
        <v>0.239742684553228</v>
      </c>
      <c r="FK20" s="1083">
        <f t="shared" si="146"/>
        <v>0.279510556621881</v>
      </c>
      <c r="FL20" s="1083">
        <f t="shared" si="146"/>
        <v>0.254229691876751</v>
      </c>
      <c r="FM20" s="1084">
        <f t="shared" si="146"/>
        <v>0.249541826780964</v>
      </c>
      <c r="FN20" s="1083">
        <f t="shared" ref="FN20:FU20" si="147">FN10/FN$26</f>
        <v>0.216816942755295</v>
      </c>
      <c r="FO20" s="1083">
        <f t="shared" si="147"/>
        <v>0.266108975808275</v>
      </c>
      <c r="FP20" s="1083">
        <f t="shared" si="147"/>
        <v>0.240535248041775</v>
      </c>
      <c r="FQ20" s="1083">
        <f t="shared" si="147"/>
        <v>0.245750184774575</v>
      </c>
      <c r="FR20" s="1083">
        <f t="shared" si="147"/>
        <v>0.242467817036428</v>
      </c>
      <c r="FS20" s="1083">
        <f t="shared" si="147"/>
        <v>0.311993171148101</v>
      </c>
      <c r="FT20" s="1083">
        <f t="shared" si="147"/>
        <v>0.276490394137453</v>
      </c>
      <c r="FU20" s="1083">
        <f t="shared" si="147"/>
        <v>0.259357179885951</v>
      </c>
      <c r="FV20" s="1086">
        <f t="shared" ref="FV20:GC20" si="148">FV10/FV$26</f>
        <v>0.236871098053617</v>
      </c>
      <c r="FW20" s="1087">
        <f t="shared" si="148"/>
        <v>0.291186978959905</v>
      </c>
      <c r="FX20" s="1087">
        <f t="shared" si="148"/>
        <v>0.262972148035101</v>
      </c>
      <c r="FY20" s="1083">
        <f t="shared" si="148"/>
        <v>0.249559704121169</v>
      </c>
      <c r="FZ20" s="1083">
        <f t="shared" si="148"/>
        <v>0.258260116322237</v>
      </c>
      <c r="GA20" s="1083">
        <f t="shared" si="148"/>
        <v>0.333465189873418</v>
      </c>
      <c r="GB20" s="1083">
        <f t="shared" si="148"/>
        <v>0.289081423514067</v>
      </c>
      <c r="GC20" s="1084">
        <f t="shared" si="148"/>
        <v>0.27618060137619</v>
      </c>
      <c r="GD20" s="1086">
        <f t="shared" ref="GD20:GL20" si="149">GD10/GD$26</f>
        <v>0.239906272530642</v>
      </c>
      <c r="GE20" s="1087">
        <f t="shared" si="149"/>
        <v>0.29861243109675</v>
      </c>
      <c r="GF20" s="1087">
        <f t="shared" si="149"/>
        <v>0.268479970395041</v>
      </c>
      <c r="GG20" s="1087">
        <f t="shared" si="149"/>
        <v>0.289119700323514</v>
      </c>
      <c r="GH20" s="1083">
        <f t="shared" si="149"/>
        <v>0.27574631339168</v>
      </c>
      <c r="GI20" s="1087">
        <f t="shared" si="149"/>
        <v>0.360787311293713</v>
      </c>
      <c r="GJ20" s="1083">
        <f t="shared" si="149"/>
        <v>0.322888528723213</v>
      </c>
      <c r="GK20" s="1088">
        <f t="shared" si="149"/>
        <v>0.296052931781885</v>
      </c>
      <c r="GL20" s="1087">
        <f t="shared" si="149"/>
        <v>0.271120176780554</v>
      </c>
      <c r="GM20" s="1087">
        <f t="shared" ref="GM20:GN20" si="150">GM10/GM$26</f>
        <v>0.335814122345253</v>
      </c>
      <c r="GN20" s="1087">
        <f t="shared" si="150"/>
        <v>0.302405196629214</v>
      </c>
      <c r="GO20" s="1087">
        <f t="shared" ref="GO20:GS20" si="151">GO10/GO$26</f>
        <v>0.305772230889235</v>
      </c>
      <c r="GP20" s="1083">
        <f t="shared" si="151"/>
        <v>0.303617571059432</v>
      </c>
      <c r="GQ20" s="1087">
        <f t="shared" si="151"/>
        <v>0.412570645658503</v>
      </c>
      <c r="GR20" s="1083">
        <f t="shared" si="151"/>
        <v>0.356682178136991</v>
      </c>
      <c r="GS20" s="1088">
        <f t="shared" si="151"/>
        <v>0.33052747345713</v>
      </c>
      <c r="GT20" s="1087">
        <f t="shared" ref="GT20:HA20" si="152">GT10/GT$26</f>
        <v>0.335577529981065</v>
      </c>
      <c r="GU20" s="1087">
        <f t="shared" si="152"/>
        <v>0.511366446592805</v>
      </c>
      <c r="GV20" s="1087">
        <f t="shared" si="152"/>
        <v>0.41108318679368</v>
      </c>
      <c r="GW20" s="1087">
        <f t="shared" si="152"/>
        <v>0.352764320906886</v>
      </c>
      <c r="GX20" s="1083"/>
      <c r="GY20" s="1087">
        <f t="shared" si="152"/>
        <v>0.468995216501135</v>
      </c>
      <c r="GZ20" s="1083">
        <f t="shared" si="152"/>
        <v>0.408778292326513</v>
      </c>
      <c r="HA20" s="1088">
        <f t="shared" si="152"/>
        <v>0.409746018947793</v>
      </c>
      <c r="HB20" s="1087">
        <f t="shared" ref="HB20:HE20" si="153">HB10/HB$26</f>
        <v>0.343394077448747</v>
      </c>
      <c r="HC20" s="1087">
        <f t="shared" si="153"/>
        <v>0.375024620839078</v>
      </c>
      <c r="HD20" s="1087">
        <f t="shared" si="153"/>
        <v>0.358917351377477</v>
      </c>
      <c r="HE20" s="1087">
        <f t="shared" si="153"/>
        <v>0.350139082058414</v>
      </c>
      <c r="HF20" s="1083"/>
      <c r="HG20" s="1087">
        <f t="shared" ref="HG20:HK20" si="154">HG10/HG$26</f>
        <v>0.475958730776718</v>
      </c>
      <c r="HH20" s="1083">
        <f t="shared" si="154"/>
        <v>0.409495821471209</v>
      </c>
      <c r="HI20" s="1088">
        <f t="shared" si="154"/>
        <v>0.38485447866629</v>
      </c>
      <c r="HJ20" s="1087">
        <f t="shared" si="154"/>
        <v>0.359298377970577</v>
      </c>
      <c r="HK20" s="1087">
        <f t="shared" si="154"/>
        <v>0.378238341968912</v>
      </c>
      <c r="HL20" s="1083"/>
      <c r="HM20" s="1087">
        <f t="shared" ref="HM20" si="155">HM10/HM$26</f>
        <v>0.360799001248439</v>
      </c>
      <c r="HN20" s="1083"/>
      <c r="HO20" s="1087">
        <f t="shared" ref="HO20:HS20" si="156">HO10/HO$26</f>
        <v>0.481168332052267</v>
      </c>
      <c r="HP20" s="1083">
        <f t="shared" si="156"/>
        <v>0.410606189786</v>
      </c>
      <c r="HQ20" s="1088">
        <f t="shared" si="156"/>
        <v>0.392608058282617</v>
      </c>
      <c r="HR20" s="1087">
        <f t="shared" si="156"/>
        <v>0.336367083807357</v>
      </c>
      <c r="HS20" s="1087">
        <f t="shared" si="156"/>
        <v>0.472992110054623</v>
      </c>
      <c r="HT20" s="1083"/>
      <c r="HU20" s="1087">
        <f t="shared" ref="HU20" si="157">HU10/HU$26</f>
        <v>0.396884404319349</v>
      </c>
      <c r="HV20" s="1083"/>
      <c r="HW20" s="1087">
        <f t="shared" ref="HW20:IA20" si="158">HW10/HW$26</f>
        <v>0.484829592684954</v>
      </c>
      <c r="HX20" s="1083">
        <f t="shared" si="158"/>
        <v>0.437338686550043</v>
      </c>
      <c r="HY20" s="1088">
        <f t="shared" si="158"/>
        <v>0.420108327691266</v>
      </c>
      <c r="HZ20" s="1087">
        <f t="shared" si="158"/>
        <v>0.385455915599096</v>
      </c>
      <c r="IA20" s="1087">
        <f t="shared" si="158"/>
        <v>0.424759871931697</v>
      </c>
      <c r="IB20" s="1083"/>
      <c r="IC20" s="1087">
        <f t="shared" ref="IC20" si="159">IC10/IC$26</f>
        <v>0.376082077588971</v>
      </c>
      <c r="ID20" s="1083"/>
      <c r="IE20" s="1083"/>
      <c r="IF20" s="1083"/>
      <c r="IG20" s="1084"/>
      <c r="IH20" s="1087">
        <f t="shared" ref="IH20:II20" si="160">IH10/IH$26</f>
        <v>0.351535836177474</v>
      </c>
      <c r="II20" s="1087">
        <f t="shared" si="160"/>
        <v>0.392809139784946</v>
      </c>
      <c r="IJ20" s="1083"/>
      <c r="IK20" s="1087">
        <f t="shared" ref="IK20:IQ20" si="161">IK10/IK$26</f>
        <v>0.364555052790347</v>
      </c>
      <c r="IL20" s="1083"/>
      <c r="IM20" s="1087">
        <f t="shared" si="161"/>
        <v>0.495720868992758</v>
      </c>
      <c r="IN20" s="1083"/>
      <c r="IO20" s="1088">
        <f t="shared" si="161"/>
        <v>0.400266011043489</v>
      </c>
      <c r="IP20" s="1087">
        <f t="shared" si="161"/>
        <v>0.37621359223301</v>
      </c>
      <c r="IQ20" s="1087">
        <f t="shared" si="161"/>
        <v>0.431410351475604</v>
      </c>
      <c r="IR20" s="1083"/>
      <c r="IS20" s="1083"/>
      <c r="IT20" s="1083"/>
      <c r="IU20" s="1083"/>
      <c r="IV20" s="1083"/>
      <c r="IW20" s="1083"/>
      <c r="IX20" s="1083"/>
      <c r="IY20" s="1049"/>
      <c r="IZ20" s="1037"/>
      <c r="JB20" s="765"/>
      <c r="JC20" s="765"/>
      <c r="JD20" s="765"/>
      <c r="JE20" s="765"/>
      <c r="JF20" s="765"/>
      <c r="JG20" s="765"/>
      <c r="JH20" s="765"/>
      <c r="JI20" s="765"/>
      <c r="JJ20" s="765"/>
      <c r="JK20" s="765"/>
      <c r="JL20" s="765"/>
      <c r="JM20" s="765"/>
      <c r="JN20" s="765"/>
      <c r="JO20" s="765"/>
      <c r="JP20" s="765"/>
      <c r="JQ20" s="1035"/>
      <c r="JR20" s="1090"/>
      <c r="JS20" s="1082"/>
      <c r="JT20" s="1082"/>
      <c r="JU20" s="1082"/>
      <c r="JV20" s="1082"/>
      <c r="JW20" s="1082"/>
      <c r="JX20" s="1082"/>
      <c r="JY20" s="1082"/>
      <c r="JZ20" s="1082"/>
    </row>
    <row r="21" spans="1:334">
      <c r="A21" s="1025" t="s">
        <v>70</v>
      </c>
      <c r="AX21" s="1059"/>
      <c r="BE21" s="1060"/>
      <c r="BN21" s="1059"/>
      <c r="BU21" s="1060"/>
      <c r="BV21" s="1059"/>
      <c r="CC21" s="1060"/>
      <c r="CD21" s="1059"/>
      <c r="CJ21" s="1061"/>
      <c r="CK21" s="1060"/>
      <c r="CL21" s="1059"/>
      <c r="CS21" s="1060"/>
      <c r="CT21" s="1025"/>
      <c r="CU21" s="1025"/>
      <c r="CV21" s="1025"/>
      <c r="CW21" s="1025"/>
      <c r="CX21" s="1025"/>
      <c r="CY21" s="1025"/>
      <c r="CZ21" s="1025"/>
      <c r="DA21" s="1025"/>
      <c r="DB21" s="1071">
        <v>285</v>
      </c>
      <c r="DC21" s="1071">
        <v>336</v>
      </c>
      <c r="DD21" s="1071">
        <f>DB21+DC21</f>
        <v>621</v>
      </c>
      <c r="DE21" s="1071">
        <v>347</v>
      </c>
      <c r="DF21" s="1071">
        <f>DD21+DE21</f>
        <v>968</v>
      </c>
      <c r="DG21" s="1071">
        <v>318</v>
      </c>
      <c r="DH21" s="1071">
        <f>DE21+DG21</f>
        <v>665</v>
      </c>
      <c r="DI21" s="1072">
        <f>'Profit and Loss'!O21</f>
        <v>15.9968633149802</v>
      </c>
      <c r="DJ21" s="1071">
        <v>295</v>
      </c>
      <c r="DK21" s="1071">
        <v>362</v>
      </c>
      <c r="DL21" s="1071">
        <f>DJ21+DK21</f>
        <v>657</v>
      </c>
      <c r="DM21" s="1071">
        <v>326</v>
      </c>
      <c r="DN21" s="1071">
        <f>DM21+DL21</f>
        <v>983</v>
      </c>
      <c r="DO21" s="1071">
        <v>308</v>
      </c>
      <c r="DP21" s="1071">
        <f>DO21+DM21</f>
        <v>634</v>
      </c>
      <c r="DQ21" s="1072">
        <f>'Profit and Loss'!P27</f>
        <v>1293</v>
      </c>
      <c r="DR21" s="1073">
        <v>316</v>
      </c>
      <c r="DS21" s="1073">
        <v>387</v>
      </c>
      <c r="DT21" s="1073">
        <f>DR21+DS21</f>
        <v>703</v>
      </c>
      <c r="DU21" s="1073">
        <v>382</v>
      </c>
      <c r="DV21" s="1073">
        <f>DT21+DU21</f>
        <v>1085</v>
      </c>
      <c r="DW21" s="1073">
        <f>DY21-DV21</f>
        <v>335</v>
      </c>
      <c r="DX21" s="1073">
        <f>DU21+DW21</f>
        <v>717</v>
      </c>
      <c r="DY21" s="1074">
        <f>'Profit and Loss'!Q27</f>
        <v>1420</v>
      </c>
      <c r="DZ21" s="1071">
        <v>376</v>
      </c>
      <c r="EA21" s="1071">
        <v>410</v>
      </c>
      <c r="EB21" s="1071">
        <f>DZ21+EA21</f>
        <v>786</v>
      </c>
      <c r="EC21" s="1071">
        <f>ED21-EB21</f>
        <v>411</v>
      </c>
      <c r="ED21" s="1071">
        <v>1197</v>
      </c>
      <c r="EE21" s="1071">
        <v>382</v>
      </c>
      <c r="EF21" s="1071">
        <f>+EG21-EB21</f>
        <v>794</v>
      </c>
      <c r="EG21" s="1072">
        <v>1580</v>
      </c>
      <c r="EH21" s="1071">
        <v>517</v>
      </c>
      <c r="EI21" s="1071">
        <f>+EJ21-EH21</f>
        <v>550</v>
      </c>
      <c r="EJ21" s="1071">
        <v>1067</v>
      </c>
      <c r="EK21" s="1071">
        <f>EL21-EJ21</f>
        <v>486</v>
      </c>
      <c r="EL21" s="1071">
        <v>1553</v>
      </c>
      <c r="EM21" s="1071">
        <v>424</v>
      </c>
      <c r="EN21" s="1071">
        <f>EK21+EM21</f>
        <v>910</v>
      </c>
      <c r="EO21" s="1072">
        <f>EH21+EI21+EK21+EM21</f>
        <v>1977</v>
      </c>
      <c r="EP21" s="1071">
        <v>548</v>
      </c>
      <c r="EQ21" s="1071">
        <f>ER21-EP21</f>
        <v>502</v>
      </c>
      <c r="ER21" s="1071">
        <v>1050</v>
      </c>
      <c r="ES21" s="1071">
        <v>403</v>
      </c>
      <c r="ET21" s="1071">
        <f>ET26-ET5-ET10</f>
        <v>1453</v>
      </c>
      <c r="EU21" s="1071">
        <v>493</v>
      </c>
      <c r="EV21" s="1071">
        <f>EV26-EV5-EV10</f>
        <v>896</v>
      </c>
      <c r="EW21" s="1072">
        <f>EW26-EW5-EW10</f>
        <v>1946</v>
      </c>
      <c r="EX21" s="1071">
        <v>382</v>
      </c>
      <c r="EY21" s="1071">
        <v>422</v>
      </c>
      <c r="EZ21" s="1071">
        <f>EX21+EY21</f>
        <v>804</v>
      </c>
      <c r="FA21" s="1098">
        <v>354</v>
      </c>
      <c r="FB21" s="1071">
        <f>EZ21+FA21</f>
        <v>1158</v>
      </c>
      <c r="FC21" s="1071">
        <f>FC209</f>
        <v>366</v>
      </c>
      <c r="FD21" s="1071">
        <f>FA21+FC21</f>
        <v>720</v>
      </c>
      <c r="FE21" s="1072">
        <f>EZ21+FD21</f>
        <v>1524</v>
      </c>
      <c r="FF21" s="1071">
        <f>FF209</f>
        <v>377</v>
      </c>
      <c r="FG21" s="1071">
        <f>FG209</f>
        <v>365</v>
      </c>
      <c r="FH21" s="1071">
        <f>FH209</f>
        <v>742</v>
      </c>
      <c r="FI21" s="1071">
        <f>FI209</f>
        <v>342</v>
      </c>
      <c r="FJ21" s="1071">
        <f>FJ209</f>
        <v>1084</v>
      </c>
      <c r="FK21" s="1071">
        <f>FM21-FJ21</f>
        <v>383</v>
      </c>
      <c r="FL21" s="1071">
        <f>FM21-FH21</f>
        <v>725</v>
      </c>
      <c r="FM21" s="1072">
        <f t="shared" ref="FM21:GE21" si="162">FM209</f>
        <v>1467</v>
      </c>
      <c r="FN21" s="1071">
        <f t="shared" si="162"/>
        <v>396</v>
      </c>
      <c r="FO21" s="1071">
        <f t="shared" si="162"/>
        <v>377</v>
      </c>
      <c r="FP21" s="1071">
        <f t="shared" si="162"/>
        <v>773</v>
      </c>
      <c r="FQ21" s="1071">
        <f t="shared" si="162"/>
        <v>366</v>
      </c>
      <c r="FR21" s="1071">
        <f t="shared" si="162"/>
        <v>1139</v>
      </c>
      <c r="FS21" s="1071">
        <f t="shared" si="162"/>
        <v>336</v>
      </c>
      <c r="FT21" s="1071">
        <f t="shared" si="162"/>
        <v>702</v>
      </c>
      <c r="FU21" s="1071">
        <f t="shared" si="162"/>
        <v>1475</v>
      </c>
      <c r="FV21" s="1075">
        <f t="shared" si="162"/>
        <v>197</v>
      </c>
      <c r="FW21" s="1076">
        <f t="shared" si="162"/>
        <v>198</v>
      </c>
      <c r="FX21" s="1076">
        <f t="shared" si="162"/>
        <v>395</v>
      </c>
      <c r="FY21" s="1071">
        <f t="shared" si="162"/>
        <v>192</v>
      </c>
      <c r="FZ21" s="1071">
        <f t="shared" si="162"/>
        <v>587</v>
      </c>
      <c r="GA21" s="1071">
        <f t="shared" si="162"/>
        <v>154</v>
      </c>
      <c r="GB21" s="1071">
        <f t="shared" si="162"/>
        <v>346</v>
      </c>
      <c r="GC21" s="1072">
        <f t="shared" si="162"/>
        <v>741</v>
      </c>
      <c r="GD21" s="1075">
        <f t="shared" si="162"/>
        <v>190</v>
      </c>
      <c r="GE21" s="1076">
        <f t="shared" si="162"/>
        <v>189</v>
      </c>
      <c r="GF21" s="1076">
        <f>GE21+GD21</f>
        <v>379</v>
      </c>
      <c r="GG21" s="1076">
        <f>GG209</f>
        <v>230</v>
      </c>
      <c r="GH21" s="1071">
        <f>GG21+GF21</f>
        <v>609</v>
      </c>
      <c r="GI21" s="1076">
        <f>GI209</f>
        <v>220</v>
      </c>
      <c r="GJ21" s="1071">
        <f t="shared" ref="GJ21" si="163">GJ209</f>
        <v>450</v>
      </c>
      <c r="GK21" s="1072">
        <f>GI21+GG21+GE21+GD21</f>
        <v>829</v>
      </c>
      <c r="GL21" s="1076">
        <f>GL209</f>
        <v>195</v>
      </c>
      <c r="GM21" s="1076">
        <f>GM209</f>
        <v>147</v>
      </c>
      <c r="GN21" s="1076">
        <f>GM21+GL21</f>
        <v>342</v>
      </c>
      <c r="GO21" s="1076">
        <f>GO209</f>
        <v>162</v>
      </c>
      <c r="GP21" s="1071">
        <f>GO21+GN21</f>
        <v>504</v>
      </c>
      <c r="GQ21" s="1076">
        <f>GQ209</f>
        <v>101</v>
      </c>
      <c r="GR21" s="1071">
        <f t="shared" ref="GR21" si="164">GR209</f>
        <v>263</v>
      </c>
      <c r="GS21" s="1072">
        <f>GQ21+GO21+GM21+GL21</f>
        <v>605</v>
      </c>
      <c r="GT21" s="1076">
        <f>GT209</f>
        <v>156</v>
      </c>
      <c r="GU21" s="1076">
        <f>GU209</f>
        <v>73.647</v>
      </c>
      <c r="GV21" s="1076">
        <f>GU21+GT21</f>
        <v>229.647</v>
      </c>
      <c r="GW21" s="1076">
        <f>GW209</f>
        <v>153.09</v>
      </c>
      <c r="GX21" s="1071"/>
      <c r="GY21" s="1076">
        <f>GY209</f>
        <v>93.263</v>
      </c>
      <c r="GZ21" s="1071">
        <f t="shared" ref="GZ21:HC21" si="165">GZ209</f>
        <v>246.353</v>
      </c>
      <c r="HA21" s="1077">
        <f t="shared" si="165"/>
        <v>476</v>
      </c>
      <c r="HB21" s="1076">
        <f t="shared" si="165"/>
        <v>39</v>
      </c>
      <c r="HC21" s="1076">
        <f t="shared" si="165"/>
        <v>34</v>
      </c>
      <c r="HD21" s="1076">
        <f>HC21+HB21</f>
        <v>73</v>
      </c>
      <c r="HE21" s="1076">
        <f>HE209</f>
        <v>44.0000000000036</v>
      </c>
      <c r="HF21" s="1071"/>
      <c r="HG21" s="1076">
        <f>HG209</f>
        <v>26.9999999999981</v>
      </c>
      <c r="HH21" s="1071">
        <f t="shared" ref="HH21:HK21" si="166">HH209</f>
        <v>71.0000000000017</v>
      </c>
      <c r="HI21" s="1077">
        <f t="shared" si="166"/>
        <v>144.000000000002</v>
      </c>
      <c r="HJ21" s="1076">
        <f t="shared" si="166"/>
        <v>36</v>
      </c>
      <c r="HK21" s="1076">
        <f t="shared" si="166"/>
        <v>29</v>
      </c>
      <c r="HL21" s="1071"/>
      <c r="HM21" s="1076">
        <f>HM209</f>
        <v>46</v>
      </c>
      <c r="HN21" s="1071"/>
      <c r="HO21" s="1076">
        <f>HO209</f>
        <v>39</v>
      </c>
      <c r="HP21" s="1071">
        <f t="shared" ref="HP21:HS21" si="167">HP209</f>
        <v>85</v>
      </c>
      <c r="HQ21" s="1077">
        <f t="shared" si="167"/>
        <v>150</v>
      </c>
      <c r="HR21" s="1076">
        <f t="shared" si="167"/>
        <v>80</v>
      </c>
      <c r="HS21" s="1076">
        <f t="shared" si="167"/>
        <v>48</v>
      </c>
      <c r="HT21" s="1071"/>
      <c r="HU21" s="1076">
        <f>HU209</f>
        <v>38</v>
      </c>
      <c r="HV21" s="1071"/>
      <c r="HW21" s="1076">
        <f>HW209</f>
        <v>33</v>
      </c>
      <c r="HX21" s="1071">
        <f t="shared" ref="HX21:IA21" si="168">HX209</f>
        <v>71</v>
      </c>
      <c r="HY21" s="1077">
        <f t="shared" si="168"/>
        <v>199</v>
      </c>
      <c r="HZ21" s="1076">
        <f t="shared" si="168"/>
        <v>32</v>
      </c>
      <c r="IA21" s="1076">
        <f t="shared" si="168"/>
        <v>23</v>
      </c>
      <c r="IB21" s="1071"/>
      <c r="IC21" s="1076">
        <f>IC209</f>
        <v>29</v>
      </c>
      <c r="ID21" s="1071"/>
      <c r="IE21" s="1071"/>
      <c r="IF21" s="1071"/>
      <c r="IG21" s="1072"/>
      <c r="IH21" s="1076">
        <f>IH209</f>
        <v>21</v>
      </c>
      <c r="II21" s="1076">
        <f>II209</f>
        <v>14</v>
      </c>
      <c r="IJ21" s="1071"/>
      <c r="IK21" s="1076">
        <f>IK209</f>
        <v>21</v>
      </c>
      <c r="IL21" s="1071"/>
      <c r="IM21" s="1076">
        <f>IM209</f>
        <v>16</v>
      </c>
      <c r="IN21" s="1071"/>
      <c r="IO21" s="1077">
        <f>IO209</f>
        <v>72</v>
      </c>
      <c r="IP21" s="1076">
        <f>IP209</f>
        <v>61.9999999999975</v>
      </c>
      <c r="IQ21" s="1076">
        <f>IQ209</f>
        <v>28.9999999999962</v>
      </c>
      <c r="IR21" s="1071"/>
      <c r="IS21" s="1071"/>
      <c r="IT21" s="1071"/>
      <c r="IU21" s="1071"/>
      <c r="IV21" s="1071"/>
      <c r="IW21" s="1071"/>
      <c r="IX21" s="1071"/>
      <c r="IY21" s="1049"/>
      <c r="IZ21" s="1037"/>
      <c r="JB21" s="765"/>
      <c r="JC21" s="765"/>
      <c r="JD21" s="765"/>
      <c r="JE21" s="765"/>
      <c r="JF21" s="765"/>
      <c r="JG21" s="765"/>
      <c r="JH21" s="765"/>
      <c r="JI21" s="765"/>
      <c r="JJ21" s="765"/>
      <c r="JK21" s="765"/>
      <c r="JL21" s="765"/>
      <c r="JM21" s="765"/>
      <c r="JN21" s="765"/>
      <c r="JO21" s="765"/>
      <c r="JP21" s="765"/>
      <c r="JQ21" s="1035"/>
      <c r="JR21" s="1103"/>
      <c r="JS21" s="1079"/>
      <c r="JT21" s="1079"/>
      <c r="JU21" s="1079"/>
      <c r="JV21" s="1079"/>
      <c r="JW21" s="1079"/>
      <c r="JX21" s="1079"/>
      <c r="JY21" s="1079"/>
      <c r="JZ21" s="1079"/>
    </row>
    <row r="22" spans="1:334">
      <c r="A22" s="967" t="s">
        <v>61</v>
      </c>
      <c r="AX22" s="1059"/>
      <c r="BE22" s="1060"/>
      <c r="BN22" s="1059"/>
      <c r="BU22" s="1060"/>
      <c r="BV22" s="1059"/>
      <c r="CC22" s="1060"/>
      <c r="CD22" s="1059"/>
      <c r="CJ22" s="1061"/>
      <c r="CK22" s="1060"/>
      <c r="CL22" s="1059"/>
      <c r="CS22" s="1060"/>
      <c r="CT22" s="967"/>
      <c r="CU22" s="967"/>
      <c r="CV22" s="967"/>
      <c r="CW22" s="967"/>
      <c r="CX22" s="967"/>
      <c r="CY22" s="967"/>
      <c r="CZ22" s="967"/>
      <c r="DA22" s="967"/>
      <c r="DJ22" s="1080">
        <f t="shared" ref="DJ22:DS22" si="169">DJ21/DB21-1</f>
        <v>0.0350877192982457</v>
      </c>
      <c r="DK22" s="1080">
        <f t="shared" si="169"/>
        <v>0.0773809523809523</v>
      </c>
      <c r="DL22" s="1080">
        <f t="shared" si="169"/>
        <v>0.0579710144927537</v>
      </c>
      <c r="DM22" s="1080">
        <f t="shared" si="169"/>
        <v>-0.0605187319884726</v>
      </c>
      <c r="DN22" s="1080">
        <f t="shared" si="169"/>
        <v>0.015495867768595</v>
      </c>
      <c r="DO22" s="1080">
        <f t="shared" si="169"/>
        <v>-0.0314465408805031</v>
      </c>
      <c r="DP22" s="1080">
        <f t="shared" si="169"/>
        <v>-0.0466165413533834</v>
      </c>
      <c r="DQ22" s="1081">
        <f t="shared" si="169"/>
        <v>79.8283458163436</v>
      </c>
      <c r="DR22" s="1082">
        <f t="shared" si="169"/>
        <v>0.0711864406779661</v>
      </c>
      <c r="DS22" s="1083">
        <f t="shared" si="169"/>
        <v>0.069060773480663</v>
      </c>
      <c r="DT22" s="1083">
        <f t="shared" ref="DT22:EG22" si="170">DT21/DL21-1</f>
        <v>0.0700152207001523</v>
      </c>
      <c r="DU22" s="1083">
        <f t="shared" si="170"/>
        <v>0.171779141104294</v>
      </c>
      <c r="DV22" s="1083">
        <f t="shared" si="170"/>
        <v>0.103763987792472</v>
      </c>
      <c r="DW22" s="1083">
        <f t="shared" si="170"/>
        <v>0.0876623376623376</v>
      </c>
      <c r="DX22" s="1083">
        <f t="shared" si="170"/>
        <v>0.130914826498423</v>
      </c>
      <c r="DY22" s="1084">
        <f t="shared" si="170"/>
        <v>0.0982211910286157</v>
      </c>
      <c r="DZ22" s="1082">
        <f t="shared" si="170"/>
        <v>0.189873417721519</v>
      </c>
      <c r="EA22" s="1082">
        <f t="shared" si="170"/>
        <v>0.0594315245478036</v>
      </c>
      <c r="EB22" s="1082">
        <f t="shared" si="170"/>
        <v>0.118065433854908</v>
      </c>
      <c r="EC22" s="1082">
        <f t="shared" si="170"/>
        <v>0.0759162303664922</v>
      </c>
      <c r="ED22" s="1082">
        <f t="shared" si="170"/>
        <v>0.103225806451613</v>
      </c>
      <c r="EE22" s="1082">
        <f t="shared" si="170"/>
        <v>0.140298507462687</v>
      </c>
      <c r="EF22" s="1082">
        <f t="shared" si="170"/>
        <v>0.107391910739191</v>
      </c>
      <c r="EG22" s="1085">
        <f t="shared" si="170"/>
        <v>0.112676056338028</v>
      </c>
      <c r="EH22" s="1082">
        <f>+EH21/DZ21-1</f>
        <v>0.375</v>
      </c>
      <c r="EI22" s="1082">
        <f t="shared" ref="EI22:FU22" si="171">EI21/EA21-1</f>
        <v>0.341463414634146</v>
      </c>
      <c r="EJ22" s="1082">
        <f t="shared" si="171"/>
        <v>0.357506361323155</v>
      </c>
      <c r="EK22" s="1082">
        <f t="shared" si="171"/>
        <v>0.182481751824818</v>
      </c>
      <c r="EL22" s="1082">
        <f t="shared" si="171"/>
        <v>0.297410192147034</v>
      </c>
      <c r="EM22" s="1082">
        <f t="shared" si="171"/>
        <v>0.109947643979058</v>
      </c>
      <c r="EN22" s="1082">
        <f t="shared" si="171"/>
        <v>0.146095717884131</v>
      </c>
      <c r="EO22" s="1085">
        <f t="shared" si="171"/>
        <v>0.25126582278481</v>
      </c>
      <c r="EP22" s="1082">
        <f t="shared" si="171"/>
        <v>0.0599613152804641</v>
      </c>
      <c r="EQ22" s="1082">
        <f t="shared" si="171"/>
        <v>-0.0872727272727273</v>
      </c>
      <c r="ER22" s="1082">
        <f t="shared" si="171"/>
        <v>-0.0159325210871603</v>
      </c>
      <c r="ES22" s="1082">
        <f t="shared" si="171"/>
        <v>-0.170781893004115</v>
      </c>
      <c r="ET22" s="1082">
        <f t="shared" si="171"/>
        <v>-0.0643915003219575</v>
      </c>
      <c r="EU22" s="1082">
        <f t="shared" si="171"/>
        <v>0.162735849056604</v>
      </c>
      <c r="EV22" s="1082">
        <f t="shared" si="171"/>
        <v>-0.0153846153846153</v>
      </c>
      <c r="EW22" s="1085">
        <f t="shared" si="171"/>
        <v>-0.0156803237228124</v>
      </c>
      <c r="EX22" s="1082">
        <f t="shared" si="171"/>
        <v>-0.302919708029197</v>
      </c>
      <c r="EY22" s="1082">
        <f t="shared" si="171"/>
        <v>-0.159362549800797</v>
      </c>
      <c r="EZ22" s="1082">
        <f t="shared" si="171"/>
        <v>-0.234285714285714</v>
      </c>
      <c r="FA22" s="1091">
        <f t="shared" si="171"/>
        <v>-0.121588089330025</v>
      </c>
      <c r="FB22" s="1082">
        <f t="shared" si="171"/>
        <v>-0.203028217481074</v>
      </c>
      <c r="FC22" s="1082">
        <f t="shared" si="171"/>
        <v>-0.257606490872211</v>
      </c>
      <c r="FD22" s="1082">
        <f t="shared" si="171"/>
        <v>-0.196428571428571</v>
      </c>
      <c r="FE22" s="1085">
        <f t="shared" si="171"/>
        <v>-0.216855087358685</v>
      </c>
      <c r="FF22" s="1082">
        <f t="shared" si="171"/>
        <v>-0.0130890052356021</v>
      </c>
      <c r="FG22" s="1082">
        <f t="shared" si="171"/>
        <v>-0.135071090047393</v>
      </c>
      <c r="FH22" s="1082">
        <f t="shared" si="171"/>
        <v>-0.0771144278606966</v>
      </c>
      <c r="FI22" s="1082">
        <f t="shared" si="171"/>
        <v>-0.0338983050847458</v>
      </c>
      <c r="FJ22" s="1082">
        <f t="shared" si="171"/>
        <v>-0.0639032815198618</v>
      </c>
      <c r="FK22" s="1082">
        <f t="shared" si="171"/>
        <v>0.0464480874316939</v>
      </c>
      <c r="FL22" s="1082">
        <f t="shared" si="171"/>
        <v>0.00694444444444442</v>
      </c>
      <c r="FM22" s="1085">
        <f t="shared" si="171"/>
        <v>-0.0374015748031497</v>
      </c>
      <c r="FN22" s="1082">
        <f t="shared" si="171"/>
        <v>0.0503978779840848</v>
      </c>
      <c r="FO22" s="1082">
        <f t="shared" si="171"/>
        <v>0.0328767123287672</v>
      </c>
      <c r="FP22" s="1082">
        <f t="shared" si="171"/>
        <v>0.0417789757412399</v>
      </c>
      <c r="FQ22" s="1082">
        <f t="shared" si="171"/>
        <v>0.0701754385964912</v>
      </c>
      <c r="FR22" s="1082">
        <f t="shared" si="171"/>
        <v>0.0507380073800738</v>
      </c>
      <c r="FS22" s="1082">
        <f t="shared" si="171"/>
        <v>-0.122715404699739</v>
      </c>
      <c r="FT22" s="1082">
        <f t="shared" si="171"/>
        <v>-0.0317241379310345</v>
      </c>
      <c r="FU22" s="1082">
        <f t="shared" si="171"/>
        <v>0.00545330606680294</v>
      </c>
      <c r="FV22" s="1086">
        <f t="shared" ref="FV22:GC22" si="172">FV21/FN21-1</f>
        <v>-0.502525252525253</v>
      </c>
      <c r="FW22" s="1087">
        <f t="shared" si="172"/>
        <v>-0.474801061007958</v>
      </c>
      <c r="FX22" s="1087">
        <f t="shared" si="172"/>
        <v>-0.489003880983182</v>
      </c>
      <c r="FY22" s="1082">
        <f t="shared" si="172"/>
        <v>-0.475409836065574</v>
      </c>
      <c r="FZ22" s="1082">
        <f t="shared" si="172"/>
        <v>-0.484635645302897</v>
      </c>
      <c r="GA22" s="1082">
        <f t="shared" si="172"/>
        <v>-0.541666666666667</v>
      </c>
      <c r="GB22" s="1082">
        <f t="shared" si="172"/>
        <v>-0.507122507122507</v>
      </c>
      <c r="GC22" s="1085">
        <f t="shared" si="172"/>
        <v>-0.497627118644068</v>
      </c>
      <c r="GD22" s="1086">
        <f t="shared" ref="GD22:GP22" si="173">GD21/FV21-1</f>
        <v>-0.0355329949238579</v>
      </c>
      <c r="GE22" s="1087">
        <f t="shared" si="173"/>
        <v>-0.0454545454545454</v>
      </c>
      <c r="GF22" s="1087">
        <f t="shared" si="173"/>
        <v>-0.040506329113924</v>
      </c>
      <c r="GG22" s="1087">
        <f t="shared" si="173"/>
        <v>0.197916666666667</v>
      </c>
      <c r="GH22" s="1082">
        <f t="shared" si="173"/>
        <v>0.0374787052810903</v>
      </c>
      <c r="GI22" s="1087">
        <f t="shared" si="173"/>
        <v>0.428571428571429</v>
      </c>
      <c r="GJ22" s="1082">
        <f t="shared" si="173"/>
        <v>0.300578034682081</v>
      </c>
      <c r="GK22" s="1088">
        <f t="shared" si="173"/>
        <v>0.118758434547908</v>
      </c>
      <c r="GL22" s="1087">
        <f t="shared" si="173"/>
        <v>0.0263157894736841</v>
      </c>
      <c r="GM22" s="1087">
        <f t="shared" si="173"/>
        <v>-0.222222222222222</v>
      </c>
      <c r="GN22" s="1087">
        <f t="shared" si="173"/>
        <v>-0.0976253298153035</v>
      </c>
      <c r="GO22" s="1087">
        <f t="shared" si="173"/>
        <v>-0.295652173913043</v>
      </c>
      <c r="GP22" s="1082">
        <f t="shared" si="173"/>
        <v>-0.172413793103448</v>
      </c>
      <c r="GQ22" s="1087">
        <f t="shared" ref="GQ22" si="174">GQ21/GI21-1</f>
        <v>-0.540909090909091</v>
      </c>
      <c r="GR22" s="1082">
        <f t="shared" ref="GR22" si="175">GR21/GJ21-1</f>
        <v>-0.415555555555556</v>
      </c>
      <c r="GS22" s="1088">
        <f t="shared" ref="GS22" si="176">GS21/GK21-1</f>
        <v>-0.270205066344994</v>
      </c>
      <c r="GT22" s="1087">
        <f t="shared" ref="GT22" si="177">GT21/GL21-1</f>
        <v>-0.2</v>
      </c>
      <c r="GU22" s="1087">
        <f t="shared" ref="GU22" si="178">GU21/GM21-1</f>
        <v>-0.499</v>
      </c>
      <c r="GV22" s="1087">
        <f t="shared" ref="GV22:HA22" si="179">GV21/GN21-1</f>
        <v>-0.328517543859649</v>
      </c>
      <c r="GW22" s="1087">
        <f t="shared" si="179"/>
        <v>-0.0549999999999999</v>
      </c>
      <c r="GX22" s="1082"/>
      <c r="GY22" s="1087">
        <f t="shared" si="179"/>
        <v>-0.0766039603960396</v>
      </c>
      <c r="GZ22" s="1082">
        <f t="shared" si="179"/>
        <v>-0.063296577946768</v>
      </c>
      <c r="HA22" s="1088">
        <f t="shared" si="179"/>
        <v>-0.213223140495868</v>
      </c>
      <c r="HB22" s="1087">
        <f t="shared" ref="HB22:HE22" si="180">HB21/GT21-1</f>
        <v>-0.75</v>
      </c>
      <c r="HC22" s="1087">
        <f t="shared" si="180"/>
        <v>-0.538338289407579</v>
      </c>
      <c r="HD22" s="1087">
        <f t="shared" si="180"/>
        <v>-0.682120820215374</v>
      </c>
      <c r="HE22" s="1087">
        <f t="shared" si="180"/>
        <v>-0.712587366908331</v>
      </c>
      <c r="HF22" s="1082"/>
      <c r="HG22" s="1087">
        <f t="shared" ref="HG22" si="181">HG21/GY21-1</f>
        <v>-0.71049612386479</v>
      </c>
      <c r="HH22" s="1082">
        <f t="shared" ref="HH22" si="182">HH21/GZ21-1</f>
        <v>-0.711795675311436</v>
      </c>
      <c r="HI22" s="1088">
        <f t="shared" ref="HI22:HK22" si="183">HI21/HA21-1</f>
        <v>-0.697478991596635</v>
      </c>
      <c r="HJ22" s="1087">
        <f t="shared" si="183"/>
        <v>-0.0769230769230779</v>
      </c>
      <c r="HK22" s="1087">
        <f t="shared" si="183"/>
        <v>-0.147058823529412</v>
      </c>
      <c r="HL22" s="1082"/>
      <c r="HM22" s="1087">
        <f t="shared" ref="HM22" si="184">HM21/HE21-1</f>
        <v>0.0454545454544595</v>
      </c>
      <c r="HN22" s="1082"/>
      <c r="HO22" s="1087">
        <f t="shared" ref="HO22" si="185">HO21/HG21-1</f>
        <v>0.444444444444546</v>
      </c>
      <c r="HP22" s="1082">
        <f t="shared" ref="HP22" si="186">HP21/HH21-1</f>
        <v>0.19718309859152</v>
      </c>
      <c r="HQ22" s="1088">
        <f t="shared" ref="HQ22" si="187">HQ21/HI21-1</f>
        <v>0.0416666666666539</v>
      </c>
      <c r="HR22" s="1087">
        <f t="shared" ref="HR22" si="188">HR21/HJ21-1</f>
        <v>1.22222222222222</v>
      </c>
      <c r="HS22" s="1087">
        <f t="shared" ref="HS22" si="189">HS21/HK21-1</f>
        <v>0.655172413793103</v>
      </c>
      <c r="HT22" s="1082"/>
      <c r="HU22" s="1087">
        <f t="shared" ref="HU22" si="190">HU21/HM21-1</f>
        <v>-0.173913043478261</v>
      </c>
      <c r="HV22" s="1082"/>
      <c r="HW22" s="1087">
        <f t="shared" ref="HW22" si="191">HW21/HO21-1</f>
        <v>-0.153846153846154</v>
      </c>
      <c r="HX22" s="1082">
        <f t="shared" ref="HX22" si="192">HX21/HP21-1</f>
        <v>-0.164705882352941</v>
      </c>
      <c r="HY22" s="1088">
        <f t="shared" ref="HY22" si="193">HY21/HQ21-1</f>
        <v>0.326666666666667</v>
      </c>
      <c r="HZ22" s="1087">
        <f t="shared" ref="HZ22" si="194">HZ21/HR21-1</f>
        <v>-0.6</v>
      </c>
      <c r="IA22" s="1087">
        <f t="shared" ref="IA22" si="195">IA21/HS21-1</f>
        <v>-0.520833333333333</v>
      </c>
      <c r="IB22" s="1082"/>
      <c r="IC22" s="1087">
        <f t="shared" ref="IC22" si="196">IC21/HU21-1</f>
        <v>-0.236842105263158</v>
      </c>
      <c r="ID22" s="1082"/>
      <c r="IE22" s="1082"/>
      <c r="IF22" s="1082"/>
      <c r="IG22" s="1085"/>
      <c r="IH22" s="1087">
        <f t="shared" ref="IH22" si="197">IH21/HZ21-1</f>
        <v>-0.34375</v>
      </c>
      <c r="II22" s="1087">
        <f t="shared" ref="II22" si="198">II21/IA21-1</f>
        <v>-0.391304347826087</v>
      </c>
      <c r="IJ22" s="1082"/>
      <c r="IK22" s="1087">
        <f t="shared" ref="IK22:IQ22" si="199">IK21/IC21-1</f>
        <v>-0.275862068965518</v>
      </c>
      <c r="IL22" s="1082"/>
      <c r="IM22" s="1087" t="e">
        <f t="shared" si="199"/>
        <v>#DIV/0!</v>
      </c>
      <c r="IN22" s="1082"/>
      <c r="IO22" s="1088" t="e">
        <f t="shared" si="199"/>
        <v>#DIV/0!</v>
      </c>
      <c r="IP22" s="1087">
        <f t="shared" si="199"/>
        <v>1.95238095238084</v>
      </c>
      <c r="IQ22" s="1087">
        <f t="shared" si="199"/>
        <v>1.0714285714283</v>
      </c>
      <c r="IR22" s="1082"/>
      <c r="IS22" s="1082"/>
      <c r="IT22" s="1082"/>
      <c r="IU22" s="1082"/>
      <c r="IV22" s="1082"/>
      <c r="IW22" s="1082"/>
      <c r="IX22" s="1082"/>
      <c r="IY22" s="1104"/>
      <c r="IZ22" s="1037"/>
      <c r="JB22" s="765"/>
      <c r="JC22" s="765"/>
      <c r="JD22" s="765"/>
      <c r="JE22" s="765"/>
      <c r="JF22" s="765"/>
      <c r="JG22" s="765"/>
      <c r="JH22" s="765"/>
      <c r="JI22" s="765"/>
      <c r="JJ22" s="765"/>
      <c r="JK22" s="765"/>
      <c r="JL22" s="765"/>
      <c r="JM22" s="765"/>
      <c r="JN22" s="765"/>
      <c r="JO22" s="765"/>
      <c r="JP22" s="765"/>
      <c r="JQ22" s="1035"/>
      <c r="JR22" s="1090"/>
      <c r="JS22" s="1082"/>
      <c r="JT22" s="1082"/>
      <c r="JU22" s="1082"/>
      <c r="JV22" s="1082"/>
      <c r="JW22" s="1082"/>
      <c r="JX22" s="1082"/>
      <c r="JY22" s="1082"/>
      <c r="JZ22" s="1082"/>
    </row>
    <row r="23" spans="1:334">
      <c r="A23" s="967" t="s">
        <v>63</v>
      </c>
      <c r="AX23" s="1059"/>
      <c r="BE23" s="1060"/>
      <c r="BN23" s="1059"/>
      <c r="BU23" s="1060"/>
      <c r="BV23" s="1059"/>
      <c r="CC23" s="1060"/>
      <c r="CD23" s="1059"/>
      <c r="CJ23" s="1061"/>
      <c r="CK23" s="1060"/>
      <c r="CL23" s="1059"/>
      <c r="CS23" s="1060"/>
      <c r="CT23" s="967"/>
      <c r="CU23" s="967"/>
      <c r="CV23" s="967"/>
      <c r="CW23" s="967"/>
      <c r="CX23" s="967"/>
      <c r="CY23" s="967"/>
      <c r="CZ23" s="967"/>
      <c r="DA23" s="967"/>
      <c r="DJ23" s="1080">
        <f t="shared" ref="DJ23:DW23" si="200">DJ22-DJ24</f>
        <v>0.0650877192982457</v>
      </c>
      <c r="DK23" s="1080">
        <f t="shared" si="200"/>
        <v>0.0873809523809523</v>
      </c>
      <c r="DL23" s="1080">
        <f t="shared" si="200"/>
        <v>0.0771497584541063</v>
      </c>
      <c r="DM23" s="1080">
        <f t="shared" si="200"/>
        <v>0.0494812680115274</v>
      </c>
      <c r="DN23" s="1080">
        <f t="shared" si="200"/>
        <v>0.0672314049586777</v>
      </c>
      <c r="DO23" s="1080">
        <f t="shared" si="200"/>
        <v>-0.0514465408805031</v>
      </c>
      <c r="DP23" s="1080">
        <f t="shared" si="200"/>
        <v>0.00121804511278197</v>
      </c>
      <c r="DQ23" s="1081">
        <f t="shared" si="200"/>
        <v>78.9983458163436</v>
      </c>
      <c r="DR23" s="1082">
        <f t="shared" si="200"/>
        <v>-0.00881355932203391</v>
      </c>
      <c r="DS23" s="1082">
        <f t="shared" si="200"/>
        <v>0.077060773480663</v>
      </c>
      <c r="DT23" s="1082">
        <f t="shared" si="200"/>
        <v>0.0400152207001523</v>
      </c>
      <c r="DU23" s="1082">
        <f t="shared" si="200"/>
        <v>0.135779141104294</v>
      </c>
      <c r="DV23" s="1082">
        <f t="shared" si="200"/>
        <v>0.0727639877924721</v>
      </c>
      <c r="DW23" s="1082">
        <f t="shared" si="200"/>
        <v>0.119662337662338</v>
      </c>
      <c r="DX23" s="1082">
        <f>((DW23*DO21)+(DU23*DM21))/DP21</f>
        <v>0.12794952681388</v>
      </c>
      <c r="DY23" s="1085">
        <f>'Profit and Loss'!Q29</f>
        <v>0.0822211910286157</v>
      </c>
      <c r="DZ23" s="1082">
        <f>DZ22-DZ24</f>
        <v>0.0498734177215189</v>
      </c>
      <c r="EA23" s="1082">
        <f>EA22-EA24</f>
        <v>-0.0605684754521963</v>
      </c>
      <c r="EB23" s="1082">
        <f>EB22-EB24</f>
        <v>-0.0119345661450924</v>
      </c>
      <c r="EC23" s="1082">
        <f>EC22-EC24</f>
        <v>-0.0540837696335078</v>
      </c>
      <c r="ED23" s="1082">
        <f>ED22-ED24</f>
        <v>-0.0267741935483871</v>
      </c>
      <c r="EE23" s="1082">
        <f>+EE22-EE24</f>
        <v>0.0202985074626866</v>
      </c>
      <c r="EF23" s="1082">
        <f>+EF22-EF24</f>
        <v>-0.022608089260809</v>
      </c>
      <c r="EG23" s="1085">
        <f>EG22-EG24</f>
        <v>-0.0173239436619718</v>
      </c>
      <c r="EH23" s="1082">
        <f>+EH22-EH24</f>
        <v>0.055</v>
      </c>
      <c r="EI23" s="1082">
        <f>+EI22-EI24</f>
        <v>0.119463414634146</v>
      </c>
      <c r="EJ23" s="1082">
        <f>+EJ22-EJ24</f>
        <v>0.0875063613231553</v>
      </c>
      <c r="EK23" s="1082">
        <f>EK22-EK24</f>
        <v>0.112481751824818</v>
      </c>
      <c r="EL23" s="1082">
        <f>EL22-EL24</f>
        <v>0.0994101921470342</v>
      </c>
      <c r="EM23" s="1082">
        <f>EM22-EM24</f>
        <v>0.0419476439790576</v>
      </c>
      <c r="EN23" s="1082">
        <f>+EN22-EN24</f>
        <v>0.077146095717884</v>
      </c>
      <c r="EO23" s="1085">
        <f>+EO22-EO24</f>
        <v>0.0828569620253164</v>
      </c>
      <c r="EP23" s="1082">
        <f t="shared" ref="EP23:FN23" si="201">EP22-EP24</f>
        <v>-0.0270386847195359</v>
      </c>
      <c r="EQ23" s="1082">
        <f t="shared" si="201"/>
        <v>-0.0422727272727273</v>
      </c>
      <c r="ER23" s="1082">
        <f t="shared" si="201"/>
        <v>-0.0359325210871603</v>
      </c>
      <c r="ES23" s="1082">
        <f t="shared" si="201"/>
        <v>-0.0847818930041153</v>
      </c>
      <c r="ET23" s="1082">
        <f t="shared" si="201"/>
        <v>-0.0505041854475209</v>
      </c>
      <c r="EU23" s="1082">
        <f t="shared" si="201"/>
        <v>-0.115264150943396</v>
      </c>
      <c r="EV23" s="1082">
        <f t="shared" si="201"/>
        <v>-0.0989846153846154</v>
      </c>
      <c r="EW23" s="1085">
        <f t="shared" si="201"/>
        <v>-0.0643930197268589</v>
      </c>
      <c r="EX23" s="1082">
        <f t="shared" si="201"/>
        <v>-0.0359197080291971</v>
      </c>
      <c r="EY23" s="1082">
        <f t="shared" si="201"/>
        <v>-0.0453625498007968</v>
      </c>
      <c r="EZ23" s="1082">
        <f t="shared" si="201"/>
        <v>-0.0404342857142857</v>
      </c>
      <c r="FA23" s="1091">
        <f t="shared" si="201"/>
        <v>-0.000588089330024855</v>
      </c>
      <c r="FB23" s="1082">
        <f t="shared" si="201"/>
        <v>-0.0293826565726084</v>
      </c>
      <c r="FC23" s="1082">
        <f t="shared" si="201"/>
        <v>-0.224634888438134</v>
      </c>
      <c r="FD23" s="1082">
        <f t="shared" si="201"/>
        <v>-0.123863839285714</v>
      </c>
      <c r="FE23" s="1085">
        <f t="shared" si="201"/>
        <v>-0.0788478931140802</v>
      </c>
      <c r="FF23" s="1082">
        <f t="shared" si="201"/>
        <v>-0.00308900523560208</v>
      </c>
      <c r="FG23" s="1082">
        <f t="shared" si="201"/>
        <v>0.00892890995260662</v>
      </c>
      <c r="FH23" s="1082">
        <f t="shared" si="201"/>
        <v>0.00332146957520087</v>
      </c>
      <c r="FI23" s="1082">
        <f t="shared" si="201"/>
        <v>-0.136898305084746</v>
      </c>
      <c r="FJ23" s="1082">
        <f t="shared" si="201"/>
        <v>-0.0370927976488941</v>
      </c>
      <c r="FK23" s="1082">
        <f t="shared" si="201"/>
        <v>0.0723490150292045</v>
      </c>
      <c r="FL23" s="1082">
        <f t="shared" si="201"/>
        <v>-0.0265891412711</v>
      </c>
      <c r="FM23" s="1085">
        <f t="shared" si="201"/>
        <v>-0.0108095276750201</v>
      </c>
      <c r="FN23" s="1082">
        <f t="shared" si="201"/>
        <v>-0.00460212201591521</v>
      </c>
      <c r="FO23" s="1082">
        <f t="shared" ref="FO23:FU23" si="202">FO22-FO24</f>
        <v>-0.0281232876712328</v>
      </c>
      <c r="FP23" s="1082">
        <f t="shared" si="202"/>
        <v>-0.0161725067385445</v>
      </c>
      <c r="FQ23" s="1082">
        <f t="shared" si="202"/>
        <v>0.00217543859649122</v>
      </c>
      <c r="FR23" s="1082">
        <f t="shared" si="202"/>
        <v>-0.0103837638376383</v>
      </c>
      <c r="FS23" s="1082">
        <f t="shared" si="202"/>
        <v>0.0132845953002612</v>
      </c>
      <c r="FT23" s="1082">
        <f t="shared" si="202"/>
        <v>0.00804413793103451</v>
      </c>
      <c r="FU23" s="1082">
        <f t="shared" si="202"/>
        <v>-0.00420449897750517</v>
      </c>
      <c r="FV23" s="1086">
        <f t="shared" ref="FV23:GC23" si="203">FV22-FV24</f>
        <v>-0.535223665223665</v>
      </c>
      <c r="FW23" s="1087">
        <f t="shared" si="203"/>
        <v>-0.744801061007958</v>
      </c>
      <c r="FX23" s="1087">
        <f t="shared" si="203"/>
        <v>-0.629003880983182</v>
      </c>
      <c r="FY23" s="1087">
        <f t="shared" si="203"/>
        <v>-0.612409836065574</v>
      </c>
      <c r="FZ23" s="1082">
        <f t="shared" si="203"/>
        <v>-0.629394707136586</v>
      </c>
      <c r="GA23" s="1082">
        <f t="shared" si="203"/>
        <v>-0.611666666666667</v>
      </c>
      <c r="GB23" s="1082">
        <f t="shared" si="203"/>
        <v>-0.612054131054131</v>
      </c>
      <c r="GC23" s="1085">
        <f t="shared" si="203"/>
        <v>-0.625356319612591</v>
      </c>
      <c r="GD23" s="1086">
        <f t="shared" ref="GD23:GF23" si="204">GD22-GD24</f>
        <v>-0.0655329949238579</v>
      </c>
      <c r="GE23" s="1087">
        <f t="shared" si="204"/>
        <v>-0.0304545454545454</v>
      </c>
      <c r="GF23" s="1087">
        <f t="shared" si="204"/>
        <v>-0.0479493670886076</v>
      </c>
      <c r="GG23" s="1087">
        <f t="shared" ref="GG23:GK23" si="205">GG22-GG24</f>
        <v>-0.00208333333333327</v>
      </c>
      <c r="GH23" s="1082">
        <f t="shared" si="205"/>
        <v>-0.0329471890971039</v>
      </c>
      <c r="GI23" s="1082">
        <f t="shared" si="205"/>
        <v>0.00857142857142862</v>
      </c>
      <c r="GJ23" s="1082">
        <f t="shared" si="205"/>
        <v>0.00265895953757234</v>
      </c>
      <c r="GK23" s="1085">
        <f t="shared" si="205"/>
        <v>-0.0312415654520918</v>
      </c>
      <c r="GL23" s="1087">
        <f t="shared" ref="GL23:GN23" si="206">GL22-GL24</f>
        <v>0.0263157894736841</v>
      </c>
      <c r="GM23" s="1087">
        <f t="shared" si="206"/>
        <v>0.0137777777777778</v>
      </c>
      <c r="GN23" s="1087">
        <f t="shared" si="206"/>
        <v>0.0200633245382585</v>
      </c>
      <c r="GO23" s="1087">
        <f t="shared" ref="GO23:GS23" si="207">GO22-GO24</f>
        <v>0.0103478260869566</v>
      </c>
      <c r="GP23" s="1082">
        <f t="shared" si="207"/>
        <v>0.0163940886699507</v>
      </c>
      <c r="GQ23" s="1082">
        <f t="shared" si="207"/>
        <v>0.01</v>
      </c>
      <c r="GR23" s="1082">
        <f t="shared" si="207"/>
        <v>0.0101777777777777</v>
      </c>
      <c r="GS23" s="1085">
        <f t="shared" si="207"/>
        <v>0.0146972255729795</v>
      </c>
      <c r="GT23" s="1087">
        <f t="shared" ref="GT23:GW23" si="208">GT22-GT24</f>
        <v>0.00900000000000004</v>
      </c>
      <c r="GU23" s="1087">
        <f t="shared" si="208"/>
        <v>0</v>
      </c>
      <c r="GV23" s="1087">
        <f t="shared" si="208"/>
        <v>0.00513157894736832</v>
      </c>
      <c r="GW23" s="1087">
        <f t="shared" si="208"/>
        <v>-0.0249999999999999</v>
      </c>
      <c r="GX23" s="1082"/>
      <c r="GY23" s="1087">
        <f t="shared" ref="GY23:HA23" si="209">GY22-GY24</f>
        <v>-0.0251980198019802</v>
      </c>
      <c r="GZ23" s="1082">
        <f t="shared" si="209"/>
        <v>-0.0250760456273764</v>
      </c>
      <c r="HA23" s="1088">
        <f t="shared" si="209"/>
        <v>-0.00800000000000006</v>
      </c>
      <c r="HB23" s="1087">
        <f t="shared" ref="HB23:HE23" si="210">HB22-HB24</f>
        <v>-0.589</v>
      </c>
      <c r="HC23" s="1087">
        <f t="shared" si="210"/>
        <v>-1.1773859084552</v>
      </c>
      <c r="HD23" s="1087">
        <f t="shared" si="210"/>
        <v>-1.0776756856398</v>
      </c>
      <c r="HE23" s="1087">
        <f t="shared" si="210"/>
        <v>-0.712587366908331</v>
      </c>
      <c r="HF23" s="1082"/>
      <c r="HG23" s="1087">
        <f t="shared" ref="HG23:HH23" si="211">HG22-HG24</f>
        <v>-0.75149612386479</v>
      </c>
      <c r="HH23" s="1082">
        <f t="shared" si="211"/>
        <v>-0.727317235836374</v>
      </c>
      <c r="HI23" s="1088">
        <f t="shared" ref="HI23:HK23" si="212">HI22-HI24</f>
        <v>-0.74250548166286</v>
      </c>
      <c r="HJ23" s="1087">
        <f t="shared" si="212"/>
        <v>0.00100000000000003</v>
      </c>
      <c r="HK23" s="1087">
        <f t="shared" si="212"/>
        <v>0.0129411764705881</v>
      </c>
      <c r="HL23" s="1082"/>
      <c r="HM23" s="1087">
        <f t="shared" ref="HM23" si="213">HM22-HM24</f>
        <v>0.0184545454544595</v>
      </c>
      <c r="HN23" s="1082"/>
      <c r="HO23" s="1087">
        <f t="shared" ref="HO23:HP23" si="214">HO22-HO24</f>
        <v>0.0284444444445464</v>
      </c>
      <c r="HP23" s="1082">
        <f t="shared" si="214"/>
        <v>0.0222535211267457</v>
      </c>
      <c r="HQ23" s="1088">
        <f t="shared" ref="HQ23:HS23" si="215">HQ22-HQ24</f>
        <v>0.0142986111111037</v>
      </c>
      <c r="HR23" s="1087">
        <f t="shared" si="215"/>
        <v>1.22222222222222</v>
      </c>
      <c r="HS23" s="1087">
        <f t="shared" si="215"/>
        <v>0.655172413793103</v>
      </c>
      <c r="HT23" s="1082"/>
      <c r="HU23" s="1087">
        <f t="shared" ref="HU23" si="216">HU22-HU24</f>
        <v>-0.173913043478261</v>
      </c>
      <c r="HV23" s="1082"/>
      <c r="HW23" s="1087">
        <f t="shared" ref="HW23:HX23" si="217">HW22-HW24</f>
        <v>-0.153846153846154</v>
      </c>
      <c r="HX23" s="1082">
        <f t="shared" si="217"/>
        <v>-0.164705882352941</v>
      </c>
      <c r="HY23" s="1088">
        <f t="shared" ref="HY23:IA23" si="218">HY22-HY24</f>
        <v>0.326666666666667</v>
      </c>
      <c r="HZ23" s="1087">
        <f t="shared" si="218"/>
        <v>0</v>
      </c>
      <c r="IA23" s="1087">
        <f t="shared" si="218"/>
        <v>-0.002</v>
      </c>
      <c r="IB23" s="1082"/>
      <c r="IC23" s="1087">
        <f t="shared" ref="IC23" si="219">IC22-IC24</f>
        <v>0.0411578947368423</v>
      </c>
      <c r="ID23" s="1082"/>
      <c r="IE23" s="1082"/>
      <c r="IF23" s="1082"/>
      <c r="IG23" s="1085"/>
      <c r="IH23" s="1087">
        <f t="shared" ref="IH23:II23" si="220">IH22-IH24</f>
        <v>0.002</v>
      </c>
      <c r="II23" s="1087">
        <f t="shared" si="220"/>
        <v>-0.391304347826087</v>
      </c>
      <c r="IJ23" s="1082"/>
      <c r="IK23" s="1087">
        <f t="shared" ref="IK23:IM23" si="221">IK22-IK24</f>
        <v>-0.275862068965518</v>
      </c>
      <c r="IL23" s="1082"/>
      <c r="IM23" s="1087" t="e">
        <f t="shared" si="221"/>
        <v>#DIV/0!</v>
      </c>
      <c r="IN23" s="1082"/>
      <c r="IO23" s="1088" t="e">
        <f t="shared" ref="IO23:IQ23" si="222">IO22-IO24</f>
        <v>#DIV/0!</v>
      </c>
      <c r="IP23" s="1087">
        <f t="shared" si="222"/>
        <v>0</v>
      </c>
      <c r="IQ23" s="1087">
        <f t="shared" si="222"/>
        <v>0</v>
      </c>
      <c r="IR23" s="1082"/>
      <c r="IS23" s="1082"/>
      <c r="IT23" s="1082"/>
      <c r="IU23" s="1082"/>
      <c r="IV23" s="1082"/>
      <c r="IW23" s="1082"/>
      <c r="IX23" s="1082"/>
      <c r="IY23" s="1049"/>
      <c r="IZ23" s="1082"/>
      <c r="JA23" s="891" t="s">
        <v>504</v>
      </c>
      <c r="JB23" s="765">
        <f>(EK21*(1+ES24)*(1+FA24))/EK21-1</f>
        <v>-0.196594</v>
      </c>
      <c r="JC23" s="765">
        <f>(EM21*(1+EU24)*(1+FC24))/EM21-1</f>
        <v>0.235862292089249</v>
      </c>
      <c r="JD23" s="765">
        <f>(EP21*(1+EX24)*(1+FF24))/EP21-1</f>
        <v>-0.27433</v>
      </c>
      <c r="JE23" s="765">
        <f>(EQ21*(1+EY24)*(1+FG24))/EQ21-1</f>
        <v>-0.241584</v>
      </c>
      <c r="JF23" s="765">
        <f>(EJ21*(1+ER24)*(1+EZ24))/EJ21-1</f>
        <v>-0.177728457142857</v>
      </c>
      <c r="JG23" s="765">
        <f>(ES21*(1+FA24)*(1+FI24))/ES21-1</f>
        <v>-0.030463</v>
      </c>
      <c r="JH23" s="765">
        <f>(EL21*(1+ET24)*(1+FB24))/EL21-1</f>
        <v>-0.185121405202018</v>
      </c>
      <c r="JI23" s="765">
        <f>(EU21*(1+FC24)*(1+FK24))/EU21-1</f>
        <v>-0.0580185349441689</v>
      </c>
      <c r="JJ23" s="765">
        <f>(EN21*(1+EV24)*(1+FD24))/EN21-1</f>
        <v>0.0049688562500001</v>
      </c>
      <c r="JK23" s="765">
        <f t="shared" ref="JK23:JP23" si="223">(EX21*(1+FF24)*(1+FN24))/EX21-1</f>
        <v>0.0444499999999999</v>
      </c>
      <c r="JL23" s="765">
        <f t="shared" si="223"/>
        <v>-0.0917840000000001</v>
      </c>
      <c r="JM23" s="765">
        <f t="shared" si="223"/>
        <v>-0.0271457944571151</v>
      </c>
      <c r="JN23" s="765">
        <f t="shared" si="223"/>
        <v>0.178004</v>
      </c>
      <c r="JO23" s="765">
        <f t="shared" si="223"/>
        <v>0.0326725830853469</v>
      </c>
      <c r="JP23" s="765">
        <f t="shared" si="223"/>
        <v>-0.158378401444249</v>
      </c>
      <c r="JQ23" s="1035"/>
      <c r="JR23" s="1035"/>
      <c r="JS23" s="1035"/>
      <c r="JT23" s="1035"/>
      <c r="JU23" s="1035"/>
      <c r="JV23" s="1035"/>
      <c r="JW23" s="1035"/>
      <c r="JX23" s="1035"/>
      <c r="JY23" s="1035"/>
    </row>
    <row r="24" spans="1:334">
      <c r="A24" s="967" t="s">
        <v>65</v>
      </c>
      <c r="AX24" s="1059"/>
      <c r="BE24" s="1060"/>
      <c r="BN24" s="1059"/>
      <c r="BU24" s="1060"/>
      <c r="BV24" s="1059"/>
      <c r="CC24" s="1060"/>
      <c r="CD24" s="1059"/>
      <c r="CJ24" s="1061"/>
      <c r="CK24" s="1060"/>
      <c r="CL24" s="1059"/>
      <c r="CS24" s="1060"/>
      <c r="CT24" s="967"/>
      <c r="CU24" s="967"/>
      <c r="CV24" s="967"/>
      <c r="CW24" s="967"/>
      <c r="CX24" s="967"/>
      <c r="CY24" s="967"/>
      <c r="CZ24" s="967"/>
      <c r="DA24" s="967"/>
      <c r="DJ24" s="1080">
        <v>-0.03</v>
      </c>
      <c r="DK24" s="1080">
        <v>-0.01</v>
      </c>
      <c r="DL24" s="1080">
        <f>(DJ24*DB21+DK24*DC21)/DD21</f>
        <v>-0.0191787439613527</v>
      </c>
      <c r="DM24" s="1080">
        <v>-0.11</v>
      </c>
      <c r="DN24" s="1080">
        <f>(DJ24*DB21+DK24*DC21+DM24*DE21)/DF21</f>
        <v>-0.0517355371900826</v>
      </c>
      <c r="DO24" s="1080">
        <v>0.02</v>
      </c>
      <c r="DP24" s="1080">
        <f>(DM24*DE21+DO24*DG21)/DH21</f>
        <v>-0.0478345864661654</v>
      </c>
      <c r="DQ24" s="1081">
        <f>'Profit and Loss'!P24</f>
        <v>0.83</v>
      </c>
      <c r="DR24" s="1082">
        <v>0.08</v>
      </c>
      <c r="DS24" s="1083">
        <v>-0.008</v>
      </c>
      <c r="DT24" s="1083">
        <v>0.03</v>
      </c>
      <c r="DU24" s="1082">
        <v>0.036</v>
      </c>
      <c r="DV24" s="1083">
        <v>0.031</v>
      </c>
      <c r="DW24" s="1082">
        <v>-0.032</v>
      </c>
      <c r="DX24" s="1083">
        <f>DX22-DX23</f>
        <v>0.00296529968454276</v>
      </c>
      <c r="DY24" s="1084">
        <f>DY22-DY23</f>
        <v>0.016</v>
      </c>
      <c r="DZ24" s="1083">
        <v>0.14</v>
      </c>
      <c r="EA24" s="1083">
        <v>0.12</v>
      </c>
      <c r="EB24" s="1083">
        <v>0.13</v>
      </c>
      <c r="EC24" s="1083">
        <v>0.13</v>
      </c>
      <c r="ED24" s="1083">
        <v>0.13</v>
      </c>
      <c r="EE24" s="1083">
        <v>0.12</v>
      </c>
      <c r="EF24" s="1083">
        <f>(-EB24*DT21+EG24*DY21)/DX21</f>
        <v>0.13</v>
      </c>
      <c r="EG24" s="1084">
        <v>0.13</v>
      </c>
      <c r="EH24" s="1083">
        <v>0.32</v>
      </c>
      <c r="EI24" s="1082">
        <v>0.222</v>
      </c>
      <c r="EJ24" s="1083">
        <v>0.27</v>
      </c>
      <c r="EK24" s="1083">
        <v>0.07</v>
      </c>
      <c r="EL24" s="1083">
        <v>0.198</v>
      </c>
      <c r="EM24" s="1083">
        <v>0.068</v>
      </c>
      <c r="EN24" s="1083">
        <f>+(EK24*EC21+EM24*EE21)/EF21</f>
        <v>0.0689496221662469</v>
      </c>
      <c r="EO24" s="1093">
        <f>(EH24*DZ21+EI24*EA21+EK24*EC21+EM24*EE21)/EG21</f>
        <v>0.168408860759494</v>
      </c>
      <c r="EP24" s="1082">
        <v>0.087</v>
      </c>
      <c r="EQ24" s="1082">
        <v>-0.045</v>
      </c>
      <c r="ER24" s="1082">
        <v>0.02</v>
      </c>
      <c r="ES24" s="1082">
        <v>-0.086</v>
      </c>
      <c r="ET24" s="1082">
        <f>(EH21*EP24+EI21*EQ24+EK21*ES24)/EL21</f>
        <v>-0.0138873148744366</v>
      </c>
      <c r="EU24" s="1082">
        <v>0.278</v>
      </c>
      <c r="EV24" s="1082">
        <f>(EK21*ES24+EM21*EU24)/EN21</f>
        <v>0.0836</v>
      </c>
      <c r="EW24" s="1085">
        <f>(EH21*EP24+EI21*EQ24+EK21*ES24+EM21*EU24)/EO21</f>
        <v>0.0487126960040465</v>
      </c>
      <c r="EX24" s="1082">
        <v>-0.267</v>
      </c>
      <c r="EY24" s="1082">
        <v>-0.114</v>
      </c>
      <c r="EZ24" s="1083">
        <f>(EP21*EX24+EQ21*EY24)/ER21</f>
        <v>-0.193851428571429</v>
      </c>
      <c r="FA24" s="1091">
        <v>-0.121</v>
      </c>
      <c r="FB24" s="1083">
        <f>(EP21*EX24+EQ21*EY24+ES21*FA24)/ET21</f>
        <v>-0.173645560908465</v>
      </c>
      <c r="FC24" s="1082">
        <f>(EU26*FC29-EU5*FC8-EU10*FC13)/EU21</f>
        <v>-0.0329716024340771</v>
      </c>
      <c r="FD24" s="1083">
        <f>(ES21*FA24+EU21*FC24)/EV21</f>
        <v>-0.0725647321428571</v>
      </c>
      <c r="FE24" s="1084">
        <f>(EP21*EX24+EQ21*EY24+ES21*FA24+EU21*FC24)/EW21</f>
        <v>-0.138007194244604</v>
      </c>
      <c r="FF24" s="1082">
        <f>FF213</f>
        <v>-0.01</v>
      </c>
      <c r="FG24" s="1082">
        <f>FG213</f>
        <v>-0.144</v>
      </c>
      <c r="FH24" s="1082">
        <f>FH213</f>
        <v>-0.0804358974358974</v>
      </c>
      <c r="FI24" s="1082">
        <f>FI213</f>
        <v>0.103</v>
      </c>
      <c r="FJ24" s="1082">
        <f>FJ213</f>
        <v>-0.0268104838709677</v>
      </c>
      <c r="FK24" s="1082">
        <f>(FE21*FM24-FB21*FJ24)/FC21</f>
        <v>-0.0259009275975106</v>
      </c>
      <c r="FL24" s="1082">
        <f>(FE21*FM24-EZ21*FH24)/FD21</f>
        <v>0.0335335857155445</v>
      </c>
      <c r="FM24" s="1085">
        <f>FM213</f>
        <v>-0.0265920471281296</v>
      </c>
      <c r="FN24" s="1082">
        <f>FN213</f>
        <v>0.055</v>
      </c>
      <c r="FO24" s="1082">
        <f t="shared" ref="FO24:FU24" si="224">FO213</f>
        <v>0.061</v>
      </c>
      <c r="FP24" s="1082">
        <f t="shared" si="224"/>
        <v>0.0579514824797844</v>
      </c>
      <c r="FQ24" s="1082">
        <f t="shared" si="224"/>
        <v>0.068</v>
      </c>
      <c r="FR24" s="1082">
        <f t="shared" si="224"/>
        <v>0.0611217712177122</v>
      </c>
      <c r="FS24" s="1082">
        <f t="shared" si="224"/>
        <v>-0.136</v>
      </c>
      <c r="FT24" s="1082">
        <f t="shared" si="224"/>
        <v>-0.039768275862069</v>
      </c>
      <c r="FU24" s="1082">
        <f t="shared" si="224"/>
        <v>0.00965780504430811</v>
      </c>
      <c r="FV24" s="1086">
        <f t="shared" ref="FV24:GC24" si="225">FV213</f>
        <v>0.0326984126984127</v>
      </c>
      <c r="FW24" s="1087">
        <f t="shared" si="225"/>
        <v>0.27</v>
      </c>
      <c r="FX24" s="1087">
        <f t="shared" si="225"/>
        <v>0.14</v>
      </c>
      <c r="FY24" s="1082">
        <f t="shared" si="225"/>
        <v>0.137</v>
      </c>
      <c r="FZ24" s="1082">
        <f t="shared" si="225"/>
        <v>0.144759061833689</v>
      </c>
      <c r="GA24" s="1082">
        <f t="shared" si="225"/>
        <v>0.07</v>
      </c>
      <c r="GB24" s="1082">
        <f t="shared" si="225"/>
        <v>0.104931623931624</v>
      </c>
      <c r="GC24" s="1085">
        <f t="shared" si="225"/>
        <v>0.127729200968523</v>
      </c>
      <c r="GD24" s="1086">
        <f t="shared" ref="GD24:GF24" si="226">GD213</f>
        <v>0.03</v>
      </c>
      <c r="GE24" s="1087">
        <f t="shared" si="226"/>
        <v>-0.015</v>
      </c>
      <c r="GF24" s="1087">
        <f t="shared" si="226"/>
        <v>0.00744303797468355</v>
      </c>
      <c r="GG24" s="1087">
        <f t="shared" ref="GG24:GH24" si="227">GG213</f>
        <v>0.2</v>
      </c>
      <c r="GH24" s="1082">
        <f t="shared" si="227"/>
        <v>0.0704258943781942</v>
      </c>
      <c r="GI24" s="1082">
        <v>0.42</v>
      </c>
      <c r="GJ24" s="1082">
        <f t="shared" ref="GJ24" si="228">GJ213</f>
        <v>0.297919075144509</v>
      </c>
      <c r="GK24" s="1085">
        <v>0.15</v>
      </c>
      <c r="GL24" s="1087">
        <f t="shared" ref="GL24:GN24" si="229">GL213</f>
        <v>0</v>
      </c>
      <c r="GM24" s="1087">
        <f t="shared" si="229"/>
        <v>-0.236</v>
      </c>
      <c r="GN24" s="1087">
        <f t="shared" si="229"/>
        <v>-0.117688654353562</v>
      </c>
      <c r="GO24" s="1087">
        <f t="shared" ref="GO24:GS24" si="230">GO213</f>
        <v>-0.306</v>
      </c>
      <c r="GP24" s="1082">
        <f t="shared" si="230"/>
        <v>-0.188807881773399</v>
      </c>
      <c r="GQ24" s="1087">
        <f t="shared" si="230"/>
        <v>-0.550909090909091</v>
      </c>
      <c r="GR24" s="1082">
        <f t="shared" ref="GR24" si="231">GR213</f>
        <v>-0.425733333333333</v>
      </c>
      <c r="GS24" s="1088">
        <f t="shared" si="230"/>
        <v>-0.284902291917973</v>
      </c>
      <c r="GT24" s="1087">
        <f t="shared" ref="GT24:GW24" si="232">GT213</f>
        <v>-0.209</v>
      </c>
      <c r="GU24" s="1087">
        <f t="shared" si="232"/>
        <v>-0.499</v>
      </c>
      <c r="GV24" s="1087">
        <f t="shared" si="232"/>
        <v>-0.333649122807017</v>
      </c>
      <c r="GW24" s="1087">
        <f t="shared" si="232"/>
        <v>-0.03</v>
      </c>
      <c r="GX24" s="1082"/>
      <c r="GY24" s="1087">
        <f t="shared" ref="GY24:HA24" si="233">GY213</f>
        <v>-0.0514059405940594</v>
      </c>
      <c r="GZ24" s="1082">
        <f t="shared" si="233"/>
        <v>-0.0382205323193916</v>
      </c>
      <c r="HA24" s="1088">
        <f t="shared" si="233"/>
        <v>-0.205223140495868</v>
      </c>
      <c r="HB24" s="1087">
        <f t="shared" ref="HB24:HE24" si="234">HB213</f>
        <v>-0.161</v>
      </c>
      <c r="HC24" s="1087">
        <f t="shared" si="234"/>
        <v>0.639047619047619</v>
      </c>
      <c r="HD24" s="1087">
        <f t="shared" si="234"/>
        <v>0.395554865424431</v>
      </c>
      <c r="HE24" s="1087">
        <f t="shared" si="234"/>
        <v>0</v>
      </c>
      <c r="HF24" s="1082"/>
      <c r="HG24" s="1087">
        <f t="shared" ref="HG24:HK24" si="235">HG213</f>
        <v>0.041</v>
      </c>
      <c r="HH24" s="1082">
        <f t="shared" si="235"/>
        <v>0.0155215605249378</v>
      </c>
      <c r="HI24" s="1088">
        <f t="shared" si="235"/>
        <v>0.0450264900662252</v>
      </c>
      <c r="HJ24" s="1087">
        <f t="shared" si="235"/>
        <v>-0.0779230769230779</v>
      </c>
      <c r="HK24" s="1087">
        <f t="shared" si="235"/>
        <v>-0.16</v>
      </c>
      <c r="HL24" s="1082"/>
      <c r="HM24" s="1087">
        <f t="shared" ref="HM24" si="236">HM213</f>
        <v>0.027</v>
      </c>
      <c r="HN24" s="1082"/>
      <c r="HO24" s="1087">
        <f t="shared" ref="HO24:HS24" si="237">HO213</f>
        <v>0.416</v>
      </c>
      <c r="HP24" s="1082">
        <f t="shared" si="237"/>
        <v>0.174929577464775</v>
      </c>
      <c r="HQ24" s="1088">
        <f t="shared" si="237"/>
        <v>0.0273680555555501</v>
      </c>
      <c r="HR24" s="1087">
        <f t="shared" si="237"/>
        <v>0</v>
      </c>
      <c r="HS24" s="1087">
        <f t="shared" si="237"/>
        <v>0</v>
      </c>
      <c r="HT24" s="1082"/>
      <c r="HU24" s="1087">
        <f t="shared" ref="HU24" si="238">HU213</f>
        <v>0</v>
      </c>
      <c r="HV24" s="1082"/>
      <c r="HW24" s="1087">
        <f t="shared" ref="HW24:IA24" si="239">HW213</f>
        <v>0</v>
      </c>
      <c r="HX24" s="1082">
        <f t="shared" si="239"/>
        <v>0</v>
      </c>
      <c r="HY24" s="1088">
        <f t="shared" si="239"/>
        <v>0</v>
      </c>
      <c r="HZ24" s="1087">
        <f t="shared" si="239"/>
        <v>-0.6</v>
      </c>
      <c r="IA24" s="1087">
        <f t="shared" si="239"/>
        <v>-0.518833333333333</v>
      </c>
      <c r="IB24" s="1082"/>
      <c r="IC24" s="1087">
        <f t="shared" ref="IC24" si="240">IC213</f>
        <v>-0.278</v>
      </c>
      <c r="ID24" s="1082"/>
      <c r="IE24" s="1082"/>
      <c r="IF24" s="1082"/>
      <c r="IG24" s="1085"/>
      <c r="IH24" s="1087">
        <f t="shared" ref="IH24:II24" si="241">IH213</f>
        <v>-0.34575</v>
      </c>
      <c r="II24" s="1087">
        <f t="shared" si="241"/>
        <v>0</v>
      </c>
      <c r="IJ24" s="1082"/>
      <c r="IK24" s="1087">
        <f t="shared" ref="IK24:IM24" si="242">IK213</f>
        <v>0</v>
      </c>
      <c r="IL24" s="1082"/>
      <c r="IM24" s="1087">
        <f t="shared" si="242"/>
        <v>0</v>
      </c>
      <c r="IN24" s="1082"/>
      <c r="IO24" s="1088">
        <f t="shared" ref="IO24:IQ24" si="243">IO213</f>
        <v>-0.106384615384615</v>
      </c>
      <c r="IP24" s="1087">
        <f t="shared" si="243"/>
        <v>1.95238095238084</v>
      </c>
      <c r="IQ24" s="1087">
        <f t="shared" si="243"/>
        <v>1.0714285714283</v>
      </c>
      <c r="IR24" s="1082"/>
      <c r="IS24" s="1082"/>
      <c r="IT24" s="1082"/>
      <c r="IU24" s="1082"/>
      <c r="IV24" s="1082"/>
      <c r="IW24" s="1082"/>
      <c r="IX24" s="1097"/>
      <c r="IY24" s="1049"/>
      <c r="IZ24" s="1082"/>
      <c r="JA24" s="891" t="s">
        <v>505</v>
      </c>
      <c r="JB24" s="765">
        <f>(EC21*(1+EK24)*(1+ES24)*(1+FA24))/EC21-1</f>
        <v>-0.14035558</v>
      </c>
      <c r="JC24" s="765">
        <f>(EE21*(1+EM24)*(1+EU24)*(1+FC24))/EE21-1</f>
        <v>0.319900927951318</v>
      </c>
      <c r="JD24" s="765">
        <f>(EH21*(1+EP24)*(1+EX24)*(1+FF24))/EH21-1</f>
        <v>-0.21119671</v>
      </c>
      <c r="JE24" s="765">
        <f>(EI21*(1+EQ24)*(1+EY24)*(1+FG24))/EI21-1</f>
        <v>-0.27571272</v>
      </c>
      <c r="JF24" s="765">
        <f>(EB21*(1+EJ24)*(1+ER24)*(1+EZ24))/EB21-1</f>
        <v>0.0442848594285716</v>
      </c>
      <c r="JG24" s="765">
        <f>(EK21*(1+ES24)*(1+FA24)*(1+FI24))/EK21-1</f>
        <v>-0.113843182</v>
      </c>
      <c r="JH24" s="765">
        <f>(ED21*(1+EL24)*(1+ET24)*(1+FB24))/ED21-1</f>
        <v>-0.0237754434320175</v>
      </c>
      <c r="JI24" s="765">
        <f>(EM21*(1+EU24)*(1+FC24)*(1+FK24))/EM21-1</f>
        <v>0.203852312341352</v>
      </c>
      <c r="JJ24" s="765">
        <f>(EF21*(1+EN24)*(1+EV24)*(1+FD24))/EF21-1</f>
        <v>0.0742610791772829</v>
      </c>
      <c r="JK24" s="765">
        <f t="shared" ref="JK24:JP24" si="244">(EP21*(1+EX24)*(1+FF24)*(1+FN24))/EP21-1</f>
        <v>-0.23441815</v>
      </c>
      <c r="JL24" s="765">
        <f t="shared" si="244"/>
        <v>-0.195320624</v>
      </c>
      <c r="JM24" s="765">
        <f t="shared" si="244"/>
        <v>-0.215734971993325</v>
      </c>
      <c r="JN24" s="765">
        <f t="shared" si="244"/>
        <v>0.0354655160000001</v>
      </c>
      <c r="JO24" s="765">
        <f t="shared" si="244"/>
        <v>-0.146646426839302</v>
      </c>
      <c r="JP24" s="765">
        <f t="shared" si="244"/>
        <v>-0.186128014191762</v>
      </c>
      <c r="JQ24" s="1035"/>
      <c r="JR24" s="1035"/>
      <c r="JS24" s="1035"/>
      <c r="JT24" s="1035"/>
      <c r="JU24" s="1035"/>
      <c r="JV24" s="1035"/>
      <c r="JW24" s="1035"/>
      <c r="JX24" s="1035"/>
      <c r="JY24" s="1035"/>
    </row>
    <row r="25" spans="1:334">
      <c r="A25" s="967" t="s">
        <v>66</v>
      </c>
      <c r="AX25" s="1059"/>
      <c r="BE25" s="1060"/>
      <c r="BN25" s="1059"/>
      <c r="BU25" s="1060"/>
      <c r="BV25" s="1059"/>
      <c r="CC25" s="1060"/>
      <c r="CD25" s="1059"/>
      <c r="CJ25" s="1061"/>
      <c r="CK25" s="1060"/>
      <c r="CL25" s="1059"/>
      <c r="CS25" s="1060"/>
      <c r="CT25" s="967"/>
      <c r="CU25" s="967"/>
      <c r="CV25" s="967"/>
      <c r="CW25" s="967"/>
      <c r="CX25" s="967"/>
      <c r="CY25" s="967"/>
      <c r="CZ25" s="967"/>
      <c r="DA25" s="967"/>
      <c r="DB25" s="1080">
        <f t="shared" ref="DB25:EG25" si="245">DB21/DB$26</f>
        <v>0.109070034443169</v>
      </c>
      <c r="DC25" s="1080">
        <f t="shared" si="245"/>
        <v>0.133651551312649</v>
      </c>
      <c r="DD25" s="1080">
        <f t="shared" si="245"/>
        <v>0.121123464014043</v>
      </c>
      <c r="DE25" s="1080">
        <f t="shared" si="245"/>
        <v>0.112698928223449</v>
      </c>
      <c r="DF25" s="1080">
        <f t="shared" si="245"/>
        <v>0.117962466487936</v>
      </c>
      <c r="DG25" s="1080">
        <f t="shared" si="245"/>
        <v>0.123447204968944</v>
      </c>
      <c r="DH25" s="1080">
        <f t="shared" si="245"/>
        <v>0.117595048629531</v>
      </c>
      <c r="DI25" s="1081">
        <f t="shared" si="245"/>
        <v>0.00168175658012204</v>
      </c>
      <c r="DJ25" s="1080">
        <f t="shared" si="245"/>
        <v>0.114474194800155</v>
      </c>
      <c r="DK25" s="1080">
        <f t="shared" si="245"/>
        <v>0.147334147334147</v>
      </c>
      <c r="DL25" s="1080">
        <f t="shared" si="245"/>
        <v>0.130512514898689</v>
      </c>
      <c r="DM25" s="1080">
        <f t="shared" si="245"/>
        <v>0.112880886426593</v>
      </c>
      <c r="DN25" s="1080">
        <f t="shared" si="245"/>
        <v>0.124069165720056</v>
      </c>
      <c r="DO25" s="1080">
        <f t="shared" si="245"/>
        <v>0.125305126118796</v>
      </c>
      <c r="DP25" s="1080">
        <f t="shared" si="245"/>
        <v>0.118704362478937</v>
      </c>
      <c r="DQ25" s="1081">
        <f t="shared" si="245"/>
        <v>0.124770819260832</v>
      </c>
      <c r="DR25" s="1082">
        <f t="shared" si="245"/>
        <v>0.118175018698579</v>
      </c>
      <c r="DS25" s="1083">
        <f t="shared" si="245"/>
        <v>0.132670551936921</v>
      </c>
      <c r="DT25" s="1083">
        <f t="shared" si="245"/>
        <v>0.125760286225403</v>
      </c>
      <c r="DU25" s="1083">
        <f t="shared" si="245"/>
        <v>0.110149942329873</v>
      </c>
      <c r="DV25" s="1083">
        <f t="shared" si="245"/>
        <v>0.119783616692427</v>
      </c>
      <c r="DW25" s="1083">
        <f t="shared" si="245"/>
        <v>0.114256480218281</v>
      </c>
      <c r="DX25" s="1083">
        <f t="shared" si="245"/>
        <v>0.11203125</v>
      </c>
      <c r="DY25" s="1084">
        <f t="shared" si="245"/>
        <v>0.118432026688907</v>
      </c>
      <c r="DZ25" s="1082">
        <f t="shared" si="245"/>
        <v>0.114879315612588</v>
      </c>
      <c r="EA25" s="1083">
        <f t="shared" si="245"/>
        <v>0.133812010443864</v>
      </c>
      <c r="EB25" s="1083">
        <f t="shared" si="245"/>
        <v>0.124033454315922</v>
      </c>
      <c r="EC25" s="1083">
        <f t="shared" si="245"/>
        <v>0.109775641025641</v>
      </c>
      <c r="ED25" s="1083">
        <f t="shared" si="245"/>
        <v>0.118738220414641</v>
      </c>
      <c r="EE25" s="1083">
        <f t="shared" si="245"/>
        <v>0.117864856525764</v>
      </c>
      <c r="EF25" s="1083">
        <f t="shared" si="245"/>
        <v>0.113672154617037</v>
      </c>
      <c r="EG25" s="1084">
        <f t="shared" si="245"/>
        <v>0.118591908729265</v>
      </c>
      <c r="EH25" s="1082">
        <f t="shared" ref="EH25:FN25" si="246">EH21/EH$26</f>
        <v>0.135198744769874</v>
      </c>
      <c r="EI25" s="1083">
        <f t="shared" si="246"/>
        <v>0.156383281205573</v>
      </c>
      <c r="EJ25" s="1083">
        <f t="shared" si="246"/>
        <v>0.145348045225446</v>
      </c>
      <c r="EK25" s="1083">
        <f t="shared" si="246"/>
        <v>0.11646297627606</v>
      </c>
      <c r="EL25" s="1083">
        <f t="shared" si="246"/>
        <v>0.134879277401424</v>
      </c>
      <c r="EM25" s="1083">
        <f t="shared" si="246"/>
        <v>0.125853368952211</v>
      </c>
      <c r="EN25" s="1083">
        <f t="shared" si="246"/>
        <v>0.120657650490586</v>
      </c>
      <c r="EO25" s="1084">
        <f t="shared" si="246"/>
        <v>0.132836121749647</v>
      </c>
      <c r="EP25" s="1083">
        <f t="shared" si="246"/>
        <v>0.146094374833378</v>
      </c>
      <c r="EQ25" s="1083">
        <f t="shared" si="246"/>
        <v>0.148389003842743</v>
      </c>
      <c r="ER25" s="1083">
        <f t="shared" si="246"/>
        <v>0.147182506307822</v>
      </c>
      <c r="ES25" s="1083">
        <f t="shared" si="246"/>
        <v>0.103892755864914</v>
      </c>
      <c r="ET25" s="1083">
        <f t="shared" si="246"/>
        <v>0.131934985925724</v>
      </c>
      <c r="EU25" s="1083">
        <f t="shared" si="246"/>
        <v>0.141707387180224</v>
      </c>
      <c r="EV25" s="1083">
        <f t="shared" si="246"/>
        <v>0.12177222071215</v>
      </c>
      <c r="EW25" s="1084">
        <f t="shared" si="246"/>
        <v>0.134280982611096</v>
      </c>
      <c r="EX25" s="1083">
        <f t="shared" si="246"/>
        <v>0.108123407868667</v>
      </c>
      <c r="EY25" s="1083">
        <f t="shared" si="246"/>
        <v>0.123681125439625</v>
      </c>
      <c r="EZ25" s="1083">
        <f t="shared" si="246"/>
        <v>0.116656993615786</v>
      </c>
      <c r="FA25" s="1083">
        <f t="shared" si="246"/>
        <v>0.0870848708487085</v>
      </c>
      <c r="FB25" s="1083">
        <f t="shared" si="246"/>
        <v>0.105685862918682</v>
      </c>
      <c r="FC25" s="1083">
        <f t="shared" si="246"/>
        <v>0.101385041551247</v>
      </c>
      <c r="FD25" s="1094">
        <f t="shared" si="246"/>
        <v>0.0951200206008114</v>
      </c>
      <c r="FE25" s="1084">
        <f t="shared" si="246"/>
        <v>0.105384101405278</v>
      </c>
      <c r="FF25" s="1083">
        <f t="shared" si="246"/>
        <v>0.0923340680871908</v>
      </c>
      <c r="FG25" s="1083">
        <f t="shared" si="246"/>
        <v>0.0934220629639109</v>
      </c>
      <c r="FH25" s="1083">
        <f t="shared" si="246"/>
        <v>0.0928660826032541</v>
      </c>
      <c r="FI25" s="1083">
        <f t="shared" si="246"/>
        <v>0.0718940508723986</v>
      </c>
      <c r="FJ25" s="1083">
        <f t="shared" si="246"/>
        <v>0.0850396171648231</v>
      </c>
      <c r="FK25" s="1083">
        <f t="shared" si="246"/>
        <v>0.0918905950095969</v>
      </c>
      <c r="FL25" s="1083">
        <f t="shared" si="246"/>
        <v>0.0812324929971989</v>
      </c>
      <c r="FM25" s="1084">
        <f t="shared" si="246"/>
        <v>0.0867277564292048</v>
      </c>
      <c r="FN25" s="1083">
        <f t="shared" si="246"/>
        <v>0.0830362759488362</v>
      </c>
      <c r="FO25" s="1083">
        <f t="shared" ref="FO25:FU25" si="247">FO21/FO$26</f>
        <v>0.0852362649785214</v>
      </c>
      <c r="FP25" s="1083">
        <f t="shared" si="247"/>
        <v>0.084094865100087</v>
      </c>
      <c r="FQ25" s="1083">
        <f t="shared" si="247"/>
        <v>0.0676274944567627</v>
      </c>
      <c r="FR25" s="1083">
        <f t="shared" si="247"/>
        <v>0.0779923308682553</v>
      </c>
      <c r="FS25" s="1083">
        <f t="shared" si="247"/>
        <v>0.0717029449423816</v>
      </c>
      <c r="FT25" s="1083">
        <f t="shared" si="247"/>
        <v>0.0695187165775401</v>
      </c>
      <c r="FU25" s="1083">
        <f t="shared" si="247"/>
        <v>0.076464489372732</v>
      </c>
      <c r="FV25" s="1086">
        <f t="shared" ref="FV25:GC25" si="248">FV21/FV$26</f>
        <v>0.0361733382298935</v>
      </c>
      <c r="FW25" s="1087">
        <f t="shared" si="248"/>
        <v>0.0393013100436681</v>
      </c>
      <c r="FX25" s="1087">
        <f t="shared" si="248"/>
        <v>0.0376764593666539</v>
      </c>
      <c r="FY25" s="1083">
        <f t="shared" si="248"/>
        <v>0.0338147234941881</v>
      </c>
      <c r="FZ25" s="1083">
        <f t="shared" si="248"/>
        <v>0.0363197624056429</v>
      </c>
      <c r="GA25" s="1083">
        <f t="shared" si="248"/>
        <v>0.0304588607594937</v>
      </c>
      <c r="GB25" s="1083">
        <f t="shared" si="248"/>
        <v>0.0322340227315074</v>
      </c>
      <c r="GC25" s="1084">
        <f t="shared" si="248"/>
        <v>0.0349231784334056</v>
      </c>
      <c r="GD25" s="1086">
        <f t="shared" ref="GD25:GF25" si="249">GD21/GD$26</f>
        <v>0.0342465753424658</v>
      </c>
      <c r="GE25" s="1087">
        <f t="shared" si="249"/>
        <v>0.035924729138947</v>
      </c>
      <c r="GF25" s="1087">
        <f t="shared" si="249"/>
        <v>0.0350633731149968</v>
      </c>
      <c r="GG25" s="1087">
        <f t="shared" ref="GG25:GN25" si="250">GG21/GG$26</f>
        <v>0.0391622680061297</v>
      </c>
      <c r="GH25" s="1083">
        <f t="shared" si="250"/>
        <v>0.0365064140990289</v>
      </c>
      <c r="GI25" s="1087">
        <f t="shared" si="250"/>
        <v>0.0420408943244793</v>
      </c>
      <c r="GJ25" s="1083">
        <f t="shared" si="250"/>
        <v>0.0405186385737439</v>
      </c>
      <c r="GK25" s="1088">
        <f t="shared" si="250"/>
        <v>0.0378279717088752</v>
      </c>
      <c r="GL25" s="1087">
        <f t="shared" si="250"/>
        <v>0.0331463539010709</v>
      </c>
      <c r="GM25" s="1087">
        <f t="shared" si="250"/>
        <v>0.0266836086404066</v>
      </c>
      <c r="GN25" s="1087">
        <f t="shared" si="250"/>
        <v>0.0300210674157303</v>
      </c>
      <c r="GO25" s="1087">
        <f t="shared" ref="GO25:GS25" si="251">GO21/GO$26</f>
        <v>0.0252730109204368</v>
      </c>
      <c r="GP25" s="1083">
        <f t="shared" si="251"/>
        <v>0.0283114256825076</v>
      </c>
      <c r="GQ25" s="1087">
        <f t="shared" si="251"/>
        <v>0.0172974824456243</v>
      </c>
      <c r="GR25" s="1083">
        <f t="shared" si="251"/>
        <v>0.0214711405012654</v>
      </c>
      <c r="GS25" s="1088">
        <f t="shared" si="251"/>
        <v>0.0255911340467831</v>
      </c>
      <c r="GT25" s="1087">
        <f t="shared" ref="GT25:GW25" si="252">GT21/GT$26</f>
        <v>0.0328213759730696</v>
      </c>
      <c r="GU25" s="1087">
        <f t="shared" si="252"/>
        <v>0.0205795654055849</v>
      </c>
      <c r="GV25" s="1087">
        <f t="shared" si="252"/>
        <v>0.0275632176927323</v>
      </c>
      <c r="GW25" s="1087">
        <f t="shared" si="252"/>
        <v>0.0256676282735908</v>
      </c>
      <c r="GX25" s="1083"/>
      <c r="GY25" s="1087">
        <f t="shared" ref="GY25:HA25" si="253">GY21/GY$26</f>
        <v>0.0168101079464048</v>
      </c>
      <c r="GZ25" s="1083">
        <f t="shared" si="253"/>
        <v>0.0213990137376781</v>
      </c>
      <c r="HA25" s="1088">
        <f t="shared" si="253"/>
        <v>0.023987099375126</v>
      </c>
      <c r="HB25" s="1087">
        <f t="shared" ref="HB25:HE25" si="254">HB21/HB$26</f>
        <v>0.00740318906605922</v>
      </c>
      <c r="HC25" s="1087">
        <f t="shared" si="254"/>
        <v>0.00669686822926925</v>
      </c>
      <c r="HD25" s="1087">
        <f t="shared" si="254"/>
        <v>0.00705654905751571</v>
      </c>
      <c r="HE25" s="1087">
        <f t="shared" si="254"/>
        <v>0.00764951321279618</v>
      </c>
      <c r="HF25" s="1083"/>
      <c r="HG25" s="1087">
        <f t="shared" ref="HG25:HK25" si="255">HG21/HG$26</f>
        <v>0.00525598598403701</v>
      </c>
      <c r="HH25" s="1083">
        <f t="shared" si="255"/>
        <v>0.00652034162916721</v>
      </c>
      <c r="HI25" s="1088">
        <f t="shared" si="255"/>
        <v>0.00678157671658669</v>
      </c>
      <c r="HJ25" s="1087">
        <f t="shared" si="255"/>
        <v>0.00678989060731799</v>
      </c>
      <c r="HK25" s="1087">
        <f t="shared" si="255"/>
        <v>0.00518134715025907</v>
      </c>
      <c r="HL25" s="1083"/>
      <c r="HM25" s="1087">
        <f t="shared" ref="HM25" si="256">HM21/HM$26</f>
        <v>0.00717852684144819</v>
      </c>
      <c r="HN25" s="1083"/>
      <c r="HO25" s="1087">
        <f t="shared" ref="HO25:HS25" si="257">HO21/HO$26</f>
        <v>0.00749423520368947</v>
      </c>
      <c r="HP25" s="1083">
        <f t="shared" si="257"/>
        <v>0.0072469946286981</v>
      </c>
      <c r="HQ25" s="1088">
        <f t="shared" si="257"/>
        <v>0.00666340900004442</v>
      </c>
      <c r="HR25" s="1087">
        <f t="shared" si="257"/>
        <v>0.0151687523701176</v>
      </c>
      <c r="HS25" s="1087">
        <f t="shared" si="257"/>
        <v>0.00971070200283228</v>
      </c>
      <c r="HT25" s="1083"/>
      <c r="HU25" s="1087">
        <f t="shared" ref="HU25" si="258">HU21/HU$26</f>
        <v>0.00672685431049743</v>
      </c>
      <c r="HV25" s="1083"/>
      <c r="HW25" s="1087">
        <f t="shared" ref="HW25:IA25" si="259">HW21/HW$26</f>
        <v>0.00685785536159601</v>
      </c>
      <c r="HX25" s="1083">
        <f t="shared" si="259"/>
        <v>0.00678711404263455</v>
      </c>
      <c r="HY25" s="1088">
        <f t="shared" si="259"/>
        <v>0.0096237547151562</v>
      </c>
      <c r="HZ25" s="1087">
        <f t="shared" si="259"/>
        <v>0.00602863602110023</v>
      </c>
      <c r="IA25" s="1087">
        <f t="shared" si="259"/>
        <v>0.00409107079331199</v>
      </c>
      <c r="IB25" s="1083"/>
      <c r="IC25" s="1087">
        <f t="shared" ref="IC25" si="260">IC21/IC$26</f>
        <v>0.00464892593780058</v>
      </c>
      <c r="ID25" s="1083"/>
      <c r="IE25" s="1083"/>
      <c r="IF25" s="1083"/>
      <c r="IG25" s="1084"/>
      <c r="IH25" s="1087">
        <f t="shared" ref="IH25:II25" si="261">IH21/IH$26</f>
        <v>0.00341296928327645</v>
      </c>
      <c r="II25" s="1087">
        <f t="shared" si="261"/>
        <v>0.00235215053763441</v>
      </c>
      <c r="IJ25" s="1083"/>
      <c r="IK25" s="1087">
        <f t="shared" ref="IK25:IM25" si="262">IK21/IK$26</f>
        <v>0.00316742081447963</v>
      </c>
      <c r="IL25" s="1083"/>
      <c r="IM25" s="1087">
        <f t="shared" si="262"/>
        <v>0.00263331138907176</v>
      </c>
      <c r="IN25" s="1083"/>
      <c r="IO25" s="1088">
        <f t="shared" ref="IO25:IQ25" si="263">IO21/IO$26</f>
        <v>0.00290193865624118</v>
      </c>
      <c r="IP25" s="1087">
        <f t="shared" si="263"/>
        <v>0.00940533980582487</v>
      </c>
      <c r="IQ25" s="1087">
        <f t="shared" si="263"/>
        <v>0.00430075633990749</v>
      </c>
      <c r="IR25" s="1083"/>
      <c r="IS25" s="1083"/>
      <c r="IT25" s="1083"/>
      <c r="IU25" s="1083"/>
      <c r="IV25" s="1083"/>
      <c r="IW25" s="1083"/>
      <c r="IX25" s="1083"/>
      <c r="IY25" s="1049"/>
      <c r="IZ25" s="1049"/>
      <c r="JA25" s="1049"/>
      <c r="JD25" s="1082"/>
      <c r="JE25" s="1082"/>
      <c r="JF25" s="1082"/>
      <c r="JG25" s="1082"/>
      <c r="JH25" s="1082"/>
      <c r="JI25" s="1082"/>
      <c r="JJ25" s="1035"/>
      <c r="JK25" s="1035"/>
      <c r="JL25" s="1035"/>
      <c r="JM25" s="1035"/>
      <c r="JN25" s="1035"/>
      <c r="JO25" s="1035"/>
      <c r="JP25" s="1035"/>
      <c r="JQ25" s="1035"/>
      <c r="JR25" s="1035"/>
      <c r="JS25" s="1035"/>
      <c r="JT25" s="1035"/>
      <c r="JU25" s="1035"/>
      <c r="JV25" s="1035"/>
      <c r="JW25" s="1035"/>
      <c r="JX25" s="1035"/>
      <c r="JY25" s="1035"/>
    </row>
    <row r="26" spans="1:334">
      <c r="A26" s="1105" t="s">
        <v>71</v>
      </c>
      <c r="AX26" s="1059"/>
      <c r="BE26" s="1060"/>
      <c r="BN26" s="1059"/>
      <c r="BU26" s="1060"/>
      <c r="BV26" s="1059"/>
      <c r="CC26" s="1060"/>
      <c r="CD26" s="1059"/>
      <c r="CJ26" s="1061"/>
      <c r="CK26" s="1060"/>
      <c r="CL26" s="1059"/>
      <c r="CS26" s="1060"/>
      <c r="CT26" s="1105"/>
      <c r="CU26" s="1105"/>
      <c r="CV26" s="1105"/>
      <c r="CW26" s="1105"/>
      <c r="CX26" s="1105"/>
      <c r="CY26" s="1105"/>
      <c r="CZ26" s="1105"/>
      <c r="DA26" s="1105"/>
      <c r="DB26" s="1106">
        <f t="shared" ref="DB26:DI26" si="264">SUM(DB21,DB10,DB5)</f>
        <v>2613</v>
      </c>
      <c r="DC26" s="1106">
        <f t="shared" si="264"/>
        <v>2514</v>
      </c>
      <c r="DD26" s="1106">
        <f t="shared" si="264"/>
        <v>5127</v>
      </c>
      <c r="DE26" s="1106">
        <f t="shared" si="264"/>
        <v>3079</v>
      </c>
      <c r="DF26" s="1106">
        <f t="shared" si="264"/>
        <v>8206</v>
      </c>
      <c r="DG26" s="1106">
        <f t="shared" si="264"/>
        <v>2576</v>
      </c>
      <c r="DH26" s="1106">
        <f t="shared" si="264"/>
        <v>5655</v>
      </c>
      <c r="DI26" s="1107">
        <f t="shared" si="264"/>
        <v>9511.99686331498</v>
      </c>
      <c r="DJ26" s="1106">
        <v>2577</v>
      </c>
      <c r="DK26" s="1106">
        <v>2457</v>
      </c>
      <c r="DL26" s="1106">
        <v>5034</v>
      </c>
      <c r="DM26" s="1106">
        <v>2888</v>
      </c>
      <c r="DN26" s="1106">
        <v>7923</v>
      </c>
      <c r="DO26" s="1106">
        <v>2458</v>
      </c>
      <c r="DP26" s="1106">
        <f>SUM(DP21,DP10,DP5)</f>
        <v>5341</v>
      </c>
      <c r="DQ26" s="1107">
        <f>SUM(DQ21,DQ10,DQ5)</f>
        <v>10363</v>
      </c>
      <c r="DR26" s="1106">
        <v>2674</v>
      </c>
      <c r="DS26" s="1106">
        <v>2917</v>
      </c>
      <c r="DT26" s="1106">
        <v>5590</v>
      </c>
      <c r="DU26" s="1106">
        <f>SUM(DU21,DU10,DU5)</f>
        <v>3468</v>
      </c>
      <c r="DV26" s="1106">
        <f>SUM(DV21,DV10,DV5)</f>
        <v>9058</v>
      </c>
      <c r="DW26" s="1106">
        <f>SUM(DW21,DW10,DW5)</f>
        <v>2932</v>
      </c>
      <c r="DX26" s="1106">
        <f>DY26-DT26</f>
        <v>6400</v>
      </c>
      <c r="DY26" s="1107">
        <f>'Profit and Loss'!Q32</f>
        <v>11990</v>
      </c>
      <c r="DZ26" s="1106">
        <f>DZ5+DZ10+DZ21</f>
        <v>3273</v>
      </c>
      <c r="EA26" s="1106">
        <f>EA5+EA10+EA21</f>
        <v>3064</v>
      </c>
      <c r="EB26" s="1106">
        <f>DZ26+EA26</f>
        <v>6337</v>
      </c>
      <c r="EC26" s="1106">
        <f>EC5+EC10+EC21</f>
        <v>3744</v>
      </c>
      <c r="ED26" s="1106">
        <f>EC26+EB26</f>
        <v>10081</v>
      </c>
      <c r="EE26" s="1106">
        <v>3241</v>
      </c>
      <c r="EF26" s="1106">
        <f>EC26+EE26</f>
        <v>6985</v>
      </c>
      <c r="EG26" s="1107">
        <f>EG21+EG10+EG5</f>
        <v>13323</v>
      </c>
      <c r="EH26" s="1106">
        <f>EH5+EH10+EH21</f>
        <v>3824</v>
      </c>
      <c r="EI26" s="1106">
        <f>EI5+EI10+EI21</f>
        <v>3517</v>
      </c>
      <c r="EJ26" s="1106">
        <f>EH26+EI26</f>
        <v>7341</v>
      </c>
      <c r="EK26" s="1106">
        <f>EK5+EK10+EK21</f>
        <v>4173</v>
      </c>
      <c r="EL26" s="1106">
        <f>EK26+EJ26</f>
        <v>11514</v>
      </c>
      <c r="EM26" s="1106">
        <f>EM5+EM10+EM21</f>
        <v>3369</v>
      </c>
      <c r="EN26" s="1106">
        <f>EN127</f>
        <v>7542</v>
      </c>
      <c r="EO26" s="1107">
        <f>EO127</f>
        <v>14883</v>
      </c>
      <c r="EP26" s="1106">
        <f>EP5+EP10+EP21</f>
        <v>3751</v>
      </c>
      <c r="EQ26" s="1106">
        <f>EQ127</f>
        <v>3383</v>
      </c>
      <c r="ER26" s="1106">
        <f t="shared" ref="ER26:EW26" si="265">ER127</f>
        <v>7134</v>
      </c>
      <c r="ES26" s="1106">
        <f t="shared" si="265"/>
        <v>3879</v>
      </c>
      <c r="ET26" s="1106">
        <f t="shared" si="265"/>
        <v>11013</v>
      </c>
      <c r="EU26" s="1106">
        <f t="shared" si="265"/>
        <v>3479</v>
      </c>
      <c r="EV26" s="1106">
        <f t="shared" si="265"/>
        <v>7358</v>
      </c>
      <c r="EW26" s="1107">
        <f t="shared" si="265"/>
        <v>14492</v>
      </c>
      <c r="EX26" s="1106">
        <f>EX5+EX10+EX21</f>
        <v>3533</v>
      </c>
      <c r="EY26" s="1106">
        <f t="shared" ref="EY26:FE26" si="266">EY127</f>
        <v>3412</v>
      </c>
      <c r="EZ26" s="1106">
        <f t="shared" si="266"/>
        <v>6892</v>
      </c>
      <c r="FA26" s="1106">
        <f t="shared" si="266"/>
        <v>4065</v>
      </c>
      <c r="FB26" s="1106">
        <f t="shared" si="266"/>
        <v>10957</v>
      </c>
      <c r="FC26" s="1106">
        <f>FC216</f>
        <v>3610</v>
      </c>
      <c r="FD26" s="1106">
        <f t="shared" si="266"/>
        <v>7569.38439933284</v>
      </c>
      <c r="FE26" s="1107">
        <f t="shared" si="266"/>
        <v>14461.3843993328</v>
      </c>
      <c r="FF26" s="1106">
        <f t="shared" ref="FF26:FN26" si="267">FF216</f>
        <v>4083</v>
      </c>
      <c r="FG26" s="1106">
        <f t="shared" si="267"/>
        <v>3907</v>
      </c>
      <c r="FH26" s="1106">
        <f t="shared" si="267"/>
        <v>7990</v>
      </c>
      <c r="FI26" s="1106">
        <f t="shared" si="267"/>
        <v>4757</v>
      </c>
      <c r="FJ26" s="1106">
        <f t="shared" si="267"/>
        <v>12747</v>
      </c>
      <c r="FK26" s="1106">
        <f t="shared" si="267"/>
        <v>4168</v>
      </c>
      <c r="FL26" s="1106">
        <f t="shared" si="267"/>
        <v>8925</v>
      </c>
      <c r="FM26" s="1107">
        <f t="shared" si="267"/>
        <v>16915</v>
      </c>
      <c r="FN26" s="1106">
        <f t="shared" si="267"/>
        <v>4769</v>
      </c>
      <c r="FO26" s="1106">
        <f t="shared" ref="FO26:FU26" si="268">FO216</f>
        <v>4423</v>
      </c>
      <c r="FP26" s="1106">
        <f t="shared" si="268"/>
        <v>9192</v>
      </c>
      <c r="FQ26" s="1106">
        <f t="shared" si="268"/>
        <v>5412</v>
      </c>
      <c r="FR26" s="1106">
        <f t="shared" si="268"/>
        <v>14604</v>
      </c>
      <c r="FS26" s="1106">
        <f t="shared" si="268"/>
        <v>4686</v>
      </c>
      <c r="FT26" s="1106">
        <f t="shared" si="268"/>
        <v>10098</v>
      </c>
      <c r="FU26" s="1106">
        <f t="shared" si="268"/>
        <v>19290</v>
      </c>
      <c r="FV26" s="1108">
        <f t="shared" ref="FV26:GC26" si="269">FV216</f>
        <v>5446</v>
      </c>
      <c r="FW26" s="1106">
        <f t="shared" si="269"/>
        <v>5038</v>
      </c>
      <c r="FX26" s="1106">
        <f t="shared" si="269"/>
        <v>10484</v>
      </c>
      <c r="FY26" s="1106">
        <f t="shared" si="269"/>
        <v>5678</v>
      </c>
      <c r="FZ26" s="1106">
        <f t="shared" si="269"/>
        <v>16162</v>
      </c>
      <c r="GA26" s="1106">
        <f t="shared" si="269"/>
        <v>5056</v>
      </c>
      <c r="GB26" s="1106">
        <f t="shared" si="269"/>
        <v>10734</v>
      </c>
      <c r="GC26" s="1107">
        <f t="shared" si="269"/>
        <v>21218</v>
      </c>
      <c r="GD26" s="1108">
        <f t="shared" ref="GD26:GH26" si="270">GD216</f>
        <v>5548</v>
      </c>
      <c r="GE26" s="1106">
        <f t="shared" si="270"/>
        <v>5261</v>
      </c>
      <c r="GF26" s="1106">
        <f t="shared" si="270"/>
        <v>10809</v>
      </c>
      <c r="GG26" s="1106">
        <f t="shared" si="270"/>
        <v>5873</v>
      </c>
      <c r="GH26" s="1106">
        <f t="shared" si="270"/>
        <v>16682</v>
      </c>
      <c r="GI26" s="1106">
        <f>GK26-GG26-GE26-GD26</f>
        <v>5233</v>
      </c>
      <c r="GJ26" s="1106">
        <f t="shared" ref="GJ26:GK26" si="271">GJ216</f>
        <v>11106</v>
      </c>
      <c r="GK26" s="1107">
        <f t="shared" si="271"/>
        <v>21915</v>
      </c>
      <c r="GL26" s="1106">
        <f t="shared" ref="GL26:GN26" si="272">GL216</f>
        <v>5883</v>
      </c>
      <c r="GM26" s="1106">
        <f t="shared" si="272"/>
        <v>5509</v>
      </c>
      <c r="GN26" s="1106">
        <f t="shared" si="272"/>
        <v>11392</v>
      </c>
      <c r="GO26" s="1106">
        <f t="shared" ref="GO26:GP26" si="273">GO216</f>
        <v>6410</v>
      </c>
      <c r="GP26" s="1106">
        <f t="shared" si="273"/>
        <v>17802</v>
      </c>
      <c r="GQ26" s="1106">
        <f>GS26-GO26-GM26-GL26</f>
        <v>5839</v>
      </c>
      <c r="GR26" s="1106">
        <f t="shared" ref="GR26:GS26" si="274">GR216</f>
        <v>12249</v>
      </c>
      <c r="GS26" s="1107">
        <f t="shared" si="274"/>
        <v>23641</v>
      </c>
      <c r="GT26" s="1106">
        <f t="shared" ref="GT26:GW26" si="275">GT216</f>
        <v>4753</v>
      </c>
      <c r="GU26" s="1106">
        <f t="shared" si="275"/>
        <v>3578.647</v>
      </c>
      <c r="GV26" s="1106">
        <f t="shared" si="275"/>
        <v>8331.647</v>
      </c>
      <c r="GW26" s="1106">
        <f t="shared" si="275"/>
        <v>5964.322</v>
      </c>
      <c r="GX26" s="1106"/>
      <c r="GY26" s="1106">
        <f t="shared" ref="GY26:HA26" si="276">GY216</f>
        <v>5548.031</v>
      </c>
      <c r="GZ26" s="1106">
        <f t="shared" si="276"/>
        <v>11512.353</v>
      </c>
      <c r="HA26" s="1107">
        <f t="shared" si="276"/>
        <v>19844</v>
      </c>
      <c r="HB26" s="1106">
        <f t="shared" ref="HB26:HE26" si="277">HB216</f>
        <v>5268</v>
      </c>
      <c r="HC26" s="1106">
        <f t="shared" si="277"/>
        <v>5077</v>
      </c>
      <c r="HD26" s="1106">
        <f t="shared" si="277"/>
        <v>10345</v>
      </c>
      <c r="HE26" s="1106">
        <f t="shared" si="277"/>
        <v>5752</v>
      </c>
      <c r="HF26" s="1106"/>
      <c r="HG26" s="1106">
        <f t="shared" ref="HG26:HK26" si="278">HG216</f>
        <v>5137</v>
      </c>
      <c r="HH26" s="1106">
        <f t="shared" si="278"/>
        <v>10889</v>
      </c>
      <c r="HI26" s="1107">
        <f t="shared" si="278"/>
        <v>21234</v>
      </c>
      <c r="HJ26" s="1106">
        <f t="shared" si="278"/>
        <v>5302</v>
      </c>
      <c r="HK26" s="1106">
        <f t="shared" si="278"/>
        <v>5597</v>
      </c>
      <c r="HL26" s="1106"/>
      <c r="HM26" s="1106">
        <f t="shared" ref="HM26:HM27" si="279">HM216</f>
        <v>6408</v>
      </c>
      <c r="HN26" s="1106"/>
      <c r="HO26" s="1106">
        <f t="shared" ref="HO26:HS26" si="280">HO216</f>
        <v>5204</v>
      </c>
      <c r="HP26" s="1106">
        <f t="shared" si="280"/>
        <v>11729</v>
      </c>
      <c r="HQ26" s="1107">
        <f t="shared" si="280"/>
        <v>22511</v>
      </c>
      <c r="HR26" s="1106">
        <f t="shared" si="280"/>
        <v>5274</v>
      </c>
      <c r="HS26" s="1106">
        <f t="shared" si="280"/>
        <v>4943</v>
      </c>
      <c r="HT26" s="1106"/>
      <c r="HU26" s="1106">
        <f t="shared" ref="HU26:HU27" si="281">HU216</f>
        <v>5649</v>
      </c>
      <c r="HV26" s="1106"/>
      <c r="HW26" s="1106">
        <f t="shared" ref="HW26:IA26" si="282">HW216</f>
        <v>4812</v>
      </c>
      <c r="HX26" s="1106">
        <f t="shared" si="282"/>
        <v>10461</v>
      </c>
      <c r="HY26" s="1107">
        <f t="shared" si="282"/>
        <v>20678</v>
      </c>
      <c r="HZ26" s="1106">
        <f t="shared" si="282"/>
        <v>5308</v>
      </c>
      <c r="IA26" s="1106">
        <f t="shared" si="282"/>
        <v>5622</v>
      </c>
      <c r="IB26" s="1106"/>
      <c r="IC26" s="1106">
        <f t="shared" ref="IC26:IK26" si="283">IC216</f>
        <v>6238</v>
      </c>
      <c r="ID26" s="1106"/>
      <c r="IE26" s="1106">
        <f t="shared" si="283"/>
        <v>5865.00000000001</v>
      </c>
      <c r="IF26" s="1106"/>
      <c r="IG26" s="1107">
        <f t="shared" si="283"/>
        <v>23033</v>
      </c>
      <c r="IH26" s="1106">
        <f t="shared" si="283"/>
        <v>6153</v>
      </c>
      <c r="II26" s="1106">
        <f t="shared" si="283"/>
        <v>5952</v>
      </c>
      <c r="IJ26" s="1106"/>
      <c r="IK26" s="1106">
        <f t="shared" si="283"/>
        <v>6630</v>
      </c>
      <c r="IL26" s="1106"/>
      <c r="IM26" s="1106">
        <f t="shared" ref="IM26" si="284">IM216</f>
        <v>6076</v>
      </c>
      <c r="IN26" s="1106"/>
      <c r="IO26" s="1107">
        <f t="shared" ref="IO26:IQ26" si="285">IO216</f>
        <v>24811</v>
      </c>
      <c r="IP26" s="1106">
        <f t="shared" si="285"/>
        <v>6592</v>
      </c>
      <c r="IQ26" s="1106">
        <f t="shared" si="285"/>
        <v>6743</v>
      </c>
      <c r="IR26" s="1106"/>
      <c r="IS26" s="1106"/>
      <c r="IT26" s="1106"/>
      <c r="IU26" s="1106"/>
      <c r="IV26" s="1106"/>
      <c r="IW26" s="1106"/>
      <c r="IX26" s="1106"/>
      <c r="IY26" s="1049"/>
      <c r="IZ26" s="1049"/>
      <c r="JA26" s="1049"/>
      <c r="JB26" s="1049"/>
      <c r="JC26" s="1049"/>
      <c r="JD26" s="1035"/>
      <c r="JE26" s="1037"/>
      <c r="JF26" s="1037"/>
      <c r="JG26" s="1037"/>
      <c r="JH26" s="1037"/>
      <c r="JI26" s="1035"/>
      <c r="JJ26" s="1035"/>
      <c r="JK26" s="1035"/>
      <c r="JL26" s="1035"/>
      <c r="JM26" s="1035"/>
      <c r="JN26" s="1035"/>
      <c r="JO26" s="1035"/>
      <c r="JP26" s="1035"/>
      <c r="JQ26" s="1035"/>
      <c r="JR26" s="1035"/>
      <c r="JS26" s="1035"/>
      <c r="JT26" s="1035"/>
      <c r="JU26" s="1035"/>
      <c r="JV26" s="1035"/>
      <c r="JW26" s="1035"/>
      <c r="JX26" s="1035"/>
      <c r="JY26" s="1035"/>
    </row>
    <row r="27" spans="1:334">
      <c r="A27" s="967" t="s">
        <v>61</v>
      </c>
      <c r="AX27" s="1059"/>
      <c r="BE27" s="1060"/>
      <c r="BN27" s="1059"/>
      <c r="BU27" s="1060"/>
      <c r="BV27" s="1059"/>
      <c r="CC27" s="1060"/>
      <c r="CD27" s="1059"/>
      <c r="CJ27" s="1061"/>
      <c r="CK27" s="1060"/>
      <c r="CL27" s="1059"/>
      <c r="CS27" s="1060"/>
      <c r="CT27" s="967"/>
      <c r="CU27" s="967"/>
      <c r="CV27" s="967"/>
      <c r="CW27" s="967"/>
      <c r="CX27" s="967"/>
      <c r="CY27" s="967"/>
      <c r="CZ27" s="967"/>
      <c r="DA27" s="967"/>
      <c r="DJ27" s="1080">
        <f t="shared" ref="DJ27:EG27" si="286">DJ26/DB26-1</f>
        <v>-0.0137772675086107</v>
      </c>
      <c r="DK27" s="1080">
        <f t="shared" si="286"/>
        <v>-0.022673031026253</v>
      </c>
      <c r="DL27" s="1080">
        <f t="shared" si="286"/>
        <v>-0.0181392627267408</v>
      </c>
      <c r="DM27" s="1080">
        <f t="shared" si="286"/>
        <v>-0.0620331276388438</v>
      </c>
      <c r="DN27" s="1080">
        <f t="shared" si="286"/>
        <v>-0.0344869607604192</v>
      </c>
      <c r="DO27" s="1080">
        <f t="shared" si="286"/>
        <v>-0.0458074534161491</v>
      </c>
      <c r="DP27" s="1080">
        <f t="shared" si="286"/>
        <v>-0.05552608311229</v>
      </c>
      <c r="DQ27" s="1081">
        <f t="shared" si="286"/>
        <v>0.0894662970261368</v>
      </c>
      <c r="DR27" s="1080">
        <f t="shared" si="286"/>
        <v>0.037640667442763</v>
      </c>
      <c r="DS27" s="1082">
        <f t="shared" si="286"/>
        <v>0.187220187220187</v>
      </c>
      <c r="DT27" s="1082">
        <f t="shared" si="286"/>
        <v>0.110448947159317</v>
      </c>
      <c r="DU27" s="1082">
        <f t="shared" si="286"/>
        <v>0.200831024930748</v>
      </c>
      <c r="DV27" s="1083">
        <f t="shared" si="286"/>
        <v>0.143253817998233</v>
      </c>
      <c r="DW27" s="1083">
        <f t="shared" si="286"/>
        <v>0.192839707078926</v>
      </c>
      <c r="DX27" s="1083">
        <f t="shared" si="286"/>
        <v>0.198277476128066</v>
      </c>
      <c r="DY27" s="1085">
        <f t="shared" si="286"/>
        <v>0.15700086847438</v>
      </c>
      <c r="DZ27" s="1082">
        <f t="shared" si="286"/>
        <v>0.224008975317876</v>
      </c>
      <c r="EA27" s="1082">
        <f t="shared" si="286"/>
        <v>0.0503942406582105</v>
      </c>
      <c r="EB27" s="1082">
        <f t="shared" si="286"/>
        <v>0.133631484794275</v>
      </c>
      <c r="EC27" s="1082">
        <f t="shared" si="286"/>
        <v>0.0795847750865053</v>
      </c>
      <c r="ED27" s="1082">
        <f t="shared" si="286"/>
        <v>0.112938838595716</v>
      </c>
      <c r="EE27" s="1083">
        <f t="shared" si="286"/>
        <v>0.105388813096862</v>
      </c>
      <c r="EF27" s="1082">
        <f t="shared" si="286"/>
        <v>0.0914062499999999</v>
      </c>
      <c r="EG27" s="1085">
        <f t="shared" si="286"/>
        <v>0.111175979983319</v>
      </c>
      <c r="EH27" s="1082">
        <f>+EH26/DZ26-1</f>
        <v>0.168347082187595</v>
      </c>
      <c r="EI27" s="1082">
        <f t="shared" ref="EI27:FU27" si="287">EI26/EA26-1</f>
        <v>0.147845953002611</v>
      </c>
      <c r="EJ27" s="1082">
        <f t="shared" si="287"/>
        <v>0.158434590500237</v>
      </c>
      <c r="EK27" s="1082">
        <f t="shared" si="287"/>
        <v>0.114583333333333</v>
      </c>
      <c r="EL27" s="1082">
        <f t="shared" si="287"/>
        <v>0.142148596369408</v>
      </c>
      <c r="EM27" s="1083">
        <f t="shared" si="287"/>
        <v>0.0394939833384758</v>
      </c>
      <c r="EN27" s="1082">
        <f t="shared" si="287"/>
        <v>0.0797423049391552</v>
      </c>
      <c r="EO27" s="1085">
        <f t="shared" si="287"/>
        <v>0.117090745327629</v>
      </c>
      <c r="EP27" s="1082">
        <f t="shared" si="287"/>
        <v>-0.0190899581589958</v>
      </c>
      <c r="EQ27" s="1082">
        <f t="shared" si="287"/>
        <v>-0.0381006539664487</v>
      </c>
      <c r="ER27" s="1082">
        <f t="shared" si="287"/>
        <v>-0.0281977932161831</v>
      </c>
      <c r="ES27" s="1082">
        <f t="shared" si="287"/>
        <v>-0.0704529115744069</v>
      </c>
      <c r="ET27" s="1082">
        <f t="shared" si="287"/>
        <v>-0.0435122459614382</v>
      </c>
      <c r="EU27" s="1082">
        <f t="shared" si="287"/>
        <v>0.0326506381715643</v>
      </c>
      <c r="EV27" s="1082">
        <f t="shared" si="287"/>
        <v>-0.0243967117475471</v>
      </c>
      <c r="EW27" s="1085">
        <f t="shared" si="287"/>
        <v>-0.0262715850298999</v>
      </c>
      <c r="EX27" s="1082">
        <f t="shared" si="287"/>
        <v>-0.058117835243935</v>
      </c>
      <c r="EY27" s="1082">
        <f t="shared" si="287"/>
        <v>0.00857227313035769</v>
      </c>
      <c r="EZ27" s="1082">
        <f t="shared" si="287"/>
        <v>-0.0339220633585646</v>
      </c>
      <c r="FA27" s="1082">
        <f t="shared" si="287"/>
        <v>0.0479505027068832</v>
      </c>
      <c r="FB27" s="1082">
        <f t="shared" si="287"/>
        <v>-0.00508489966403336</v>
      </c>
      <c r="FC27" s="1082">
        <f t="shared" si="287"/>
        <v>0.0376544984190859</v>
      </c>
      <c r="FD27" s="1082">
        <f t="shared" si="287"/>
        <v>0.0287285130922583</v>
      </c>
      <c r="FE27" s="1085">
        <f t="shared" si="287"/>
        <v>-0.0021125863005218</v>
      </c>
      <c r="FF27" s="1082">
        <f t="shared" si="287"/>
        <v>0.155675063685253</v>
      </c>
      <c r="FG27" s="1082">
        <f t="shared" si="287"/>
        <v>0.145076201641266</v>
      </c>
      <c r="FH27" s="1082">
        <f t="shared" si="287"/>
        <v>0.159315147997678</v>
      </c>
      <c r="FI27" s="1082">
        <f t="shared" si="287"/>
        <v>0.170233702337023</v>
      </c>
      <c r="FJ27" s="1082">
        <f t="shared" si="287"/>
        <v>0.163365884822488</v>
      </c>
      <c r="FK27" s="1082">
        <f t="shared" si="287"/>
        <v>0.154570637119114</v>
      </c>
      <c r="FL27" s="1082">
        <f t="shared" si="287"/>
        <v>0.179091922030892</v>
      </c>
      <c r="FM27" s="1085">
        <f t="shared" si="287"/>
        <v>0.169666716056615</v>
      </c>
      <c r="FN27" s="1082">
        <f t="shared" si="287"/>
        <v>0.168013715405339</v>
      </c>
      <c r="FO27" s="1082">
        <f t="shared" si="287"/>
        <v>0.132070642436652</v>
      </c>
      <c r="FP27" s="1082">
        <f t="shared" si="287"/>
        <v>0.150438047559449</v>
      </c>
      <c r="FQ27" s="1082">
        <f t="shared" si="287"/>
        <v>0.137691822577255</v>
      </c>
      <c r="FR27" s="1082">
        <f t="shared" si="287"/>
        <v>0.145681336785126</v>
      </c>
      <c r="FS27" s="1082">
        <f t="shared" si="287"/>
        <v>0.124280230326296</v>
      </c>
      <c r="FT27" s="1082">
        <f t="shared" si="287"/>
        <v>0.131428571428571</v>
      </c>
      <c r="FU27" s="1082">
        <f t="shared" si="287"/>
        <v>0.140407921962755</v>
      </c>
      <c r="FV27" s="1109">
        <f t="shared" ref="FV27:GC27" si="288">FV26/FN26-1</f>
        <v>0.141958481862026</v>
      </c>
      <c r="FW27" s="1082">
        <f t="shared" si="288"/>
        <v>0.139045896450373</v>
      </c>
      <c r="FX27" s="1082">
        <f t="shared" si="288"/>
        <v>0.140557006092254</v>
      </c>
      <c r="FY27" s="1082">
        <f t="shared" si="288"/>
        <v>0.0491500369549149</v>
      </c>
      <c r="FZ27" s="1082">
        <f t="shared" si="288"/>
        <v>0.106683100520405</v>
      </c>
      <c r="GA27" s="1082">
        <f t="shared" si="288"/>
        <v>0.0789586000853606</v>
      </c>
      <c r="GB27" s="1082">
        <f t="shared" si="288"/>
        <v>0.0629827688651219</v>
      </c>
      <c r="GC27" s="1085">
        <f t="shared" si="288"/>
        <v>0.0999481596682219</v>
      </c>
      <c r="GD27" s="1109">
        <f t="shared" ref="GD27:GP27" si="289">GD26/FV26-1</f>
        <v>0.0187293426367976</v>
      </c>
      <c r="GE27" s="1082">
        <f t="shared" si="289"/>
        <v>0.0442635966653433</v>
      </c>
      <c r="GF27" s="1082">
        <f t="shared" si="289"/>
        <v>0.0309996184662342</v>
      </c>
      <c r="GG27" s="1082">
        <f t="shared" si="289"/>
        <v>0.0343430785487853</v>
      </c>
      <c r="GH27" s="1082">
        <f t="shared" si="289"/>
        <v>0.0321742358618986</v>
      </c>
      <c r="GI27" s="1082">
        <f t="shared" si="289"/>
        <v>0.0350079113924051</v>
      </c>
      <c r="GJ27" s="1082">
        <f t="shared" si="289"/>
        <v>0.0346562325321411</v>
      </c>
      <c r="GK27" s="1085">
        <f t="shared" si="289"/>
        <v>0.0328494674333115</v>
      </c>
      <c r="GL27" s="1082">
        <f t="shared" si="289"/>
        <v>0.0603821196827685</v>
      </c>
      <c r="GM27" s="1082">
        <f t="shared" si="289"/>
        <v>0.0471393271241205</v>
      </c>
      <c r="GN27" s="1082">
        <f t="shared" si="289"/>
        <v>0.0539365343695069</v>
      </c>
      <c r="GO27" s="1082">
        <f t="shared" si="289"/>
        <v>0.0914353822577898</v>
      </c>
      <c r="GP27" s="1082">
        <f t="shared" si="289"/>
        <v>0.0671382328258001</v>
      </c>
      <c r="GQ27" s="1082">
        <f t="shared" ref="GQ27" si="290">GQ26/GI26-1</f>
        <v>0.11580355436652</v>
      </c>
      <c r="GR27" s="1082">
        <f t="shared" ref="GR27" si="291">GR26/GJ26-1</f>
        <v>0.10291734197731</v>
      </c>
      <c r="GS27" s="1085">
        <f t="shared" ref="GS27" si="292">GS26/GK26-1</f>
        <v>0.0787588409764999</v>
      </c>
      <c r="GT27" s="1082">
        <f t="shared" ref="GT27" si="293">GT26/GL26-1</f>
        <v>-0.192078871324154</v>
      </c>
      <c r="GU27" s="1082">
        <f t="shared" ref="GU27" si="294">GU26/GM26-1</f>
        <v>-0.350399891087312</v>
      </c>
      <c r="GV27" s="1082">
        <f t="shared" ref="GV27:HA27" si="295">GV26/GN26-1</f>
        <v>-0.268640537219101</v>
      </c>
      <c r="GW27" s="1082">
        <f t="shared" si="295"/>
        <v>-0.0695285491419655</v>
      </c>
      <c r="GX27" s="1082"/>
      <c r="GY27" s="1082">
        <f t="shared" si="295"/>
        <v>-0.0498319917794143</v>
      </c>
      <c r="GZ27" s="1082">
        <f t="shared" si="295"/>
        <v>-0.0601393583149649</v>
      </c>
      <c r="HA27" s="1085">
        <f t="shared" si="295"/>
        <v>-0.160610803265513</v>
      </c>
      <c r="HB27" s="1082">
        <f>HB26/4381-1</f>
        <v>0.202465190595755</v>
      </c>
      <c r="HC27" s="1082">
        <f t="shared" ref="HC27:HD27" si="296">HC26/GU26-1</f>
        <v>0.418692595274136</v>
      </c>
      <c r="HD27" s="1082">
        <f t="shared" si="296"/>
        <v>0.241651260549085</v>
      </c>
      <c r="HE27" s="1082">
        <f>HE217</f>
        <v>0.0343463405862261</v>
      </c>
      <c r="HF27" s="1082"/>
      <c r="HG27" s="1082">
        <f t="shared" ref="HG27:HI27" si="297">HG217</f>
        <v>-0.000972384286270334</v>
      </c>
      <c r="HH27" s="1082">
        <f t="shared" si="297"/>
        <v>-0.0541464459958791</v>
      </c>
      <c r="HI27" s="1085">
        <f t="shared" si="297"/>
        <v>0.151830756712775</v>
      </c>
      <c r="HJ27" s="1082">
        <f>HJ26/HB26-1</f>
        <v>0.00645406226271805</v>
      </c>
      <c r="HK27" s="1082">
        <f t="shared" ref="HK27" si="298">HK26/HC26-1</f>
        <v>0.102422690565295</v>
      </c>
      <c r="HL27" s="1082"/>
      <c r="HM27" s="1082">
        <f t="shared" si="279"/>
        <v>0.11404728789986</v>
      </c>
      <c r="HN27" s="1082"/>
      <c r="HO27" s="1082">
        <f t="shared" ref="HO27:HQ27" si="299">HO217</f>
        <v>0.0130426318863155</v>
      </c>
      <c r="HP27" s="1082">
        <f t="shared" si="299"/>
        <v>0.0771420699788776</v>
      </c>
      <c r="HQ27" s="1085">
        <f t="shared" si="299"/>
        <v>0.0601393990769521</v>
      </c>
      <c r="HR27" s="1082">
        <f>HR26/HJ26-1</f>
        <v>-0.00528102602791369</v>
      </c>
      <c r="HS27" s="1082">
        <f t="shared" ref="HS27" si="300">HS26/HK26-1</f>
        <v>-0.116848311595498</v>
      </c>
      <c r="HT27" s="1082"/>
      <c r="HU27" s="1082">
        <f t="shared" si="281"/>
        <v>-0.118445692883895</v>
      </c>
      <c r="HV27" s="1082"/>
      <c r="HW27" s="1082">
        <f t="shared" ref="HW27:HY27" si="301">HW217</f>
        <v>-0.0753266717909302</v>
      </c>
      <c r="HX27" s="1082">
        <f t="shared" si="301"/>
        <v>-0.108108108108108</v>
      </c>
      <c r="HY27" s="1085">
        <f t="shared" si="301"/>
        <v>-0.0814268579805427</v>
      </c>
      <c r="HZ27" s="1082">
        <f>HZ26/HR26-1</f>
        <v>0.00644671975729971</v>
      </c>
      <c r="IA27" s="1082">
        <f t="shared" ref="IA27" si="302">IA26/HS26-1</f>
        <v>0.137365972081731</v>
      </c>
      <c r="IB27" s="1082"/>
      <c r="IC27" s="1082">
        <f>IC217</f>
        <v>0.10426624181271</v>
      </c>
      <c r="ID27" s="1082"/>
      <c r="IE27" s="1082">
        <f>IE217</f>
        <v>0.218827930174565</v>
      </c>
      <c r="IF27" s="1082"/>
      <c r="IG27" s="1085">
        <f>IG217</f>
        <v>0.113889157558758</v>
      </c>
      <c r="IH27" s="1082">
        <f>IH26/HZ26-1</f>
        <v>0.159193669932178</v>
      </c>
      <c r="II27" s="1082">
        <f t="shared" ref="II27:IM27" si="303">II26/IA26-1</f>
        <v>0.0586979722518677</v>
      </c>
      <c r="IJ27" s="1082"/>
      <c r="IK27" s="1082">
        <f t="shared" si="303"/>
        <v>0.0628406540557875</v>
      </c>
      <c r="IL27" s="1082"/>
      <c r="IM27" s="1082">
        <f t="shared" si="303"/>
        <v>0.0359761295822665</v>
      </c>
      <c r="IN27" s="1082"/>
      <c r="IO27" s="1085">
        <f>IO217</f>
        <v>0.0771935918030651</v>
      </c>
      <c r="IP27" s="1082">
        <f>IP26/IH26-1</f>
        <v>0.0713473102551598</v>
      </c>
      <c r="IQ27" s="1082">
        <f t="shared" ref="IQ27" si="304">IQ26/II26-1</f>
        <v>0.132896505376344</v>
      </c>
      <c r="IR27" s="1082"/>
      <c r="IS27" s="1082"/>
      <c r="IT27" s="1082"/>
      <c r="IU27" s="1082"/>
      <c r="IV27" s="1082"/>
      <c r="IW27" s="1082"/>
      <c r="IX27" s="1082"/>
      <c r="IY27" s="1049"/>
      <c r="IZ27" s="1049"/>
      <c r="JA27" s="1049"/>
      <c r="JB27" s="1049"/>
      <c r="JC27" s="1104"/>
      <c r="JD27" s="883"/>
      <c r="JE27" s="1037"/>
      <c r="JF27" s="1037"/>
      <c r="JG27" s="1037"/>
      <c r="JH27" s="1037"/>
      <c r="JI27" s="1035"/>
      <c r="JJ27" s="1035"/>
      <c r="JK27" s="1035"/>
      <c r="JL27" s="1035"/>
      <c r="JM27" s="1035"/>
      <c r="JN27" s="1035"/>
      <c r="JO27" s="1035"/>
      <c r="JP27" s="1035"/>
      <c r="JQ27" s="1035"/>
      <c r="JR27" s="1035"/>
      <c r="JS27" s="1035"/>
      <c r="JT27" s="1035"/>
      <c r="JU27" s="1035"/>
      <c r="JV27" s="1035"/>
      <c r="JW27" s="1035"/>
      <c r="JX27" s="1035"/>
      <c r="JY27" s="1035"/>
    </row>
    <row r="28" spans="1:334">
      <c r="A28" s="967" t="s">
        <v>63</v>
      </c>
      <c r="AX28" s="1059"/>
      <c r="BE28" s="1060"/>
      <c r="BN28" s="1059"/>
      <c r="BU28" s="1060"/>
      <c r="BV28" s="1059"/>
      <c r="CC28" s="1060"/>
      <c r="CD28" s="1059"/>
      <c r="CJ28" s="1061"/>
      <c r="CK28" s="1060"/>
      <c r="CL28" s="1059"/>
      <c r="CS28" s="1060"/>
      <c r="CT28" s="967"/>
      <c r="CU28" s="967"/>
      <c r="CV28" s="967"/>
      <c r="CW28" s="967"/>
      <c r="CX28" s="967"/>
      <c r="CY28" s="967"/>
      <c r="CZ28" s="967"/>
      <c r="DA28" s="967"/>
      <c r="DJ28" s="1080">
        <f t="shared" ref="DJ28:DY28" si="305">DJ27-DJ29</f>
        <v>0.0416243622934847</v>
      </c>
      <c r="DK28" s="1080">
        <f t="shared" si="305"/>
        <v>0.0498747915215696</v>
      </c>
      <c r="DL28" s="1080">
        <f t="shared" si="305"/>
        <v>0.0460482853832245</v>
      </c>
      <c r="DM28" s="1080">
        <f t="shared" si="305"/>
        <v>0.00657490560215339</v>
      </c>
      <c r="DN28" s="1080">
        <f t="shared" si="305"/>
        <v>0.0315837157730984</v>
      </c>
      <c r="DO28" s="1080">
        <f t="shared" si="305"/>
        <v>-0.0497700246122435</v>
      </c>
      <c r="DP28" s="1080">
        <f t="shared" si="305"/>
        <v>-0.0200123469373081</v>
      </c>
      <c r="DQ28" s="1081">
        <f t="shared" si="305"/>
        <v>0.0352493714254421</v>
      </c>
      <c r="DR28" s="1080">
        <f t="shared" si="305"/>
        <v>-0.00235933255723705</v>
      </c>
      <c r="DS28" s="1082">
        <f t="shared" si="305"/>
        <v>0.0772201872201873</v>
      </c>
      <c r="DT28" s="1082">
        <f t="shared" si="305"/>
        <v>0.0404489471593166</v>
      </c>
      <c r="DU28" s="1082">
        <f t="shared" si="305"/>
        <v>0.100965373961219</v>
      </c>
      <c r="DV28" s="1082">
        <f t="shared" si="305"/>
        <v>0.0585500441751862</v>
      </c>
      <c r="DW28" s="1082">
        <f t="shared" si="305"/>
        <v>0.10013588283157</v>
      </c>
      <c r="DX28" s="1082">
        <f t="shared" si="305"/>
        <v>0.101614304437371</v>
      </c>
      <c r="DY28" s="1085">
        <f t="shared" si="305"/>
        <v>0.0704182186625495</v>
      </c>
      <c r="DZ28" s="1082">
        <f>+DZ27-DZ29</f>
        <v>0.0419371727748691</v>
      </c>
      <c r="EA28" s="1082">
        <f t="shared" ref="EA28:EG28" si="306">EA27-EA29</f>
        <v>-0.0464586904353788</v>
      </c>
      <c r="EB28" s="1082">
        <f t="shared" si="306"/>
        <v>-0.00636851520572457</v>
      </c>
      <c r="EC28" s="1082">
        <f t="shared" si="306"/>
        <v>-0.0448125720876585</v>
      </c>
      <c r="ED28" s="1082">
        <f t="shared" si="306"/>
        <v>-0.0270611614042836</v>
      </c>
      <c r="EE28" s="1082">
        <f t="shared" si="306"/>
        <v>-0.0046111869031379</v>
      </c>
      <c r="EF28" s="1082">
        <f t="shared" si="306"/>
        <v>-0.0258953125000001</v>
      </c>
      <c r="EG28" s="1085">
        <f t="shared" si="306"/>
        <v>-0.0188240200166806</v>
      </c>
      <c r="EH28" s="1082">
        <f>+EH27-EH29</f>
        <v>0.032496180873816</v>
      </c>
      <c r="EI28" s="1082">
        <f>+EI27-EI29</f>
        <v>0.0751765339425588</v>
      </c>
      <c r="EJ28" s="1082">
        <f>+EJ27-EJ29</f>
        <v>0.0531325390563358</v>
      </c>
      <c r="EK28" s="1082">
        <f>EK27-EK29</f>
        <v>0.0746271367521367</v>
      </c>
      <c r="EL28" s="1082">
        <f>EL27-EL29</f>
        <v>0.0621485963694078</v>
      </c>
      <c r="EM28" s="1082">
        <f>EM27-EM29</f>
        <v>0.0325097192224622</v>
      </c>
      <c r="EN28" s="1082">
        <f>EN129</f>
        <v>0.0513845854012227</v>
      </c>
      <c r="EO28" s="1085">
        <f>EO129</f>
        <v>0.0533131877204833</v>
      </c>
      <c r="EP28" s="1082">
        <f>EP27-EP29</f>
        <v>-0.0207573221757322</v>
      </c>
      <c r="EQ28" s="1082">
        <f>EQ27-EQ29</f>
        <v>-0.0379249360250213</v>
      </c>
      <c r="ER28" s="1082">
        <f>ER27-ER29</f>
        <v>-0.0291611497071244</v>
      </c>
      <c r="ES28" s="1082">
        <f>ES$129</f>
        <v>-0.0705094656122694</v>
      </c>
      <c r="ET28" s="1082">
        <f>ET$129</f>
        <v>-0.0448952579468473</v>
      </c>
      <c r="EU28" s="1082">
        <f>EU$129</f>
        <v>-0.0925853368952211</v>
      </c>
      <c r="EV28" s="1082">
        <f>EV$129</f>
        <v>-0.080370723945903</v>
      </c>
      <c r="EW28" s="1085">
        <f>EW$129</f>
        <v>-0.0556906537660418</v>
      </c>
      <c r="EX28" s="1082">
        <f t="shared" ref="EX28:FN28" si="307">EX27-EX29</f>
        <v>-0.0646552919221541</v>
      </c>
      <c r="EY28" s="1082">
        <f t="shared" si="307"/>
        <v>-0.0930780372450488</v>
      </c>
      <c r="EZ28" s="1082">
        <f t="shared" si="307"/>
        <v>-0.0874835996635829</v>
      </c>
      <c r="FA28" s="1082">
        <f t="shared" si="307"/>
        <v>-0.0428749677751998</v>
      </c>
      <c r="FB28" s="1082">
        <f t="shared" si="307"/>
        <v>-0.0717715427222373</v>
      </c>
      <c r="FC28" s="1082">
        <f t="shared" si="307"/>
        <v>-0.0207229088818627</v>
      </c>
      <c r="FD28" s="1082">
        <f t="shared" si="307"/>
        <v>-0.0467549063151894</v>
      </c>
      <c r="FE28" s="1085">
        <f t="shared" si="307"/>
        <v>-0.0668044852792687</v>
      </c>
      <c r="FF28" s="1082">
        <f t="shared" si="307"/>
        <v>0.0683673934755434</v>
      </c>
      <c r="FG28" s="1082">
        <f t="shared" si="307"/>
        <v>0.0961594859261396</v>
      </c>
      <c r="FH28" s="1082">
        <f t="shared" si="307"/>
        <v>0.0909713480267524</v>
      </c>
      <c r="FI28" s="1082">
        <f t="shared" si="307"/>
        <v>0.0443439891817315</v>
      </c>
      <c r="FJ28" s="1082">
        <f t="shared" si="307"/>
        <v>0.0737169788442768</v>
      </c>
      <c r="FK28" s="1082">
        <f t="shared" si="307"/>
        <v>0.0379806094182825</v>
      </c>
      <c r="FL28" s="1082">
        <f t="shared" si="307"/>
        <v>0.0575883944636064</v>
      </c>
      <c r="FM28" s="1085">
        <f t="shared" si="307"/>
        <v>0.0733256302518945</v>
      </c>
      <c r="FN28" s="1082">
        <f t="shared" si="307"/>
        <v>-0.0453252510409014</v>
      </c>
      <c r="FO28" s="1082">
        <f t="shared" ref="FO28:FW28" si="308">FO27-FO29</f>
        <v>-0.0730163808548758</v>
      </c>
      <c r="FP28" s="1082">
        <f t="shared" si="308"/>
        <v>-0.058865832290363</v>
      </c>
      <c r="FQ28" s="1082">
        <f t="shared" si="308"/>
        <v>-0.0342827412234602</v>
      </c>
      <c r="FR28" s="1082">
        <f t="shared" si="308"/>
        <v>-0.0496917706126931</v>
      </c>
      <c r="FS28" s="1082">
        <f t="shared" si="308"/>
        <v>-0.0151945777351248</v>
      </c>
      <c r="FT28" s="1082">
        <f t="shared" si="308"/>
        <v>-0.0253685154061624</v>
      </c>
      <c r="FU28" s="1082">
        <f t="shared" si="308"/>
        <v>-0.0411913686077446</v>
      </c>
      <c r="FV28" s="1109">
        <f t="shared" si="308"/>
        <v>-0.0216291825180481</v>
      </c>
      <c r="FW28" s="1082">
        <f t="shared" si="308"/>
        <v>-0.0557734569296856</v>
      </c>
      <c r="FX28" s="1082">
        <f t="shared" ref="FX28:GE28" si="309">FX27-FX29</f>
        <v>-0.03734954308094</v>
      </c>
      <c r="FY28" s="1082">
        <f t="shared" si="309"/>
        <v>-0.0744293674084998</v>
      </c>
      <c r="FZ28" s="1082">
        <f t="shared" si="309"/>
        <v>-0.0515370657246899</v>
      </c>
      <c r="GA28" s="1082">
        <f t="shared" si="309"/>
        <v>-0.0865791720017073</v>
      </c>
      <c r="GB28" s="1082">
        <f t="shared" si="309"/>
        <v>-0.0800675120236482</v>
      </c>
      <c r="GC28" s="1085">
        <f t="shared" si="309"/>
        <v>-0.0600496271562142</v>
      </c>
      <c r="GD28" s="1109">
        <f t="shared" si="309"/>
        <v>-0.082866323907455</v>
      </c>
      <c r="GE28" s="1082">
        <f t="shared" si="309"/>
        <v>-0.0608066693132196</v>
      </c>
      <c r="GF28" s="1082">
        <f t="shared" ref="GF28:GG28" si="310">GF27-GF29</f>
        <v>-0.0722657382678367</v>
      </c>
      <c r="GG28" s="1082">
        <f t="shared" si="310"/>
        <v>-0.0482620641070798</v>
      </c>
      <c r="GH28" s="1082">
        <f t="shared" ref="GH28:GI28" si="311">GH27-GH29</f>
        <v>-0.0638328177205789</v>
      </c>
      <c r="GI28" s="1082">
        <f t="shared" si="311"/>
        <v>-0.0114814082278481</v>
      </c>
      <c r="GJ28" s="1082">
        <f t="shared" ref="GJ28:GM28" si="312">GJ27-GJ29</f>
        <v>-0.0309373951928451</v>
      </c>
      <c r="GK28" s="1085">
        <f t="shared" si="312"/>
        <v>-0.0513580921858798</v>
      </c>
      <c r="GL28" s="1082">
        <f t="shared" si="312"/>
        <v>0.0160418168709447</v>
      </c>
      <c r="GM28" s="1082">
        <f t="shared" si="312"/>
        <v>0.0091393271241205</v>
      </c>
      <c r="GN28" s="1082">
        <f t="shared" ref="GN28:GO28" si="313">GN27-GN29</f>
        <v>0.0128795078175595</v>
      </c>
      <c r="GO28" s="1082">
        <f t="shared" si="313"/>
        <v>0.0317859696918099</v>
      </c>
      <c r="GP28" s="1082">
        <f t="shared" ref="GP28:GQ28" si="314">GP27-GP29</f>
        <v>0.0195356432082483</v>
      </c>
      <c r="GQ28" s="1082">
        <f t="shared" si="314"/>
        <v>0.0141066309956046</v>
      </c>
      <c r="GR28" s="1082">
        <f t="shared" ref="GR28:GU28" si="315">GR27-GR29</f>
        <v>0.023455699621826</v>
      </c>
      <c r="GS28" s="1085">
        <f t="shared" si="315"/>
        <v>0.0182392699064566</v>
      </c>
      <c r="GT28" s="1082">
        <f t="shared" si="315"/>
        <v>0.00206731259561449</v>
      </c>
      <c r="GU28" s="1082">
        <f t="shared" si="315"/>
        <v>-0.00819743692140112</v>
      </c>
      <c r="GV28" s="1082">
        <f t="shared" ref="GV28:GW28" si="316">GV27-GV29</f>
        <v>-0.00289656601123595</v>
      </c>
      <c r="GW28" s="1082">
        <f t="shared" si="316"/>
        <v>-0.0434006240249608</v>
      </c>
      <c r="GX28" s="1082"/>
      <c r="GY28" s="1082">
        <f>GY27-GY29</f>
        <v>-0.0524825791842145</v>
      </c>
      <c r="GZ28" s="1082">
        <f t="shared" ref="GZ28:HC28" si="317">GZ27-GZ29</f>
        <v>-0.0477299191653713</v>
      </c>
      <c r="HA28" s="1085">
        <f t="shared" si="317"/>
        <v>-0.0261258601521352</v>
      </c>
      <c r="HB28" s="1082">
        <f t="shared" si="317"/>
        <v>-0.063637753937457</v>
      </c>
      <c r="HC28" s="1082">
        <f t="shared" si="317"/>
        <v>-0.13873162906954</v>
      </c>
      <c r="HD28" s="1082">
        <f t="shared" ref="HD28:HE28" si="318">HD27-HD29</f>
        <v>-0.149581328102496</v>
      </c>
      <c r="HE28" s="1082">
        <f t="shared" si="318"/>
        <v>-0.00422111673468392</v>
      </c>
      <c r="HF28" s="1082"/>
      <c r="HG28" s="1082">
        <f>HG27-HG29</f>
        <v>0.0236989498249704</v>
      </c>
      <c r="HH28" s="1082">
        <f t="shared" ref="HH28:HK28" si="319">HH27-HH29</f>
        <v>-0.062237876802652</v>
      </c>
      <c r="HI28" s="1085">
        <f t="shared" si="319"/>
        <v>-0.00816924328722543</v>
      </c>
      <c r="HJ28" s="1082">
        <f t="shared" si="319"/>
        <v>0.0370892179195142</v>
      </c>
      <c r="HK28" s="1082">
        <f t="shared" si="319"/>
        <v>0.066763442978137</v>
      </c>
      <c r="HL28" s="1082"/>
      <c r="HM28" s="1082">
        <f>HM27-HM29</f>
        <v>0.0700111265646724</v>
      </c>
      <c r="HN28" s="1082"/>
      <c r="HO28" s="1082">
        <f>HO27-HO29</f>
        <v>0.0230426318863155</v>
      </c>
      <c r="HP28" s="1082">
        <f t="shared" ref="HP28:HS28" si="320">HP27-HP29</f>
        <v>0.0585980347139313</v>
      </c>
      <c r="HQ28" s="1085">
        <f t="shared" si="320"/>
        <v>0.049704153715739</v>
      </c>
      <c r="HR28" s="1082">
        <f t="shared" si="320"/>
        <v>0.011262731044889</v>
      </c>
      <c r="HS28" s="1082">
        <f t="shared" si="320"/>
        <v>-0.0481005896015723</v>
      </c>
      <c r="HT28" s="1082"/>
      <c r="HU28" s="1082">
        <f>HU27-HU29</f>
        <v>-0.0603044044660621</v>
      </c>
      <c r="HV28" s="1082"/>
      <c r="HW28" s="1082">
        <f>HW27-HW29</f>
        <v>-0.0241185626441199</v>
      </c>
      <c r="HX28" s="1082">
        <f t="shared" ref="HX28:IA28" si="321">HX27-HX29</f>
        <v>-0.0536229536890208</v>
      </c>
      <c r="HY28" s="1085">
        <f t="shared" si="321"/>
        <v>-0.03204867059742</v>
      </c>
      <c r="HZ28" s="1082">
        <f t="shared" si="321"/>
        <v>-0.0468703071672357</v>
      </c>
      <c r="IA28" s="1082">
        <f t="shared" si="321"/>
        <v>-0.0260080922516691</v>
      </c>
      <c r="IB28" s="1082"/>
      <c r="IC28" s="1082">
        <f>IC27-IC29</f>
        <v>-0.038738891839264</v>
      </c>
      <c r="ID28" s="1082"/>
      <c r="IE28" s="1082">
        <f>IE27-IE29</f>
        <v>0.0219846217788873</v>
      </c>
      <c r="IF28" s="1082"/>
      <c r="IG28" s="1085">
        <f>IG27-IG29</f>
        <v>-0.0236385530515522</v>
      </c>
      <c r="IH28" s="1082">
        <f>IH218</f>
        <v>-0.0089728784240205</v>
      </c>
      <c r="II28" s="1082">
        <f t="shared" ref="II28:IM28" si="322">II218</f>
        <v>-0.0547339533465468</v>
      </c>
      <c r="IJ28" s="1082">
        <f t="shared" si="322"/>
        <v>-0.0394884757548034</v>
      </c>
      <c r="IK28" s="1082">
        <f t="shared" si="322"/>
        <v>-0.0501371073360279</v>
      </c>
      <c r="IL28" s="1082">
        <f t="shared" si="322"/>
        <v>-0.0455988203033839</v>
      </c>
      <c r="IM28" s="1082">
        <f t="shared" si="322"/>
        <v>-0.0720720720720721</v>
      </c>
      <c r="IN28" s="1082"/>
      <c r="IO28" s="1085">
        <f>IO218</f>
        <v>-0.0451834746414649</v>
      </c>
      <c r="IP28" s="1082">
        <f>IP218</f>
        <v>-0.0562188335311474</v>
      </c>
      <c r="IQ28" s="1082">
        <f t="shared" ref="IQ28:IQ29" si="323">IQ218</f>
        <v>-0.00385722790736132</v>
      </c>
      <c r="IR28" s="1082"/>
      <c r="IS28" s="1082"/>
      <c r="IT28" s="1082"/>
      <c r="IU28" s="1082"/>
      <c r="IV28" s="1082"/>
      <c r="IW28" s="1082"/>
      <c r="IX28" s="1082"/>
      <c r="IY28" s="1049"/>
      <c r="IZ28" s="1049"/>
      <c r="JA28" s="1049"/>
      <c r="JB28" s="1049"/>
      <c r="JC28" s="1104"/>
      <c r="JD28" s="883"/>
      <c r="JE28" s="1037"/>
      <c r="JF28" s="1037"/>
      <c r="JG28" s="1037"/>
      <c r="JH28" s="1037"/>
      <c r="JI28" s="1035"/>
      <c r="JJ28" s="1035"/>
      <c r="JK28" s="1035"/>
      <c r="JL28" s="1035"/>
      <c r="JM28" s="1035"/>
      <c r="JN28" s="1035"/>
      <c r="JO28" s="1035"/>
      <c r="JP28" s="1035"/>
      <c r="JQ28" s="1035"/>
      <c r="JR28" s="1035"/>
      <c r="JS28" s="1035"/>
      <c r="JT28" s="1035"/>
      <c r="JU28" s="1035"/>
      <c r="JV28" s="1035"/>
      <c r="JW28" s="1035"/>
      <c r="JX28" s="1035"/>
      <c r="JY28" s="1035"/>
    </row>
    <row r="29" spans="1:334">
      <c r="A29" s="967" t="s">
        <v>65</v>
      </c>
      <c r="AX29" s="1059"/>
      <c r="BE29" s="1060"/>
      <c r="BN29" s="1059"/>
      <c r="BU29" s="1060"/>
      <c r="BV29" s="1059"/>
      <c r="CC29" s="1060"/>
      <c r="CD29" s="1059"/>
      <c r="CJ29" s="1061"/>
      <c r="CK29" s="1060"/>
      <c r="CL29" s="1059"/>
      <c r="CS29" s="1060"/>
      <c r="CT29" s="967"/>
      <c r="CU29" s="967"/>
      <c r="CV29" s="967"/>
      <c r="CW29" s="967"/>
      <c r="CX29" s="967"/>
      <c r="CY29" s="967"/>
      <c r="CZ29" s="967"/>
      <c r="DA29" s="967"/>
      <c r="DJ29" s="1080">
        <f t="shared" ref="DJ29:DQ29" si="324">(DJ8*DJ5+DJ13*DJ10+DJ24*DJ21)/DJ26</f>
        <v>-0.0554016298020955</v>
      </c>
      <c r="DK29" s="1080">
        <f t="shared" si="324"/>
        <v>-0.0725478225478225</v>
      </c>
      <c r="DL29" s="1080">
        <f t="shared" si="324"/>
        <v>-0.0641875481099653</v>
      </c>
      <c r="DM29" s="1080">
        <f t="shared" si="324"/>
        <v>-0.0686080332409972</v>
      </c>
      <c r="DN29" s="1080">
        <f t="shared" si="324"/>
        <v>-0.0660706765335176</v>
      </c>
      <c r="DO29" s="1080">
        <f t="shared" si="324"/>
        <v>0.00396257119609439</v>
      </c>
      <c r="DP29" s="1080">
        <f t="shared" si="324"/>
        <v>-0.0355137361749819</v>
      </c>
      <c r="DQ29" s="1081">
        <f t="shared" si="324"/>
        <v>0.0542169256006948</v>
      </c>
      <c r="DR29" s="1080">
        <v>0.04</v>
      </c>
      <c r="DS29" s="1082">
        <v>0.11</v>
      </c>
      <c r="DT29" s="1082">
        <v>0.07</v>
      </c>
      <c r="DU29" s="1082">
        <f t="shared" ref="DU29:DZ29" si="325">(DU8*DM5+DU13*DM10+DU24*DM21)/DM26</f>
        <v>0.0998656509695291</v>
      </c>
      <c r="DV29" s="1082">
        <f t="shared" si="325"/>
        <v>0.0847037738230468</v>
      </c>
      <c r="DW29" s="1082">
        <f t="shared" si="325"/>
        <v>0.0927038242473556</v>
      </c>
      <c r="DX29" s="1082">
        <f t="shared" si="325"/>
        <v>0.0966631716906946</v>
      </c>
      <c r="DY29" s="1085">
        <f t="shared" si="325"/>
        <v>0.0865826498118305</v>
      </c>
      <c r="DZ29" s="1080">
        <f t="shared" si="325"/>
        <v>0.182071802543007</v>
      </c>
      <c r="EA29" s="1082">
        <f>(DS5*EA8+DS10*EA13+DS21*EA24)/DS26</f>
        <v>0.0968529310935893</v>
      </c>
      <c r="EB29" s="1082">
        <v>0.14</v>
      </c>
      <c r="EC29" s="1082">
        <f>(DU5*EC8+DU10*EC13+DU21*EC24)/DU26</f>
        <v>0.124397347174164</v>
      </c>
      <c r="ED29" s="1082">
        <v>0.14</v>
      </c>
      <c r="EE29" s="1082">
        <v>0.11</v>
      </c>
      <c r="EF29" s="1082">
        <f>(DX5*EF8+DX10*EF13+DX21*EF24)/DX26</f>
        <v>0.1173015625</v>
      </c>
      <c r="EG29" s="1085">
        <v>0.13</v>
      </c>
      <c r="EH29" s="1082">
        <f>(EH8*DZ5+EH13*DZ10+EH24*DZ21)/DZ26</f>
        <v>0.135850901313779</v>
      </c>
      <c r="EI29" s="1082">
        <f>(EJ29*EB26-EH29*DZ26)/EA26</f>
        <v>0.0726694190600522</v>
      </c>
      <c r="EJ29" s="1082">
        <f>+EJ130</f>
        <v>0.105302051443901</v>
      </c>
      <c r="EK29" s="1082">
        <f>(EC5*EK8+EC10*EK13+EC21*EK24)/EC26</f>
        <v>0.0399561965811966</v>
      </c>
      <c r="EL29" s="1082">
        <v>0.08</v>
      </c>
      <c r="EM29" s="1082">
        <f>(EE5*EM8+EE10*EM13+EE21*EM24)/EE26</f>
        <v>0.00698426411601358</v>
      </c>
      <c r="EN29" s="1082">
        <f>EN130</f>
        <v>0.0283577195379326</v>
      </c>
      <c r="EO29" s="1085">
        <f>EO130</f>
        <v>0.0637775576071455</v>
      </c>
      <c r="EP29" s="1082">
        <f>(EP8*EH5+EP13*EH10+EP24*EH21)/EH26</f>
        <v>0.0016673640167364</v>
      </c>
      <c r="EQ29" s="1082">
        <f>(EQ8*EI5+EQ13*EI10+EQ24*EI21)/EI26</f>
        <v>-0.000175717941427352</v>
      </c>
      <c r="ER29" s="1082">
        <f>(ER8*EJ5+ER13*EJ10+ER24*EJ21)/EJ26</f>
        <v>0.000963356490941289</v>
      </c>
      <c r="ES29" s="1082">
        <f>ES27-ES28</f>
        <v>5.65540378624496e-5</v>
      </c>
      <c r="ET29" s="1082">
        <f>ET27-ET28</f>
        <v>0.00138301198540907</v>
      </c>
      <c r="EU29" s="1082">
        <f>EU27-EU28</f>
        <v>0.125235975066785</v>
      </c>
      <c r="EV29" s="1082">
        <f>EV27-EV28</f>
        <v>0.0559740121983559</v>
      </c>
      <c r="EW29" s="1085">
        <f>EW27-EW28</f>
        <v>0.0294190687361419</v>
      </c>
      <c r="EX29" s="1082">
        <f>(EX8*EP5+EX13*EP10+EX24*EP21)/EP26</f>
        <v>0.00653745667821914</v>
      </c>
      <c r="EY29" s="1082">
        <f>EY130</f>
        <v>0.101650310375406</v>
      </c>
      <c r="EZ29" s="1082">
        <f t="shared" ref="EZ29:FE29" si="326">EZ130</f>
        <v>0.0535615363050182</v>
      </c>
      <c r="FA29" s="1082">
        <f t="shared" si="326"/>
        <v>0.090825470482083</v>
      </c>
      <c r="FB29" s="1082">
        <f t="shared" si="326"/>
        <v>0.0666866430582039</v>
      </c>
      <c r="FC29" s="1082">
        <f t="shared" si="326"/>
        <v>0.0583774073009486</v>
      </c>
      <c r="FD29" s="1082">
        <f t="shared" si="326"/>
        <v>0.0754834194074477</v>
      </c>
      <c r="FE29" s="1085">
        <f t="shared" si="326"/>
        <v>0.0646918989787469</v>
      </c>
      <c r="FF29" s="1082">
        <f t="shared" ref="FF29:FN29" si="327">FF219</f>
        <v>0.0873076702097099</v>
      </c>
      <c r="FG29" s="1082">
        <f t="shared" si="327"/>
        <v>0.0489167157151266</v>
      </c>
      <c r="FH29" s="1082">
        <f t="shared" si="327"/>
        <v>0.068343799970926</v>
      </c>
      <c r="FI29" s="1082">
        <f t="shared" si="327"/>
        <v>0.125889713155292</v>
      </c>
      <c r="FJ29" s="1082">
        <f t="shared" si="327"/>
        <v>0.0896489059782111</v>
      </c>
      <c r="FK29" s="1082">
        <f t="shared" si="327"/>
        <v>0.116590027700831</v>
      </c>
      <c r="FL29" s="1082">
        <f t="shared" si="327"/>
        <v>0.121503527567285</v>
      </c>
      <c r="FM29" s="1085">
        <f t="shared" si="327"/>
        <v>0.0963410858047203</v>
      </c>
      <c r="FN29" s="1082">
        <f t="shared" si="327"/>
        <v>0.213338966446241</v>
      </c>
      <c r="FO29" s="1082">
        <f t="shared" ref="FO29:FW29" si="328">FO219</f>
        <v>0.205087023291528</v>
      </c>
      <c r="FP29" s="1082">
        <f t="shared" si="328"/>
        <v>0.209303879849812</v>
      </c>
      <c r="FQ29" s="1082">
        <f t="shared" si="328"/>
        <v>0.171974563800715</v>
      </c>
      <c r="FR29" s="1082">
        <f t="shared" si="328"/>
        <v>0.195373107397819</v>
      </c>
      <c r="FS29" s="1082">
        <f t="shared" si="328"/>
        <v>0.13947480806142</v>
      </c>
      <c r="FT29" s="1082">
        <f t="shared" si="328"/>
        <v>0.156797086834734</v>
      </c>
      <c r="FU29" s="1082">
        <f t="shared" si="328"/>
        <v>0.1815992905705</v>
      </c>
      <c r="FV29" s="1109">
        <f t="shared" si="328"/>
        <v>0.163587664380074</v>
      </c>
      <c r="FW29" s="1082">
        <f t="shared" si="328"/>
        <v>0.194819353380059</v>
      </c>
      <c r="FX29" s="1082">
        <f t="shared" ref="FX29:GE29" si="329">FX219</f>
        <v>0.177906549173194</v>
      </c>
      <c r="FY29" s="1082">
        <f t="shared" si="329"/>
        <v>0.123579404363415</v>
      </c>
      <c r="FZ29" s="1082">
        <f t="shared" si="329"/>
        <v>0.158220166245095</v>
      </c>
      <c r="GA29" s="1082">
        <f t="shared" si="329"/>
        <v>0.165537772087068</v>
      </c>
      <c r="GB29" s="1082">
        <f t="shared" si="329"/>
        <v>0.14305028088877</v>
      </c>
      <c r="GC29" s="1085">
        <f t="shared" si="329"/>
        <v>0.159997786824436</v>
      </c>
      <c r="GD29" s="1109">
        <f t="shared" si="329"/>
        <v>0.101595666544253</v>
      </c>
      <c r="GE29" s="1082">
        <f t="shared" si="329"/>
        <v>0.105070265978563</v>
      </c>
      <c r="GF29" s="1082">
        <f t="shared" ref="GF29:GG29" si="330">GF219</f>
        <v>0.103265356734071</v>
      </c>
      <c r="GG29" s="1082">
        <f t="shared" si="330"/>
        <v>0.0826051426558651</v>
      </c>
      <c r="GH29" s="1082">
        <f t="shared" ref="GH29:GI29" si="331">GH219</f>
        <v>0.0960070535824775</v>
      </c>
      <c r="GI29" s="1082">
        <f t="shared" si="331"/>
        <v>0.0464893196202532</v>
      </c>
      <c r="GJ29" s="1082">
        <f t="shared" ref="GJ29:GL29" si="332">GJ219</f>
        <v>0.0655936277249862</v>
      </c>
      <c r="GK29" s="1085">
        <f t="shared" si="332"/>
        <v>0.0842075596191913</v>
      </c>
      <c r="GL29" s="1082">
        <f t="shared" si="332"/>
        <v>0.0443403028118238</v>
      </c>
      <c r="GM29" s="1082">
        <v>0.038</v>
      </c>
      <c r="GN29" s="1082">
        <f t="shared" ref="GN29:GO29" si="333">GN219</f>
        <v>0.0410570265519473</v>
      </c>
      <c r="GO29" s="1082">
        <f t="shared" si="333"/>
        <v>0.0596494125659799</v>
      </c>
      <c r="GP29" s="1082">
        <f t="shared" ref="GP29:GQ29" si="334">GP219</f>
        <v>0.0476025896175518</v>
      </c>
      <c r="GQ29" s="1082">
        <f t="shared" si="334"/>
        <v>0.101696923370915</v>
      </c>
      <c r="GR29" s="1082">
        <f t="shared" ref="GR29:GU29" si="335">GR219</f>
        <v>0.0794616423554835</v>
      </c>
      <c r="GS29" s="1085">
        <f t="shared" si="335"/>
        <v>0.0605195710700433</v>
      </c>
      <c r="GT29" s="1082">
        <f t="shared" si="335"/>
        <v>-0.194146183919769</v>
      </c>
      <c r="GU29" s="1082">
        <f t="shared" si="335"/>
        <v>-0.34220245416591</v>
      </c>
      <c r="GV29" s="1082">
        <f t="shared" ref="GV29:GW29" si="336">GV219</f>
        <v>-0.265743971207865</v>
      </c>
      <c r="GW29" s="1082">
        <f t="shared" si="336"/>
        <v>-0.0261279251170047</v>
      </c>
      <c r="GX29" s="1082"/>
      <c r="GY29" s="1082">
        <f>GY219</f>
        <v>0.00265058740480018</v>
      </c>
      <c r="GZ29" s="1082">
        <f t="shared" ref="GZ29:HC29" si="337">GZ219</f>
        <v>-0.0124094391495936</v>
      </c>
      <c r="HA29" s="1085">
        <f t="shared" si="337"/>
        <v>-0.134484943113378</v>
      </c>
      <c r="HB29" s="1082">
        <f t="shared" si="337"/>
        <v>0.266102944533212</v>
      </c>
      <c r="HC29" s="1082">
        <f t="shared" si="337"/>
        <v>0.557424224343676</v>
      </c>
      <c r="HD29" s="1082">
        <f t="shared" ref="HD29:HE29" si="338">HD219</f>
        <v>0.391232588651581</v>
      </c>
      <c r="HE29" s="1082">
        <f t="shared" si="338"/>
        <v>0.03856745732091</v>
      </c>
      <c r="HF29" s="1082"/>
      <c r="HG29" s="1082">
        <f>HG219</f>
        <v>-0.0246713341112408</v>
      </c>
      <c r="HH29" s="1082">
        <f t="shared" ref="HH29:HK29" si="339">HH219</f>
        <v>0.00809143080677283</v>
      </c>
      <c r="HI29" s="1085">
        <f t="shared" si="339"/>
        <v>0.16</v>
      </c>
      <c r="HJ29" s="1082">
        <f t="shared" si="339"/>
        <v>-0.0306351556567961</v>
      </c>
      <c r="HK29" s="1082">
        <f t="shared" si="339"/>
        <v>0.0356592475871578</v>
      </c>
      <c r="HL29" s="1082"/>
      <c r="HM29" s="1082">
        <f>HM219</f>
        <v>0.0440361613351878</v>
      </c>
      <c r="HN29" s="1082"/>
      <c r="HO29" s="1082">
        <f>HO219</f>
        <v>-0.01</v>
      </c>
      <c r="HP29" s="1082">
        <f t="shared" ref="HP29:HS29" si="340">HP219</f>
        <v>0.0185440352649463</v>
      </c>
      <c r="HQ29" s="1085">
        <f t="shared" si="340"/>
        <v>0.0104352453612131</v>
      </c>
      <c r="HR29" s="1082">
        <f t="shared" si="340"/>
        <v>-0.0165437570728027</v>
      </c>
      <c r="HS29" s="1082">
        <f t="shared" si="340"/>
        <v>-0.0687477219939252</v>
      </c>
      <c r="HT29" s="1082"/>
      <c r="HU29" s="1082">
        <f>HU219</f>
        <v>-0.0581412884178331</v>
      </c>
      <c r="HV29" s="1082"/>
      <c r="HW29" s="1082">
        <f>HW219</f>
        <v>-0.0512081091468104</v>
      </c>
      <c r="HX29" s="1082">
        <f t="shared" ref="HX29:IA29" si="341">HX219</f>
        <v>-0.0544851544190874</v>
      </c>
      <c r="HY29" s="1085">
        <f t="shared" si="341"/>
        <v>-0.0493781873831227</v>
      </c>
      <c r="HZ29" s="1082">
        <f t="shared" si="341"/>
        <v>0.0533170269245354</v>
      </c>
      <c r="IA29" s="1082">
        <f t="shared" si="341"/>
        <v>0.1633740643334</v>
      </c>
      <c r="IB29" s="1082"/>
      <c r="IC29" s="1082">
        <f>IC219</f>
        <v>0.143005133651974</v>
      </c>
      <c r="ID29" s="1082"/>
      <c r="IE29" s="1082">
        <f>IE219</f>
        <v>0.196843308395677</v>
      </c>
      <c r="IF29" s="1082"/>
      <c r="IG29" s="1085">
        <f>IG219</f>
        <v>0.13752771061031</v>
      </c>
      <c r="IH29" s="1082">
        <f>IH219</f>
        <v>0.169689148455162</v>
      </c>
      <c r="II29" s="1082">
        <f>II219</f>
        <v>0.12</v>
      </c>
      <c r="IJ29" s="1082"/>
      <c r="IK29" s="1082">
        <f>IK219</f>
        <v>0.118941125360693</v>
      </c>
      <c r="IL29" s="1082"/>
      <c r="IM29" s="1082">
        <f>IM219</f>
        <v>0.11</v>
      </c>
      <c r="IN29" s="1082"/>
      <c r="IO29" s="1085">
        <f>IO219</f>
        <v>0.128168148743108</v>
      </c>
      <c r="IP29" s="1082">
        <f>IP219</f>
        <v>0.135164960182025</v>
      </c>
      <c r="IQ29" s="1082">
        <f t="shared" si="323"/>
        <v>0.137283266129032</v>
      </c>
      <c r="IR29" s="1082"/>
      <c r="IS29" s="1082"/>
      <c r="IT29" s="1082"/>
      <c r="IU29" s="1082"/>
      <c r="IV29" s="1082"/>
      <c r="IW29" s="1082"/>
      <c r="IX29" s="1082"/>
      <c r="IY29" s="1049"/>
      <c r="IZ29" s="1049"/>
      <c r="JA29" s="1049"/>
      <c r="JB29" s="1104"/>
      <c r="JC29" s="1104"/>
      <c r="JD29" s="883"/>
      <c r="JE29" s="1082"/>
      <c r="JF29" s="1082"/>
      <c r="JG29" s="1082"/>
      <c r="JH29" s="1082"/>
      <c r="JI29" s="1035"/>
      <c r="JJ29" s="1035"/>
      <c r="JK29" s="1035"/>
      <c r="JL29" s="1035"/>
      <c r="JM29" s="1035"/>
      <c r="JN29" s="1035"/>
      <c r="JO29" s="1035"/>
      <c r="JP29" s="1035"/>
      <c r="JQ29" s="1035"/>
      <c r="JR29" s="1035"/>
      <c r="JS29" s="1035"/>
      <c r="JT29" s="1035"/>
      <c r="JU29" s="1035"/>
      <c r="JV29" s="1035"/>
      <c r="JW29" s="1035"/>
      <c r="JX29" s="1035"/>
      <c r="JY29" s="1035"/>
      <c r="LV29" s="1110"/>
    </row>
    <row r="30" spans="1:334">
      <c r="A30" s="967" t="s">
        <v>72</v>
      </c>
      <c r="AX30" s="1059"/>
      <c r="BE30" s="1060"/>
      <c r="BN30" s="1059"/>
      <c r="BU30" s="1060"/>
      <c r="BV30" s="1059"/>
      <c r="CC30" s="1060"/>
      <c r="CD30" s="1059"/>
      <c r="CJ30" s="1061"/>
      <c r="CK30" s="1060"/>
      <c r="CL30" s="1059"/>
      <c r="CS30" s="1060"/>
      <c r="CT30" s="967"/>
      <c r="CU30" s="967"/>
      <c r="CV30" s="967"/>
      <c r="CW30" s="967"/>
      <c r="CX30" s="967"/>
      <c r="CY30" s="967"/>
      <c r="CZ30" s="967"/>
      <c r="DA30" s="967"/>
      <c r="DJ30" s="1080"/>
      <c r="DK30" s="1080"/>
      <c r="DL30" s="1080"/>
      <c r="DM30" s="1080"/>
      <c r="DN30" s="1080"/>
      <c r="DO30" s="1080"/>
      <c r="DP30" s="1080"/>
      <c r="DQ30" s="1080"/>
      <c r="DR30" s="1080"/>
      <c r="DS30" s="1082"/>
      <c r="DT30" s="1082"/>
      <c r="DU30" s="1082"/>
      <c r="DV30" s="1082"/>
      <c r="DW30" s="1082"/>
      <c r="DX30" s="1082"/>
      <c r="DY30" s="1085"/>
      <c r="DZ30" s="1111">
        <f>DZ26-SUM(DZ5,DZ10,DZ21)</f>
        <v>0</v>
      </c>
      <c r="EA30" s="1082"/>
      <c r="EB30" s="1082"/>
      <c r="EC30" s="1082"/>
      <c r="ED30" s="1082"/>
      <c r="EE30" s="1082"/>
      <c r="EF30" s="1082"/>
      <c r="EG30" s="1085"/>
      <c r="EH30" s="1111">
        <f>EH26-SUM(EH5,EH10,EH21)</f>
        <v>0</v>
      </c>
      <c r="EI30" s="1082"/>
      <c r="EJ30" s="1082"/>
      <c r="EK30" s="1082"/>
      <c r="EL30" s="1082"/>
      <c r="EM30" s="1082"/>
      <c r="EN30" s="1082"/>
      <c r="EO30" s="1085"/>
      <c r="EP30" s="1082"/>
      <c r="EQ30" s="1082"/>
      <c r="ER30" s="1082"/>
      <c r="ES30" s="1082"/>
      <c r="ET30" s="1082"/>
      <c r="EU30" s="1082"/>
      <c r="EV30" s="1082"/>
      <c r="EW30" s="1085"/>
      <c r="EX30" s="1082"/>
      <c r="EY30" s="1082"/>
      <c r="EZ30" s="1082"/>
      <c r="FA30" s="1082"/>
      <c r="FB30" s="1082"/>
      <c r="FC30" s="1082"/>
      <c r="FD30" s="1082"/>
      <c r="FE30" s="1085"/>
      <c r="FF30" s="1082"/>
      <c r="FG30" s="1082"/>
      <c r="FH30" s="1082"/>
      <c r="FI30" s="1082"/>
      <c r="FJ30" s="1082"/>
      <c r="FK30" s="1082"/>
      <c r="FL30" s="1082"/>
      <c r="FM30" s="1085"/>
      <c r="FN30" s="1082"/>
      <c r="FO30" s="1082"/>
      <c r="FP30" s="1082"/>
      <c r="FQ30" s="1082"/>
      <c r="FR30" s="1082"/>
      <c r="FS30" s="1082"/>
      <c r="FT30" s="1082"/>
      <c r="FU30" s="1082"/>
      <c r="FV30" s="1109"/>
      <c r="FW30" s="1082"/>
      <c r="FX30" s="1082"/>
      <c r="FY30" s="1082"/>
      <c r="FZ30" s="1082"/>
      <c r="GA30" s="1082"/>
      <c r="GB30" s="1082"/>
      <c r="GC30" s="1085"/>
      <c r="GD30" s="1082"/>
      <c r="GE30" s="1082"/>
      <c r="GF30" s="1082"/>
      <c r="GG30" s="1082"/>
      <c r="GH30" s="1082"/>
      <c r="GI30" s="1082"/>
      <c r="GJ30" s="1082"/>
      <c r="GK30" s="1085"/>
      <c r="GL30" s="1082"/>
      <c r="GM30" s="1082"/>
      <c r="GN30" s="1082"/>
      <c r="GO30" s="1082"/>
      <c r="GP30" s="1082"/>
      <c r="GQ30" s="1082"/>
      <c r="GR30" s="1082"/>
      <c r="GS30" s="1085"/>
      <c r="GT30" s="1082"/>
      <c r="GU30" s="1082"/>
      <c r="GV30" s="1082"/>
      <c r="GW30" s="1082"/>
      <c r="GX30" s="1082"/>
      <c r="GY30" s="1082"/>
      <c r="GZ30" s="1082"/>
      <c r="HA30" s="1085"/>
      <c r="HB30" s="1082"/>
      <c r="HC30" s="1082"/>
      <c r="HD30" s="1082"/>
      <c r="HE30" s="1082"/>
      <c r="HF30" s="1082"/>
      <c r="HG30" s="1082"/>
      <c r="HH30" s="1082"/>
      <c r="HI30" s="1085"/>
      <c r="HJ30" s="1082"/>
      <c r="HK30" s="1082"/>
      <c r="HL30" s="1082"/>
      <c r="HM30" s="1082"/>
      <c r="HN30" s="1082"/>
      <c r="HO30" s="1082"/>
      <c r="HP30" s="1082"/>
      <c r="HQ30" s="1085"/>
      <c r="HR30" s="1082"/>
      <c r="HS30" s="1082"/>
      <c r="HT30" s="1082"/>
      <c r="HU30" s="1082"/>
      <c r="HV30" s="1082"/>
      <c r="HW30" s="1082"/>
      <c r="HX30" s="1082"/>
      <c r="HY30" s="1082"/>
      <c r="HZ30" s="1082"/>
      <c r="IA30" s="1082"/>
      <c r="IB30" s="1082"/>
      <c r="IC30" s="1082"/>
      <c r="ID30" s="1082"/>
      <c r="IE30" s="1082"/>
      <c r="IF30" s="1082"/>
      <c r="IG30" s="1085"/>
      <c r="IH30" s="1082"/>
      <c r="II30" s="1082"/>
      <c r="IJ30" s="1082"/>
      <c r="IK30" s="1082"/>
      <c r="IL30" s="1082"/>
      <c r="IM30" s="1082"/>
      <c r="IN30" s="1082"/>
      <c r="IO30" s="1085"/>
      <c r="IP30" s="1082"/>
      <c r="IQ30" s="1082"/>
      <c r="IR30" s="1082"/>
      <c r="IS30" s="1082"/>
      <c r="IT30" s="1082"/>
      <c r="IU30" s="1082"/>
      <c r="IV30" s="1082"/>
      <c r="IW30" s="1082"/>
      <c r="IX30" s="1049"/>
      <c r="IY30" s="1049"/>
      <c r="IZ30" s="1049"/>
      <c r="JA30" s="1049"/>
      <c r="JB30" s="1049"/>
      <c r="JC30" s="1049"/>
      <c r="JD30" s="883"/>
      <c r="JE30" s="1082"/>
      <c r="JF30" s="1082"/>
      <c r="JG30" s="1082"/>
      <c r="JH30" s="1082"/>
      <c r="JI30" s="1035"/>
      <c r="JJ30" s="1035"/>
      <c r="JK30" s="1035"/>
      <c r="JL30" s="1035"/>
      <c r="JM30" s="1035"/>
      <c r="JN30" s="1035"/>
      <c r="JO30" s="1035"/>
      <c r="JP30" s="1035"/>
      <c r="JQ30" s="1035"/>
      <c r="JR30" s="1035"/>
      <c r="JS30" s="1035"/>
      <c r="JT30" s="1035"/>
      <c r="JU30" s="1035"/>
      <c r="JV30" s="1035"/>
      <c r="JW30" s="1035"/>
      <c r="JX30" s="1035"/>
      <c r="JY30" s="1035"/>
      <c r="LV30" s="1110"/>
    </row>
    <row r="31" spans="1:334">
      <c r="A31" s="1038"/>
      <c r="AX31" s="1059"/>
      <c r="BE31" s="1060"/>
      <c r="BN31" s="1059"/>
      <c r="BU31" s="1060"/>
      <c r="BV31" s="1059"/>
      <c r="CC31" s="1060"/>
      <c r="CD31" s="1059"/>
      <c r="CJ31" s="1061"/>
      <c r="CK31" s="1060"/>
      <c r="CL31" s="1059"/>
      <c r="CS31" s="1060"/>
      <c r="CT31" s="1035"/>
      <c r="CU31" s="1035"/>
      <c r="CV31" s="1035"/>
      <c r="CW31" s="1035"/>
      <c r="CX31" s="1035"/>
      <c r="CY31" s="1035"/>
      <c r="CZ31" s="1035"/>
      <c r="DA31" s="1035"/>
      <c r="DQ31" s="1037"/>
      <c r="DR31" s="1063"/>
      <c r="EH31" s="1080"/>
      <c r="EI31" s="1080"/>
      <c r="EJ31" s="1080"/>
      <c r="EK31" s="1080"/>
      <c r="EL31" s="1080"/>
      <c r="EM31" s="1080"/>
      <c r="EN31" s="1080"/>
      <c r="EO31" s="1085"/>
      <c r="EP31" s="1080"/>
      <c r="EQ31" s="1080"/>
      <c r="ER31" s="1080"/>
      <c r="EW31" s="1038"/>
      <c r="EX31" s="1037"/>
      <c r="EY31" s="1037"/>
      <c r="EZ31" s="1037"/>
      <c r="FA31" s="1082"/>
      <c r="FB31" s="1037"/>
      <c r="FC31" s="1082"/>
      <c r="FD31" s="1037"/>
      <c r="FE31" s="1038"/>
      <c r="FF31" s="1035"/>
      <c r="FG31" s="1035"/>
      <c r="FH31" s="1035"/>
      <c r="FI31" s="1035"/>
      <c r="FJ31" s="1035"/>
      <c r="FK31" s="1035"/>
      <c r="FL31" s="1037"/>
      <c r="FM31" s="1038"/>
      <c r="FN31" s="1037"/>
      <c r="FO31" s="1037"/>
      <c r="FP31" s="1037"/>
      <c r="FQ31" s="1037"/>
      <c r="FR31" s="1037"/>
      <c r="FS31" s="1037"/>
      <c r="FT31" s="1037"/>
      <c r="FU31" s="1037"/>
      <c r="FV31" s="1063"/>
      <c r="FW31" s="1082">
        <f>FW20-FO20</f>
        <v>0.0250780031516298</v>
      </c>
      <c r="FX31" s="1082"/>
      <c r="FY31" s="1082"/>
      <c r="FZ31" s="1037"/>
      <c r="GA31" s="1082"/>
      <c r="GB31" s="1037"/>
      <c r="GC31" s="1038"/>
      <c r="GD31" s="1037"/>
      <c r="GE31" s="1037"/>
      <c r="GF31" s="1037"/>
      <c r="GG31" s="1037"/>
      <c r="GH31" s="1037"/>
      <c r="GI31" s="1037"/>
      <c r="GJ31" s="1037"/>
      <c r="GK31" s="1038"/>
      <c r="GL31" s="1037"/>
      <c r="GM31" s="1037"/>
      <c r="GN31" s="1037"/>
      <c r="GO31" s="1037"/>
      <c r="GP31" s="1037"/>
      <c r="GQ31" s="1037"/>
      <c r="GR31" s="1037"/>
      <c r="GS31" s="1038"/>
      <c r="GT31" s="1037"/>
      <c r="GU31" s="1037"/>
      <c r="GV31" s="1037"/>
      <c r="GW31" s="1037"/>
      <c r="GX31" s="1037"/>
      <c r="GY31" s="1037"/>
      <c r="GZ31" s="1037"/>
      <c r="HA31" s="1038"/>
      <c r="HB31" s="1037"/>
      <c r="HC31" s="1037"/>
      <c r="HD31" s="1037"/>
      <c r="HE31" s="1037"/>
      <c r="HF31" s="1037"/>
      <c r="HG31" s="1037"/>
      <c r="HH31" s="1037"/>
      <c r="HI31" s="1038"/>
      <c r="HJ31" s="1037"/>
      <c r="HK31" s="1037"/>
      <c r="HL31" s="1037"/>
      <c r="HM31" s="1037"/>
      <c r="HN31" s="1037"/>
      <c r="HO31" s="1037"/>
      <c r="HP31" s="1037"/>
      <c r="HQ31" s="1038"/>
      <c r="HR31" s="1037"/>
      <c r="HS31" s="1037"/>
      <c r="HT31" s="1037"/>
      <c r="HU31" s="1037"/>
      <c r="HV31" s="1037"/>
      <c r="HW31" s="1037"/>
      <c r="HX31" s="1037"/>
      <c r="HY31" s="1037"/>
      <c r="HZ31" s="1037"/>
      <c r="IA31" s="1037"/>
      <c r="IB31" s="1037"/>
      <c r="IC31" s="1037"/>
      <c r="ID31" s="1037"/>
      <c r="IE31" s="1037"/>
      <c r="IF31" s="1037"/>
      <c r="IG31" s="1038"/>
      <c r="IH31" s="1037"/>
      <c r="II31" s="1037"/>
      <c r="IJ31" s="1037"/>
      <c r="IK31" s="1037"/>
      <c r="IL31" s="1037"/>
      <c r="IM31" s="1037"/>
      <c r="IN31" s="1037"/>
      <c r="IO31" s="1038"/>
      <c r="IP31" s="1037"/>
      <c r="IQ31" s="1037"/>
      <c r="IR31" s="1037"/>
      <c r="IS31" s="1037"/>
      <c r="IT31" s="1037"/>
      <c r="IU31" s="1037"/>
      <c r="IV31" s="1037"/>
      <c r="IW31" s="1037"/>
      <c r="IX31" s="1049"/>
      <c r="IY31" s="1049"/>
      <c r="IZ31" s="1049"/>
      <c r="JA31" s="1049"/>
      <c r="JB31" s="1049"/>
      <c r="JC31" s="1049"/>
      <c r="JD31" s="883"/>
      <c r="JE31" s="1037"/>
      <c r="JF31" s="1037"/>
      <c r="JG31" s="1037"/>
      <c r="JH31" s="1037"/>
      <c r="JI31" s="1035"/>
      <c r="JJ31" s="1035"/>
      <c r="JK31" s="1035"/>
      <c r="JL31" s="1035"/>
      <c r="JM31" s="1035"/>
      <c r="JN31" s="1035"/>
      <c r="JO31" s="1035"/>
      <c r="JP31" s="1035"/>
      <c r="JQ31" s="1035"/>
      <c r="JR31" s="1035"/>
      <c r="JS31" s="1035"/>
      <c r="JT31" s="1035"/>
      <c r="JU31" s="1035"/>
      <c r="JV31" s="1035"/>
      <c r="JW31" s="1035"/>
      <c r="JX31" s="1035"/>
      <c r="JY31" s="1035"/>
      <c r="LV31" s="1025"/>
    </row>
    <row r="32" hidden="1" spans="1:334">
      <c r="A32" s="1051" t="s">
        <v>73</v>
      </c>
      <c r="B32" s="1066"/>
      <c r="C32" s="1066"/>
      <c r="D32" s="1066"/>
      <c r="E32" s="1066"/>
      <c r="F32" s="1066"/>
      <c r="G32" s="1066"/>
      <c r="H32" s="1066"/>
      <c r="I32" s="1066"/>
      <c r="J32" s="1066"/>
      <c r="K32" s="1066"/>
      <c r="L32" s="1066"/>
      <c r="M32" s="1066"/>
      <c r="N32" s="1066"/>
      <c r="O32" s="1066"/>
      <c r="P32" s="1066"/>
      <c r="Q32" s="1066"/>
      <c r="R32" s="1066"/>
      <c r="S32" s="1066"/>
      <c r="T32" s="1066"/>
      <c r="U32" s="1066"/>
      <c r="V32" s="1066"/>
      <c r="W32" s="1066"/>
      <c r="X32" s="1066"/>
      <c r="Y32" s="1066"/>
      <c r="Z32" s="1066"/>
      <c r="AA32" s="1066"/>
      <c r="AB32" s="1066"/>
      <c r="AC32" s="1066"/>
      <c r="AD32" s="1066"/>
      <c r="AE32" s="1066"/>
      <c r="AF32" s="1066"/>
      <c r="AG32" s="1066"/>
      <c r="AH32" s="1066"/>
      <c r="AI32" s="1066"/>
      <c r="AJ32" s="1066"/>
      <c r="AK32" s="1066"/>
      <c r="AL32" s="1066"/>
      <c r="AM32" s="1066"/>
      <c r="AN32" s="1066"/>
      <c r="AO32" s="1066"/>
      <c r="AP32" s="1066"/>
      <c r="AQ32" s="1066"/>
      <c r="AR32" s="1066"/>
      <c r="AS32" s="1066"/>
      <c r="AT32" s="1066"/>
      <c r="AU32" s="1066"/>
      <c r="AV32" s="1066"/>
      <c r="AW32" s="1066"/>
      <c r="AX32" s="1067"/>
      <c r="AY32" s="1066"/>
      <c r="AZ32" s="1066"/>
      <c r="BA32" s="1066"/>
      <c r="BB32" s="1066"/>
      <c r="BC32" s="1066"/>
      <c r="BD32" s="1066"/>
      <c r="BE32" s="1068"/>
      <c r="BF32" s="1066"/>
      <c r="BG32" s="1066"/>
      <c r="BH32" s="1066"/>
      <c r="BI32" s="1066"/>
      <c r="BJ32" s="1066"/>
      <c r="BK32" s="1066"/>
      <c r="BL32" s="1066"/>
      <c r="BM32" s="1066"/>
      <c r="BN32" s="1067"/>
      <c r="BO32" s="1066"/>
      <c r="BP32" s="1066"/>
      <c r="BQ32" s="1066"/>
      <c r="BR32" s="1066"/>
      <c r="BS32" s="1066"/>
      <c r="BT32" s="1066"/>
      <c r="BU32" s="1068"/>
      <c r="BV32" s="1067"/>
      <c r="BW32" s="1066"/>
      <c r="BX32" s="1066"/>
      <c r="BY32" s="1066"/>
      <c r="BZ32" s="1066"/>
      <c r="CA32" s="1066"/>
      <c r="CB32" s="1066"/>
      <c r="CC32" s="1068"/>
      <c r="CD32" s="1067"/>
      <c r="CE32" s="1066"/>
      <c r="CF32" s="1066"/>
      <c r="CG32" s="1066"/>
      <c r="CH32" s="1066"/>
      <c r="CI32" s="1066"/>
      <c r="CJ32" s="1069"/>
      <c r="CK32" s="1068"/>
      <c r="CL32" s="1067"/>
      <c r="CM32" s="1066"/>
      <c r="CN32" s="1066"/>
      <c r="CO32" s="1066"/>
      <c r="CP32" s="1066"/>
      <c r="CQ32" s="1066"/>
      <c r="CR32" s="1066"/>
      <c r="CS32" s="1068"/>
      <c r="CT32" s="1051"/>
      <c r="CU32" s="1051"/>
      <c r="CV32" s="1051"/>
      <c r="CW32" s="1051"/>
      <c r="CX32" s="1051"/>
      <c r="CY32" s="1051"/>
      <c r="CZ32" s="1051"/>
      <c r="DA32" s="1051"/>
      <c r="DB32" s="1047" t="str">
        <f t="shared" ref="DB32:EG32" si="342">DB$2</f>
        <v>Q1 08</v>
      </c>
      <c r="DC32" s="1047" t="str">
        <f t="shared" si="342"/>
        <v>Q2 08</v>
      </c>
      <c r="DD32" s="1047" t="str">
        <f t="shared" si="342"/>
        <v>H1 08</v>
      </c>
      <c r="DE32" s="1047" t="str">
        <f t="shared" si="342"/>
        <v>Q3 08</v>
      </c>
      <c r="DF32" s="1047" t="str">
        <f t="shared" si="342"/>
        <v>9M 08</v>
      </c>
      <c r="DG32" s="1047" t="str">
        <f t="shared" si="342"/>
        <v>Q4 08</v>
      </c>
      <c r="DH32" s="1047" t="str">
        <f t="shared" si="342"/>
        <v>H2 08</v>
      </c>
      <c r="DI32" s="1048" t="str">
        <f t="shared" si="342"/>
        <v>FY 08</v>
      </c>
      <c r="DJ32" s="1047" t="str">
        <f t="shared" si="342"/>
        <v>Q1 09</v>
      </c>
      <c r="DK32" s="1047" t="str">
        <f t="shared" si="342"/>
        <v>Q2 09</v>
      </c>
      <c r="DL32" s="1047" t="str">
        <f t="shared" si="342"/>
        <v>H1 09</v>
      </c>
      <c r="DM32" s="1047" t="str">
        <f t="shared" si="342"/>
        <v>Q3 09</v>
      </c>
      <c r="DN32" s="1047" t="str">
        <f t="shared" si="342"/>
        <v>9M 09</v>
      </c>
      <c r="DO32" s="1047" t="str">
        <f t="shared" si="342"/>
        <v>Q4 09</v>
      </c>
      <c r="DP32" s="1047" t="str">
        <f t="shared" si="342"/>
        <v>H2 09</v>
      </c>
      <c r="DQ32" s="1048" t="str">
        <f t="shared" si="342"/>
        <v>FY 09</v>
      </c>
      <c r="DR32" s="1047" t="str">
        <f t="shared" si="342"/>
        <v>Q1 10</v>
      </c>
      <c r="DS32" s="1047" t="str">
        <f t="shared" si="342"/>
        <v>Q2 10</v>
      </c>
      <c r="DT32" s="1047" t="str">
        <f t="shared" si="342"/>
        <v>H1 10</v>
      </c>
      <c r="DU32" s="1047" t="str">
        <f t="shared" si="342"/>
        <v>Q3 10</v>
      </c>
      <c r="DV32" s="1047" t="str">
        <f t="shared" si="342"/>
        <v>9M 10</v>
      </c>
      <c r="DW32" s="1047" t="str">
        <f t="shared" si="342"/>
        <v>Q4 10</v>
      </c>
      <c r="DX32" s="1047" t="str">
        <f t="shared" si="342"/>
        <v>H2 10</v>
      </c>
      <c r="DY32" s="1048" t="str">
        <f t="shared" si="342"/>
        <v>FY 10</v>
      </c>
      <c r="DZ32" s="1047" t="str">
        <f t="shared" si="342"/>
        <v>Q1 11</v>
      </c>
      <c r="EA32" s="1047" t="str">
        <f t="shared" si="342"/>
        <v>Q2 11</v>
      </c>
      <c r="EB32" s="1047" t="str">
        <f t="shared" si="342"/>
        <v>H1 11</v>
      </c>
      <c r="EC32" s="1047" t="str">
        <f t="shared" si="342"/>
        <v>Q3 11</v>
      </c>
      <c r="ED32" s="1047" t="str">
        <f t="shared" si="342"/>
        <v>9M 11</v>
      </c>
      <c r="EE32" s="1047" t="str">
        <f t="shared" si="342"/>
        <v>Q4 11</v>
      </c>
      <c r="EF32" s="1047" t="str">
        <f t="shared" si="342"/>
        <v>H2 11</v>
      </c>
      <c r="EG32" s="1048" t="str">
        <f t="shared" si="342"/>
        <v>FY 11</v>
      </c>
      <c r="EH32" s="1047" t="str">
        <f t="shared" ref="EH32:FN32" si="343">EH$2</f>
        <v>Q1 12</v>
      </c>
      <c r="EI32" s="1047" t="str">
        <f t="shared" si="343"/>
        <v>Q2 12</v>
      </c>
      <c r="EJ32" s="1047" t="str">
        <f t="shared" si="343"/>
        <v>H1 12</v>
      </c>
      <c r="EK32" s="1047" t="str">
        <f t="shared" si="343"/>
        <v>Q3 12</v>
      </c>
      <c r="EL32" s="1047" t="str">
        <f t="shared" si="343"/>
        <v>9M 12</v>
      </c>
      <c r="EM32" s="1047" t="str">
        <f t="shared" si="343"/>
        <v>Q4 12</v>
      </c>
      <c r="EN32" s="1047" t="str">
        <f t="shared" si="343"/>
        <v>H2 12</v>
      </c>
      <c r="EO32" s="1048" t="str">
        <f t="shared" si="343"/>
        <v>FY 12</v>
      </c>
      <c r="EP32" s="1047" t="str">
        <f t="shared" si="343"/>
        <v>1Q13</v>
      </c>
      <c r="EQ32" s="1047" t="str">
        <f t="shared" si="343"/>
        <v>2Q13</v>
      </c>
      <c r="ER32" s="1047" t="str">
        <f t="shared" si="343"/>
        <v>1H13</v>
      </c>
      <c r="ES32" s="1047" t="str">
        <f t="shared" si="343"/>
        <v>3Q13</v>
      </c>
      <c r="ET32" s="1047" t="str">
        <f t="shared" si="343"/>
        <v>9M13</v>
      </c>
      <c r="EU32" s="1047" t="str">
        <f t="shared" si="343"/>
        <v>4Q13</v>
      </c>
      <c r="EV32" s="1047" t="str">
        <f t="shared" si="343"/>
        <v>2H13</v>
      </c>
      <c r="EW32" s="1048" t="str">
        <f t="shared" si="343"/>
        <v>FY13</v>
      </c>
      <c r="EX32" s="1047" t="str">
        <f t="shared" si="343"/>
        <v>1Q14</v>
      </c>
      <c r="EY32" s="1047" t="str">
        <f t="shared" si="343"/>
        <v>2Q14</v>
      </c>
      <c r="EZ32" s="1047" t="str">
        <f t="shared" si="343"/>
        <v>1H14</v>
      </c>
      <c r="FA32" s="1047" t="str">
        <f t="shared" si="343"/>
        <v>3Q14</v>
      </c>
      <c r="FB32" s="1047" t="str">
        <f t="shared" si="343"/>
        <v>9M14</v>
      </c>
      <c r="FC32" s="1047" t="str">
        <f t="shared" si="343"/>
        <v>4Q14</v>
      </c>
      <c r="FD32" s="1047" t="str">
        <f t="shared" si="343"/>
        <v>2H14</v>
      </c>
      <c r="FE32" s="1048" t="str">
        <f t="shared" si="343"/>
        <v>FY14</v>
      </c>
      <c r="FF32" s="1047" t="str">
        <f t="shared" si="343"/>
        <v>1Q15</v>
      </c>
      <c r="FG32" s="1047" t="str">
        <f t="shared" si="343"/>
        <v>2Q15</v>
      </c>
      <c r="FH32" s="1047" t="str">
        <f t="shared" si="343"/>
        <v>1H15</v>
      </c>
      <c r="FI32" s="1047" t="str">
        <f t="shared" si="343"/>
        <v>3Q15</v>
      </c>
      <c r="FJ32" s="1047" t="str">
        <f t="shared" si="343"/>
        <v>9M15</v>
      </c>
      <c r="FK32" s="1047" t="str">
        <f t="shared" si="343"/>
        <v>4Q15</v>
      </c>
      <c r="FL32" s="1047" t="str">
        <f t="shared" si="343"/>
        <v>2H15</v>
      </c>
      <c r="FM32" s="1048" t="str">
        <f t="shared" si="343"/>
        <v>FY15</v>
      </c>
      <c r="FN32" s="1047" t="str">
        <f t="shared" si="343"/>
        <v>1Q16</v>
      </c>
      <c r="FO32" s="1047" t="s">
        <v>409</v>
      </c>
      <c r="FP32" s="1047" t="s">
        <v>410</v>
      </c>
      <c r="FQ32" s="1047" t="str">
        <f>FQ$2</f>
        <v>3Q16</v>
      </c>
      <c r="FR32" s="1047" t="str">
        <f>FR$2</f>
        <v>9M16</v>
      </c>
      <c r="FS32" s="1047" t="str">
        <f>FS$2</f>
        <v>4Q16</v>
      </c>
      <c r="FT32" s="1047" t="s">
        <v>414</v>
      </c>
      <c r="FU32" s="1047" t="s">
        <v>415</v>
      </c>
      <c r="FV32" s="1055" t="str">
        <f t="shared" ref="FV32:GA32" si="344">FV$2</f>
        <v>1Q17</v>
      </c>
      <c r="FW32" s="1047" t="str">
        <f t="shared" si="344"/>
        <v>2Q17</v>
      </c>
      <c r="FX32" s="1047" t="str">
        <f t="shared" si="344"/>
        <v>1H17</v>
      </c>
      <c r="FY32" s="1047" t="str">
        <f t="shared" si="344"/>
        <v>3Q17</v>
      </c>
      <c r="FZ32" s="1047" t="str">
        <f t="shared" si="344"/>
        <v>9M17</v>
      </c>
      <c r="GA32" s="1047" t="str">
        <f t="shared" si="344"/>
        <v>4Q17</v>
      </c>
      <c r="GB32" s="1047" t="s">
        <v>414</v>
      </c>
      <c r="GC32" s="1048" t="s">
        <v>415</v>
      </c>
      <c r="GD32" s="1047" t="str">
        <f t="shared" ref="GD32:GG32" si="345">GD$2</f>
        <v>1Q18</v>
      </c>
      <c r="GE32" s="1047" t="str">
        <f t="shared" si="345"/>
        <v>2Q18</v>
      </c>
      <c r="GF32" s="1047" t="str">
        <f t="shared" si="345"/>
        <v>1H18</v>
      </c>
      <c r="GG32" s="1047" t="str">
        <f t="shared" si="345"/>
        <v>3Q18</v>
      </c>
      <c r="GH32" s="1047" t="str">
        <f t="shared" ref="GH32" si="346">GH$2</f>
        <v>9M18</v>
      </c>
      <c r="GI32" s="1047"/>
      <c r="GJ32" s="1047"/>
      <c r="GK32" s="1048"/>
      <c r="GL32" s="1047"/>
      <c r="GM32" s="1047"/>
      <c r="GN32" s="1047"/>
      <c r="GO32" s="1047"/>
      <c r="GP32" s="1047"/>
      <c r="GQ32" s="1047"/>
      <c r="GR32" s="1047"/>
      <c r="GS32" s="1048"/>
      <c r="GT32" s="1047"/>
      <c r="GU32" s="1047"/>
      <c r="GV32" s="1047"/>
      <c r="GW32" s="1047"/>
      <c r="GX32" s="1047"/>
      <c r="GY32" s="1047"/>
      <c r="GZ32" s="1047"/>
      <c r="HA32" s="1048"/>
      <c r="HB32" s="1047"/>
      <c r="HC32" s="1047"/>
      <c r="HD32" s="1047"/>
      <c r="HE32" s="1047"/>
      <c r="HF32" s="1047"/>
      <c r="HG32" s="1047"/>
      <c r="HH32" s="1047"/>
      <c r="HI32" s="1048"/>
      <c r="HJ32" s="1047"/>
      <c r="HK32" s="1047"/>
      <c r="HL32" s="1047"/>
      <c r="HM32" s="1047"/>
      <c r="HN32" s="1047"/>
      <c r="HO32" s="1047"/>
      <c r="HP32" s="1047"/>
      <c r="HQ32" s="1048"/>
      <c r="HR32" s="1047"/>
      <c r="HS32" s="1047"/>
      <c r="HT32" s="1047"/>
      <c r="HU32" s="1047"/>
      <c r="HV32" s="1047"/>
      <c r="HW32" s="1047"/>
      <c r="HX32" s="1047"/>
      <c r="HY32" s="1047"/>
      <c r="HZ32" s="1047"/>
      <c r="IA32" s="1047"/>
      <c r="IB32" s="1047"/>
      <c r="IC32" s="1047"/>
      <c r="ID32" s="1047"/>
      <c r="IE32" s="1047"/>
      <c r="IF32" s="1047"/>
      <c r="IG32" s="1048"/>
      <c r="IH32" s="1047"/>
      <c r="II32" s="1047"/>
      <c r="IJ32" s="1047"/>
      <c r="IK32" s="1047"/>
      <c r="IL32" s="1047"/>
      <c r="IM32" s="1047"/>
      <c r="IN32" s="1047"/>
      <c r="IO32" s="1048"/>
      <c r="IP32" s="1047"/>
      <c r="IQ32" s="1047"/>
      <c r="IR32" s="1047"/>
      <c r="IS32" s="1047"/>
      <c r="IT32" s="1047"/>
      <c r="IU32" s="1047"/>
      <c r="IV32" s="1047"/>
      <c r="IW32" s="1047"/>
      <c r="IX32" s="1049"/>
      <c r="IY32" s="1049"/>
      <c r="IZ32" s="1049"/>
      <c r="JA32" s="1049"/>
      <c r="JB32" s="1049"/>
      <c r="JC32" s="1049"/>
      <c r="JD32" s="1103"/>
      <c r="JE32" s="1079"/>
      <c r="JF32" s="1037"/>
      <c r="JG32" s="1037"/>
      <c r="JH32" s="1037"/>
      <c r="JI32" s="1035"/>
      <c r="JJ32" s="1035"/>
      <c r="JK32" s="1035"/>
      <c r="JL32" s="1035"/>
      <c r="JM32" s="1035"/>
      <c r="JN32" s="1035"/>
      <c r="JO32" s="1035"/>
      <c r="JP32" s="1035"/>
      <c r="JQ32" s="1035"/>
      <c r="JR32" s="1035"/>
      <c r="JS32" s="1035"/>
      <c r="JT32" s="1035"/>
      <c r="JU32" s="1035"/>
      <c r="JV32" s="1035"/>
      <c r="JW32" s="1035"/>
      <c r="JX32" s="1035"/>
      <c r="JY32" s="1035"/>
      <c r="LV32" s="967"/>
    </row>
    <row r="33" hidden="1" spans="1:334">
      <c r="A33" s="1025" t="s">
        <v>60</v>
      </c>
      <c r="AX33" s="1059"/>
      <c r="BE33" s="1060"/>
      <c r="BN33" s="1059"/>
      <c r="BU33" s="1060"/>
      <c r="BV33" s="1059"/>
      <c r="CC33" s="1060"/>
      <c r="CD33" s="1059"/>
      <c r="CJ33" s="1061"/>
      <c r="CK33" s="1060"/>
      <c r="CL33" s="1059"/>
      <c r="CS33" s="1060"/>
      <c r="CT33" s="1025"/>
      <c r="CU33" s="1025"/>
      <c r="CV33" s="1025"/>
      <c r="CW33" s="1025"/>
      <c r="CX33" s="1025"/>
      <c r="CY33" s="1025"/>
      <c r="CZ33" s="1025"/>
      <c r="DA33" s="1025"/>
      <c r="DB33" s="1071">
        <v>885</v>
      </c>
      <c r="DC33" s="1071">
        <v>761</v>
      </c>
      <c r="DD33" s="1071">
        <f>DB33+DC33</f>
        <v>1646</v>
      </c>
      <c r="DE33" s="1071">
        <v>1015</v>
      </c>
      <c r="DF33" s="1071">
        <f>DD33+DE33</f>
        <v>2661</v>
      </c>
      <c r="DG33" s="1071">
        <v>726</v>
      </c>
      <c r="DH33" s="1071">
        <f>DE33+DG33</f>
        <v>1741</v>
      </c>
      <c r="DI33" s="1072">
        <f>'Profit and Loss'!O39</f>
        <v>3387</v>
      </c>
      <c r="DJ33" s="1071">
        <v>798</v>
      </c>
      <c r="DK33" s="1071">
        <v>637</v>
      </c>
      <c r="DL33" s="1071">
        <f>DJ33+DK33</f>
        <v>1435</v>
      </c>
      <c r="DM33" s="1071">
        <v>859</v>
      </c>
      <c r="DN33" s="1071">
        <f>DL33+DM33</f>
        <v>2294</v>
      </c>
      <c r="DO33" s="1071">
        <v>686</v>
      </c>
      <c r="DP33" s="1071">
        <f>DO33+DM33</f>
        <v>1545</v>
      </c>
      <c r="DQ33" s="1072">
        <f>'Profit and Loss'!P39</f>
        <v>2978</v>
      </c>
      <c r="DR33" s="1073">
        <f>DR$5*DR35</f>
        <v>818.038</v>
      </c>
      <c r="DS33" s="1073">
        <f>DS$5*DS35</f>
        <v>790.48</v>
      </c>
      <c r="DT33" s="1073">
        <f>DR33+DS33</f>
        <v>1608.518</v>
      </c>
      <c r="DU33" s="1073">
        <f>DU$5*DU35</f>
        <v>1014.399</v>
      </c>
      <c r="DV33" s="1073">
        <f>DT33+DU33</f>
        <v>2622.917</v>
      </c>
      <c r="DW33" s="1073">
        <f>DY33-DV33</f>
        <v>756.083</v>
      </c>
      <c r="DX33" s="1073">
        <f>DU33+DW33</f>
        <v>1770.482</v>
      </c>
      <c r="DY33" s="1072">
        <f>'Profit and Loss'!Q39</f>
        <v>3379</v>
      </c>
      <c r="DZ33" s="1073">
        <f>DZ$5*DZ35</f>
        <v>999.92</v>
      </c>
      <c r="EA33" s="1073">
        <f>EB33-DZ33</f>
        <v>780.08</v>
      </c>
      <c r="EB33" s="1073">
        <v>1780</v>
      </c>
      <c r="EC33" s="1073">
        <f>+ED33-EB33</f>
        <v>1041</v>
      </c>
      <c r="ED33" s="1073">
        <v>2821</v>
      </c>
      <c r="EE33" s="1073">
        <f>+EF33-EC33</f>
        <v>749</v>
      </c>
      <c r="EF33" s="1073">
        <f>+EG33-EB33</f>
        <v>1790</v>
      </c>
      <c r="EG33" s="1072">
        <v>3570</v>
      </c>
      <c r="EH33" s="1073">
        <f>EH$5*EH35</f>
        <v>1091.6064</v>
      </c>
      <c r="EI33" s="1073">
        <f>+EJ33-EH33</f>
        <v>810.3936</v>
      </c>
      <c r="EJ33" s="1073">
        <v>1902</v>
      </c>
      <c r="EK33" s="1073">
        <f>EL33-EJ33</f>
        <v>1132</v>
      </c>
      <c r="EL33" s="1073">
        <v>3034</v>
      </c>
      <c r="EM33" s="1073">
        <f>EN33-EK33</f>
        <v>806</v>
      </c>
      <c r="EN33" s="1073">
        <f>EO33-EJ33</f>
        <v>1938</v>
      </c>
      <c r="EO33" s="1074">
        <v>3840</v>
      </c>
      <c r="EP33" s="1073">
        <f>EP35*EP5</f>
        <v>1099.083</v>
      </c>
      <c r="EQ33" s="1073">
        <f>ER33-EP33</f>
        <v>828.917</v>
      </c>
      <c r="ER33" s="1073">
        <v>1928</v>
      </c>
      <c r="ES33" s="1073">
        <f>ET33-ER33</f>
        <v>1121</v>
      </c>
      <c r="ET33" s="1073">
        <v>3049</v>
      </c>
      <c r="EU33" s="1073">
        <f>EU35*EU5</f>
        <v>831.06</v>
      </c>
      <c r="EV33" s="1073">
        <f>ES33+EU33</f>
        <v>1952.06</v>
      </c>
      <c r="EW33" s="1074">
        <f>ER33+EV33</f>
        <v>3880.06</v>
      </c>
      <c r="EX33" s="1076">
        <f>EX35*EX5</f>
        <v>1032.366</v>
      </c>
      <c r="EY33" s="1076">
        <f>EY35*EY5</f>
        <v>861.105</v>
      </c>
      <c r="EZ33" s="1076">
        <f>EX33+EY33</f>
        <v>1893.471</v>
      </c>
      <c r="FA33" s="1076">
        <f>FB33-EZ33</f>
        <v>1137.529</v>
      </c>
      <c r="FB33" s="1076">
        <v>3031</v>
      </c>
      <c r="FC33" s="1076">
        <f>FE33-FB33</f>
        <v>880</v>
      </c>
      <c r="FD33" s="1076">
        <f>FA33+FC33</f>
        <v>2017.529</v>
      </c>
      <c r="FE33" s="1077">
        <f>'Profit and Loss'!U39</f>
        <v>3911</v>
      </c>
      <c r="FF33" s="1076">
        <f>FF45-FF42-FF36</f>
        <v>1348.795</v>
      </c>
      <c r="FG33" s="1076">
        <f>FG45-FG42-FG36</f>
        <v>1083.453</v>
      </c>
      <c r="FH33" s="1076">
        <f>FH45-FH36-FH42</f>
        <v>2432.248</v>
      </c>
      <c r="FI33" s="1076">
        <f>FI45-FI36-FI42</f>
        <v>1508.144</v>
      </c>
      <c r="FJ33" s="1076">
        <f>FJ45-FJ36-FJ42</f>
        <v>3940.392</v>
      </c>
      <c r="FK33" s="1076">
        <f>FK45-FK36-FK42</f>
        <v>1124.36</v>
      </c>
      <c r="FL33" s="1076">
        <f>FI33+FK33</f>
        <v>2632.504</v>
      </c>
      <c r="FM33" s="1077">
        <f>FM45-FM36-FM42</f>
        <v>5064.752</v>
      </c>
      <c r="FN33" s="1076">
        <f>FN45-FN42-FN36</f>
        <v>1579.192</v>
      </c>
      <c r="FO33" s="1076">
        <f>FO45-FO42-FO36</f>
        <v>1289.676</v>
      </c>
      <c r="FP33" s="1076">
        <f>FP45-FP42-FP36</f>
        <v>2868.868</v>
      </c>
      <c r="FQ33" s="1076"/>
      <c r="FR33" s="1076"/>
      <c r="FS33" s="1076"/>
      <c r="FT33" s="1076"/>
      <c r="FU33" s="1076"/>
      <c r="FV33" s="1075"/>
      <c r="FW33" s="1076"/>
      <c r="FX33" s="1076"/>
      <c r="FY33" s="1076"/>
      <c r="FZ33" s="1076"/>
      <c r="GA33" s="1076"/>
      <c r="GB33" s="1076"/>
      <c r="GC33" s="1077"/>
      <c r="GD33" s="1076"/>
      <c r="GE33" s="1076"/>
      <c r="GF33" s="1076"/>
      <c r="GG33" s="1076"/>
      <c r="GH33" s="1076"/>
      <c r="GI33" s="1076"/>
      <c r="GJ33" s="1076"/>
      <c r="GK33" s="1077"/>
      <c r="GL33" s="1076"/>
      <c r="GM33" s="1076"/>
      <c r="GN33" s="1076"/>
      <c r="GO33" s="1076"/>
      <c r="GP33" s="1076"/>
      <c r="GQ33" s="1076"/>
      <c r="GR33" s="1076"/>
      <c r="GS33" s="1077"/>
      <c r="GT33" s="1076"/>
      <c r="GU33" s="1076"/>
      <c r="GV33" s="1076"/>
      <c r="GW33" s="1076"/>
      <c r="GX33" s="1076"/>
      <c r="GY33" s="1076"/>
      <c r="GZ33" s="1076"/>
      <c r="HA33" s="1077"/>
      <c r="HB33" s="1076"/>
      <c r="HC33" s="1076"/>
      <c r="HD33" s="1076"/>
      <c r="HE33" s="1076"/>
      <c r="HF33" s="1076"/>
      <c r="HG33" s="1076"/>
      <c r="HH33" s="1076"/>
      <c r="HI33" s="1077"/>
      <c r="HJ33" s="1076"/>
      <c r="HK33" s="1076"/>
      <c r="HL33" s="1076"/>
      <c r="HM33" s="1076"/>
      <c r="HN33" s="1076"/>
      <c r="HO33" s="1076"/>
      <c r="HP33" s="1076"/>
      <c r="HQ33" s="1077"/>
      <c r="HR33" s="1076"/>
      <c r="HS33" s="1076"/>
      <c r="HT33" s="1076"/>
      <c r="HU33" s="1076"/>
      <c r="HV33" s="1076"/>
      <c r="HW33" s="1076"/>
      <c r="HX33" s="1076"/>
      <c r="HY33" s="1076"/>
      <c r="HZ33" s="1076"/>
      <c r="IA33" s="1076"/>
      <c r="IB33" s="1076"/>
      <c r="IC33" s="1076"/>
      <c r="ID33" s="1076"/>
      <c r="IE33" s="1076"/>
      <c r="IF33" s="1076"/>
      <c r="IG33" s="1077"/>
      <c r="IH33" s="1076"/>
      <c r="II33" s="1076"/>
      <c r="IJ33" s="1076"/>
      <c r="IK33" s="1076"/>
      <c r="IL33" s="1076"/>
      <c r="IM33" s="1076"/>
      <c r="IN33" s="1076"/>
      <c r="IO33" s="1077"/>
      <c r="IP33" s="1076"/>
      <c r="IQ33" s="1076"/>
      <c r="IR33" s="1076"/>
      <c r="IS33" s="1076"/>
      <c r="IT33" s="1076"/>
      <c r="IU33" s="1076"/>
      <c r="IV33" s="1076"/>
      <c r="IW33" s="1076"/>
      <c r="IX33" s="1049"/>
      <c r="IY33" s="1049"/>
      <c r="IZ33" s="1049"/>
      <c r="JA33" s="1049"/>
      <c r="JB33" s="1112"/>
      <c r="JC33" s="1112"/>
      <c r="JD33" s="1112"/>
      <c r="JE33" s="1082"/>
      <c r="JF33" s="1037"/>
      <c r="JG33" s="1037"/>
      <c r="JH33" s="1037"/>
      <c r="JI33" s="1035"/>
      <c r="JJ33" s="1035"/>
      <c r="JK33" s="1035"/>
      <c r="JL33" s="1035"/>
      <c r="JM33" s="1035"/>
      <c r="JN33" s="1035"/>
      <c r="JO33" s="1035"/>
      <c r="JP33" s="1035"/>
      <c r="JQ33" s="1035"/>
      <c r="JR33" s="1035"/>
      <c r="JS33" s="1035"/>
      <c r="JT33" s="1035"/>
      <c r="JU33" s="1035"/>
      <c r="JV33" s="1035"/>
      <c r="JW33" s="1035"/>
      <c r="JX33" s="1035"/>
      <c r="JY33" s="1035"/>
      <c r="LV33" s="967"/>
    </row>
    <row r="34" hidden="1" spans="1:334">
      <c r="A34" s="1113" t="s">
        <v>61</v>
      </c>
      <c r="AX34" s="1059"/>
      <c r="BE34" s="1060"/>
      <c r="BN34" s="1059"/>
      <c r="BU34" s="1060"/>
      <c r="BV34" s="1059"/>
      <c r="CC34" s="1060"/>
      <c r="CD34" s="1059"/>
      <c r="CJ34" s="1061"/>
      <c r="CK34" s="1060"/>
      <c r="CL34" s="1059"/>
      <c r="CS34" s="1060"/>
      <c r="CT34" s="1025"/>
      <c r="CU34" s="1025"/>
      <c r="CV34" s="1025"/>
      <c r="CW34" s="1025"/>
      <c r="CX34" s="1025"/>
      <c r="CY34" s="1025"/>
      <c r="CZ34" s="1025"/>
      <c r="DA34" s="1025"/>
      <c r="DB34" s="1071"/>
      <c r="DC34" s="1071"/>
      <c r="DD34" s="1071"/>
      <c r="DE34" s="1071"/>
      <c r="DF34" s="1071"/>
      <c r="DG34" s="1071"/>
      <c r="DH34" s="1071"/>
      <c r="DI34" s="1072"/>
      <c r="DJ34" s="1080">
        <f>DJ33/DB33-1</f>
        <v>-0.0983050847457627</v>
      </c>
      <c r="DK34" s="1080">
        <f t="shared" ref="DK34:DS34" si="347">DK33/DC33-1</f>
        <v>-0.162943495400788</v>
      </c>
      <c r="DL34" s="1080">
        <f t="shared" si="347"/>
        <v>-0.128189550425273</v>
      </c>
      <c r="DM34" s="1080">
        <f t="shared" si="347"/>
        <v>-0.153694581280788</v>
      </c>
      <c r="DN34" s="1080">
        <f t="shared" si="347"/>
        <v>-0.137918075911312</v>
      </c>
      <c r="DO34" s="1080">
        <f t="shared" si="347"/>
        <v>-0.0550964187327824</v>
      </c>
      <c r="DP34" s="1080">
        <f t="shared" si="347"/>
        <v>-0.112578977599081</v>
      </c>
      <c r="DQ34" s="1081">
        <f t="shared" si="347"/>
        <v>-0.120755831118984</v>
      </c>
      <c r="DR34" s="1083">
        <f t="shared" si="347"/>
        <v>0.025110275689223</v>
      </c>
      <c r="DS34" s="1083">
        <f t="shared" si="347"/>
        <v>0.240941915227629</v>
      </c>
      <c r="DT34" s="1083">
        <f t="shared" ref="DT34:EA34" si="348">DT33/DL33-1</f>
        <v>0.120918466898955</v>
      </c>
      <c r="DU34" s="1083">
        <f t="shared" si="348"/>
        <v>0.180906868451688</v>
      </c>
      <c r="DV34" s="1083">
        <f t="shared" si="348"/>
        <v>0.143381429816914</v>
      </c>
      <c r="DW34" s="1083">
        <f t="shared" si="348"/>
        <v>0.102161807580175</v>
      </c>
      <c r="DX34" s="1114">
        <f t="shared" si="348"/>
        <v>0.145943042071197</v>
      </c>
      <c r="DY34" s="1081">
        <f t="shared" si="348"/>
        <v>0.134654130288784</v>
      </c>
      <c r="DZ34" s="1083">
        <f t="shared" si="348"/>
        <v>0.222339304531085</v>
      </c>
      <c r="EA34" s="1083">
        <f t="shared" si="348"/>
        <v>-0.0131565631009005</v>
      </c>
      <c r="EB34" s="1083">
        <f t="shared" ref="EB34:EI34" si="349">EB33/DT33-1</f>
        <v>0.106608691976092</v>
      </c>
      <c r="EC34" s="1083">
        <f t="shared" si="349"/>
        <v>0.0262234091319096</v>
      </c>
      <c r="ED34" s="1083">
        <f t="shared" si="349"/>
        <v>0.0755201174875149</v>
      </c>
      <c r="EE34" s="1083">
        <f t="shared" si="349"/>
        <v>-0.00936801911959417</v>
      </c>
      <c r="EF34" s="1114">
        <f t="shared" si="349"/>
        <v>0.0110241165964975</v>
      </c>
      <c r="EG34" s="1081">
        <f t="shared" si="349"/>
        <v>0.0565255992897307</v>
      </c>
      <c r="EH34" s="1083">
        <f t="shared" si="349"/>
        <v>0.0916937354988401</v>
      </c>
      <c r="EI34" s="1083">
        <f t="shared" si="349"/>
        <v>0.0388596041431646</v>
      </c>
      <c r="EJ34" s="1083">
        <f t="shared" ref="EJ34:EQ34" si="350">EJ33/EB33-1</f>
        <v>0.0685393258426967</v>
      </c>
      <c r="EK34" s="1083">
        <f t="shared" si="350"/>
        <v>0.0874159462055715</v>
      </c>
      <c r="EL34" s="1083">
        <f t="shared" si="350"/>
        <v>0.075505140021269</v>
      </c>
      <c r="EM34" s="1083">
        <f t="shared" si="350"/>
        <v>0.0761014686248331</v>
      </c>
      <c r="EN34" s="1114">
        <f t="shared" si="350"/>
        <v>0.0826815642458101</v>
      </c>
      <c r="EO34" s="1081">
        <f t="shared" si="350"/>
        <v>0.0756302521008403</v>
      </c>
      <c r="EP34" s="1083">
        <f t="shared" si="350"/>
        <v>0.00684917200925161</v>
      </c>
      <c r="EQ34" s="1083">
        <f t="shared" si="350"/>
        <v>0.0228572881128382</v>
      </c>
      <c r="ER34" s="1083">
        <f t="shared" ref="ER34:EX34" si="351">ER33/EJ33-1</f>
        <v>0.0136698212407991</v>
      </c>
      <c r="ES34" s="1083">
        <f t="shared" si="351"/>
        <v>-0.00971731448763247</v>
      </c>
      <c r="ET34" s="1083">
        <f t="shared" si="351"/>
        <v>0.00494396835860256</v>
      </c>
      <c r="EU34" s="1083">
        <f t="shared" si="351"/>
        <v>0.0310918114143921</v>
      </c>
      <c r="EV34" s="1114">
        <f t="shared" si="351"/>
        <v>0.00725490196078438</v>
      </c>
      <c r="EW34" s="1084">
        <f t="shared" si="351"/>
        <v>0.0104322916666666</v>
      </c>
      <c r="EX34" s="1083">
        <f t="shared" si="351"/>
        <v>-0.0607024219280983</v>
      </c>
      <c r="EY34" s="1087">
        <f t="shared" ref="EY34:FG34" si="352">EY33/EQ33-1</f>
        <v>0.0388313908388898</v>
      </c>
      <c r="EZ34" s="1087">
        <f t="shared" si="352"/>
        <v>-0.0179092323651452</v>
      </c>
      <c r="FA34" s="1083">
        <f t="shared" si="352"/>
        <v>0.0147448706512043</v>
      </c>
      <c r="FB34" s="1087">
        <f t="shared" si="352"/>
        <v>-0.00590357494260418</v>
      </c>
      <c r="FC34" s="1087">
        <f t="shared" si="352"/>
        <v>0.0588886482323778</v>
      </c>
      <c r="FD34" s="1087">
        <f t="shared" si="352"/>
        <v>0.0335384158273824</v>
      </c>
      <c r="FE34" s="1088">
        <f t="shared" si="352"/>
        <v>0.00797410349324501</v>
      </c>
      <c r="FF34" s="1087">
        <f t="shared" si="352"/>
        <v>0.306508544450321</v>
      </c>
      <c r="FG34" s="1087">
        <f t="shared" si="352"/>
        <v>0.258212413120351</v>
      </c>
      <c r="FH34" s="1087">
        <f t="shared" ref="FH34:FP34" si="353">FH33/EZ33-1</f>
        <v>0.284544627300867</v>
      </c>
      <c r="FI34" s="1083">
        <f t="shared" si="353"/>
        <v>0.325807078325036</v>
      </c>
      <c r="FJ34" s="1087">
        <f t="shared" si="353"/>
        <v>0.300030353018806</v>
      </c>
      <c r="FK34" s="1083">
        <f t="shared" si="353"/>
        <v>0.277681818181818</v>
      </c>
      <c r="FL34" s="1087">
        <f t="shared" si="353"/>
        <v>0.304815940687841</v>
      </c>
      <c r="FM34" s="1084">
        <f t="shared" si="353"/>
        <v>0.295001789823575</v>
      </c>
      <c r="FN34" s="1083">
        <f t="shared" si="353"/>
        <v>0.170816914356889</v>
      </c>
      <c r="FO34" s="1087">
        <f t="shared" si="353"/>
        <v>0.190338667205684</v>
      </c>
      <c r="FP34" s="1087">
        <f t="shared" si="353"/>
        <v>0.179512944403696</v>
      </c>
      <c r="FQ34" s="1087"/>
      <c r="FR34" s="1087"/>
      <c r="FS34" s="1087"/>
      <c r="FT34" s="1087"/>
      <c r="FU34" s="1087"/>
      <c r="FV34" s="1115"/>
      <c r="FW34" s="1087"/>
      <c r="FX34" s="1087"/>
      <c r="FY34" s="1087"/>
      <c r="FZ34" s="1087"/>
      <c r="GA34" s="1087"/>
      <c r="GB34" s="1087"/>
      <c r="GC34" s="1088"/>
      <c r="GD34" s="1087"/>
      <c r="GE34" s="1087"/>
      <c r="GF34" s="1087"/>
      <c r="GG34" s="1087"/>
      <c r="GH34" s="1087"/>
      <c r="GI34" s="1087"/>
      <c r="GJ34" s="1087"/>
      <c r="GK34" s="1088"/>
      <c r="GL34" s="1087"/>
      <c r="GM34" s="1087"/>
      <c r="GN34" s="1087"/>
      <c r="GO34" s="1087"/>
      <c r="GP34" s="1087"/>
      <c r="GQ34" s="1087"/>
      <c r="GR34" s="1087"/>
      <c r="GS34" s="1088"/>
      <c r="GT34" s="1087"/>
      <c r="GU34" s="1087"/>
      <c r="GV34" s="1087"/>
      <c r="GW34" s="1087"/>
      <c r="GX34" s="1087"/>
      <c r="GY34" s="1087"/>
      <c r="GZ34" s="1087"/>
      <c r="HA34" s="1088"/>
      <c r="HB34" s="1087"/>
      <c r="HC34" s="1087"/>
      <c r="HD34" s="1087"/>
      <c r="HE34" s="1087"/>
      <c r="HF34" s="1087"/>
      <c r="HG34" s="1087"/>
      <c r="HH34" s="1087"/>
      <c r="HI34" s="1088"/>
      <c r="HJ34" s="1087"/>
      <c r="HK34" s="1087"/>
      <c r="HL34" s="1087"/>
      <c r="HM34" s="1087"/>
      <c r="HN34" s="1087"/>
      <c r="HO34" s="1087"/>
      <c r="HP34" s="1087"/>
      <c r="HQ34" s="1088"/>
      <c r="HR34" s="1087"/>
      <c r="HS34" s="1087"/>
      <c r="HT34" s="1087"/>
      <c r="HU34" s="1087"/>
      <c r="HV34" s="1087"/>
      <c r="HW34" s="1087"/>
      <c r="HX34" s="1087"/>
      <c r="HY34" s="1087"/>
      <c r="HZ34" s="1087"/>
      <c r="IA34" s="1087"/>
      <c r="IB34" s="1087"/>
      <c r="IC34" s="1087"/>
      <c r="ID34" s="1087"/>
      <c r="IE34" s="1087"/>
      <c r="IF34" s="1087"/>
      <c r="IG34" s="1088"/>
      <c r="IH34" s="1087"/>
      <c r="II34" s="1087"/>
      <c r="IJ34" s="1087"/>
      <c r="IK34" s="1087"/>
      <c r="IL34" s="1087"/>
      <c r="IM34" s="1087"/>
      <c r="IN34" s="1087"/>
      <c r="IO34" s="1088"/>
      <c r="IP34" s="1087"/>
      <c r="IQ34" s="1116"/>
      <c r="IR34" s="1087"/>
      <c r="IS34" s="1087"/>
      <c r="IT34" s="1087"/>
      <c r="IU34" s="1087"/>
      <c r="IV34" s="1087"/>
      <c r="IW34" s="1087"/>
      <c r="IX34" s="1049"/>
      <c r="IY34" s="1049"/>
      <c r="IZ34" s="1049"/>
      <c r="JA34" s="1049"/>
      <c r="JB34" s="1112"/>
      <c r="JC34" s="1112"/>
      <c r="JD34" s="1112"/>
      <c r="JE34" s="1082"/>
      <c r="JF34" s="1037"/>
      <c r="JG34" s="1037"/>
      <c r="JH34" s="1037"/>
      <c r="JI34" s="1035"/>
      <c r="JJ34" s="1035"/>
      <c r="JK34" s="1035"/>
      <c r="JL34" s="1035"/>
      <c r="JM34" s="1035"/>
      <c r="JN34" s="1035"/>
      <c r="JO34" s="1035"/>
      <c r="JP34" s="1035"/>
      <c r="JQ34" s="969"/>
      <c r="JR34" s="1035"/>
      <c r="JS34" s="1035"/>
      <c r="JT34" s="1035"/>
      <c r="JU34" s="1035"/>
      <c r="JV34" s="1035"/>
      <c r="JW34" s="1035"/>
      <c r="JX34" s="1035"/>
      <c r="JY34" s="1035"/>
      <c r="LV34" s="967"/>
    </row>
    <row r="35" hidden="1" spans="1:334">
      <c r="A35" s="1113" t="s">
        <v>74</v>
      </c>
      <c r="AX35" s="1059"/>
      <c r="BE35" s="1060"/>
      <c r="BN35" s="1059"/>
      <c r="BU35" s="1060"/>
      <c r="BV35" s="1059"/>
      <c r="CC35" s="1060"/>
      <c r="CD35" s="1059"/>
      <c r="CJ35" s="1061"/>
      <c r="CK35" s="1060"/>
      <c r="CL35" s="1059"/>
      <c r="CS35" s="1060"/>
      <c r="CT35" s="1117"/>
      <c r="CU35" s="1117"/>
      <c r="CV35" s="1117"/>
      <c r="CW35" s="1117"/>
      <c r="CX35" s="1117"/>
      <c r="CY35" s="1117"/>
      <c r="CZ35" s="1117"/>
      <c r="DA35" s="1117"/>
      <c r="DB35" s="1082">
        <f t="shared" ref="DB35:DQ35" si="354">DB33/DB5</f>
        <v>0.44969512195122</v>
      </c>
      <c r="DC35" s="1082">
        <f t="shared" si="354"/>
        <v>0.433618233618234</v>
      </c>
      <c r="DD35" s="1082">
        <f t="shared" si="354"/>
        <v>0.44211657265646</v>
      </c>
      <c r="DE35" s="1082">
        <f t="shared" si="354"/>
        <v>0.452922802320393</v>
      </c>
      <c r="DF35" s="1082">
        <f t="shared" si="354"/>
        <v>0.446177062374245</v>
      </c>
      <c r="DG35" s="1082">
        <f t="shared" si="354"/>
        <v>0.404682274247492</v>
      </c>
      <c r="DH35" s="1082">
        <f t="shared" si="354"/>
        <v>0.431474597273854</v>
      </c>
      <c r="DI35" s="1085">
        <f t="shared" si="354"/>
        <v>0.436581593194122</v>
      </c>
      <c r="DJ35" s="1082">
        <f t="shared" si="354"/>
        <v>0.425827107790822</v>
      </c>
      <c r="DK35" s="1082">
        <f t="shared" si="354"/>
        <v>0.396884735202492</v>
      </c>
      <c r="DL35" s="1082">
        <f t="shared" si="354"/>
        <v>0.412474849094567</v>
      </c>
      <c r="DM35" s="1082">
        <f t="shared" si="354"/>
        <v>0.421905697445973</v>
      </c>
      <c r="DN35" s="1082">
        <f t="shared" si="354"/>
        <v>0.415956482320943</v>
      </c>
      <c r="DO35" s="1082">
        <f t="shared" si="354"/>
        <v>0.415757575757576</v>
      </c>
      <c r="DP35" s="1082">
        <f t="shared" si="354"/>
        <v>0.419153553988063</v>
      </c>
      <c r="DQ35" s="1085">
        <f t="shared" si="354"/>
        <v>0.415689558905639</v>
      </c>
      <c r="DR35" s="1083">
        <v>0.431</v>
      </c>
      <c r="DS35" s="1083">
        <v>0.41</v>
      </c>
      <c r="DT35" s="1083">
        <f>DT33/DT5</f>
        <v>0.420417668583377</v>
      </c>
      <c r="DU35" s="1083">
        <v>0.419</v>
      </c>
      <c r="DV35" s="1083">
        <f>DV33/DV5</f>
        <v>0.419868256763246</v>
      </c>
      <c r="DW35" s="1083">
        <f>DW33/DW5</f>
        <v>0.390942605997932</v>
      </c>
      <c r="DX35" s="1083">
        <f>DX33/DX5</f>
        <v>0.406540068886338</v>
      </c>
      <c r="DY35" s="1085">
        <f>DY33/DY5</f>
        <v>0.41303019190808</v>
      </c>
      <c r="DZ35" s="1083">
        <v>0.431</v>
      </c>
      <c r="EA35" s="1083">
        <f t="shared" ref="EA35:EG35" si="355">EA33/EA5</f>
        <v>0.395377597567157</v>
      </c>
      <c r="EB35" s="1083">
        <f t="shared" si="355"/>
        <v>0.41462846494293</v>
      </c>
      <c r="EC35" s="1083">
        <f t="shared" si="355"/>
        <v>0.404114906832298</v>
      </c>
      <c r="ED35" s="1083">
        <f t="shared" si="355"/>
        <v>0.410685689328869</v>
      </c>
      <c r="EE35" s="1083">
        <f t="shared" si="355"/>
        <v>0.359923113887554</v>
      </c>
      <c r="EF35" s="1083">
        <f t="shared" si="355"/>
        <v>0.384367618638609</v>
      </c>
      <c r="EG35" s="1085">
        <f t="shared" si="355"/>
        <v>0.398882681564246</v>
      </c>
      <c r="EH35" s="1083">
        <v>0.4176</v>
      </c>
      <c r="EI35" s="1083">
        <f t="shared" ref="EI35:EO35" si="356">EI33/EI5</f>
        <v>0.383527496450544</v>
      </c>
      <c r="EJ35" s="1083">
        <f t="shared" si="356"/>
        <v>0.402369367463507</v>
      </c>
      <c r="EK35" s="1083">
        <f t="shared" si="356"/>
        <v>0.412686839227124</v>
      </c>
      <c r="EL35" s="1083">
        <f t="shared" si="356"/>
        <v>0.40615796519411</v>
      </c>
      <c r="EM35" s="1083">
        <f t="shared" si="356"/>
        <v>0.390693165293262</v>
      </c>
      <c r="EN35" s="1083">
        <f t="shared" si="356"/>
        <v>0.403245942571785</v>
      </c>
      <c r="EO35" s="1085">
        <f t="shared" si="356"/>
        <v>0.402811287107941</v>
      </c>
      <c r="EP35" s="1083">
        <v>0.443</v>
      </c>
      <c r="EQ35" s="1083">
        <f>EQ33/EQ5</f>
        <v>0.411577457795432</v>
      </c>
      <c r="ER35" s="1083">
        <f>ER33/ER5</f>
        <v>0.428921023359288</v>
      </c>
      <c r="ES35" s="1083">
        <f>ES33/ES5</f>
        <v>0.439091265178222</v>
      </c>
      <c r="ET35" s="1083">
        <f>ET33/ET5</f>
        <v>0.432604994324631</v>
      </c>
      <c r="EU35" s="1083">
        <v>0.405</v>
      </c>
      <c r="EV35" s="1114">
        <f>EV33/EV5</f>
        <v>0.423900108577633</v>
      </c>
      <c r="EW35" s="1084">
        <f>EW33/EW5</f>
        <v>0.42638021978022</v>
      </c>
      <c r="EX35" s="1083">
        <v>0.438</v>
      </c>
      <c r="EY35" s="1087">
        <v>0.413</v>
      </c>
      <c r="EZ35" s="1087">
        <f t="shared" ref="EZ35:FE35" si="357">EZ33/EZ5</f>
        <v>0.42626542098154</v>
      </c>
      <c r="FA35" s="1083">
        <f t="shared" si="357"/>
        <v>0.418670960618329</v>
      </c>
      <c r="FB35" s="1087">
        <f t="shared" si="357"/>
        <v>0.423383154071798</v>
      </c>
      <c r="FC35" s="1087">
        <f t="shared" si="357"/>
        <v>0.431747703237291</v>
      </c>
      <c r="FD35" s="1087">
        <f t="shared" si="357"/>
        <v>0.424276029080987</v>
      </c>
      <c r="FE35" s="1088">
        <f t="shared" si="357"/>
        <v>0.425236848949287</v>
      </c>
      <c r="FF35" s="1087">
        <f t="shared" ref="FF35:FP35" si="358">FF33/FF$5</f>
        <v>0.479827463536108</v>
      </c>
      <c r="FG35" s="1087">
        <f t="shared" si="358"/>
        <v>0.435997183098592</v>
      </c>
      <c r="FH35" s="1087">
        <f t="shared" si="358"/>
        <v>0.459261329305136</v>
      </c>
      <c r="FI35" s="1087">
        <f t="shared" si="358"/>
        <v>0.455495016611296</v>
      </c>
      <c r="FJ35" s="1087">
        <f t="shared" si="358"/>
        <v>0.457812478215406</v>
      </c>
      <c r="FK35" s="1087">
        <f t="shared" si="358"/>
        <v>0.429145038167939</v>
      </c>
      <c r="FL35" s="1087">
        <f t="shared" si="358"/>
        <v>0.443854999156972</v>
      </c>
      <c r="FM35" s="1088">
        <f t="shared" si="358"/>
        <v>0.451122472610671</v>
      </c>
      <c r="FN35" s="1087">
        <f t="shared" si="358"/>
        <v>0.472953578915843</v>
      </c>
      <c r="FO35" s="1087">
        <f t="shared" si="358"/>
        <v>0.449521087486929</v>
      </c>
      <c r="FP35" s="1087">
        <f t="shared" si="358"/>
        <v>0.462124355670103</v>
      </c>
      <c r="FQ35" s="1087"/>
      <c r="FR35" s="1087"/>
      <c r="FS35" s="1087"/>
      <c r="FT35" s="1087"/>
      <c r="FU35" s="1087"/>
      <c r="FV35" s="1086"/>
      <c r="FW35" s="1087"/>
      <c r="FX35" s="1087"/>
      <c r="FY35" s="1087"/>
      <c r="FZ35" s="1087"/>
      <c r="GA35" s="1087"/>
      <c r="GB35" s="1087"/>
      <c r="GC35" s="1088"/>
      <c r="GD35" s="1087"/>
      <c r="GE35" s="1087"/>
      <c r="GF35" s="1087"/>
      <c r="GG35" s="1087"/>
      <c r="GH35" s="1087"/>
      <c r="GI35" s="1087"/>
      <c r="GJ35" s="1087"/>
      <c r="GK35" s="1088"/>
      <c r="GL35" s="1087"/>
      <c r="GM35" s="1087"/>
      <c r="GN35" s="1087"/>
      <c r="GO35" s="1087"/>
      <c r="GP35" s="1087"/>
      <c r="GQ35" s="1087"/>
      <c r="GR35" s="1087"/>
      <c r="GS35" s="1088"/>
      <c r="GT35" s="1087"/>
      <c r="GU35" s="1087"/>
      <c r="GV35" s="1087"/>
      <c r="GW35" s="1087"/>
      <c r="GX35" s="1087"/>
      <c r="GY35" s="1087"/>
      <c r="GZ35" s="1087"/>
      <c r="HA35" s="1088"/>
      <c r="HB35" s="1087"/>
      <c r="HC35" s="1087"/>
      <c r="HD35" s="1087"/>
      <c r="HE35" s="1087"/>
      <c r="HF35" s="1087"/>
      <c r="HG35" s="1087"/>
      <c r="HH35" s="1087"/>
      <c r="HI35" s="1088"/>
      <c r="HJ35" s="1087"/>
      <c r="HK35" s="1087"/>
      <c r="HL35" s="1087"/>
      <c r="HM35" s="1087"/>
      <c r="HN35" s="1087"/>
      <c r="HO35" s="1087"/>
      <c r="HP35" s="1087"/>
      <c r="HQ35" s="1088"/>
      <c r="HR35" s="1087"/>
      <c r="HS35" s="1087"/>
      <c r="HT35" s="1087"/>
      <c r="HU35" s="1087"/>
      <c r="HV35" s="1087"/>
      <c r="HW35" s="1087"/>
      <c r="HX35" s="1087"/>
      <c r="HY35" s="1087"/>
      <c r="HZ35" s="1087"/>
      <c r="IA35" s="1087"/>
      <c r="IB35" s="1087"/>
      <c r="IC35" s="1087"/>
      <c r="ID35" s="1087"/>
      <c r="IE35" s="1087"/>
      <c r="IF35" s="1087"/>
      <c r="IG35" s="1088"/>
      <c r="IH35" s="1087"/>
      <c r="II35" s="1087"/>
      <c r="IJ35" s="1087"/>
      <c r="IK35" s="1087"/>
      <c r="IL35" s="1087"/>
      <c r="IM35" s="1087"/>
      <c r="IN35" s="1087"/>
      <c r="IO35" s="1088"/>
      <c r="IP35" s="1087"/>
      <c r="IQ35" s="1116"/>
      <c r="IR35" s="1087"/>
      <c r="IS35" s="1087"/>
      <c r="IT35" s="1087"/>
      <c r="IU35" s="1087"/>
      <c r="IV35" s="1087"/>
      <c r="IW35" s="1087"/>
      <c r="IX35" s="1049"/>
      <c r="IY35" s="1049"/>
      <c r="IZ35" s="1049"/>
      <c r="JA35" s="1049"/>
      <c r="JB35" s="1049"/>
      <c r="JC35" s="1049"/>
      <c r="JD35" s="1041"/>
      <c r="JE35" s="1037"/>
      <c r="JF35" s="1037"/>
      <c r="JG35" s="1037"/>
      <c r="JH35" s="1037"/>
      <c r="JI35" s="1035"/>
      <c r="JJ35" s="1035"/>
      <c r="JK35" s="1035"/>
      <c r="JL35" s="1035"/>
      <c r="JM35" s="1035"/>
      <c r="JN35" s="1035"/>
      <c r="JO35" s="1035"/>
      <c r="JP35" s="1035"/>
      <c r="JQ35" s="1035"/>
      <c r="JR35" s="1035"/>
      <c r="JS35" s="1035"/>
      <c r="JT35" s="1035"/>
      <c r="JU35" s="1035"/>
      <c r="JV35" s="883"/>
      <c r="JW35" s="883"/>
      <c r="JX35" s="883"/>
      <c r="JY35" s="1035"/>
      <c r="LV35" s="967"/>
    </row>
    <row r="36" hidden="1" spans="1:334">
      <c r="A36" s="1025" t="s">
        <v>62</v>
      </c>
      <c r="AX36" s="1059"/>
      <c r="BE36" s="1060"/>
      <c r="BN36" s="1059"/>
      <c r="BU36" s="1060"/>
      <c r="BV36" s="1059"/>
      <c r="CC36" s="1060"/>
      <c r="CD36" s="1059"/>
      <c r="CJ36" s="1061"/>
      <c r="CK36" s="1060"/>
      <c r="CL36" s="1059"/>
      <c r="CS36" s="1060"/>
      <c r="CT36" s="1025"/>
      <c r="CU36" s="1025"/>
      <c r="CV36" s="1025"/>
      <c r="CW36" s="1025"/>
      <c r="CX36" s="1025"/>
      <c r="CY36" s="1025"/>
      <c r="CZ36" s="1025"/>
      <c r="DA36" s="1025"/>
      <c r="DB36" s="1071">
        <v>212</v>
      </c>
      <c r="DC36" s="1071">
        <v>266</v>
      </c>
      <c r="DD36" s="1071">
        <f>DB36+DC36</f>
        <v>478</v>
      </c>
      <c r="DE36" s="1071">
        <v>305</v>
      </c>
      <c r="DF36" s="1071">
        <f>DD36+DE36</f>
        <v>783</v>
      </c>
      <c r="DG36" s="1071">
        <v>285</v>
      </c>
      <c r="DH36" s="1071">
        <f>DE36+DG36</f>
        <v>590</v>
      </c>
      <c r="DI36" s="1072">
        <f>'Profit and Loss'!O41</f>
        <v>1069</v>
      </c>
      <c r="DJ36" s="1071">
        <v>218</v>
      </c>
      <c r="DK36" s="1071">
        <v>295</v>
      </c>
      <c r="DL36" s="1071">
        <f>DJ36+DK36</f>
        <v>513</v>
      </c>
      <c r="DM36" s="1071">
        <v>302</v>
      </c>
      <c r="DN36" s="1071">
        <f>DL36+DM36</f>
        <v>815</v>
      </c>
      <c r="DO36" s="1071">
        <v>302</v>
      </c>
      <c r="DP36" s="1071">
        <f>DO36+DM36</f>
        <v>604</v>
      </c>
      <c r="DQ36" s="1072">
        <f>'Profit and Loss'!P41</f>
        <v>1116</v>
      </c>
      <c r="DR36" s="1073">
        <f>DR$10*DR38</f>
        <v>267.138</v>
      </c>
      <c r="DS36" s="1073">
        <f>DS$10*DS38</f>
        <v>391.902</v>
      </c>
      <c r="DT36" s="1073">
        <f>DR36+DS36</f>
        <v>659.04</v>
      </c>
      <c r="DU36" s="1073">
        <f>DU$10*DU38</f>
        <v>404.985</v>
      </c>
      <c r="DV36" s="1073">
        <f>DT36+DU36</f>
        <v>1064.025</v>
      </c>
      <c r="DW36" s="1073">
        <f>DY36-DV36</f>
        <v>411.975</v>
      </c>
      <c r="DX36" s="1073">
        <f>DU36+DW36</f>
        <v>816.96</v>
      </c>
      <c r="DY36" s="1072">
        <f>'Profit and Loss'!Q41</f>
        <v>1476</v>
      </c>
      <c r="DZ36" s="1073">
        <f>+DZ38*DZ10</f>
        <v>353.124</v>
      </c>
      <c r="EA36" s="1073">
        <f>EB36-DZ36</f>
        <v>447.876</v>
      </c>
      <c r="EB36" s="1073">
        <v>801</v>
      </c>
      <c r="EC36" s="1073">
        <f>+ED36-EB36</f>
        <v>472</v>
      </c>
      <c r="ED36" s="1073">
        <v>1273</v>
      </c>
      <c r="EE36" s="1073">
        <f>+EF36-EC36</f>
        <v>476</v>
      </c>
      <c r="EF36" s="1073">
        <f>+EG36-EB36</f>
        <v>948</v>
      </c>
      <c r="EG36" s="1072">
        <v>1749</v>
      </c>
      <c r="EH36" s="1073">
        <f>EH$10*EH38</f>
        <v>426.195</v>
      </c>
      <c r="EI36" s="1073">
        <f>+EJ36-EH36</f>
        <v>536.039</v>
      </c>
      <c r="EJ36" s="1073">
        <f>EJ$10*EJ38</f>
        <v>962.234</v>
      </c>
      <c r="EK36" s="1073">
        <f>EL36-EJ36</f>
        <v>557.766</v>
      </c>
      <c r="EL36" s="1073">
        <v>1520</v>
      </c>
      <c r="EM36" s="1073">
        <f>EN36-EK36</f>
        <v>535</v>
      </c>
      <c r="EN36" s="1073">
        <f>EO36-EJ36</f>
        <v>1092.766</v>
      </c>
      <c r="EO36" s="1072">
        <v>2055</v>
      </c>
      <c r="EP36" s="1073">
        <f>EP38*EP10</f>
        <v>438.254</v>
      </c>
      <c r="EQ36" s="1073">
        <f>ER36-EP36</f>
        <v>566.746</v>
      </c>
      <c r="ER36" s="1071">
        <v>1005</v>
      </c>
      <c r="ES36" s="1071">
        <f>ET36-ER36</f>
        <v>568</v>
      </c>
      <c r="ET36" s="1071">
        <v>1573</v>
      </c>
      <c r="EU36" s="1071">
        <f>EU38*EU10</f>
        <v>581.882</v>
      </c>
      <c r="EV36" s="1071">
        <f>ES36+EU36</f>
        <v>1149.882</v>
      </c>
      <c r="EW36" s="1072">
        <f>ER36+EV36</f>
        <v>2154.882</v>
      </c>
      <c r="EX36" s="1076">
        <f>EX38*EX10</f>
        <v>475.606</v>
      </c>
      <c r="EY36" s="1076">
        <f>EY38*EY10</f>
        <v>579.59</v>
      </c>
      <c r="EZ36" s="1076">
        <f>EX36+EY36</f>
        <v>1055.196</v>
      </c>
      <c r="FA36" s="1071">
        <f>FB36-EZ36</f>
        <v>608.804</v>
      </c>
      <c r="FB36" s="1076">
        <v>1664</v>
      </c>
      <c r="FC36" s="1076">
        <f>FE36-FB36</f>
        <v>617</v>
      </c>
      <c r="FD36" s="1076">
        <f>FA36+FC36</f>
        <v>1225.804</v>
      </c>
      <c r="FE36" s="1077">
        <f>'Profit and Loss'!U41</f>
        <v>2281</v>
      </c>
      <c r="FF36" s="1076">
        <f>FF38*FF10</f>
        <v>518.205</v>
      </c>
      <c r="FG36" s="1076">
        <f>FH36-FF36</f>
        <v>692.547</v>
      </c>
      <c r="FH36" s="1076">
        <f>FJ36-FI36</f>
        <v>1210.752</v>
      </c>
      <c r="FI36" s="1076">
        <f>FI38*FI10</f>
        <v>677.856</v>
      </c>
      <c r="FJ36" s="1076">
        <f>FJ38*FJ10</f>
        <v>1888.608</v>
      </c>
      <c r="FK36" s="1076">
        <f>FK38*FK10</f>
        <v>717.64</v>
      </c>
      <c r="FL36" s="1076">
        <f>FI36+FK36</f>
        <v>1395.496</v>
      </c>
      <c r="FM36" s="1077">
        <f>FH36+FL36</f>
        <v>2606.248</v>
      </c>
      <c r="FN36" s="1076">
        <f>FN38*FN10</f>
        <v>632.808</v>
      </c>
      <c r="FO36" s="1076">
        <f>FO38*FO10</f>
        <v>720.324</v>
      </c>
      <c r="FP36" s="1076">
        <f>FP38*FP10</f>
        <v>1353.132</v>
      </c>
      <c r="FQ36" s="1076"/>
      <c r="FR36" s="1076"/>
      <c r="FS36" s="1076"/>
      <c r="FT36" s="1076"/>
      <c r="FU36" s="1076"/>
      <c r="FV36" s="1075"/>
      <c r="FW36" s="1076"/>
      <c r="FX36" s="1076"/>
      <c r="FY36" s="1076"/>
      <c r="FZ36" s="1076"/>
      <c r="GA36" s="1076"/>
      <c r="GB36" s="1076"/>
      <c r="GC36" s="1077"/>
      <c r="GD36" s="1076"/>
      <c r="GE36" s="1076"/>
      <c r="GF36" s="1076"/>
      <c r="GG36" s="1076"/>
      <c r="GH36" s="1076"/>
      <c r="GI36" s="1076"/>
      <c r="GJ36" s="1076"/>
      <c r="GK36" s="1077"/>
      <c r="GL36" s="1076"/>
      <c r="GM36" s="1076"/>
      <c r="GN36" s="1076"/>
      <c r="GO36" s="1076"/>
      <c r="GP36" s="1076"/>
      <c r="GQ36" s="1076"/>
      <c r="GR36" s="1076"/>
      <c r="GS36" s="1077"/>
      <c r="GT36" s="1076"/>
      <c r="GU36" s="1076"/>
      <c r="GV36" s="1076"/>
      <c r="GW36" s="1076"/>
      <c r="GX36" s="1076"/>
      <c r="GY36" s="1076"/>
      <c r="GZ36" s="1076"/>
      <c r="HA36" s="1077"/>
      <c r="HB36" s="1076"/>
      <c r="HC36" s="1076"/>
      <c r="HD36" s="1076"/>
      <c r="HE36" s="1076"/>
      <c r="HF36" s="1076"/>
      <c r="HG36" s="1076"/>
      <c r="HH36" s="1076"/>
      <c r="HI36" s="1077"/>
      <c r="HJ36" s="1076"/>
      <c r="HK36" s="1076"/>
      <c r="HL36" s="1076"/>
      <c r="HM36" s="1076"/>
      <c r="HN36" s="1076"/>
      <c r="HO36" s="1076"/>
      <c r="HP36" s="1076"/>
      <c r="HQ36" s="1077"/>
      <c r="HR36" s="1076"/>
      <c r="HS36" s="1076"/>
      <c r="HT36" s="1076"/>
      <c r="HU36" s="1076"/>
      <c r="HV36" s="1076"/>
      <c r="HW36" s="1076"/>
      <c r="HX36" s="1076"/>
      <c r="HY36" s="1076"/>
      <c r="HZ36" s="1076"/>
      <c r="IA36" s="1076"/>
      <c r="IB36" s="1076"/>
      <c r="IC36" s="1076"/>
      <c r="ID36" s="1076"/>
      <c r="IE36" s="1076"/>
      <c r="IF36" s="1076"/>
      <c r="IG36" s="1077"/>
      <c r="IH36" s="1076"/>
      <c r="II36" s="1076"/>
      <c r="IJ36" s="1076"/>
      <c r="IK36" s="1076"/>
      <c r="IL36" s="1076"/>
      <c r="IM36" s="1076"/>
      <c r="IN36" s="1076"/>
      <c r="IO36" s="1077"/>
      <c r="IP36" s="1076"/>
      <c r="IQ36" s="1076"/>
      <c r="IR36" s="1076"/>
      <c r="IS36" s="1076"/>
      <c r="IT36" s="1076"/>
      <c r="IU36" s="1076"/>
      <c r="IV36" s="1076"/>
      <c r="IW36" s="1076"/>
      <c r="IX36" s="1049"/>
      <c r="IY36" s="1049"/>
      <c r="IZ36" s="1049"/>
      <c r="JA36" s="1049"/>
      <c r="JB36" s="1049"/>
      <c r="JC36" s="1049"/>
      <c r="JD36" s="1049"/>
      <c r="JE36" s="1037"/>
      <c r="JF36" s="1037"/>
      <c r="JG36" s="1037"/>
      <c r="JH36" s="1037"/>
      <c r="JI36" s="1035"/>
      <c r="JJ36" s="1035"/>
      <c r="JK36" s="1035"/>
      <c r="JL36" s="1035"/>
      <c r="JM36" s="1035"/>
      <c r="JN36" s="1035"/>
      <c r="JO36" s="1035"/>
      <c r="JP36" s="1035"/>
      <c r="JQ36" s="1035"/>
      <c r="JR36" s="1035"/>
      <c r="JS36" s="1035"/>
      <c r="JT36" s="1035"/>
      <c r="JU36" s="1035"/>
      <c r="JV36" s="883"/>
      <c r="JW36" s="883"/>
      <c r="JX36" s="883"/>
      <c r="JY36" s="1035"/>
      <c r="LV36" s="967"/>
    </row>
    <row r="37" hidden="1" spans="1:334">
      <c r="A37" s="1113" t="s">
        <v>61</v>
      </c>
      <c r="AX37" s="1059"/>
      <c r="BE37" s="1060"/>
      <c r="BN37" s="1059"/>
      <c r="BU37" s="1060"/>
      <c r="BV37" s="1059"/>
      <c r="CC37" s="1060"/>
      <c r="CD37" s="1059"/>
      <c r="CJ37" s="1061"/>
      <c r="CK37" s="1060"/>
      <c r="CL37" s="1059"/>
      <c r="CS37" s="1060"/>
      <c r="CT37" s="1025"/>
      <c r="CU37" s="1025"/>
      <c r="CV37" s="1025"/>
      <c r="CW37" s="1025"/>
      <c r="CX37" s="1025"/>
      <c r="CY37" s="1025"/>
      <c r="CZ37" s="1025"/>
      <c r="DA37" s="1025"/>
      <c r="DB37" s="1071"/>
      <c r="DC37" s="1071"/>
      <c r="DD37" s="1071"/>
      <c r="DE37" s="1071"/>
      <c r="DF37" s="1071"/>
      <c r="DG37" s="1071"/>
      <c r="DH37" s="1071"/>
      <c r="DI37" s="1072"/>
      <c r="DJ37" s="1080">
        <f t="shared" ref="DJ37:DS37" si="359">DJ36/DB36-1</f>
        <v>0.0283018867924529</v>
      </c>
      <c r="DK37" s="1080">
        <f t="shared" si="359"/>
        <v>0.109022556390977</v>
      </c>
      <c r="DL37" s="1080">
        <f t="shared" si="359"/>
        <v>0.0732217573221758</v>
      </c>
      <c r="DM37" s="1080">
        <f t="shared" si="359"/>
        <v>-0.00983606557377048</v>
      </c>
      <c r="DN37" s="1080">
        <f t="shared" si="359"/>
        <v>0.0408684546615581</v>
      </c>
      <c r="DO37" s="1080">
        <f t="shared" si="359"/>
        <v>0.0596491228070175</v>
      </c>
      <c r="DP37" s="1080">
        <f t="shared" si="359"/>
        <v>0.0237288135593221</v>
      </c>
      <c r="DQ37" s="1081">
        <f t="shared" si="359"/>
        <v>0.0439663236669785</v>
      </c>
      <c r="DR37" s="1083">
        <f t="shared" si="359"/>
        <v>0.225403669724771</v>
      </c>
      <c r="DS37" s="1083">
        <f t="shared" si="359"/>
        <v>0.328481355932203</v>
      </c>
      <c r="DT37" s="1083">
        <f t="shared" ref="DT37:EA37" si="360">DT36/DL36-1</f>
        <v>0.284678362573099</v>
      </c>
      <c r="DU37" s="1083">
        <f t="shared" si="360"/>
        <v>0.341009933774834</v>
      </c>
      <c r="DV37" s="1083">
        <f t="shared" si="360"/>
        <v>0.305552147239264</v>
      </c>
      <c r="DW37" s="1083">
        <f t="shared" si="360"/>
        <v>0.364155629139073</v>
      </c>
      <c r="DX37" s="1114">
        <f t="shared" si="360"/>
        <v>0.352582781456954</v>
      </c>
      <c r="DY37" s="1081">
        <f t="shared" si="360"/>
        <v>0.32258064516129</v>
      </c>
      <c r="DZ37" s="1083">
        <f t="shared" si="360"/>
        <v>0.321878579610538</v>
      </c>
      <c r="EA37" s="1083">
        <f t="shared" si="360"/>
        <v>0.14282652295727</v>
      </c>
      <c r="EB37" s="1083">
        <f t="shared" ref="EB37:EI37" si="361">EB36/DT36-1</f>
        <v>0.215404224326293</v>
      </c>
      <c r="EC37" s="1083">
        <f t="shared" si="361"/>
        <v>0.16547526451597</v>
      </c>
      <c r="ED37" s="1083">
        <f t="shared" si="361"/>
        <v>0.196400460515495</v>
      </c>
      <c r="EE37" s="1083">
        <f t="shared" si="361"/>
        <v>0.155409915650222</v>
      </c>
      <c r="EF37" s="1114">
        <f t="shared" si="361"/>
        <v>0.160399529964747</v>
      </c>
      <c r="EG37" s="1081">
        <f t="shared" si="361"/>
        <v>0.184959349593496</v>
      </c>
      <c r="EH37" s="1083">
        <f t="shared" si="361"/>
        <v>0.206927311652564</v>
      </c>
      <c r="EI37" s="1083">
        <f t="shared" si="361"/>
        <v>0.196846895122757</v>
      </c>
      <c r="EJ37" s="1083">
        <f t="shared" ref="EJ37:EQ37" si="362">EJ36/EB36-1</f>
        <v>0.20129088639201</v>
      </c>
      <c r="EK37" s="1083">
        <f t="shared" si="362"/>
        <v>0.181707627118644</v>
      </c>
      <c r="EL37" s="1083">
        <f t="shared" si="362"/>
        <v>0.194029850746269</v>
      </c>
      <c r="EM37" s="1083">
        <f t="shared" si="362"/>
        <v>0.123949579831933</v>
      </c>
      <c r="EN37" s="1114">
        <f t="shared" si="362"/>
        <v>0.152706751054852</v>
      </c>
      <c r="EO37" s="1081">
        <f t="shared" si="362"/>
        <v>0.174957118353345</v>
      </c>
      <c r="EP37" s="1083">
        <f t="shared" si="362"/>
        <v>0.0282945600018769</v>
      </c>
      <c r="EQ37" s="1083">
        <f t="shared" si="362"/>
        <v>0.0572850109786789</v>
      </c>
      <c r="ER37" s="1083">
        <f t="shared" ref="ER37:EX37" si="363">ER36/EJ36-1</f>
        <v>0.0444444906332555</v>
      </c>
      <c r="ES37" s="1083">
        <f t="shared" si="363"/>
        <v>0.0183481961969716</v>
      </c>
      <c r="ET37" s="1083">
        <f t="shared" si="363"/>
        <v>0.0348684210526315</v>
      </c>
      <c r="EU37" s="1083">
        <f t="shared" si="363"/>
        <v>0.0876299065420558</v>
      </c>
      <c r="EV37" s="1114">
        <f t="shared" si="363"/>
        <v>0.0522673655659125</v>
      </c>
      <c r="EW37" s="1084">
        <f t="shared" si="363"/>
        <v>0.0486043795620439</v>
      </c>
      <c r="EX37" s="1087">
        <f t="shared" si="363"/>
        <v>0.0852291137103143</v>
      </c>
      <c r="EY37" s="1087">
        <f t="shared" ref="EY37:FE37" si="364">EY36/EQ36-1</f>
        <v>0.0226627095736007</v>
      </c>
      <c r="EZ37" s="1087">
        <f t="shared" si="364"/>
        <v>0.0499462686567163</v>
      </c>
      <c r="FA37" s="1083">
        <f t="shared" si="364"/>
        <v>0.0718380281690143</v>
      </c>
      <c r="FB37" s="1087">
        <f t="shared" si="364"/>
        <v>0.0578512396694215</v>
      </c>
      <c r="FC37" s="1087">
        <f t="shared" si="364"/>
        <v>0.0603524425914534</v>
      </c>
      <c r="FD37" s="1087">
        <f t="shared" si="364"/>
        <v>0.0660259052668013</v>
      </c>
      <c r="FE37" s="1088">
        <f t="shared" si="364"/>
        <v>0.0585266385816021</v>
      </c>
      <c r="FF37" s="1087">
        <f t="shared" ref="FF37:FP37" si="365">FF36/EX36-1</f>
        <v>0.0895678355613678</v>
      </c>
      <c r="FG37" s="1087">
        <f t="shared" si="365"/>
        <v>0.194891216204558</v>
      </c>
      <c r="FH37" s="1087">
        <f t="shared" si="365"/>
        <v>0.147419057691652</v>
      </c>
      <c r="FI37" s="1083">
        <f t="shared" si="365"/>
        <v>0.113422382244532</v>
      </c>
      <c r="FJ37" s="1087">
        <f t="shared" si="365"/>
        <v>0.134980769230769</v>
      </c>
      <c r="FK37" s="1087">
        <f t="shared" si="365"/>
        <v>0.163111831442464</v>
      </c>
      <c r="FL37" s="1087">
        <f t="shared" si="365"/>
        <v>0.13843322423487</v>
      </c>
      <c r="FM37" s="1088">
        <f t="shared" si="365"/>
        <v>0.142590092064884</v>
      </c>
      <c r="FN37" s="1087">
        <f t="shared" si="365"/>
        <v>0.221153790488321</v>
      </c>
      <c r="FO37" s="1087">
        <f t="shared" si="365"/>
        <v>0.0401084691724893</v>
      </c>
      <c r="FP37" s="1087">
        <f t="shared" si="365"/>
        <v>0.117596336822074</v>
      </c>
      <c r="FQ37" s="1087"/>
      <c r="FR37" s="1087"/>
      <c r="FS37" s="1087"/>
      <c r="FT37" s="1087"/>
      <c r="FU37" s="1087"/>
      <c r="FV37" s="1086"/>
      <c r="FW37" s="1087"/>
      <c r="FX37" s="1087"/>
      <c r="FY37" s="1087"/>
      <c r="FZ37" s="1087"/>
      <c r="GA37" s="1087"/>
      <c r="GB37" s="1087"/>
      <c r="GC37" s="1088"/>
      <c r="GD37" s="1087"/>
      <c r="GE37" s="1087"/>
      <c r="GF37" s="1087"/>
      <c r="GG37" s="1087"/>
      <c r="GH37" s="1087"/>
      <c r="GI37" s="1087"/>
      <c r="GJ37" s="1087"/>
      <c r="GK37" s="1088"/>
      <c r="GL37" s="1087"/>
      <c r="GM37" s="1087"/>
      <c r="GN37" s="1087"/>
      <c r="GO37" s="1087"/>
      <c r="GP37" s="1087"/>
      <c r="GQ37" s="1087"/>
      <c r="GR37" s="1087"/>
      <c r="GS37" s="1088"/>
      <c r="GT37" s="1087"/>
      <c r="GU37" s="1087"/>
      <c r="GV37" s="1087"/>
      <c r="GW37" s="1087"/>
      <c r="GX37" s="1087"/>
      <c r="GY37" s="1087"/>
      <c r="GZ37" s="1087"/>
      <c r="HA37" s="1088"/>
      <c r="HB37" s="1087"/>
      <c r="HC37" s="1087"/>
      <c r="HD37" s="1087"/>
      <c r="HE37" s="1087"/>
      <c r="HF37" s="1087"/>
      <c r="HG37" s="1087"/>
      <c r="HH37" s="1087"/>
      <c r="HI37" s="1088"/>
      <c r="HJ37" s="1087"/>
      <c r="HK37" s="1087"/>
      <c r="HL37" s="1087"/>
      <c r="HM37" s="1087"/>
      <c r="HN37" s="1087"/>
      <c r="HO37" s="1087"/>
      <c r="HP37" s="1087"/>
      <c r="HQ37" s="1088"/>
      <c r="HR37" s="1087"/>
      <c r="HS37" s="1087"/>
      <c r="HT37" s="1087"/>
      <c r="HU37" s="1087"/>
      <c r="HV37" s="1087"/>
      <c r="HW37" s="1087"/>
      <c r="HX37" s="1087"/>
      <c r="HY37" s="1087"/>
      <c r="HZ37" s="1087"/>
      <c r="IA37" s="1087"/>
      <c r="IB37" s="1087"/>
      <c r="IC37" s="1087"/>
      <c r="ID37" s="1087"/>
      <c r="IE37" s="1087"/>
      <c r="IF37" s="1087"/>
      <c r="IG37" s="1088"/>
      <c r="IH37" s="1087"/>
      <c r="II37" s="1087"/>
      <c r="IJ37" s="1087"/>
      <c r="IK37" s="1087"/>
      <c r="IL37" s="1087"/>
      <c r="IM37" s="1087"/>
      <c r="IN37" s="1087"/>
      <c r="IO37" s="1088"/>
      <c r="IP37" s="1087"/>
      <c r="IQ37" s="1087"/>
      <c r="IR37" s="1087"/>
      <c r="IS37" s="1087"/>
      <c r="IT37" s="1087"/>
      <c r="IU37" s="1087"/>
      <c r="IV37" s="1087"/>
      <c r="IW37" s="1087"/>
      <c r="IX37" s="1104"/>
      <c r="IY37" s="1104"/>
      <c r="IZ37" s="1049"/>
      <c r="JA37" s="1049"/>
      <c r="JB37" s="1049"/>
      <c r="JC37" s="1049"/>
      <c r="JD37" s="1041"/>
      <c r="JE37" s="1037"/>
      <c r="JF37" s="1037"/>
      <c r="JG37" s="1037"/>
      <c r="JH37" s="1037"/>
      <c r="JI37" s="1035"/>
      <c r="JJ37" s="1035"/>
      <c r="JK37" s="1035"/>
      <c r="JL37" s="1035"/>
      <c r="JM37" s="1035"/>
      <c r="JN37" s="1035"/>
      <c r="JO37" s="1035"/>
      <c r="JP37" s="1035"/>
      <c r="JQ37" s="1035"/>
      <c r="JR37" s="1035"/>
      <c r="JS37" s="1035"/>
      <c r="JT37" s="1035"/>
      <c r="JU37" s="1035"/>
      <c r="JV37" s="883"/>
      <c r="JW37" s="883"/>
      <c r="JX37" s="883"/>
      <c r="JY37" s="1035"/>
      <c r="LV37" s="967"/>
    </row>
    <row r="38" hidden="1" spans="1:334">
      <c r="A38" s="1113" t="s">
        <v>74</v>
      </c>
      <c r="AX38" s="1059"/>
      <c r="BE38" s="1060"/>
      <c r="BN38" s="1059"/>
      <c r="BU38" s="1060"/>
      <c r="BV38" s="1059"/>
      <c r="CC38" s="1060"/>
      <c r="CD38" s="1059"/>
      <c r="CJ38" s="1061"/>
      <c r="CK38" s="1060"/>
      <c r="CL38" s="1059"/>
      <c r="CS38" s="1060"/>
      <c r="CT38" s="1117"/>
      <c r="CU38" s="1117"/>
      <c r="CV38" s="1117"/>
      <c r="CW38" s="1117"/>
      <c r="CX38" s="1117"/>
      <c r="CY38" s="1117"/>
      <c r="CZ38" s="1117"/>
      <c r="DA38" s="1117"/>
      <c r="DB38" s="1082">
        <f t="shared" ref="DB38:DQ38" si="366">DB36/DB10</f>
        <v>0.588888888888889</v>
      </c>
      <c r="DC38" s="1082">
        <f t="shared" si="366"/>
        <v>0.628841607565012</v>
      </c>
      <c r="DD38" s="1082">
        <f t="shared" si="366"/>
        <v>0.610472541507024</v>
      </c>
      <c r="DE38" s="1082">
        <f t="shared" si="366"/>
        <v>0.621181262729124</v>
      </c>
      <c r="DF38" s="1082">
        <f t="shared" si="366"/>
        <v>0.614599686028257</v>
      </c>
      <c r="DG38" s="1082">
        <f t="shared" si="366"/>
        <v>0.614224137931034</v>
      </c>
      <c r="DH38" s="1082">
        <f t="shared" si="366"/>
        <v>0.617801047120419</v>
      </c>
      <c r="DI38" s="1085">
        <f t="shared" si="366"/>
        <v>0.615074798619102</v>
      </c>
      <c r="DJ38" s="1082">
        <f t="shared" si="366"/>
        <v>0.545</v>
      </c>
      <c r="DK38" s="1082">
        <f t="shared" si="366"/>
        <v>0.606995884773663</v>
      </c>
      <c r="DL38" s="1082">
        <f t="shared" si="366"/>
        <v>0.579006772009029</v>
      </c>
      <c r="DM38" s="1082">
        <f t="shared" si="366"/>
        <v>0.576335877862595</v>
      </c>
      <c r="DN38" s="1082">
        <f t="shared" si="366"/>
        <v>0.578014184397163</v>
      </c>
      <c r="DO38" s="1082">
        <f t="shared" si="366"/>
        <v>0.607645875251509</v>
      </c>
      <c r="DP38" s="1082">
        <f t="shared" si="366"/>
        <v>0.591576885406464</v>
      </c>
      <c r="DQ38" s="1085">
        <f t="shared" si="366"/>
        <v>0.585519412381952</v>
      </c>
      <c r="DR38" s="1083">
        <v>0.582</v>
      </c>
      <c r="DS38" s="1083">
        <v>0.651</v>
      </c>
      <c r="DT38" s="1083">
        <f>DT36/DT10</f>
        <v>0.62114985862394</v>
      </c>
      <c r="DU38" s="1083">
        <v>0.609</v>
      </c>
      <c r="DV38" s="1083">
        <f>DV36/DV10</f>
        <v>0.616468713789108</v>
      </c>
      <c r="DW38" s="1083">
        <f>DW36/DW10</f>
        <v>0.621380090497737</v>
      </c>
      <c r="DX38" s="1083">
        <f>DX36/DX10</f>
        <v>0.615180722891566</v>
      </c>
      <c r="DY38" s="1085">
        <f>DY36/DY10</f>
        <v>0.617831728756802</v>
      </c>
      <c r="DZ38" s="1083">
        <v>0.612</v>
      </c>
      <c r="EA38" s="1083">
        <f t="shared" ref="EA38:EG38" si="367">EA36/EA10</f>
        <v>0.657674008810573</v>
      </c>
      <c r="EB38" s="1083">
        <f t="shared" si="367"/>
        <v>0.636724960254372</v>
      </c>
      <c r="EC38" s="1083">
        <f t="shared" si="367"/>
        <v>0.623513870541612</v>
      </c>
      <c r="ED38" s="1083">
        <f t="shared" si="367"/>
        <v>0.631761786600496</v>
      </c>
      <c r="EE38" s="1083">
        <f t="shared" si="367"/>
        <v>0.611825192802057</v>
      </c>
      <c r="EF38" s="1083">
        <f t="shared" si="367"/>
        <v>0.617589576547231</v>
      </c>
      <c r="EG38" s="1085">
        <f t="shared" si="367"/>
        <v>0.626208378088077</v>
      </c>
      <c r="EH38" s="1083">
        <v>0.615</v>
      </c>
      <c r="EI38" s="1083">
        <f>EI36/EI10</f>
        <v>0.627680327868852</v>
      </c>
      <c r="EJ38" s="1083">
        <v>0.622</v>
      </c>
      <c r="EK38" s="1083">
        <f>EK36/EK10</f>
        <v>0.590853813559322</v>
      </c>
      <c r="EL38" s="1083">
        <f>EL36/EL10</f>
        <v>0.610196708149338</v>
      </c>
      <c r="EM38" s="1083">
        <f>EM36/EM10</f>
        <v>0.606575963718821</v>
      </c>
      <c r="EN38" s="1083">
        <f>EN36/EN10</f>
        <v>0.598447973713034</v>
      </c>
      <c r="EO38" s="1085">
        <f>EO36/EO10</f>
        <v>0.609249925882004</v>
      </c>
      <c r="EP38" s="1083">
        <v>0.607</v>
      </c>
      <c r="EQ38" s="1083">
        <f>EQ36/EQ10</f>
        <v>0.653686274509804</v>
      </c>
      <c r="ER38" s="1083">
        <f>ER36/ER10</f>
        <v>0.632473253618628</v>
      </c>
      <c r="ES38" s="1083">
        <f>ES36/ES10</f>
        <v>0.615384615384615</v>
      </c>
      <c r="ET38" s="1083">
        <f>ET36/ET10</f>
        <v>0.626194267515924</v>
      </c>
      <c r="EU38" s="1083">
        <v>0.623</v>
      </c>
      <c r="EV38" s="1114">
        <f>EV36/EV10</f>
        <v>0.619214862681745</v>
      </c>
      <c r="EW38" s="1084">
        <f>EW36/EW10</f>
        <v>0.625328496807893</v>
      </c>
      <c r="EX38" s="1087">
        <v>0.599</v>
      </c>
      <c r="EY38" s="1087">
        <v>0.605</v>
      </c>
      <c r="EZ38" s="1087">
        <f t="shared" ref="EZ38:FE38" si="368">EZ36/EZ10</f>
        <v>0.602280821917808</v>
      </c>
      <c r="FA38" s="1083">
        <f t="shared" si="368"/>
        <v>0.581474689589303</v>
      </c>
      <c r="FB38" s="1087">
        <f t="shared" si="368"/>
        <v>0.594498035012504</v>
      </c>
      <c r="FC38" s="1087">
        <f t="shared" si="368"/>
        <v>0.603975159410847</v>
      </c>
      <c r="FD38" s="1087">
        <f t="shared" si="368"/>
        <v>0.592586593080736</v>
      </c>
      <c r="FE38" s="1088">
        <f t="shared" si="368"/>
        <v>0.597032084275549</v>
      </c>
      <c r="FF38" s="1087">
        <f>FN38-3.3%</f>
        <v>0.579</v>
      </c>
      <c r="FG38" s="1087">
        <f>FG36/FG10</f>
        <v>0.655200567644276</v>
      </c>
      <c r="FH38" s="1087">
        <f>FH36/FH10</f>
        <v>0.620262295081967</v>
      </c>
      <c r="FI38" s="1083">
        <v>0.614</v>
      </c>
      <c r="FJ38" s="1087">
        <v>0.618</v>
      </c>
      <c r="FK38" s="1087">
        <v>0.616</v>
      </c>
      <c r="FL38" s="1087">
        <f>FL36/FL10</f>
        <v>0.615026884089907</v>
      </c>
      <c r="FM38" s="1088">
        <f>FM36/FM10</f>
        <v>0.617447998104715</v>
      </c>
      <c r="FN38" s="1087">
        <v>0.612</v>
      </c>
      <c r="FO38" s="1087">
        <v>0.612</v>
      </c>
      <c r="FP38" s="1087">
        <v>0.612</v>
      </c>
      <c r="FQ38" s="1087"/>
      <c r="FR38" s="1087"/>
      <c r="FS38" s="1087"/>
      <c r="FT38" s="1087"/>
      <c r="FU38" s="1087"/>
      <c r="FV38" s="1086"/>
      <c r="FW38" s="1087"/>
      <c r="FX38" s="1087"/>
      <c r="FY38" s="1087"/>
      <c r="FZ38" s="1087"/>
      <c r="GA38" s="1087"/>
      <c r="GB38" s="1087"/>
      <c r="GC38" s="1088"/>
      <c r="GD38" s="1087"/>
      <c r="GE38" s="1087"/>
      <c r="GF38" s="1087"/>
      <c r="GG38" s="1087"/>
      <c r="GH38" s="1087"/>
      <c r="GI38" s="1087"/>
      <c r="GJ38" s="1087"/>
      <c r="GK38" s="1088"/>
      <c r="GL38" s="1087"/>
      <c r="GM38" s="1087"/>
      <c r="GN38" s="1087"/>
      <c r="GO38" s="1087"/>
      <c r="GP38" s="1087"/>
      <c r="GQ38" s="1087"/>
      <c r="GR38" s="1087"/>
      <c r="GS38" s="1088"/>
      <c r="GT38" s="1087"/>
      <c r="GU38" s="1087"/>
      <c r="GV38" s="1087"/>
      <c r="GW38" s="1087"/>
      <c r="GX38" s="1087"/>
      <c r="GY38" s="1087"/>
      <c r="GZ38" s="1087"/>
      <c r="HA38" s="1088"/>
      <c r="HB38" s="1087"/>
      <c r="HC38" s="1087"/>
      <c r="HD38" s="1087"/>
      <c r="HE38" s="1087"/>
      <c r="HF38" s="1087"/>
      <c r="HG38" s="1087"/>
      <c r="HH38" s="1087"/>
      <c r="HI38" s="1088"/>
      <c r="HJ38" s="1087"/>
      <c r="HK38" s="1087"/>
      <c r="HL38" s="1087"/>
      <c r="HM38" s="1087"/>
      <c r="HN38" s="1087"/>
      <c r="HO38" s="1087"/>
      <c r="HP38" s="1087"/>
      <c r="HQ38" s="1088"/>
      <c r="HR38" s="1087"/>
      <c r="HS38" s="1087"/>
      <c r="HT38" s="1087"/>
      <c r="HU38" s="1087"/>
      <c r="HV38" s="1087"/>
      <c r="HW38" s="1087"/>
      <c r="HX38" s="1087"/>
      <c r="HY38" s="1087"/>
      <c r="HZ38" s="1087"/>
      <c r="IA38" s="1087"/>
      <c r="IB38" s="1087"/>
      <c r="IC38" s="1087"/>
      <c r="ID38" s="1087"/>
      <c r="IE38" s="1087"/>
      <c r="IF38" s="1087"/>
      <c r="IG38" s="1088"/>
      <c r="IH38" s="1087"/>
      <c r="II38" s="1087"/>
      <c r="IJ38" s="1087"/>
      <c r="IK38" s="1087"/>
      <c r="IL38" s="1087"/>
      <c r="IM38" s="1087"/>
      <c r="IN38" s="1087"/>
      <c r="IO38" s="1088"/>
      <c r="IP38" s="1087"/>
      <c r="IQ38" s="1087"/>
      <c r="IR38" s="1087"/>
      <c r="IS38" s="1087"/>
      <c r="IT38" s="1087"/>
      <c r="IU38" s="1087"/>
      <c r="IV38" s="1087"/>
      <c r="IW38" s="1087"/>
      <c r="IX38" s="1118"/>
      <c r="IY38" s="1049"/>
      <c r="IZ38" s="1049"/>
      <c r="JA38" s="1049"/>
      <c r="JB38" s="1049"/>
      <c r="JC38" s="1049"/>
      <c r="JD38" s="1041"/>
      <c r="JE38" s="1037"/>
      <c r="JF38" s="1080"/>
      <c r="JG38" s="1080"/>
      <c r="JH38" s="1037"/>
      <c r="JI38" s="1035"/>
      <c r="JJ38" s="1035"/>
      <c r="JK38" s="1035"/>
      <c r="JL38" s="1035"/>
      <c r="JM38" s="1035"/>
      <c r="JN38" s="1035"/>
      <c r="JO38" s="1035"/>
      <c r="JP38" s="1035"/>
      <c r="JQ38" s="1035"/>
      <c r="JR38" s="1035"/>
      <c r="JS38" s="1035"/>
      <c r="JT38" s="1035"/>
      <c r="JU38" s="1035"/>
      <c r="JV38" s="1035"/>
      <c r="JW38" s="1035"/>
      <c r="JX38" s="1035"/>
      <c r="JY38" s="1035"/>
      <c r="LV38" s="1025"/>
    </row>
    <row r="39" hidden="1" spans="1:334">
      <c r="A39" s="1025" t="s">
        <v>512</v>
      </c>
      <c r="AX39" s="1059"/>
      <c r="BE39" s="1060"/>
      <c r="BN39" s="1059"/>
      <c r="BU39" s="1060"/>
      <c r="BV39" s="1059"/>
      <c r="CC39" s="1060"/>
      <c r="CD39" s="1059"/>
      <c r="CJ39" s="1061"/>
      <c r="CK39" s="1060"/>
      <c r="CL39" s="1059"/>
      <c r="CS39" s="1060"/>
      <c r="CT39" s="1117"/>
      <c r="CU39" s="1117"/>
      <c r="CV39" s="1117"/>
      <c r="CW39" s="1117"/>
      <c r="CX39" s="1117"/>
      <c r="CY39" s="1117"/>
      <c r="CZ39" s="1117"/>
      <c r="DA39" s="1117"/>
      <c r="DB39" s="1082"/>
      <c r="DC39" s="1082"/>
      <c r="DD39" s="1082"/>
      <c r="DE39" s="1082"/>
      <c r="DF39" s="1082"/>
      <c r="DG39" s="1082"/>
      <c r="DH39" s="1082"/>
      <c r="DI39" s="1085"/>
      <c r="DJ39" s="1082"/>
      <c r="DK39" s="1082"/>
      <c r="DL39" s="1082"/>
      <c r="DM39" s="1082"/>
      <c r="DN39" s="1082"/>
      <c r="DO39" s="1082"/>
      <c r="DP39" s="1082"/>
      <c r="DQ39" s="1085"/>
      <c r="DR39" s="1083"/>
      <c r="DS39" s="1083"/>
      <c r="DT39" s="1083"/>
      <c r="DU39" s="1083"/>
      <c r="DV39" s="1083"/>
      <c r="DW39" s="1083"/>
      <c r="DX39" s="1083"/>
      <c r="DY39" s="1085"/>
      <c r="DZ39" s="1083"/>
      <c r="EA39" s="1083"/>
      <c r="EB39" s="1083"/>
      <c r="EC39" s="1083"/>
      <c r="ED39" s="1083"/>
      <c r="EE39" s="1083"/>
      <c r="EF39" s="1083"/>
      <c r="EG39" s="1085"/>
      <c r="EH39" s="1083"/>
      <c r="EI39" s="1083"/>
      <c r="EJ39" s="1083"/>
      <c r="EK39" s="1083"/>
      <c r="EL39" s="1083"/>
      <c r="EM39" s="1083"/>
      <c r="EN39" s="1083"/>
      <c r="EO39" s="1085"/>
      <c r="EP39" s="1083"/>
      <c r="EQ39" s="1083"/>
      <c r="ER39" s="1083"/>
      <c r="ES39" s="1083"/>
      <c r="ET39" s="1083"/>
      <c r="EU39" s="1083"/>
      <c r="EV39" s="1114"/>
      <c r="EW39" s="1084"/>
      <c r="EX39" s="1076">
        <f t="shared" ref="EX39:FE39" si="369">EX45-EX42</f>
        <v>1563.02</v>
      </c>
      <c r="EY39" s="1076">
        <f t="shared" si="369"/>
        <v>1510.53</v>
      </c>
      <c r="EZ39" s="1076">
        <f t="shared" si="369"/>
        <v>3073.55</v>
      </c>
      <c r="FA39" s="1076">
        <f t="shared" si="369"/>
        <v>1792.45</v>
      </c>
      <c r="FB39" s="1076">
        <f t="shared" si="369"/>
        <v>4866</v>
      </c>
      <c r="FC39" s="1076">
        <f t="shared" si="369"/>
        <v>1506</v>
      </c>
      <c r="FD39" s="1076">
        <f t="shared" si="369"/>
        <v>3298.45</v>
      </c>
      <c r="FE39" s="1077">
        <f t="shared" si="369"/>
        <v>6467</v>
      </c>
      <c r="FF39" s="1076">
        <f t="shared" ref="FF39:FN39" si="370">FF45-FF42</f>
        <v>1867</v>
      </c>
      <c r="FG39" s="1076">
        <f t="shared" si="370"/>
        <v>1776</v>
      </c>
      <c r="FH39" s="1076">
        <f t="shared" si="370"/>
        <v>3643</v>
      </c>
      <c r="FI39" s="1076">
        <f t="shared" si="370"/>
        <v>2186</v>
      </c>
      <c r="FJ39" s="1076">
        <f t="shared" si="370"/>
        <v>5829</v>
      </c>
      <c r="FK39" s="1076">
        <f t="shared" si="370"/>
        <v>1842</v>
      </c>
      <c r="FL39" s="1076">
        <f t="shared" si="370"/>
        <v>4028</v>
      </c>
      <c r="FM39" s="1077">
        <f t="shared" si="370"/>
        <v>7671</v>
      </c>
      <c r="FN39" s="1076">
        <f t="shared" si="370"/>
        <v>2212</v>
      </c>
      <c r="FO39" s="1076">
        <f t="shared" ref="FO39:FX39" si="371">FO45-FO42</f>
        <v>2010</v>
      </c>
      <c r="FP39" s="1076">
        <f t="shared" si="371"/>
        <v>4222</v>
      </c>
      <c r="FQ39" s="1076">
        <f t="shared" si="371"/>
        <v>2436</v>
      </c>
      <c r="FR39" s="1076">
        <f t="shared" si="371"/>
        <v>6658</v>
      </c>
      <c r="FS39" s="1076">
        <f t="shared" si="371"/>
        <v>2168</v>
      </c>
      <c r="FT39" s="1076">
        <f t="shared" si="371"/>
        <v>4604</v>
      </c>
      <c r="FU39" s="1076">
        <f t="shared" si="371"/>
        <v>8826</v>
      </c>
      <c r="FV39" s="1075">
        <f t="shared" si="371"/>
        <v>2620</v>
      </c>
      <c r="FW39" s="1076">
        <f t="shared" si="371"/>
        <v>2446</v>
      </c>
      <c r="FX39" s="1076">
        <f t="shared" si="371"/>
        <v>5066</v>
      </c>
      <c r="FY39" s="1076">
        <f t="shared" ref="FY39:GG39" si="372">FY45-FY42</f>
        <v>2796</v>
      </c>
      <c r="FZ39" s="1076">
        <f t="shared" si="372"/>
        <v>7862</v>
      </c>
      <c r="GA39" s="1076">
        <f t="shared" si="372"/>
        <v>2553</v>
      </c>
      <c r="GB39" s="1076">
        <f t="shared" si="372"/>
        <v>5349</v>
      </c>
      <c r="GC39" s="1077">
        <f t="shared" si="372"/>
        <v>10415</v>
      </c>
      <c r="GD39" s="1075">
        <f t="shared" si="372"/>
        <v>2757</v>
      </c>
      <c r="GE39" s="1076">
        <f t="shared" si="372"/>
        <v>2662</v>
      </c>
      <c r="GF39" s="1076">
        <f t="shared" si="372"/>
        <v>5419</v>
      </c>
      <c r="GG39" s="1076">
        <f t="shared" si="372"/>
        <v>2913</v>
      </c>
      <c r="GH39" s="1076">
        <f t="shared" ref="GH39:GK39" si="373">GH45-GH42</f>
        <v>8332</v>
      </c>
      <c r="GI39" s="1076">
        <f t="shared" si="373"/>
        <v>2647</v>
      </c>
      <c r="GJ39" s="1076">
        <f t="shared" si="373"/>
        <v>5560</v>
      </c>
      <c r="GK39" s="1077">
        <f t="shared" si="373"/>
        <v>10979</v>
      </c>
      <c r="GL39" s="1087"/>
      <c r="GM39" s="1087"/>
      <c r="GN39" s="1087"/>
      <c r="GO39" s="1087"/>
      <c r="GP39" s="1087"/>
      <c r="GQ39" s="1087"/>
      <c r="GR39" s="1087"/>
      <c r="GS39" s="1088"/>
      <c r="GT39" s="1087"/>
      <c r="GU39" s="1087"/>
      <c r="GV39" s="1087"/>
      <c r="GW39" s="1087"/>
      <c r="GX39" s="1087"/>
      <c r="GY39" s="1087"/>
      <c r="GZ39" s="1087"/>
      <c r="HA39" s="1088"/>
      <c r="HB39" s="1087"/>
      <c r="HC39" s="1087"/>
      <c r="HD39" s="1087"/>
      <c r="HE39" s="1087"/>
      <c r="HF39" s="1087"/>
      <c r="HG39" s="1087"/>
      <c r="HH39" s="1087"/>
      <c r="HI39" s="1088"/>
      <c r="HJ39" s="1087"/>
      <c r="HK39" s="1087"/>
      <c r="HL39" s="1087"/>
      <c r="HM39" s="1087"/>
      <c r="HN39" s="1087"/>
      <c r="HO39" s="1087"/>
      <c r="HP39" s="1087"/>
      <c r="HQ39" s="1088"/>
      <c r="HR39" s="1087"/>
      <c r="HS39" s="1087"/>
      <c r="HT39" s="1087"/>
      <c r="HU39" s="1087"/>
      <c r="HV39" s="1087"/>
      <c r="HW39" s="1087"/>
      <c r="HX39" s="1087"/>
      <c r="HY39" s="1087"/>
      <c r="HZ39" s="1087"/>
      <c r="IA39" s="1087"/>
      <c r="IB39" s="1087"/>
      <c r="IC39" s="1087"/>
      <c r="ID39" s="1087"/>
      <c r="IE39" s="1087"/>
      <c r="IF39" s="1087"/>
      <c r="IG39" s="1088"/>
      <c r="IH39" s="1087"/>
      <c r="II39" s="1087"/>
      <c r="IJ39" s="1087"/>
      <c r="IK39" s="1087"/>
      <c r="IL39" s="1087"/>
      <c r="IM39" s="1087"/>
      <c r="IN39" s="1087"/>
      <c r="IO39" s="1088"/>
      <c r="IP39" s="1087"/>
      <c r="IQ39" s="1087"/>
      <c r="IR39" s="1087"/>
      <c r="IS39" s="1087"/>
      <c r="IT39" s="1087"/>
      <c r="IU39" s="1087"/>
      <c r="IV39" s="1087"/>
      <c r="IW39" s="1087"/>
      <c r="IX39" s="1118"/>
      <c r="IY39" s="1049"/>
      <c r="IZ39" s="1049"/>
      <c r="JA39" s="1049"/>
      <c r="JB39" s="1049"/>
      <c r="JC39" s="1049"/>
      <c r="JD39" s="1041"/>
      <c r="JE39" s="1037"/>
      <c r="JF39" s="1080"/>
      <c r="JG39" s="1080"/>
      <c r="JH39" s="1037"/>
      <c r="JI39" s="1035"/>
      <c r="JJ39" s="1035"/>
      <c r="JK39" s="1035"/>
      <c r="JL39" s="1035"/>
      <c r="JM39" s="1035"/>
      <c r="JN39" s="1035"/>
      <c r="JO39" s="1035"/>
      <c r="JP39" s="1035"/>
      <c r="JQ39" s="1035"/>
      <c r="JR39" s="1035"/>
      <c r="JS39" s="1035"/>
      <c r="JT39" s="1035"/>
      <c r="JU39" s="1035"/>
      <c r="JV39" s="1035"/>
      <c r="JW39" s="1035"/>
      <c r="JX39" s="1035"/>
      <c r="JY39" s="1035"/>
      <c r="LV39" s="1025"/>
    </row>
    <row r="40" hidden="1" spans="1:334">
      <c r="A40" s="1113" t="s">
        <v>61</v>
      </c>
      <c r="AX40" s="1059"/>
      <c r="BE40" s="1060"/>
      <c r="BN40" s="1059"/>
      <c r="BU40" s="1060"/>
      <c r="BV40" s="1059"/>
      <c r="CC40" s="1060"/>
      <c r="CD40" s="1059"/>
      <c r="CJ40" s="1061"/>
      <c r="CK40" s="1060"/>
      <c r="CL40" s="1059"/>
      <c r="CS40" s="1060"/>
      <c r="CT40" s="1117"/>
      <c r="CU40" s="1117"/>
      <c r="CV40" s="1117"/>
      <c r="CW40" s="1117"/>
      <c r="CX40" s="1117"/>
      <c r="CY40" s="1117"/>
      <c r="CZ40" s="1117"/>
      <c r="DA40" s="1117"/>
      <c r="DB40" s="1082"/>
      <c r="DC40" s="1082"/>
      <c r="DD40" s="1082"/>
      <c r="DE40" s="1082"/>
      <c r="DF40" s="1082"/>
      <c r="DG40" s="1082"/>
      <c r="DH40" s="1082"/>
      <c r="DI40" s="1085"/>
      <c r="DJ40" s="1082"/>
      <c r="DK40" s="1082"/>
      <c r="DL40" s="1082"/>
      <c r="DM40" s="1082"/>
      <c r="DN40" s="1082"/>
      <c r="DO40" s="1082"/>
      <c r="DP40" s="1082"/>
      <c r="DQ40" s="1085"/>
      <c r="DR40" s="1083"/>
      <c r="DS40" s="1083"/>
      <c r="DT40" s="1083"/>
      <c r="DU40" s="1083"/>
      <c r="DV40" s="1083"/>
      <c r="DW40" s="1083"/>
      <c r="DX40" s="1083"/>
      <c r="DY40" s="1085"/>
      <c r="DZ40" s="1083"/>
      <c r="EA40" s="1083"/>
      <c r="EB40" s="1083"/>
      <c r="EC40" s="1083"/>
      <c r="ED40" s="1083"/>
      <c r="EE40" s="1083"/>
      <c r="EF40" s="1083"/>
      <c r="EG40" s="1085"/>
      <c r="EH40" s="1083"/>
      <c r="EI40" s="1083"/>
      <c r="EJ40" s="1083"/>
      <c r="EK40" s="1083"/>
      <c r="EL40" s="1083"/>
      <c r="EM40" s="1083"/>
      <c r="EN40" s="1083"/>
      <c r="EO40" s="1085"/>
      <c r="EP40" s="1083"/>
      <c r="EQ40" s="1083"/>
      <c r="ER40" s="1083"/>
      <c r="ES40" s="1083"/>
      <c r="ET40" s="1083"/>
      <c r="EU40" s="1083"/>
      <c r="EV40" s="1114"/>
      <c r="EW40" s="1084"/>
      <c r="EX40" s="1087"/>
      <c r="EY40" s="1087"/>
      <c r="EZ40" s="1087"/>
      <c r="FA40" s="1087"/>
      <c r="FB40" s="1087"/>
      <c r="FC40" s="1087"/>
      <c r="FD40" s="1087" t="e">
        <f>FD39/EV39-1</f>
        <v>#DIV/0!</v>
      </c>
      <c r="FE40" s="1088" t="e">
        <f>FE39/EW39-1</f>
        <v>#DIV/0!</v>
      </c>
      <c r="FF40" s="1087">
        <f t="shared" ref="FF40:FN40" si="374">FF39/EX39-1</f>
        <v>0.19448247623191</v>
      </c>
      <c r="FG40" s="1087">
        <f t="shared" si="374"/>
        <v>0.175746261246053</v>
      </c>
      <c r="FH40" s="1087">
        <f t="shared" si="374"/>
        <v>0.185274357013876</v>
      </c>
      <c r="FI40" s="1087">
        <f t="shared" si="374"/>
        <v>0.219559820357611</v>
      </c>
      <c r="FJ40" s="1087">
        <f t="shared" si="374"/>
        <v>0.19790382244143</v>
      </c>
      <c r="FK40" s="1087">
        <f t="shared" si="374"/>
        <v>0.223107569721116</v>
      </c>
      <c r="FL40" s="1087">
        <f t="shared" si="374"/>
        <v>0.221179644984766</v>
      </c>
      <c r="FM40" s="1088">
        <f t="shared" si="374"/>
        <v>0.186175970310809</v>
      </c>
      <c r="FN40" s="1087">
        <f t="shared" si="374"/>
        <v>0.184788430637386</v>
      </c>
      <c r="FO40" s="1087">
        <f t="shared" ref="FO40:FX40" si="375">FO39/FG39-1</f>
        <v>0.131756756756757</v>
      </c>
      <c r="FP40" s="1087">
        <f t="shared" si="375"/>
        <v>0.158934943727697</v>
      </c>
      <c r="FQ40" s="1087">
        <f t="shared" si="375"/>
        <v>0.114364135407136</v>
      </c>
      <c r="FR40" s="1087">
        <f t="shared" si="375"/>
        <v>0.142219934808715</v>
      </c>
      <c r="FS40" s="1087">
        <f t="shared" si="375"/>
        <v>0.176981541802389</v>
      </c>
      <c r="FT40" s="1087">
        <f t="shared" si="375"/>
        <v>0.142999006951341</v>
      </c>
      <c r="FU40" s="1087">
        <f t="shared" si="375"/>
        <v>0.150567070786077</v>
      </c>
      <c r="FV40" s="1086">
        <f t="shared" si="375"/>
        <v>0.184448462929476</v>
      </c>
      <c r="FW40" s="1087">
        <f t="shared" si="375"/>
        <v>0.216915422885572</v>
      </c>
      <c r="FX40" s="1087">
        <f t="shared" si="375"/>
        <v>0.199905258171483</v>
      </c>
      <c r="FY40" s="1087">
        <f t="shared" ref="FY40" si="376">FY39/FQ39-1</f>
        <v>0.147783251231527</v>
      </c>
      <c r="FZ40" s="1087">
        <f t="shared" ref="FZ40" si="377">FZ39/FR39-1</f>
        <v>0.180835085611295</v>
      </c>
      <c r="GA40" s="1087">
        <f t="shared" ref="GA40" si="378">GA39/FS39-1</f>
        <v>0.177583025830259</v>
      </c>
      <c r="GB40" s="1087">
        <f t="shared" ref="GB40" si="379">GB39/FT39-1</f>
        <v>0.161815812337099</v>
      </c>
      <c r="GC40" s="1088">
        <f t="shared" ref="GC40:GH40" si="380">GC39/FU39-1</f>
        <v>0.180036256514843</v>
      </c>
      <c r="GD40" s="1086">
        <f t="shared" si="380"/>
        <v>0.0522900763358778</v>
      </c>
      <c r="GE40" s="1087">
        <f t="shared" si="380"/>
        <v>0.0883074407195421</v>
      </c>
      <c r="GF40" s="1087">
        <f t="shared" si="380"/>
        <v>0.0696802210817213</v>
      </c>
      <c r="GG40" s="1087">
        <f t="shared" si="380"/>
        <v>0.0418454935622317</v>
      </c>
      <c r="GH40" s="1087">
        <f t="shared" si="380"/>
        <v>0.0597812261511066</v>
      </c>
      <c r="GI40" s="1087">
        <f t="shared" ref="GI40" si="381">GI39/GA39-1</f>
        <v>0.0368194281237757</v>
      </c>
      <c r="GJ40" s="1087">
        <f t="shared" ref="GJ40" si="382">GJ39/GB39-1</f>
        <v>0.0394466255374835</v>
      </c>
      <c r="GK40" s="1088">
        <f t="shared" ref="GK40" si="383">GK39/GC39-1</f>
        <v>0.054152664426308</v>
      </c>
      <c r="GL40" s="1087"/>
      <c r="GM40" s="1087"/>
      <c r="GN40" s="1087"/>
      <c r="GO40" s="1087"/>
      <c r="GP40" s="1087"/>
      <c r="GQ40" s="1087"/>
      <c r="GR40" s="1087"/>
      <c r="GS40" s="1088"/>
      <c r="GT40" s="1087"/>
      <c r="GU40" s="1087"/>
      <c r="GV40" s="1087"/>
      <c r="GW40" s="1087"/>
      <c r="GX40" s="1087"/>
      <c r="GY40" s="1087"/>
      <c r="GZ40" s="1087"/>
      <c r="HA40" s="1088"/>
      <c r="HB40" s="1087"/>
      <c r="HC40" s="1087"/>
      <c r="HD40" s="1087"/>
      <c r="HE40" s="1087"/>
      <c r="HF40" s="1087"/>
      <c r="HG40" s="1087"/>
      <c r="HH40" s="1087"/>
      <c r="HI40" s="1088"/>
      <c r="HJ40" s="1087"/>
      <c r="HK40" s="1087"/>
      <c r="HL40" s="1087"/>
      <c r="HM40" s="1087"/>
      <c r="HN40" s="1087"/>
      <c r="HO40" s="1087"/>
      <c r="HP40" s="1087"/>
      <c r="HQ40" s="1088"/>
      <c r="HR40" s="1087"/>
      <c r="HS40" s="1087"/>
      <c r="HT40" s="1087"/>
      <c r="HU40" s="1087"/>
      <c r="HV40" s="1087"/>
      <c r="HW40" s="1087"/>
      <c r="HX40" s="1087"/>
      <c r="HY40" s="1087"/>
      <c r="HZ40" s="1087"/>
      <c r="IA40" s="1087"/>
      <c r="IB40" s="1087"/>
      <c r="IC40" s="1087"/>
      <c r="ID40" s="1087"/>
      <c r="IE40" s="1087"/>
      <c r="IF40" s="1087"/>
      <c r="IG40" s="1088"/>
      <c r="IH40" s="1087"/>
      <c r="II40" s="1087"/>
      <c r="IJ40" s="1087"/>
      <c r="IK40" s="1087"/>
      <c r="IL40" s="1087"/>
      <c r="IM40" s="1087"/>
      <c r="IN40" s="1087"/>
      <c r="IO40" s="1088"/>
      <c r="IP40" s="1087"/>
      <c r="IQ40" s="1087"/>
      <c r="IR40" s="1087"/>
      <c r="IS40" s="1087"/>
      <c r="IT40" s="1087"/>
      <c r="IU40" s="1087"/>
      <c r="IV40" s="1087"/>
      <c r="IW40" s="1087"/>
      <c r="IX40" s="1118"/>
      <c r="IY40" s="1049"/>
      <c r="IZ40" s="1049"/>
      <c r="JA40" s="1049"/>
      <c r="JB40" s="1049"/>
      <c r="JC40" s="1049"/>
      <c r="JD40" s="1041"/>
      <c r="JE40" s="1037"/>
      <c r="JF40" s="1080"/>
      <c r="JG40" s="1080"/>
      <c r="JH40" s="1037"/>
      <c r="JI40" s="1035"/>
      <c r="JJ40" s="1035"/>
      <c r="JK40" s="1035"/>
      <c r="JL40" s="1035"/>
      <c r="JM40" s="1035"/>
      <c r="JN40" s="1035"/>
      <c r="JO40" s="1035"/>
      <c r="JP40" s="1035"/>
      <c r="JQ40" s="1035"/>
      <c r="JR40" s="1035"/>
      <c r="JS40" s="1035"/>
      <c r="JT40" s="1035"/>
      <c r="JU40" s="1035"/>
      <c r="JV40" s="1035"/>
      <c r="JW40" s="1035"/>
      <c r="JX40" s="1035"/>
      <c r="JY40" s="1035"/>
      <c r="LV40" s="1025"/>
    </row>
    <row r="41" hidden="1" spans="1:334">
      <c r="A41" s="1113" t="s">
        <v>74</v>
      </c>
      <c r="AX41" s="1059"/>
      <c r="BE41" s="1060"/>
      <c r="BN41" s="1059"/>
      <c r="BU41" s="1060"/>
      <c r="BV41" s="1059"/>
      <c r="CC41" s="1060"/>
      <c r="CD41" s="1059"/>
      <c r="CJ41" s="1061"/>
      <c r="CK41" s="1060"/>
      <c r="CL41" s="1059"/>
      <c r="CS41" s="1060"/>
      <c r="CT41" s="1117"/>
      <c r="CU41" s="1117"/>
      <c r="CV41" s="1117"/>
      <c r="CW41" s="1117"/>
      <c r="CX41" s="1117"/>
      <c r="CY41" s="1117"/>
      <c r="CZ41" s="1117"/>
      <c r="DA41" s="1117"/>
      <c r="DB41" s="1082"/>
      <c r="DC41" s="1082"/>
      <c r="DD41" s="1082"/>
      <c r="DE41" s="1082"/>
      <c r="DF41" s="1082"/>
      <c r="DG41" s="1082"/>
      <c r="DH41" s="1082"/>
      <c r="DI41" s="1085"/>
      <c r="DJ41" s="1082"/>
      <c r="DK41" s="1082"/>
      <c r="DL41" s="1082"/>
      <c r="DM41" s="1082"/>
      <c r="DN41" s="1082"/>
      <c r="DO41" s="1082"/>
      <c r="DP41" s="1082"/>
      <c r="DQ41" s="1085"/>
      <c r="DR41" s="1083"/>
      <c r="DS41" s="1083"/>
      <c r="DT41" s="1083"/>
      <c r="DU41" s="1083"/>
      <c r="DV41" s="1083"/>
      <c r="DW41" s="1083"/>
      <c r="DX41" s="1083"/>
      <c r="DY41" s="1085"/>
      <c r="DZ41" s="1083"/>
      <c r="EA41" s="1083"/>
      <c r="EB41" s="1083"/>
      <c r="EC41" s="1083"/>
      <c r="ED41" s="1083"/>
      <c r="EE41" s="1083"/>
      <c r="EF41" s="1083"/>
      <c r="EG41" s="1085"/>
      <c r="EH41" s="1083"/>
      <c r="EI41" s="1083"/>
      <c r="EJ41" s="1083"/>
      <c r="EK41" s="1083"/>
      <c r="EL41" s="1083"/>
      <c r="EM41" s="1083"/>
      <c r="EN41" s="1083"/>
      <c r="EO41" s="1085"/>
      <c r="EP41" s="1083"/>
      <c r="EQ41" s="1083"/>
      <c r="ER41" s="1083"/>
      <c r="ES41" s="1083"/>
      <c r="ET41" s="1083"/>
      <c r="EU41" s="1083"/>
      <c r="EV41" s="1114"/>
      <c r="EW41" s="1084"/>
      <c r="EX41" s="1087">
        <f t="shared" ref="EX41:FE41" si="384">EX39/(EX5+EX10)</f>
        <v>0.49603935258648</v>
      </c>
      <c r="EY41" s="1087">
        <f t="shared" si="384"/>
        <v>0.496395004929346</v>
      </c>
      <c r="EZ41" s="1087">
        <f t="shared" si="384"/>
        <v>0.496214078140136</v>
      </c>
      <c r="FA41" s="1087">
        <f t="shared" si="384"/>
        <v>0.476208820403826</v>
      </c>
      <c r="FB41" s="1087">
        <f t="shared" si="384"/>
        <v>0.488652339827275</v>
      </c>
      <c r="FC41" s="1087">
        <f t="shared" si="384"/>
        <v>0.492190222995877</v>
      </c>
      <c r="FD41" s="1087">
        <f t="shared" si="384"/>
        <v>0.483374890684288</v>
      </c>
      <c r="FE41" s="1088">
        <f t="shared" si="384"/>
        <v>0.496781612739388</v>
      </c>
      <c r="FF41" s="1087">
        <f t="shared" ref="FF41:FN41" si="385">FF39/(FF5+FF10)</f>
        <v>0.503777657852132</v>
      </c>
      <c r="FG41" s="1087">
        <f t="shared" si="385"/>
        <v>0.501411631846414</v>
      </c>
      <c r="FH41" s="1087">
        <f t="shared" si="385"/>
        <v>0.502621412803532</v>
      </c>
      <c r="FI41" s="1087">
        <f t="shared" si="385"/>
        <v>0.495130237825595</v>
      </c>
      <c r="FJ41" s="1087">
        <f t="shared" si="385"/>
        <v>0.499785646917603</v>
      </c>
      <c r="FK41" s="1087">
        <f t="shared" si="385"/>
        <v>0.48665785997358</v>
      </c>
      <c r="FL41" s="1087">
        <f t="shared" si="385"/>
        <v>0.491219512195122</v>
      </c>
      <c r="FM41" s="1088">
        <f t="shared" si="385"/>
        <v>0.496569135163128</v>
      </c>
      <c r="FN41" s="1087">
        <f t="shared" si="385"/>
        <v>0.505831237136977</v>
      </c>
      <c r="FO41" s="1087">
        <f t="shared" ref="FO41:FX41" si="386">FO39/(FO5+FO10)</f>
        <v>0.496786950074147</v>
      </c>
      <c r="FP41" s="1087">
        <f t="shared" si="386"/>
        <v>0.50148473690462</v>
      </c>
      <c r="FQ41" s="1087">
        <f t="shared" si="386"/>
        <v>0.482758620689655</v>
      </c>
      <c r="FR41" s="1087">
        <f t="shared" si="386"/>
        <v>0.494467137021909</v>
      </c>
      <c r="FS41" s="1087">
        <f t="shared" si="386"/>
        <v>0.498390804597701</v>
      </c>
      <c r="FT41" s="1087">
        <f t="shared" si="386"/>
        <v>0.489995742869306</v>
      </c>
      <c r="FU41" s="1087">
        <f t="shared" si="386"/>
        <v>0.495425203480213</v>
      </c>
      <c r="FV41" s="1086">
        <f t="shared" si="386"/>
        <v>0.499142693846447</v>
      </c>
      <c r="FW41" s="1087">
        <f t="shared" si="386"/>
        <v>0.505371900826446</v>
      </c>
      <c r="FX41" s="1087">
        <f t="shared" si="386"/>
        <v>0.502131033799187</v>
      </c>
      <c r="FY41" s="1087">
        <f t="shared" ref="FY41:GG41" si="387">FY39/(FY5+FY10)</f>
        <v>0.509660955158585</v>
      </c>
      <c r="FZ41" s="1087">
        <f t="shared" si="387"/>
        <v>0.504783306581059</v>
      </c>
      <c r="GA41" s="1087">
        <f t="shared" si="387"/>
        <v>0.520807833537332</v>
      </c>
      <c r="GB41" s="1087">
        <f t="shared" si="387"/>
        <v>0.514921062764729</v>
      </c>
      <c r="GC41" s="1088">
        <f t="shared" si="387"/>
        <v>0.508619426673829</v>
      </c>
      <c r="GD41" s="1086">
        <f t="shared" si="387"/>
        <v>0.514557670772676</v>
      </c>
      <c r="GE41" s="1087">
        <f t="shared" si="387"/>
        <v>0.524842271293375</v>
      </c>
      <c r="GF41" s="1087">
        <f t="shared" si="387"/>
        <v>0.519558964525408</v>
      </c>
      <c r="GG41" s="1087">
        <f t="shared" si="387"/>
        <v>0.516214779372674</v>
      </c>
      <c r="GH41" s="1087">
        <f t="shared" ref="GH41:GK41" si="388">GH39/(GH5+GH10)</f>
        <v>0.518384869035028</v>
      </c>
      <c r="GI41" s="1087">
        <f t="shared" si="388"/>
        <v>0.528027129463395</v>
      </c>
      <c r="GJ41" s="1087">
        <f t="shared" si="388"/>
        <v>0.521771771771772</v>
      </c>
      <c r="GK41" s="1088">
        <f t="shared" si="388"/>
        <v>0.520677226595845</v>
      </c>
      <c r="GL41" s="1087"/>
      <c r="GM41" s="1087"/>
      <c r="GN41" s="1087"/>
      <c r="GO41" s="1087"/>
      <c r="GP41" s="1087"/>
      <c r="GQ41" s="1087"/>
      <c r="GR41" s="1087"/>
      <c r="GS41" s="1088"/>
      <c r="GT41" s="1087"/>
      <c r="GU41" s="1087"/>
      <c r="GV41" s="1087"/>
      <c r="GW41" s="1087"/>
      <c r="GX41" s="1087"/>
      <c r="GY41" s="1087"/>
      <c r="GZ41" s="1087"/>
      <c r="HA41" s="1088"/>
      <c r="HB41" s="1087"/>
      <c r="HC41" s="1087"/>
      <c r="HD41" s="1087"/>
      <c r="HE41" s="1087"/>
      <c r="HF41" s="1087"/>
      <c r="HG41" s="1087"/>
      <c r="HH41" s="1087"/>
      <c r="HI41" s="1088"/>
      <c r="HJ41" s="1087"/>
      <c r="HK41" s="1087"/>
      <c r="HL41" s="1087"/>
      <c r="HM41" s="1087"/>
      <c r="HN41" s="1087"/>
      <c r="HO41" s="1087"/>
      <c r="HP41" s="1087"/>
      <c r="HQ41" s="1088"/>
      <c r="HR41" s="1087"/>
      <c r="HS41" s="1087"/>
      <c r="HT41" s="1087"/>
      <c r="HU41" s="1087"/>
      <c r="HV41" s="1087"/>
      <c r="HW41" s="1087"/>
      <c r="HX41" s="1087"/>
      <c r="HY41" s="1087"/>
      <c r="HZ41" s="1087"/>
      <c r="IA41" s="1087"/>
      <c r="IB41" s="1087"/>
      <c r="IC41" s="1087"/>
      <c r="ID41" s="1087"/>
      <c r="IE41" s="1087"/>
      <c r="IF41" s="1087"/>
      <c r="IG41" s="1088"/>
      <c r="IH41" s="1087"/>
      <c r="II41" s="1087"/>
      <c r="IJ41" s="1087"/>
      <c r="IK41" s="1087"/>
      <c r="IL41" s="1087"/>
      <c r="IM41" s="1087"/>
      <c r="IN41" s="1087"/>
      <c r="IO41" s="1088"/>
      <c r="IP41" s="1087"/>
      <c r="IQ41" s="1087"/>
      <c r="IR41" s="1087"/>
      <c r="IS41" s="1087"/>
      <c r="IT41" s="1087"/>
      <c r="IU41" s="1087"/>
      <c r="IV41" s="1087"/>
      <c r="IW41" s="1087"/>
      <c r="IX41" s="1118"/>
      <c r="IY41" s="1049"/>
      <c r="IZ41" s="1049"/>
      <c r="JA41" s="1049"/>
      <c r="JB41" s="1049"/>
      <c r="JC41" s="1049"/>
      <c r="JD41" s="1041"/>
      <c r="JE41" s="1037"/>
      <c r="JF41" s="1080"/>
      <c r="JG41" s="1080"/>
      <c r="JH41" s="1037"/>
      <c r="JI41" s="1035"/>
      <c r="JJ41" s="1035"/>
      <c r="JK41" s="1035"/>
      <c r="JL41" s="1035"/>
      <c r="JM41" s="1035"/>
      <c r="JN41" s="1035"/>
      <c r="JO41" s="1035"/>
      <c r="JP41" s="1035"/>
      <c r="JQ41" s="1035"/>
      <c r="JR41" s="1035"/>
      <c r="JS41" s="1035"/>
      <c r="JT41" s="1035"/>
      <c r="JU41" s="1035"/>
      <c r="JV41" s="1035"/>
      <c r="JW41" s="1035"/>
      <c r="JX41" s="1035"/>
      <c r="JY41" s="1035"/>
      <c r="LV41" s="1025"/>
    </row>
    <row r="42" hidden="1" spans="1:334">
      <c r="A42" s="1025" t="s">
        <v>70</v>
      </c>
      <c r="AX42" s="1059"/>
      <c r="BE42" s="1060"/>
      <c r="BN42" s="1059"/>
      <c r="BU42" s="1060"/>
      <c r="BV42" s="1059"/>
      <c r="CC42" s="1060"/>
      <c r="CD42" s="1059"/>
      <c r="CJ42" s="1061"/>
      <c r="CK42" s="1060"/>
      <c r="CL42" s="1059"/>
      <c r="CS42" s="1060"/>
      <c r="CT42" s="1025"/>
      <c r="CU42" s="1025"/>
      <c r="CV42" s="1025"/>
      <c r="CW42" s="1025"/>
      <c r="CX42" s="1025"/>
      <c r="CY42" s="1025"/>
      <c r="CZ42" s="1025"/>
      <c r="DA42" s="1025"/>
      <c r="DB42" s="1071">
        <v>130</v>
      </c>
      <c r="DC42" s="1071">
        <v>143</v>
      </c>
      <c r="DD42" s="1071">
        <f>DB42+DC42</f>
        <v>273</v>
      </c>
      <c r="DE42" s="1071">
        <v>147</v>
      </c>
      <c r="DF42" s="1071">
        <f>DD42+DE42</f>
        <v>420</v>
      </c>
      <c r="DG42" s="1071">
        <v>123</v>
      </c>
      <c r="DH42" s="1071">
        <f>DE42+DG42</f>
        <v>270</v>
      </c>
      <c r="DI42" s="1072">
        <f>'Profit and Loss'!O43</f>
        <v>543</v>
      </c>
      <c r="DJ42" s="1071">
        <v>116</v>
      </c>
      <c r="DK42" s="1071">
        <v>138</v>
      </c>
      <c r="DL42" s="1071">
        <f>DJ42+DK42</f>
        <v>254</v>
      </c>
      <c r="DM42" s="1071">
        <v>123</v>
      </c>
      <c r="DN42" s="1071">
        <f>DL42+DM42</f>
        <v>377</v>
      </c>
      <c r="DO42" s="1071">
        <v>129</v>
      </c>
      <c r="DP42" s="1071">
        <f>DO42+DM42</f>
        <v>252</v>
      </c>
      <c r="DQ42" s="1072">
        <f>'Profit and Loss'!P43</f>
        <v>509</v>
      </c>
      <c r="DR42" s="1073">
        <f>DR$21*DR44</f>
        <v>142.2</v>
      </c>
      <c r="DS42" s="1073">
        <f>DS$21*DS44</f>
        <v>171.054</v>
      </c>
      <c r="DT42" s="1073">
        <f>DR42+DS42</f>
        <v>313.254</v>
      </c>
      <c r="DU42" s="1073">
        <f>DU$21*DU44</f>
        <v>173.046</v>
      </c>
      <c r="DV42" s="1073">
        <f>DT42+DU42</f>
        <v>486.3</v>
      </c>
      <c r="DW42" s="1073">
        <f>DY42-DV42</f>
        <v>131.7</v>
      </c>
      <c r="DX42" s="1073">
        <f>DU42+DW42</f>
        <v>304.746</v>
      </c>
      <c r="DY42" s="1072">
        <f>'Profit and Loss'!Q43</f>
        <v>618</v>
      </c>
      <c r="DZ42" s="1119">
        <f>DZ$21*DZ44</f>
        <v>171.456</v>
      </c>
      <c r="EA42" s="1073">
        <f>EB42-DZ42</f>
        <v>184.544</v>
      </c>
      <c r="EB42" s="1073">
        <v>356</v>
      </c>
      <c r="EC42" s="1073">
        <f>+ED42-EB42</f>
        <v>176</v>
      </c>
      <c r="ED42" s="1073">
        <v>532</v>
      </c>
      <c r="EE42" s="1073">
        <f>+EF42-EC42</f>
        <v>156</v>
      </c>
      <c r="EF42" s="1073">
        <f>+EG42-EB42</f>
        <v>332</v>
      </c>
      <c r="EG42" s="1072">
        <v>688</v>
      </c>
      <c r="EH42" s="1119">
        <f>EH$21*EH44</f>
        <v>225.929</v>
      </c>
      <c r="EI42" s="1073">
        <f>+EJ42-EH42</f>
        <v>248.886</v>
      </c>
      <c r="EJ42" s="1073">
        <f>EJ$21*EJ44</f>
        <v>474.815</v>
      </c>
      <c r="EK42" s="1073">
        <f>EL42-EJ42</f>
        <v>207.185</v>
      </c>
      <c r="EL42" s="1073">
        <v>682</v>
      </c>
      <c r="EM42" s="1073">
        <f>EN42-EK42</f>
        <v>163</v>
      </c>
      <c r="EN42" s="1073">
        <f>EO42-EJ42</f>
        <v>370.185</v>
      </c>
      <c r="EO42" s="1072">
        <v>845</v>
      </c>
      <c r="EP42" s="1119">
        <f>EP44*EP21</f>
        <v>244.408</v>
      </c>
      <c r="EQ42" s="1119">
        <f>ER42-EP42</f>
        <v>217.592</v>
      </c>
      <c r="ER42" s="1071">
        <v>462</v>
      </c>
      <c r="ES42" s="1071">
        <f>ET42-ER42</f>
        <v>143</v>
      </c>
      <c r="ET42" s="1071">
        <v>605</v>
      </c>
      <c r="EU42" s="1071">
        <f>EU44*EU21</f>
        <v>184.382</v>
      </c>
      <c r="EV42" s="1071">
        <f>ES42+EU42</f>
        <v>327.382</v>
      </c>
      <c r="EW42" s="1072">
        <f>ER42+EV42</f>
        <v>789.382</v>
      </c>
      <c r="EX42" s="1076">
        <f>EX44*EX21</f>
        <v>148.98</v>
      </c>
      <c r="EY42" s="1076">
        <f>EY44*EY21</f>
        <v>162.47</v>
      </c>
      <c r="EZ42" s="1076">
        <f>EX42+EY42</f>
        <v>311.45</v>
      </c>
      <c r="FA42" s="1071">
        <f>FB42-EZ42</f>
        <v>125.55</v>
      </c>
      <c r="FB42" s="1076">
        <v>437</v>
      </c>
      <c r="FC42" s="1076">
        <f>FC377</f>
        <v>115</v>
      </c>
      <c r="FD42" s="1076">
        <f>FA42+FC42</f>
        <v>240.55</v>
      </c>
      <c r="FE42" s="1077">
        <f>'Profit and Loss'!U43</f>
        <v>457</v>
      </c>
      <c r="FF42" s="1076">
        <f t="shared" ref="FF42:FK42" si="389">FF377</f>
        <v>141</v>
      </c>
      <c r="FG42" s="1076">
        <f t="shared" si="389"/>
        <v>113</v>
      </c>
      <c r="FH42" s="1076">
        <f t="shared" si="389"/>
        <v>254</v>
      </c>
      <c r="FI42" s="1071">
        <f t="shared" si="389"/>
        <v>118</v>
      </c>
      <c r="FJ42" s="1076">
        <f t="shared" si="389"/>
        <v>372</v>
      </c>
      <c r="FK42" s="1071">
        <f t="shared" si="389"/>
        <v>125</v>
      </c>
      <c r="FL42" s="1076">
        <f>FI42+FK42</f>
        <v>243</v>
      </c>
      <c r="FM42" s="1072">
        <f t="shared" ref="FM42:FR42" si="390">FM377</f>
        <v>497</v>
      </c>
      <c r="FN42" s="1071">
        <f t="shared" si="390"/>
        <v>146</v>
      </c>
      <c r="FO42" s="1076">
        <f t="shared" si="390"/>
        <v>149</v>
      </c>
      <c r="FP42" s="1076">
        <f t="shared" si="390"/>
        <v>295</v>
      </c>
      <c r="FQ42" s="1076">
        <f t="shared" si="390"/>
        <v>138</v>
      </c>
      <c r="FR42" s="1076">
        <f t="shared" si="390"/>
        <v>433</v>
      </c>
      <c r="FS42" s="1076">
        <f t="shared" ref="FS42:FZ42" si="391">FS377</f>
        <v>120</v>
      </c>
      <c r="FT42" s="1076">
        <f t="shared" si="391"/>
        <v>258</v>
      </c>
      <c r="FU42" s="1076">
        <f t="shared" si="391"/>
        <v>553</v>
      </c>
      <c r="FV42" s="1075">
        <f t="shared" si="391"/>
        <v>82</v>
      </c>
      <c r="FW42" s="1076">
        <f t="shared" si="391"/>
        <v>79</v>
      </c>
      <c r="FX42" s="1076">
        <f t="shared" si="391"/>
        <v>161</v>
      </c>
      <c r="FY42" s="1076">
        <f t="shared" si="391"/>
        <v>68</v>
      </c>
      <c r="FZ42" s="1076">
        <f t="shared" si="391"/>
        <v>229</v>
      </c>
      <c r="GA42" s="1076">
        <f t="shared" ref="GA42:GC42" si="392">GA377</f>
        <v>59</v>
      </c>
      <c r="GB42" s="1076">
        <f t="shared" si="392"/>
        <v>127</v>
      </c>
      <c r="GC42" s="1077">
        <f t="shared" si="392"/>
        <v>288</v>
      </c>
      <c r="GD42" s="1075">
        <f t="shared" ref="GD42:GF42" si="393">GD377</f>
        <v>78</v>
      </c>
      <c r="GE42" s="1076">
        <f t="shared" si="393"/>
        <v>89</v>
      </c>
      <c r="GF42" s="1076">
        <f t="shared" si="393"/>
        <v>167</v>
      </c>
      <c r="GG42" s="1076">
        <f t="shared" ref="GG42:GK42" si="394">GG377</f>
        <v>131</v>
      </c>
      <c r="GH42" s="1076">
        <f t="shared" si="394"/>
        <v>298</v>
      </c>
      <c r="GI42" s="1076">
        <f t="shared" si="394"/>
        <v>86</v>
      </c>
      <c r="GJ42" s="1076">
        <f t="shared" si="394"/>
        <v>217</v>
      </c>
      <c r="GK42" s="1077">
        <f t="shared" si="394"/>
        <v>384</v>
      </c>
      <c r="GL42" s="1076"/>
      <c r="GM42" s="1076"/>
      <c r="GN42" s="1076"/>
      <c r="GO42" s="1076"/>
      <c r="GP42" s="1076"/>
      <c r="GQ42" s="1076"/>
      <c r="GR42" s="1076"/>
      <c r="GS42" s="1077"/>
      <c r="GT42" s="1076"/>
      <c r="GU42" s="1076"/>
      <c r="GV42" s="1076"/>
      <c r="GW42" s="1076"/>
      <c r="GX42" s="1076"/>
      <c r="GY42" s="1076"/>
      <c r="GZ42" s="1076"/>
      <c r="HA42" s="1077"/>
      <c r="HB42" s="1076"/>
      <c r="HC42" s="1076"/>
      <c r="HD42" s="1076"/>
      <c r="HE42" s="1076"/>
      <c r="HF42" s="1076"/>
      <c r="HG42" s="1076"/>
      <c r="HH42" s="1076"/>
      <c r="HI42" s="1077"/>
      <c r="HJ42" s="1076"/>
      <c r="HK42" s="1076"/>
      <c r="HL42" s="1076"/>
      <c r="HM42" s="1076"/>
      <c r="HN42" s="1076"/>
      <c r="HO42" s="1076"/>
      <c r="HP42" s="1076"/>
      <c r="HQ42" s="1077"/>
      <c r="HR42" s="1076"/>
      <c r="HS42" s="1076"/>
      <c r="HT42" s="1076"/>
      <c r="HU42" s="1076"/>
      <c r="HV42" s="1076"/>
      <c r="HW42" s="1076"/>
      <c r="HX42" s="1076"/>
      <c r="HY42" s="1076"/>
      <c r="HZ42" s="1076"/>
      <c r="IA42" s="1076"/>
      <c r="IB42" s="1076"/>
      <c r="IC42" s="1076"/>
      <c r="ID42" s="1076"/>
      <c r="IE42" s="1076"/>
      <c r="IF42" s="1076"/>
      <c r="IG42" s="1077"/>
      <c r="IH42" s="1076"/>
      <c r="II42" s="1076"/>
      <c r="IJ42" s="1076"/>
      <c r="IK42" s="1076"/>
      <c r="IL42" s="1076"/>
      <c r="IM42" s="1076"/>
      <c r="IN42" s="1076"/>
      <c r="IO42" s="1077"/>
      <c r="IP42" s="1076"/>
      <c r="IQ42" s="1076"/>
      <c r="IR42" s="1076"/>
      <c r="IS42" s="1076"/>
      <c r="IT42" s="1076"/>
      <c r="IU42" s="1076"/>
      <c r="IV42" s="1076"/>
      <c r="IW42" s="1076"/>
      <c r="IX42" s="1049"/>
      <c r="IY42" s="1049"/>
      <c r="IZ42" s="1049"/>
      <c r="JA42" s="1049"/>
      <c r="JB42" s="1049"/>
      <c r="JC42" s="1049"/>
      <c r="JD42" s="1049"/>
      <c r="JE42" s="1037"/>
      <c r="JF42" s="1080"/>
      <c r="JG42" s="1080"/>
      <c r="JH42" s="1037"/>
      <c r="JI42" s="1035"/>
      <c r="JJ42" s="1035"/>
      <c r="JK42" s="1035"/>
      <c r="JL42" s="1035"/>
      <c r="JM42" s="1035"/>
      <c r="JN42" s="1035"/>
      <c r="JO42" s="1035"/>
      <c r="JP42" s="1035"/>
      <c r="JQ42" s="1035"/>
      <c r="JR42" s="1035"/>
      <c r="JS42" s="1035"/>
      <c r="JT42" s="1035"/>
      <c r="JU42" s="1035"/>
      <c r="JV42" s="1035"/>
      <c r="JW42" s="1035"/>
      <c r="JX42" s="1035"/>
      <c r="JY42" s="1035"/>
      <c r="LV42" s="967"/>
    </row>
    <row r="43" hidden="1" spans="1:334">
      <c r="A43" s="1113" t="s">
        <v>61</v>
      </c>
      <c r="AX43" s="1059"/>
      <c r="BE43" s="1060"/>
      <c r="BN43" s="1059"/>
      <c r="BU43" s="1060"/>
      <c r="BV43" s="1059"/>
      <c r="CC43" s="1060"/>
      <c r="CD43" s="1059"/>
      <c r="CJ43" s="1061"/>
      <c r="CK43" s="1060"/>
      <c r="CL43" s="1059"/>
      <c r="CS43" s="1060"/>
      <c r="CT43" s="1025"/>
      <c r="CU43" s="1025"/>
      <c r="CV43" s="1025"/>
      <c r="CW43" s="1025"/>
      <c r="CX43" s="1025"/>
      <c r="CY43" s="1025"/>
      <c r="CZ43" s="1025"/>
      <c r="DA43" s="1025"/>
      <c r="DB43" s="1071"/>
      <c r="DC43" s="1071"/>
      <c r="DD43" s="1071"/>
      <c r="DE43" s="1071"/>
      <c r="DF43" s="1071"/>
      <c r="DG43" s="1071"/>
      <c r="DH43" s="1071"/>
      <c r="DI43" s="1072"/>
      <c r="DJ43" s="1080">
        <f t="shared" ref="DJ43:DS43" si="395">DJ42/DB42-1</f>
        <v>-0.107692307692308</v>
      </c>
      <c r="DK43" s="1080">
        <f t="shared" si="395"/>
        <v>-0.034965034965035</v>
      </c>
      <c r="DL43" s="1080">
        <f t="shared" si="395"/>
        <v>-0.0695970695970696</v>
      </c>
      <c r="DM43" s="1080">
        <f t="shared" si="395"/>
        <v>-0.163265306122449</v>
      </c>
      <c r="DN43" s="1080">
        <f t="shared" si="395"/>
        <v>-0.102380952380952</v>
      </c>
      <c r="DO43" s="1080">
        <f t="shared" si="395"/>
        <v>0.0487804878048781</v>
      </c>
      <c r="DP43" s="1080">
        <f t="shared" si="395"/>
        <v>-0.0666666666666667</v>
      </c>
      <c r="DQ43" s="1081">
        <f t="shared" si="395"/>
        <v>-0.0626151012891344</v>
      </c>
      <c r="DR43" s="1083">
        <f t="shared" si="395"/>
        <v>0.225862068965517</v>
      </c>
      <c r="DS43" s="1083">
        <f t="shared" si="395"/>
        <v>0.239521739130435</v>
      </c>
      <c r="DT43" s="1083">
        <f t="shared" ref="DT43:EA43" si="396">DT42/DL42-1</f>
        <v>0.233283464566929</v>
      </c>
      <c r="DU43" s="1083">
        <f t="shared" si="396"/>
        <v>0.406878048780488</v>
      </c>
      <c r="DV43" s="1083">
        <f t="shared" si="396"/>
        <v>0.289920424403183</v>
      </c>
      <c r="DW43" s="1083">
        <f t="shared" si="396"/>
        <v>0.0209302325581395</v>
      </c>
      <c r="DX43" s="1114">
        <f t="shared" si="396"/>
        <v>0.209309523809524</v>
      </c>
      <c r="DY43" s="1081">
        <f t="shared" si="396"/>
        <v>0.214145383104126</v>
      </c>
      <c r="DZ43" s="1083">
        <f t="shared" si="396"/>
        <v>0.205738396624473</v>
      </c>
      <c r="EA43" s="1083">
        <f t="shared" si="396"/>
        <v>0.0788639844727395</v>
      </c>
      <c r="EB43" s="1083">
        <f t="shared" ref="EB43:EI43" si="397">EB42/DT42-1</f>
        <v>0.13645795424799</v>
      </c>
      <c r="EC43" s="1083">
        <f t="shared" si="397"/>
        <v>0.0170706055037388</v>
      </c>
      <c r="ED43" s="1083">
        <f t="shared" si="397"/>
        <v>0.0939749126053877</v>
      </c>
      <c r="EE43" s="1083">
        <f t="shared" si="397"/>
        <v>0.184510250569476</v>
      </c>
      <c r="EF43" s="1114">
        <f t="shared" si="397"/>
        <v>0.0894318547249184</v>
      </c>
      <c r="EG43" s="1081">
        <f t="shared" si="397"/>
        <v>0.11326860841424</v>
      </c>
      <c r="EH43" s="1083">
        <f t="shared" si="397"/>
        <v>0.317708333333333</v>
      </c>
      <c r="EI43" s="1083">
        <f t="shared" si="397"/>
        <v>0.348653979538755</v>
      </c>
      <c r="EJ43" s="1083">
        <f t="shared" ref="EJ43:EQ43" si="398">EJ42/EB42-1</f>
        <v>0.33375</v>
      </c>
      <c r="EK43" s="1083">
        <f t="shared" si="398"/>
        <v>0.1771875</v>
      </c>
      <c r="EL43" s="1083">
        <f t="shared" si="398"/>
        <v>0.281954887218045</v>
      </c>
      <c r="EM43" s="1114">
        <f t="shared" si="398"/>
        <v>0.0448717948717949</v>
      </c>
      <c r="EN43" s="1114">
        <f t="shared" si="398"/>
        <v>0.115015060240964</v>
      </c>
      <c r="EO43" s="1081">
        <f t="shared" si="398"/>
        <v>0.228197674418605</v>
      </c>
      <c r="EP43" s="1083">
        <f t="shared" si="398"/>
        <v>0.0817911821855539</v>
      </c>
      <c r="EQ43" s="1083">
        <f t="shared" si="398"/>
        <v>-0.125736280867546</v>
      </c>
      <c r="ER43" s="1083">
        <f t="shared" ref="ER43:EW43" si="399">ER42/EJ42-1</f>
        <v>-0.0269894590524731</v>
      </c>
      <c r="ES43" s="1083">
        <f t="shared" si="399"/>
        <v>-0.309795593310327</v>
      </c>
      <c r="ET43" s="1083">
        <f t="shared" si="399"/>
        <v>-0.112903225806452</v>
      </c>
      <c r="EU43" s="1083">
        <f t="shared" si="399"/>
        <v>0.131177914110429</v>
      </c>
      <c r="EV43" s="1114">
        <f t="shared" si="399"/>
        <v>-0.115625970798385</v>
      </c>
      <c r="EW43" s="1084">
        <f t="shared" si="399"/>
        <v>-0.0658201183431952</v>
      </c>
      <c r="EX43" s="1087">
        <f t="shared" ref="EX43:FE43" si="400">EX42/EP42-1</f>
        <v>-0.390445484599522</v>
      </c>
      <c r="EY43" s="1087">
        <f t="shared" si="400"/>
        <v>-0.253327328210596</v>
      </c>
      <c r="EZ43" s="1087">
        <f t="shared" si="400"/>
        <v>-0.325865800865801</v>
      </c>
      <c r="FA43" s="1083">
        <f t="shared" si="400"/>
        <v>-0.122027972027972</v>
      </c>
      <c r="FB43" s="1087">
        <f t="shared" si="400"/>
        <v>-0.277685950413223</v>
      </c>
      <c r="FC43" s="1087">
        <f t="shared" si="400"/>
        <v>-0.376294866093219</v>
      </c>
      <c r="FD43" s="1087">
        <f t="shared" si="400"/>
        <v>-0.265231442168476</v>
      </c>
      <c r="FE43" s="1088">
        <f t="shared" si="400"/>
        <v>-0.421066099809725</v>
      </c>
      <c r="FF43" s="1087">
        <f t="shared" ref="FF43:FL43" si="401">FF42/EX42-1</f>
        <v>-0.0535642368103102</v>
      </c>
      <c r="FG43" s="1087">
        <f t="shared" si="401"/>
        <v>-0.304486982212101</v>
      </c>
      <c r="FH43" s="1087">
        <f t="shared" si="401"/>
        <v>-0.184459784877188</v>
      </c>
      <c r="FI43" s="1083">
        <f t="shared" si="401"/>
        <v>-0.0601354042214254</v>
      </c>
      <c r="FJ43" s="1087">
        <f t="shared" si="401"/>
        <v>-0.148741418764302</v>
      </c>
      <c r="FK43" s="1087">
        <f t="shared" si="401"/>
        <v>0.0869565217391304</v>
      </c>
      <c r="FL43" s="1087">
        <f t="shared" si="401"/>
        <v>0.0101849927250053</v>
      </c>
      <c r="FM43" s="1088">
        <f t="shared" ref="FM43:FR43" si="402">FM42/FE42-1</f>
        <v>0.087527352297593</v>
      </c>
      <c r="FN43" s="1087">
        <f t="shared" si="402"/>
        <v>0.0354609929078014</v>
      </c>
      <c r="FO43" s="1087">
        <f t="shared" si="402"/>
        <v>0.31858407079646</v>
      </c>
      <c r="FP43" s="1087">
        <f t="shared" si="402"/>
        <v>0.161417322834646</v>
      </c>
      <c r="FQ43" s="1087">
        <f t="shared" si="402"/>
        <v>0.169491525423729</v>
      </c>
      <c r="FR43" s="1087">
        <f t="shared" si="402"/>
        <v>0.163978494623656</v>
      </c>
      <c r="FS43" s="1087">
        <f t="shared" ref="FS43:FX43" si="403">FS42/FK42-1</f>
        <v>-0.04</v>
      </c>
      <c r="FT43" s="1087">
        <f t="shared" si="403"/>
        <v>0.0617283950617284</v>
      </c>
      <c r="FU43" s="1087">
        <f t="shared" si="403"/>
        <v>0.112676056338028</v>
      </c>
      <c r="FV43" s="1086">
        <f t="shared" si="403"/>
        <v>-0.438356164383562</v>
      </c>
      <c r="FW43" s="1087">
        <f t="shared" si="403"/>
        <v>-0.469798657718121</v>
      </c>
      <c r="FX43" s="1087">
        <f t="shared" si="403"/>
        <v>-0.454237288135593</v>
      </c>
      <c r="FY43" s="1087">
        <f t="shared" ref="FY43" si="404">FY42/FQ42-1</f>
        <v>-0.507246376811594</v>
      </c>
      <c r="FZ43" s="1087">
        <f t="shared" ref="FZ43" si="405">FZ42/FR42-1</f>
        <v>-0.471131639722864</v>
      </c>
      <c r="GA43" s="1087">
        <f t="shared" ref="GA43" si="406">GA42/FS42-1</f>
        <v>-0.508333333333333</v>
      </c>
      <c r="GB43" s="1087">
        <f t="shared" ref="GB43" si="407">GB42/FT42-1</f>
        <v>-0.507751937984496</v>
      </c>
      <c r="GC43" s="1088">
        <f t="shared" ref="GC43" si="408">GC42/FU42-1</f>
        <v>-0.479204339963834</v>
      </c>
      <c r="GD43" s="1086">
        <f>GD378</f>
        <v>-0.0487804878048781</v>
      </c>
      <c r="GE43" s="1087">
        <f>GE42/FW42-1</f>
        <v>0.126582278481013</v>
      </c>
      <c r="GF43" s="1087">
        <f>GF42/FX42-1</f>
        <v>0.0372670807453417</v>
      </c>
      <c r="GG43" s="1087">
        <f>GG42/FY42-1</f>
        <v>0.926470588235294</v>
      </c>
      <c r="GH43" s="1087">
        <f>GH42/FZ42-1</f>
        <v>0.301310043668122</v>
      </c>
      <c r="GI43" s="1087">
        <f t="shared" ref="GI43" si="409">GI42/GA42-1</f>
        <v>0.457627118644068</v>
      </c>
      <c r="GJ43" s="1087">
        <f t="shared" ref="GJ43" si="410">GJ42/GB42-1</f>
        <v>0.708661417322835</v>
      </c>
      <c r="GK43" s="1088">
        <f t="shared" ref="GK43" si="411">GK42/GC42-1</f>
        <v>0.333333333333333</v>
      </c>
      <c r="GL43" s="1087"/>
      <c r="GM43" s="1087"/>
      <c r="GN43" s="1087"/>
      <c r="GO43" s="1087"/>
      <c r="GP43" s="1087"/>
      <c r="GQ43" s="1087"/>
      <c r="GR43" s="1087"/>
      <c r="GS43" s="1088"/>
      <c r="GT43" s="1087"/>
      <c r="GU43" s="1087"/>
      <c r="GV43" s="1087"/>
      <c r="GW43" s="1087"/>
      <c r="GX43" s="1087"/>
      <c r="GY43" s="1087"/>
      <c r="GZ43" s="1087"/>
      <c r="HA43" s="1088"/>
      <c r="HB43" s="1087"/>
      <c r="HC43" s="1087"/>
      <c r="HD43" s="1087"/>
      <c r="HE43" s="1087"/>
      <c r="HF43" s="1087"/>
      <c r="HG43" s="1087"/>
      <c r="HH43" s="1087"/>
      <c r="HI43" s="1088"/>
      <c r="HJ43" s="1087"/>
      <c r="HK43" s="1087"/>
      <c r="HL43" s="1087"/>
      <c r="HM43" s="1087"/>
      <c r="HN43" s="1087"/>
      <c r="HO43" s="1087"/>
      <c r="HP43" s="1087"/>
      <c r="HQ43" s="1088"/>
      <c r="HR43" s="1087"/>
      <c r="HS43" s="1087"/>
      <c r="HT43" s="1087"/>
      <c r="HU43" s="1087"/>
      <c r="HV43" s="1087"/>
      <c r="HW43" s="1087"/>
      <c r="HX43" s="1087"/>
      <c r="HY43" s="1087"/>
      <c r="HZ43" s="1087"/>
      <c r="IA43" s="1087"/>
      <c r="IB43" s="1087"/>
      <c r="IC43" s="1087"/>
      <c r="ID43" s="1087"/>
      <c r="IE43" s="1087"/>
      <c r="IF43" s="1087"/>
      <c r="IG43" s="1088"/>
      <c r="IH43" s="1087"/>
      <c r="II43" s="1087"/>
      <c r="IJ43" s="1087"/>
      <c r="IK43" s="1087"/>
      <c r="IL43" s="1087"/>
      <c r="IM43" s="1087"/>
      <c r="IN43" s="1087"/>
      <c r="IO43" s="1088"/>
      <c r="IP43" s="1087"/>
      <c r="IQ43" s="1087"/>
      <c r="IR43" s="1087"/>
      <c r="IS43" s="1087"/>
      <c r="IT43" s="1087"/>
      <c r="IU43" s="1087"/>
      <c r="IV43" s="1087"/>
      <c r="IW43" s="1087"/>
      <c r="IX43" s="1049"/>
      <c r="IY43" s="1049"/>
      <c r="IZ43" s="1041"/>
      <c r="JA43" s="1041"/>
      <c r="JB43" s="1049"/>
      <c r="JC43" s="1049"/>
      <c r="JD43" s="1041"/>
      <c r="JE43" s="1037"/>
      <c r="JF43" s="1080"/>
      <c r="JG43" s="1080"/>
      <c r="JH43" s="1037"/>
      <c r="JI43" s="1035"/>
      <c r="JJ43" s="1035"/>
      <c r="JK43" s="1035"/>
      <c r="JL43" s="1035"/>
      <c r="JM43" s="1035"/>
      <c r="JN43" s="1035"/>
      <c r="JO43" s="1035"/>
      <c r="JP43" s="1035"/>
      <c r="JQ43" s="1035"/>
      <c r="JR43" s="1035"/>
      <c r="JS43" s="1035"/>
      <c r="JT43" s="1035"/>
      <c r="JU43" s="1035"/>
      <c r="JV43" s="1035"/>
      <c r="JW43" s="1035"/>
      <c r="JX43" s="1035"/>
      <c r="JY43" s="1035"/>
      <c r="LV43" s="967"/>
    </row>
    <row r="44" hidden="1" spans="1:334">
      <c r="A44" s="1113" t="s">
        <v>74</v>
      </c>
      <c r="AX44" s="1059"/>
      <c r="BE44" s="1060"/>
      <c r="BN44" s="1059"/>
      <c r="BU44" s="1060"/>
      <c r="BV44" s="1059"/>
      <c r="CC44" s="1060"/>
      <c r="CD44" s="1059"/>
      <c r="CJ44" s="1061"/>
      <c r="CK44" s="1060"/>
      <c r="CL44" s="1059"/>
      <c r="CS44" s="1060"/>
      <c r="CT44" s="1117"/>
      <c r="CU44" s="1117"/>
      <c r="CV44" s="1117"/>
      <c r="CW44" s="1117"/>
      <c r="CX44" s="1117"/>
      <c r="CY44" s="1117"/>
      <c r="CZ44" s="1117"/>
      <c r="DA44" s="1117"/>
      <c r="DB44" s="1082">
        <f t="shared" ref="DB44:DQ44" si="412">DB42/DB21</f>
        <v>0.456140350877193</v>
      </c>
      <c r="DC44" s="1082">
        <f t="shared" si="412"/>
        <v>0.425595238095238</v>
      </c>
      <c r="DD44" s="1082">
        <f t="shared" si="412"/>
        <v>0.439613526570048</v>
      </c>
      <c r="DE44" s="1082">
        <f t="shared" si="412"/>
        <v>0.423631123919308</v>
      </c>
      <c r="DF44" s="1082">
        <f t="shared" si="412"/>
        <v>0.433884297520661</v>
      </c>
      <c r="DG44" s="1082">
        <f t="shared" si="412"/>
        <v>0.386792452830189</v>
      </c>
      <c r="DH44" s="1082">
        <f t="shared" si="412"/>
        <v>0.406015037593985</v>
      </c>
      <c r="DI44" s="1085">
        <f t="shared" si="412"/>
        <v>33.9441545075596</v>
      </c>
      <c r="DJ44" s="1082">
        <f t="shared" si="412"/>
        <v>0.393220338983051</v>
      </c>
      <c r="DK44" s="1082">
        <f t="shared" si="412"/>
        <v>0.38121546961326</v>
      </c>
      <c r="DL44" s="1082">
        <f t="shared" si="412"/>
        <v>0.386605783866058</v>
      </c>
      <c r="DM44" s="1082">
        <f t="shared" si="412"/>
        <v>0.377300613496933</v>
      </c>
      <c r="DN44" s="1082">
        <f t="shared" si="412"/>
        <v>0.38351983723296</v>
      </c>
      <c r="DO44" s="1082">
        <f t="shared" si="412"/>
        <v>0.418831168831169</v>
      </c>
      <c r="DP44" s="1082">
        <f t="shared" si="412"/>
        <v>0.397476340694006</v>
      </c>
      <c r="DQ44" s="1085">
        <f t="shared" si="412"/>
        <v>0.393658159319412</v>
      </c>
      <c r="DR44" s="1083">
        <v>0.45</v>
      </c>
      <c r="DS44" s="1083">
        <v>0.442</v>
      </c>
      <c r="DT44" s="1083">
        <f>DT42/DT21</f>
        <v>0.445596017069701</v>
      </c>
      <c r="DU44" s="1083">
        <v>0.453</v>
      </c>
      <c r="DV44" s="1083">
        <f>DV42/DV21</f>
        <v>0.448202764976959</v>
      </c>
      <c r="DW44" s="1083">
        <f>DW42/DW21</f>
        <v>0.393134328358209</v>
      </c>
      <c r="DX44" s="1083">
        <f>DX42/DX21</f>
        <v>0.425029288702929</v>
      </c>
      <c r="DY44" s="1085">
        <f>DY42/DY21</f>
        <v>0.435211267605634</v>
      </c>
      <c r="DZ44" s="1083">
        <v>0.456</v>
      </c>
      <c r="EA44" s="1083">
        <f t="shared" ref="EA44:EG44" si="413">EA42/EA21</f>
        <v>0.450107317073171</v>
      </c>
      <c r="EB44" s="1083">
        <f t="shared" si="413"/>
        <v>0.452926208651399</v>
      </c>
      <c r="EC44" s="1083">
        <f t="shared" si="413"/>
        <v>0.428223844282238</v>
      </c>
      <c r="ED44" s="1083">
        <f t="shared" si="413"/>
        <v>0.444444444444444</v>
      </c>
      <c r="EE44" s="1083">
        <f t="shared" si="413"/>
        <v>0.408376963350785</v>
      </c>
      <c r="EF44" s="1083">
        <f t="shared" si="413"/>
        <v>0.418136020151133</v>
      </c>
      <c r="EG44" s="1085">
        <f t="shared" si="413"/>
        <v>0.435443037974684</v>
      </c>
      <c r="EH44" s="1083">
        <v>0.437</v>
      </c>
      <c r="EI44" s="1083">
        <f>EI42/EI21</f>
        <v>0.45252</v>
      </c>
      <c r="EJ44" s="1083">
        <v>0.445</v>
      </c>
      <c r="EK44" s="1083">
        <f>EK42/EK21</f>
        <v>0.42630658436214</v>
      </c>
      <c r="EL44" s="1083">
        <f>EL42/EL21</f>
        <v>0.43915003219575</v>
      </c>
      <c r="EM44" s="1083">
        <f>EM42/EM21</f>
        <v>0.384433962264151</v>
      </c>
      <c r="EN44" s="1083">
        <f>EN42/EN21</f>
        <v>0.406796703296703</v>
      </c>
      <c r="EO44" s="1085">
        <f>EO42/EO21</f>
        <v>0.427415275670207</v>
      </c>
      <c r="EP44" s="1083">
        <v>0.446</v>
      </c>
      <c r="EQ44" s="1083">
        <f>EQ42/EQ21</f>
        <v>0.433450199203187</v>
      </c>
      <c r="ER44" s="1083">
        <f>ER42/ER21</f>
        <v>0.44</v>
      </c>
      <c r="ES44" s="1083">
        <f>ES42/ES21</f>
        <v>0.354838709677419</v>
      </c>
      <c r="ET44" s="1083">
        <f>ET42/ET21</f>
        <v>0.416379903647626</v>
      </c>
      <c r="EU44" s="1083">
        <v>0.374</v>
      </c>
      <c r="EV44" s="1114">
        <f>EV42/EV21</f>
        <v>0.365381696428571</v>
      </c>
      <c r="EW44" s="1084">
        <f>EW42/EW21</f>
        <v>0.405643371017472</v>
      </c>
      <c r="EX44" s="1087">
        <v>0.39</v>
      </c>
      <c r="EY44" s="1087">
        <v>0.385</v>
      </c>
      <c r="EZ44" s="1087">
        <f t="shared" ref="EZ44:FE44" si="414">EZ42/EZ21</f>
        <v>0.387375621890547</v>
      </c>
      <c r="FA44" s="1083">
        <f t="shared" si="414"/>
        <v>0.354661016949152</v>
      </c>
      <c r="FB44" s="1087">
        <f t="shared" si="414"/>
        <v>0.377374784110535</v>
      </c>
      <c r="FC44" s="1087">
        <f t="shared" si="414"/>
        <v>0.314207650273224</v>
      </c>
      <c r="FD44" s="1087">
        <f t="shared" si="414"/>
        <v>0.334097222222222</v>
      </c>
      <c r="FE44" s="1088">
        <f t="shared" si="414"/>
        <v>0.299868766404199</v>
      </c>
      <c r="FF44" s="1087">
        <f t="shared" ref="FF44:FN44" si="415">FF42/FF$21</f>
        <v>0.374005305039788</v>
      </c>
      <c r="FG44" s="1087">
        <f t="shared" si="415"/>
        <v>0.30958904109589</v>
      </c>
      <c r="FH44" s="1087">
        <f t="shared" si="415"/>
        <v>0.342318059299191</v>
      </c>
      <c r="FI44" s="1083">
        <f t="shared" si="415"/>
        <v>0.345029239766082</v>
      </c>
      <c r="FJ44" s="1087">
        <f t="shared" si="415"/>
        <v>0.343173431734317</v>
      </c>
      <c r="FK44" s="1087">
        <f t="shared" si="415"/>
        <v>0.326370757180157</v>
      </c>
      <c r="FL44" s="1087">
        <f t="shared" si="415"/>
        <v>0.335172413793103</v>
      </c>
      <c r="FM44" s="1088">
        <f t="shared" si="415"/>
        <v>0.338786639400136</v>
      </c>
      <c r="FN44" s="1087">
        <f t="shared" si="415"/>
        <v>0.368686868686869</v>
      </c>
      <c r="FO44" s="1087">
        <f t="shared" ref="FO44:FX44" si="416">FO42/FO$21</f>
        <v>0.395225464190981</v>
      </c>
      <c r="FP44" s="1087">
        <f t="shared" si="416"/>
        <v>0.381630012936611</v>
      </c>
      <c r="FQ44" s="1087">
        <f t="shared" si="416"/>
        <v>0.377049180327869</v>
      </c>
      <c r="FR44" s="1087">
        <f t="shared" si="416"/>
        <v>0.380158033362599</v>
      </c>
      <c r="FS44" s="1087">
        <f t="shared" si="416"/>
        <v>0.357142857142857</v>
      </c>
      <c r="FT44" s="1087">
        <f t="shared" si="416"/>
        <v>0.367521367521368</v>
      </c>
      <c r="FU44" s="1087">
        <f t="shared" si="416"/>
        <v>0.374915254237288</v>
      </c>
      <c r="FV44" s="1086">
        <f t="shared" si="416"/>
        <v>0.416243654822335</v>
      </c>
      <c r="FW44" s="1087">
        <f t="shared" si="416"/>
        <v>0.398989898989899</v>
      </c>
      <c r="FX44" s="1087">
        <f t="shared" si="416"/>
        <v>0.407594936708861</v>
      </c>
      <c r="FY44" s="1087">
        <f t="shared" ref="FY44:GG44" si="417">FY42/FY$21</f>
        <v>0.354166666666667</v>
      </c>
      <c r="FZ44" s="1087">
        <f t="shared" si="417"/>
        <v>0.390119250425894</v>
      </c>
      <c r="GA44" s="1087">
        <f t="shared" si="417"/>
        <v>0.383116883116883</v>
      </c>
      <c r="GB44" s="1087">
        <f t="shared" si="417"/>
        <v>0.367052023121387</v>
      </c>
      <c r="GC44" s="1088">
        <f t="shared" si="417"/>
        <v>0.388663967611336</v>
      </c>
      <c r="GD44" s="1086">
        <f t="shared" si="417"/>
        <v>0.410526315789474</v>
      </c>
      <c r="GE44" s="1087">
        <f t="shared" si="417"/>
        <v>0.470899470899471</v>
      </c>
      <c r="GF44" s="1087">
        <f t="shared" si="417"/>
        <v>0.440633245382586</v>
      </c>
      <c r="GG44" s="1087">
        <f t="shared" si="417"/>
        <v>0.569565217391304</v>
      </c>
      <c r="GH44" s="1087">
        <f t="shared" ref="GH44:GK44" si="418">GH42/GH$21</f>
        <v>0.489326765188834</v>
      </c>
      <c r="GI44" s="1087">
        <f t="shared" si="418"/>
        <v>0.390909090909091</v>
      </c>
      <c r="GJ44" s="1087">
        <f t="shared" si="418"/>
        <v>0.482222222222222</v>
      </c>
      <c r="GK44" s="1088">
        <f t="shared" si="418"/>
        <v>0.463208685162847</v>
      </c>
      <c r="GL44" s="1087"/>
      <c r="GM44" s="1087"/>
      <c r="GN44" s="1087"/>
      <c r="GO44" s="1087"/>
      <c r="GP44" s="1087"/>
      <c r="GQ44" s="1087"/>
      <c r="GR44" s="1087"/>
      <c r="GS44" s="1088"/>
      <c r="GT44" s="1087"/>
      <c r="GU44" s="1087"/>
      <c r="GV44" s="1087"/>
      <c r="GW44" s="1087"/>
      <c r="GX44" s="1087"/>
      <c r="GY44" s="1087"/>
      <c r="GZ44" s="1087"/>
      <c r="HA44" s="1088"/>
      <c r="HB44" s="1087"/>
      <c r="HC44" s="1087"/>
      <c r="HD44" s="1087"/>
      <c r="HE44" s="1087"/>
      <c r="HF44" s="1087"/>
      <c r="HG44" s="1087"/>
      <c r="HH44" s="1087"/>
      <c r="HI44" s="1088"/>
      <c r="HJ44" s="1087"/>
      <c r="HK44" s="1087"/>
      <c r="HL44" s="1087"/>
      <c r="HM44" s="1087"/>
      <c r="HN44" s="1087"/>
      <c r="HO44" s="1087"/>
      <c r="HP44" s="1087"/>
      <c r="HQ44" s="1088"/>
      <c r="HR44" s="1087"/>
      <c r="HS44" s="1087"/>
      <c r="HT44" s="1087"/>
      <c r="HU44" s="1087"/>
      <c r="HV44" s="1087"/>
      <c r="HW44" s="1087"/>
      <c r="HX44" s="1087"/>
      <c r="HY44" s="1087"/>
      <c r="HZ44" s="1087"/>
      <c r="IA44" s="1087"/>
      <c r="IB44" s="1087"/>
      <c r="IC44" s="1087"/>
      <c r="ID44" s="1087"/>
      <c r="IE44" s="1087"/>
      <c r="IF44" s="1087"/>
      <c r="IG44" s="1088"/>
      <c r="IH44" s="1087"/>
      <c r="II44" s="1087"/>
      <c r="IJ44" s="1087"/>
      <c r="IK44" s="1087"/>
      <c r="IL44" s="1087"/>
      <c r="IM44" s="1087"/>
      <c r="IN44" s="1087"/>
      <c r="IO44" s="1088"/>
      <c r="IP44" s="1087"/>
      <c r="IQ44" s="1087"/>
      <c r="IR44" s="1087"/>
      <c r="IS44" s="1087"/>
      <c r="IT44" s="1087"/>
      <c r="IU44" s="1087"/>
      <c r="IV44" s="1087"/>
      <c r="IW44" s="1087"/>
      <c r="IX44" s="1049"/>
      <c r="IY44" s="1049"/>
      <c r="IZ44" s="1049"/>
      <c r="JA44" s="1049"/>
      <c r="JB44" s="1049"/>
      <c r="JC44" s="1049"/>
      <c r="JD44" s="1049"/>
      <c r="JE44" s="1049"/>
      <c r="JF44" s="1080"/>
      <c r="JG44" s="1080"/>
      <c r="JH44" s="1037"/>
      <c r="JI44" s="1035"/>
      <c r="JJ44" s="1035"/>
      <c r="JK44" s="1035"/>
      <c r="JL44" s="1035"/>
      <c r="JM44" s="1035"/>
      <c r="JN44" s="1035"/>
      <c r="JO44" s="1035"/>
      <c r="JP44" s="1035"/>
      <c r="JQ44" s="1035"/>
      <c r="JR44" s="1035"/>
      <c r="JS44" s="1035"/>
      <c r="JT44" s="1035"/>
      <c r="JU44" s="1035"/>
      <c r="JV44" s="1035"/>
      <c r="JW44" s="1035"/>
      <c r="JX44" s="1035"/>
      <c r="JY44" s="1035"/>
      <c r="LV44" s="967"/>
    </row>
    <row r="45" hidden="1" spans="1:334">
      <c r="A45" s="1105" t="s">
        <v>75</v>
      </c>
      <c r="AX45" s="1059"/>
      <c r="BE45" s="1060"/>
      <c r="BN45" s="1059"/>
      <c r="BU45" s="1060"/>
      <c r="BV45" s="1059"/>
      <c r="CC45" s="1060"/>
      <c r="CD45" s="1059"/>
      <c r="CJ45" s="1061"/>
      <c r="CK45" s="1060"/>
      <c r="CL45" s="1059"/>
      <c r="CS45" s="1060"/>
      <c r="CT45" s="1105"/>
      <c r="CU45" s="1105"/>
      <c r="CV45" s="1105"/>
      <c r="CW45" s="1105"/>
      <c r="CX45" s="1105"/>
      <c r="CY45" s="1105"/>
      <c r="CZ45" s="1105"/>
      <c r="DA45" s="1105"/>
      <c r="DB45" s="1106">
        <f t="shared" ref="DB45:DQ45" si="419">SUM(DB42,DB36,DB33)</f>
        <v>1227</v>
      </c>
      <c r="DC45" s="1106">
        <f t="shared" si="419"/>
        <v>1170</v>
      </c>
      <c r="DD45" s="1106">
        <f t="shared" si="419"/>
        <v>2397</v>
      </c>
      <c r="DE45" s="1106">
        <f t="shared" si="419"/>
        <v>1467</v>
      </c>
      <c r="DF45" s="1106">
        <f t="shared" si="419"/>
        <v>3864</v>
      </c>
      <c r="DG45" s="1106">
        <f t="shared" si="419"/>
        <v>1134</v>
      </c>
      <c r="DH45" s="1106">
        <f t="shared" si="419"/>
        <v>2601</v>
      </c>
      <c r="DI45" s="1107">
        <f t="shared" si="419"/>
        <v>4999</v>
      </c>
      <c r="DJ45" s="1106">
        <f t="shared" si="419"/>
        <v>1132</v>
      </c>
      <c r="DK45" s="1106">
        <f t="shared" si="419"/>
        <v>1070</v>
      </c>
      <c r="DL45" s="1106">
        <f t="shared" si="419"/>
        <v>2202</v>
      </c>
      <c r="DM45" s="1106">
        <f t="shared" si="419"/>
        <v>1284</v>
      </c>
      <c r="DN45" s="1106">
        <f t="shared" si="419"/>
        <v>3486</v>
      </c>
      <c r="DO45" s="1106">
        <f t="shared" si="419"/>
        <v>1117</v>
      </c>
      <c r="DP45" s="1106">
        <f t="shared" si="419"/>
        <v>2401</v>
      </c>
      <c r="DQ45" s="1107">
        <f t="shared" si="419"/>
        <v>4603</v>
      </c>
      <c r="DR45" s="1106">
        <f>DR395</f>
        <v>1299.564</v>
      </c>
      <c r="DS45" s="1106">
        <f>DS395</f>
        <v>1426.413</v>
      </c>
      <c r="DT45" s="1106">
        <f>DT395</f>
        <v>2727.92</v>
      </c>
      <c r="DU45" s="1106">
        <f>DU395</f>
        <v>1640.364</v>
      </c>
      <c r="DV45" s="1106">
        <f>DT45+DU45</f>
        <v>4368.284</v>
      </c>
      <c r="DW45" s="1106">
        <v>1361</v>
      </c>
      <c r="DX45" s="1106">
        <f>DU45+DW45</f>
        <v>3001.364</v>
      </c>
      <c r="DY45" s="1107">
        <v>5728</v>
      </c>
      <c r="DZ45" s="1106">
        <f>DZ395</f>
        <v>1587.405</v>
      </c>
      <c r="EA45" s="1106">
        <f>EA395</f>
        <v>1506</v>
      </c>
      <c r="EB45" s="1106">
        <f>EB395</f>
        <v>3093.405</v>
      </c>
      <c r="EC45" s="1106">
        <f>EC395</f>
        <v>1762</v>
      </c>
      <c r="ED45" s="1106">
        <f>EB45+EC45</f>
        <v>4855.405</v>
      </c>
      <c r="EE45" s="1106">
        <f>EE395</f>
        <v>1478</v>
      </c>
      <c r="EF45" s="1106">
        <f>EC45+EE45</f>
        <v>3240</v>
      </c>
      <c r="EG45" s="1107">
        <f>EG395</f>
        <v>6344</v>
      </c>
      <c r="EH45" s="1106">
        <f>EH395</f>
        <v>1826</v>
      </c>
      <c r="EI45" s="1106">
        <f>EI395</f>
        <v>1697</v>
      </c>
      <c r="EJ45" s="1106">
        <f>EJ395</f>
        <v>3523</v>
      </c>
      <c r="EK45" s="1106">
        <f>EK395</f>
        <v>1978</v>
      </c>
      <c r="EL45" s="1106">
        <f>EJ45+EK45</f>
        <v>5501</v>
      </c>
      <c r="EM45" s="1106">
        <f>EN45-EK45</f>
        <v>1603</v>
      </c>
      <c r="EN45" s="1106">
        <f>EO45-EJ45</f>
        <v>3581</v>
      </c>
      <c r="EO45" s="1107">
        <f>EO395</f>
        <v>7104</v>
      </c>
      <c r="EP45" s="1106">
        <f>EP395</f>
        <v>1881</v>
      </c>
      <c r="EQ45" s="1106">
        <f t="shared" ref="EQ45:EW45" si="420">EQ395</f>
        <v>1694</v>
      </c>
      <c r="ER45" s="1106">
        <f t="shared" si="420"/>
        <v>3575</v>
      </c>
      <c r="ES45" s="1106">
        <f t="shared" si="420"/>
        <v>1913</v>
      </c>
      <c r="ET45" s="1106">
        <f t="shared" si="420"/>
        <v>5488</v>
      </c>
      <c r="EU45" s="1106">
        <f t="shared" si="420"/>
        <v>1652</v>
      </c>
      <c r="EV45" s="1106">
        <f t="shared" si="420"/>
        <v>3565</v>
      </c>
      <c r="EW45" s="1107">
        <f t="shared" si="420"/>
        <v>7140</v>
      </c>
      <c r="EX45" s="1106">
        <f t="shared" ref="EX45:FE45" si="421">EX395</f>
        <v>1712</v>
      </c>
      <c r="EY45" s="1106">
        <f t="shared" si="421"/>
        <v>1673</v>
      </c>
      <c r="EZ45" s="1106">
        <f t="shared" si="421"/>
        <v>3385</v>
      </c>
      <c r="FA45" s="1106">
        <f t="shared" si="421"/>
        <v>1918</v>
      </c>
      <c r="FB45" s="1106">
        <f t="shared" si="421"/>
        <v>5303</v>
      </c>
      <c r="FC45" s="1106">
        <f t="shared" si="421"/>
        <v>1621</v>
      </c>
      <c r="FD45" s="1106">
        <f t="shared" si="421"/>
        <v>3539</v>
      </c>
      <c r="FE45" s="1107">
        <f t="shared" si="421"/>
        <v>6924</v>
      </c>
      <c r="FF45" s="1106">
        <f t="shared" ref="FF45:FL45" si="422">FF395</f>
        <v>2008</v>
      </c>
      <c r="FG45" s="1106">
        <f t="shared" si="422"/>
        <v>1889</v>
      </c>
      <c r="FH45" s="1106">
        <f t="shared" si="422"/>
        <v>3897</v>
      </c>
      <c r="FI45" s="1106">
        <f t="shared" si="422"/>
        <v>2304</v>
      </c>
      <c r="FJ45" s="1106">
        <f t="shared" si="422"/>
        <v>6201</v>
      </c>
      <c r="FK45" s="1106">
        <f t="shared" si="422"/>
        <v>1967</v>
      </c>
      <c r="FL45" s="1106">
        <f t="shared" si="422"/>
        <v>4271</v>
      </c>
      <c r="FM45" s="1107">
        <f t="shared" ref="FM45:FR45" si="423">FM395</f>
        <v>8168</v>
      </c>
      <c r="FN45" s="1106">
        <f t="shared" si="423"/>
        <v>2358</v>
      </c>
      <c r="FO45" s="1106">
        <f t="shared" si="423"/>
        <v>2159</v>
      </c>
      <c r="FP45" s="1106">
        <f t="shared" si="423"/>
        <v>4517</v>
      </c>
      <c r="FQ45" s="1106">
        <f t="shared" si="423"/>
        <v>2574</v>
      </c>
      <c r="FR45" s="1106">
        <f t="shared" si="423"/>
        <v>7091</v>
      </c>
      <c r="FS45" s="1106">
        <f t="shared" ref="FS45:FZ45" si="424">FS395</f>
        <v>2288</v>
      </c>
      <c r="FT45" s="1106">
        <f t="shared" si="424"/>
        <v>4862</v>
      </c>
      <c r="FU45" s="1106">
        <f t="shared" si="424"/>
        <v>9379</v>
      </c>
      <c r="FV45" s="1108">
        <f t="shared" si="424"/>
        <v>2702</v>
      </c>
      <c r="FW45" s="1106">
        <f t="shared" si="424"/>
        <v>2525</v>
      </c>
      <c r="FX45" s="1106">
        <f t="shared" si="424"/>
        <v>5227</v>
      </c>
      <c r="FY45" s="1106">
        <f t="shared" si="424"/>
        <v>2864</v>
      </c>
      <c r="FZ45" s="1106">
        <f t="shared" si="424"/>
        <v>8091</v>
      </c>
      <c r="GA45" s="1106">
        <f t="shared" ref="GA45:GC45" si="425">GA395</f>
        <v>2612</v>
      </c>
      <c r="GB45" s="1106">
        <f t="shared" si="425"/>
        <v>5476</v>
      </c>
      <c r="GC45" s="1107">
        <f t="shared" si="425"/>
        <v>10703</v>
      </c>
      <c r="GD45" s="1108">
        <f t="shared" ref="GD45:GF45" si="426">GD395</f>
        <v>2835</v>
      </c>
      <c r="GE45" s="1106">
        <f t="shared" si="426"/>
        <v>2751</v>
      </c>
      <c r="GF45" s="1106">
        <f t="shared" si="426"/>
        <v>5586</v>
      </c>
      <c r="GG45" s="1106">
        <f t="shared" ref="GG45:GK45" si="427">GG395</f>
        <v>3044</v>
      </c>
      <c r="GH45" s="1106">
        <f t="shared" si="427"/>
        <v>8630</v>
      </c>
      <c r="GI45" s="1106">
        <f t="shared" si="427"/>
        <v>2733</v>
      </c>
      <c r="GJ45" s="1106">
        <f t="shared" si="427"/>
        <v>5777</v>
      </c>
      <c r="GK45" s="1107">
        <f t="shared" si="427"/>
        <v>11363</v>
      </c>
      <c r="GL45" s="1106"/>
      <c r="GM45" s="1106"/>
      <c r="GN45" s="1106"/>
      <c r="GO45" s="1106"/>
      <c r="GP45" s="1106"/>
      <c r="GQ45" s="1106"/>
      <c r="GR45" s="1106"/>
      <c r="GS45" s="1107"/>
      <c r="GT45" s="1106"/>
      <c r="GU45" s="1106"/>
      <c r="GV45" s="1106"/>
      <c r="GW45" s="1106"/>
      <c r="GX45" s="1106"/>
      <c r="GY45" s="1106"/>
      <c r="GZ45" s="1106"/>
      <c r="HA45" s="1107"/>
      <c r="HB45" s="1106"/>
      <c r="HC45" s="1106"/>
      <c r="HD45" s="1106"/>
      <c r="HE45" s="1106"/>
      <c r="HF45" s="1106"/>
      <c r="HG45" s="1106"/>
      <c r="HH45" s="1106"/>
      <c r="HI45" s="1107"/>
      <c r="HJ45" s="1106"/>
      <c r="HK45" s="1106"/>
      <c r="HL45" s="1106"/>
      <c r="HM45" s="1106"/>
      <c r="HN45" s="1106"/>
      <c r="HO45" s="1106"/>
      <c r="HP45" s="1106"/>
      <c r="HQ45" s="1107"/>
      <c r="HR45" s="1106"/>
      <c r="HS45" s="1106"/>
      <c r="HT45" s="1106"/>
      <c r="HU45" s="1106"/>
      <c r="HV45" s="1106"/>
      <c r="HW45" s="1106"/>
      <c r="HX45" s="1106"/>
      <c r="HY45" s="1106"/>
      <c r="HZ45" s="1106"/>
      <c r="IA45" s="1106"/>
      <c r="IB45" s="1106"/>
      <c r="IC45" s="1106"/>
      <c r="ID45" s="1106"/>
      <c r="IE45" s="1106"/>
      <c r="IF45" s="1106"/>
      <c r="IG45" s="1107"/>
      <c r="IH45" s="1106"/>
      <c r="II45" s="1106"/>
      <c r="IJ45" s="1106"/>
      <c r="IK45" s="1106"/>
      <c r="IL45" s="1106"/>
      <c r="IM45" s="1106"/>
      <c r="IN45" s="1106"/>
      <c r="IO45" s="1107"/>
      <c r="IP45" s="1106"/>
      <c r="IQ45" s="1106"/>
      <c r="IR45" s="1106"/>
      <c r="IS45" s="1106"/>
      <c r="IT45" s="1106"/>
      <c r="IU45" s="1106"/>
      <c r="IV45" s="1106"/>
      <c r="IW45" s="1106"/>
      <c r="IX45" s="1049"/>
      <c r="IY45" s="1120"/>
      <c r="IZ45" s="1120"/>
      <c r="JA45" s="1120"/>
      <c r="JB45" s="1049"/>
      <c r="JC45" s="1049"/>
      <c r="JD45" s="1049"/>
      <c r="JE45" s="1037"/>
      <c r="JF45" s="1080"/>
      <c r="JG45" s="1080"/>
      <c r="JH45" s="1037"/>
      <c r="JI45" s="1035"/>
      <c r="JJ45" s="1035"/>
      <c r="JK45" s="1035"/>
      <c r="JL45" s="1035"/>
      <c r="JM45" s="1035"/>
      <c r="JN45" s="1035"/>
      <c r="JO45" s="1035"/>
      <c r="JP45" s="1035"/>
      <c r="JQ45" s="1035"/>
      <c r="JR45" s="1035"/>
      <c r="JS45" s="1035"/>
      <c r="JT45" s="1035"/>
      <c r="JU45" s="1035"/>
      <c r="JV45" s="1035"/>
      <c r="JW45" s="1035"/>
      <c r="JX45" s="1035"/>
      <c r="JY45" s="1035"/>
      <c r="LV45" s="967"/>
    </row>
    <row r="46" s="1024" customFormat="1" hidden="1" spans="1:334">
      <c r="A46" s="1113" t="s">
        <v>61</v>
      </c>
      <c r="B46" s="1121"/>
      <c r="C46" s="1121"/>
      <c r="D46" s="1121"/>
      <c r="E46" s="1121"/>
      <c r="F46" s="1121"/>
      <c r="G46" s="1121"/>
      <c r="H46" s="1121"/>
      <c r="I46" s="1121"/>
      <c r="J46" s="1121"/>
      <c r="K46" s="1121"/>
      <c r="L46" s="1121"/>
      <c r="M46" s="1121"/>
      <c r="N46" s="1121"/>
      <c r="O46" s="1121"/>
      <c r="P46" s="1121"/>
      <c r="Q46" s="1121"/>
      <c r="R46" s="1121"/>
      <c r="S46" s="1121"/>
      <c r="T46" s="1121"/>
      <c r="U46" s="1121"/>
      <c r="V46" s="1121"/>
      <c r="W46" s="1121"/>
      <c r="X46" s="1121"/>
      <c r="Y46" s="1121"/>
      <c r="Z46" s="1121"/>
      <c r="AA46" s="1121"/>
      <c r="AB46" s="1121"/>
      <c r="AC46" s="1121"/>
      <c r="AD46" s="1121"/>
      <c r="AE46" s="1121"/>
      <c r="AF46" s="1121"/>
      <c r="AG46" s="1121"/>
      <c r="AH46" s="1121"/>
      <c r="AI46" s="1121"/>
      <c r="AJ46" s="1121"/>
      <c r="AK46" s="1121"/>
      <c r="AL46" s="1121"/>
      <c r="AM46" s="1121"/>
      <c r="AN46" s="1121"/>
      <c r="AO46" s="1121"/>
      <c r="AP46" s="1121"/>
      <c r="AQ46" s="1121"/>
      <c r="AR46" s="1121"/>
      <c r="AS46" s="1121"/>
      <c r="AT46" s="1121"/>
      <c r="AU46" s="1121"/>
      <c r="AV46" s="1121"/>
      <c r="AW46" s="1121"/>
      <c r="AX46" s="1122"/>
      <c r="AY46" s="1121"/>
      <c r="AZ46" s="1121"/>
      <c r="BA46" s="1121"/>
      <c r="BB46" s="1121"/>
      <c r="BC46" s="1121"/>
      <c r="BD46" s="1121"/>
      <c r="BE46" s="1123"/>
      <c r="BF46" s="1121"/>
      <c r="BG46" s="1121"/>
      <c r="BH46" s="1121"/>
      <c r="BI46" s="1121"/>
      <c r="BJ46" s="1121"/>
      <c r="BK46" s="1121"/>
      <c r="BL46" s="1121"/>
      <c r="BM46" s="1121"/>
      <c r="BN46" s="1122"/>
      <c r="BO46" s="1121"/>
      <c r="BP46" s="1121"/>
      <c r="BQ46" s="1121"/>
      <c r="BR46" s="1121"/>
      <c r="BS46" s="1121"/>
      <c r="BT46" s="1121"/>
      <c r="BU46" s="1123"/>
      <c r="BV46" s="1122"/>
      <c r="BW46" s="1121"/>
      <c r="BX46" s="1121"/>
      <c r="BY46" s="1121"/>
      <c r="BZ46" s="1121"/>
      <c r="CA46" s="1121"/>
      <c r="CB46" s="1121"/>
      <c r="CC46" s="1123"/>
      <c r="CD46" s="1122"/>
      <c r="CE46" s="1121"/>
      <c r="CF46" s="1121"/>
      <c r="CG46" s="1121"/>
      <c r="CH46" s="1121"/>
      <c r="CI46" s="1121"/>
      <c r="CJ46" s="917"/>
      <c r="CK46" s="1123"/>
      <c r="CL46" s="1122"/>
      <c r="CM46" s="1121"/>
      <c r="CN46" s="1121"/>
      <c r="CO46" s="1121"/>
      <c r="CP46" s="1121"/>
      <c r="CQ46" s="1121"/>
      <c r="CR46" s="1121"/>
      <c r="CS46" s="1123"/>
      <c r="CT46" s="1124"/>
      <c r="CU46" s="1124"/>
      <c r="CV46" s="1124"/>
      <c r="CW46" s="1124"/>
      <c r="CX46" s="1124"/>
      <c r="CY46" s="1124"/>
      <c r="CZ46" s="1124"/>
      <c r="DA46" s="1124"/>
      <c r="DB46" s="1073"/>
      <c r="DC46" s="1073"/>
      <c r="DD46" s="1073"/>
      <c r="DE46" s="1073"/>
      <c r="DF46" s="1073"/>
      <c r="DG46" s="1073"/>
      <c r="DH46" s="1073"/>
      <c r="DI46" s="1074"/>
      <c r="DJ46" s="1080">
        <f t="shared" ref="DJ46:DP46" si="428">DJ45/DB45-1</f>
        <v>-0.0774246128769356</v>
      </c>
      <c r="DK46" s="1080">
        <f t="shared" si="428"/>
        <v>-0.0854700854700855</v>
      </c>
      <c r="DL46" s="1080">
        <f t="shared" si="428"/>
        <v>-0.081351689612015</v>
      </c>
      <c r="DM46" s="1080">
        <f t="shared" si="428"/>
        <v>-0.124744376278119</v>
      </c>
      <c r="DN46" s="1080">
        <f t="shared" si="428"/>
        <v>-0.0978260869565217</v>
      </c>
      <c r="DO46" s="1080">
        <f t="shared" si="428"/>
        <v>-0.0149911816578483</v>
      </c>
      <c r="DP46" s="1080">
        <f t="shared" si="428"/>
        <v>-0.0768935024990388</v>
      </c>
      <c r="DQ46" s="1081">
        <f t="shared" ref="DQ46:DY46" si="429">DQ45/DI45-1</f>
        <v>-0.0792158431686337</v>
      </c>
      <c r="DR46" s="1080">
        <f t="shared" si="429"/>
        <v>0.148024734982332</v>
      </c>
      <c r="DS46" s="1080">
        <f t="shared" si="429"/>
        <v>0.333096261682243</v>
      </c>
      <c r="DT46" s="1080">
        <f t="shared" si="429"/>
        <v>0.238837420526794</v>
      </c>
      <c r="DU46" s="1080">
        <f t="shared" si="429"/>
        <v>0.277542056074766</v>
      </c>
      <c r="DV46" s="1080">
        <f t="shared" si="429"/>
        <v>0.253093516924842</v>
      </c>
      <c r="DW46" s="1080">
        <f t="shared" si="429"/>
        <v>0.218442256042972</v>
      </c>
      <c r="DX46" s="1080">
        <f t="shared" si="429"/>
        <v>0.250047480216576</v>
      </c>
      <c r="DY46" s="1081">
        <f t="shared" si="429"/>
        <v>0.244405822289811</v>
      </c>
      <c r="DZ46" s="1080">
        <f t="shared" ref="DZ46:EH46" si="430">DZ45/DR45-1</f>
        <v>0.221490438331625</v>
      </c>
      <c r="EA46" s="1080">
        <f t="shared" si="430"/>
        <v>0.0557952009691443</v>
      </c>
      <c r="EB46" s="1080">
        <f t="shared" si="430"/>
        <v>0.133979368896448</v>
      </c>
      <c r="EC46" s="1080">
        <f t="shared" si="430"/>
        <v>0.0741518345928101</v>
      </c>
      <c r="ED46" s="1080">
        <f t="shared" si="430"/>
        <v>0.111513125062382</v>
      </c>
      <c r="EE46" s="1080">
        <f t="shared" si="430"/>
        <v>0.0859662013225568</v>
      </c>
      <c r="EF46" s="1080">
        <f t="shared" si="430"/>
        <v>0.0795091831580577</v>
      </c>
      <c r="EG46" s="1081">
        <f t="shared" si="430"/>
        <v>0.107541899441341</v>
      </c>
      <c r="EH46" s="1080">
        <f t="shared" si="430"/>
        <v>0.150305057625496</v>
      </c>
      <c r="EI46" s="1080">
        <f t="shared" ref="EI46:EQ46" si="431">EI45/EA45-1</f>
        <v>0.126826029216468</v>
      </c>
      <c r="EJ46" s="1080">
        <f t="shared" si="431"/>
        <v>0.138874476507279</v>
      </c>
      <c r="EK46" s="1080">
        <f t="shared" si="431"/>
        <v>0.122587968217934</v>
      </c>
      <c r="EL46" s="1080">
        <f t="shared" si="431"/>
        <v>0.132964191452618</v>
      </c>
      <c r="EM46" s="1080">
        <f t="shared" si="431"/>
        <v>0.0845737483085249</v>
      </c>
      <c r="EN46" s="1080">
        <f t="shared" si="431"/>
        <v>0.105246913580247</v>
      </c>
      <c r="EO46" s="1081">
        <f t="shared" si="431"/>
        <v>0.119798234552333</v>
      </c>
      <c r="EP46" s="1080">
        <f t="shared" si="431"/>
        <v>0.0301204819277108</v>
      </c>
      <c r="EQ46" s="1080">
        <f t="shared" si="431"/>
        <v>-0.00176782557454336</v>
      </c>
      <c r="ER46" s="1083">
        <f t="shared" ref="ER46:EW46" si="432">ER45/EJ45-1</f>
        <v>0.014760147601476</v>
      </c>
      <c r="ES46" s="1083">
        <f t="shared" si="432"/>
        <v>-0.0328614762386249</v>
      </c>
      <c r="ET46" s="1083">
        <f t="shared" si="432"/>
        <v>-0.00236320668969281</v>
      </c>
      <c r="EU46" s="1083">
        <f t="shared" si="432"/>
        <v>0.0305676855895196</v>
      </c>
      <c r="EV46" s="1114">
        <f t="shared" si="432"/>
        <v>-0.00446802569114768</v>
      </c>
      <c r="EW46" s="1084">
        <f t="shared" si="432"/>
        <v>0.00506756756756754</v>
      </c>
      <c r="EX46" s="1083">
        <f t="shared" ref="EX46:FE46" si="433">EX45/EP45-1</f>
        <v>-0.089845826687932</v>
      </c>
      <c r="EY46" s="1083">
        <f t="shared" si="433"/>
        <v>-0.012396694214876</v>
      </c>
      <c r="EZ46" s="1083">
        <f t="shared" si="433"/>
        <v>-0.0531468531468532</v>
      </c>
      <c r="FA46" s="1083">
        <f t="shared" si="433"/>
        <v>0.00261369576581294</v>
      </c>
      <c r="FB46" s="1083">
        <f t="shared" si="433"/>
        <v>-0.0337099125364432</v>
      </c>
      <c r="FC46" s="1083">
        <f t="shared" si="433"/>
        <v>-0.0187651331719129</v>
      </c>
      <c r="FD46" s="1083">
        <f t="shared" si="433"/>
        <v>-0.00729312762973355</v>
      </c>
      <c r="FE46" s="1084">
        <f t="shared" si="433"/>
        <v>-0.0302521008403361</v>
      </c>
      <c r="FF46" s="1083">
        <f t="shared" ref="FF46:FN46" si="434">FF45/EX45-1</f>
        <v>0.172897196261682</v>
      </c>
      <c r="FG46" s="1083">
        <f t="shared" si="434"/>
        <v>0.12910938433951</v>
      </c>
      <c r="FH46" s="1083">
        <f t="shared" si="434"/>
        <v>0.151255539143279</v>
      </c>
      <c r="FI46" s="1083">
        <f t="shared" si="434"/>
        <v>0.201251303441085</v>
      </c>
      <c r="FJ46" s="1083">
        <f t="shared" si="434"/>
        <v>0.169338110503489</v>
      </c>
      <c r="FK46" s="1083">
        <f t="shared" si="434"/>
        <v>0.213448488587292</v>
      </c>
      <c r="FL46" s="1083">
        <f t="shared" si="434"/>
        <v>0.206838089855891</v>
      </c>
      <c r="FM46" s="1084">
        <f t="shared" si="434"/>
        <v>0.179664933564414</v>
      </c>
      <c r="FN46" s="1083">
        <f t="shared" si="434"/>
        <v>0.174302788844622</v>
      </c>
      <c r="FO46" s="1083">
        <f t="shared" ref="FO46:FX46" si="435">FO45/FG45-1</f>
        <v>0.142932768660667</v>
      </c>
      <c r="FP46" s="1083">
        <f t="shared" si="435"/>
        <v>0.159096741082884</v>
      </c>
      <c r="FQ46" s="1083">
        <f t="shared" si="435"/>
        <v>0.1171875</v>
      </c>
      <c r="FR46" s="1083">
        <f t="shared" si="435"/>
        <v>0.143525237864861</v>
      </c>
      <c r="FS46" s="1083">
        <f t="shared" si="435"/>
        <v>0.163192679206914</v>
      </c>
      <c r="FT46" s="1083">
        <f t="shared" si="435"/>
        <v>0.138375087801452</v>
      </c>
      <c r="FU46" s="1083">
        <f t="shared" si="435"/>
        <v>0.148261508325171</v>
      </c>
      <c r="FV46" s="1115">
        <f t="shared" si="435"/>
        <v>0.145886344359627</v>
      </c>
      <c r="FW46" s="1083">
        <f t="shared" si="435"/>
        <v>0.169522927281149</v>
      </c>
      <c r="FX46" s="1083">
        <f t="shared" si="435"/>
        <v>0.157183971662608</v>
      </c>
      <c r="FY46" s="1083">
        <f t="shared" ref="FY46" si="436">FY45/FQ45-1</f>
        <v>0.112665112665113</v>
      </c>
      <c r="FZ46" s="1083">
        <f t="shared" ref="FZ46" si="437">FZ45/FR45-1</f>
        <v>0.141023833027782</v>
      </c>
      <c r="GA46" s="1083">
        <f t="shared" ref="GA46" si="438">GA45/FS45-1</f>
        <v>0.141608391608392</v>
      </c>
      <c r="GB46" s="1083">
        <f t="shared" ref="GB46" si="439">GB45/FT45-1</f>
        <v>0.126285479226656</v>
      </c>
      <c r="GC46" s="1084">
        <f t="shared" ref="GC46:GH46" si="440">GC45/FU45-1</f>
        <v>0.141166435654121</v>
      </c>
      <c r="GD46" s="1115">
        <f t="shared" si="440"/>
        <v>0.0492227979274611</v>
      </c>
      <c r="GE46" s="1083">
        <f t="shared" si="440"/>
        <v>0.0895049504950496</v>
      </c>
      <c r="GF46" s="1083">
        <f t="shared" si="440"/>
        <v>0.0686818442701358</v>
      </c>
      <c r="GG46" s="1083">
        <f t="shared" si="440"/>
        <v>0.0628491620111731</v>
      </c>
      <c r="GH46" s="1083">
        <f t="shared" si="440"/>
        <v>0.0666172290198987</v>
      </c>
      <c r="GI46" s="1083">
        <f t="shared" ref="GI46" si="441">GI45/GA45-1</f>
        <v>0.0463246554364469</v>
      </c>
      <c r="GJ46" s="1083">
        <f t="shared" ref="GJ46" si="442">GJ45/GB45-1</f>
        <v>0.0549671292914535</v>
      </c>
      <c r="GK46" s="1084">
        <f t="shared" ref="GK46" si="443">GK45/GC45-1</f>
        <v>0.0616649537512846</v>
      </c>
      <c r="GL46" s="1083"/>
      <c r="GM46" s="1083"/>
      <c r="GN46" s="1083"/>
      <c r="GO46" s="1083"/>
      <c r="GP46" s="1083"/>
      <c r="GQ46" s="1083"/>
      <c r="GR46" s="1083"/>
      <c r="GS46" s="1084"/>
      <c r="GT46" s="1083"/>
      <c r="GU46" s="1083"/>
      <c r="GV46" s="1083"/>
      <c r="GW46" s="1083"/>
      <c r="GX46" s="1083"/>
      <c r="GY46" s="1083"/>
      <c r="GZ46" s="1083"/>
      <c r="HA46" s="1084"/>
      <c r="HB46" s="1083"/>
      <c r="HC46" s="1083"/>
      <c r="HD46" s="1083"/>
      <c r="HE46" s="1083"/>
      <c r="HF46" s="1083"/>
      <c r="HG46" s="1083"/>
      <c r="HH46" s="1083"/>
      <c r="HI46" s="1084"/>
      <c r="HJ46" s="1083"/>
      <c r="HK46" s="1083"/>
      <c r="HL46" s="1083"/>
      <c r="HM46" s="1083"/>
      <c r="HN46" s="1083"/>
      <c r="HO46" s="1083"/>
      <c r="HP46" s="1083"/>
      <c r="HQ46" s="1084"/>
      <c r="HR46" s="1083"/>
      <c r="HS46" s="1083"/>
      <c r="HT46" s="1083"/>
      <c r="HU46" s="1083"/>
      <c r="HV46" s="1083"/>
      <c r="HW46" s="1083"/>
      <c r="HX46" s="1083"/>
      <c r="HY46" s="1083"/>
      <c r="HZ46" s="1083"/>
      <c r="IA46" s="1083"/>
      <c r="IB46" s="1083"/>
      <c r="IC46" s="1083"/>
      <c r="ID46" s="1083"/>
      <c r="IE46" s="1083"/>
      <c r="IF46" s="1083"/>
      <c r="IG46" s="1084"/>
      <c r="IH46" s="1083"/>
      <c r="II46" s="1083"/>
      <c r="IJ46" s="1083"/>
      <c r="IK46" s="1083"/>
      <c r="IL46" s="1083"/>
      <c r="IM46" s="1083"/>
      <c r="IN46" s="1083"/>
      <c r="IO46" s="1084"/>
      <c r="IP46" s="1083"/>
      <c r="IQ46" s="1083"/>
      <c r="IR46" s="1083"/>
      <c r="IS46" s="1083"/>
      <c r="IT46" s="1083"/>
      <c r="IU46" s="1083"/>
      <c r="IV46" s="1083"/>
      <c r="IW46" s="1083"/>
      <c r="IX46" s="1049"/>
      <c r="IY46" s="1049"/>
      <c r="IZ46" s="1049"/>
      <c r="JA46" s="1049"/>
      <c r="JB46" s="1049"/>
      <c r="JC46" s="1049"/>
      <c r="JD46" s="1125"/>
      <c r="JE46" s="1126"/>
      <c r="JF46" s="1080"/>
      <c r="JG46" s="1080"/>
      <c r="JH46" s="1126"/>
      <c r="LV46" s="1127"/>
    </row>
    <row r="47" hidden="1" spans="1:334">
      <c r="A47" s="1113" t="s">
        <v>74</v>
      </c>
      <c r="AX47" s="1059"/>
      <c r="BE47" s="1060"/>
      <c r="BN47" s="1059"/>
      <c r="BU47" s="1060"/>
      <c r="BV47" s="1059"/>
      <c r="CC47" s="1060"/>
      <c r="CD47" s="1059"/>
      <c r="CJ47" s="1061"/>
      <c r="CK47" s="1060"/>
      <c r="CL47" s="1059"/>
      <c r="CS47" s="1060"/>
      <c r="CT47" s="1117"/>
      <c r="CU47" s="1117"/>
      <c r="CV47" s="1117"/>
      <c r="CW47" s="1117"/>
      <c r="CX47" s="1117"/>
      <c r="CY47" s="1117"/>
      <c r="CZ47" s="1117"/>
      <c r="DA47" s="1117"/>
      <c r="DB47" s="1082">
        <f t="shared" ref="DB47:EG47" si="444">DB45/DB26</f>
        <v>0.469575200918484</v>
      </c>
      <c r="DC47" s="1082">
        <f t="shared" si="444"/>
        <v>0.465393794749403</v>
      </c>
      <c r="DD47" s="1082">
        <f t="shared" si="444"/>
        <v>0.467524868344061</v>
      </c>
      <c r="DE47" s="1082">
        <f t="shared" si="444"/>
        <v>0.476453393959078</v>
      </c>
      <c r="DF47" s="1082">
        <f t="shared" si="444"/>
        <v>0.470874969534487</v>
      </c>
      <c r="DG47" s="1082">
        <f t="shared" si="444"/>
        <v>0.440217391304348</v>
      </c>
      <c r="DH47" s="1082">
        <f t="shared" si="444"/>
        <v>0.459946949602122</v>
      </c>
      <c r="DI47" s="1085">
        <f t="shared" si="444"/>
        <v>0.525546851185338</v>
      </c>
      <c r="DJ47" s="1128">
        <f t="shared" si="444"/>
        <v>0.439270469538223</v>
      </c>
      <c r="DK47" s="1082">
        <f t="shared" si="444"/>
        <v>0.435490435490435</v>
      </c>
      <c r="DL47" s="1082">
        <f t="shared" si="444"/>
        <v>0.437425506555423</v>
      </c>
      <c r="DM47" s="1082">
        <f t="shared" si="444"/>
        <v>0.444598337950138</v>
      </c>
      <c r="DN47" s="1082">
        <f t="shared" si="444"/>
        <v>0.439984854221886</v>
      </c>
      <c r="DO47" s="1082">
        <f t="shared" si="444"/>
        <v>0.454434499593165</v>
      </c>
      <c r="DP47" s="1082">
        <f t="shared" si="444"/>
        <v>0.44954128440367</v>
      </c>
      <c r="DQ47" s="1085">
        <f t="shared" si="444"/>
        <v>0.444176396796295</v>
      </c>
      <c r="DR47" s="1083">
        <f t="shared" si="444"/>
        <v>0.486</v>
      </c>
      <c r="DS47" s="1083">
        <f t="shared" si="444"/>
        <v>0.489</v>
      </c>
      <c r="DT47" s="1083">
        <f t="shared" si="444"/>
        <v>0.488</v>
      </c>
      <c r="DU47" s="1083">
        <f t="shared" si="444"/>
        <v>0.473</v>
      </c>
      <c r="DV47" s="1083">
        <f t="shared" si="444"/>
        <v>0.482257010377567</v>
      </c>
      <c r="DW47" s="1083">
        <f t="shared" si="444"/>
        <v>0.46418826739427</v>
      </c>
      <c r="DX47" s="1083">
        <f t="shared" si="444"/>
        <v>0.468963125</v>
      </c>
      <c r="DY47" s="1082">
        <f t="shared" si="444"/>
        <v>0.477731442869058</v>
      </c>
      <c r="DZ47" s="1115">
        <f t="shared" si="444"/>
        <v>0.485</v>
      </c>
      <c r="EA47" s="1083">
        <f t="shared" si="444"/>
        <v>0.491514360313316</v>
      </c>
      <c r="EB47" s="1083">
        <f t="shared" si="444"/>
        <v>0.488149755404766</v>
      </c>
      <c r="EC47" s="1083">
        <f t="shared" si="444"/>
        <v>0.470619658119658</v>
      </c>
      <c r="ED47" s="1083">
        <f t="shared" si="444"/>
        <v>0.481639222299375</v>
      </c>
      <c r="EE47" s="1083">
        <f t="shared" si="444"/>
        <v>0.456032088861463</v>
      </c>
      <c r="EF47" s="1083">
        <f t="shared" si="444"/>
        <v>0.463851109520401</v>
      </c>
      <c r="EG47" s="1085">
        <f t="shared" si="444"/>
        <v>0.476169030999024</v>
      </c>
      <c r="EH47" s="1115">
        <f t="shared" ref="EH47:FM47" si="445">EH45/EH26</f>
        <v>0.477510460251046</v>
      </c>
      <c r="EI47" s="1083">
        <f t="shared" si="445"/>
        <v>0.482513505828831</v>
      </c>
      <c r="EJ47" s="1083">
        <f t="shared" si="445"/>
        <v>0.479907369568179</v>
      </c>
      <c r="EK47" s="1083">
        <f t="shared" si="445"/>
        <v>0.473999520728493</v>
      </c>
      <c r="EL47" s="1083">
        <f t="shared" si="445"/>
        <v>0.477766197672399</v>
      </c>
      <c r="EM47" s="1083">
        <f t="shared" si="445"/>
        <v>0.475808845354705</v>
      </c>
      <c r="EN47" s="1083">
        <f t="shared" si="445"/>
        <v>0.474807743304163</v>
      </c>
      <c r="EO47" s="1085">
        <f t="shared" si="445"/>
        <v>0.477323120338641</v>
      </c>
      <c r="EP47" s="1115">
        <f t="shared" si="445"/>
        <v>0.501466275659824</v>
      </c>
      <c r="EQ47" s="1082">
        <f t="shared" si="445"/>
        <v>0.500738989062962</v>
      </c>
      <c r="ER47" s="1082">
        <f t="shared" si="445"/>
        <v>0.50112139052425</v>
      </c>
      <c r="ES47" s="1082">
        <f t="shared" si="445"/>
        <v>0.493168342356277</v>
      </c>
      <c r="ET47" s="1082">
        <f t="shared" si="445"/>
        <v>0.498320167075275</v>
      </c>
      <c r="EU47" s="1082">
        <f t="shared" si="445"/>
        <v>0.474849094567404</v>
      </c>
      <c r="EV47" s="1082">
        <f t="shared" si="445"/>
        <v>0.48450665941832</v>
      </c>
      <c r="EW47" s="1085">
        <f t="shared" si="445"/>
        <v>0.492685619652222</v>
      </c>
      <c r="EX47" s="1082">
        <f t="shared" si="445"/>
        <v>0.484574016416643</v>
      </c>
      <c r="EY47" s="1082">
        <f t="shared" si="445"/>
        <v>0.490328253223916</v>
      </c>
      <c r="EZ47" s="1082">
        <f t="shared" si="445"/>
        <v>0.491149158444573</v>
      </c>
      <c r="FA47" s="1082">
        <f t="shared" si="445"/>
        <v>0.471832718327183</v>
      </c>
      <c r="FB47" s="1082">
        <f t="shared" si="445"/>
        <v>0.483982842018801</v>
      </c>
      <c r="FC47" s="1082">
        <f t="shared" si="445"/>
        <v>0.449030470914127</v>
      </c>
      <c r="FD47" s="1082">
        <f t="shared" si="445"/>
        <v>0.467541323480933</v>
      </c>
      <c r="FE47" s="1085">
        <f t="shared" si="445"/>
        <v>0.478792334731067</v>
      </c>
      <c r="FF47" s="1082">
        <f t="shared" si="445"/>
        <v>0.491795248591722</v>
      </c>
      <c r="FG47" s="1082">
        <f t="shared" si="445"/>
        <v>0.483491169695418</v>
      </c>
      <c r="FH47" s="1082">
        <f t="shared" si="445"/>
        <v>0.487734668335419</v>
      </c>
      <c r="FI47" s="1082">
        <f t="shared" si="445"/>
        <v>0.484338869035106</v>
      </c>
      <c r="FJ47" s="1082">
        <f t="shared" si="445"/>
        <v>0.486467404095081</v>
      </c>
      <c r="FK47" s="1082">
        <f t="shared" si="445"/>
        <v>0.471928982725528</v>
      </c>
      <c r="FL47" s="1082">
        <f t="shared" si="445"/>
        <v>0.478543417366947</v>
      </c>
      <c r="FM47" s="1085">
        <f t="shared" si="445"/>
        <v>0.482885013301803</v>
      </c>
      <c r="FN47" s="1082">
        <f t="shared" ref="FN47:FX47" si="446">FN45/FN26</f>
        <v>0.494443279513525</v>
      </c>
      <c r="FO47" s="1082">
        <f t="shared" si="446"/>
        <v>0.488130228351797</v>
      </c>
      <c r="FP47" s="1082">
        <f t="shared" si="446"/>
        <v>0.491405570060923</v>
      </c>
      <c r="FQ47" s="1082">
        <f t="shared" si="446"/>
        <v>0.475609756097561</v>
      </c>
      <c r="FR47" s="1082">
        <f t="shared" si="446"/>
        <v>0.485551903588058</v>
      </c>
      <c r="FS47" s="1082">
        <f t="shared" si="446"/>
        <v>0.488262910798122</v>
      </c>
      <c r="FT47" s="1082">
        <f t="shared" si="446"/>
        <v>0.481481481481481</v>
      </c>
      <c r="FU47" s="1082">
        <f t="shared" si="446"/>
        <v>0.486210471747019</v>
      </c>
      <c r="FV47" s="1109">
        <f t="shared" si="446"/>
        <v>0.496143958868895</v>
      </c>
      <c r="FW47" s="1082">
        <f t="shared" si="446"/>
        <v>0.501190948789202</v>
      </c>
      <c r="FX47" s="1082">
        <f t="shared" si="446"/>
        <v>0.498569248378481</v>
      </c>
      <c r="FY47" s="1082">
        <f t="shared" ref="FY47:GG47" si="447">FY45/FY26</f>
        <v>0.504402958788306</v>
      </c>
      <c r="FZ47" s="1082">
        <f t="shared" si="447"/>
        <v>0.500618735305037</v>
      </c>
      <c r="GA47" s="1082">
        <f t="shared" si="447"/>
        <v>0.516613924050633</v>
      </c>
      <c r="GB47" s="1082">
        <f t="shared" si="447"/>
        <v>0.510154648779579</v>
      </c>
      <c r="GC47" s="1085">
        <f t="shared" si="447"/>
        <v>0.504430200772929</v>
      </c>
      <c r="GD47" s="1109">
        <f t="shared" si="447"/>
        <v>0.510994953136265</v>
      </c>
      <c r="GE47" s="1082">
        <f t="shared" si="447"/>
        <v>0.522904390800228</v>
      </c>
      <c r="GF47" s="1082">
        <f t="shared" si="447"/>
        <v>0.516791562586733</v>
      </c>
      <c r="GG47" s="1082">
        <f t="shared" si="447"/>
        <v>0.518304103524604</v>
      </c>
      <c r="GH47" s="1082">
        <f t="shared" ref="GH47:GK47" si="448">GH45/GH26</f>
        <v>0.517324061863086</v>
      </c>
      <c r="GI47" s="1082">
        <f t="shared" si="448"/>
        <v>0.522262564494554</v>
      </c>
      <c r="GJ47" s="1082">
        <f t="shared" si="448"/>
        <v>0.520169277867819</v>
      </c>
      <c r="GK47" s="1085">
        <f t="shared" si="448"/>
        <v>0.518503308236368</v>
      </c>
      <c r="GL47" s="1082"/>
      <c r="GM47" s="1082"/>
      <c r="GN47" s="1082"/>
      <c r="GO47" s="1082"/>
      <c r="GP47" s="1082"/>
      <c r="GQ47" s="1082"/>
      <c r="GR47" s="1082"/>
      <c r="GS47" s="1085"/>
      <c r="GT47" s="1082"/>
      <c r="GU47" s="1082"/>
      <c r="GV47" s="1082"/>
      <c r="GW47" s="1082"/>
      <c r="GX47" s="1082"/>
      <c r="GY47" s="1082"/>
      <c r="GZ47" s="1082"/>
      <c r="HA47" s="1085"/>
      <c r="HB47" s="1082"/>
      <c r="HC47" s="1082"/>
      <c r="HD47" s="1082"/>
      <c r="HE47" s="1082"/>
      <c r="HF47" s="1082"/>
      <c r="HG47" s="1082"/>
      <c r="HH47" s="1082"/>
      <c r="HI47" s="1085"/>
      <c r="HJ47" s="1082"/>
      <c r="HK47" s="1082"/>
      <c r="HL47" s="1082"/>
      <c r="HM47" s="1082"/>
      <c r="HN47" s="1082"/>
      <c r="HO47" s="1082"/>
      <c r="HP47" s="1082"/>
      <c r="HQ47" s="1085"/>
      <c r="HR47" s="1082"/>
      <c r="HS47" s="1082"/>
      <c r="HT47" s="1082"/>
      <c r="HU47" s="1082"/>
      <c r="HV47" s="1082"/>
      <c r="HW47" s="1082"/>
      <c r="HX47" s="1082"/>
      <c r="HY47" s="1082"/>
      <c r="HZ47" s="1082"/>
      <c r="IA47" s="1082"/>
      <c r="IB47" s="1082"/>
      <c r="IC47" s="1082"/>
      <c r="ID47" s="1082"/>
      <c r="IE47" s="1082"/>
      <c r="IF47" s="1082"/>
      <c r="IG47" s="1085"/>
      <c r="IH47" s="1082"/>
      <c r="II47" s="1082"/>
      <c r="IJ47" s="1082"/>
      <c r="IK47" s="1082"/>
      <c r="IL47" s="1082"/>
      <c r="IM47" s="1082"/>
      <c r="IN47" s="1082"/>
      <c r="IO47" s="1085"/>
      <c r="IP47" s="1082"/>
      <c r="IQ47" s="1094"/>
      <c r="IR47" s="1094"/>
      <c r="IS47" s="1094"/>
      <c r="IT47" s="1094"/>
      <c r="IU47" s="1094"/>
      <c r="IV47" s="1094"/>
      <c r="IW47" s="1094"/>
      <c r="IX47" s="1049"/>
      <c r="IY47" s="1049"/>
      <c r="IZ47" s="1049"/>
      <c r="JA47" s="1049"/>
      <c r="JB47" s="1049"/>
      <c r="JC47" s="1049"/>
      <c r="JD47" s="1041"/>
      <c r="JE47" s="1037"/>
      <c r="JF47" s="1037"/>
      <c r="JG47" s="1037"/>
      <c r="JH47" s="1037"/>
      <c r="JI47" s="1035"/>
      <c r="JJ47" s="1035"/>
      <c r="JK47" s="1035"/>
      <c r="JL47" s="1035"/>
      <c r="JM47" s="1035"/>
      <c r="JN47" s="1035"/>
      <c r="JO47" s="1035"/>
      <c r="JP47" s="1035"/>
      <c r="JQ47" s="1035"/>
      <c r="JR47" s="1035"/>
      <c r="JS47" s="1035"/>
      <c r="JT47" s="1035"/>
      <c r="JU47" s="1035"/>
      <c r="JV47" s="1035"/>
      <c r="JW47" s="1035"/>
      <c r="JX47" s="1035"/>
      <c r="JY47" s="1035"/>
      <c r="LV47" s="967"/>
    </row>
    <row r="48" hidden="1" spans="1:334">
      <c r="A48" s="1113" t="s">
        <v>513</v>
      </c>
      <c r="AX48" s="1059"/>
      <c r="BE48" s="1060"/>
      <c r="BN48" s="1059"/>
      <c r="BU48" s="1060"/>
      <c r="BV48" s="1059"/>
      <c r="CC48" s="1060"/>
      <c r="CD48" s="1059"/>
      <c r="CJ48" s="1061"/>
      <c r="CK48" s="1060"/>
      <c r="CL48" s="1059"/>
      <c r="CS48" s="1060"/>
      <c r="CT48" s="1117"/>
      <c r="CU48" s="1117"/>
      <c r="CV48" s="1117"/>
      <c r="CW48" s="1117"/>
      <c r="CX48" s="1117"/>
      <c r="CY48" s="1117"/>
      <c r="CZ48" s="1117"/>
      <c r="DA48" s="1117"/>
      <c r="DB48" s="1082"/>
      <c r="DC48" s="1082"/>
      <c r="DD48" s="1082"/>
      <c r="DE48" s="1082"/>
      <c r="DF48" s="1082"/>
      <c r="DG48" s="1082"/>
      <c r="DH48" s="1082"/>
      <c r="DI48" s="1085"/>
      <c r="DJ48" s="1129">
        <f>(DJ47-DB47)*10000</f>
        <v>-303.047313802617</v>
      </c>
      <c r="DK48" s="1129">
        <f t="shared" ref="DK48:EH48" si="449">(DK47-DC47)*10000</f>
        <v>-299.033592589679</v>
      </c>
      <c r="DL48" s="1129">
        <f t="shared" si="449"/>
        <v>-300.993617886378</v>
      </c>
      <c r="DM48" s="1129">
        <f t="shared" si="449"/>
        <v>-318.550560089391</v>
      </c>
      <c r="DN48" s="1129">
        <f t="shared" si="449"/>
        <v>-308.901153126013</v>
      </c>
      <c r="DO48" s="1129">
        <f t="shared" si="449"/>
        <v>142.171082888173</v>
      </c>
      <c r="DP48" s="1129">
        <f t="shared" si="449"/>
        <v>-104.056651984523</v>
      </c>
      <c r="DQ48" s="1129">
        <f t="shared" si="449"/>
        <v>-813.704543890436</v>
      </c>
      <c r="DR48" s="1129">
        <f t="shared" si="449"/>
        <v>467.295304617773</v>
      </c>
      <c r="DS48" s="1129">
        <f t="shared" si="449"/>
        <v>535.095645095645</v>
      </c>
      <c r="DT48" s="1129">
        <f t="shared" si="449"/>
        <v>505.744934445769</v>
      </c>
      <c r="DU48" s="1129">
        <f t="shared" si="449"/>
        <v>284.016620498614</v>
      </c>
      <c r="DV48" s="1129">
        <f t="shared" si="449"/>
        <v>422.721561556811</v>
      </c>
      <c r="DW48" s="1129">
        <f t="shared" si="449"/>
        <v>97.5376780110493</v>
      </c>
      <c r="DX48" s="1129">
        <f t="shared" si="449"/>
        <v>194.218405963302</v>
      </c>
      <c r="DY48" s="1129">
        <f t="shared" si="449"/>
        <v>335.55046072763</v>
      </c>
      <c r="DZ48" s="1130">
        <f t="shared" si="449"/>
        <v>-10.0000000000006</v>
      </c>
      <c r="EA48" s="1129">
        <f t="shared" si="449"/>
        <v>25.1436031331592</v>
      </c>
      <c r="EB48" s="1129">
        <f t="shared" si="449"/>
        <v>1.49755404765639</v>
      </c>
      <c r="EC48" s="1129">
        <f t="shared" si="449"/>
        <v>-23.8034188034181</v>
      </c>
      <c r="ED48" s="1129">
        <f t="shared" si="449"/>
        <v>-6.17788078191683</v>
      </c>
      <c r="EE48" s="1129">
        <f t="shared" si="449"/>
        <v>-81.5617853280759</v>
      </c>
      <c r="EF48" s="1129">
        <f t="shared" si="449"/>
        <v>-51.1201547959905</v>
      </c>
      <c r="EG48" s="1131">
        <f t="shared" si="449"/>
        <v>-15.6241187003331</v>
      </c>
      <c r="EH48" s="1130">
        <f t="shared" si="449"/>
        <v>-74.8953974895394</v>
      </c>
      <c r="EI48" s="1129">
        <f t="shared" ref="EI48:EQ48" si="450">(EI47-EA47)*10000</f>
        <v>-90.0085448448451</v>
      </c>
      <c r="EJ48" s="1129">
        <f t="shared" si="450"/>
        <v>-82.4238583658693</v>
      </c>
      <c r="EK48" s="1129">
        <f t="shared" si="450"/>
        <v>33.7986260883461</v>
      </c>
      <c r="EL48" s="1129">
        <f t="shared" si="450"/>
        <v>-38.7302462697625</v>
      </c>
      <c r="EM48" s="1129">
        <f t="shared" si="450"/>
        <v>197.767564932421</v>
      </c>
      <c r="EN48" s="1129">
        <f t="shared" si="450"/>
        <v>109.566337837625</v>
      </c>
      <c r="EO48" s="1131">
        <f t="shared" si="450"/>
        <v>11.5408933961714</v>
      </c>
      <c r="EP48" s="1130">
        <f t="shared" si="450"/>
        <v>239.55815408778</v>
      </c>
      <c r="EQ48" s="1129">
        <f t="shared" si="450"/>
        <v>182.254832341305</v>
      </c>
      <c r="ER48" s="1129">
        <f t="shared" ref="ER48:EW48" si="451">(ER47-EJ47)*10000</f>
        <v>212.140209560714</v>
      </c>
      <c r="ES48" s="1129">
        <f t="shared" si="451"/>
        <v>191.688216277847</v>
      </c>
      <c r="ET48" s="1129">
        <f t="shared" si="451"/>
        <v>205.539694028759</v>
      </c>
      <c r="EU48" s="1129">
        <f t="shared" si="451"/>
        <v>-9.59750787300207</v>
      </c>
      <c r="EV48" s="1129">
        <f t="shared" si="451"/>
        <v>96.9891611415685</v>
      </c>
      <c r="EW48" s="1131">
        <f t="shared" si="451"/>
        <v>153.624993135805</v>
      </c>
      <c r="EX48" s="1129">
        <f t="shared" ref="EX48:FE48" si="452">(EX47-EP47)*10000</f>
        <v>-168.922592431809</v>
      </c>
      <c r="EY48" s="1129">
        <f t="shared" si="452"/>
        <v>-104.107358390463</v>
      </c>
      <c r="EZ48" s="1129">
        <f t="shared" si="452"/>
        <v>-99.7223207967668</v>
      </c>
      <c r="FA48" s="1129">
        <f t="shared" si="452"/>
        <v>-213.356240290941</v>
      </c>
      <c r="FB48" s="1129">
        <f t="shared" si="452"/>
        <v>-143.373250564739</v>
      </c>
      <c r="FC48" s="1129">
        <f t="shared" si="452"/>
        <v>-258.18623653277</v>
      </c>
      <c r="FD48" s="1129">
        <f t="shared" si="452"/>
        <v>-169.653359373875</v>
      </c>
      <c r="FE48" s="1131">
        <f t="shared" si="452"/>
        <v>-138.932849211548</v>
      </c>
      <c r="FF48" s="1129">
        <f t="shared" ref="FF48:FN48" si="453">(FF47-EX47)*10000</f>
        <v>72.212321750787</v>
      </c>
      <c r="FG48" s="1129">
        <f t="shared" si="453"/>
        <v>-68.370835284971</v>
      </c>
      <c r="FH48" s="1129">
        <f t="shared" si="453"/>
        <v>-34.1449010915412</v>
      </c>
      <c r="FI48" s="1129">
        <f t="shared" si="453"/>
        <v>125.061507079229</v>
      </c>
      <c r="FJ48" s="1129">
        <f t="shared" si="453"/>
        <v>24.8456207628045</v>
      </c>
      <c r="FK48" s="1129">
        <f t="shared" si="453"/>
        <v>228.985118114005</v>
      </c>
      <c r="FL48" s="1129">
        <f t="shared" si="453"/>
        <v>110.02093886014</v>
      </c>
      <c r="FM48" s="1131">
        <f t="shared" si="453"/>
        <v>40.9267857073597</v>
      </c>
      <c r="FN48" s="1129">
        <f t="shared" si="453"/>
        <v>26.4803092180305</v>
      </c>
      <c r="FO48" s="1129">
        <f t="shared" ref="FO48:FX48" si="454">(FO47-FG47)*10000</f>
        <v>46.3905865637892</v>
      </c>
      <c r="FP48" s="1129">
        <f t="shared" si="454"/>
        <v>36.7090172550327</v>
      </c>
      <c r="FQ48" s="1129">
        <f t="shared" si="454"/>
        <v>-87.2911293754519</v>
      </c>
      <c r="FR48" s="1129">
        <f t="shared" si="454"/>
        <v>-9.15500507023159</v>
      </c>
      <c r="FS48" s="1129">
        <f t="shared" si="454"/>
        <v>163.339280725942</v>
      </c>
      <c r="FT48" s="1129">
        <f t="shared" si="454"/>
        <v>29.3806411453468</v>
      </c>
      <c r="FU48" s="1129">
        <f t="shared" si="454"/>
        <v>33.2545844521609</v>
      </c>
      <c r="FV48" s="1130">
        <f t="shared" si="454"/>
        <v>17.0067935536977</v>
      </c>
      <c r="FW48" s="1129">
        <f t="shared" si="454"/>
        <v>130.607204374047</v>
      </c>
      <c r="FX48" s="1129">
        <f t="shared" si="454"/>
        <v>71.6367831755893</v>
      </c>
      <c r="FY48" s="1129">
        <f t="shared" ref="FY48" si="455">(FY47-FQ47)*10000</f>
        <v>287.932026907448</v>
      </c>
      <c r="FZ48" s="1129">
        <f t="shared" ref="FZ48" si="456">(FZ47-FR47)*10000</f>
        <v>150.668317169785</v>
      </c>
      <c r="GA48" s="1129">
        <f t="shared" ref="GA48" si="457">(GA47-FS47)*10000</f>
        <v>283.510132525112</v>
      </c>
      <c r="GB48" s="1129">
        <f t="shared" ref="GB48" si="458">(GB47-FT47)*10000</f>
        <v>286.731672980976</v>
      </c>
      <c r="GC48" s="1131">
        <f t="shared" ref="GC48:GH48" si="459">(GC47-FU47)*10000</f>
        <v>182.197290259096</v>
      </c>
      <c r="GD48" s="1130">
        <f t="shared" si="459"/>
        <v>148.509942673707</v>
      </c>
      <c r="GE48" s="1129">
        <f t="shared" si="459"/>
        <v>217.13442011026</v>
      </c>
      <c r="GF48" s="1129">
        <f t="shared" si="459"/>
        <v>182.223142082518</v>
      </c>
      <c r="GG48" s="1129">
        <f t="shared" si="459"/>
        <v>139.011447362981</v>
      </c>
      <c r="GH48" s="1129">
        <f t="shared" si="459"/>
        <v>167.053265580494</v>
      </c>
      <c r="GI48" s="1129">
        <f t="shared" ref="GI48" si="460">(GI47-GA47)*10000</f>
        <v>56.4864044392077</v>
      </c>
      <c r="GJ48" s="1129">
        <f t="shared" ref="GJ48" si="461">(GJ47-GB47)*10000</f>
        <v>100.1462908824</v>
      </c>
      <c r="GK48" s="1131">
        <f t="shared" ref="GK48" si="462">(GK47-GC47)*10000</f>
        <v>140.731074634389</v>
      </c>
      <c r="GL48" s="1129"/>
      <c r="GM48" s="1129"/>
      <c r="GN48" s="1129"/>
      <c r="GO48" s="1129"/>
      <c r="GP48" s="1129"/>
      <c r="GQ48" s="1129"/>
      <c r="GR48" s="1129"/>
      <c r="GS48" s="1131"/>
      <c r="GT48" s="1129"/>
      <c r="GU48" s="1129"/>
      <c r="GV48" s="1129"/>
      <c r="GW48" s="1129"/>
      <c r="GX48" s="1129"/>
      <c r="GY48" s="1129"/>
      <c r="GZ48" s="1129"/>
      <c r="HA48" s="1131"/>
      <c r="HB48" s="1129"/>
      <c r="HC48" s="1129"/>
      <c r="HD48" s="1129"/>
      <c r="HE48" s="1129"/>
      <c r="HF48" s="1129"/>
      <c r="HG48" s="1129"/>
      <c r="HH48" s="1129"/>
      <c r="HI48" s="1131"/>
      <c r="HJ48" s="1129"/>
      <c r="HK48" s="1129"/>
      <c r="HL48" s="1129"/>
      <c r="HM48" s="1129"/>
      <c r="HN48" s="1129"/>
      <c r="HO48" s="1129"/>
      <c r="HP48" s="1129"/>
      <c r="HQ48" s="1131"/>
      <c r="HR48" s="1129"/>
      <c r="HS48" s="1129"/>
      <c r="HT48" s="1129"/>
      <c r="HU48" s="1129"/>
      <c r="HV48" s="1129"/>
      <c r="HW48" s="1129"/>
      <c r="HX48" s="1129"/>
      <c r="HY48" s="1129"/>
      <c r="HZ48" s="1129"/>
      <c r="IA48" s="1129"/>
      <c r="IB48" s="1129"/>
      <c r="IC48" s="1129"/>
      <c r="ID48" s="1129"/>
      <c r="IE48" s="1129"/>
      <c r="IF48" s="1129"/>
      <c r="IG48" s="1131"/>
      <c r="IH48" s="1129"/>
      <c r="II48" s="1129"/>
      <c r="IJ48" s="1129"/>
      <c r="IK48" s="1129"/>
      <c r="IL48" s="1129"/>
      <c r="IM48" s="1129"/>
      <c r="IN48" s="1129"/>
      <c r="IO48" s="1131"/>
      <c r="IP48" s="1129"/>
      <c r="IQ48" s="1132"/>
      <c r="IR48" s="1132"/>
      <c r="IS48" s="1132"/>
      <c r="IT48" s="1132"/>
      <c r="IU48" s="1132"/>
      <c r="IV48" s="1132"/>
      <c r="IW48" s="1132"/>
      <c r="IX48" s="1049"/>
      <c r="IY48" s="1049"/>
      <c r="IZ48" s="1049"/>
      <c r="JA48" s="1049"/>
      <c r="JB48" s="1049"/>
      <c r="JC48" s="1049"/>
      <c r="JD48" s="1041"/>
      <c r="JE48" s="1037"/>
      <c r="JF48" s="1037"/>
      <c r="JG48" s="1037"/>
      <c r="JH48" s="1037"/>
      <c r="JI48" s="1035"/>
      <c r="JJ48" s="1035"/>
      <c r="JK48" s="1035"/>
      <c r="JL48" s="1035"/>
      <c r="JM48" s="1035"/>
      <c r="JN48" s="1035"/>
      <c r="JO48" s="1035"/>
      <c r="JP48" s="1035"/>
      <c r="JQ48" s="1035"/>
      <c r="JR48" s="1035"/>
      <c r="JS48" s="1035"/>
      <c r="JT48" s="1035"/>
      <c r="JU48" s="1035"/>
      <c r="JV48" s="1035"/>
      <c r="JW48" s="1035"/>
      <c r="JX48" s="1035"/>
      <c r="JY48" s="1035"/>
      <c r="LV48" s="967"/>
    </row>
    <row r="49" hidden="1" spans="1:334">
      <c r="A49" s="1113"/>
      <c r="AX49" s="1059"/>
      <c r="BE49" s="1060"/>
      <c r="BN49" s="1059"/>
      <c r="BU49" s="1060"/>
      <c r="BV49" s="1059"/>
      <c r="CC49" s="1060"/>
      <c r="CD49" s="1059"/>
      <c r="CJ49" s="1061"/>
      <c r="CK49" s="1060"/>
      <c r="CL49" s="1059"/>
      <c r="CS49" s="1060"/>
      <c r="CT49" s="1117"/>
      <c r="CU49" s="1117"/>
      <c r="CV49" s="1117"/>
      <c r="CW49" s="1117"/>
      <c r="CX49" s="1117"/>
      <c r="CY49" s="1117"/>
      <c r="CZ49" s="1117"/>
      <c r="DA49" s="1117"/>
      <c r="DB49" s="1082"/>
      <c r="DC49" s="1082"/>
      <c r="DD49" s="1082"/>
      <c r="DE49" s="1082"/>
      <c r="DF49" s="1082"/>
      <c r="DG49" s="1082"/>
      <c r="DH49" s="1082"/>
      <c r="DI49" s="1085"/>
      <c r="DJ49" s="1133">
        <f t="shared" ref="DJ49:DP49" si="463">DJ33+DJ36+DJ42-DJ45</f>
        <v>0</v>
      </c>
      <c r="DK49" s="1133">
        <f t="shared" si="463"/>
        <v>0</v>
      </c>
      <c r="DL49" s="1133">
        <f t="shared" si="463"/>
        <v>0</v>
      </c>
      <c r="DM49" s="1133">
        <f t="shared" si="463"/>
        <v>0</v>
      </c>
      <c r="DN49" s="1133">
        <f t="shared" si="463"/>
        <v>0</v>
      </c>
      <c r="DO49" s="1133">
        <f t="shared" si="463"/>
        <v>0</v>
      </c>
      <c r="DP49" s="1133">
        <f t="shared" si="463"/>
        <v>0</v>
      </c>
      <c r="DQ49" s="1085" t="s">
        <v>514</v>
      </c>
      <c r="DR49" s="1133">
        <f>DR33+DR36+DR42-DR45</f>
        <v>-72.1880000000001</v>
      </c>
      <c r="DS49" s="1133">
        <f>DS33+DS36+DS42-DS45</f>
        <v>-72.9770000000001</v>
      </c>
      <c r="DT49" s="1133">
        <f>DT33+DT36+DT42-DT45</f>
        <v>-147.108</v>
      </c>
      <c r="DU49" s="1133">
        <f>DU33+DU36+DU42-DU45</f>
        <v>-47.9339999999997</v>
      </c>
      <c r="DV49" s="1133">
        <f>DV33+DV36+DV42-DV45</f>
        <v>-195.041999999999</v>
      </c>
      <c r="DW49" s="1133">
        <f>DW45*DV54</f>
        <v>-60.768064072757</v>
      </c>
      <c r="DX49" s="1133">
        <f>DW49+DU49</f>
        <v>-108.702064072757</v>
      </c>
      <c r="DY49" s="1133">
        <f t="shared" ref="DY49:EE49" si="464">DY33+DY36+DY42-DY45</f>
        <v>-255</v>
      </c>
      <c r="DZ49" s="1134">
        <f t="shared" si="464"/>
        <v>-62.905</v>
      </c>
      <c r="EA49" s="1133">
        <f t="shared" si="464"/>
        <v>-93.5</v>
      </c>
      <c r="EB49" s="1133">
        <f t="shared" si="464"/>
        <v>-156.405</v>
      </c>
      <c r="EC49" s="1133">
        <f t="shared" si="464"/>
        <v>-73</v>
      </c>
      <c r="ED49" s="1133">
        <f t="shared" si="464"/>
        <v>-229.405</v>
      </c>
      <c r="EE49" s="1133">
        <f t="shared" si="464"/>
        <v>-97</v>
      </c>
      <c r="EF49" s="1133">
        <f>EE49+EC49</f>
        <v>-170</v>
      </c>
      <c r="EG49" s="1135">
        <f>EG33+EG36+EG42-EG45</f>
        <v>-337</v>
      </c>
      <c r="EH49" s="1134">
        <f t="shared" ref="EH49:EM49" si="465">EH33+EH36+EH42-EH45</f>
        <v>-82.2695999999999</v>
      </c>
      <c r="EI49" s="1133">
        <f t="shared" si="465"/>
        <v>-101.6814</v>
      </c>
      <c r="EJ49" s="1133">
        <f t="shared" si="465"/>
        <v>-183.951</v>
      </c>
      <c r="EK49" s="1133">
        <f t="shared" si="465"/>
        <v>-81.049</v>
      </c>
      <c r="EL49" s="1133">
        <f t="shared" si="465"/>
        <v>-265</v>
      </c>
      <c r="EM49" s="1133">
        <f t="shared" si="465"/>
        <v>-99</v>
      </c>
      <c r="EN49" s="1133">
        <f>EM49+EK49</f>
        <v>-180.049</v>
      </c>
      <c r="EO49" s="1135">
        <f>EO33+EO36+EO42-EO45</f>
        <v>-364</v>
      </c>
      <c r="EP49" s="1134">
        <f>EP33+EP36+EP42-EP45</f>
        <v>-99.2550000000001</v>
      </c>
      <c r="EQ49" s="1133">
        <f>EQ33+EQ36+EQ42-EQ45</f>
        <v>-80.7449999999999</v>
      </c>
      <c r="ER49" s="1133">
        <f t="shared" ref="ER49:EW49" si="466">ER33+ER36+ER42-ER45</f>
        <v>-180</v>
      </c>
      <c r="ES49" s="1133">
        <f t="shared" si="466"/>
        <v>-81</v>
      </c>
      <c r="ET49" s="1133">
        <f t="shared" si="466"/>
        <v>-261</v>
      </c>
      <c r="EU49" s="1133">
        <f t="shared" si="466"/>
        <v>-54.6759999999999</v>
      </c>
      <c r="EV49" s="1133">
        <f t="shared" si="466"/>
        <v>-135.676</v>
      </c>
      <c r="EW49" s="1135">
        <f t="shared" si="466"/>
        <v>-315.675999999999</v>
      </c>
      <c r="EX49" s="1133">
        <f t="shared" ref="EX49:FE49" si="467">EX33+EX36+EX42-EX45</f>
        <v>-55.048</v>
      </c>
      <c r="EY49" s="1133">
        <f t="shared" si="467"/>
        <v>-69.835</v>
      </c>
      <c r="EZ49" s="1133">
        <f t="shared" si="467"/>
        <v>-124.883</v>
      </c>
      <c r="FA49" s="1133">
        <f t="shared" si="467"/>
        <v>-46.117</v>
      </c>
      <c r="FB49" s="1133">
        <f t="shared" si="467"/>
        <v>-171</v>
      </c>
      <c r="FC49" s="1133">
        <f t="shared" si="467"/>
        <v>-9</v>
      </c>
      <c r="FD49" s="1133">
        <f t="shared" si="467"/>
        <v>-55.1170000000002</v>
      </c>
      <c r="FE49" s="1135">
        <f t="shared" si="467"/>
        <v>-275</v>
      </c>
      <c r="FF49" s="1136"/>
      <c r="FG49" s="1136"/>
      <c r="FH49" s="1136"/>
      <c r="FI49" s="1136"/>
      <c r="FJ49" s="1136"/>
      <c r="FK49" s="1136"/>
      <c r="FL49" s="1136"/>
      <c r="FM49" s="1137"/>
      <c r="FN49" s="1136"/>
      <c r="FO49" s="1136"/>
      <c r="FP49" s="1136"/>
      <c r="FQ49" s="1136"/>
      <c r="FR49" s="1136"/>
      <c r="FS49" s="1136"/>
      <c r="FT49" s="1136"/>
      <c r="FU49" s="1136"/>
      <c r="FV49" s="1138"/>
      <c r="FW49" s="1139"/>
      <c r="FX49" s="1139"/>
      <c r="FY49" s="1139"/>
      <c r="FZ49" s="1139"/>
      <c r="GA49" s="1139"/>
      <c r="GB49" s="1139"/>
      <c r="GC49" s="1140"/>
      <c r="GD49" s="1139"/>
      <c r="GE49" s="1139"/>
      <c r="GF49" s="1139"/>
      <c r="GG49" s="1139"/>
      <c r="GH49" s="1139"/>
      <c r="GI49" s="1139"/>
      <c r="GJ49" s="1139"/>
      <c r="GK49" s="1140"/>
      <c r="GL49" s="1139"/>
      <c r="GM49" s="1139"/>
      <c r="GN49" s="1139"/>
      <c r="GO49" s="1139"/>
      <c r="GP49" s="1139"/>
      <c r="GQ49" s="1139"/>
      <c r="GR49" s="1139"/>
      <c r="GS49" s="1140"/>
      <c r="GT49" s="1139"/>
      <c r="GU49" s="1139"/>
      <c r="GV49" s="1139"/>
      <c r="GW49" s="1139"/>
      <c r="GX49" s="1139"/>
      <c r="GY49" s="1139"/>
      <c r="GZ49" s="1139"/>
      <c r="HA49" s="1140"/>
      <c r="HB49" s="1139"/>
      <c r="HC49" s="1139"/>
      <c r="HD49" s="1139"/>
      <c r="HE49" s="1139"/>
      <c r="HF49" s="1139"/>
      <c r="HG49" s="1139"/>
      <c r="HH49" s="1139"/>
      <c r="HI49" s="1140"/>
      <c r="HJ49" s="1139"/>
      <c r="HK49" s="1139"/>
      <c r="HL49" s="1139"/>
      <c r="HM49" s="1139"/>
      <c r="HN49" s="1139"/>
      <c r="HO49" s="1139"/>
      <c r="HP49" s="1139"/>
      <c r="HQ49" s="1140"/>
      <c r="HR49" s="1139"/>
      <c r="HS49" s="1139"/>
      <c r="HT49" s="1139"/>
      <c r="HU49" s="1139"/>
      <c r="HV49" s="1139"/>
      <c r="HW49" s="1139"/>
      <c r="HX49" s="1139"/>
      <c r="HY49" s="1139"/>
      <c r="HZ49" s="1139"/>
      <c r="IA49" s="1139"/>
      <c r="IB49" s="1139"/>
      <c r="IC49" s="1139"/>
      <c r="ID49" s="1139"/>
      <c r="IE49" s="1139"/>
      <c r="IF49" s="1139"/>
      <c r="IG49" s="1140"/>
      <c r="IH49" s="1139"/>
      <c r="II49" s="1139"/>
      <c r="IJ49" s="1139"/>
      <c r="IK49" s="1139"/>
      <c r="IL49" s="1139"/>
      <c r="IM49" s="1139"/>
      <c r="IN49" s="1139"/>
      <c r="IO49" s="1140"/>
      <c r="IP49" s="1139"/>
      <c r="IQ49" s="1141"/>
      <c r="IR49" s="1141"/>
      <c r="IS49" s="1141"/>
      <c r="IT49" s="1141"/>
      <c r="IU49" s="1141"/>
      <c r="IV49" s="1141"/>
      <c r="IW49" s="1141"/>
      <c r="IX49" s="1049"/>
      <c r="IY49" s="1104"/>
      <c r="IZ49" s="1049"/>
      <c r="JA49" s="1049"/>
      <c r="JB49" s="1049"/>
      <c r="JC49" s="1049"/>
      <c r="JD49" s="1041"/>
      <c r="JE49" s="1037"/>
      <c r="JF49" s="1037"/>
      <c r="JG49" s="1037"/>
      <c r="JH49" s="1037"/>
      <c r="JI49" s="1035"/>
      <c r="JJ49" s="1035"/>
      <c r="JK49" s="1035"/>
      <c r="JL49" s="1035"/>
      <c r="JM49" s="1035"/>
      <c r="JN49" s="1035"/>
      <c r="JO49" s="1035"/>
      <c r="JP49" s="1035"/>
      <c r="JQ49" s="1035"/>
      <c r="JR49" s="1035"/>
      <c r="JS49" s="1035"/>
      <c r="JT49" s="1035"/>
      <c r="JU49" s="1035"/>
      <c r="JV49" s="1035"/>
      <c r="JW49" s="1035"/>
      <c r="JX49" s="1035"/>
      <c r="JY49" s="1035"/>
      <c r="LV49" s="967"/>
    </row>
    <row r="50" hidden="1" spans="1:334">
      <c r="A50" s="1113"/>
      <c r="AX50" s="1059"/>
      <c r="BE50" s="1060"/>
      <c r="BN50" s="1059"/>
      <c r="BU50" s="1060"/>
      <c r="BV50" s="1059"/>
      <c r="CC50" s="1060"/>
      <c r="CD50" s="1059"/>
      <c r="CJ50" s="1061"/>
      <c r="CK50" s="1060"/>
      <c r="CL50" s="1059"/>
      <c r="CS50" s="1060"/>
      <c r="CT50" s="1117"/>
      <c r="CU50" s="1117"/>
      <c r="CV50" s="1117"/>
      <c r="CW50" s="1117"/>
      <c r="CX50" s="1117"/>
      <c r="CY50" s="1117"/>
      <c r="CZ50" s="1117"/>
      <c r="DA50" s="1117"/>
      <c r="DB50" s="1082"/>
      <c r="DC50" s="1082"/>
      <c r="DD50" s="1082"/>
      <c r="DE50" s="1082"/>
      <c r="DF50" s="1082"/>
      <c r="DG50" s="1082"/>
      <c r="DH50" s="1082"/>
      <c r="DI50" s="1085"/>
      <c r="DJ50" s="1133"/>
      <c r="DK50" s="1133"/>
      <c r="DL50" s="1133"/>
      <c r="DM50" s="1133"/>
      <c r="DN50" s="1133"/>
      <c r="DO50" s="1133"/>
      <c r="DP50" s="1133"/>
      <c r="DQ50" s="1085"/>
      <c r="DR50" s="1142">
        <f>DR45+DR49</f>
        <v>1227.376</v>
      </c>
      <c r="DS50" s="1142">
        <f>DS45+DS49</f>
        <v>1353.436</v>
      </c>
      <c r="DT50" s="1142"/>
      <c r="DU50" s="1142">
        <f>DU45+DU49</f>
        <v>1592.43</v>
      </c>
      <c r="DV50" s="1142"/>
      <c r="DW50" s="1142">
        <f>DW45+DW49</f>
        <v>1300.23193592724</v>
      </c>
      <c r="DX50" s="1142"/>
      <c r="DY50" s="1143">
        <f>DY45+DY49</f>
        <v>5473</v>
      </c>
      <c r="DZ50" s="1144">
        <f>DZ33+DZ36+DZ42</f>
        <v>1524.5</v>
      </c>
      <c r="EA50" s="1144">
        <f>EA33+EA36+EA42</f>
        <v>1412.5</v>
      </c>
      <c r="EB50" s="1144">
        <f>DZ50+EA50</f>
        <v>2937</v>
      </c>
      <c r="EC50" s="1144">
        <f>EC33+EC36+EC42</f>
        <v>1689</v>
      </c>
      <c r="ED50" s="1144"/>
      <c r="EE50" s="1144">
        <f>EE33+EE36+EE42</f>
        <v>1381</v>
      </c>
      <c r="EF50" s="1144">
        <f>EC50+EE50</f>
        <v>3070</v>
      </c>
      <c r="EG50" s="1145">
        <f>EG33+EG36+EG42</f>
        <v>6007</v>
      </c>
      <c r="EH50" s="1144">
        <f>EH33+EH36+EH42</f>
        <v>1743.7304</v>
      </c>
      <c r="EI50" s="1144">
        <f>EI33+EI36+EI42</f>
        <v>1595.3186</v>
      </c>
      <c r="EJ50" s="1144">
        <f>EH50+EI50</f>
        <v>3339.049</v>
      </c>
      <c r="EK50" s="1144">
        <f>EK33+EK36+EK42</f>
        <v>1896.951</v>
      </c>
      <c r="EL50" s="1144"/>
      <c r="EM50" s="1144">
        <f>EM33+EM36+EM42</f>
        <v>1504</v>
      </c>
      <c r="EN50" s="1144">
        <f>EK50+EM50</f>
        <v>3400.951</v>
      </c>
      <c r="EO50" s="1145">
        <f>EO33+EO36+EO42</f>
        <v>6740</v>
      </c>
      <c r="EP50" s="1144"/>
      <c r="EQ50" s="1144"/>
      <c r="ER50" s="1144"/>
      <c r="ES50" s="1144"/>
      <c r="ET50" s="1144"/>
      <c r="EU50" s="1144"/>
      <c r="EV50" s="1144"/>
      <c r="EW50" s="1145"/>
      <c r="EX50" s="1144"/>
      <c r="EY50" s="1144"/>
      <c r="EZ50" s="1144"/>
      <c r="FA50" s="1144"/>
      <c r="FB50" s="1144"/>
      <c r="FC50" s="1144"/>
      <c r="FD50" s="1144"/>
      <c r="FE50" s="1145"/>
      <c r="FF50" s="1144"/>
      <c r="FG50" s="1144"/>
      <c r="FH50" s="1144"/>
      <c r="FI50" s="1144"/>
      <c r="FJ50" s="1144"/>
      <c r="FK50" s="1144"/>
      <c r="FL50" s="1144"/>
      <c r="FM50" s="1145"/>
      <c r="FN50" s="1144"/>
      <c r="FO50" s="1144"/>
      <c r="FP50" s="1144"/>
      <c r="FQ50" s="1144"/>
      <c r="FR50" s="1144"/>
      <c r="FS50" s="1144"/>
      <c r="FT50" s="1144"/>
      <c r="FU50" s="1144"/>
      <c r="FV50" s="1146"/>
      <c r="FW50" s="1144"/>
      <c r="FX50" s="1144"/>
      <c r="FY50" s="1144"/>
      <c r="FZ50" s="1144"/>
      <c r="GA50" s="1144"/>
      <c r="GB50" s="1144"/>
      <c r="GC50" s="1145"/>
      <c r="GD50" s="1144"/>
      <c r="GE50" s="1144"/>
      <c r="GF50" s="1144"/>
      <c r="GG50" s="1144"/>
      <c r="GH50" s="1144"/>
      <c r="GI50" s="1144"/>
      <c r="GJ50" s="1144"/>
      <c r="GK50" s="1145"/>
      <c r="GL50" s="1144"/>
      <c r="GM50" s="1144"/>
      <c r="GN50" s="1144"/>
      <c r="GO50" s="1144"/>
      <c r="GP50" s="1144"/>
      <c r="GQ50" s="1144"/>
      <c r="GR50" s="1144"/>
      <c r="GS50" s="1145"/>
      <c r="GT50" s="1144"/>
      <c r="GU50" s="1144"/>
      <c r="GV50" s="1144"/>
      <c r="GW50" s="1144"/>
      <c r="GX50" s="1144"/>
      <c r="GY50" s="1144"/>
      <c r="GZ50" s="1144"/>
      <c r="HA50" s="1145"/>
      <c r="HB50" s="1144"/>
      <c r="HC50" s="1144"/>
      <c r="HD50" s="1144"/>
      <c r="HE50" s="1144"/>
      <c r="HF50" s="1144"/>
      <c r="HG50" s="1144"/>
      <c r="HH50" s="1144"/>
      <c r="HI50" s="1145"/>
      <c r="HJ50" s="1144"/>
      <c r="HK50" s="1144"/>
      <c r="HL50" s="1144"/>
      <c r="HM50" s="1144"/>
      <c r="HN50" s="1144"/>
      <c r="HO50" s="1144"/>
      <c r="HP50" s="1144"/>
      <c r="HQ50" s="1145"/>
      <c r="HR50" s="1144"/>
      <c r="HS50" s="1144"/>
      <c r="HT50" s="1144"/>
      <c r="HU50" s="1144"/>
      <c r="HV50" s="1144"/>
      <c r="HW50" s="1144"/>
      <c r="HX50" s="1144"/>
      <c r="HY50" s="1144"/>
      <c r="HZ50" s="1144"/>
      <c r="IA50" s="1144"/>
      <c r="IB50" s="1144"/>
      <c r="IC50" s="1144"/>
      <c r="ID50" s="1144"/>
      <c r="IE50" s="1144"/>
      <c r="IF50" s="1144"/>
      <c r="IG50" s="1145"/>
      <c r="IH50" s="1144"/>
      <c r="II50" s="1144"/>
      <c r="IJ50" s="1144"/>
      <c r="IK50" s="1144"/>
      <c r="IL50" s="1144"/>
      <c r="IM50" s="1144"/>
      <c r="IN50" s="1144"/>
      <c r="IO50" s="1145"/>
      <c r="IP50" s="1144"/>
      <c r="IQ50" s="1144"/>
      <c r="IR50" s="1144"/>
      <c r="IS50" s="1144"/>
      <c r="IT50" s="1144"/>
      <c r="IU50" s="1144"/>
      <c r="IV50" s="1144"/>
      <c r="IW50" s="1144"/>
      <c r="IX50" s="1049"/>
      <c r="IY50" s="1049"/>
      <c r="IZ50" s="1049"/>
      <c r="JA50" s="1049"/>
      <c r="JB50" s="1049"/>
      <c r="JC50" s="1049"/>
      <c r="JD50" s="1041"/>
      <c r="JE50" s="1037"/>
      <c r="JF50" s="1037"/>
      <c r="JG50" s="1037"/>
      <c r="JH50" s="1037"/>
      <c r="JI50" s="1035"/>
      <c r="JJ50" s="1035"/>
      <c r="JK50" s="1035"/>
      <c r="JL50" s="1035"/>
      <c r="JM50" s="1035"/>
      <c r="JN50" s="1035"/>
      <c r="JO50" s="1035"/>
      <c r="JP50" s="1035"/>
      <c r="JQ50" s="1035"/>
      <c r="JR50" s="1035"/>
      <c r="JS50" s="1035"/>
      <c r="JT50" s="1035"/>
      <c r="JU50" s="1035"/>
      <c r="JV50" s="1035"/>
      <c r="JW50" s="1035"/>
      <c r="JX50" s="1035"/>
      <c r="JY50" s="1035"/>
      <c r="LV50" s="967"/>
    </row>
    <row r="51" hidden="1" spans="1:334">
      <c r="A51" s="1113"/>
      <c r="AX51" s="1059"/>
      <c r="BE51" s="1060"/>
      <c r="BN51" s="1059"/>
      <c r="BU51" s="1060"/>
      <c r="BV51" s="1059"/>
      <c r="CC51" s="1060"/>
      <c r="CD51" s="1059"/>
      <c r="CJ51" s="1061"/>
      <c r="CK51" s="1060"/>
      <c r="CL51" s="1059"/>
      <c r="CS51" s="1060"/>
      <c r="CT51" s="1117"/>
      <c r="CU51" s="1117"/>
      <c r="CV51" s="1117"/>
      <c r="CW51" s="1117"/>
      <c r="CX51" s="1117"/>
      <c r="CY51" s="1117"/>
      <c r="CZ51" s="1117"/>
      <c r="DA51" s="1117"/>
      <c r="DB51" s="1082"/>
      <c r="DC51" s="1082"/>
      <c r="DD51" s="1082"/>
      <c r="DE51" s="1082"/>
      <c r="DF51" s="1082"/>
      <c r="DG51" s="1082"/>
      <c r="DH51" s="1082"/>
      <c r="DI51" s="1085"/>
      <c r="DJ51" s="1133"/>
      <c r="DK51" s="1133"/>
      <c r="DL51" s="1133"/>
      <c r="DM51" s="1133"/>
      <c r="DN51" s="1133"/>
      <c r="DO51" s="1133"/>
      <c r="DP51" s="1133"/>
      <c r="DQ51" s="1085"/>
      <c r="DR51" s="1083">
        <f>DR50/DR26</f>
        <v>0.459003739715782</v>
      </c>
      <c r="DS51" s="1083">
        <f>DS50/DS26</f>
        <v>0.46398217346589</v>
      </c>
      <c r="DT51" s="1133"/>
      <c r="DU51" s="1083">
        <f>DU50/DU26</f>
        <v>0.459178200692042</v>
      </c>
      <c r="DV51" s="1133"/>
      <c r="DW51" s="1083">
        <f>DW50/DW26</f>
        <v>0.443462461093876</v>
      </c>
      <c r="DX51" s="1133"/>
      <c r="DY51" s="1084">
        <f>DY50/DY26</f>
        <v>0.456463719766472</v>
      </c>
      <c r="DZ51" s="1083">
        <f>DZ50/DZ26</f>
        <v>0.465780629391995</v>
      </c>
      <c r="EA51" s="1083">
        <f>EA50/EA26</f>
        <v>0.460998694516971</v>
      </c>
      <c r="EB51" s="1147"/>
      <c r="EC51" s="1083">
        <f>EC50/EC26</f>
        <v>0.451121794871795</v>
      </c>
      <c r="ED51" s="1147"/>
      <c r="EE51" s="1083">
        <f>EE50/EE26</f>
        <v>0.426103054612774</v>
      </c>
      <c r="EF51" s="1147"/>
      <c r="EG51" s="1084">
        <f>EG50/EG26</f>
        <v>0.450874427681453</v>
      </c>
      <c r="EH51" s="1083">
        <f>EH50/EH26</f>
        <v>0.455996443514644</v>
      </c>
      <c r="EI51" s="1083">
        <f>EI50/EI26</f>
        <v>0.453602104065965</v>
      </c>
      <c r="EJ51" s="1147"/>
      <c r="EK51" s="1083">
        <f>EK50/EK26</f>
        <v>0.454577282530554</v>
      </c>
      <c r="EL51" s="1147"/>
      <c r="EM51" s="1083">
        <f>EM50/EM26</f>
        <v>0.446423271000297</v>
      </c>
      <c r="EN51" s="1147"/>
      <c r="EO51" s="1084">
        <f>EO50/EO26</f>
        <v>0.45286568568165</v>
      </c>
      <c r="EP51" s="1083"/>
      <c r="EQ51" s="1083"/>
      <c r="ER51" s="1083"/>
      <c r="ES51" s="1083"/>
      <c r="ET51" s="1083"/>
      <c r="EU51" s="1083"/>
      <c r="EV51" s="1083"/>
      <c r="EW51" s="1084"/>
      <c r="EX51" s="1083"/>
      <c r="EY51" s="1083"/>
      <c r="EZ51" s="1083"/>
      <c r="FA51" s="1083"/>
      <c r="FB51" s="1083"/>
      <c r="FC51" s="1083"/>
      <c r="FD51" s="1083"/>
      <c r="FE51" s="1084"/>
      <c r="FF51" s="1083"/>
      <c r="FG51" s="1083"/>
      <c r="FH51" s="1083"/>
      <c r="FI51" s="1083"/>
      <c r="FJ51" s="1083"/>
      <c r="FK51" s="1083"/>
      <c r="FL51" s="1083"/>
      <c r="FM51" s="1084"/>
      <c r="FN51" s="1083"/>
      <c r="FO51" s="1083"/>
      <c r="FP51" s="1083"/>
      <c r="FQ51" s="1083"/>
      <c r="FR51" s="1083"/>
      <c r="FS51" s="1083"/>
      <c r="FT51" s="1083"/>
      <c r="FU51" s="1083"/>
      <c r="FV51" s="1115"/>
      <c r="FW51" s="1083"/>
      <c r="FX51" s="1083"/>
      <c r="FY51" s="1083"/>
      <c r="FZ51" s="1083"/>
      <c r="GA51" s="1083"/>
      <c r="GB51" s="1083"/>
      <c r="GC51" s="1084"/>
      <c r="GD51" s="1083"/>
      <c r="GE51" s="1083"/>
      <c r="GF51" s="1083"/>
      <c r="GG51" s="1083"/>
      <c r="GH51" s="1083"/>
      <c r="GI51" s="1083"/>
      <c r="GJ51" s="1083"/>
      <c r="GK51" s="1084"/>
      <c r="GL51" s="1083"/>
      <c r="GM51" s="1083"/>
      <c r="GN51" s="1083"/>
      <c r="GO51" s="1083"/>
      <c r="GP51" s="1083"/>
      <c r="GQ51" s="1083"/>
      <c r="GR51" s="1083"/>
      <c r="GS51" s="1084"/>
      <c r="GT51" s="1083"/>
      <c r="GU51" s="1083"/>
      <c r="GV51" s="1083"/>
      <c r="GW51" s="1083"/>
      <c r="GX51" s="1083"/>
      <c r="GY51" s="1083"/>
      <c r="GZ51" s="1083"/>
      <c r="HA51" s="1084"/>
      <c r="HB51" s="1083"/>
      <c r="HC51" s="1083"/>
      <c r="HD51" s="1083"/>
      <c r="HE51" s="1083"/>
      <c r="HF51" s="1083"/>
      <c r="HG51" s="1083"/>
      <c r="HH51" s="1083"/>
      <c r="HI51" s="1084"/>
      <c r="HJ51" s="1083"/>
      <c r="HK51" s="1083"/>
      <c r="HL51" s="1083"/>
      <c r="HM51" s="1083"/>
      <c r="HN51" s="1083"/>
      <c r="HO51" s="1083"/>
      <c r="HP51" s="1083"/>
      <c r="HQ51" s="1084"/>
      <c r="HR51" s="1083"/>
      <c r="HS51" s="1083"/>
      <c r="HT51" s="1083"/>
      <c r="HU51" s="1083"/>
      <c r="HV51" s="1083"/>
      <c r="HW51" s="1083"/>
      <c r="HX51" s="1083"/>
      <c r="HY51" s="1083"/>
      <c r="HZ51" s="1083"/>
      <c r="IA51" s="1083"/>
      <c r="IB51" s="1083"/>
      <c r="IC51" s="1083"/>
      <c r="ID51" s="1083"/>
      <c r="IE51" s="1083"/>
      <c r="IF51" s="1083"/>
      <c r="IG51" s="1084"/>
      <c r="IH51" s="1083"/>
      <c r="II51" s="1083"/>
      <c r="IJ51" s="1083"/>
      <c r="IK51" s="1083"/>
      <c r="IL51" s="1083"/>
      <c r="IM51" s="1083"/>
      <c r="IN51" s="1083"/>
      <c r="IO51" s="1084"/>
      <c r="IP51" s="1083"/>
      <c r="IQ51" s="1083"/>
      <c r="IR51" s="1083"/>
      <c r="IS51" s="1083"/>
      <c r="IT51" s="1083"/>
      <c r="IU51" s="1083"/>
      <c r="IV51" s="1083"/>
      <c r="IW51" s="1083"/>
      <c r="IX51" s="1049"/>
      <c r="IY51" s="1049"/>
      <c r="IZ51" s="1049"/>
      <c r="JA51" s="1049"/>
      <c r="JB51" s="1049"/>
      <c r="JC51" s="1049"/>
      <c r="JD51" s="1041"/>
      <c r="JE51" s="1037"/>
      <c r="JF51" s="1037"/>
      <c r="JG51" s="1037"/>
      <c r="JH51" s="1037"/>
      <c r="JI51" s="1035"/>
      <c r="JJ51" s="1035"/>
      <c r="JK51" s="1035"/>
      <c r="JL51" s="1035"/>
      <c r="JM51" s="1035"/>
      <c r="JN51" s="1035"/>
      <c r="JO51" s="1035"/>
      <c r="JP51" s="1035"/>
      <c r="JQ51" s="1035"/>
      <c r="JR51" s="1035"/>
      <c r="JS51" s="1035"/>
      <c r="JT51" s="1035"/>
      <c r="JU51" s="1035"/>
      <c r="JV51" s="1035"/>
      <c r="JW51" s="1035"/>
      <c r="JX51" s="1035"/>
      <c r="JY51" s="1035"/>
      <c r="LV51" s="967"/>
    </row>
    <row r="52" hidden="1" spans="1:334">
      <c r="A52" s="1113"/>
      <c r="AX52" s="1059"/>
      <c r="BE52" s="1060"/>
      <c r="BN52" s="1059"/>
      <c r="BU52" s="1060"/>
      <c r="BV52" s="1059"/>
      <c r="CC52" s="1060"/>
      <c r="CD52" s="1059"/>
      <c r="CJ52" s="1061"/>
      <c r="CK52" s="1060"/>
      <c r="CL52" s="1059"/>
      <c r="CS52" s="1060"/>
      <c r="CT52" s="1117"/>
      <c r="CU52" s="1117"/>
      <c r="CV52" s="1117"/>
      <c r="CW52" s="1117"/>
      <c r="CX52" s="1117"/>
      <c r="CY52" s="1117"/>
      <c r="CZ52" s="1117"/>
      <c r="DA52" s="1117"/>
      <c r="DB52" s="1082"/>
      <c r="DC52" s="1082"/>
      <c r="DD52" s="1082"/>
      <c r="DE52" s="1082"/>
      <c r="DF52" s="1082"/>
      <c r="DG52" s="1082"/>
      <c r="DH52" s="1082"/>
      <c r="DI52" s="1085"/>
      <c r="DJ52" s="1133"/>
      <c r="DK52" s="1133"/>
      <c r="DL52" s="1133"/>
      <c r="DM52" s="1133"/>
      <c r="DN52" s="1133"/>
      <c r="DO52" s="1133"/>
      <c r="DP52" s="1133"/>
      <c r="DQ52" s="1085"/>
      <c r="DR52" s="1133"/>
      <c r="DS52" s="1133"/>
      <c r="DT52" s="1133"/>
      <c r="DU52" s="1133"/>
      <c r="DV52" s="1133"/>
      <c r="DW52" s="1133"/>
      <c r="DX52" s="1133"/>
      <c r="DY52" s="1135"/>
      <c r="DZ52" s="1144">
        <f>DZ50-DZ49</f>
        <v>1587.405</v>
      </c>
      <c r="EA52" s="1144">
        <f>EA50-EA49</f>
        <v>1506</v>
      </c>
      <c r="EB52" s="1144">
        <f>DZ52+EA52</f>
        <v>3093.405</v>
      </c>
      <c r="EC52" s="1144">
        <f>EC50-EC49</f>
        <v>1762</v>
      </c>
      <c r="ED52" s="1147"/>
      <c r="EE52" s="1144">
        <f>EE50-EE49</f>
        <v>1478</v>
      </c>
      <c r="EF52" s="1144">
        <f>EC52+EE52</f>
        <v>3240</v>
      </c>
      <c r="EG52" s="1145">
        <f>EG50-EG49</f>
        <v>6344</v>
      </c>
      <c r="EH52" s="1144">
        <f>EH50-EH49</f>
        <v>1826</v>
      </c>
      <c r="EI52" s="1144">
        <f>EI50-EI49</f>
        <v>1697</v>
      </c>
      <c r="EJ52" s="1144">
        <f>EH52+EI52</f>
        <v>3523</v>
      </c>
      <c r="EK52" s="1144">
        <f>EK50-EK49</f>
        <v>1978</v>
      </c>
      <c r="EL52" s="1147"/>
      <c r="EM52" s="1144">
        <f>EM50-EM49</f>
        <v>1603</v>
      </c>
      <c r="EN52" s="1144">
        <f>EK52+EM52</f>
        <v>3581</v>
      </c>
      <c r="EO52" s="1145">
        <f>EO50-EO49</f>
        <v>7104</v>
      </c>
      <c r="EP52" s="1144"/>
      <c r="EQ52" s="1144"/>
      <c r="ER52" s="1144"/>
      <c r="ES52" s="1144"/>
      <c r="ET52" s="1144"/>
      <c r="EU52" s="1144"/>
      <c r="EV52" s="1144"/>
      <c r="EW52" s="1145"/>
      <c r="EX52" s="1144"/>
      <c r="EY52" s="1144"/>
      <c r="EZ52" s="1144"/>
      <c r="FA52" s="1144"/>
      <c r="FB52" s="1144"/>
      <c r="FC52" s="1144"/>
      <c r="FD52" s="1144"/>
      <c r="FE52" s="1145"/>
      <c r="FF52" s="1144"/>
      <c r="FG52" s="1144"/>
      <c r="FH52" s="1144"/>
      <c r="FI52" s="1144"/>
      <c r="FJ52" s="1144"/>
      <c r="FK52" s="1144"/>
      <c r="FL52" s="1144"/>
      <c r="FM52" s="1145"/>
      <c r="FN52" s="1144"/>
      <c r="FO52" s="1144"/>
      <c r="FP52" s="1144"/>
      <c r="FQ52" s="1144"/>
      <c r="FR52" s="1144"/>
      <c r="FS52" s="1144"/>
      <c r="FT52" s="1144"/>
      <c r="FU52" s="1144"/>
      <c r="FV52" s="1146"/>
      <c r="FW52" s="1144"/>
      <c r="FX52" s="1144"/>
      <c r="FY52" s="1144"/>
      <c r="FZ52" s="1144"/>
      <c r="GA52" s="1144"/>
      <c r="GB52" s="1144"/>
      <c r="GC52" s="1145"/>
      <c r="GD52" s="1144"/>
      <c r="GE52" s="1144"/>
      <c r="GF52" s="1144"/>
      <c r="GG52" s="1144"/>
      <c r="GH52" s="1144"/>
      <c r="GI52" s="1144"/>
      <c r="GJ52" s="1144"/>
      <c r="GK52" s="1145"/>
      <c r="GL52" s="1144"/>
      <c r="GM52" s="1144"/>
      <c r="GN52" s="1144"/>
      <c r="GO52" s="1144"/>
      <c r="GP52" s="1144"/>
      <c r="GQ52" s="1144"/>
      <c r="GR52" s="1144"/>
      <c r="GS52" s="1145"/>
      <c r="GT52" s="1144"/>
      <c r="GU52" s="1144"/>
      <c r="GV52" s="1144"/>
      <c r="GW52" s="1144"/>
      <c r="GX52" s="1144"/>
      <c r="GY52" s="1144"/>
      <c r="GZ52" s="1144"/>
      <c r="HA52" s="1145"/>
      <c r="HB52" s="1144"/>
      <c r="HC52" s="1144"/>
      <c r="HD52" s="1144"/>
      <c r="HE52" s="1144"/>
      <c r="HF52" s="1144"/>
      <c r="HG52" s="1144"/>
      <c r="HH52" s="1144"/>
      <c r="HI52" s="1145"/>
      <c r="HJ52" s="1144"/>
      <c r="HK52" s="1144"/>
      <c r="HL52" s="1144"/>
      <c r="HM52" s="1144"/>
      <c r="HN52" s="1144"/>
      <c r="HO52" s="1144"/>
      <c r="HP52" s="1144"/>
      <c r="HQ52" s="1145"/>
      <c r="HR52" s="1144"/>
      <c r="HS52" s="1144"/>
      <c r="HT52" s="1144"/>
      <c r="HU52" s="1144"/>
      <c r="HV52" s="1144"/>
      <c r="HW52" s="1144"/>
      <c r="HX52" s="1144"/>
      <c r="HY52" s="1144"/>
      <c r="HZ52" s="1144"/>
      <c r="IA52" s="1144"/>
      <c r="IB52" s="1144"/>
      <c r="IC52" s="1144"/>
      <c r="ID52" s="1144"/>
      <c r="IE52" s="1144"/>
      <c r="IF52" s="1144"/>
      <c r="IG52" s="1145"/>
      <c r="IH52" s="1144"/>
      <c r="II52" s="1144"/>
      <c r="IJ52" s="1144"/>
      <c r="IK52" s="1144"/>
      <c r="IL52" s="1144"/>
      <c r="IM52" s="1144"/>
      <c r="IN52" s="1144"/>
      <c r="IO52" s="1145"/>
      <c r="IP52" s="1144"/>
      <c r="IQ52" s="1144"/>
      <c r="IR52" s="1144"/>
      <c r="IS52" s="1144"/>
      <c r="IT52" s="1144"/>
      <c r="IU52" s="1144"/>
      <c r="IV52" s="1144"/>
      <c r="IW52" s="1144"/>
      <c r="IX52" s="1049"/>
      <c r="IY52" s="1049"/>
      <c r="IZ52" s="1049"/>
      <c r="JA52" s="1049"/>
      <c r="JB52" s="1049"/>
      <c r="JC52" s="1049"/>
      <c r="JD52" s="1041"/>
      <c r="JE52" s="1037"/>
      <c r="JF52" s="1037"/>
      <c r="JG52" s="1037"/>
      <c r="JH52" s="1037"/>
      <c r="JI52" s="1035"/>
      <c r="JJ52" s="1035"/>
      <c r="JK52" s="1035"/>
      <c r="JL52" s="1035"/>
      <c r="JM52" s="1035"/>
      <c r="JN52" s="1035"/>
      <c r="JO52" s="1035"/>
      <c r="JP52" s="1035"/>
      <c r="JQ52" s="1035"/>
      <c r="JR52" s="1035"/>
      <c r="JS52" s="1035"/>
      <c r="JT52" s="1035"/>
      <c r="JU52" s="1035"/>
      <c r="JV52" s="1035"/>
      <c r="JW52" s="1035"/>
      <c r="JX52" s="1035"/>
      <c r="JY52" s="1035"/>
      <c r="LV52" s="967"/>
    </row>
    <row r="53" hidden="1" spans="1:334">
      <c r="A53" s="1113"/>
      <c r="AX53" s="1059"/>
      <c r="BE53" s="1060"/>
      <c r="BN53" s="1059"/>
      <c r="BU53" s="1060"/>
      <c r="BV53" s="1059"/>
      <c r="CC53" s="1060"/>
      <c r="CD53" s="1059"/>
      <c r="CJ53" s="1061"/>
      <c r="CK53" s="1060"/>
      <c r="CL53" s="1059"/>
      <c r="CS53" s="1060"/>
      <c r="CT53" s="1117"/>
      <c r="CU53" s="1117"/>
      <c r="CV53" s="1117"/>
      <c r="CW53" s="1117"/>
      <c r="CX53" s="1117"/>
      <c r="CY53" s="1117"/>
      <c r="CZ53" s="1117"/>
      <c r="DA53" s="1117"/>
      <c r="DB53" s="1082"/>
      <c r="DC53" s="1082"/>
      <c r="DD53" s="1082"/>
      <c r="DE53" s="1082"/>
      <c r="DF53" s="1082"/>
      <c r="DG53" s="1082"/>
      <c r="DH53" s="1082"/>
      <c r="DI53" s="1085"/>
      <c r="DJ53" s="1133"/>
      <c r="DK53" s="1133"/>
      <c r="DL53" s="1133"/>
      <c r="DM53" s="1133"/>
      <c r="DN53" s="1133"/>
      <c r="DO53" s="1133"/>
      <c r="DP53" s="1133"/>
      <c r="DQ53" s="1085"/>
      <c r="DR53" s="1133"/>
      <c r="DS53" s="1133"/>
      <c r="DT53" s="1133"/>
      <c r="DU53" s="1133"/>
      <c r="DV53" s="1133"/>
      <c r="DW53" s="1133"/>
      <c r="DX53" s="1133"/>
      <c r="DY53" s="1135"/>
      <c r="DZ53" s="1083">
        <f>DZ52/DZ26</f>
        <v>0.485</v>
      </c>
      <c r="EA53" s="1083">
        <f>EA52/EA26</f>
        <v>0.491514360313316</v>
      </c>
      <c r="EB53" s="1147"/>
      <c r="EC53" s="1083">
        <f>EC52/EC26</f>
        <v>0.470619658119658</v>
      </c>
      <c r="ED53" s="1147"/>
      <c r="EE53" s="1083">
        <f>EE52/EE26</f>
        <v>0.456032088861463</v>
      </c>
      <c r="EF53" s="1147"/>
      <c r="EG53" s="1084">
        <f>EG52/EG26</f>
        <v>0.476169030999024</v>
      </c>
      <c r="EH53" s="1083">
        <f>EH52/EH26</f>
        <v>0.477510460251046</v>
      </c>
      <c r="EI53" s="1083">
        <f>EI52/EI26</f>
        <v>0.482513505828831</v>
      </c>
      <c r="EJ53" s="1147"/>
      <c r="EK53" s="1083">
        <f>EK52/EK26</f>
        <v>0.473999520728493</v>
      </c>
      <c r="EL53" s="1147"/>
      <c r="EM53" s="1083">
        <f>EM52/EM26</f>
        <v>0.475808845354705</v>
      </c>
      <c r="EN53" s="1147"/>
      <c r="EO53" s="1084">
        <f>EO52/EO26</f>
        <v>0.477323120338641</v>
      </c>
      <c r="EP53" s="1083"/>
      <c r="EQ53" s="1083"/>
      <c r="ER53" s="1083"/>
      <c r="ES53" s="1083"/>
      <c r="ET53" s="1083"/>
      <c r="EU53" s="1083"/>
      <c r="EV53" s="1083"/>
      <c r="EW53" s="1084"/>
      <c r="EX53" s="1083"/>
      <c r="EY53" s="1083"/>
      <c r="EZ53" s="1083"/>
      <c r="FA53" s="1083"/>
      <c r="FB53" s="1083"/>
      <c r="FC53" s="1083"/>
      <c r="FD53" s="1083"/>
      <c r="FE53" s="1084"/>
      <c r="FF53" s="1083"/>
      <c r="FG53" s="1083"/>
      <c r="FH53" s="1083"/>
      <c r="FI53" s="1083"/>
      <c r="FJ53" s="1083"/>
      <c r="FK53" s="1083"/>
      <c r="FL53" s="1083"/>
      <c r="FM53" s="1084"/>
      <c r="FN53" s="1083"/>
      <c r="FO53" s="1083"/>
      <c r="FP53" s="1083"/>
      <c r="FQ53" s="1083"/>
      <c r="FR53" s="1083"/>
      <c r="FS53" s="1083"/>
      <c r="FT53" s="1083"/>
      <c r="FU53" s="1083"/>
      <c r="FV53" s="1115"/>
      <c r="FW53" s="1083"/>
      <c r="FX53" s="1083"/>
      <c r="FY53" s="1083"/>
      <c r="FZ53" s="1083"/>
      <c r="GA53" s="1083"/>
      <c r="GB53" s="1083"/>
      <c r="GC53" s="1084"/>
      <c r="GD53" s="1083"/>
      <c r="GE53" s="1083"/>
      <c r="GF53" s="1083"/>
      <c r="GG53" s="1083"/>
      <c r="GH53" s="1083"/>
      <c r="GI53" s="1083"/>
      <c r="GJ53" s="1083"/>
      <c r="GK53" s="1084"/>
      <c r="GL53" s="1083"/>
      <c r="GM53" s="1083"/>
      <c r="GN53" s="1083"/>
      <c r="GO53" s="1083"/>
      <c r="GP53" s="1083"/>
      <c r="GQ53" s="1083"/>
      <c r="GR53" s="1083"/>
      <c r="GS53" s="1084"/>
      <c r="GT53" s="1083"/>
      <c r="GU53" s="1083"/>
      <c r="GV53" s="1083"/>
      <c r="GW53" s="1083"/>
      <c r="GX53" s="1083"/>
      <c r="GY53" s="1083"/>
      <c r="GZ53" s="1083"/>
      <c r="HA53" s="1084"/>
      <c r="HB53" s="1083"/>
      <c r="HC53" s="1083"/>
      <c r="HD53" s="1083"/>
      <c r="HE53" s="1083"/>
      <c r="HF53" s="1083"/>
      <c r="HG53" s="1083"/>
      <c r="HH53" s="1083"/>
      <c r="HI53" s="1084"/>
      <c r="HJ53" s="1083"/>
      <c r="HK53" s="1083"/>
      <c r="HL53" s="1083"/>
      <c r="HM53" s="1083"/>
      <c r="HN53" s="1083"/>
      <c r="HO53" s="1083"/>
      <c r="HP53" s="1083"/>
      <c r="HQ53" s="1084"/>
      <c r="HR53" s="1083"/>
      <c r="HS53" s="1083"/>
      <c r="HT53" s="1083"/>
      <c r="HU53" s="1083"/>
      <c r="HV53" s="1083"/>
      <c r="HW53" s="1083"/>
      <c r="HX53" s="1083"/>
      <c r="HY53" s="1083"/>
      <c r="HZ53" s="1083"/>
      <c r="IA53" s="1083"/>
      <c r="IB53" s="1083"/>
      <c r="IC53" s="1083"/>
      <c r="ID53" s="1083"/>
      <c r="IE53" s="1083"/>
      <c r="IF53" s="1083"/>
      <c r="IG53" s="1084"/>
      <c r="IH53" s="1083"/>
      <c r="II53" s="1083"/>
      <c r="IJ53" s="1083"/>
      <c r="IK53" s="1083"/>
      <c r="IL53" s="1083"/>
      <c r="IM53" s="1083"/>
      <c r="IN53" s="1083"/>
      <c r="IO53" s="1084"/>
      <c r="IP53" s="1083"/>
      <c r="IQ53" s="1083"/>
      <c r="IR53" s="1083"/>
      <c r="IS53" s="1083"/>
      <c r="IT53" s="1083"/>
      <c r="IU53" s="1083"/>
      <c r="IV53" s="1083"/>
      <c r="IW53" s="1083"/>
      <c r="IX53" s="1049"/>
      <c r="IY53" s="1049"/>
      <c r="IZ53" s="1049"/>
      <c r="JA53" s="1049"/>
      <c r="JB53" s="1049"/>
      <c r="JC53" s="1049"/>
      <c r="JD53" s="1041"/>
      <c r="JE53" s="1037"/>
      <c r="JF53" s="1037"/>
      <c r="JG53" s="1037"/>
      <c r="JH53" s="1037"/>
      <c r="JI53" s="1035"/>
      <c r="JJ53" s="1035"/>
      <c r="JK53" s="1035"/>
      <c r="JL53" s="1035"/>
      <c r="JM53" s="1035"/>
      <c r="JN53" s="1035"/>
      <c r="JO53" s="1035"/>
      <c r="JP53" s="1035"/>
      <c r="JQ53" s="1035"/>
      <c r="JR53" s="1035"/>
      <c r="JS53" s="1035"/>
      <c r="JT53" s="1035"/>
      <c r="JU53" s="1035"/>
      <c r="JV53" s="1035"/>
      <c r="JW53" s="1035"/>
      <c r="JX53" s="1035"/>
      <c r="JY53" s="1035"/>
      <c r="LV53" s="967"/>
    </row>
    <row r="54" hidden="1" spans="1:334">
      <c r="AX54" s="1059"/>
      <c r="BE54" s="1060"/>
      <c r="BN54" s="1059"/>
      <c r="BU54" s="1060"/>
      <c r="BV54" s="1059"/>
      <c r="CC54" s="1060"/>
      <c r="CD54" s="1059"/>
      <c r="CJ54" s="1061"/>
      <c r="CK54" s="1060"/>
      <c r="CL54" s="1059"/>
      <c r="CS54" s="1060"/>
      <c r="CT54" s="1117"/>
      <c r="CU54" s="1117"/>
      <c r="CV54" s="1117"/>
      <c r="CW54" s="1117"/>
      <c r="CX54" s="1117"/>
      <c r="CY54" s="1117"/>
      <c r="CZ54" s="1117"/>
      <c r="DA54" s="1117"/>
      <c r="DB54" s="1148"/>
      <c r="DC54" s="1148"/>
      <c r="DD54" s="1148"/>
      <c r="DE54" s="1148"/>
      <c r="DF54" s="1148"/>
      <c r="DG54" s="1148"/>
      <c r="DH54" s="1148"/>
      <c r="DI54" s="1149"/>
      <c r="DJ54" s="1148"/>
      <c r="DK54" s="1148"/>
      <c r="DL54" s="1148"/>
      <c r="DM54" s="1148"/>
      <c r="DN54" s="1148"/>
      <c r="DO54" s="1148"/>
      <c r="DP54" s="1148"/>
      <c r="DQ54" s="1149"/>
      <c r="DR54" s="1080">
        <f t="shared" ref="DR54:DY54" si="468">DR49/DR45</f>
        <v>-0.0555478606671161</v>
      </c>
      <c r="DS54" s="1080">
        <f t="shared" si="468"/>
        <v>-0.0511611994562585</v>
      </c>
      <c r="DT54" s="1080">
        <f t="shared" si="468"/>
        <v>-0.0539268013724743</v>
      </c>
      <c r="DU54" s="1080">
        <f t="shared" si="468"/>
        <v>-0.0292215630189395</v>
      </c>
      <c r="DV54" s="1080">
        <f t="shared" si="468"/>
        <v>-0.044649569487698</v>
      </c>
      <c r="DW54" s="1080">
        <f t="shared" si="468"/>
        <v>-0.044649569487698</v>
      </c>
      <c r="DX54" s="1080">
        <f t="shared" si="468"/>
        <v>-0.0362175544428322</v>
      </c>
      <c r="DY54" s="1081">
        <f t="shared" si="468"/>
        <v>-0.044518156424581</v>
      </c>
      <c r="DZ54" s="1080">
        <f t="shared" ref="DZ54:EG54" si="469">DZ49/DZ45</f>
        <v>-0.0396275682639276</v>
      </c>
      <c r="EA54" s="1080">
        <f t="shared" si="469"/>
        <v>-0.0620849933598938</v>
      </c>
      <c r="EB54" s="1080">
        <f t="shared" si="469"/>
        <v>-0.0505607898092877</v>
      </c>
      <c r="EC54" s="1080">
        <f t="shared" si="469"/>
        <v>-0.0414301929625426</v>
      </c>
      <c r="ED54" s="1080">
        <f t="shared" si="469"/>
        <v>-0.0472473459989434</v>
      </c>
      <c r="EE54" s="1080">
        <f t="shared" si="469"/>
        <v>-0.0656292286874154</v>
      </c>
      <c r="EF54" s="1080">
        <f t="shared" si="469"/>
        <v>-0.0524691358024691</v>
      </c>
      <c r="EG54" s="1081">
        <f t="shared" si="469"/>
        <v>-0.0531210592686003</v>
      </c>
      <c r="EH54" s="1080">
        <f t="shared" ref="EH54:EO54" si="470">EH49/EH45</f>
        <v>-0.0450545454545454</v>
      </c>
      <c r="EI54" s="1080">
        <f t="shared" si="470"/>
        <v>-0.0599183264584562</v>
      </c>
      <c r="EJ54" s="1080">
        <f t="shared" si="470"/>
        <v>-0.0522143059892137</v>
      </c>
      <c r="EK54" s="1080">
        <f t="shared" si="470"/>
        <v>-0.0409752275025278</v>
      </c>
      <c r="EL54" s="1080">
        <f t="shared" si="470"/>
        <v>-0.0481730594437375</v>
      </c>
      <c r="EM54" s="1080">
        <f t="shared" si="470"/>
        <v>-0.0617592014971928</v>
      </c>
      <c r="EN54" s="1080">
        <f t="shared" si="470"/>
        <v>-0.050278972354091</v>
      </c>
      <c r="EO54" s="1081">
        <f t="shared" si="470"/>
        <v>-0.0512387387387387</v>
      </c>
      <c r="EP54" s="1080"/>
      <c r="EQ54" s="1080"/>
      <c r="ER54" s="1080"/>
      <c r="ES54" s="1080"/>
      <c r="ET54" s="1080"/>
      <c r="EU54" s="1080"/>
      <c r="EV54" s="1080"/>
      <c r="EW54" s="1081"/>
      <c r="EX54" s="1080"/>
      <c r="EY54" s="1080"/>
      <c r="EZ54" s="1080"/>
      <c r="FA54" s="1080"/>
      <c r="FB54" s="1080"/>
      <c r="FC54" s="1080"/>
      <c r="FD54" s="1080"/>
      <c r="FE54" s="1081"/>
      <c r="FF54" s="1080"/>
      <c r="FG54" s="1080"/>
      <c r="FH54" s="1080"/>
      <c r="FI54" s="1080"/>
      <c r="FJ54" s="1080"/>
      <c r="FK54" s="1080"/>
      <c r="FL54" s="1080"/>
      <c r="FM54" s="1081"/>
      <c r="FN54" s="1080"/>
      <c r="FO54" s="1080"/>
      <c r="FP54" s="1080"/>
      <c r="FQ54" s="1080"/>
      <c r="FR54" s="1080"/>
      <c r="FS54" s="1080"/>
      <c r="FT54" s="1080"/>
      <c r="FU54" s="1080"/>
      <c r="FV54" s="1150"/>
      <c r="FW54" s="1080"/>
      <c r="FX54" s="1080"/>
      <c r="FY54" s="1080"/>
      <c r="FZ54" s="1080"/>
      <c r="GA54" s="1080"/>
      <c r="GB54" s="1080"/>
      <c r="GC54" s="1081"/>
      <c r="GD54" s="1080"/>
      <c r="GE54" s="1080"/>
      <c r="GF54" s="1080"/>
      <c r="GG54" s="1080"/>
      <c r="GH54" s="1080"/>
      <c r="GI54" s="1080"/>
      <c r="GJ54" s="1080"/>
      <c r="GK54" s="1081"/>
      <c r="GL54" s="1080"/>
      <c r="GM54" s="1080"/>
      <c r="GN54" s="1080"/>
      <c r="GO54" s="1080"/>
      <c r="GP54" s="1080"/>
      <c r="GQ54" s="1080"/>
      <c r="GR54" s="1080"/>
      <c r="GS54" s="1081"/>
      <c r="GT54" s="1080"/>
      <c r="GU54" s="1080"/>
      <c r="GV54" s="1080"/>
      <c r="GW54" s="1080"/>
      <c r="GX54" s="1080"/>
      <c r="GY54" s="1080"/>
      <c r="GZ54" s="1080"/>
      <c r="HA54" s="1081"/>
      <c r="HB54" s="1080"/>
      <c r="HC54" s="1080"/>
      <c r="HD54" s="1080"/>
      <c r="HE54" s="1080"/>
      <c r="HF54" s="1080"/>
      <c r="HG54" s="1080"/>
      <c r="HH54" s="1080"/>
      <c r="HI54" s="1081"/>
      <c r="HJ54" s="1080"/>
      <c r="HK54" s="1080"/>
      <c r="HL54" s="1080"/>
      <c r="HM54" s="1080"/>
      <c r="HN54" s="1080"/>
      <c r="HO54" s="1080"/>
      <c r="HP54" s="1080"/>
      <c r="HQ54" s="1081"/>
      <c r="HR54" s="1080"/>
      <c r="HS54" s="1080"/>
      <c r="HT54" s="1080"/>
      <c r="HU54" s="1080"/>
      <c r="HV54" s="1080"/>
      <c r="HW54" s="1080"/>
      <c r="HX54" s="1080"/>
      <c r="HY54" s="1080"/>
      <c r="HZ54" s="1080"/>
      <c r="IA54" s="1080"/>
      <c r="IB54" s="1080"/>
      <c r="IC54" s="1080"/>
      <c r="ID54" s="1080"/>
      <c r="IE54" s="1080"/>
      <c r="IF54" s="1080"/>
      <c r="IG54" s="1081"/>
      <c r="IH54" s="1080"/>
      <c r="II54" s="1080"/>
      <c r="IJ54" s="1080"/>
      <c r="IK54" s="1080"/>
      <c r="IL54" s="1080"/>
      <c r="IM54" s="1080"/>
      <c r="IN54" s="1080"/>
      <c r="IO54" s="1081"/>
      <c r="IP54" s="1080"/>
      <c r="IQ54" s="1080"/>
      <c r="IR54" s="1080"/>
      <c r="IS54" s="1080"/>
      <c r="IT54" s="1080"/>
      <c r="IU54" s="1080"/>
      <c r="IV54" s="1080"/>
      <c r="IW54" s="1080"/>
      <c r="IX54" s="1049"/>
      <c r="IY54" s="1049"/>
      <c r="IZ54" s="1049"/>
      <c r="JA54" s="1049"/>
      <c r="JB54" s="1049"/>
      <c r="JC54" s="1049"/>
      <c r="JD54" s="1041"/>
      <c r="JE54" s="1037"/>
      <c r="JF54" s="1037"/>
      <c r="JG54" s="1037"/>
      <c r="JH54" s="1037"/>
      <c r="JI54" s="1035"/>
      <c r="JJ54" s="1035"/>
      <c r="JK54" s="1035"/>
      <c r="JL54" s="1035"/>
      <c r="JM54" s="1035"/>
      <c r="JN54" s="1035"/>
      <c r="JO54" s="1035"/>
      <c r="JP54" s="1035"/>
      <c r="JQ54" s="1035"/>
      <c r="JR54" s="1035"/>
      <c r="JS54" s="1035"/>
      <c r="JT54" s="1035"/>
      <c r="JU54" s="1035"/>
      <c r="JV54" s="1035"/>
      <c r="JW54" s="1035"/>
      <c r="JX54" s="1035"/>
      <c r="JY54" s="1035"/>
      <c r="LV54" s="1025"/>
    </row>
    <row r="55" spans="1:334">
      <c r="AX55" s="1059"/>
      <c r="BE55" s="1060"/>
      <c r="BN55" s="1059"/>
      <c r="BU55" s="1060"/>
      <c r="BV55" s="1059"/>
      <c r="CC55" s="1060"/>
      <c r="CD55" s="1059"/>
      <c r="CJ55" s="1061"/>
      <c r="CK55" s="1060"/>
      <c r="CL55" s="1059"/>
      <c r="CS55" s="1060"/>
      <c r="CT55" s="1117"/>
      <c r="CU55" s="1117"/>
      <c r="CV55" s="1117"/>
      <c r="CW55" s="1117"/>
      <c r="CX55" s="1117"/>
      <c r="CY55" s="1117"/>
      <c r="CZ55" s="1117"/>
      <c r="DA55" s="1117"/>
      <c r="DB55" s="1148"/>
      <c r="DC55" s="1148"/>
      <c r="DD55" s="1148"/>
      <c r="DE55" s="1148"/>
      <c r="DF55" s="1148"/>
      <c r="DG55" s="1148"/>
      <c r="DH55" s="1148"/>
      <c r="DI55" s="1149"/>
      <c r="DJ55" s="1148" t="s">
        <v>515</v>
      </c>
      <c r="DK55" s="1148" t="s">
        <v>516</v>
      </c>
      <c r="DL55" s="1148"/>
      <c r="DM55" s="1148" t="s">
        <v>517</v>
      </c>
      <c r="DN55" s="1148"/>
      <c r="DO55" s="1148" t="s">
        <v>518</v>
      </c>
      <c r="DP55" s="1148"/>
      <c r="DQ55" s="1149"/>
      <c r="DR55" s="1080"/>
      <c r="DS55" s="1080"/>
      <c r="DT55" s="1080"/>
      <c r="DU55" s="1080"/>
      <c r="DV55" s="1080"/>
      <c r="DW55" s="1080"/>
      <c r="DX55" s="1080"/>
      <c r="DY55" s="1081"/>
      <c r="DZ55" s="1080"/>
      <c r="EA55" s="1080"/>
      <c r="EB55" s="1080"/>
      <c r="EC55" s="1080"/>
      <c r="ED55" s="1080"/>
      <c r="EE55" s="1080"/>
      <c r="EF55" s="1080"/>
      <c r="EG55" s="1081"/>
      <c r="EH55" s="1080"/>
      <c r="EI55" s="1080"/>
      <c r="EJ55" s="1080"/>
      <c r="EK55" s="1080"/>
      <c r="EL55" s="1080"/>
      <c r="EM55" s="1080"/>
      <c r="EN55" s="1080"/>
      <c r="EO55" s="1081"/>
      <c r="EP55" s="1080"/>
      <c r="EQ55" s="1080"/>
      <c r="ER55" s="1080"/>
      <c r="ES55" s="1080"/>
      <c r="ET55" s="1080"/>
      <c r="EU55" s="1080"/>
      <c r="EV55" s="1080"/>
      <c r="EW55" s="1081"/>
      <c r="EX55" s="1080"/>
      <c r="EY55" s="1080"/>
      <c r="EZ55" s="1080"/>
      <c r="FA55" s="1080"/>
      <c r="FB55" s="1080"/>
      <c r="FC55" s="1080"/>
      <c r="FD55" s="1080"/>
      <c r="FE55" s="1081"/>
      <c r="FF55" s="1080"/>
      <c r="FG55" s="1080"/>
      <c r="FH55" s="1080"/>
      <c r="FI55" s="1080"/>
      <c r="FJ55" s="1080"/>
      <c r="FK55" s="1080"/>
      <c r="FL55" s="1080"/>
      <c r="FM55" s="1081"/>
      <c r="FN55" s="1080"/>
      <c r="FO55" s="1080"/>
      <c r="FP55" s="1080"/>
      <c r="FQ55" s="1080"/>
      <c r="FR55" s="1080"/>
      <c r="FS55" s="1080"/>
      <c r="FT55" s="1080"/>
      <c r="FU55" s="1080"/>
      <c r="FV55" s="1150"/>
      <c r="FW55" s="1080"/>
      <c r="FX55" s="1080"/>
      <c r="FY55" s="1080"/>
      <c r="FZ55" s="1080"/>
      <c r="GA55" s="1080"/>
      <c r="GB55" s="1080"/>
      <c r="GC55" s="1081"/>
      <c r="GD55" s="1080"/>
      <c r="GE55" s="1080"/>
      <c r="GF55" s="1080"/>
      <c r="GG55" s="1080"/>
      <c r="GH55" s="1080"/>
      <c r="GI55" s="1080"/>
      <c r="GJ55" s="1080"/>
      <c r="GK55" s="1081"/>
      <c r="GL55" s="1080"/>
      <c r="GM55" s="1080"/>
      <c r="GN55" s="1080"/>
      <c r="GO55" s="1080"/>
      <c r="GP55" s="1080"/>
      <c r="GQ55" s="1080"/>
      <c r="GR55" s="1080"/>
      <c r="GS55" s="1081"/>
      <c r="GT55" s="1080"/>
      <c r="GU55" s="1080"/>
      <c r="GV55" s="1080"/>
      <c r="GW55" s="1080"/>
      <c r="GX55" s="1080"/>
      <c r="GY55" s="1080"/>
      <c r="GZ55" s="1080"/>
      <c r="HA55" s="1081"/>
      <c r="HB55" s="1080"/>
      <c r="HC55" s="1080"/>
      <c r="HD55" s="1080"/>
      <c r="HE55" s="1080"/>
      <c r="HF55" s="1080"/>
      <c r="HG55" s="1080"/>
      <c r="HH55" s="1080"/>
      <c r="HI55" s="1081"/>
      <c r="HJ55" s="1080"/>
      <c r="HK55" s="1080"/>
      <c r="HL55" s="1080"/>
      <c r="HM55" s="1080"/>
      <c r="HN55" s="1080"/>
      <c r="HO55" s="1080"/>
      <c r="HP55" s="1080"/>
      <c r="HQ55" s="1081"/>
      <c r="HR55" s="1080"/>
      <c r="HS55" s="1080"/>
      <c r="HT55" s="1080"/>
      <c r="HU55" s="1080"/>
      <c r="HV55" s="1080"/>
      <c r="HW55" s="1080"/>
      <c r="HX55" s="1080"/>
      <c r="HY55" s="1080"/>
      <c r="HZ55" s="1080"/>
      <c r="IA55" s="1080"/>
      <c r="IB55" s="1080"/>
      <c r="IC55" s="1080"/>
      <c r="ID55" s="1080"/>
      <c r="IE55" s="1080"/>
      <c r="IF55" s="1080"/>
      <c r="IG55" s="1081"/>
      <c r="IH55" s="1080"/>
      <c r="II55" s="1080"/>
      <c r="IJ55" s="1080"/>
      <c r="IK55" s="1080"/>
      <c r="IL55" s="1080"/>
      <c r="IM55" s="1080"/>
      <c r="IN55" s="1080"/>
      <c r="IO55" s="1081"/>
      <c r="IP55" s="1080"/>
      <c r="IQ55" s="1080"/>
      <c r="IR55" s="1080"/>
      <c r="IS55" s="1080"/>
      <c r="IT55" s="1080"/>
      <c r="IU55" s="1080"/>
      <c r="IV55" s="1080"/>
      <c r="IW55" s="1080"/>
      <c r="IX55" s="1049"/>
      <c r="IY55" s="1049"/>
      <c r="IZ55" s="1049"/>
      <c r="JA55" s="1049"/>
      <c r="JB55" s="1049"/>
      <c r="JC55" s="1049"/>
      <c r="JD55" s="1041"/>
      <c r="JE55" s="1037"/>
      <c r="JF55" s="1037"/>
      <c r="JG55" s="1037"/>
      <c r="JH55" s="1037"/>
      <c r="JI55" s="1035"/>
      <c r="JJ55" s="1035"/>
      <c r="JK55" s="1035"/>
      <c r="JL55" s="1035"/>
      <c r="JM55" s="1035"/>
      <c r="JN55" s="1035"/>
      <c r="JO55" s="1035"/>
      <c r="JP55" s="1035"/>
      <c r="JQ55" s="1035"/>
      <c r="JR55" s="1035"/>
      <c r="JS55" s="1035"/>
      <c r="JT55" s="1035"/>
      <c r="JU55" s="1035"/>
      <c r="JV55" s="1035"/>
      <c r="JW55" s="1035"/>
      <c r="JX55" s="1035"/>
      <c r="JY55" s="1035"/>
      <c r="LV55" s="1025"/>
    </row>
    <row r="56" hidden="1" outlineLevel="1" spans="1:334">
      <c r="A56" s="1051" t="s">
        <v>76</v>
      </c>
      <c r="B56" s="1066"/>
      <c r="C56" s="1066"/>
      <c r="D56" s="1066"/>
      <c r="E56" s="1066"/>
      <c r="F56" s="1066"/>
      <c r="G56" s="1066"/>
      <c r="H56" s="1066"/>
      <c r="I56" s="1066"/>
      <c r="J56" s="1066"/>
      <c r="K56" s="1066"/>
      <c r="L56" s="1066"/>
      <c r="M56" s="1066"/>
      <c r="N56" s="1066"/>
      <c r="O56" s="1066"/>
      <c r="P56" s="1066"/>
      <c r="Q56" s="1066"/>
      <c r="R56" s="1066"/>
      <c r="S56" s="1066"/>
      <c r="T56" s="1066"/>
      <c r="U56" s="1066"/>
      <c r="V56" s="1066"/>
      <c r="W56" s="1066"/>
      <c r="X56" s="1066"/>
      <c r="Y56" s="1066"/>
      <c r="Z56" s="1066"/>
      <c r="AA56" s="1066"/>
      <c r="AB56" s="1066"/>
      <c r="AC56" s="1066"/>
      <c r="AD56" s="1066"/>
      <c r="AE56" s="1066"/>
      <c r="AF56" s="1066"/>
      <c r="AG56" s="1066"/>
      <c r="AH56" s="1066"/>
      <c r="AI56" s="1066"/>
      <c r="AJ56" s="1066"/>
      <c r="AK56" s="1066"/>
      <c r="AL56" s="1066"/>
      <c r="AM56" s="1066"/>
      <c r="AN56" s="1066"/>
      <c r="AO56" s="1066"/>
      <c r="AP56" s="1066"/>
      <c r="AQ56" s="1066"/>
      <c r="AR56" s="1066"/>
      <c r="AS56" s="1066"/>
      <c r="AT56" s="1066"/>
      <c r="AU56" s="1066"/>
      <c r="AV56" s="1066"/>
      <c r="AW56" s="1066"/>
      <c r="AX56" s="1067"/>
      <c r="AY56" s="1066"/>
      <c r="AZ56" s="1066"/>
      <c r="BA56" s="1066"/>
      <c r="BB56" s="1066"/>
      <c r="BC56" s="1066"/>
      <c r="BD56" s="1066"/>
      <c r="BE56" s="1068"/>
      <c r="BF56" s="1066"/>
      <c r="BG56" s="1066"/>
      <c r="BH56" s="1066"/>
      <c r="BI56" s="1066"/>
      <c r="BJ56" s="1066"/>
      <c r="BK56" s="1066"/>
      <c r="BL56" s="1066"/>
      <c r="BM56" s="1066"/>
      <c r="BN56" s="1067"/>
      <c r="BO56" s="1066"/>
      <c r="BP56" s="1066"/>
      <c r="BQ56" s="1066"/>
      <c r="BR56" s="1066"/>
      <c r="BS56" s="1066"/>
      <c r="BT56" s="1066"/>
      <c r="BU56" s="1068"/>
      <c r="BV56" s="1067"/>
      <c r="BW56" s="1066"/>
      <c r="BX56" s="1066"/>
      <c r="BY56" s="1066"/>
      <c r="BZ56" s="1066"/>
      <c r="CA56" s="1066"/>
      <c r="CB56" s="1066"/>
      <c r="CC56" s="1068"/>
      <c r="CD56" s="1067"/>
      <c r="CE56" s="1066"/>
      <c r="CF56" s="1066"/>
      <c r="CG56" s="1066"/>
      <c r="CH56" s="1066"/>
      <c r="CI56" s="1066"/>
      <c r="CJ56" s="1069"/>
      <c r="CK56" s="1068"/>
      <c r="CL56" s="1067"/>
      <c r="CM56" s="1066"/>
      <c r="CN56" s="1066"/>
      <c r="CO56" s="1066"/>
      <c r="CP56" s="1066"/>
      <c r="CQ56" s="1066"/>
      <c r="CR56" s="1066"/>
      <c r="CS56" s="1068"/>
      <c r="CT56" s="1051"/>
      <c r="CU56" s="1051"/>
      <c r="CV56" s="1051"/>
      <c r="CW56" s="1051"/>
      <c r="CX56" s="1051"/>
      <c r="CY56" s="1051"/>
      <c r="CZ56" s="1051"/>
      <c r="DA56" s="1051"/>
      <c r="DB56" s="1047" t="str">
        <f t="shared" ref="DB56:EG56" si="471">DB$2</f>
        <v>Q1 08</v>
      </c>
      <c r="DC56" s="1047" t="str">
        <f t="shared" si="471"/>
        <v>Q2 08</v>
      </c>
      <c r="DD56" s="1047" t="str">
        <f t="shared" si="471"/>
        <v>H1 08</v>
      </c>
      <c r="DE56" s="1047" t="str">
        <f t="shared" si="471"/>
        <v>Q3 08</v>
      </c>
      <c r="DF56" s="1047" t="str">
        <f t="shared" si="471"/>
        <v>9M 08</v>
      </c>
      <c r="DG56" s="1047" t="str">
        <f t="shared" si="471"/>
        <v>Q4 08</v>
      </c>
      <c r="DH56" s="1047" t="str">
        <f t="shared" si="471"/>
        <v>H2 08</v>
      </c>
      <c r="DI56" s="1048" t="str">
        <f t="shared" si="471"/>
        <v>FY 08</v>
      </c>
      <c r="DJ56" s="1047" t="str">
        <f t="shared" si="471"/>
        <v>Q1 09</v>
      </c>
      <c r="DK56" s="1047" t="str">
        <f t="shared" si="471"/>
        <v>Q2 09</v>
      </c>
      <c r="DL56" s="1047" t="str">
        <f t="shared" si="471"/>
        <v>H1 09</v>
      </c>
      <c r="DM56" s="1047" t="str">
        <f t="shared" si="471"/>
        <v>Q3 09</v>
      </c>
      <c r="DN56" s="1047" t="str">
        <f t="shared" si="471"/>
        <v>9M 09</v>
      </c>
      <c r="DO56" s="1047" t="str">
        <f t="shared" si="471"/>
        <v>Q4 09</v>
      </c>
      <c r="DP56" s="1047" t="str">
        <f t="shared" si="471"/>
        <v>H2 09</v>
      </c>
      <c r="DQ56" s="1048" t="str">
        <f t="shared" si="471"/>
        <v>FY 09</v>
      </c>
      <c r="DR56" s="1047" t="str">
        <f t="shared" si="471"/>
        <v>Q1 10</v>
      </c>
      <c r="DS56" s="1047" t="str">
        <f t="shared" si="471"/>
        <v>Q2 10</v>
      </c>
      <c r="DT56" s="1047" t="str">
        <f t="shared" si="471"/>
        <v>H1 10</v>
      </c>
      <c r="DU56" s="1047" t="str">
        <f t="shared" si="471"/>
        <v>Q3 10</v>
      </c>
      <c r="DV56" s="1047" t="str">
        <f t="shared" si="471"/>
        <v>9M 10</v>
      </c>
      <c r="DW56" s="1047" t="str">
        <f t="shared" si="471"/>
        <v>Q4 10</v>
      </c>
      <c r="DX56" s="1047" t="str">
        <f t="shared" si="471"/>
        <v>H2 10</v>
      </c>
      <c r="DY56" s="1048" t="str">
        <f t="shared" si="471"/>
        <v>FY 10</v>
      </c>
      <c r="DZ56" s="1047" t="str">
        <f t="shared" si="471"/>
        <v>Q1 11</v>
      </c>
      <c r="EA56" s="1047" t="str">
        <f t="shared" si="471"/>
        <v>Q2 11</v>
      </c>
      <c r="EB56" s="1047" t="str">
        <f t="shared" si="471"/>
        <v>H1 11</v>
      </c>
      <c r="EC56" s="1047" t="str">
        <f t="shared" si="471"/>
        <v>Q3 11</v>
      </c>
      <c r="ED56" s="1047" t="str">
        <f t="shared" si="471"/>
        <v>9M 11</v>
      </c>
      <c r="EE56" s="1047" t="str">
        <f t="shared" si="471"/>
        <v>Q4 11</v>
      </c>
      <c r="EF56" s="1047" t="str">
        <f t="shared" si="471"/>
        <v>H2 11</v>
      </c>
      <c r="EG56" s="1048" t="str">
        <f t="shared" si="471"/>
        <v>FY 11</v>
      </c>
      <c r="EH56" s="1047" t="str">
        <f t="shared" ref="EH56:FE56" si="472">EH$2</f>
        <v>Q1 12</v>
      </c>
      <c r="EI56" s="1047" t="str">
        <f t="shared" si="472"/>
        <v>Q2 12</v>
      </c>
      <c r="EJ56" s="1047" t="str">
        <f t="shared" si="472"/>
        <v>H1 12</v>
      </c>
      <c r="EK56" s="1047" t="str">
        <f t="shared" si="472"/>
        <v>Q3 12</v>
      </c>
      <c r="EL56" s="1047" t="str">
        <f t="shared" si="472"/>
        <v>9M 12</v>
      </c>
      <c r="EM56" s="1047" t="str">
        <f t="shared" si="472"/>
        <v>Q4 12</v>
      </c>
      <c r="EN56" s="1047" t="str">
        <f t="shared" si="472"/>
        <v>H2 12</v>
      </c>
      <c r="EO56" s="1048" t="str">
        <f t="shared" si="472"/>
        <v>FY 12</v>
      </c>
      <c r="EP56" s="1047" t="str">
        <f t="shared" si="472"/>
        <v>1Q13</v>
      </c>
      <c r="EQ56" s="1047" t="str">
        <f t="shared" si="472"/>
        <v>2Q13</v>
      </c>
      <c r="ER56" s="1047" t="str">
        <f t="shared" si="472"/>
        <v>1H13</v>
      </c>
      <c r="ES56" s="1047" t="str">
        <f t="shared" si="472"/>
        <v>3Q13</v>
      </c>
      <c r="ET56" s="1047" t="str">
        <f t="shared" si="472"/>
        <v>9M13</v>
      </c>
      <c r="EU56" s="1047" t="str">
        <f t="shared" si="472"/>
        <v>4Q13</v>
      </c>
      <c r="EV56" s="1047" t="str">
        <f t="shared" si="472"/>
        <v>2H13</v>
      </c>
      <c r="EW56" s="1048" t="str">
        <f t="shared" si="472"/>
        <v>FY13</v>
      </c>
      <c r="EX56" s="1047" t="str">
        <f t="shared" si="472"/>
        <v>1Q14</v>
      </c>
      <c r="EY56" s="1047" t="str">
        <f t="shared" si="472"/>
        <v>2Q14</v>
      </c>
      <c r="EZ56" s="1047" t="str">
        <f t="shared" si="472"/>
        <v>1H14</v>
      </c>
      <c r="FA56" s="1047" t="str">
        <f t="shared" si="472"/>
        <v>3Q14</v>
      </c>
      <c r="FB56" s="1047" t="str">
        <f t="shared" si="472"/>
        <v>9M14</v>
      </c>
      <c r="FC56" s="1047" t="str">
        <f t="shared" si="472"/>
        <v>4Q14</v>
      </c>
      <c r="FD56" s="1047" t="str">
        <f t="shared" si="472"/>
        <v>2H14</v>
      </c>
      <c r="FE56" s="1048" t="str">
        <f t="shared" si="472"/>
        <v>FY14</v>
      </c>
      <c r="FF56" s="1047"/>
      <c r="FG56" s="1047"/>
      <c r="FH56" s="1047"/>
      <c r="FI56" s="1047"/>
      <c r="FJ56" s="1047"/>
      <c r="FK56" s="1047"/>
      <c r="FL56" s="1047"/>
      <c r="FM56" s="1048"/>
      <c r="FN56" s="1047"/>
      <c r="FO56" s="1047"/>
      <c r="FP56" s="1047"/>
      <c r="FQ56" s="1047"/>
      <c r="FR56" s="1047"/>
      <c r="FS56" s="1047"/>
      <c r="FT56" s="1047"/>
      <c r="FU56" s="1047"/>
      <c r="FV56" s="1055"/>
      <c r="FW56" s="1047"/>
      <c r="FX56" s="1047"/>
      <c r="FY56" s="1047"/>
      <c r="FZ56" s="1047"/>
      <c r="GA56" s="1047"/>
      <c r="GB56" s="1047"/>
      <c r="GC56" s="1048"/>
      <c r="GD56" s="1047"/>
      <c r="GE56" s="1047"/>
      <c r="GF56" s="1047"/>
      <c r="GG56" s="1047"/>
      <c r="GH56" s="1047"/>
      <c r="GI56" s="1047"/>
      <c r="GJ56" s="1047"/>
      <c r="GK56" s="1048"/>
      <c r="GL56" s="1047"/>
      <c r="GM56" s="1047"/>
      <c r="GN56" s="1047"/>
      <c r="GO56" s="1047"/>
      <c r="GP56" s="1047"/>
      <c r="GQ56" s="1047"/>
      <c r="GR56" s="1047"/>
      <c r="GS56" s="1048"/>
      <c r="GT56" s="1047"/>
      <c r="GU56" s="1047"/>
      <c r="GV56" s="1047"/>
      <c r="GW56" s="1047"/>
      <c r="GX56" s="1047"/>
      <c r="GY56" s="1047"/>
      <c r="GZ56" s="1047"/>
      <c r="HA56" s="1048"/>
      <c r="HB56" s="1047"/>
      <c r="HC56" s="1047"/>
      <c r="HD56" s="1047"/>
      <c r="HE56" s="1047"/>
      <c r="HF56" s="1047"/>
      <c r="HG56" s="1047"/>
      <c r="HH56" s="1047"/>
      <c r="HI56" s="1048"/>
      <c r="HJ56" s="1047"/>
      <c r="HK56" s="1047"/>
      <c r="HL56" s="1047"/>
      <c r="HM56" s="1047"/>
      <c r="HN56" s="1047"/>
      <c r="HO56" s="1047"/>
      <c r="HP56" s="1047"/>
      <c r="HQ56" s="1048"/>
      <c r="HR56" s="1047"/>
      <c r="HS56" s="1047"/>
      <c r="HT56" s="1047"/>
      <c r="HU56" s="1047"/>
      <c r="HV56" s="1047"/>
      <c r="HW56" s="1047"/>
      <c r="HX56" s="1047"/>
      <c r="HY56" s="1047"/>
      <c r="HZ56" s="1047"/>
      <c r="IA56" s="1047"/>
      <c r="IB56" s="1047"/>
      <c r="IC56" s="1047"/>
      <c r="ID56" s="1047"/>
      <c r="IE56" s="1047"/>
      <c r="IF56" s="1047"/>
      <c r="IG56" s="1048"/>
      <c r="IH56" s="1047"/>
      <c r="II56" s="1047"/>
      <c r="IJ56" s="1047"/>
      <c r="IK56" s="1047"/>
      <c r="IL56" s="1047"/>
      <c r="IM56" s="1047"/>
      <c r="IN56" s="1047"/>
      <c r="IO56" s="1048"/>
      <c r="IP56" s="1047"/>
      <c r="IQ56" s="1047"/>
      <c r="IR56" s="1047"/>
      <c r="IS56" s="1047"/>
      <c r="IT56" s="1047"/>
      <c r="IU56" s="1047"/>
      <c r="IV56" s="1047"/>
      <c r="IW56" s="1047"/>
      <c r="IX56" s="1049"/>
      <c r="IY56" s="1049"/>
      <c r="IZ56" s="1049"/>
      <c r="JA56" s="1049"/>
      <c r="JB56" s="1049"/>
      <c r="JC56" s="1049"/>
      <c r="JD56" s="1041"/>
      <c r="JE56" s="1037"/>
      <c r="JF56" s="1037"/>
      <c r="JG56" s="1037"/>
      <c r="JH56" s="1037"/>
      <c r="JI56" s="1035"/>
      <c r="JJ56" s="1035"/>
      <c r="JK56" s="1035"/>
      <c r="JL56" s="1035"/>
      <c r="JM56" s="1035"/>
      <c r="JN56" s="1035"/>
      <c r="JO56" s="1035"/>
      <c r="JP56" s="1035"/>
      <c r="JQ56" s="1035"/>
      <c r="JR56" s="1035"/>
      <c r="JS56" s="1035"/>
      <c r="JT56" s="1035"/>
      <c r="JU56" s="1035"/>
      <c r="JV56" s="1035"/>
      <c r="JW56" s="1035"/>
      <c r="JX56" s="1035"/>
      <c r="JY56" s="1035"/>
      <c r="LV56" s="967"/>
    </row>
    <row r="57" hidden="1" outlineLevel="1" spans="1:334">
      <c r="A57" s="1025" t="s">
        <v>60</v>
      </c>
      <c r="AX57" s="1059"/>
      <c r="BE57" s="1060"/>
      <c r="BN57" s="1059"/>
      <c r="BU57" s="1060"/>
      <c r="BV57" s="1059"/>
      <c r="CC57" s="1060"/>
      <c r="CD57" s="1059"/>
      <c r="CJ57" s="1061"/>
      <c r="CK57" s="1060"/>
      <c r="CL57" s="1059"/>
      <c r="CS57" s="1060"/>
      <c r="CT57" s="1117"/>
      <c r="CU57" s="1117"/>
      <c r="CV57" s="1117"/>
      <c r="CW57" s="1117"/>
      <c r="CX57" s="1117"/>
      <c r="CY57" s="1117"/>
      <c r="CZ57" s="1117"/>
      <c r="DA57" s="1117"/>
      <c r="DB57" s="1148"/>
      <c r="DC57" s="1148"/>
      <c r="DD57" s="1148"/>
      <c r="DE57" s="1148"/>
      <c r="DF57" s="1148"/>
      <c r="DG57" s="1148"/>
      <c r="DH57" s="1148"/>
      <c r="DI57" s="1149"/>
      <c r="DJ57" s="1148"/>
      <c r="DK57" s="1148"/>
      <c r="DL57" s="1148"/>
      <c r="DM57" s="1148"/>
      <c r="DN57" s="1148"/>
      <c r="DO57" s="1148"/>
      <c r="DP57" s="1148"/>
      <c r="DQ57" s="1149"/>
      <c r="DR57" s="1148"/>
      <c r="DS57" s="1148"/>
      <c r="DT57" s="1148"/>
      <c r="DU57" s="1148"/>
      <c r="DV57" s="1148"/>
      <c r="DW57" s="1148"/>
      <c r="DX57" s="1148"/>
      <c r="DY57" s="1149"/>
      <c r="DZ57" s="1148"/>
      <c r="EA57" s="1148"/>
      <c r="EB57" s="1148"/>
      <c r="EC57" s="1148"/>
      <c r="ED57" s="1148"/>
      <c r="EE57" s="1148"/>
      <c r="EF57" s="1148"/>
      <c r="EG57" s="1149"/>
      <c r="EH57" s="1148"/>
      <c r="EI57" s="1148"/>
      <c r="EJ57" s="1148"/>
      <c r="EK57" s="1148"/>
      <c r="EL57" s="1148"/>
      <c r="EM57" s="1148"/>
      <c r="EN57" s="1148"/>
      <c r="EO57" s="1149"/>
      <c r="EP57" s="1148"/>
      <c r="EQ57" s="1148"/>
      <c r="ER57" s="1148"/>
      <c r="ES57" s="1148"/>
      <c r="ET57" s="1148"/>
      <c r="EU57" s="1148"/>
      <c r="EV57" s="1148"/>
      <c r="EW57" s="1149"/>
      <c r="EX57" s="1148"/>
      <c r="EY57" s="1148"/>
      <c r="EZ57" s="1148"/>
      <c r="FA57" s="1148"/>
      <c r="FB57" s="1148"/>
      <c r="FC57" s="1148"/>
      <c r="FD57" s="1148"/>
      <c r="FE57" s="1149"/>
      <c r="FF57" s="1148"/>
      <c r="FG57" s="1148"/>
      <c r="FH57" s="1148"/>
      <c r="FI57" s="1148"/>
      <c r="FJ57" s="1148"/>
      <c r="FK57" s="1148"/>
      <c r="FL57" s="1148"/>
      <c r="FM57" s="1149"/>
      <c r="FN57" s="1148"/>
      <c r="FO57" s="1148"/>
      <c r="FP57" s="1148"/>
      <c r="FQ57" s="1148"/>
      <c r="FR57" s="1148"/>
      <c r="FS57" s="1148"/>
      <c r="FT57" s="1148"/>
      <c r="FU57" s="1148"/>
      <c r="FV57" s="1151"/>
      <c r="FW57" s="1148"/>
      <c r="FX57" s="1148"/>
      <c r="FY57" s="1148"/>
      <c r="FZ57" s="1148"/>
      <c r="GA57" s="1148"/>
      <c r="GB57" s="1148"/>
      <c r="GC57" s="1149"/>
      <c r="GD57" s="1148"/>
      <c r="GE57" s="1148"/>
      <c r="GF57" s="1148"/>
      <c r="GG57" s="1148"/>
      <c r="GH57" s="1148"/>
      <c r="GI57" s="1148"/>
      <c r="GJ57" s="1148"/>
      <c r="GK57" s="1149"/>
      <c r="GL57" s="1148"/>
      <c r="GM57" s="1148"/>
      <c r="GN57" s="1148"/>
      <c r="GO57" s="1148"/>
      <c r="GP57" s="1148"/>
      <c r="GQ57" s="1148"/>
      <c r="GR57" s="1148"/>
      <c r="GS57" s="1149"/>
      <c r="GT57" s="1148"/>
      <c r="GU57" s="1148"/>
      <c r="GV57" s="1148"/>
      <c r="GW57" s="1148"/>
      <c r="GX57" s="1148"/>
      <c r="GY57" s="1148"/>
      <c r="GZ57" s="1148"/>
      <c r="HA57" s="1149"/>
      <c r="HB57" s="1148"/>
      <c r="HC57" s="1148"/>
      <c r="HD57" s="1148"/>
      <c r="HE57" s="1148"/>
      <c r="HF57" s="1148"/>
      <c r="HG57" s="1148"/>
      <c r="HH57" s="1148"/>
      <c r="HI57" s="1149"/>
      <c r="HJ57" s="1148"/>
      <c r="HK57" s="1148"/>
      <c r="HL57" s="1148"/>
      <c r="HM57" s="1148"/>
      <c r="HN57" s="1148"/>
      <c r="HO57" s="1148"/>
      <c r="HP57" s="1148"/>
      <c r="HQ57" s="1149"/>
      <c r="HR57" s="1148"/>
      <c r="HS57" s="1148"/>
      <c r="HT57" s="1148"/>
      <c r="HU57" s="1148"/>
      <c r="HV57" s="1148"/>
      <c r="HW57" s="1148"/>
      <c r="HX57" s="1148"/>
      <c r="HY57" s="1148"/>
      <c r="HZ57" s="1148"/>
      <c r="IA57" s="1148"/>
      <c r="IB57" s="1148"/>
      <c r="IC57" s="1148"/>
      <c r="ID57" s="1148"/>
      <c r="IE57" s="1148"/>
      <c r="IF57" s="1148"/>
      <c r="IG57" s="1149"/>
      <c r="IH57" s="1148"/>
      <c r="II57" s="1148"/>
      <c r="IJ57" s="1148"/>
      <c r="IK57" s="1148"/>
      <c r="IL57" s="1148"/>
      <c r="IM57" s="1148"/>
      <c r="IN57" s="1148"/>
      <c r="IO57" s="1149"/>
      <c r="IP57" s="1148"/>
      <c r="IQ57" s="1148"/>
      <c r="IR57" s="1148"/>
      <c r="IS57" s="1148"/>
      <c r="IT57" s="1148"/>
      <c r="IU57" s="1148"/>
      <c r="IV57" s="1148"/>
      <c r="IW57" s="1148"/>
      <c r="IX57" s="1049"/>
      <c r="IY57" s="1049"/>
      <c r="IZ57" s="1049"/>
      <c r="JA57" s="1049"/>
      <c r="JB57" s="1049"/>
      <c r="JC57" s="1049"/>
      <c r="JD57" s="1041"/>
      <c r="JE57" s="1037"/>
      <c r="JF57" s="1037"/>
      <c r="JG57" s="1037"/>
      <c r="JH57" s="1037"/>
      <c r="JI57" s="1035"/>
      <c r="JJ57" s="1035"/>
      <c r="JK57" s="1035"/>
      <c r="JL57" s="1035"/>
      <c r="JM57" s="1035"/>
      <c r="JN57" s="1035"/>
      <c r="JO57" s="1035"/>
      <c r="JP57" s="1035"/>
      <c r="JQ57" s="1035"/>
      <c r="JR57" s="1035"/>
      <c r="JS57" s="1035"/>
      <c r="JT57" s="1035"/>
      <c r="JU57" s="1035"/>
      <c r="JV57" s="1035"/>
      <c r="JW57" s="1035"/>
      <c r="JX57" s="1035"/>
      <c r="JY57" s="1035"/>
      <c r="LV57" s="1117"/>
    </row>
    <row r="58" s="969" customFormat="1" hidden="1" outlineLevel="1" spans="1:334">
      <c r="A58" s="1152" t="s">
        <v>80</v>
      </c>
      <c r="B58" s="1057"/>
      <c r="C58" s="1057"/>
      <c r="D58" s="1057"/>
      <c r="E58" s="1057"/>
      <c r="F58" s="1057"/>
      <c r="G58" s="1057"/>
      <c r="H58" s="1057"/>
      <c r="I58" s="1057"/>
      <c r="J58" s="1057"/>
      <c r="K58" s="1057"/>
      <c r="L58" s="1057"/>
      <c r="M58" s="1057"/>
      <c r="N58" s="1057"/>
      <c r="O58" s="1057"/>
      <c r="P58" s="1057"/>
      <c r="Q58" s="1057"/>
      <c r="R58" s="1057"/>
      <c r="S58" s="1057"/>
      <c r="T58" s="1057"/>
      <c r="U58" s="1057"/>
      <c r="V58" s="1057"/>
      <c r="W58" s="1057"/>
      <c r="X58" s="1057"/>
      <c r="Y58" s="1057"/>
      <c r="Z58" s="1057"/>
      <c r="AA58" s="1057"/>
      <c r="AB58" s="1057"/>
      <c r="AC58" s="1057"/>
      <c r="AD58" s="1057"/>
      <c r="AE58" s="1057"/>
      <c r="AF58" s="1057"/>
      <c r="AG58" s="1057"/>
      <c r="AH58" s="1057"/>
      <c r="AI58" s="1057"/>
      <c r="AJ58" s="1057"/>
      <c r="AK58" s="1057"/>
      <c r="AL58" s="1057"/>
      <c r="AM58" s="1057"/>
      <c r="AN58" s="1057"/>
      <c r="AO58" s="1057"/>
      <c r="AP58" s="1057"/>
      <c r="AQ58" s="1057"/>
      <c r="AR58" s="1057"/>
      <c r="AS58" s="1057"/>
      <c r="AT58" s="1057"/>
      <c r="AU58" s="1057"/>
      <c r="AV58" s="1057"/>
      <c r="AW58" s="1057"/>
      <c r="AX58" s="1153"/>
      <c r="AY58" s="1057"/>
      <c r="AZ58" s="1057"/>
      <c r="BA58" s="1057"/>
      <c r="BB58" s="1057"/>
      <c r="BC58" s="1057"/>
      <c r="BD58" s="1057"/>
      <c r="BE58" s="1154"/>
      <c r="BF58" s="1057"/>
      <c r="BG58" s="1057"/>
      <c r="BH58" s="1057"/>
      <c r="BI58" s="1057"/>
      <c r="BJ58" s="1057"/>
      <c r="BK58" s="1057"/>
      <c r="BL58" s="1057"/>
      <c r="BM58" s="1057"/>
      <c r="BN58" s="1153"/>
      <c r="BO58" s="1057"/>
      <c r="BP58" s="1057"/>
      <c r="BQ58" s="1057"/>
      <c r="BR58" s="1057"/>
      <c r="BS58" s="1057"/>
      <c r="BT58" s="1057"/>
      <c r="BU58" s="1154"/>
      <c r="BV58" s="1153"/>
      <c r="BW58" s="1057"/>
      <c r="BX58" s="1057"/>
      <c r="BY58" s="1057"/>
      <c r="BZ58" s="1057"/>
      <c r="CA58" s="1057"/>
      <c r="CB58" s="1057"/>
      <c r="CC58" s="1154"/>
      <c r="CD58" s="1153"/>
      <c r="CE58" s="1057"/>
      <c r="CF58" s="1057"/>
      <c r="CG58" s="1057"/>
      <c r="CH58" s="1057"/>
      <c r="CI58" s="1057"/>
      <c r="CJ58" s="1155"/>
      <c r="CK58" s="1154"/>
      <c r="CL58" s="1153"/>
      <c r="CM58" s="1057"/>
      <c r="CN58" s="1057"/>
      <c r="CO58" s="1057"/>
      <c r="CP58" s="1057"/>
      <c r="CQ58" s="1057"/>
      <c r="CR58" s="1057"/>
      <c r="CS58" s="1154"/>
      <c r="CT58" s="1025"/>
      <c r="CU58" s="1025"/>
      <c r="CV58" s="1025"/>
      <c r="CW58" s="1025"/>
      <c r="CX58" s="1025"/>
      <c r="CY58" s="1025"/>
      <c r="CZ58" s="1025"/>
      <c r="DA58" s="1025"/>
      <c r="DB58" s="1156">
        <v>0.475</v>
      </c>
      <c r="DC58" s="1156">
        <v>0.454</v>
      </c>
      <c r="DD58" s="1156">
        <f>(DB58*DB5+DC58*DC5)/DD5</f>
        <v>0.465100725221595</v>
      </c>
      <c r="DE58" s="1156">
        <v>0.474</v>
      </c>
      <c r="DF58" s="1156">
        <f>(DD58*DD5+DE58*DE5)/DF5</f>
        <v>0.468444668008048</v>
      </c>
      <c r="DG58" s="1156">
        <v>0.433</v>
      </c>
      <c r="DH58" s="1156">
        <f>(DE58*DE5+DG58*DG5)/DH5</f>
        <v>0.455771003717472</v>
      </c>
      <c r="DI58" s="1157">
        <v>0.46</v>
      </c>
      <c r="DJ58" s="1156">
        <v>0.456</v>
      </c>
      <c r="DK58" s="1156">
        <v>0.424</v>
      </c>
      <c r="DL58" s="1156">
        <f>(DJ58*DJ5+DK58*DK5)/DL5</f>
        <v>0.441237137108364</v>
      </c>
      <c r="DM58" s="1156">
        <v>0.446</v>
      </c>
      <c r="DN58" s="1156">
        <f>(DL58*DL5+DM58*DM5)/DN5</f>
        <v>0.442995466908432</v>
      </c>
      <c r="DO58" s="1156">
        <v>0.446</v>
      </c>
      <c r="DP58" s="1156">
        <f>(DM58*DM5+DO58*DO5)/DP5</f>
        <v>0.446</v>
      </c>
      <c r="DQ58" s="1157">
        <v>0.444</v>
      </c>
      <c r="DR58" s="1156">
        <v>0.45</v>
      </c>
      <c r="DS58" s="1158">
        <f>((DT58*(DT807+DT810))-(DR58*(DR807+DR810)))/(DS807+DS810)</f>
        <v>0.439962240402769</v>
      </c>
      <c r="DT58" s="1156">
        <v>0.445</v>
      </c>
      <c r="DU58" s="1158">
        <f>((DV58*(DV807+DV810))-(DT58*(DT807+DT810)))/(DU807+DU810)</f>
        <v>0.439728205128205</v>
      </c>
      <c r="DV58" s="1156">
        <v>0.443</v>
      </c>
      <c r="DW58" s="1158" t="e">
        <f>((DY58*(DY807+DY810))-(DV58*(DV807+DV810)))/(DW807+DW810)</f>
        <v>#REF!</v>
      </c>
      <c r="DX58" s="1156" t="e">
        <f>((DY58*(DY807+DY810))-(DT58*(DT807+DT810)))/(DX807+DX810)</f>
        <v>#REF!</v>
      </c>
      <c r="DY58" s="1157">
        <f>'Profit and Loss'!Q51</f>
        <v>0.437</v>
      </c>
      <c r="DZ58" s="1156">
        <v>0.452</v>
      </c>
      <c r="EA58" s="1158">
        <f>((EB58*(EB807+EB810))-(DZ58*(DZ807+DZ810)))/(EA807+EA810)</f>
        <v>0.419453172205438</v>
      </c>
      <c r="EB58" s="1156">
        <v>0.437</v>
      </c>
      <c r="EC58" s="1158">
        <f>((ED58*(ED807+ED810))-(EB58*(EB807+EB810)))/(EC807+EC810)</f>
        <v>0.420879755753875</v>
      </c>
      <c r="ED58" s="1156">
        <v>0.431</v>
      </c>
      <c r="EE58" s="1158">
        <f>((EG58*(EG807+EG810))-(ED58*(ED807+ED810)))/(EE807+EE810)</f>
        <v>0.383397324025596</v>
      </c>
      <c r="EF58" s="1156">
        <f>((EG58*(EG807+EG810))-(EB58*(EB807+EB810)))/(EF807+EF810)</f>
        <v>0.404135395010395</v>
      </c>
      <c r="EG58" s="1157">
        <v>0.42</v>
      </c>
      <c r="EH58" s="1156">
        <v>0.432</v>
      </c>
      <c r="EI58" s="1158">
        <f>((EJ58*(EJ807+EJ810))-(EH58*(EH807+EH810)))/(EI807+EI810)</f>
        <v>0.407815068493151</v>
      </c>
      <c r="EJ58" s="1156">
        <v>0.421</v>
      </c>
      <c r="EK58" s="1156">
        <f>((EL58*(EL807+EL810))-(EJ58*(EJ807+EJ810)))/(EK807+EK810)</f>
        <v>0.434551229508197</v>
      </c>
      <c r="EL58" s="1156">
        <v>0.426</v>
      </c>
      <c r="EM58" s="1158">
        <f>((EO58*(EO807+EO810))-(EL58*(EL807+EL810)))/(EM807+EM810)</f>
        <v>0.402287492925863</v>
      </c>
      <c r="EN58" s="1156">
        <f>((EO58*(EO807+EO810))-(EJ58*(EJ807+EJ810)))/(EN807+EN810)</f>
        <v>0.421</v>
      </c>
      <c r="EO58" s="1157">
        <v>0.421</v>
      </c>
      <c r="EP58" s="1156">
        <v>0.456</v>
      </c>
      <c r="EQ58" s="1158">
        <f>((ER58*(ER807+ER810))-(EP58*(EP807+EP810)))/(EQ807+EQ810)</f>
        <v>0.429151414309484</v>
      </c>
      <c r="ER58" s="1156">
        <v>0.444</v>
      </c>
      <c r="ES58" s="1156">
        <f>((ET58*(ET807+ET810))-(ER58*(ER807+ER810)))/(ES807+ES810)</f>
        <v>0.455040139616056</v>
      </c>
      <c r="ET58" s="1156">
        <v>0.448</v>
      </c>
      <c r="EU58" s="1158">
        <f>((EW58*(EW807+EW810))-(ET58*(ET807+ET810)))/(EU807+EU810)</f>
        <v>0.420273611906125</v>
      </c>
      <c r="EV58" s="1156">
        <f>((EW58*(EW807+EW810))-(ER58*(ER807+ER810)))/(EV807+EV810)</f>
        <v>0.440002475860362</v>
      </c>
      <c r="EW58" s="1157">
        <f>'Profit and Loss'!T51</f>
        <v>0.442</v>
      </c>
      <c r="EX58" s="1159">
        <v>0.45</v>
      </c>
      <c r="EY58" s="1159">
        <f>((EZ58*(EZ807+EZ810))-(EX58*(EX807+EX810)))/(EY807+EY810)</f>
        <v>0.426686740623349</v>
      </c>
      <c r="EZ58" s="1159">
        <v>0.439</v>
      </c>
      <c r="FA58" s="1156">
        <f>((FB58*(FB807+FB810))-(EZ58*(EZ807+EZ810)))/(FA807+FA810)</f>
        <v>0.431063166529942</v>
      </c>
      <c r="FB58" s="1156">
        <v>0.436</v>
      </c>
      <c r="FC58" s="1160"/>
      <c r="FD58" s="1160"/>
      <c r="FE58" s="1161"/>
      <c r="FF58" s="1160"/>
      <c r="FG58" s="1160"/>
      <c r="FH58" s="1160"/>
      <c r="FI58" s="1160"/>
      <c r="FJ58" s="1160"/>
      <c r="FK58" s="1160"/>
      <c r="FL58" s="1160"/>
      <c r="FM58" s="1161"/>
      <c r="FN58" s="1156"/>
      <c r="FO58" s="1156"/>
      <c r="FP58" s="1156"/>
      <c r="FQ58" s="1156"/>
      <c r="FR58" s="1156"/>
      <c r="FS58" s="1156"/>
      <c r="FT58" s="1156"/>
      <c r="FU58" s="1156"/>
      <c r="FV58" s="1162"/>
      <c r="FW58" s="1156"/>
      <c r="FX58" s="1156"/>
      <c r="FY58" s="1156"/>
      <c r="FZ58" s="1156"/>
      <c r="GA58" s="1156"/>
      <c r="GB58" s="1156"/>
      <c r="GC58" s="1157"/>
      <c r="GD58" s="1156"/>
      <c r="GE58" s="1156"/>
      <c r="GF58" s="1156"/>
      <c r="GG58" s="1156"/>
      <c r="GH58" s="1156"/>
      <c r="GI58" s="1156"/>
      <c r="GJ58" s="1156"/>
      <c r="GK58" s="1157"/>
      <c r="GL58" s="1156"/>
      <c r="GM58" s="1156"/>
      <c r="GN58" s="1156"/>
      <c r="GO58" s="1156"/>
      <c r="GP58" s="1156"/>
      <c r="GQ58" s="1156"/>
      <c r="GR58" s="1156"/>
      <c r="GS58" s="1157"/>
      <c r="GT58" s="1156"/>
      <c r="GU58" s="1156"/>
      <c r="GV58" s="1156"/>
      <c r="GW58" s="1156"/>
      <c r="GX58" s="1156"/>
      <c r="GY58" s="1156"/>
      <c r="GZ58" s="1156"/>
      <c r="HA58" s="1157"/>
      <c r="HB58" s="1156"/>
      <c r="HC58" s="1156"/>
      <c r="HD58" s="1156"/>
      <c r="HE58" s="1156"/>
      <c r="HF58" s="1156"/>
      <c r="HG58" s="1156"/>
      <c r="HH58" s="1156"/>
      <c r="HI58" s="1157"/>
      <c r="HJ58" s="1156"/>
      <c r="HK58" s="1156"/>
      <c r="HL58" s="1156"/>
      <c r="HM58" s="1156"/>
      <c r="HN58" s="1156"/>
      <c r="HO58" s="1156"/>
      <c r="HP58" s="1156"/>
      <c r="HQ58" s="1157"/>
      <c r="HR58" s="1156"/>
      <c r="HS58" s="1156"/>
      <c r="HT58" s="1156"/>
      <c r="HU58" s="1156"/>
      <c r="HV58" s="1156"/>
      <c r="HW58" s="1156"/>
      <c r="HX58" s="1156"/>
      <c r="HY58" s="1156"/>
      <c r="HZ58" s="1156"/>
      <c r="IA58" s="1156"/>
      <c r="IB58" s="1156"/>
      <c r="IC58" s="1156"/>
      <c r="ID58" s="1156"/>
      <c r="IE58" s="1156"/>
      <c r="IF58" s="1156"/>
      <c r="IG58" s="1157"/>
      <c r="IH58" s="1156"/>
      <c r="II58" s="1156"/>
      <c r="IJ58" s="1156"/>
      <c r="IK58" s="1156"/>
      <c r="IL58" s="1156"/>
      <c r="IM58" s="1156"/>
      <c r="IN58" s="1156"/>
      <c r="IO58" s="1157"/>
      <c r="IP58" s="1156"/>
      <c r="IQ58" s="1156"/>
      <c r="IR58" s="1156"/>
      <c r="IS58" s="1156"/>
      <c r="IT58" s="1156"/>
      <c r="IU58" s="1156"/>
      <c r="IV58" s="1156"/>
      <c r="IW58" s="1156"/>
      <c r="IX58" s="1049"/>
      <c r="IY58" s="1049"/>
      <c r="IZ58" s="1049"/>
      <c r="JA58" s="1049"/>
      <c r="JB58" s="1049"/>
      <c r="JC58" s="1049"/>
      <c r="JD58" s="1103"/>
      <c r="JE58" s="1079"/>
      <c r="JF58" s="1079"/>
      <c r="JG58" s="1079"/>
      <c r="JH58" s="1079"/>
      <c r="LV58" s="1025"/>
    </row>
    <row r="59" hidden="1" outlineLevel="1" spans="1:334">
      <c r="A59" s="1113" t="s">
        <v>81</v>
      </c>
      <c r="AX59" s="1059"/>
      <c r="BE59" s="1060"/>
      <c r="BN59" s="1059"/>
      <c r="BU59" s="1060"/>
      <c r="BV59" s="1059"/>
      <c r="CC59" s="1060"/>
      <c r="CD59" s="1059"/>
      <c r="CJ59" s="1061"/>
      <c r="CK59" s="1060"/>
      <c r="CL59" s="1059"/>
      <c r="CS59" s="1060"/>
      <c r="CT59" s="1117"/>
      <c r="CU59" s="1117"/>
      <c r="CV59" s="1117"/>
      <c r="CW59" s="1117"/>
      <c r="CX59" s="1117"/>
      <c r="CY59" s="1117"/>
      <c r="CZ59" s="1117"/>
      <c r="DA59" s="1117"/>
      <c r="DB59" s="1082"/>
      <c r="DC59" s="1082"/>
      <c r="DD59" s="1082"/>
      <c r="DE59" s="1082"/>
      <c r="DF59" s="1082"/>
      <c r="DG59" s="1082"/>
      <c r="DH59" s="1082"/>
      <c r="DI59" s="1085"/>
      <c r="DJ59" s="1163">
        <f t="shared" ref="DJ59:DQ59" si="473">(DJ58-DB58)*10000</f>
        <v>-190</v>
      </c>
      <c r="DK59" s="1163">
        <f t="shared" si="473"/>
        <v>-300</v>
      </c>
      <c r="DL59" s="1163">
        <f t="shared" si="473"/>
        <v>-238.63588113231</v>
      </c>
      <c r="DM59" s="1163">
        <f t="shared" si="473"/>
        <v>-280</v>
      </c>
      <c r="DN59" s="1163">
        <f t="shared" si="473"/>
        <v>-254.492010996167</v>
      </c>
      <c r="DO59" s="1163">
        <f t="shared" si="473"/>
        <v>130</v>
      </c>
      <c r="DP59" s="1163">
        <f t="shared" si="473"/>
        <v>-97.7100371747208</v>
      </c>
      <c r="DQ59" s="1164">
        <f t="shared" si="473"/>
        <v>-160</v>
      </c>
      <c r="DR59" s="1163">
        <f t="shared" ref="DR59:EF59" si="474">(DR58-DJ58)*10000</f>
        <v>-60.0000000000001</v>
      </c>
      <c r="DS59" s="1163">
        <f t="shared" si="474"/>
        <v>159.62240402769</v>
      </c>
      <c r="DT59" s="1163">
        <f t="shared" si="474"/>
        <v>37.6286289163558</v>
      </c>
      <c r="DU59" s="1163">
        <f t="shared" si="474"/>
        <v>-62.7179487179486</v>
      </c>
      <c r="DV59" s="1163">
        <f t="shared" si="474"/>
        <v>0.0453309156844828</v>
      </c>
      <c r="DW59" s="1163" t="e">
        <f t="shared" si="474"/>
        <v>#REF!</v>
      </c>
      <c r="DX59" s="1163" t="e">
        <f t="shared" si="474"/>
        <v>#REF!</v>
      </c>
      <c r="DY59" s="1164">
        <f t="shared" si="474"/>
        <v>-70.0000000000001</v>
      </c>
      <c r="DZ59" s="1163">
        <f t="shared" si="474"/>
        <v>20</v>
      </c>
      <c r="EA59" s="1163">
        <f t="shared" si="474"/>
        <v>-205.090681973309</v>
      </c>
      <c r="EB59" s="1163">
        <f t="shared" si="474"/>
        <v>-80.0000000000001</v>
      </c>
      <c r="EC59" s="1163">
        <f t="shared" si="474"/>
        <v>-188.484493743301</v>
      </c>
      <c r="ED59" s="1163">
        <f t="shared" si="474"/>
        <v>-120</v>
      </c>
      <c r="EE59" s="1163" t="e">
        <f t="shared" si="474"/>
        <v>#REF!</v>
      </c>
      <c r="EF59" s="1163" t="e">
        <f t="shared" si="474"/>
        <v>#REF!</v>
      </c>
      <c r="EG59" s="1164">
        <f t="shared" ref="EG59:EL59" si="475">(EG58-DY58)*10000</f>
        <v>-170</v>
      </c>
      <c r="EH59" s="1163">
        <f t="shared" si="475"/>
        <v>-200</v>
      </c>
      <c r="EI59" s="1163">
        <f t="shared" si="475"/>
        <v>-116.381037122875</v>
      </c>
      <c r="EJ59" s="1163">
        <f t="shared" si="475"/>
        <v>-160</v>
      </c>
      <c r="EK59" s="1163">
        <f t="shared" si="475"/>
        <v>136.714737543217</v>
      </c>
      <c r="EL59" s="1163">
        <f t="shared" si="475"/>
        <v>-50</v>
      </c>
      <c r="EM59" s="1163">
        <f t="shared" ref="EM59:ET59" si="476">(EM58-EE58)*10000</f>
        <v>188.901689002668</v>
      </c>
      <c r="EN59" s="1163">
        <f t="shared" si="476"/>
        <v>168.64604989605</v>
      </c>
      <c r="EO59" s="1164">
        <f t="shared" si="476"/>
        <v>10</v>
      </c>
      <c r="EP59" s="1163">
        <f t="shared" si="476"/>
        <v>240</v>
      </c>
      <c r="EQ59" s="1163">
        <f t="shared" si="476"/>
        <v>213.363458163335</v>
      </c>
      <c r="ER59" s="1163">
        <f t="shared" si="476"/>
        <v>230</v>
      </c>
      <c r="ES59" s="1163">
        <f t="shared" si="476"/>
        <v>204.889101078592</v>
      </c>
      <c r="ET59" s="1163">
        <f t="shared" si="476"/>
        <v>220</v>
      </c>
      <c r="EU59" s="1163">
        <f t="shared" ref="EU59:FB59" si="477">(EU58-EM58)*10000</f>
        <v>179.861189802616</v>
      </c>
      <c r="EV59" s="1163">
        <f t="shared" si="477"/>
        <v>190.024758603615</v>
      </c>
      <c r="EW59" s="1164">
        <f t="shared" si="477"/>
        <v>210</v>
      </c>
      <c r="EX59" s="1163">
        <f t="shared" si="477"/>
        <v>-60.0000000000001</v>
      </c>
      <c r="EY59" s="1163">
        <f t="shared" si="477"/>
        <v>-24.6467368613501</v>
      </c>
      <c r="EZ59" s="1163">
        <f t="shared" si="477"/>
        <v>-50</v>
      </c>
      <c r="FA59" s="1163">
        <f t="shared" si="477"/>
        <v>-239.769730861135</v>
      </c>
      <c r="FB59" s="1163">
        <f t="shared" si="477"/>
        <v>-120</v>
      </c>
      <c r="FC59" s="1165"/>
      <c r="FD59" s="1165"/>
      <c r="FE59" s="1166"/>
      <c r="FF59" s="1165"/>
      <c r="FG59" s="1165"/>
      <c r="FH59" s="1165"/>
      <c r="FI59" s="1165"/>
      <c r="FJ59" s="1165"/>
      <c r="FK59" s="1165"/>
      <c r="FL59" s="1165"/>
      <c r="FM59" s="1166"/>
      <c r="FN59" s="1163"/>
      <c r="FO59" s="1163"/>
      <c r="FP59" s="1163"/>
      <c r="FQ59" s="1163"/>
      <c r="FR59" s="1163"/>
      <c r="FS59" s="1163"/>
      <c r="FT59" s="1163"/>
      <c r="FU59" s="1163"/>
      <c r="FV59" s="1167"/>
      <c r="FW59" s="1163"/>
      <c r="FX59" s="1163"/>
      <c r="FY59" s="1163"/>
      <c r="FZ59" s="1163"/>
      <c r="GA59" s="1163"/>
      <c r="GB59" s="1163"/>
      <c r="GC59" s="1164"/>
      <c r="GD59" s="1163"/>
      <c r="GE59" s="1163"/>
      <c r="GF59" s="1163"/>
      <c r="GG59" s="1163"/>
      <c r="GH59" s="1163"/>
      <c r="GI59" s="1163"/>
      <c r="GJ59" s="1163"/>
      <c r="GK59" s="1164"/>
      <c r="GL59" s="1163"/>
      <c r="GM59" s="1163"/>
      <c r="GN59" s="1163"/>
      <c r="GO59" s="1163"/>
      <c r="GP59" s="1163"/>
      <c r="GQ59" s="1163"/>
      <c r="GR59" s="1163"/>
      <c r="GS59" s="1164"/>
      <c r="GT59" s="1163"/>
      <c r="GU59" s="1163"/>
      <c r="GV59" s="1163"/>
      <c r="GW59" s="1163"/>
      <c r="GX59" s="1163"/>
      <c r="GY59" s="1163"/>
      <c r="GZ59" s="1163"/>
      <c r="HA59" s="1164"/>
      <c r="HB59" s="1163"/>
      <c r="HC59" s="1163"/>
      <c r="HD59" s="1163"/>
      <c r="HE59" s="1163"/>
      <c r="HF59" s="1163"/>
      <c r="HG59" s="1163"/>
      <c r="HH59" s="1163"/>
      <c r="HI59" s="1164"/>
      <c r="HJ59" s="1163"/>
      <c r="HK59" s="1163"/>
      <c r="HL59" s="1163"/>
      <c r="HM59" s="1163"/>
      <c r="HN59" s="1163"/>
      <c r="HO59" s="1163"/>
      <c r="HP59" s="1163"/>
      <c r="HQ59" s="1164"/>
      <c r="HR59" s="1163"/>
      <c r="HS59" s="1163"/>
      <c r="HT59" s="1163"/>
      <c r="HU59" s="1163"/>
      <c r="HV59" s="1163"/>
      <c r="HW59" s="1163"/>
      <c r="HX59" s="1163"/>
      <c r="HY59" s="1163"/>
      <c r="HZ59" s="1163"/>
      <c r="IA59" s="1163"/>
      <c r="IB59" s="1163"/>
      <c r="IC59" s="1163"/>
      <c r="ID59" s="1163"/>
      <c r="IE59" s="1163"/>
      <c r="IF59" s="1163"/>
      <c r="IG59" s="1164"/>
      <c r="IH59" s="1163"/>
      <c r="II59" s="1163"/>
      <c r="IJ59" s="1163"/>
      <c r="IK59" s="1163"/>
      <c r="IL59" s="1163"/>
      <c r="IM59" s="1163"/>
      <c r="IN59" s="1163"/>
      <c r="IO59" s="1164"/>
      <c r="IP59" s="1163"/>
      <c r="IQ59" s="1163"/>
      <c r="IR59" s="1163"/>
      <c r="IS59" s="1163"/>
      <c r="IT59" s="1163"/>
      <c r="IU59" s="1163"/>
      <c r="IV59" s="1163"/>
      <c r="IW59" s="1163"/>
      <c r="IX59" s="1049"/>
      <c r="IY59" s="1049"/>
      <c r="IZ59" s="1049"/>
      <c r="JA59" s="1049"/>
      <c r="JB59" s="1049"/>
      <c r="JC59" s="1049"/>
      <c r="JD59" s="1041"/>
      <c r="JE59" s="1037"/>
      <c r="JF59" s="1037"/>
      <c r="JG59" s="1037"/>
      <c r="JH59" s="1037"/>
      <c r="JI59" s="1035"/>
      <c r="JJ59" s="1035"/>
      <c r="JK59" s="1035"/>
      <c r="JL59" s="1035"/>
      <c r="JM59" s="1035"/>
      <c r="JN59" s="1035"/>
      <c r="JO59" s="1035"/>
      <c r="JP59" s="1035"/>
      <c r="JQ59" s="1035"/>
      <c r="JR59" s="1035"/>
      <c r="JS59" s="1035"/>
      <c r="JT59" s="1035"/>
      <c r="JU59" s="1035"/>
      <c r="JV59" s="1035"/>
      <c r="JW59" s="1035"/>
      <c r="JX59" s="1035"/>
      <c r="JY59" s="1035"/>
      <c r="LV59" s="1117"/>
    </row>
    <row r="60" s="969" customFormat="1" hidden="1" outlineLevel="1" spans="1:334">
      <c r="A60" s="1152" t="s">
        <v>82</v>
      </c>
      <c r="B60" s="1057"/>
      <c r="C60" s="1057"/>
      <c r="D60" s="1057"/>
      <c r="E60" s="1057"/>
      <c r="F60" s="1057"/>
      <c r="G60" s="1057"/>
      <c r="H60" s="1057"/>
      <c r="I60" s="1057"/>
      <c r="J60" s="1057"/>
      <c r="K60" s="1057"/>
      <c r="L60" s="1057"/>
      <c r="M60" s="1057"/>
      <c r="N60" s="1057"/>
      <c r="O60" s="1057"/>
      <c r="P60" s="1057"/>
      <c r="Q60" s="1057"/>
      <c r="R60" s="1057"/>
      <c r="S60" s="1057"/>
      <c r="T60" s="1057"/>
      <c r="U60" s="1057"/>
      <c r="V60" s="1057"/>
      <c r="W60" s="1057"/>
      <c r="X60" s="1057"/>
      <c r="Y60" s="1057"/>
      <c r="Z60" s="1057"/>
      <c r="AA60" s="1057"/>
      <c r="AB60" s="1057"/>
      <c r="AC60" s="1057"/>
      <c r="AD60" s="1057"/>
      <c r="AE60" s="1057"/>
      <c r="AF60" s="1057"/>
      <c r="AG60" s="1057"/>
      <c r="AH60" s="1057"/>
      <c r="AI60" s="1057"/>
      <c r="AJ60" s="1057"/>
      <c r="AK60" s="1057"/>
      <c r="AL60" s="1057"/>
      <c r="AM60" s="1057"/>
      <c r="AN60" s="1057"/>
      <c r="AO60" s="1057"/>
      <c r="AP60" s="1057"/>
      <c r="AQ60" s="1057"/>
      <c r="AR60" s="1057"/>
      <c r="AS60" s="1057"/>
      <c r="AT60" s="1057"/>
      <c r="AU60" s="1057"/>
      <c r="AV60" s="1057"/>
      <c r="AW60" s="1057"/>
      <c r="AX60" s="1153"/>
      <c r="AY60" s="1057"/>
      <c r="AZ60" s="1057"/>
      <c r="BA60" s="1057"/>
      <c r="BB60" s="1057"/>
      <c r="BC60" s="1057"/>
      <c r="BD60" s="1057"/>
      <c r="BE60" s="1154"/>
      <c r="BF60" s="1057"/>
      <c r="BG60" s="1057"/>
      <c r="BH60" s="1057"/>
      <c r="BI60" s="1057"/>
      <c r="BJ60" s="1057"/>
      <c r="BK60" s="1057"/>
      <c r="BL60" s="1057"/>
      <c r="BM60" s="1057"/>
      <c r="BN60" s="1153"/>
      <c r="BO60" s="1057"/>
      <c r="BP60" s="1057"/>
      <c r="BQ60" s="1057"/>
      <c r="BR60" s="1057"/>
      <c r="BS60" s="1057"/>
      <c r="BT60" s="1057"/>
      <c r="BU60" s="1154"/>
      <c r="BV60" s="1153"/>
      <c r="BW60" s="1057"/>
      <c r="BX60" s="1057"/>
      <c r="BY60" s="1057"/>
      <c r="BZ60" s="1057"/>
      <c r="CA60" s="1057"/>
      <c r="CB60" s="1057"/>
      <c r="CC60" s="1154"/>
      <c r="CD60" s="1153"/>
      <c r="CE60" s="1057"/>
      <c r="CF60" s="1057"/>
      <c r="CG60" s="1057"/>
      <c r="CH60" s="1057"/>
      <c r="CI60" s="1057"/>
      <c r="CJ60" s="1155"/>
      <c r="CK60" s="1154"/>
      <c r="CL60" s="1153"/>
      <c r="CM60" s="1057"/>
      <c r="CN60" s="1057"/>
      <c r="CO60" s="1057"/>
      <c r="CP60" s="1057"/>
      <c r="CQ60" s="1057"/>
      <c r="CR60" s="1057"/>
      <c r="CS60" s="1154"/>
      <c r="CT60" s="1025"/>
      <c r="CU60" s="1025"/>
      <c r="CV60" s="1025"/>
      <c r="CW60" s="1025"/>
      <c r="CX60" s="1025"/>
      <c r="CY60" s="1025"/>
      <c r="CZ60" s="1025"/>
      <c r="DA60" s="1025"/>
      <c r="DB60" s="1156">
        <v>0.32</v>
      </c>
      <c r="DC60" s="1156">
        <v>0.33</v>
      </c>
      <c r="DD60" s="1156">
        <f>(DB60*DB5+DC60*DC5)/DD5</f>
        <v>0.324713940370669</v>
      </c>
      <c r="DE60" s="1156">
        <v>0.367</v>
      </c>
      <c r="DF60" s="1156">
        <f>(DD60*DD5+DE60*DE5)/DF5</f>
        <v>0.340603118712274</v>
      </c>
      <c r="DG60" s="1156">
        <v>0.293</v>
      </c>
      <c r="DH60" s="1156">
        <f>(DE60*DE5+DG60*DG5)/DH5</f>
        <v>0.334098884758364</v>
      </c>
      <c r="DI60" s="1157">
        <v>0.33</v>
      </c>
      <c r="DJ60" s="1156">
        <v>0.27</v>
      </c>
      <c r="DK60" s="1156">
        <v>0.254</v>
      </c>
      <c r="DL60" s="1156">
        <f>(DJ60*DJ5+DK60*DK5)/DL5</f>
        <v>0.262618568554182</v>
      </c>
      <c r="DM60" s="1156">
        <v>0.309</v>
      </c>
      <c r="DN60" s="1156">
        <f>(DL60*DL5+DM60*DM5)/DN5</f>
        <v>0.279741432456936</v>
      </c>
      <c r="DO60" s="1156">
        <v>0.292</v>
      </c>
      <c r="DP60" s="1156">
        <f>(DM60*DM5+DO60*DO5)/DP5</f>
        <v>0.301390124796527</v>
      </c>
      <c r="DQ60" s="1157">
        <v>0.284</v>
      </c>
      <c r="DR60" s="1156">
        <v>0.327</v>
      </c>
      <c r="DS60" s="1156">
        <f>((DT60*DT813)-(DR60*DR813))/DS813</f>
        <v>0.266287009063444</v>
      </c>
      <c r="DT60" s="1156">
        <v>0.295</v>
      </c>
      <c r="DU60" s="1156">
        <f>((DV60*DV813)-(DT60*DT813))/DU813</f>
        <v>0.332378723404255</v>
      </c>
      <c r="DV60" s="1156">
        <v>0.311</v>
      </c>
      <c r="DW60" s="1156" t="e">
        <f>((DY60*DY813)-(DV60*DV813))/DW813</f>
        <v>#REF!</v>
      </c>
      <c r="DX60" s="1156" t="e">
        <f>((DY60*DY813)-(DT60*DT813))/DX813</f>
        <v>#REF!</v>
      </c>
      <c r="DY60" s="1157">
        <f>'Profit and Loss'!Q53</f>
        <v>0.307</v>
      </c>
      <c r="DZ60" s="1156">
        <v>0.325</v>
      </c>
      <c r="EA60" s="1156">
        <f>((EB60*EB813)-(DZ60*DZ813))/EA813</f>
        <v>0.266584415584415</v>
      </c>
      <c r="EB60" s="1156">
        <v>0.299</v>
      </c>
      <c r="EC60" s="1156">
        <f>((ED60*ED813)-(EB60*EB813))/EC813</f>
        <v>0.314522935779817</v>
      </c>
      <c r="ED60" s="1156">
        <v>0.305</v>
      </c>
      <c r="EE60" s="1156">
        <f>((EG60*EG813)-(ED60*ED813))/EE813</f>
        <v>0.245620689655172</v>
      </c>
      <c r="EF60" s="1156">
        <f>((EG60*EG813)-(EB60*EB813))/EF813</f>
        <v>0.283938775510204</v>
      </c>
      <c r="EG60" s="1157">
        <v>0.291</v>
      </c>
      <c r="EH60" s="1156">
        <v>0.325</v>
      </c>
      <c r="EI60" s="1156">
        <f>((EJ60*EJ813)-(EH60*EH813))/EI813</f>
        <v>0.133884210526316</v>
      </c>
      <c r="EJ60" s="1156">
        <v>0.257</v>
      </c>
      <c r="EK60" s="1156">
        <f>((EL60*EL813)-(EJ60*EJ813))/EK813</f>
        <v>0.231254355400697</v>
      </c>
      <c r="EL60" s="1156">
        <v>0.248</v>
      </c>
      <c r="EM60" s="1156">
        <f>((EO60*EO813)-(EL60*EL813))/EM813</f>
        <v>0.301909722222222</v>
      </c>
      <c r="EN60" s="1156">
        <f>((EO60*EO813)-(EJ60*EJ813))/EN813</f>
        <v>0.26664347826087</v>
      </c>
      <c r="EO60" s="1157">
        <v>0.262</v>
      </c>
      <c r="EP60" s="1156">
        <v>0.336</v>
      </c>
      <c r="EQ60" s="1156">
        <f>((ER60*ER813)-(EP60*EP813))/EQ813</f>
        <v>0.266431924882629</v>
      </c>
      <c r="ER60" s="1156">
        <v>0.305</v>
      </c>
      <c r="ES60" s="1156">
        <f>((ET60*ET813)-(ER60*ER813))/ES813</f>
        <v>0.318269896193772</v>
      </c>
      <c r="ET60" s="1156">
        <v>0.31</v>
      </c>
      <c r="EU60" s="1156">
        <f>((EW60*EW813)-(ET60*ET813))/EU813</f>
        <v>0.31</v>
      </c>
      <c r="EV60" s="1156">
        <f>((EW60*EW813)-(ER60*ER813))/EV813</f>
        <v>0.314178321678322</v>
      </c>
      <c r="EW60" s="1157">
        <f>'Profit and Loss'!T53</f>
        <v>0.31</v>
      </c>
      <c r="EX60" s="1159">
        <v>0.337</v>
      </c>
      <c r="EY60" s="1159">
        <f>((EZ60*EZ813)-(EX60*EX813))/EY813</f>
        <v>0.279235576923077</v>
      </c>
      <c r="EZ60" s="1159">
        <v>0.31</v>
      </c>
      <c r="FA60" s="1156">
        <f>((FB60*FB813)-(EZ60*EZ813))/FA813</f>
        <v>0.307454861111111</v>
      </c>
      <c r="FB60" s="1156">
        <v>0.309</v>
      </c>
      <c r="FC60" s="1160"/>
      <c r="FD60" s="1160"/>
      <c r="FE60" s="1161"/>
      <c r="FF60" s="1160"/>
      <c r="FG60" s="1160"/>
      <c r="FH60" s="1160"/>
      <c r="FI60" s="1160"/>
      <c r="FJ60" s="1160"/>
      <c r="FK60" s="1160"/>
      <c r="FL60" s="1160"/>
      <c r="FM60" s="1161"/>
      <c r="FN60" s="1156"/>
      <c r="FO60" s="1156"/>
      <c r="FP60" s="1156"/>
      <c r="FQ60" s="1156"/>
      <c r="FR60" s="1156"/>
      <c r="FS60" s="1156"/>
      <c r="FT60" s="1156"/>
      <c r="FU60" s="1156"/>
      <c r="FV60" s="1162"/>
      <c r="FW60" s="1156"/>
      <c r="FX60" s="1156"/>
      <c r="FY60" s="1156"/>
      <c r="FZ60" s="1156"/>
      <c r="GA60" s="1156"/>
      <c r="GB60" s="1156"/>
      <c r="GC60" s="1157"/>
      <c r="GD60" s="1156"/>
      <c r="GE60" s="1156"/>
      <c r="GF60" s="1156"/>
      <c r="GG60" s="1156"/>
      <c r="GH60" s="1156"/>
      <c r="GI60" s="1156"/>
      <c r="GJ60" s="1156"/>
      <c r="GK60" s="1157"/>
      <c r="GL60" s="1156"/>
      <c r="GM60" s="1156"/>
      <c r="GN60" s="1156"/>
      <c r="GO60" s="1156"/>
      <c r="GP60" s="1156"/>
      <c r="GQ60" s="1156"/>
      <c r="GR60" s="1156"/>
      <c r="GS60" s="1157"/>
      <c r="GT60" s="1156"/>
      <c r="GU60" s="1156"/>
      <c r="GV60" s="1156"/>
      <c r="GW60" s="1156"/>
      <c r="GX60" s="1156"/>
      <c r="GY60" s="1156"/>
      <c r="GZ60" s="1156"/>
      <c r="HA60" s="1157"/>
      <c r="HB60" s="1156"/>
      <c r="HC60" s="1156"/>
      <c r="HD60" s="1156"/>
      <c r="HE60" s="1156"/>
      <c r="HF60" s="1156"/>
      <c r="HG60" s="1156"/>
      <c r="HH60" s="1156"/>
      <c r="HI60" s="1157"/>
      <c r="HJ60" s="1156"/>
      <c r="HK60" s="1156"/>
      <c r="HL60" s="1156"/>
      <c r="HM60" s="1156"/>
      <c r="HN60" s="1156"/>
      <c r="HO60" s="1156"/>
      <c r="HP60" s="1156"/>
      <c r="HQ60" s="1157"/>
      <c r="HR60" s="1156"/>
      <c r="HS60" s="1156"/>
      <c r="HT60" s="1156"/>
      <c r="HU60" s="1156"/>
      <c r="HV60" s="1156"/>
      <c r="HW60" s="1156"/>
      <c r="HX60" s="1156"/>
      <c r="HY60" s="1156"/>
      <c r="HZ60" s="1156"/>
      <c r="IA60" s="1156"/>
      <c r="IB60" s="1156"/>
      <c r="IC60" s="1156"/>
      <c r="ID60" s="1156"/>
      <c r="IE60" s="1156"/>
      <c r="IF60" s="1156"/>
      <c r="IG60" s="1157"/>
      <c r="IH60" s="1156"/>
      <c r="II60" s="1156"/>
      <c r="IJ60" s="1156"/>
      <c r="IK60" s="1156"/>
      <c r="IL60" s="1156"/>
      <c r="IM60" s="1156"/>
      <c r="IN60" s="1156"/>
      <c r="IO60" s="1157"/>
      <c r="IP60" s="1156"/>
      <c r="IQ60" s="1156"/>
      <c r="IR60" s="1156"/>
      <c r="IS60" s="1156"/>
      <c r="IT60" s="1156"/>
      <c r="IU60" s="1156"/>
      <c r="IV60" s="1156"/>
      <c r="IW60" s="1156"/>
      <c r="IX60" s="1049"/>
      <c r="IY60" s="1049"/>
      <c r="IZ60" s="1049"/>
      <c r="JA60" s="1049"/>
      <c r="JB60" s="1049"/>
      <c r="JC60" s="1049"/>
      <c r="JD60" s="1103"/>
      <c r="JE60" s="1079"/>
      <c r="JF60" s="1079"/>
      <c r="JG60" s="1079"/>
      <c r="JH60" s="1079"/>
      <c r="LV60" s="1025"/>
    </row>
    <row r="61" hidden="1" outlineLevel="1" spans="1:334">
      <c r="A61" s="1113" t="s">
        <v>81</v>
      </c>
      <c r="AX61" s="1059"/>
      <c r="BE61" s="1060"/>
      <c r="BN61" s="1059"/>
      <c r="BU61" s="1060"/>
      <c r="BV61" s="1059"/>
      <c r="CC61" s="1060"/>
      <c r="CD61" s="1059"/>
      <c r="CJ61" s="1061"/>
      <c r="CK61" s="1060"/>
      <c r="CL61" s="1059"/>
      <c r="CS61" s="1060"/>
      <c r="CT61" s="1117"/>
      <c r="CU61" s="1117"/>
      <c r="CV61" s="1117"/>
      <c r="CW61" s="1117"/>
      <c r="CX61" s="1117"/>
      <c r="CY61" s="1117"/>
      <c r="CZ61" s="1117"/>
      <c r="DA61" s="1117"/>
      <c r="DB61" s="1082"/>
      <c r="DC61" s="1082"/>
      <c r="DD61" s="1082"/>
      <c r="DE61" s="1082"/>
      <c r="DF61" s="1082"/>
      <c r="DG61" s="1082"/>
      <c r="DH61" s="1082"/>
      <c r="DI61" s="1085"/>
      <c r="DJ61" s="1163">
        <f t="shared" ref="DJ61:DQ61" si="478">(DJ60-DB60)*10000</f>
        <v>-500</v>
      </c>
      <c r="DK61" s="1163">
        <f t="shared" si="478"/>
        <v>-760</v>
      </c>
      <c r="DL61" s="1163">
        <f t="shared" si="478"/>
        <v>-620.953718164865</v>
      </c>
      <c r="DM61" s="1163">
        <f t="shared" si="478"/>
        <v>-580</v>
      </c>
      <c r="DN61" s="1163">
        <f t="shared" si="478"/>
        <v>-608.616862553379</v>
      </c>
      <c r="DO61" s="1163">
        <f t="shared" si="478"/>
        <v>-10</v>
      </c>
      <c r="DP61" s="1163">
        <f t="shared" si="478"/>
        <v>-327.087599618369</v>
      </c>
      <c r="DQ61" s="1164">
        <f t="shared" si="478"/>
        <v>-460</v>
      </c>
      <c r="DR61" s="1163">
        <f t="shared" ref="DR61:EF61" si="479">(DR60-DJ60)*10000</f>
        <v>570</v>
      </c>
      <c r="DS61" s="1163">
        <f t="shared" si="479"/>
        <v>122.870090634441</v>
      </c>
      <c r="DT61" s="1163">
        <f t="shared" si="479"/>
        <v>323.814314458177</v>
      </c>
      <c r="DU61" s="1163">
        <f t="shared" si="479"/>
        <v>233.787234042553</v>
      </c>
      <c r="DV61" s="1163">
        <f t="shared" si="479"/>
        <v>312.585675430643</v>
      </c>
      <c r="DW61" s="1163" t="e">
        <f t="shared" si="479"/>
        <v>#REF!</v>
      </c>
      <c r="DX61" s="1163" t="e">
        <f t="shared" si="479"/>
        <v>#REF!</v>
      </c>
      <c r="DY61" s="1164">
        <f t="shared" si="479"/>
        <v>230</v>
      </c>
      <c r="DZ61" s="1163">
        <f t="shared" si="479"/>
        <v>-20</v>
      </c>
      <c r="EA61" s="1163">
        <f t="shared" si="479"/>
        <v>2.97406520971377</v>
      </c>
      <c r="EB61" s="1163">
        <f t="shared" si="479"/>
        <v>40</v>
      </c>
      <c r="EC61" s="1163">
        <f t="shared" si="479"/>
        <v>-178.557876244387</v>
      </c>
      <c r="ED61" s="1163">
        <f t="shared" si="479"/>
        <v>-60.0000000000001</v>
      </c>
      <c r="EE61" s="1163" t="e">
        <f t="shared" si="479"/>
        <v>#REF!</v>
      </c>
      <c r="EF61" s="1163" t="e">
        <f t="shared" si="479"/>
        <v>#REF!</v>
      </c>
      <c r="EG61" s="1164">
        <f t="shared" ref="EG61:EL61" si="480">(EG60-DY60)*10000</f>
        <v>-160</v>
      </c>
      <c r="EH61" s="1163">
        <f t="shared" si="480"/>
        <v>0</v>
      </c>
      <c r="EI61" s="1163">
        <f t="shared" si="480"/>
        <v>-1327.002050581</v>
      </c>
      <c r="EJ61" s="1163">
        <f t="shared" si="480"/>
        <v>-420</v>
      </c>
      <c r="EK61" s="1163">
        <f t="shared" si="480"/>
        <v>-832.685803791197</v>
      </c>
      <c r="EL61" s="1163">
        <f t="shared" si="480"/>
        <v>-570</v>
      </c>
      <c r="EM61" s="1163">
        <f t="shared" ref="EM61:ET61" si="481">(EM60-EE60)*10000</f>
        <v>562.890325670499</v>
      </c>
      <c r="EN61" s="1163">
        <f t="shared" si="481"/>
        <v>-172.952972493345</v>
      </c>
      <c r="EO61" s="1164">
        <f t="shared" si="481"/>
        <v>-290</v>
      </c>
      <c r="EP61" s="1163">
        <f t="shared" si="481"/>
        <v>110</v>
      </c>
      <c r="EQ61" s="1163">
        <f t="shared" si="481"/>
        <v>1325.47714356313</v>
      </c>
      <c r="ER61" s="1163">
        <f t="shared" si="481"/>
        <v>480</v>
      </c>
      <c r="ES61" s="1163">
        <f t="shared" si="481"/>
        <v>870.155407930748</v>
      </c>
      <c r="ET61" s="1163">
        <f t="shared" si="481"/>
        <v>620</v>
      </c>
      <c r="EU61" s="1163">
        <f t="shared" ref="EU61:FB61" si="482">(EU60-EM60)*10000</f>
        <v>80.9027777777777</v>
      </c>
      <c r="EV61" s="1163">
        <f t="shared" si="482"/>
        <v>475.348434174522</v>
      </c>
      <c r="EW61" s="1164">
        <f t="shared" si="482"/>
        <v>480</v>
      </c>
      <c r="EX61" s="1163">
        <f t="shared" si="482"/>
        <v>10</v>
      </c>
      <c r="EY61" s="1163">
        <f t="shared" si="482"/>
        <v>128.036520404478</v>
      </c>
      <c r="EZ61" s="1163">
        <f t="shared" si="482"/>
        <v>50</v>
      </c>
      <c r="FA61" s="1163">
        <f t="shared" si="482"/>
        <v>-108.150350826606</v>
      </c>
      <c r="FB61" s="1163">
        <f t="shared" si="482"/>
        <v>-10</v>
      </c>
      <c r="FC61" s="1165"/>
      <c r="FD61" s="1165"/>
      <c r="FE61" s="1166"/>
      <c r="FF61" s="1165"/>
      <c r="FG61" s="1165"/>
      <c r="FH61" s="1165"/>
      <c r="FI61" s="1165"/>
      <c r="FJ61" s="1165"/>
      <c r="FK61" s="1165"/>
      <c r="FL61" s="1165"/>
      <c r="FM61" s="1166"/>
      <c r="FN61" s="1163"/>
      <c r="FO61" s="1163"/>
      <c r="FP61" s="1163"/>
      <c r="FQ61" s="1163"/>
      <c r="FR61" s="1163"/>
      <c r="FS61" s="1163"/>
      <c r="FT61" s="1163"/>
      <c r="FU61" s="1163"/>
      <c r="FV61" s="1167"/>
      <c r="FW61" s="1163"/>
      <c r="FX61" s="1163"/>
      <c r="FY61" s="1163"/>
      <c r="FZ61" s="1163"/>
      <c r="GA61" s="1163"/>
      <c r="GB61" s="1163"/>
      <c r="GC61" s="1164"/>
      <c r="GD61" s="1163"/>
      <c r="GE61" s="1163"/>
      <c r="GF61" s="1163"/>
      <c r="GG61" s="1163"/>
      <c r="GH61" s="1163"/>
      <c r="GI61" s="1163"/>
      <c r="GJ61" s="1163"/>
      <c r="GK61" s="1164"/>
      <c r="GL61" s="1163"/>
      <c r="GM61" s="1163"/>
      <c r="GN61" s="1163"/>
      <c r="GO61" s="1163"/>
      <c r="GP61" s="1163"/>
      <c r="GQ61" s="1163"/>
      <c r="GR61" s="1163"/>
      <c r="GS61" s="1164"/>
      <c r="GT61" s="1163"/>
      <c r="GU61" s="1163"/>
      <c r="GV61" s="1163"/>
      <c r="GW61" s="1163"/>
      <c r="GX61" s="1163"/>
      <c r="GY61" s="1163"/>
      <c r="GZ61" s="1163"/>
      <c r="HA61" s="1164"/>
      <c r="HB61" s="1163"/>
      <c r="HC61" s="1163"/>
      <c r="HD61" s="1163"/>
      <c r="HE61" s="1163"/>
      <c r="HF61" s="1163"/>
      <c r="HG61" s="1163"/>
      <c r="HH61" s="1163"/>
      <c r="HI61" s="1164"/>
      <c r="HJ61" s="1163"/>
      <c r="HK61" s="1163"/>
      <c r="HL61" s="1163"/>
      <c r="HM61" s="1163"/>
      <c r="HN61" s="1163"/>
      <c r="HO61" s="1163"/>
      <c r="HP61" s="1163"/>
      <c r="HQ61" s="1164"/>
      <c r="HR61" s="1163"/>
      <c r="HS61" s="1163"/>
      <c r="HT61" s="1163"/>
      <c r="HU61" s="1163"/>
      <c r="HV61" s="1163"/>
      <c r="HW61" s="1163"/>
      <c r="HX61" s="1163"/>
      <c r="HY61" s="1163"/>
      <c r="HZ61" s="1163"/>
      <c r="IA61" s="1163"/>
      <c r="IB61" s="1163"/>
      <c r="IC61" s="1163"/>
      <c r="ID61" s="1163"/>
      <c r="IE61" s="1163"/>
      <c r="IF61" s="1163"/>
      <c r="IG61" s="1164"/>
      <c r="IH61" s="1163"/>
      <c r="II61" s="1163"/>
      <c r="IJ61" s="1163"/>
      <c r="IK61" s="1163"/>
      <c r="IL61" s="1163"/>
      <c r="IM61" s="1163"/>
      <c r="IN61" s="1163"/>
      <c r="IO61" s="1164"/>
      <c r="IP61" s="1163"/>
      <c r="IQ61" s="1163"/>
      <c r="IR61" s="1163"/>
      <c r="IS61" s="1163"/>
      <c r="IT61" s="1163"/>
      <c r="IU61" s="1163"/>
      <c r="IV61" s="1163"/>
      <c r="IW61" s="1163"/>
      <c r="IX61" s="1049"/>
      <c r="IY61" s="1049"/>
      <c r="IZ61" s="1049"/>
      <c r="JA61" s="1049"/>
      <c r="JB61" s="1049"/>
      <c r="JC61" s="1049"/>
      <c r="JD61" s="1041"/>
      <c r="JE61" s="1037"/>
      <c r="JF61" s="1037"/>
      <c r="JG61" s="1037"/>
      <c r="JH61" s="1037"/>
      <c r="JI61" s="1035"/>
      <c r="JJ61" s="1035"/>
      <c r="JK61" s="1035"/>
      <c r="JL61" s="1035"/>
      <c r="JM61" s="1035"/>
      <c r="JN61" s="1035"/>
      <c r="JO61" s="1035"/>
      <c r="JP61" s="1035"/>
      <c r="JQ61" s="1035"/>
      <c r="JR61" s="1035"/>
      <c r="JS61" s="1035"/>
      <c r="JT61" s="1035"/>
      <c r="JU61" s="1035"/>
      <c r="JV61" s="1035"/>
      <c r="JW61" s="1035"/>
      <c r="JX61" s="1035"/>
      <c r="JY61" s="1035"/>
      <c r="LV61" s="1117"/>
    </row>
    <row r="62" hidden="1" outlineLevel="1" spans="1:334">
      <c r="A62" s="1025" t="s">
        <v>62</v>
      </c>
      <c r="AX62" s="1059"/>
      <c r="BE62" s="1060"/>
      <c r="BN62" s="1059"/>
      <c r="BU62" s="1060"/>
      <c r="BV62" s="1059"/>
      <c r="CC62" s="1060"/>
      <c r="CD62" s="1059"/>
      <c r="CJ62" s="1061"/>
      <c r="CK62" s="1060"/>
      <c r="CL62" s="1059"/>
      <c r="CS62" s="1060"/>
      <c r="CT62" s="1117"/>
      <c r="CU62" s="1117"/>
      <c r="CV62" s="1117"/>
      <c r="CW62" s="1117"/>
      <c r="CX62" s="1117"/>
      <c r="CY62" s="1117"/>
      <c r="CZ62" s="1117"/>
      <c r="DA62" s="1117"/>
      <c r="DB62" s="1082"/>
      <c r="DC62" s="1082"/>
      <c r="DD62" s="1082"/>
      <c r="DE62" s="1082"/>
      <c r="DF62" s="1082"/>
      <c r="DG62" s="1082"/>
      <c r="DH62" s="1082"/>
      <c r="DI62" s="1085"/>
      <c r="DJ62" s="1082"/>
      <c r="DK62" s="1082"/>
      <c r="DL62" s="1082"/>
      <c r="DM62" s="1082"/>
      <c r="DN62" s="1082"/>
      <c r="DO62" s="1082"/>
      <c r="DP62" s="1082"/>
      <c r="DQ62" s="1085"/>
      <c r="DR62" s="1082"/>
      <c r="DS62" s="1082"/>
      <c r="DT62" s="1082"/>
      <c r="DU62" s="1082"/>
      <c r="DV62" s="1082"/>
      <c r="DW62" s="1082"/>
      <c r="DX62" s="1082"/>
      <c r="DY62" s="1085"/>
      <c r="DZ62" s="1082"/>
      <c r="EA62" s="1082"/>
      <c r="EB62" s="1082"/>
      <c r="EC62" s="1082"/>
      <c r="ED62" s="1082"/>
      <c r="EE62" s="1082"/>
      <c r="EF62" s="1082"/>
      <c r="EG62" s="1085"/>
      <c r="EH62" s="1082"/>
      <c r="EI62" s="1082"/>
      <c r="EJ62" s="1082"/>
      <c r="EK62" s="1082"/>
      <c r="EL62" s="1082"/>
      <c r="EM62" s="1082"/>
      <c r="EN62" s="1082"/>
      <c r="EO62" s="1085"/>
      <c r="EP62" s="1082"/>
      <c r="EQ62" s="1082"/>
      <c r="ER62" s="1082"/>
      <c r="ES62" s="1082"/>
      <c r="ET62" s="1082"/>
      <c r="EU62" s="1082"/>
      <c r="EV62" s="1082"/>
      <c r="EW62" s="1085"/>
      <c r="EX62" s="1087"/>
      <c r="EY62" s="1087"/>
      <c r="EZ62" s="1087"/>
      <c r="FA62" s="1082"/>
      <c r="FB62" s="1082"/>
      <c r="FC62" s="1168"/>
      <c r="FD62" s="1168"/>
      <c r="FE62" s="1169"/>
      <c r="FF62" s="1168"/>
      <c r="FG62" s="1168"/>
      <c r="FH62" s="1168"/>
      <c r="FI62" s="1168"/>
      <c r="FJ62" s="1168"/>
      <c r="FK62" s="1168"/>
      <c r="FL62" s="1168"/>
      <c r="FM62" s="1169"/>
      <c r="FN62" s="1082"/>
      <c r="FO62" s="1082"/>
      <c r="FP62" s="1082"/>
      <c r="FQ62" s="1082"/>
      <c r="FR62" s="1082"/>
      <c r="FS62" s="1082"/>
      <c r="FT62" s="1082"/>
      <c r="FU62" s="1082"/>
      <c r="FV62" s="1109"/>
      <c r="FW62" s="1082"/>
      <c r="FX62" s="1082"/>
      <c r="FY62" s="1082"/>
      <c r="FZ62" s="1082"/>
      <c r="GA62" s="1082"/>
      <c r="GB62" s="1082"/>
      <c r="GC62" s="1085"/>
      <c r="GD62" s="1082"/>
      <c r="GE62" s="1082"/>
      <c r="GF62" s="1082"/>
      <c r="GG62" s="1082"/>
      <c r="GH62" s="1082"/>
      <c r="GI62" s="1082"/>
      <c r="GJ62" s="1082"/>
      <c r="GK62" s="1085"/>
      <c r="GL62" s="1082"/>
      <c r="GM62" s="1082"/>
      <c r="GN62" s="1082"/>
      <c r="GO62" s="1082"/>
      <c r="GP62" s="1082"/>
      <c r="GQ62" s="1082"/>
      <c r="GR62" s="1082"/>
      <c r="GS62" s="1085"/>
      <c r="GT62" s="1082"/>
      <c r="GU62" s="1082"/>
      <c r="GV62" s="1082"/>
      <c r="GW62" s="1082"/>
      <c r="GX62" s="1082"/>
      <c r="GY62" s="1082"/>
      <c r="GZ62" s="1082"/>
      <c r="HA62" s="1085"/>
      <c r="HB62" s="1082"/>
      <c r="HC62" s="1082"/>
      <c r="HD62" s="1082"/>
      <c r="HE62" s="1082"/>
      <c r="HF62" s="1082"/>
      <c r="HG62" s="1082"/>
      <c r="HH62" s="1082"/>
      <c r="HI62" s="1085"/>
      <c r="HJ62" s="1082"/>
      <c r="HK62" s="1082"/>
      <c r="HL62" s="1082"/>
      <c r="HM62" s="1082"/>
      <c r="HN62" s="1082"/>
      <c r="HO62" s="1082"/>
      <c r="HP62" s="1082"/>
      <c r="HQ62" s="1085"/>
      <c r="HR62" s="1082"/>
      <c r="HS62" s="1082"/>
      <c r="HT62" s="1082"/>
      <c r="HU62" s="1082"/>
      <c r="HV62" s="1082"/>
      <c r="HW62" s="1082"/>
      <c r="HX62" s="1082"/>
      <c r="HY62" s="1082"/>
      <c r="HZ62" s="1082"/>
      <c r="IA62" s="1082"/>
      <c r="IB62" s="1082"/>
      <c r="IC62" s="1082"/>
      <c r="ID62" s="1082"/>
      <c r="IE62" s="1082"/>
      <c r="IF62" s="1082"/>
      <c r="IG62" s="1085"/>
      <c r="IH62" s="1082"/>
      <c r="II62" s="1082"/>
      <c r="IJ62" s="1082"/>
      <c r="IK62" s="1082"/>
      <c r="IL62" s="1082"/>
      <c r="IM62" s="1082"/>
      <c r="IN62" s="1082"/>
      <c r="IO62" s="1085"/>
      <c r="IP62" s="1082"/>
      <c r="IQ62" s="1082"/>
      <c r="IR62" s="1082"/>
      <c r="IS62" s="1082"/>
      <c r="IT62" s="1082"/>
      <c r="IU62" s="1082"/>
      <c r="IV62" s="1082"/>
      <c r="IW62" s="1082"/>
      <c r="IX62" s="1049"/>
      <c r="IY62" s="1049"/>
      <c r="IZ62" s="1049"/>
      <c r="JA62" s="1049"/>
      <c r="JB62" s="1049"/>
      <c r="JC62" s="1049"/>
      <c r="JD62" s="1041"/>
      <c r="JE62" s="1037"/>
      <c r="JF62" s="1037"/>
      <c r="JG62" s="1037"/>
      <c r="JH62" s="1037"/>
      <c r="JI62" s="1035"/>
      <c r="JJ62" s="1035"/>
      <c r="JK62" s="1035"/>
      <c r="JL62" s="1035"/>
      <c r="JM62" s="1035"/>
      <c r="JN62" s="1035"/>
      <c r="JO62" s="1035"/>
      <c r="JP62" s="1035"/>
      <c r="JQ62" s="1035"/>
      <c r="JR62" s="1035"/>
      <c r="JS62" s="1035"/>
      <c r="JT62" s="1035"/>
      <c r="JU62" s="1035"/>
      <c r="JV62" s="1035"/>
      <c r="JW62" s="1035"/>
      <c r="JX62" s="1035"/>
      <c r="JY62" s="1035"/>
      <c r="LV62" s="1117"/>
    </row>
    <row r="63" s="969" customFormat="1" hidden="1" outlineLevel="1" spans="1:334">
      <c r="A63" s="1152" t="s">
        <v>80</v>
      </c>
      <c r="B63" s="1057"/>
      <c r="C63" s="1057"/>
      <c r="D63" s="1057"/>
      <c r="E63" s="1057"/>
      <c r="F63" s="1057"/>
      <c r="G63" s="1057"/>
      <c r="H63" s="1057"/>
      <c r="I63" s="1057"/>
      <c r="J63" s="1057"/>
      <c r="K63" s="1057"/>
      <c r="L63" s="1057"/>
      <c r="M63" s="1057"/>
      <c r="N63" s="1057"/>
      <c r="O63" s="1057"/>
      <c r="P63" s="1057"/>
      <c r="Q63" s="1057"/>
      <c r="R63" s="1057"/>
      <c r="S63" s="1057"/>
      <c r="T63" s="1057"/>
      <c r="U63" s="1057"/>
      <c r="V63" s="1057"/>
      <c r="W63" s="1057"/>
      <c r="X63" s="1057"/>
      <c r="Y63" s="1057"/>
      <c r="Z63" s="1057"/>
      <c r="AA63" s="1057"/>
      <c r="AB63" s="1057"/>
      <c r="AC63" s="1057"/>
      <c r="AD63" s="1057"/>
      <c r="AE63" s="1057"/>
      <c r="AF63" s="1057"/>
      <c r="AG63" s="1057"/>
      <c r="AH63" s="1057"/>
      <c r="AI63" s="1057"/>
      <c r="AJ63" s="1057"/>
      <c r="AK63" s="1057"/>
      <c r="AL63" s="1057"/>
      <c r="AM63" s="1057"/>
      <c r="AN63" s="1057"/>
      <c r="AO63" s="1057"/>
      <c r="AP63" s="1057"/>
      <c r="AQ63" s="1057"/>
      <c r="AR63" s="1057"/>
      <c r="AS63" s="1057"/>
      <c r="AT63" s="1057"/>
      <c r="AU63" s="1057"/>
      <c r="AV63" s="1057"/>
      <c r="AW63" s="1057"/>
      <c r="AX63" s="1153"/>
      <c r="AY63" s="1057"/>
      <c r="AZ63" s="1057"/>
      <c r="BA63" s="1057"/>
      <c r="BB63" s="1057"/>
      <c r="BC63" s="1057"/>
      <c r="BD63" s="1057"/>
      <c r="BE63" s="1154"/>
      <c r="BF63" s="1057"/>
      <c r="BG63" s="1057"/>
      <c r="BH63" s="1057"/>
      <c r="BI63" s="1057"/>
      <c r="BJ63" s="1057"/>
      <c r="BK63" s="1057"/>
      <c r="BL63" s="1057"/>
      <c r="BM63" s="1057"/>
      <c r="BN63" s="1153"/>
      <c r="BO63" s="1057"/>
      <c r="BP63" s="1057"/>
      <c r="BQ63" s="1057"/>
      <c r="BR63" s="1057"/>
      <c r="BS63" s="1057"/>
      <c r="BT63" s="1057"/>
      <c r="BU63" s="1154"/>
      <c r="BV63" s="1153"/>
      <c r="BW63" s="1057"/>
      <c r="BX63" s="1057"/>
      <c r="BY63" s="1057"/>
      <c r="BZ63" s="1057"/>
      <c r="CA63" s="1057"/>
      <c r="CB63" s="1057"/>
      <c r="CC63" s="1154"/>
      <c r="CD63" s="1153"/>
      <c r="CE63" s="1057"/>
      <c r="CF63" s="1057"/>
      <c r="CG63" s="1057"/>
      <c r="CH63" s="1057"/>
      <c r="CI63" s="1057"/>
      <c r="CJ63" s="1155"/>
      <c r="CK63" s="1154"/>
      <c r="CL63" s="1153"/>
      <c r="CM63" s="1057"/>
      <c r="CN63" s="1057"/>
      <c r="CO63" s="1057"/>
      <c r="CP63" s="1057"/>
      <c r="CQ63" s="1057"/>
      <c r="CR63" s="1057"/>
      <c r="CS63" s="1154"/>
      <c r="CT63" s="1025"/>
      <c r="CU63" s="1025"/>
      <c r="CV63" s="1025"/>
      <c r="CW63" s="1025"/>
      <c r="CX63" s="1025"/>
      <c r="CY63" s="1025"/>
      <c r="CZ63" s="1025"/>
      <c r="DA63" s="1025"/>
      <c r="DB63" s="1156">
        <v>0.61</v>
      </c>
      <c r="DC63" s="1156">
        <v>0.65</v>
      </c>
      <c r="DD63" s="1156">
        <f>(DB63*DB10+DC63*DC10)/DD10</f>
        <v>0.631609195402299</v>
      </c>
      <c r="DE63" s="1156">
        <v>0.643</v>
      </c>
      <c r="DF63" s="1156">
        <f>(DD63*DD10+DE63*DE10)/DF10</f>
        <v>0.635999215070644</v>
      </c>
      <c r="DG63" s="1156">
        <v>0.635</v>
      </c>
      <c r="DH63" s="1156">
        <f>(DE63*DE10+DG63*DG10)/DH10</f>
        <v>0.639113089005236</v>
      </c>
      <c r="DI63" s="1157">
        <v>0.636</v>
      </c>
      <c r="DJ63" s="1156">
        <v>0.573</v>
      </c>
      <c r="DK63" s="1156">
        <v>0.628</v>
      </c>
      <c r="DL63" s="1156">
        <f>(DJ63*DJ10+DK63*DK10)/DL10</f>
        <v>0.603169300225734</v>
      </c>
      <c r="DM63" s="1156">
        <v>0.605</v>
      </c>
      <c r="DN63" s="1156">
        <f>(DL63*DL10+DM63*DM10)/DN10</f>
        <v>0.603849645390071</v>
      </c>
      <c r="DO63" s="1156">
        <v>0.622</v>
      </c>
      <c r="DP63" s="1156">
        <f>(DM63*DM10+DO63*DO10)/DP10</f>
        <v>0.613275220372184</v>
      </c>
      <c r="DQ63" s="1157">
        <v>0.609</v>
      </c>
      <c r="DR63" s="1156">
        <v>0.6</v>
      </c>
      <c r="DS63" s="1158">
        <f>((DT63*(DT822+DT825))-(DR63*(DR822+DR825)))/(DS822+DS825)</f>
        <v>0.667054325955734</v>
      </c>
      <c r="DT63" s="1156">
        <v>0.638</v>
      </c>
      <c r="DU63" s="1158">
        <f>((DV63*(DV822+DV825))-(DT63*(DT822+DT825)))/(DU822+DU825)</f>
        <v>0.630198905109489</v>
      </c>
      <c r="DV63" s="1156">
        <v>0.635</v>
      </c>
      <c r="DW63" s="1158" t="e">
        <f>((DY63*(DY822+DY825))-(DV63*(DV822+DV825)))/(DW822+DW825)</f>
        <v>#REF!</v>
      </c>
      <c r="DX63" s="1156" t="e">
        <f>((DY63*(DY822+DY825))-(DT63*(DT822+DT825)))/(DX822+DX825)</f>
        <v>#REF!</v>
      </c>
      <c r="DY63" s="1157">
        <f>'Profit and Loss'!Q57</f>
        <v>0.632</v>
      </c>
      <c r="DZ63" s="1156">
        <v>0.622</v>
      </c>
      <c r="EA63" s="1158">
        <f>((EB63*(EB822+EB825))-(DZ63*(DZ822+DZ825)))/(EA822+EA825)</f>
        <v>0.66853024911032</v>
      </c>
      <c r="EB63" s="1156">
        <v>0.647</v>
      </c>
      <c r="EC63" s="1158">
        <f>((ED63*(ED822+ED825))-(EB63*(EB822+EB825)))/(EC822+EC825)</f>
        <v>0.631006369426752</v>
      </c>
      <c r="ED63" s="1156">
        <v>0.641</v>
      </c>
      <c r="EE63" s="1158">
        <f>((EG63*(EG822+EG825))-(ED63*(ED822+ED825)))/(EE822+EE825)</f>
        <v>0.623201834862385</v>
      </c>
      <c r="EF63" s="1156">
        <f>((EG63*(EG822+EG825))-(EB63*(EB822+EB825)))/(EF822+EF825)</f>
        <v>0.62702496099844</v>
      </c>
      <c r="EG63" s="1157">
        <v>0.636</v>
      </c>
      <c r="EH63" s="1156">
        <v>0.628</v>
      </c>
      <c r="EI63" s="1158">
        <f>((EJ63*(EJ822+EJ825))-(EH63*(EH822+EH825)))/(EI822+EI825)</f>
        <v>0.640790368271955</v>
      </c>
      <c r="EJ63" s="1156">
        <v>0.635</v>
      </c>
      <c r="EK63" s="1158">
        <f>((EL63*(EL822+EL825))-(EJ63*(EJ822+EJ825)))/(EK822+EK825)</f>
        <v>0.600389175257732</v>
      </c>
      <c r="EL63" s="1158">
        <v>0.622</v>
      </c>
      <c r="EM63" s="1158">
        <f>((EO63*(EO822+EO825))-(EL63*(EL822+EL825)))/(EM822+EM825)</f>
        <v>0.618208108108108</v>
      </c>
      <c r="EN63" s="1156">
        <f>((EO63*(EO822+EO825))-(EJ63*(EJ822+EJ825)))/(EN822+EN825)</f>
        <v>0.609087071240106</v>
      </c>
      <c r="EO63" s="1157">
        <v>0.621</v>
      </c>
      <c r="EP63" s="1156">
        <v>0.622</v>
      </c>
      <c r="EQ63" s="1158">
        <f>((ER63*(ER822+ER825))-(EP63*(EP822+EP825)))/(EQ822+EQ825)</f>
        <v>0.662495844875346</v>
      </c>
      <c r="ER63" s="1156">
        <v>0.644</v>
      </c>
      <c r="ES63" s="1158">
        <f>((ET63*(ET822+ET825))-(ER63*(ER822+ER825)))/(ES822+ES825)</f>
        <v>0.622281290322581</v>
      </c>
      <c r="ET63" s="1156">
        <v>0.636</v>
      </c>
      <c r="EU63" s="1158">
        <f>((EW63*(EW822+EW825))-(ET63*(ET822+ET825)))/(EU822+EU825)</f>
        <v>0.617581632653061</v>
      </c>
      <c r="EV63" s="1156">
        <f>((EW63*(EW822+EW825))-(ER63*(ER822+ER825)))/(EV822+EV825)</f>
        <v>0.619917896087235</v>
      </c>
      <c r="EW63" s="1157">
        <f>'Profit and Loss'!T57</f>
        <v>0.631</v>
      </c>
      <c r="EX63" s="1159">
        <v>0.609</v>
      </c>
      <c r="EY63" s="1159">
        <f>((EZ63*(EZ822+EZ825))-(EX63*(EX822+EX825)))/(EY822+EY825)</f>
        <v>0.616320197044335</v>
      </c>
      <c r="EZ63" s="1159">
        <v>0.613</v>
      </c>
      <c r="FA63" s="1158">
        <f>((FB63*(FB822+FB825))-(EZ63*(EZ822+EZ825)))/(FA822+FA825)</f>
        <v>0.591627671541057</v>
      </c>
      <c r="FB63" s="1156">
        <v>0.605</v>
      </c>
      <c r="FC63" s="1160"/>
      <c r="FD63" s="1160"/>
      <c r="FE63" s="1161"/>
      <c r="FF63" s="1160"/>
      <c r="FG63" s="1160"/>
      <c r="FH63" s="1160"/>
      <c r="FI63" s="1160"/>
      <c r="FJ63" s="1160"/>
      <c r="FK63" s="1160"/>
      <c r="FL63" s="1160"/>
      <c r="FM63" s="1161"/>
      <c r="FN63" s="1156"/>
      <c r="FO63" s="1156"/>
      <c r="FP63" s="1156"/>
      <c r="FQ63" s="1156"/>
      <c r="FR63" s="1156"/>
      <c r="FS63" s="1156"/>
      <c r="FT63" s="1156"/>
      <c r="FU63" s="1156"/>
      <c r="FV63" s="1162"/>
      <c r="FW63" s="1156"/>
      <c r="FX63" s="1156"/>
      <c r="FY63" s="1156"/>
      <c r="FZ63" s="1156"/>
      <c r="GA63" s="1156"/>
      <c r="GB63" s="1156"/>
      <c r="GC63" s="1157"/>
      <c r="GD63" s="1156"/>
      <c r="GE63" s="1156"/>
      <c r="GF63" s="1156"/>
      <c r="GG63" s="1156"/>
      <c r="GH63" s="1156"/>
      <c r="GI63" s="1156"/>
      <c r="GJ63" s="1156"/>
      <c r="GK63" s="1157"/>
      <c r="GL63" s="1156"/>
      <c r="GM63" s="1156"/>
      <c r="GN63" s="1156"/>
      <c r="GO63" s="1156"/>
      <c r="GP63" s="1156"/>
      <c r="GQ63" s="1156"/>
      <c r="GR63" s="1156"/>
      <c r="GS63" s="1157"/>
      <c r="GT63" s="1156"/>
      <c r="GU63" s="1156"/>
      <c r="GV63" s="1156"/>
      <c r="GW63" s="1156"/>
      <c r="GX63" s="1156"/>
      <c r="GY63" s="1156"/>
      <c r="GZ63" s="1156"/>
      <c r="HA63" s="1157"/>
      <c r="HB63" s="1156"/>
      <c r="HC63" s="1156"/>
      <c r="HD63" s="1156"/>
      <c r="HE63" s="1156"/>
      <c r="HF63" s="1156"/>
      <c r="HG63" s="1156"/>
      <c r="HH63" s="1156"/>
      <c r="HI63" s="1157"/>
      <c r="HJ63" s="1156"/>
      <c r="HK63" s="1156"/>
      <c r="HL63" s="1156"/>
      <c r="HM63" s="1156"/>
      <c r="HN63" s="1156"/>
      <c r="HO63" s="1156"/>
      <c r="HP63" s="1156"/>
      <c r="HQ63" s="1157"/>
      <c r="HR63" s="1156"/>
      <c r="HS63" s="1156"/>
      <c r="HT63" s="1156"/>
      <c r="HU63" s="1156"/>
      <c r="HV63" s="1156"/>
      <c r="HW63" s="1156"/>
      <c r="HX63" s="1156"/>
      <c r="HY63" s="1156"/>
      <c r="HZ63" s="1156"/>
      <c r="IA63" s="1156"/>
      <c r="IB63" s="1156"/>
      <c r="IC63" s="1156"/>
      <c r="ID63" s="1156"/>
      <c r="IE63" s="1156"/>
      <c r="IF63" s="1156"/>
      <c r="IG63" s="1157"/>
      <c r="IH63" s="1156"/>
      <c r="II63" s="1156"/>
      <c r="IJ63" s="1156"/>
      <c r="IK63" s="1156"/>
      <c r="IL63" s="1156"/>
      <c r="IM63" s="1156"/>
      <c r="IN63" s="1156"/>
      <c r="IO63" s="1157"/>
      <c r="IP63" s="1156"/>
      <c r="IQ63" s="1156"/>
      <c r="IR63" s="1156"/>
      <c r="IS63" s="1156"/>
      <c r="IT63" s="1156"/>
      <c r="IU63" s="1156"/>
      <c r="IV63" s="1156"/>
      <c r="IW63" s="1156"/>
      <c r="IX63" s="1049"/>
      <c r="IY63" s="1049"/>
      <c r="IZ63" s="1049"/>
      <c r="JA63" s="1049"/>
      <c r="JB63" s="1049"/>
      <c r="JC63" s="1049"/>
      <c r="JD63" s="1103"/>
      <c r="JE63" s="1079"/>
      <c r="JF63" s="1079"/>
      <c r="JG63" s="1079"/>
      <c r="JH63" s="1079"/>
      <c r="LV63" s="1025"/>
    </row>
    <row r="64" hidden="1" outlineLevel="1" spans="1:334">
      <c r="A64" s="1113" t="s">
        <v>81</v>
      </c>
      <c r="AX64" s="1059"/>
      <c r="BE64" s="1060"/>
      <c r="BN64" s="1059"/>
      <c r="BU64" s="1060"/>
      <c r="BV64" s="1059"/>
      <c r="CC64" s="1060"/>
      <c r="CD64" s="1059"/>
      <c r="CJ64" s="1061"/>
      <c r="CK64" s="1060"/>
      <c r="CL64" s="1059"/>
      <c r="CS64" s="1060"/>
      <c r="CT64" s="1117"/>
      <c r="CU64" s="1117"/>
      <c r="CV64" s="1117"/>
      <c r="CW64" s="1117"/>
      <c r="CX64" s="1117"/>
      <c r="CY64" s="1117"/>
      <c r="CZ64" s="1117"/>
      <c r="DA64" s="1117"/>
      <c r="DB64" s="1082"/>
      <c r="DC64" s="1082"/>
      <c r="DD64" s="1082"/>
      <c r="DE64" s="1082"/>
      <c r="DF64" s="1082"/>
      <c r="DG64" s="1082"/>
      <c r="DH64" s="1082"/>
      <c r="DI64" s="1085"/>
      <c r="DJ64" s="1163">
        <f t="shared" ref="DJ64:DQ64" si="483">(DJ63-DB63)*10000</f>
        <v>-370</v>
      </c>
      <c r="DK64" s="1163">
        <f t="shared" si="483"/>
        <v>-220</v>
      </c>
      <c r="DL64" s="1163">
        <f t="shared" si="483"/>
        <v>-284.398951765651</v>
      </c>
      <c r="DM64" s="1163">
        <f t="shared" si="483"/>
        <v>-380</v>
      </c>
      <c r="DN64" s="1163">
        <f t="shared" si="483"/>
        <v>-321.495696805727</v>
      </c>
      <c r="DO64" s="1163">
        <f t="shared" si="483"/>
        <v>-130</v>
      </c>
      <c r="DP64" s="1163">
        <f t="shared" si="483"/>
        <v>-258.378686330515</v>
      </c>
      <c r="DQ64" s="1164">
        <f t="shared" si="483"/>
        <v>-270</v>
      </c>
      <c r="DR64" s="1163">
        <f t="shared" ref="DR64:EF64" si="484">(DR63-DJ63)*10000</f>
        <v>270</v>
      </c>
      <c r="DS64" s="1163">
        <f t="shared" si="484"/>
        <v>390.543259557343</v>
      </c>
      <c r="DT64" s="1163">
        <f t="shared" si="484"/>
        <v>348.306997742663</v>
      </c>
      <c r="DU64" s="1163">
        <f t="shared" si="484"/>
        <v>251.989051094892</v>
      </c>
      <c r="DV64" s="1163">
        <f t="shared" si="484"/>
        <v>311.503546099291</v>
      </c>
      <c r="DW64" s="1163" t="e">
        <f t="shared" si="484"/>
        <v>#REF!</v>
      </c>
      <c r="DX64" s="1163" t="e">
        <f t="shared" si="484"/>
        <v>#REF!</v>
      </c>
      <c r="DY64" s="1164">
        <f t="shared" si="484"/>
        <v>230</v>
      </c>
      <c r="DZ64" s="1163">
        <f t="shared" si="484"/>
        <v>220</v>
      </c>
      <c r="EA64" s="1163">
        <f t="shared" si="484"/>
        <v>14.75923154586</v>
      </c>
      <c r="EB64" s="1163">
        <f t="shared" si="484"/>
        <v>90.0000000000001</v>
      </c>
      <c r="EC64" s="1163">
        <f t="shared" si="484"/>
        <v>8.0746431726253</v>
      </c>
      <c r="ED64" s="1163">
        <f t="shared" si="484"/>
        <v>60.0000000000001</v>
      </c>
      <c r="EE64" s="1163" t="e">
        <f t="shared" si="484"/>
        <v>#REF!</v>
      </c>
      <c r="EF64" s="1163" t="e">
        <f t="shared" si="484"/>
        <v>#REF!</v>
      </c>
      <c r="EG64" s="1164">
        <f t="shared" ref="EG64:EL64" si="485">(EG63-DY63)*10000</f>
        <v>40</v>
      </c>
      <c r="EH64" s="1163">
        <f t="shared" si="485"/>
        <v>60.0000000000001</v>
      </c>
      <c r="EI64" s="1163">
        <f t="shared" si="485"/>
        <v>-277.398808383657</v>
      </c>
      <c r="EJ64" s="1163">
        <f t="shared" si="485"/>
        <v>-120</v>
      </c>
      <c r="EK64" s="1163">
        <f t="shared" si="485"/>
        <v>-306.171941690199</v>
      </c>
      <c r="EL64" s="1163">
        <f t="shared" si="485"/>
        <v>-190</v>
      </c>
      <c r="EM64" s="1163">
        <f t="shared" ref="EM64:ET64" si="486">(EM63-EE63)*10000</f>
        <v>-49.9372675427678</v>
      </c>
      <c r="EN64" s="1163">
        <f t="shared" si="486"/>
        <v>-179.378897583342</v>
      </c>
      <c r="EO64" s="1164">
        <f t="shared" si="486"/>
        <v>-150</v>
      </c>
      <c r="EP64" s="1163">
        <f t="shared" si="486"/>
        <v>-60.0000000000001</v>
      </c>
      <c r="EQ64" s="1163">
        <f t="shared" si="486"/>
        <v>217.054766033916</v>
      </c>
      <c r="ER64" s="1163">
        <f t="shared" si="486"/>
        <v>90.0000000000001</v>
      </c>
      <c r="ES64" s="1163">
        <f t="shared" si="486"/>
        <v>218.921150648489</v>
      </c>
      <c r="ET64" s="1163">
        <f t="shared" si="486"/>
        <v>140</v>
      </c>
      <c r="EU64" s="1163">
        <f t="shared" ref="EU64:FB64" si="487">(EU63-EM63)*10000</f>
        <v>-6.26475455047126</v>
      </c>
      <c r="EV64" s="1163">
        <f t="shared" si="487"/>
        <v>108.308248471297</v>
      </c>
      <c r="EW64" s="1164">
        <f t="shared" si="487"/>
        <v>100</v>
      </c>
      <c r="EX64" s="1163">
        <f t="shared" si="487"/>
        <v>-130</v>
      </c>
      <c r="EY64" s="1163">
        <f t="shared" si="487"/>
        <v>-461.756478310114</v>
      </c>
      <c r="EZ64" s="1163">
        <f t="shared" si="487"/>
        <v>-310</v>
      </c>
      <c r="FA64" s="1163">
        <f t="shared" si="487"/>
        <v>-306.536187815234</v>
      </c>
      <c r="FB64" s="1163">
        <f t="shared" si="487"/>
        <v>-310</v>
      </c>
      <c r="FC64" s="1165"/>
      <c r="FD64" s="1165"/>
      <c r="FE64" s="1166"/>
      <c r="FF64" s="1165"/>
      <c r="FG64" s="1165"/>
      <c r="FH64" s="1165"/>
      <c r="FI64" s="1165"/>
      <c r="FJ64" s="1165"/>
      <c r="FK64" s="1165"/>
      <c r="FL64" s="1165"/>
      <c r="FM64" s="1166"/>
      <c r="FN64" s="1163"/>
      <c r="FO64" s="1163"/>
      <c r="FP64" s="1163"/>
      <c r="FQ64" s="1163"/>
      <c r="FR64" s="1163"/>
      <c r="FS64" s="1163"/>
      <c r="FT64" s="1163"/>
      <c r="FU64" s="1163"/>
      <c r="FV64" s="1167"/>
      <c r="FW64" s="1163"/>
      <c r="FX64" s="1163"/>
      <c r="FY64" s="1163"/>
      <c r="FZ64" s="1163"/>
      <c r="GA64" s="1163"/>
      <c r="GB64" s="1163"/>
      <c r="GC64" s="1164"/>
      <c r="GD64" s="1163"/>
      <c r="GE64" s="1163"/>
      <c r="GF64" s="1163"/>
      <c r="GG64" s="1163"/>
      <c r="GH64" s="1163"/>
      <c r="GI64" s="1163"/>
      <c r="GJ64" s="1163"/>
      <c r="GK64" s="1164"/>
      <c r="GL64" s="1163"/>
      <c r="GM64" s="1163"/>
      <c r="GN64" s="1163"/>
      <c r="GO64" s="1163"/>
      <c r="GP64" s="1163"/>
      <c r="GQ64" s="1163"/>
      <c r="GR64" s="1163"/>
      <c r="GS64" s="1164"/>
      <c r="GT64" s="1163"/>
      <c r="GU64" s="1163"/>
      <c r="GV64" s="1163"/>
      <c r="GW64" s="1163"/>
      <c r="GX64" s="1163"/>
      <c r="GY64" s="1163"/>
      <c r="GZ64" s="1163"/>
      <c r="HA64" s="1164"/>
      <c r="HB64" s="1163"/>
      <c r="HC64" s="1163"/>
      <c r="HD64" s="1163"/>
      <c r="HE64" s="1163"/>
      <c r="HF64" s="1163"/>
      <c r="HG64" s="1163"/>
      <c r="HH64" s="1163"/>
      <c r="HI64" s="1164"/>
      <c r="HJ64" s="1163"/>
      <c r="HK64" s="1163"/>
      <c r="HL64" s="1163"/>
      <c r="HM64" s="1163"/>
      <c r="HN64" s="1163"/>
      <c r="HO64" s="1163"/>
      <c r="HP64" s="1163"/>
      <c r="HQ64" s="1164"/>
      <c r="HR64" s="1163"/>
      <c r="HS64" s="1163"/>
      <c r="HT64" s="1163"/>
      <c r="HU64" s="1163"/>
      <c r="HV64" s="1163"/>
      <c r="HW64" s="1163"/>
      <c r="HX64" s="1163"/>
      <c r="HY64" s="1163"/>
      <c r="HZ64" s="1163"/>
      <c r="IA64" s="1163"/>
      <c r="IB64" s="1163"/>
      <c r="IC64" s="1163"/>
      <c r="ID64" s="1163"/>
      <c r="IE64" s="1163"/>
      <c r="IF64" s="1163"/>
      <c r="IG64" s="1164"/>
      <c r="IH64" s="1163"/>
      <c r="II64" s="1163"/>
      <c r="IJ64" s="1163"/>
      <c r="IK64" s="1163"/>
      <c r="IL64" s="1163"/>
      <c r="IM64" s="1163"/>
      <c r="IN64" s="1163"/>
      <c r="IO64" s="1164"/>
      <c r="IP64" s="1163"/>
      <c r="IQ64" s="1163"/>
      <c r="IR64" s="1163"/>
      <c r="IS64" s="1163"/>
      <c r="IT64" s="1163"/>
      <c r="IU64" s="1163"/>
      <c r="IV64" s="1163"/>
      <c r="IW64" s="1163"/>
      <c r="IX64" s="1049"/>
      <c r="IY64" s="1049"/>
      <c r="IZ64" s="1049"/>
      <c r="JA64" s="1049"/>
      <c r="JB64" s="1049"/>
      <c r="JC64" s="1049"/>
      <c r="JD64" s="1041"/>
      <c r="JE64" s="1037"/>
      <c r="JF64" s="1037"/>
      <c r="JG64" s="1037"/>
      <c r="JH64" s="1037"/>
      <c r="JI64" s="1035"/>
      <c r="JJ64" s="1035"/>
      <c r="JK64" s="1035"/>
      <c r="JL64" s="1035"/>
      <c r="JM64" s="1035"/>
      <c r="JN64" s="1035"/>
      <c r="JO64" s="1035"/>
      <c r="JP64" s="1035"/>
      <c r="JQ64" s="1035"/>
      <c r="JR64" s="1035"/>
      <c r="JS64" s="1035"/>
      <c r="JT64" s="1035"/>
      <c r="JU64" s="1035"/>
      <c r="JV64" s="1035"/>
      <c r="JW64" s="1035"/>
      <c r="JX64" s="1035"/>
      <c r="JY64" s="1035"/>
      <c r="LV64" s="1117"/>
    </row>
    <row r="65" s="969" customFormat="1" hidden="1" outlineLevel="1" spans="1:334">
      <c r="A65" s="1152" t="s">
        <v>82</v>
      </c>
      <c r="B65" s="1057"/>
      <c r="C65" s="1057"/>
      <c r="D65" s="1057"/>
      <c r="E65" s="1057"/>
      <c r="F65" s="1057"/>
      <c r="G65" s="1057"/>
      <c r="H65" s="1057"/>
      <c r="I65" s="1057"/>
      <c r="J65" s="1057"/>
      <c r="K65" s="1057"/>
      <c r="L65" s="1057"/>
      <c r="M65" s="1057"/>
      <c r="N65" s="1057"/>
      <c r="O65" s="1057"/>
      <c r="P65" s="1057"/>
      <c r="Q65" s="1057"/>
      <c r="R65" s="1057"/>
      <c r="S65" s="1057"/>
      <c r="T65" s="1057"/>
      <c r="U65" s="1057"/>
      <c r="V65" s="1057"/>
      <c r="W65" s="1057"/>
      <c r="X65" s="1057"/>
      <c r="Y65" s="1057"/>
      <c r="Z65" s="1057"/>
      <c r="AA65" s="1057"/>
      <c r="AB65" s="1057"/>
      <c r="AC65" s="1057"/>
      <c r="AD65" s="1057"/>
      <c r="AE65" s="1057"/>
      <c r="AF65" s="1057"/>
      <c r="AG65" s="1057"/>
      <c r="AH65" s="1057"/>
      <c r="AI65" s="1057"/>
      <c r="AJ65" s="1057"/>
      <c r="AK65" s="1057"/>
      <c r="AL65" s="1057"/>
      <c r="AM65" s="1057"/>
      <c r="AN65" s="1057"/>
      <c r="AO65" s="1057"/>
      <c r="AP65" s="1057"/>
      <c r="AQ65" s="1057"/>
      <c r="AR65" s="1057"/>
      <c r="AS65" s="1057"/>
      <c r="AT65" s="1057"/>
      <c r="AU65" s="1057"/>
      <c r="AV65" s="1057"/>
      <c r="AW65" s="1057"/>
      <c r="AX65" s="1153"/>
      <c r="AY65" s="1057"/>
      <c r="AZ65" s="1057"/>
      <c r="BA65" s="1057"/>
      <c r="BB65" s="1057"/>
      <c r="BC65" s="1057"/>
      <c r="BD65" s="1057"/>
      <c r="BE65" s="1154"/>
      <c r="BF65" s="1057"/>
      <c r="BG65" s="1057"/>
      <c r="BH65" s="1057"/>
      <c r="BI65" s="1057"/>
      <c r="BJ65" s="1057"/>
      <c r="BK65" s="1057"/>
      <c r="BL65" s="1057"/>
      <c r="BM65" s="1057"/>
      <c r="BN65" s="1153"/>
      <c r="BO65" s="1057"/>
      <c r="BP65" s="1057"/>
      <c r="BQ65" s="1057"/>
      <c r="BR65" s="1057"/>
      <c r="BS65" s="1057"/>
      <c r="BT65" s="1057"/>
      <c r="BU65" s="1154"/>
      <c r="BV65" s="1153"/>
      <c r="BW65" s="1057"/>
      <c r="BX65" s="1057"/>
      <c r="BY65" s="1057"/>
      <c r="BZ65" s="1057"/>
      <c r="CA65" s="1057"/>
      <c r="CB65" s="1057"/>
      <c r="CC65" s="1154"/>
      <c r="CD65" s="1153"/>
      <c r="CE65" s="1057"/>
      <c r="CF65" s="1057"/>
      <c r="CG65" s="1057"/>
      <c r="CH65" s="1057"/>
      <c r="CI65" s="1057"/>
      <c r="CJ65" s="1155"/>
      <c r="CK65" s="1154"/>
      <c r="CL65" s="1153"/>
      <c r="CM65" s="1057"/>
      <c r="CN65" s="1057"/>
      <c r="CO65" s="1057"/>
      <c r="CP65" s="1057"/>
      <c r="CQ65" s="1057"/>
      <c r="CR65" s="1057"/>
      <c r="CS65" s="1154"/>
      <c r="CT65" s="1025"/>
      <c r="CU65" s="1025"/>
      <c r="CV65" s="1025"/>
      <c r="CW65" s="1025"/>
      <c r="CX65" s="1025"/>
      <c r="CY65" s="1025"/>
      <c r="CZ65" s="1025"/>
      <c r="DA65" s="1025"/>
      <c r="DB65" s="1156">
        <v>0.477</v>
      </c>
      <c r="DC65" s="1156">
        <v>0.532</v>
      </c>
      <c r="DD65" s="1156">
        <f>(DB65*DB10+DC65*DC10)/DD10</f>
        <v>0.506712643678161</v>
      </c>
      <c r="DE65" s="1156">
        <v>0.533</v>
      </c>
      <c r="DF65" s="1156">
        <f>(DD65*DD10+DE65*DE10)/DF10</f>
        <v>0.516843799058085</v>
      </c>
      <c r="DG65" s="1156">
        <v>0.523</v>
      </c>
      <c r="DH65" s="1156">
        <f>(DE65*DE10+DG65*DG10)/DH10</f>
        <v>0.528141361256545</v>
      </c>
      <c r="DI65" s="1157">
        <v>0.519</v>
      </c>
      <c r="DJ65" s="1156">
        <v>0.407</v>
      </c>
      <c r="DK65" s="1156">
        <v>0.51</v>
      </c>
      <c r="DL65" s="1156">
        <f>(DJ65*DJ10+DK65*DK10)/DL10</f>
        <v>0.463498871331828</v>
      </c>
      <c r="DM65" s="1156">
        <v>0.446</v>
      </c>
      <c r="DN65" s="1156">
        <f>(DL65*DL10+DM65*DM10)/DN10</f>
        <v>0.456995744680851</v>
      </c>
      <c r="DO65" s="1156">
        <v>0.543</v>
      </c>
      <c r="DP65" s="1156">
        <f>(DM65*DM10+DO65*DO10)/DP10</f>
        <v>0.493217433888345</v>
      </c>
      <c r="DQ65" s="1157">
        <v>0.481</v>
      </c>
      <c r="DR65" s="1156">
        <v>0.495</v>
      </c>
      <c r="DS65" s="1156">
        <f>((DT65*DT828)-(DR65*DR828))/DS828</f>
        <v>0.581221153846154</v>
      </c>
      <c r="DT65" s="1156">
        <v>0.544</v>
      </c>
      <c r="DU65" s="1156">
        <f>((DV65*DV828)-(DT65*DT828))/DU828</f>
        <v>0.507721739130435</v>
      </c>
      <c r="DV65" s="1156">
        <v>0.53</v>
      </c>
      <c r="DW65" s="1156" t="e">
        <f>((DY65*DY828)-(DV65*DV828))/DW828</f>
        <v>#REF!</v>
      </c>
      <c r="DX65" s="1156" t="e">
        <f>((DY65*DY828)-(DT65*DT828))/DX828</f>
        <v>#REF!</v>
      </c>
      <c r="DY65" s="1157">
        <f>'Profit and Loss'!Q59</f>
        <v>0.548</v>
      </c>
      <c r="DZ65" s="1156">
        <v>0.565</v>
      </c>
      <c r="EA65" s="1156">
        <f>((EB65*EB828)-(DZ65*DZ828))/EA828</f>
        <v>0.606127118644068</v>
      </c>
      <c r="EB65" s="1156">
        <v>0.588</v>
      </c>
      <c r="EC65" s="1156">
        <f>((ED65*ED828)-(EB65*EB828))/EC828</f>
        <v>0.5853515625</v>
      </c>
      <c r="ED65" s="1156">
        <v>0.587</v>
      </c>
      <c r="EE65" s="1156">
        <f>((EG65*EG828)-(ED65*ED828))/EE828</f>
        <v>0.553395161290322</v>
      </c>
      <c r="EF65" s="1156">
        <f>((EG65*EG828)-(EB65*EB828))/EF828</f>
        <v>0.569626984126984</v>
      </c>
      <c r="EG65" s="1157">
        <v>0.578</v>
      </c>
      <c r="EH65" s="1156">
        <v>0.546</v>
      </c>
      <c r="EI65" s="1156">
        <f>((EJ65*EJ828)-(EH65*EH828))/EI828</f>
        <v>0.56868275862069</v>
      </c>
      <c r="EJ65" s="1156">
        <v>0.559</v>
      </c>
      <c r="EK65" s="1156">
        <f>((EL65*EL828)-(EJ65*EJ828))/EK828</f>
        <v>0.538658536585366</v>
      </c>
      <c r="EL65" s="1156">
        <v>0.551</v>
      </c>
      <c r="EM65" s="1156">
        <f>((EO65*EO828)-(EL65*EL828))/EM828</f>
        <v>0.551</v>
      </c>
      <c r="EN65" s="1156">
        <f>((EO65*EO828)-(EJ65*EJ828))/EN828</f>
        <v>0.54436393442623</v>
      </c>
      <c r="EO65" s="1157">
        <v>0.551</v>
      </c>
      <c r="EP65" s="1156">
        <v>0.528</v>
      </c>
      <c r="EQ65" s="1156">
        <f>((ER65*ER828)-(EP65*EP828))/EQ828</f>
        <v>0.603422535211268</v>
      </c>
      <c r="ER65" s="1156">
        <v>0.57</v>
      </c>
      <c r="ES65" s="1156">
        <f>((ET65*ET828)-(ER65*ER828))/ES828</f>
        <v>0.5862</v>
      </c>
      <c r="ET65" s="1156">
        <v>0.576</v>
      </c>
      <c r="EU65" s="1156">
        <f>((EW65*EW828)-(ET65*ET828))/EU828</f>
        <v>0.568375</v>
      </c>
      <c r="EV65" s="1156">
        <f>((EW65*EW828)-(ER65*ER828))/EV828</f>
        <v>0.577469387755102</v>
      </c>
      <c r="EW65" s="1157">
        <f>'Profit and Loss'!T59</f>
        <v>0.574</v>
      </c>
      <c r="EX65" s="1159">
        <v>0.545</v>
      </c>
      <c r="EY65" s="1159">
        <f>((EZ65*EZ828)-(EX65*EX828))/EY828</f>
        <v>0.541342465753425</v>
      </c>
      <c r="EZ65" s="1159">
        <v>0.543</v>
      </c>
      <c r="FA65" s="1156">
        <f>((FB65*FB828)-(EZ65*EZ828))/FA828</f>
        <v>0.516101265822785</v>
      </c>
      <c r="FB65" s="1156">
        <v>0.533</v>
      </c>
      <c r="FC65" s="1160"/>
      <c r="FD65" s="1160"/>
      <c r="FE65" s="1161"/>
      <c r="FF65" s="1160"/>
      <c r="FG65" s="1160"/>
      <c r="FH65" s="1160"/>
      <c r="FI65" s="1160"/>
      <c r="FJ65" s="1160"/>
      <c r="FK65" s="1160"/>
      <c r="FL65" s="1160"/>
      <c r="FM65" s="1161"/>
      <c r="FN65" s="1156"/>
      <c r="FO65" s="1156"/>
      <c r="FP65" s="1156"/>
      <c r="FQ65" s="1156"/>
      <c r="FR65" s="1156"/>
      <c r="FS65" s="1156"/>
      <c r="FT65" s="1156"/>
      <c r="FU65" s="1156"/>
      <c r="FV65" s="1162"/>
      <c r="FW65" s="1156"/>
      <c r="FX65" s="1156"/>
      <c r="FY65" s="1156"/>
      <c r="FZ65" s="1156"/>
      <c r="GA65" s="1156"/>
      <c r="GB65" s="1156"/>
      <c r="GC65" s="1157"/>
      <c r="GD65" s="1156"/>
      <c r="GE65" s="1156"/>
      <c r="GF65" s="1156"/>
      <c r="GG65" s="1156"/>
      <c r="GH65" s="1156"/>
      <c r="GI65" s="1156"/>
      <c r="GJ65" s="1156"/>
      <c r="GK65" s="1157"/>
      <c r="GL65" s="1156"/>
      <c r="GM65" s="1156"/>
      <c r="GN65" s="1156"/>
      <c r="GO65" s="1156"/>
      <c r="GP65" s="1156"/>
      <c r="GQ65" s="1156"/>
      <c r="GR65" s="1156"/>
      <c r="GS65" s="1157"/>
      <c r="GT65" s="1156"/>
      <c r="GU65" s="1156"/>
      <c r="GV65" s="1156"/>
      <c r="GW65" s="1156"/>
      <c r="GX65" s="1156"/>
      <c r="GY65" s="1156"/>
      <c r="GZ65" s="1156"/>
      <c r="HA65" s="1157"/>
      <c r="HB65" s="1156"/>
      <c r="HC65" s="1156"/>
      <c r="HD65" s="1156"/>
      <c r="HE65" s="1156"/>
      <c r="HF65" s="1156"/>
      <c r="HG65" s="1156"/>
      <c r="HH65" s="1156"/>
      <c r="HI65" s="1157"/>
      <c r="HJ65" s="1156"/>
      <c r="HK65" s="1156"/>
      <c r="HL65" s="1156"/>
      <c r="HM65" s="1156"/>
      <c r="HN65" s="1156"/>
      <c r="HO65" s="1156"/>
      <c r="HP65" s="1156"/>
      <c r="HQ65" s="1157"/>
      <c r="HR65" s="1156"/>
      <c r="HS65" s="1156"/>
      <c r="HT65" s="1156"/>
      <c r="HU65" s="1156"/>
      <c r="HV65" s="1156"/>
      <c r="HW65" s="1156"/>
      <c r="HX65" s="1156"/>
      <c r="HY65" s="1156"/>
      <c r="HZ65" s="1156"/>
      <c r="IA65" s="1156"/>
      <c r="IB65" s="1156"/>
      <c r="IC65" s="1156"/>
      <c r="ID65" s="1156"/>
      <c r="IE65" s="1156"/>
      <c r="IF65" s="1156"/>
      <c r="IG65" s="1157"/>
      <c r="IH65" s="1156"/>
      <c r="II65" s="1156"/>
      <c r="IJ65" s="1156"/>
      <c r="IK65" s="1156"/>
      <c r="IL65" s="1156"/>
      <c r="IM65" s="1156"/>
      <c r="IN65" s="1156"/>
      <c r="IO65" s="1157"/>
      <c r="IP65" s="1156"/>
      <c r="IQ65" s="1156"/>
      <c r="IR65" s="1156"/>
      <c r="IS65" s="1156"/>
      <c r="IT65" s="1156"/>
      <c r="IU65" s="1156"/>
      <c r="IV65" s="1156"/>
      <c r="IW65" s="1156"/>
      <c r="IX65" s="1049"/>
      <c r="IY65" s="1049"/>
      <c r="IZ65" s="1049"/>
      <c r="JA65" s="1049"/>
      <c r="JB65" s="1049"/>
      <c r="JC65" s="1049"/>
      <c r="JD65" s="1103"/>
      <c r="JE65" s="1079"/>
      <c r="JF65" s="1079"/>
      <c r="JG65" s="1079"/>
      <c r="JH65" s="1079"/>
      <c r="LV65" s="1025"/>
    </row>
    <row r="66" hidden="1" outlineLevel="1" spans="1:334">
      <c r="A66" s="1113" t="s">
        <v>81</v>
      </c>
      <c r="AX66" s="1059"/>
      <c r="BE66" s="1060"/>
      <c r="BN66" s="1059"/>
      <c r="BU66" s="1060"/>
      <c r="BV66" s="1059"/>
      <c r="CC66" s="1060"/>
      <c r="CD66" s="1059"/>
      <c r="CJ66" s="1061"/>
      <c r="CK66" s="1060"/>
      <c r="CL66" s="1059"/>
      <c r="CS66" s="1060"/>
      <c r="CT66" s="1117"/>
      <c r="CU66" s="1117"/>
      <c r="CV66" s="1117"/>
      <c r="CW66" s="1117"/>
      <c r="CX66" s="1117"/>
      <c r="CY66" s="1117"/>
      <c r="CZ66" s="1117"/>
      <c r="DA66" s="1117"/>
      <c r="DB66" s="1082"/>
      <c r="DC66" s="1082"/>
      <c r="DD66" s="1082"/>
      <c r="DE66" s="1082"/>
      <c r="DF66" s="1082"/>
      <c r="DG66" s="1082"/>
      <c r="DH66" s="1082"/>
      <c r="DI66" s="1085"/>
      <c r="DJ66" s="1163">
        <f t="shared" ref="DJ66:DQ66" si="488">(DJ65-DB65)*10000</f>
        <v>-700</v>
      </c>
      <c r="DK66" s="1163">
        <f t="shared" si="488"/>
        <v>-220</v>
      </c>
      <c r="DL66" s="1163">
        <f t="shared" si="488"/>
        <v>-432.137723463325</v>
      </c>
      <c r="DM66" s="1163">
        <f t="shared" si="488"/>
        <v>-870</v>
      </c>
      <c r="DN66" s="1163">
        <f t="shared" si="488"/>
        <v>-598.480543772338</v>
      </c>
      <c r="DO66" s="1163">
        <f t="shared" si="488"/>
        <v>200</v>
      </c>
      <c r="DP66" s="1163">
        <f t="shared" si="488"/>
        <v>-349.239273681997</v>
      </c>
      <c r="DQ66" s="1164">
        <f t="shared" si="488"/>
        <v>-380</v>
      </c>
      <c r="DR66" s="1163">
        <f t="shared" ref="DR66:EF66" si="489">(DR65-DJ65)*10000</f>
        <v>880</v>
      </c>
      <c r="DS66" s="1163">
        <f t="shared" si="489"/>
        <v>712.211538461539</v>
      </c>
      <c r="DT66" s="1163">
        <f t="shared" si="489"/>
        <v>805.011286681716</v>
      </c>
      <c r="DU66" s="1163">
        <f t="shared" si="489"/>
        <v>617.217391304347</v>
      </c>
      <c r="DV66" s="1163">
        <f t="shared" si="489"/>
        <v>730.042553191489</v>
      </c>
      <c r="DW66" s="1163" t="e">
        <f t="shared" si="489"/>
        <v>#REF!</v>
      </c>
      <c r="DX66" s="1163" t="e">
        <f t="shared" si="489"/>
        <v>#REF!</v>
      </c>
      <c r="DY66" s="1164">
        <f t="shared" si="489"/>
        <v>670.000000000001</v>
      </c>
      <c r="DZ66" s="1163">
        <f t="shared" si="489"/>
        <v>700</v>
      </c>
      <c r="EA66" s="1163">
        <f t="shared" si="489"/>
        <v>249.059647979138</v>
      </c>
      <c r="EB66" s="1163">
        <f t="shared" si="489"/>
        <v>439.999999999999</v>
      </c>
      <c r="EC66" s="1163">
        <f t="shared" si="489"/>
        <v>776.298233695653</v>
      </c>
      <c r="ED66" s="1163">
        <f t="shared" si="489"/>
        <v>569.999999999999</v>
      </c>
      <c r="EE66" s="1163" t="e">
        <f t="shared" si="489"/>
        <v>#REF!</v>
      </c>
      <c r="EF66" s="1163" t="e">
        <f t="shared" si="489"/>
        <v>#REF!</v>
      </c>
      <c r="EG66" s="1164">
        <f t="shared" ref="EG66:EL66" si="490">(EG65-DY65)*10000</f>
        <v>299.999999999999</v>
      </c>
      <c r="EH66" s="1163">
        <f t="shared" si="490"/>
        <v>-189.999999999999</v>
      </c>
      <c r="EI66" s="1163">
        <f t="shared" si="490"/>
        <v>-374.44360023378</v>
      </c>
      <c r="EJ66" s="1163">
        <f t="shared" si="490"/>
        <v>-289.999999999999</v>
      </c>
      <c r="EK66" s="1163">
        <f t="shared" si="490"/>
        <v>-466.930259146341</v>
      </c>
      <c r="EL66" s="1163">
        <f t="shared" si="490"/>
        <v>-359.999999999999</v>
      </c>
      <c r="EM66" s="1163">
        <f t="shared" ref="EM66:ET66" si="491">(EM65-EE65)*10000</f>
        <v>-23.9516129032236</v>
      </c>
      <c r="EN66" s="1163">
        <f t="shared" si="491"/>
        <v>-252.630497007545</v>
      </c>
      <c r="EO66" s="1164">
        <f t="shared" si="491"/>
        <v>-269.999999999999</v>
      </c>
      <c r="EP66" s="1163">
        <f t="shared" si="491"/>
        <v>-180</v>
      </c>
      <c r="EQ66" s="1163">
        <f t="shared" si="491"/>
        <v>347.397765905778</v>
      </c>
      <c r="ER66" s="1163">
        <f t="shared" si="491"/>
        <v>109.999999999999</v>
      </c>
      <c r="ES66" s="1163">
        <f t="shared" si="491"/>
        <v>475.414634146339</v>
      </c>
      <c r="ET66" s="1163">
        <f t="shared" si="491"/>
        <v>249.999999999999</v>
      </c>
      <c r="EU66" s="1163">
        <f t="shared" ref="EU66:FB66" si="492">(EU65-EM65)*10000</f>
        <v>173.75</v>
      </c>
      <c r="EV66" s="1163">
        <f t="shared" si="492"/>
        <v>331.054533288724</v>
      </c>
      <c r="EW66" s="1164">
        <f t="shared" si="492"/>
        <v>229.999999999999</v>
      </c>
      <c r="EX66" s="1163">
        <f t="shared" si="492"/>
        <v>170</v>
      </c>
      <c r="EY66" s="1163">
        <f t="shared" si="492"/>
        <v>-620.800694578427</v>
      </c>
      <c r="EZ66" s="1163">
        <f t="shared" si="492"/>
        <v>-269.999999999999</v>
      </c>
      <c r="FA66" s="1163">
        <f t="shared" si="492"/>
        <v>-700.987341772151</v>
      </c>
      <c r="FB66" s="1163">
        <f t="shared" si="492"/>
        <v>-429.999999999999</v>
      </c>
      <c r="FC66" s="1165"/>
      <c r="FD66" s="1165"/>
      <c r="FE66" s="1166"/>
      <c r="FF66" s="1165"/>
      <c r="FG66" s="1165"/>
      <c r="FH66" s="1165"/>
      <c r="FI66" s="1165"/>
      <c r="FJ66" s="1165"/>
      <c r="FK66" s="1165"/>
      <c r="FL66" s="1165"/>
      <c r="FM66" s="1166"/>
      <c r="FN66" s="1163"/>
      <c r="FO66" s="1163"/>
      <c r="FP66" s="1163"/>
      <c r="FQ66" s="1163"/>
      <c r="FR66" s="1163"/>
      <c r="FS66" s="1163"/>
      <c r="FT66" s="1163"/>
      <c r="FU66" s="1163"/>
      <c r="FV66" s="1167"/>
      <c r="FW66" s="1163"/>
      <c r="FX66" s="1163"/>
      <c r="FY66" s="1163"/>
      <c r="FZ66" s="1163"/>
      <c r="GA66" s="1163"/>
      <c r="GB66" s="1163"/>
      <c r="GC66" s="1164"/>
      <c r="GD66" s="1163"/>
      <c r="GE66" s="1163"/>
      <c r="GF66" s="1163"/>
      <c r="GG66" s="1163"/>
      <c r="GH66" s="1163"/>
      <c r="GI66" s="1163"/>
      <c r="GJ66" s="1163"/>
      <c r="GK66" s="1164"/>
      <c r="GL66" s="1163"/>
      <c r="GM66" s="1163"/>
      <c r="GN66" s="1163"/>
      <c r="GO66" s="1163"/>
      <c r="GP66" s="1163"/>
      <c r="GQ66" s="1163"/>
      <c r="GR66" s="1163"/>
      <c r="GS66" s="1164"/>
      <c r="GT66" s="1163"/>
      <c r="GU66" s="1163"/>
      <c r="GV66" s="1163"/>
      <c r="GW66" s="1163"/>
      <c r="GX66" s="1163"/>
      <c r="GY66" s="1163"/>
      <c r="GZ66" s="1163"/>
      <c r="HA66" s="1164"/>
      <c r="HB66" s="1163"/>
      <c r="HC66" s="1163"/>
      <c r="HD66" s="1163"/>
      <c r="HE66" s="1163"/>
      <c r="HF66" s="1163"/>
      <c r="HG66" s="1163"/>
      <c r="HH66" s="1163"/>
      <c r="HI66" s="1164"/>
      <c r="HJ66" s="1163"/>
      <c r="HK66" s="1163"/>
      <c r="HL66" s="1163"/>
      <c r="HM66" s="1163"/>
      <c r="HN66" s="1163"/>
      <c r="HO66" s="1163"/>
      <c r="HP66" s="1163"/>
      <c r="HQ66" s="1164"/>
      <c r="HR66" s="1163"/>
      <c r="HS66" s="1163"/>
      <c r="HT66" s="1163"/>
      <c r="HU66" s="1163"/>
      <c r="HV66" s="1163"/>
      <c r="HW66" s="1163"/>
      <c r="HX66" s="1163"/>
      <c r="HY66" s="1163"/>
      <c r="HZ66" s="1163"/>
      <c r="IA66" s="1163"/>
      <c r="IB66" s="1163"/>
      <c r="IC66" s="1163"/>
      <c r="ID66" s="1163"/>
      <c r="IE66" s="1163"/>
      <c r="IF66" s="1163"/>
      <c r="IG66" s="1164"/>
      <c r="IH66" s="1163"/>
      <c r="II66" s="1163"/>
      <c r="IJ66" s="1163"/>
      <c r="IK66" s="1163"/>
      <c r="IL66" s="1163"/>
      <c r="IM66" s="1163"/>
      <c r="IN66" s="1163"/>
      <c r="IO66" s="1164"/>
      <c r="IP66" s="1163"/>
      <c r="IQ66" s="1163"/>
      <c r="IR66" s="1163"/>
      <c r="IS66" s="1163"/>
      <c r="IT66" s="1163"/>
      <c r="IU66" s="1163"/>
      <c r="IV66" s="1163"/>
      <c r="IW66" s="1163"/>
      <c r="IX66" s="1049"/>
      <c r="IY66" s="1049"/>
      <c r="IZ66" s="1049"/>
      <c r="JA66" s="1049"/>
      <c r="JB66" s="1049"/>
      <c r="JC66" s="1049"/>
      <c r="JD66" s="1041"/>
      <c r="JE66" s="1037"/>
      <c r="JF66" s="1037"/>
      <c r="JG66" s="1037"/>
      <c r="JH66" s="1037"/>
      <c r="JI66" s="1035"/>
      <c r="JJ66" s="1035"/>
      <c r="JK66" s="1035"/>
      <c r="JL66" s="1035"/>
      <c r="JM66" s="1035"/>
      <c r="JN66" s="1035"/>
      <c r="JO66" s="1035"/>
      <c r="JP66" s="1035"/>
      <c r="JQ66" s="1035"/>
      <c r="JR66" s="1035"/>
      <c r="JS66" s="1035"/>
      <c r="JT66" s="1035"/>
      <c r="JU66" s="1035"/>
      <c r="JV66" s="1035"/>
      <c r="JW66" s="1035"/>
      <c r="JX66" s="1035"/>
      <c r="JY66" s="1035"/>
      <c r="LV66" s="1117"/>
    </row>
    <row r="67" hidden="1" outlineLevel="1" spans="1:334">
      <c r="A67" s="1025" t="s">
        <v>519</v>
      </c>
      <c r="AX67" s="1059"/>
      <c r="BE67" s="1060"/>
      <c r="BN67" s="1059"/>
      <c r="BU67" s="1060"/>
      <c r="BV67" s="1059"/>
      <c r="CC67" s="1060"/>
      <c r="CD67" s="1059"/>
      <c r="CJ67" s="1061"/>
      <c r="CK67" s="1060"/>
      <c r="CL67" s="1059"/>
      <c r="CS67" s="1060"/>
      <c r="CT67" s="1117"/>
      <c r="CU67" s="1117"/>
      <c r="CV67" s="1117"/>
      <c r="CW67" s="1117"/>
      <c r="CX67" s="1117"/>
      <c r="CY67" s="1117"/>
      <c r="CZ67" s="1117"/>
      <c r="DA67" s="1117"/>
      <c r="DB67" s="1082"/>
      <c r="DC67" s="1082"/>
      <c r="DD67" s="1082"/>
      <c r="DE67" s="1082"/>
      <c r="DF67" s="1082"/>
      <c r="DG67" s="1082"/>
      <c r="DH67" s="1082"/>
      <c r="DI67" s="1085"/>
      <c r="DJ67" s="1163"/>
      <c r="DK67" s="1163"/>
      <c r="DL67" s="1163"/>
      <c r="DM67" s="1163"/>
      <c r="DN67" s="1163"/>
      <c r="DO67" s="1163"/>
      <c r="DP67" s="1163"/>
      <c r="DQ67" s="1164"/>
      <c r="DR67" s="1163"/>
      <c r="DS67" s="1163"/>
      <c r="DT67" s="1163"/>
      <c r="DU67" s="1163"/>
      <c r="DV67" s="1163"/>
      <c r="DW67" s="1163"/>
      <c r="DX67" s="1163"/>
      <c r="DY67" s="1164"/>
      <c r="DZ67" s="1163"/>
      <c r="EA67" s="1163"/>
      <c r="EB67" s="1163"/>
      <c r="EC67" s="1163"/>
      <c r="ED67" s="1163"/>
      <c r="EE67" s="1163"/>
      <c r="EF67" s="1163"/>
      <c r="EG67" s="1164"/>
      <c r="EH67" s="1163"/>
      <c r="EI67" s="1163"/>
      <c r="EJ67" s="1163"/>
      <c r="EK67" s="1163"/>
      <c r="EL67" s="1163"/>
      <c r="EM67" s="1163"/>
      <c r="EN67" s="1163"/>
      <c r="EO67" s="1164"/>
      <c r="EP67" s="1163"/>
      <c r="EQ67" s="1163"/>
      <c r="ER67" s="1163"/>
      <c r="ES67" s="1163"/>
      <c r="ET67" s="1163"/>
      <c r="EU67" s="1163"/>
      <c r="EV67" s="1163"/>
      <c r="EW67" s="1164"/>
      <c r="EX67" s="1163"/>
      <c r="EY67" s="1163"/>
      <c r="EZ67" s="1163"/>
      <c r="FA67" s="1163"/>
      <c r="FB67" s="1163"/>
      <c r="FC67" s="1165"/>
      <c r="FD67" s="1165"/>
      <c r="FE67" s="1166"/>
      <c r="FF67" s="1165"/>
      <c r="FG67" s="1165"/>
      <c r="FH67" s="1165"/>
      <c r="FI67" s="1165"/>
      <c r="FJ67" s="1165"/>
      <c r="FK67" s="1165"/>
      <c r="FL67" s="1165"/>
      <c r="FM67" s="1166"/>
      <c r="FN67" s="1163"/>
      <c r="FO67" s="1163"/>
      <c r="FP67" s="1163"/>
      <c r="FQ67" s="1163"/>
      <c r="FR67" s="1163"/>
      <c r="FS67" s="1163"/>
      <c r="FT67" s="1163"/>
      <c r="FU67" s="1163"/>
      <c r="FV67" s="1167"/>
      <c r="FW67" s="1163"/>
      <c r="FX67" s="1163"/>
      <c r="FY67" s="1163"/>
      <c r="FZ67" s="1163"/>
      <c r="GA67" s="1163"/>
      <c r="GB67" s="1163"/>
      <c r="GC67" s="1164"/>
      <c r="GD67" s="1163"/>
      <c r="GE67" s="1163"/>
      <c r="GF67" s="1163"/>
      <c r="GG67" s="1163"/>
      <c r="GH67" s="1163"/>
      <c r="GI67" s="1163"/>
      <c r="GJ67" s="1163"/>
      <c r="GK67" s="1164"/>
      <c r="GL67" s="1163"/>
      <c r="GM67" s="1163"/>
      <c r="GN67" s="1163"/>
      <c r="GO67" s="1163"/>
      <c r="GP67" s="1163"/>
      <c r="GQ67" s="1163"/>
      <c r="GR67" s="1163"/>
      <c r="GS67" s="1164"/>
      <c r="GT67" s="1163"/>
      <c r="GU67" s="1163"/>
      <c r="GV67" s="1163"/>
      <c r="GW67" s="1163"/>
      <c r="GX67" s="1163"/>
      <c r="GY67" s="1163"/>
      <c r="GZ67" s="1163"/>
      <c r="HA67" s="1164"/>
      <c r="HB67" s="1163"/>
      <c r="HC67" s="1163"/>
      <c r="HD67" s="1163"/>
      <c r="HE67" s="1163"/>
      <c r="HF67" s="1163"/>
      <c r="HG67" s="1163"/>
      <c r="HH67" s="1163"/>
      <c r="HI67" s="1164"/>
      <c r="HJ67" s="1163"/>
      <c r="HK67" s="1163"/>
      <c r="HL67" s="1163"/>
      <c r="HM67" s="1163"/>
      <c r="HN67" s="1163"/>
      <c r="HO67" s="1163"/>
      <c r="HP67" s="1163"/>
      <c r="HQ67" s="1164"/>
      <c r="HR67" s="1163"/>
      <c r="HS67" s="1163"/>
      <c r="HT67" s="1163"/>
      <c r="HU67" s="1163"/>
      <c r="HV67" s="1163"/>
      <c r="HW67" s="1163"/>
      <c r="HX67" s="1163"/>
      <c r="HY67" s="1163"/>
      <c r="HZ67" s="1163"/>
      <c r="IA67" s="1163"/>
      <c r="IB67" s="1163"/>
      <c r="IC67" s="1163"/>
      <c r="ID67" s="1163"/>
      <c r="IE67" s="1163"/>
      <c r="IF67" s="1163"/>
      <c r="IG67" s="1164"/>
      <c r="IH67" s="1163"/>
      <c r="II67" s="1163"/>
      <c r="IJ67" s="1163"/>
      <c r="IK67" s="1163"/>
      <c r="IL67" s="1163"/>
      <c r="IM67" s="1163"/>
      <c r="IN67" s="1163"/>
      <c r="IO67" s="1164"/>
      <c r="IP67" s="1163"/>
      <c r="IQ67" s="1163"/>
      <c r="IR67" s="1163"/>
      <c r="IS67" s="1163"/>
      <c r="IT67" s="1163"/>
      <c r="IU67" s="1163"/>
      <c r="IV67" s="1163"/>
      <c r="IW67" s="1163"/>
      <c r="IX67" s="1049"/>
      <c r="IY67" s="1049"/>
      <c r="IZ67" s="1049"/>
      <c r="JA67" s="1049"/>
      <c r="JB67" s="1049"/>
      <c r="JC67" s="1049"/>
      <c r="JD67" s="1041"/>
      <c r="JE67" s="1037"/>
      <c r="JF67" s="1037"/>
      <c r="JG67" s="1037"/>
      <c r="JH67" s="1037"/>
      <c r="JI67" s="1035"/>
      <c r="JJ67" s="1035"/>
      <c r="JK67" s="1035"/>
      <c r="JL67" s="1035"/>
      <c r="JM67" s="1035"/>
      <c r="JN67" s="1035"/>
      <c r="JO67" s="1035"/>
      <c r="JP67" s="1035"/>
      <c r="JQ67" s="1035"/>
      <c r="JR67" s="1035"/>
      <c r="JS67" s="1035"/>
      <c r="JT67" s="1035"/>
      <c r="JU67" s="1035"/>
      <c r="JV67" s="1035"/>
      <c r="JW67" s="1035"/>
      <c r="JX67" s="1035"/>
      <c r="JY67" s="1035"/>
      <c r="LV67" s="1117"/>
    </row>
    <row r="68" hidden="1" outlineLevel="1" spans="1:334">
      <c r="A68" s="1152" t="s">
        <v>80</v>
      </c>
      <c r="AX68" s="1059"/>
      <c r="BE68" s="1060"/>
      <c r="BN68" s="1059"/>
      <c r="BU68" s="1060"/>
      <c r="BV68" s="1059"/>
      <c r="CC68" s="1060"/>
      <c r="CD68" s="1059"/>
      <c r="CJ68" s="1061"/>
      <c r="CK68" s="1060"/>
      <c r="CL68" s="1059"/>
      <c r="CS68" s="1060"/>
      <c r="CT68" s="1117"/>
      <c r="CU68" s="1117"/>
      <c r="CV68" s="1117"/>
      <c r="CW68" s="1117"/>
      <c r="CX68" s="1117"/>
      <c r="CY68" s="1117"/>
      <c r="CZ68" s="1117"/>
      <c r="DA68" s="1117"/>
      <c r="DB68" s="1082"/>
      <c r="DC68" s="1082"/>
      <c r="DD68" s="1082"/>
      <c r="DE68" s="1082"/>
      <c r="DF68" s="1082"/>
      <c r="DG68" s="1082"/>
      <c r="DH68" s="1082"/>
      <c r="DI68" s="1085"/>
      <c r="DJ68" s="1163"/>
      <c r="DK68" s="1163"/>
      <c r="DL68" s="1163"/>
      <c r="DM68" s="1163"/>
      <c r="DN68" s="1163"/>
      <c r="DO68" s="1163"/>
      <c r="DP68" s="1163"/>
      <c r="DQ68" s="1164"/>
      <c r="DR68" s="1156"/>
      <c r="DS68" s="1158">
        <v>0.461</v>
      </c>
      <c r="DT68" s="1156">
        <v>0.473</v>
      </c>
      <c r="DU68" s="1158">
        <v>0.446</v>
      </c>
      <c r="DV68" s="1158">
        <v>0.462</v>
      </c>
      <c r="DW68" s="1158"/>
      <c r="DX68" s="1156"/>
      <c r="DY68" s="1157"/>
      <c r="DZ68" s="1156"/>
      <c r="EA68" s="1158">
        <v>0.472</v>
      </c>
      <c r="EB68" s="1156">
        <v>0.475</v>
      </c>
      <c r="EC68" s="1158">
        <v>0.46</v>
      </c>
      <c r="ED68" s="1158">
        <v>0.469</v>
      </c>
      <c r="EE68" s="1158"/>
      <c r="EF68" s="1156"/>
      <c r="EG68" s="1157"/>
      <c r="EH68" s="1156">
        <v>0.463</v>
      </c>
      <c r="EI68" s="1158">
        <v>0.459</v>
      </c>
      <c r="EJ68" s="1156">
        <v>0.461</v>
      </c>
      <c r="EK68" s="1158">
        <v>0.467</v>
      </c>
      <c r="EL68" s="1158">
        <v>0.463</v>
      </c>
      <c r="EM68" s="1158"/>
      <c r="EN68" s="1156"/>
      <c r="EO68" s="1157"/>
      <c r="EP68" s="1156">
        <v>0.481</v>
      </c>
      <c r="EQ68" s="1156">
        <v>0.485</v>
      </c>
      <c r="ER68" s="1156">
        <v>0.483</v>
      </c>
      <c r="ES68" s="1163"/>
      <c r="ET68" s="1163"/>
      <c r="EU68" s="1163"/>
      <c r="EV68" s="1163"/>
      <c r="EW68" s="1164"/>
      <c r="EX68" s="1163"/>
      <c r="EY68" s="1163"/>
      <c r="EZ68" s="1163"/>
      <c r="FA68" s="1163"/>
      <c r="FB68" s="1163"/>
      <c r="FC68" s="1165"/>
      <c r="FD68" s="1165"/>
      <c r="FE68" s="1166"/>
      <c r="FF68" s="1165"/>
      <c r="FG68" s="1165"/>
      <c r="FH68" s="1165"/>
      <c r="FI68" s="1165"/>
      <c r="FJ68" s="1165"/>
      <c r="FK68" s="1165"/>
      <c r="FL68" s="1165"/>
      <c r="FM68" s="1166"/>
      <c r="FN68" s="1163"/>
      <c r="FO68" s="1163"/>
      <c r="FP68" s="1163"/>
      <c r="FQ68" s="1163"/>
      <c r="FR68" s="1163"/>
      <c r="FS68" s="1163"/>
      <c r="FT68" s="1163"/>
      <c r="FU68" s="1163"/>
      <c r="FV68" s="1167"/>
      <c r="FW68" s="1163"/>
      <c r="FX68" s="1163"/>
      <c r="FY68" s="1163"/>
      <c r="FZ68" s="1163"/>
      <c r="GA68" s="1163"/>
      <c r="GB68" s="1163"/>
      <c r="GC68" s="1164"/>
      <c r="GD68" s="1163"/>
      <c r="GE68" s="1163"/>
      <c r="GF68" s="1163"/>
      <c r="GG68" s="1163"/>
      <c r="GH68" s="1163"/>
      <c r="GI68" s="1163"/>
      <c r="GJ68" s="1163"/>
      <c r="GK68" s="1164"/>
      <c r="GL68" s="1163"/>
      <c r="GM68" s="1163"/>
      <c r="GN68" s="1163"/>
      <c r="GO68" s="1163"/>
      <c r="GP68" s="1163"/>
      <c r="GQ68" s="1163"/>
      <c r="GR68" s="1163"/>
      <c r="GS68" s="1164"/>
      <c r="GT68" s="1163"/>
      <c r="GU68" s="1163"/>
      <c r="GV68" s="1163"/>
      <c r="GW68" s="1163"/>
      <c r="GX68" s="1163"/>
      <c r="GY68" s="1163"/>
      <c r="GZ68" s="1163"/>
      <c r="HA68" s="1164"/>
      <c r="HB68" s="1163"/>
      <c r="HC68" s="1163"/>
      <c r="HD68" s="1163"/>
      <c r="HE68" s="1163"/>
      <c r="HF68" s="1163"/>
      <c r="HG68" s="1163"/>
      <c r="HH68" s="1163"/>
      <c r="HI68" s="1164"/>
      <c r="HJ68" s="1163"/>
      <c r="HK68" s="1163"/>
      <c r="HL68" s="1163"/>
      <c r="HM68" s="1163"/>
      <c r="HN68" s="1163"/>
      <c r="HO68" s="1163"/>
      <c r="HP68" s="1163"/>
      <c r="HQ68" s="1164"/>
      <c r="HR68" s="1163"/>
      <c r="HS68" s="1163"/>
      <c r="HT68" s="1163"/>
      <c r="HU68" s="1163"/>
      <c r="HV68" s="1163"/>
      <c r="HW68" s="1163"/>
      <c r="HX68" s="1163"/>
      <c r="HY68" s="1163"/>
      <c r="HZ68" s="1163"/>
      <c r="IA68" s="1163"/>
      <c r="IB68" s="1163"/>
      <c r="IC68" s="1163"/>
      <c r="ID68" s="1163"/>
      <c r="IE68" s="1163"/>
      <c r="IF68" s="1163"/>
      <c r="IG68" s="1164"/>
      <c r="IH68" s="1163"/>
      <c r="II68" s="1163"/>
      <c r="IJ68" s="1163"/>
      <c r="IK68" s="1163"/>
      <c r="IL68" s="1163"/>
      <c r="IM68" s="1163"/>
      <c r="IN68" s="1163"/>
      <c r="IO68" s="1164"/>
      <c r="IP68" s="1163"/>
      <c r="IQ68" s="1163"/>
      <c r="IR68" s="1163"/>
      <c r="IS68" s="1163"/>
      <c r="IT68" s="1163"/>
      <c r="IU68" s="1163"/>
      <c r="IV68" s="1163"/>
      <c r="IW68" s="1163"/>
      <c r="IX68" s="1049"/>
      <c r="IY68" s="1049"/>
      <c r="IZ68" s="1049"/>
      <c r="JA68" s="1049"/>
      <c r="JB68" s="1049"/>
      <c r="JC68" s="1049"/>
      <c r="JD68" s="1041"/>
      <c r="JE68" s="1037"/>
      <c r="JF68" s="1037"/>
      <c r="JG68" s="1037"/>
      <c r="JH68" s="1037"/>
      <c r="JI68" s="1035"/>
      <c r="JJ68" s="1035"/>
      <c r="JK68" s="1035"/>
      <c r="JL68" s="1035"/>
      <c r="JM68" s="1035"/>
      <c r="JN68" s="1035"/>
      <c r="JO68" s="1035"/>
      <c r="JP68" s="1035"/>
      <c r="JQ68" s="1035"/>
      <c r="JR68" s="1035"/>
      <c r="JS68" s="1035"/>
      <c r="JT68" s="1035"/>
      <c r="JU68" s="1035"/>
      <c r="JV68" s="1035"/>
      <c r="JW68" s="1035"/>
      <c r="JX68" s="1035"/>
      <c r="JY68" s="1035"/>
      <c r="LV68" s="1117"/>
    </row>
    <row r="69" hidden="1" outlineLevel="1" spans="1:334">
      <c r="A69" s="1113" t="s">
        <v>81</v>
      </c>
      <c r="AX69" s="1059"/>
      <c r="BE69" s="1060"/>
      <c r="BN69" s="1059"/>
      <c r="BU69" s="1060"/>
      <c r="BV69" s="1059"/>
      <c r="CC69" s="1060"/>
      <c r="CD69" s="1059"/>
      <c r="CJ69" s="1061"/>
      <c r="CK69" s="1060"/>
      <c r="CL69" s="1059"/>
      <c r="CS69" s="1060"/>
      <c r="CT69" s="1117"/>
      <c r="CU69" s="1117"/>
      <c r="CV69" s="1117"/>
      <c r="CW69" s="1117"/>
      <c r="CX69" s="1117"/>
      <c r="CY69" s="1117"/>
      <c r="CZ69" s="1117"/>
      <c r="DA69" s="1117"/>
      <c r="DB69" s="1082"/>
      <c r="DC69" s="1082"/>
      <c r="DD69" s="1082"/>
      <c r="DE69" s="1082"/>
      <c r="DF69" s="1082"/>
      <c r="DG69" s="1082"/>
      <c r="DH69" s="1082"/>
      <c r="DI69" s="1085"/>
      <c r="DJ69" s="1163"/>
      <c r="DK69" s="1163"/>
      <c r="DL69" s="1163"/>
      <c r="DM69" s="1163"/>
      <c r="DN69" s="1163"/>
      <c r="DO69" s="1163"/>
      <c r="DP69" s="1163"/>
      <c r="DQ69" s="1164"/>
      <c r="DR69" s="1163"/>
      <c r="DS69" s="1163"/>
      <c r="DT69" s="1163"/>
      <c r="DU69" s="1163"/>
      <c r="DV69" s="1163"/>
      <c r="DW69" s="1163"/>
      <c r="DX69" s="1163"/>
      <c r="DY69" s="1164"/>
      <c r="DZ69" s="1163"/>
      <c r="EA69" s="1163">
        <f>(EA68-DS68)*10000</f>
        <v>110</v>
      </c>
      <c r="EB69" s="1163">
        <f>(EB68-DT68)*10000</f>
        <v>20</v>
      </c>
      <c r="EC69" s="1163">
        <f>(EC68-DU68)*10000</f>
        <v>140</v>
      </c>
      <c r="ED69" s="1163">
        <f>(ED68-DV68)*10000</f>
        <v>69.9999999999995</v>
      </c>
      <c r="EE69" s="1163"/>
      <c r="EF69" s="1163"/>
      <c r="EG69" s="1164"/>
      <c r="EH69" s="1163">
        <f>(EH68-DZ68)*10000</f>
        <v>4630</v>
      </c>
      <c r="EI69" s="1163">
        <f>(EI68-EA68)*10000</f>
        <v>-130</v>
      </c>
      <c r="EJ69" s="1163">
        <f>(EJ68-EB68)*10000</f>
        <v>-140</v>
      </c>
      <c r="EK69" s="1163">
        <f>(EK68-EC68)*10000</f>
        <v>70.0000000000001</v>
      </c>
      <c r="EL69" s="1163">
        <f>(EL68-ED68)*10000</f>
        <v>-59.9999999999995</v>
      </c>
      <c r="EM69" s="1163"/>
      <c r="EN69" s="1163"/>
      <c r="EO69" s="1164"/>
      <c r="EP69" s="1163">
        <f>(EP68-EH68)*10000</f>
        <v>180</v>
      </c>
      <c r="EQ69" s="1163">
        <f>(EQ68-EI68)*10000</f>
        <v>260</v>
      </c>
      <c r="ER69" s="1163">
        <f>(ER68-EJ68)*10000</f>
        <v>220</v>
      </c>
      <c r="ES69" s="1163"/>
      <c r="ET69" s="1163"/>
      <c r="EU69" s="1163"/>
      <c r="EV69" s="1163"/>
      <c r="EW69" s="1164"/>
      <c r="EX69" s="1163"/>
      <c r="EY69" s="1163"/>
      <c r="EZ69" s="1163"/>
      <c r="FA69" s="1163"/>
      <c r="FB69" s="1163"/>
      <c r="FC69" s="1165"/>
      <c r="FD69" s="1165"/>
      <c r="FE69" s="1166"/>
      <c r="FF69" s="1165"/>
      <c r="FG69" s="1165"/>
      <c r="FH69" s="1165"/>
      <c r="FI69" s="1165"/>
      <c r="FJ69" s="1165"/>
      <c r="FK69" s="1165"/>
      <c r="FL69" s="1165"/>
      <c r="FM69" s="1166"/>
      <c r="FN69" s="1163"/>
      <c r="FO69" s="1163"/>
      <c r="FP69" s="1163"/>
      <c r="FQ69" s="1163"/>
      <c r="FR69" s="1163"/>
      <c r="FS69" s="1163"/>
      <c r="FT69" s="1163"/>
      <c r="FU69" s="1163"/>
      <c r="FV69" s="1167"/>
      <c r="FW69" s="1163"/>
      <c r="FX69" s="1163"/>
      <c r="FY69" s="1163"/>
      <c r="FZ69" s="1163"/>
      <c r="GA69" s="1163"/>
      <c r="GB69" s="1163"/>
      <c r="GC69" s="1164"/>
      <c r="GD69" s="1163"/>
      <c r="GE69" s="1163"/>
      <c r="GF69" s="1163"/>
      <c r="GG69" s="1163"/>
      <c r="GH69" s="1163"/>
      <c r="GI69" s="1163"/>
      <c r="GJ69" s="1163"/>
      <c r="GK69" s="1164"/>
      <c r="GL69" s="1163"/>
      <c r="GM69" s="1163"/>
      <c r="GN69" s="1163"/>
      <c r="GO69" s="1163"/>
      <c r="GP69" s="1163"/>
      <c r="GQ69" s="1163"/>
      <c r="GR69" s="1163"/>
      <c r="GS69" s="1164"/>
      <c r="GT69" s="1163"/>
      <c r="GU69" s="1163"/>
      <c r="GV69" s="1163"/>
      <c r="GW69" s="1163"/>
      <c r="GX69" s="1163"/>
      <c r="GY69" s="1163"/>
      <c r="GZ69" s="1163"/>
      <c r="HA69" s="1164"/>
      <c r="HB69" s="1163"/>
      <c r="HC69" s="1163"/>
      <c r="HD69" s="1163"/>
      <c r="HE69" s="1163"/>
      <c r="HF69" s="1163"/>
      <c r="HG69" s="1163"/>
      <c r="HH69" s="1163"/>
      <c r="HI69" s="1164"/>
      <c r="HJ69" s="1163"/>
      <c r="HK69" s="1163"/>
      <c r="HL69" s="1163"/>
      <c r="HM69" s="1163"/>
      <c r="HN69" s="1163"/>
      <c r="HO69" s="1163"/>
      <c r="HP69" s="1163"/>
      <c r="HQ69" s="1164"/>
      <c r="HR69" s="1163"/>
      <c r="HS69" s="1163"/>
      <c r="HT69" s="1163"/>
      <c r="HU69" s="1163"/>
      <c r="HV69" s="1163"/>
      <c r="HW69" s="1163"/>
      <c r="HX69" s="1163"/>
      <c r="HY69" s="1163"/>
      <c r="HZ69" s="1163"/>
      <c r="IA69" s="1163"/>
      <c r="IB69" s="1163"/>
      <c r="IC69" s="1163"/>
      <c r="ID69" s="1163"/>
      <c r="IE69" s="1163"/>
      <c r="IF69" s="1163"/>
      <c r="IG69" s="1164"/>
      <c r="IH69" s="1163"/>
      <c r="II69" s="1163"/>
      <c r="IJ69" s="1163"/>
      <c r="IK69" s="1163"/>
      <c r="IL69" s="1163"/>
      <c r="IM69" s="1163"/>
      <c r="IN69" s="1163"/>
      <c r="IO69" s="1164"/>
      <c r="IP69" s="1163"/>
      <c r="IQ69" s="1163"/>
      <c r="IR69" s="1163"/>
      <c r="IS69" s="1163"/>
      <c r="IT69" s="1163"/>
      <c r="IU69" s="1163"/>
      <c r="IV69" s="1163"/>
      <c r="IW69" s="1163"/>
      <c r="IX69" s="1049"/>
      <c r="IY69" s="1049"/>
      <c r="IZ69" s="1049"/>
      <c r="JA69" s="1049"/>
      <c r="JB69" s="1049"/>
      <c r="JC69" s="1049"/>
      <c r="JD69" s="1041"/>
      <c r="JE69" s="1037"/>
      <c r="JF69" s="1037"/>
      <c r="JG69" s="1037"/>
      <c r="JH69" s="1037"/>
      <c r="JI69" s="1035"/>
      <c r="JJ69" s="1035"/>
      <c r="JK69" s="1035"/>
      <c r="JL69" s="1035"/>
      <c r="JM69" s="1035"/>
      <c r="JN69" s="1035"/>
      <c r="JO69" s="1035"/>
      <c r="JP69" s="1035"/>
      <c r="JQ69" s="1035"/>
      <c r="JR69" s="1035"/>
      <c r="JS69" s="1035"/>
      <c r="JT69" s="1035"/>
      <c r="JU69" s="1035"/>
      <c r="JV69" s="1035"/>
      <c r="JW69" s="1035"/>
      <c r="JX69" s="1035"/>
      <c r="JY69" s="1035"/>
      <c r="LV69" s="1117"/>
    </row>
    <row r="70" hidden="1" outlineLevel="1" spans="1:334">
      <c r="A70" s="1152" t="s">
        <v>82</v>
      </c>
      <c r="AX70" s="1059"/>
      <c r="BE70" s="1060"/>
      <c r="BN70" s="1059"/>
      <c r="BU70" s="1060"/>
      <c r="BV70" s="1059"/>
      <c r="CC70" s="1060"/>
      <c r="CD70" s="1059"/>
      <c r="CJ70" s="1061"/>
      <c r="CK70" s="1060"/>
      <c r="CL70" s="1059"/>
      <c r="CS70" s="1060"/>
      <c r="CT70" s="1117"/>
      <c r="CU70" s="1117"/>
      <c r="CV70" s="1117"/>
      <c r="CW70" s="1117"/>
      <c r="CX70" s="1117"/>
      <c r="CY70" s="1117"/>
      <c r="CZ70" s="1117"/>
      <c r="DA70" s="1117"/>
      <c r="DB70" s="1082"/>
      <c r="DC70" s="1082"/>
      <c r="DD70" s="1082"/>
      <c r="DE70" s="1082"/>
      <c r="DF70" s="1082"/>
      <c r="DG70" s="1082"/>
      <c r="DH70" s="1082"/>
      <c r="DI70" s="1085"/>
      <c r="DJ70" s="1163"/>
      <c r="DK70" s="1163"/>
      <c r="DL70" s="1163"/>
      <c r="DM70" s="1163"/>
      <c r="DN70" s="1163"/>
      <c r="DO70" s="1163"/>
      <c r="DP70" s="1163"/>
      <c r="DQ70" s="1164"/>
      <c r="DR70" s="1156"/>
      <c r="DS70" s="1156">
        <v>0.342</v>
      </c>
      <c r="DT70" s="1156">
        <v>0.351</v>
      </c>
      <c r="DU70" s="1156">
        <v>0.368</v>
      </c>
      <c r="DV70" s="1156">
        <v>0.358</v>
      </c>
      <c r="DW70" s="1156"/>
      <c r="DX70" s="1156"/>
      <c r="DY70" s="1157"/>
      <c r="DZ70" s="1156"/>
      <c r="EA70" s="1156">
        <v>0.362</v>
      </c>
      <c r="EB70" s="1156">
        <v>0.367</v>
      </c>
      <c r="EC70" s="1156">
        <v>0.375</v>
      </c>
      <c r="ED70" s="1156">
        <v>0.37</v>
      </c>
      <c r="EE70" s="1156"/>
      <c r="EF70" s="1156"/>
      <c r="EG70" s="1157"/>
      <c r="EH70" s="1156">
        <v>0.376</v>
      </c>
      <c r="EI70" s="1156">
        <v>0.321</v>
      </c>
      <c r="EJ70" s="1156">
        <v>0.354</v>
      </c>
      <c r="EK70" s="1156">
        <v>0.345</v>
      </c>
      <c r="EL70" s="1156">
        <v>0.351</v>
      </c>
      <c r="EM70" s="1156"/>
      <c r="EN70" s="1156"/>
      <c r="EO70" s="1157"/>
      <c r="EP70" s="1156">
        <v>0.391</v>
      </c>
      <c r="EQ70" s="1156">
        <v>0.397</v>
      </c>
      <c r="ER70" s="1156">
        <v>0.394</v>
      </c>
      <c r="ES70" s="1163"/>
      <c r="ET70" s="1163"/>
      <c r="EU70" s="1163"/>
      <c r="EV70" s="1163"/>
      <c r="EW70" s="1164"/>
      <c r="EX70" s="1163"/>
      <c r="EY70" s="1163"/>
      <c r="EZ70" s="1163"/>
      <c r="FA70" s="1163"/>
      <c r="FB70" s="1163"/>
      <c r="FC70" s="1165"/>
      <c r="FD70" s="1165"/>
      <c r="FE70" s="1166"/>
      <c r="FF70" s="1165"/>
      <c r="FG70" s="1165"/>
      <c r="FH70" s="1165"/>
      <c r="FI70" s="1165"/>
      <c r="FJ70" s="1165"/>
      <c r="FK70" s="1165"/>
      <c r="FL70" s="1165"/>
      <c r="FM70" s="1166"/>
      <c r="FN70" s="1163"/>
      <c r="FO70" s="1163"/>
      <c r="FP70" s="1163"/>
      <c r="FQ70" s="1163"/>
      <c r="FR70" s="1163"/>
      <c r="FS70" s="1163"/>
      <c r="FT70" s="1163"/>
      <c r="FU70" s="1163"/>
      <c r="FV70" s="1167"/>
      <c r="FW70" s="1163"/>
      <c r="FX70" s="1163"/>
      <c r="FY70" s="1163"/>
      <c r="FZ70" s="1163"/>
      <c r="GA70" s="1163"/>
      <c r="GB70" s="1163"/>
      <c r="GC70" s="1164"/>
      <c r="GD70" s="1163"/>
      <c r="GE70" s="1163"/>
      <c r="GF70" s="1163"/>
      <c r="GG70" s="1163"/>
      <c r="GH70" s="1163"/>
      <c r="GI70" s="1163"/>
      <c r="GJ70" s="1163"/>
      <c r="GK70" s="1164"/>
      <c r="GL70" s="1163"/>
      <c r="GM70" s="1163"/>
      <c r="GN70" s="1163"/>
      <c r="GO70" s="1163"/>
      <c r="GP70" s="1163"/>
      <c r="GQ70" s="1163"/>
      <c r="GR70" s="1163"/>
      <c r="GS70" s="1164"/>
      <c r="GT70" s="1163"/>
      <c r="GU70" s="1163"/>
      <c r="GV70" s="1163"/>
      <c r="GW70" s="1163"/>
      <c r="GX70" s="1163"/>
      <c r="GY70" s="1163"/>
      <c r="GZ70" s="1163"/>
      <c r="HA70" s="1164"/>
      <c r="HB70" s="1163"/>
      <c r="HC70" s="1163"/>
      <c r="HD70" s="1163"/>
      <c r="HE70" s="1163"/>
      <c r="HF70" s="1163"/>
      <c r="HG70" s="1163"/>
      <c r="HH70" s="1163"/>
      <c r="HI70" s="1164"/>
      <c r="HJ70" s="1163"/>
      <c r="HK70" s="1163"/>
      <c r="HL70" s="1163"/>
      <c r="HM70" s="1163"/>
      <c r="HN70" s="1163"/>
      <c r="HO70" s="1163"/>
      <c r="HP70" s="1163"/>
      <c r="HQ70" s="1164"/>
      <c r="HR70" s="1163"/>
      <c r="HS70" s="1163"/>
      <c r="HT70" s="1163"/>
      <c r="HU70" s="1163"/>
      <c r="HV70" s="1163"/>
      <c r="HW70" s="1163"/>
      <c r="HX70" s="1163"/>
      <c r="HY70" s="1163"/>
      <c r="HZ70" s="1163"/>
      <c r="IA70" s="1163"/>
      <c r="IB70" s="1163"/>
      <c r="IC70" s="1163"/>
      <c r="ID70" s="1163"/>
      <c r="IE70" s="1163"/>
      <c r="IF70" s="1163"/>
      <c r="IG70" s="1164"/>
      <c r="IH70" s="1163"/>
      <c r="II70" s="1163"/>
      <c r="IJ70" s="1163"/>
      <c r="IK70" s="1163"/>
      <c r="IL70" s="1163"/>
      <c r="IM70" s="1163"/>
      <c r="IN70" s="1163"/>
      <c r="IO70" s="1164"/>
      <c r="IP70" s="1163"/>
      <c r="IQ70" s="1163"/>
      <c r="IR70" s="1163"/>
      <c r="IS70" s="1163"/>
      <c r="IT70" s="1163"/>
      <c r="IU70" s="1163"/>
      <c r="IV70" s="1163"/>
      <c r="IW70" s="1163"/>
      <c r="IX70" s="1049"/>
      <c r="IY70" s="1049"/>
      <c r="IZ70" s="1049"/>
      <c r="JA70" s="1049"/>
      <c r="JB70" s="1049"/>
      <c r="JC70" s="1049"/>
      <c r="JD70" s="1041"/>
      <c r="JE70" s="1037"/>
      <c r="JF70" s="1037"/>
      <c r="JG70" s="1037"/>
      <c r="JH70" s="1037"/>
      <c r="JI70" s="1035"/>
      <c r="JJ70" s="1035"/>
      <c r="JK70" s="1035"/>
      <c r="JL70" s="1035"/>
      <c r="JM70" s="1035"/>
      <c r="JN70" s="1035"/>
      <c r="JO70" s="1035"/>
      <c r="JP70" s="1035"/>
      <c r="JQ70" s="1035"/>
      <c r="JR70" s="1035"/>
      <c r="JS70" s="1035"/>
      <c r="JT70" s="1035"/>
      <c r="JU70" s="1035"/>
      <c r="JV70" s="1035"/>
      <c r="JW70" s="1035"/>
      <c r="JX70" s="1035"/>
      <c r="JY70" s="1035"/>
      <c r="LV70" s="1117"/>
    </row>
    <row r="71" hidden="1" outlineLevel="1" spans="1:334">
      <c r="A71" s="1113" t="s">
        <v>81</v>
      </c>
      <c r="AX71" s="1059"/>
      <c r="BE71" s="1060"/>
      <c r="BN71" s="1059"/>
      <c r="BU71" s="1060"/>
      <c r="BV71" s="1059"/>
      <c r="CC71" s="1060"/>
      <c r="CD71" s="1059"/>
      <c r="CJ71" s="1061"/>
      <c r="CK71" s="1060"/>
      <c r="CL71" s="1059"/>
      <c r="CS71" s="1060"/>
      <c r="CT71" s="1117"/>
      <c r="CU71" s="1117"/>
      <c r="CV71" s="1117"/>
      <c r="CW71" s="1117"/>
      <c r="CX71" s="1117"/>
      <c r="CY71" s="1117"/>
      <c r="CZ71" s="1117"/>
      <c r="DA71" s="1117"/>
      <c r="DB71" s="1082"/>
      <c r="DC71" s="1082"/>
      <c r="DD71" s="1082"/>
      <c r="DE71" s="1082"/>
      <c r="DF71" s="1082"/>
      <c r="DG71" s="1082"/>
      <c r="DH71" s="1082"/>
      <c r="DI71" s="1085"/>
      <c r="DJ71" s="1163"/>
      <c r="DK71" s="1163"/>
      <c r="DL71" s="1163"/>
      <c r="DM71" s="1163"/>
      <c r="DN71" s="1163"/>
      <c r="DO71" s="1163"/>
      <c r="DP71" s="1163"/>
      <c r="DQ71" s="1164"/>
      <c r="DR71" s="1163"/>
      <c r="DS71" s="1163"/>
      <c r="DT71" s="1163"/>
      <c r="DU71" s="1163"/>
      <c r="DV71" s="1163"/>
      <c r="DW71" s="1163"/>
      <c r="DX71" s="1163"/>
      <c r="DY71" s="1164"/>
      <c r="DZ71" s="1163"/>
      <c r="EA71" s="1163">
        <f>(EA70-DS70)*10000</f>
        <v>200</v>
      </c>
      <c r="EB71" s="1163">
        <f>(EB70-DT70)*10000</f>
        <v>160</v>
      </c>
      <c r="EC71" s="1163">
        <f>(EC70-DU70)*10000</f>
        <v>70.0000000000001</v>
      </c>
      <c r="ED71" s="1163">
        <f>(ED70-DV70)*10000</f>
        <v>120</v>
      </c>
      <c r="EE71" s="1163"/>
      <c r="EF71" s="1163"/>
      <c r="EG71" s="1164"/>
      <c r="EH71" s="1163">
        <f>(EH70-DZ70)*10000</f>
        <v>3760</v>
      </c>
      <c r="EI71" s="1163">
        <f>(EI70-EA70)*10000</f>
        <v>-410</v>
      </c>
      <c r="EJ71" s="1163">
        <f>(EJ70-EB70)*10000</f>
        <v>-130</v>
      </c>
      <c r="EK71" s="1163">
        <f>(EK70-EC70)*10000</f>
        <v>-300</v>
      </c>
      <c r="EL71" s="1163">
        <f>(EL70-ED70)*10000</f>
        <v>-190</v>
      </c>
      <c r="EM71" s="1163"/>
      <c r="EN71" s="1163"/>
      <c r="EO71" s="1164"/>
      <c r="EP71" s="1163">
        <f>(EP70-EH70)*10000</f>
        <v>150</v>
      </c>
      <c r="EQ71" s="1163">
        <f>(EQ70-EI70)*10000</f>
        <v>760</v>
      </c>
      <c r="ER71" s="1163">
        <f>(ER70-EJ70)*10000</f>
        <v>400</v>
      </c>
      <c r="ES71" s="1163"/>
      <c r="ET71" s="1163"/>
      <c r="EU71" s="1163"/>
      <c r="EV71" s="1163"/>
      <c r="EW71" s="1164"/>
      <c r="EX71" s="1163"/>
      <c r="EY71" s="1163"/>
      <c r="EZ71" s="1163"/>
      <c r="FA71" s="1163"/>
      <c r="FB71" s="1163"/>
      <c r="FC71" s="1163"/>
      <c r="FD71" s="1163"/>
      <c r="FE71" s="1164"/>
      <c r="FF71" s="1163"/>
      <c r="FG71" s="1163"/>
      <c r="FH71" s="1163"/>
      <c r="FI71" s="1163"/>
      <c r="FJ71" s="1163"/>
      <c r="FK71" s="1163"/>
      <c r="FL71" s="1163"/>
      <c r="FM71" s="1164"/>
      <c r="FN71" s="1163"/>
      <c r="FO71" s="1163"/>
      <c r="FP71" s="1163"/>
      <c r="FQ71" s="1163"/>
      <c r="FR71" s="1163"/>
      <c r="FS71" s="1163"/>
      <c r="FT71" s="1163"/>
      <c r="FU71" s="1163"/>
      <c r="FV71" s="1167"/>
      <c r="FW71" s="1163"/>
      <c r="FX71" s="1163"/>
      <c r="FY71" s="1163"/>
      <c r="FZ71" s="1163"/>
      <c r="GA71" s="1163"/>
      <c r="GB71" s="1163"/>
      <c r="GC71" s="1164"/>
      <c r="GD71" s="1163"/>
      <c r="GE71" s="1163"/>
      <c r="GF71" s="1163"/>
      <c r="GG71" s="1163"/>
      <c r="GH71" s="1163"/>
      <c r="GI71" s="1163"/>
      <c r="GJ71" s="1163"/>
      <c r="GK71" s="1164"/>
      <c r="GL71" s="1163"/>
      <c r="GM71" s="1163"/>
      <c r="GN71" s="1163"/>
      <c r="GO71" s="1163"/>
      <c r="GP71" s="1163"/>
      <c r="GQ71" s="1163"/>
      <c r="GR71" s="1163"/>
      <c r="GS71" s="1164"/>
      <c r="GT71" s="1163"/>
      <c r="GU71" s="1163"/>
      <c r="GV71" s="1163"/>
      <c r="GW71" s="1163"/>
      <c r="GX71" s="1163"/>
      <c r="GY71" s="1163"/>
      <c r="GZ71" s="1163"/>
      <c r="HA71" s="1164"/>
      <c r="HB71" s="1163"/>
      <c r="HC71" s="1163"/>
      <c r="HD71" s="1163"/>
      <c r="HE71" s="1163"/>
      <c r="HF71" s="1163"/>
      <c r="HG71" s="1163"/>
      <c r="HH71" s="1163"/>
      <c r="HI71" s="1164"/>
      <c r="HJ71" s="1163"/>
      <c r="HK71" s="1163"/>
      <c r="HL71" s="1163"/>
      <c r="HM71" s="1163"/>
      <c r="HN71" s="1163"/>
      <c r="HO71" s="1163"/>
      <c r="HP71" s="1163"/>
      <c r="HQ71" s="1164"/>
      <c r="HR71" s="1163"/>
      <c r="HS71" s="1163"/>
      <c r="HT71" s="1163"/>
      <c r="HU71" s="1163"/>
      <c r="HV71" s="1163"/>
      <c r="HW71" s="1163"/>
      <c r="HX71" s="1163"/>
      <c r="HY71" s="1163"/>
      <c r="HZ71" s="1163"/>
      <c r="IA71" s="1163"/>
      <c r="IB71" s="1163"/>
      <c r="IC71" s="1163"/>
      <c r="ID71" s="1163"/>
      <c r="IE71" s="1163"/>
      <c r="IF71" s="1163"/>
      <c r="IG71" s="1164"/>
      <c r="IH71" s="1163"/>
      <c r="II71" s="1163"/>
      <c r="IJ71" s="1163"/>
      <c r="IK71" s="1163"/>
      <c r="IL71" s="1163"/>
      <c r="IM71" s="1163"/>
      <c r="IN71" s="1163"/>
      <c r="IO71" s="1164"/>
      <c r="IP71" s="1163"/>
      <c r="IQ71" s="1163"/>
      <c r="IR71" s="1163"/>
      <c r="IS71" s="1163"/>
      <c r="IT71" s="1163"/>
      <c r="IU71" s="1163"/>
      <c r="IV71" s="1163"/>
      <c r="IW71" s="1163"/>
      <c r="IX71" s="1049"/>
      <c r="IY71" s="1049"/>
      <c r="IZ71" s="1049"/>
      <c r="JA71" s="1049"/>
      <c r="JB71" s="1049"/>
      <c r="JC71" s="1049"/>
      <c r="JD71" s="1041"/>
      <c r="JE71" s="1037"/>
      <c r="JF71" s="1037"/>
      <c r="JG71" s="1037"/>
      <c r="JH71" s="1037"/>
      <c r="JI71" s="1035"/>
      <c r="JJ71" s="1035"/>
      <c r="JK71" s="1035"/>
      <c r="JL71" s="1035"/>
      <c r="JM71" s="1035"/>
      <c r="JN71" s="1035"/>
      <c r="JO71" s="1035"/>
      <c r="JP71" s="1035"/>
      <c r="JQ71" s="1035"/>
      <c r="JR71" s="1035"/>
      <c r="JS71" s="1035"/>
      <c r="JT71" s="1035"/>
      <c r="JU71" s="1035"/>
      <c r="JV71" s="1035"/>
      <c r="JW71" s="1035"/>
      <c r="JX71" s="1035"/>
      <c r="JY71" s="1035"/>
      <c r="LV71" s="1117"/>
    </row>
    <row r="72" collapsed="1" spans="1:334">
      <c r="A72" s="1117"/>
      <c r="AX72" s="1059"/>
      <c r="BE72" s="1060"/>
      <c r="BN72" s="1059"/>
      <c r="BU72" s="1060"/>
      <c r="BV72" s="1059"/>
      <c r="CC72" s="1060"/>
      <c r="CD72" s="1059"/>
      <c r="CJ72" s="1061"/>
      <c r="CK72" s="1060"/>
      <c r="CL72" s="1059"/>
      <c r="CS72" s="1060"/>
      <c r="CT72" s="1117"/>
      <c r="CU72" s="1117"/>
      <c r="CV72" s="1117"/>
      <c r="CW72" s="1117"/>
      <c r="CX72" s="1117"/>
      <c r="CY72" s="1117"/>
      <c r="CZ72" s="1117"/>
      <c r="DA72" s="1117"/>
      <c r="DB72" s="1148"/>
      <c r="DC72" s="1148"/>
      <c r="DD72" s="1148"/>
      <c r="DE72" s="1148"/>
      <c r="DF72" s="1148"/>
      <c r="DG72" s="1148"/>
      <c r="DH72" s="1148"/>
      <c r="DI72" s="1149"/>
      <c r="DJ72" s="1148"/>
      <c r="DK72" s="1148"/>
      <c r="DL72" s="1148"/>
      <c r="DM72" s="1148"/>
      <c r="DN72" s="1148"/>
      <c r="DO72" s="1148"/>
      <c r="DP72" s="1148"/>
      <c r="DQ72" s="1149"/>
      <c r="DR72" s="1148"/>
      <c r="DS72" s="1148"/>
      <c r="DT72" s="1148"/>
      <c r="DU72" s="1148"/>
      <c r="DV72" s="1148"/>
      <c r="DW72" s="1148"/>
      <c r="DX72" s="1148"/>
      <c r="DY72" s="1149"/>
      <c r="DZ72" s="1148"/>
      <c r="EA72" s="1148"/>
      <c r="EB72" s="1148"/>
      <c r="EC72" s="1148"/>
      <c r="ED72" s="1148"/>
      <c r="EE72" s="1148"/>
      <c r="EF72" s="1148"/>
      <c r="EG72" s="1149"/>
      <c r="EH72" s="1163"/>
      <c r="EI72" s="1163"/>
      <c r="EJ72" s="1163"/>
      <c r="EK72" s="1163"/>
      <c r="EL72" s="1163"/>
      <c r="EM72" s="1163"/>
      <c r="EN72" s="1163"/>
      <c r="EO72" s="1164"/>
      <c r="EP72" s="1148"/>
      <c r="EQ72" s="1148"/>
      <c r="ER72" s="1148"/>
      <c r="ES72" s="1148"/>
      <c r="ET72" s="1148"/>
      <c r="EU72" s="1148"/>
      <c r="EV72" s="1148"/>
      <c r="EW72" s="1149"/>
      <c r="EX72" s="1148"/>
      <c r="EY72" s="1148"/>
      <c r="EZ72" s="1148"/>
      <c r="FA72" s="1148"/>
      <c r="FB72" s="1148"/>
      <c r="FC72" s="1148"/>
      <c r="FD72" s="1148"/>
      <c r="FE72" s="1149"/>
      <c r="FF72" s="1148"/>
      <c r="FG72" s="1148"/>
      <c r="FH72" s="1148"/>
      <c r="FI72" s="1148"/>
      <c r="FJ72" s="1148"/>
      <c r="FK72" s="1148"/>
      <c r="FL72" s="1148"/>
      <c r="FM72" s="1149"/>
      <c r="FN72" s="1148"/>
      <c r="FO72" s="1148"/>
      <c r="FP72" s="1148"/>
      <c r="FQ72" s="1148"/>
      <c r="FR72" s="1148"/>
      <c r="FS72" s="1148"/>
      <c r="FT72" s="1148"/>
      <c r="FU72" s="1148"/>
      <c r="FV72" s="1151"/>
      <c r="FW72" s="1148"/>
      <c r="FX72" s="1148"/>
      <c r="FY72" s="1148"/>
      <c r="FZ72" s="1148"/>
      <c r="GA72" s="1148"/>
      <c r="GB72" s="1148"/>
      <c r="GC72" s="1149"/>
      <c r="GD72" s="1148"/>
      <c r="GE72" s="1148"/>
      <c r="GF72" s="1148"/>
      <c r="GG72" s="1148"/>
      <c r="GH72" s="1148"/>
      <c r="GI72" s="1148"/>
      <c r="GJ72" s="1148"/>
      <c r="GK72" s="1149"/>
      <c r="GL72" s="1148"/>
      <c r="GM72" s="1148"/>
      <c r="GN72" s="1148"/>
      <c r="GO72" s="1148"/>
      <c r="GP72" s="1148"/>
      <c r="GQ72" s="1148"/>
      <c r="GR72" s="1148"/>
      <c r="GS72" s="1149"/>
      <c r="GT72" s="1148"/>
      <c r="GU72" s="1148"/>
      <c r="GV72" s="1148"/>
      <c r="GW72" s="1148"/>
      <c r="GX72" s="1148"/>
      <c r="GY72" s="1148"/>
      <c r="GZ72" s="1148"/>
      <c r="HA72" s="1149"/>
      <c r="HB72" s="1148"/>
      <c r="HC72" s="1148"/>
      <c r="HD72" s="1148"/>
      <c r="HE72" s="1148"/>
      <c r="HF72" s="1148"/>
      <c r="HG72" s="1148"/>
      <c r="HH72" s="1148"/>
      <c r="HI72" s="1149"/>
      <c r="HJ72" s="1148"/>
      <c r="HK72" s="1148"/>
      <c r="HL72" s="1148"/>
      <c r="HM72" s="1148"/>
      <c r="HN72" s="1148"/>
      <c r="HO72" s="1148"/>
      <c r="HP72" s="1148"/>
      <c r="HQ72" s="1149"/>
      <c r="HR72" s="1148"/>
      <c r="HS72" s="1148"/>
      <c r="HT72" s="1148"/>
      <c r="HU72" s="1148"/>
      <c r="HV72" s="1148"/>
      <c r="HW72" s="1148"/>
      <c r="HX72" s="1148"/>
      <c r="HY72" s="1148"/>
      <c r="HZ72" s="1148"/>
      <c r="IA72" s="1148"/>
      <c r="IB72" s="1148"/>
      <c r="IC72" s="1148"/>
      <c r="ID72" s="1148"/>
      <c r="IE72" s="1148"/>
      <c r="IF72" s="1148"/>
      <c r="IG72" s="1149"/>
      <c r="IH72" s="1148"/>
      <c r="II72" s="1148"/>
      <c r="IJ72" s="1148"/>
      <c r="IK72" s="1148"/>
      <c r="IL72" s="1148"/>
      <c r="IM72" s="1148"/>
      <c r="IN72" s="1148"/>
      <c r="IO72" s="1149"/>
      <c r="IP72" s="1148"/>
      <c r="IQ72" s="1148"/>
      <c r="IR72" s="1148"/>
      <c r="IS72" s="1148"/>
      <c r="IT72" s="1148"/>
      <c r="IU72" s="1148"/>
      <c r="IV72" s="1148"/>
      <c r="IW72" s="1148"/>
      <c r="IX72" s="1049"/>
      <c r="IY72" s="1049"/>
      <c r="IZ72" s="1049"/>
      <c r="JA72" s="1049"/>
      <c r="JB72" s="1049"/>
      <c r="JC72" s="1049"/>
      <c r="JD72" s="1041"/>
      <c r="JE72" s="1037"/>
      <c r="JF72" s="1037"/>
      <c r="JG72" s="1037"/>
      <c r="JH72" s="1037"/>
      <c r="JI72" s="1035"/>
      <c r="JJ72" s="1035"/>
      <c r="JK72" s="1035"/>
      <c r="JL72" s="1035"/>
      <c r="JM72" s="1035"/>
      <c r="JN72" s="1035"/>
      <c r="JO72" s="1035"/>
      <c r="JP72" s="1035"/>
      <c r="JQ72" s="1035"/>
      <c r="JR72" s="1035"/>
      <c r="JS72" s="1035"/>
      <c r="JT72" s="1035"/>
      <c r="JU72" s="1035"/>
      <c r="JV72" s="1035"/>
      <c r="JW72" s="1035"/>
      <c r="JX72" s="1035"/>
      <c r="JY72" s="1035"/>
      <c r="LV72" s="967"/>
    </row>
    <row r="73" spans="1:334">
      <c r="A73" s="1051" t="s">
        <v>85</v>
      </c>
      <c r="B73" s="1066"/>
      <c r="C73" s="1066"/>
      <c r="D73" s="1066"/>
      <c r="E73" s="1066"/>
      <c r="F73" s="1066"/>
      <c r="G73" s="1066"/>
      <c r="H73" s="1066"/>
      <c r="I73" s="1066"/>
      <c r="J73" s="1066"/>
      <c r="K73" s="1066"/>
      <c r="L73" s="1066"/>
      <c r="M73" s="1066"/>
      <c r="N73" s="1066"/>
      <c r="O73" s="1066"/>
      <c r="P73" s="1066"/>
      <c r="Q73" s="1066"/>
      <c r="R73" s="1066"/>
      <c r="S73" s="1066"/>
      <c r="T73" s="1066"/>
      <c r="U73" s="1066"/>
      <c r="V73" s="1066"/>
      <c r="W73" s="1066"/>
      <c r="X73" s="1066"/>
      <c r="Y73" s="1066"/>
      <c r="Z73" s="1066"/>
      <c r="AA73" s="1066"/>
      <c r="AB73" s="1066"/>
      <c r="AC73" s="1066"/>
      <c r="AD73" s="1066"/>
      <c r="AE73" s="1066"/>
      <c r="AF73" s="1066"/>
      <c r="AG73" s="1066"/>
      <c r="AH73" s="1066"/>
      <c r="AI73" s="1066"/>
      <c r="AJ73" s="1066"/>
      <c r="AK73" s="1066"/>
      <c r="AL73" s="1066"/>
      <c r="AM73" s="1066"/>
      <c r="AN73" s="1066"/>
      <c r="AO73" s="1066"/>
      <c r="AP73" s="1066"/>
      <c r="AQ73" s="1066"/>
      <c r="AR73" s="1066"/>
      <c r="AS73" s="1066"/>
      <c r="AT73" s="1066"/>
      <c r="AU73" s="1066"/>
      <c r="AV73" s="1066"/>
      <c r="AW73" s="1066"/>
      <c r="AX73" s="1067"/>
      <c r="AY73" s="1066"/>
      <c r="AZ73" s="1066"/>
      <c r="BA73" s="1066"/>
      <c r="BB73" s="1066"/>
      <c r="BC73" s="1066"/>
      <c r="BD73" s="1066"/>
      <c r="BE73" s="1068"/>
      <c r="BF73" s="1066"/>
      <c r="BG73" s="1066"/>
      <c r="BH73" s="1066"/>
      <c r="BI73" s="1066"/>
      <c r="BJ73" s="1066"/>
      <c r="BK73" s="1066"/>
      <c r="BL73" s="1066"/>
      <c r="BM73" s="1066"/>
      <c r="BN73" s="1067"/>
      <c r="BO73" s="1066"/>
      <c r="BP73" s="1066"/>
      <c r="BQ73" s="1066"/>
      <c r="BR73" s="1066"/>
      <c r="BS73" s="1066"/>
      <c r="BT73" s="1066"/>
      <c r="BU73" s="1068"/>
      <c r="BV73" s="1067"/>
      <c r="BW73" s="1066"/>
      <c r="BX73" s="1066"/>
      <c r="BY73" s="1066"/>
      <c r="BZ73" s="1066"/>
      <c r="CA73" s="1066"/>
      <c r="CB73" s="1066"/>
      <c r="CC73" s="1068"/>
      <c r="CD73" s="1067"/>
      <c r="CE73" s="1066"/>
      <c r="CF73" s="1066"/>
      <c r="CG73" s="1066"/>
      <c r="CH73" s="1066"/>
      <c r="CI73" s="1066"/>
      <c r="CJ73" s="1069"/>
      <c r="CK73" s="1068"/>
      <c r="CL73" s="1067"/>
      <c r="CM73" s="1066"/>
      <c r="CN73" s="1066"/>
      <c r="CO73" s="1066"/>
      <c r="CP73" s="1066"/>
      <c r="CQ73" s="1066"/>
      <c r="CR73" s="1066"/>
      <c r="CS73" s="1068"/>
      <c r="CT73" s="1051"/>
      <c r="CU73" s="1051"/>
      <c r="CV73" s="1051"/>
      <c r="CW73" s="1051"/>
      <c r="CX73" s="1051"/>
      <c r="CY73" s="1051"/>
      <c r="CZ73" s="1051"/>
      <c r="DA73" s="1051"/>
      <c r="DB73" s="1047" t="str">
        <f t="shared" ref="DB73:EG73" si="493">DB$2</f>
        <v>Q1 08</v>
      </c>
      <c r="DC73" s="1047" t="str">
        <f t="shared" si="493"/>
        <v>Q2 08</v>
      </c>
      <c r="DD73" s="1047" t="str">
        <f t="shared" si="493"/>
        <v>H1 08</v>
      </c>
      <c r="DE73" s="1047" t="str">
        <f t="shared" si="493"/>
        <v>Q3 08</v>
      </c>
      <c r="DF73" s="1047" t="str">
        <f t="shared" si="493"/>
        <v>9M 08</v>
      </c>
      <c r="DG73" s="1047" t="str">
        <f t="shared" si="493"/>
        <v>Q4 08</v>
      </c>
      <c r="DH73" s="1047" t="str">
        <f t="shared" si="493"/>
        <v>H2 08</v>
      </c>
      <c r="DI73" s="1048" t="str">
        <f t="shared" si="493"/>
        <v>FY 08</v>
      </c>
      <c r="DJ73" s="1047" t="str">
        <f t="shared" si="493"/>
        <v>Q1 09</v>
      </c>
      <c r="DK73" s="1047" t="str">
        <f t="shared" si="493"/>
        <v>Q2 09</v>
      </c>
      <c r="DL73" s="1047" t="str">
        <f t="shared" si="493"/>
        <v>H1 09</v>
      </c>
      <c r="DM73" s="1047" t="str">
        <f t="shared" si="493"/>
        <v>Q3 09</v>
      </c>
      <c r="DN73" s="1047" t="str">
        <f t="shared" si="493"/>
        <v>9M 09</v>
      </c>
      <c r="DO73" s="1047" t="str">
        <f t="shared" si="493"/>
        <v>Q4 09</v>
      </c>
      <c r="DP73" s="1047" t="str">
        <f t="shared" si="493"/>
        <v>H2 09</v>
      </c>
      <c r="DQ73" s="1048" t="str">
        <f t="shared" si="493"/>
        <v>FY 09</v>
      </c>
      <c r="DR73" s="1047" t="str">
        <f t="shared" si="493"/>
        <v>Q1 10</v>
      </c>
      <c r="DS73" s="1047" t="str">
        <f t="shared" si="493"/>
        <v>Q2 10</v>
      </c>
      <c r="DT73" s="1047" t="str">
        <f t="shared" si="493"/>
        <v>H1 10</v>
      </c>
      <c r="DU73" s="1047" t="str">
        <f t="shared" si="493"/>
        <v>Q3 10</v>
      </c>
      <c r="DV73" s="1047" t="str">
        <f t="shared" si="493"/>
        <v>9M 10</v>
      </c>
      <c r="DW73" s="1047" t="str">
        <f t="shared" si="493"/>
        <v>Q4 10</v>
      </c>
      <c r="DX73" s="1047" t="str">
        <f t="shared" si="493"/>
        <v>H2 10</v>
      </c>
      <c r="DY73" s="1048" t="str">
        <f t="shared" si="493"/>
        <v>FY 10</v>
      </c>
      <c r="DZ73" s="1047" t="str">
        <f t="shared" si="493"/>
        <v>Q1 11</v>
      </c>
      <c r="EA73" s="1047" t="str">
        <f t="shared" si="493"/>
        <v>Q2 11</v>
      </c>
      <c r="EB73" s="1047" t="str">
        <f t="shared" si="493"/>
        <v>H1 11</v>
      </c>
      <c r="EC73" s="1047" t="str">
        <f t="shared" si="493"/>
        <v>Q3 11</v>
      </c>
      <c r="ED73" s="1047" t="str">
        <f t="shared" si="493"/>
        <v>9M 11</v>
      </c>
      <c r="EE73" s="1047" t="str">
        <f t="shared" si="493"/>
        <v>Q4 11</v>
      </c>
      <c r="EF73" s="1047" t="str">
        <f t="shared" si="493"/>
        <v>H2 11</v>
      </c>
      <c r="EG73" s="1048" t="str">
        <f t="shared" si="493"/>
        <v>FY 11</v>
      </c>
      <c r="EH73" s="1047" t="str">
        <f t="shared" ref="EH73:FM73" si="494">EH$2</f>
        <v>Q1 12</v>
      </c>
      <c r="EI73" s="1047" t="str">
        <f t="shared" si="494"/>
        <v>Q2 12</v>
      </c>
      <c r="EJ73" s="1047" t="str">
        <f t="shared" si="494"/>
        <v>H1 12</v>
      </c>
      <c r="EK73" s="1047" t="str">
        <f t="shared" si="494"/>
        <v>Q3 12</v>
      </c>
      <c r="EL73" s="1047" t="str">
        <f t="shared" si="494"/>
        <v>9M 12</v>
      </c>
      <c r="EM73" s="1047" t="str">
        <f t="shared" si="494"/>
        <v>Q4 12</v>
      </c>
      <c r="EN73" s="1047" t="str">
        <f t="shared" si="494"/>
        <v>H2 12</v>
      </c>
      <c r="EO73" s="1048" t="str">
        <f t="shared" si="494"/>
        <v>FY 12</v>
      </c>
      <c r="EP73" s="1047" t="str">
        <f t="shared" si="494"/>
        <v>1Q13</v>
      </c>
      <c r="EQ73" s="1047" t="str">
        <f t="shared" si="494"/>
        <v>2Q13</v>
      </c>
      <c r="ER73" s="1047" t="str">
        <f t="shared" si="494"/>
        <v>1H13</v>
      </c>
      <c r="ES73" s="1047" t="str">
        <f t="shared" si="494"/>
        <v>3Q13</v>
      </c>
      <c r="ET73" s="1047" t="str">
        <f t="shared" si="494"/>
        <v>9M13</v>
      </c>
      <c r="EU73" s="1047" t="str">
        <f t="shared" si="494"/>
        <v>4Q13</v>
      </c>
      <c r="EV73" s="1047" t="str">
        <f t="shared" si="494"/>
        <v>2H13</v>
      </c>
      <c r="EW73" s="1048" t="str">
        <f t="shared" si="494"/>
        <v>FY13</v>
      </c>
      <c r="EX73" s="1047" t="str">
        <f t="shared" si="494"/>
        <v>1Q14</v>
      </c>
      <c r="EY73" s="1047" t="str">
        <f t="shared" si="494"/>
        <v>2Q14</v>
      </c>
      <c r="EZ73" s="1047" t="str">
        <f t="shared" si="494"/>
        <v>1H14</v>
      </c>
      <c r="FA73" s="1047" t="str">
        <f t="shared" si="494"/>
        <v>3Q14</v>
      </c>
      <c r="FB73" s="1047" t="str">
        <f t="shared" si="494"/>
        <v>9M14</v>
      </c>
      <c r="FC73" s="1047" t="str">
        <f t="shared" si="494"/>
        <v>4Q14</v>
      </c>
      <c r="FD73" s="1047" t="str">
        <f t="shared" si="494"/>
        <v>2H14</v>
      </c>
      <c r="FE73" s="1048" t="str">
        <f t="shared" si="494"/>
        <v>FY14</v>
      </c>
      <c r="FF73" s="1047" t="str">
        <f t="shared" si="494"/>
        <v>1Q15</v>
      </c>
      <c r="FG73" s="1047" t="str">
        <f t="shared" si="494"/>
        <v>2Q15</v>
      </c>
      <c r="FH73" s="1047" t="str">
        <f t="shared" si="494"/>
        <v>1H15</v>
      </c>
      <c r="FI73" s="1047" t="str">
        <f t="shared" si="494"/>
        <v>3Q15</v>
      </c>
      <c r="FJ73" s="1047" t="str">
        <f t="shared" si="494"/>
        <v>9M15</v>
      </c>
      <c r="FK73" s="1047" t="str">
        <f t="shared" si="494"/>
        <v>4Q15</v>
      </c>
      <c r="FL73" s="1047" t="str">
        <f t="shared" si="494"/>
        <v>2H15</v>
      </c>
      <c r="FM73" s="1048" t="str">
        <f t="shared" si="494"/>
        <v>FY15</v>
      </c>
      <c r="FN73" s="1047"/>
      <c r="FO73" s="1047"/>
      <c r="FP73" s="1047"/>
      <c r="FQ73" s="1047"/>
      <c r="FR73" s="1047"/>
      <c r="FS73" s="1047"/>
      <c r="FT73" s="1047"/>
      <c r="FU73" s="1047"/>
      <c r="FV73" s="1055"/>
      <c r="FW73" s="1047"/>
      <c r="FX73" s="1047"/>
      <c r="FY73" s="1047"/>
      <c r="FZ73" s="1047"/>
      <c r="GA73" s="1047"/>
      <c r="GB73" s="1047"/>
      <c r="GC73" s="1048"/>
      <c r="GD73" s="1047"/>
      <c r="GE73" s="1047"/>
      <c r="GF73" s="1047"/>
      <c r="GG73" s="1047"/>
      <c r="GH73" s="1047"/>
      <c r="GI73" s="1047"/>
      <c r="GJ73" s="1047"/>
      <c r="GK73" s="1048"/>
      <c r="GL73" s="1047"/>
      <c r="GM73" s="1047"/>
      <c r="GN73" s="1047"/>
      <c r="GO73" s="1047"/>
      <c r="GP73" s="1047"/>
      <c r="GQ73" s="1047"/>
      <c r="GR73" s="1047"/>
      <c r="GS73" s="1048"/>
      <c r="GT73" s="1047" t="s">
        <v>440</v>
      </c>
      <c r="GU73" s="1047" t="s">
        <v>441</v>
      </c>
      <c r="GV73" s="1047" t="s">
        <v>442</v>
      </c>
      <c r="GW73" s="1047" t="s">
        <v>443</v>
      </c>
      <c r="GX73" s="1047" t="s">
        <v>444</v>
      </c>
      <c r="GY73" s="1047" t="s">
        <v>445</v>
      </c>
      <c r="GZ73" s="1047" t="s">
        <v>446</v>
      </c>
      <c r="HA73" s="1048" t="s">
        <v>447</v>
      </c>
      <c r="HB73" s="1047" t="s">
        <v>448</v>
      </c>
      <c r="HC73" s="1047" t="s">
        <v>449</v>
      </c>
      <c r="HD73" s="1047" t="s">
        <v>450</v>
      </c>
      <c r="HE73" s="1047" t="s">
        <v>451</v>
      </c>
      <c r="HF73" s="1047" t="s">
        <v>452</v>
      </c>
      <c r="HG73" s="1047" t="s">
        <v>453</v>
      </c>
      <c r="HH73" s="1047" t="s">
        <v>454</v>
      </c>
      <c r="HI73" s="1048" t="s">
        <v>455</v>
      </c>
      <c r="HJ73" s="1047" t="s">
        <v>456</v>
      </c>
      <c r="HK73" s="1047" t="s">
        <v>457</v>
      </c>
      <c r="HL73" s="1047" t="s">
        <v>458</v>
      </c>
      <c r="HM73" s="1047" t="s">
        <v>459</v>
      </c>
      <c r="HN73" s="1047" t="s">
        <v>460</v>
      </c>
      <c r="HO73" s="1047" t="s">
        <v>461</v>
      </c>
      <c r="HP73" s="1047" t="s">
        <v>462</v>
      </c>
      <c r="HQ73" s="1048" t="s">
        <v>463</v>
      </c>
      <c r="HR73" s="1047" t="str">
        <f>HR4</f>
        <v>1Q23</v>
      </c>
      <c r="HS73" s="1047" t="s">
        <v>465</v>
      </c>
      <c r="HT73" s="1047" t="s">
        <v>466</v>
      </c>
      <c r="HU73" s="1047" t="s">
        <v>467</v>
      </c>
      <c r="HV73" s="1047" t="s">
        <v>468</v>
      </c>
      <c r="HW73" s="1047" t="s">
        <v>469</v>
      </c>
      <c r="HX73" s="1047" t="s">
        <v>470</v>
      </c>
      <c r="HY73" s="1048" t="s">
        <v>471</v>
      </c>
      <c r="HZ73" s="1047" t="s">
        <v>472</v>
      </c>
      <c r="IA73" s="1047" t="s">
        <v>473</v>
      </c>
      <c r="IB73" s="1047" t="s">
        <v>474</v>
      </c>
      <c r="IC73" s="1047" t="s">
        <v>475</v>
      </c>
      <c r="ID73" s="1047" t="s">
        <v>476</v>
      </c>
      <c r="IE73" s="1047" t="s">
        <v>477</v>
      </c>
      <c r="IF73" s="1047" t="s">
        <v>478</v>
      </c>
      <c r="IG73" s="1048" t="s">
        <v>479</v>
      </c>
      <c r="IH73" s="1047" t="s">
        <v>480</v>
      </c>
      <c r="II73" s="1047" t="s">
        <v>481</v>
      </c>
      <c r="IJ73" s="1047" t="s">
        <v>490</v>
      </c>
      <c r="IK73" s="1047" t="s">
        <v>520</v>
      </c>
      <c r="IL73" s="1047" t="s">
        <v>484</v>
      </c>
      <c r="IM73" s="1047" t="s">
        <v>521</v>
      </c>
      <c r="IN73" s="1047" t="s">
        <v>486</v>
      </c>
      <c r="IO73" s="1048" t="s">
        <v>522</v>
      </c>
      <c r="IP73" s="1047" t="s">
        <v>480</v>
      </c>
      <c r="IQ73" s="1047" t="str">
        <f>IQ2</f>
        <v>2Q26</v>
      </c>
      <c r="IR73" s="1047"/>
      <c r="IS73" s="1047"/>
      <c r="IT73" s="1047"/>
      <c r="IU73" s="1047"/>
      <c r="IV73" s="1047"/>
      <c r="IW73" s="1047"/>
      <c r="IX73" s="1049"/>
      <c r="IY73" s="1049"/>
      <c r="IZ73" s="1049"/>
      <c r="JA73" s="1049"/>
      <c r="JB73" s="1049"/>
      <c r="JC73" s="1049"/>
      <c r="JD73" s="1041"/>
      <c r="JE73" s="1037"/>
      <c r="JF73" s="1037"/>
      <c r="JG73" s="1037"/>
      <c r="JH73" s="1037"/>
      <c r="JI73" s="1035"/>
      <c r="JJ73" s="1035"/>
      <c r="JK73" s="1035"/>
      <c r="JL73" s="1035"/>
      <c r="JM73" s="1035"/>
      <c r="JN73" s="1035"/>
      <c r="JO73" s="1035"/>
      <c r="JP73" s="1035"/>
      <c r="JQ73" s="1035"/>
      <c r="JR73" s="1035"/>
      <c r="JS73" s="1035"/>
      <c r="JT73" s="1035"/>
      <c r="JU73" s="1035"/>
      <c r="JV73" s="1035"/>
      <c r="JW73" s="1035"/>
      <c r="JX73" s="1035"/>
      <c r="JY73" s="1035"/>
      <c r="LV73" s="1025"/>
    </row>
    <row r="74" s="1025" customFormat="1" hidden="1" outlineLevel="1" spans="1:334">
      <c r="A74" s="1025" t="s">
        <v>87</v>
      </c>
      <c r="B74" s="1170"/>
      <c r="C74" s="1170"/>
      <c r="D74" s="1170"/>
      <c r="E74" s="1170"/>
      <c r="F74" s="1170"/>
      <c r="G74" s="1170"/>
      <c r="H74" s="1170"/>
      <c r="I74" s="1170"/>
      <c r="J74" s="1170"/>
      <c r="K74" s="1170"/>
      <c r="L74" s="1170"/>
      <c r="M74" s="1170"/>
      <c r="N74" s="1170"/>
      <c r="O74" s="1170"/>
      <c r="P74" s="1170"/>
      <c r="Q74" s="1170"/>
      <c r="R74" s="1170"/>
      <c r="S74" s="1170"/>
      <c r="T74" s="1170"/>
      <c r="U74" s="1170"/>
      <c r="V74" s="1170"/>
      <c r="W74" s="1170"/>
      <c r="X74" s="1170"/>
      <c r="Y74" s="1170"/>
      <c r="Z74" s="1170"/>
      <c r="AA74" s="1170"/>
      <c r="AB74" s="1170"/>
      <c r="AC74" s="1170"/>
      <c r="AD74" s="1170"/>
      <c r="AE74" s="1170"/>
      <c r="AF74" s="1170"/>
      <c r="AG74" s="1170"/>
      <c r="AH74" s="1170"/>
      <c r="AI74" s="1170"/>
      <c r="AJ74" s="1170"/>
      <c r="AK74" s="1170"/>
      <c r="AL74" s="1170"/>
      <c r="AM74" s="1170"/>
      <c r="AN74" s="1170"/>
      <c r="AO74" s="1170"/>
      <c r="AP74" s="1170"/>
      <c r="AQ74" s="1170"/>
      <c r="AR74" s="1170"/>
      <c r="AS74" s="1170"/>
      <c r="AT74" s="1170"/>
      <c r="AU74" s="1170"/>
      <c r="AV74" s="1170"/>
      <c r="AW74" s="1170"/>
      <c r="AX74" s="1171"/>
      <c r="AY74" s="1170"/>
      <c r="AZ74" s="1170"/>
      <c r="BA74" s="1170"/>
      <c r="BB74" s="1170"/>
      <c r="BC74" s="1170"/>
      <c r="BD74" s="1170"/>
      <c r="BE74" s="1172"/>
      <c r="BF74" s="1170"/>
      <c r="BG74" s="1170"/>
      <c r="BH74" s="1170"/>
      <c r="BI74" s="1170"/>
      <c r="BJ74" s="1170"/>
      <c r="BK74" s="1170"/>
      <c r="BL74" s="1170"/>
      <c r="BM74" s="1170"/>
      <c r="BN74" s="1171"/>
      <c r="BO74" s="1170"/>
      <c r="BP74" s="1170"/>
      <c r="BQ74" s="1170"/>
      <c r="BR74" s="1170"/>
      <c r="BS74" s="1170"/>
      <c r="BT74" s="1170"/>
      <c r="BU74" s="1172"/>
      <c r="BV74" s="1171"/>
      <c r="BW74" s="1170"/>
      <c r="BX74" s="1170"/>
      <c r="BY74" s="1170"/>
      <c r="BZ74" s="1170"/>
      <c r="CA74" s="1170"/>
      <c r="CB74" s="1170"/>
      <c r="CC74" s="1172"/>
      <c r="CD74" s="1171"/>
      <c r="CE74" s="1170"/>
      <c r="CF74" s="1170"/>
      <c r="CG74" s="1170"/>
      <c r="CH74" s="1170"/>
      <c r="CI74" s="1170"/>
      <c r="CJ74" s="1173"/>
      <c r="CK74" s="1172"/>
      <c r="CL74" s="1171"/>
      <c r="CM74" s="1170"/>
      <c r="CN74" s="1170"/>
      <c r="CO74" s="1170"/>
      <c r="CP74" s="1170"/>
      <c r="CQ74" s="1170"/>
      <c r="CR74" s="1170"/>
      <c r="CS74" s="1172"/>
      <c r="DB74" s="1071">
        <f>DB807+DB822</f>
        <v>1569</v>
      </c>
      <c r="DC74" s="1071">
        <f>DC807+DC822</f>
        <v>1487</v>
      </c>
      <c r="DD74" s="1071">
        <f>DB74+DC74</f>
        <v>3056</v>
      </c>
      <c r="DE74" s="1071">
        <f>DE807+DE822</f>
        <v>1754</v>
      </c>
      <c r="DF74" s="1071">
        <f>DD74+DE74</f>
        <v>4810</v>
      </c>
      <c r="DG74" s="1071">
        <f>DG807+DG822</f>
        <v>1437</v>
      </c>
      <c r="DH74" s="1071">
        <f>DE74+DG74</f>
        <v>3191</v>
      </c>
      <c r="DI74" s="1072">
        <f>'Profit and Loss'!O71</f>
        <v>6246</v>
      </c>
      <c r="DJ74" s="1071">
        <f>DJ807+DJ822</f>
        <v>1494</v>
      </c>
      <c r="DK74" s="1071">
        <f>DK807+DK822</f>
        <v>1354</v>
      </c>
      <c r="DL74" s="1071">
        <f>DJ74+DK74</f>
        <v>2848</v>
      </c>
      <c r="DM74" s="1071">
        <f>DM807+DM822</f>
        <v>1634</v>
      </c>
      <c r="DN74" s="1071">
        <f>DL74+DM74</f>
        <v>4482</v>
      </c>
      <c r="DO74" s="1071">
        <f>DO807+DO822</f>
        <v>1357</v>
      </c>
      <c r="DP74" s="1071">
        <f>DO74+DM74</f>
        <v>2991</v>
      </c>
      <c r="DQ74" s="1072">
        <f>'Profit and Loss'!P71</f>
        <v>5838</v>
      </c>
      <c r="DR74" s="1071">
        <f t="shared" ref="DR74:DY74" si="495">DR807+DR822</f>
        <v>1461</v>
      </c>
      <c r="DS74" s="1071">
        <f t="shared" si="495"/>
        <v>1622</v>
      </c>
      <c r="DT74" s="1071">
        <f t="shared" si="495"/>
        <v>3083</v>
      </c>
      <c r="DU74" s="1071">
        <f t="shared" si="495"/>
        <v>1885</v>
      </c>
      <c r="DV74" s="1071">
        <f t="shared" si="495"/>
        <v>4968</v>
      </c>
      <c r="DW74" s="1071" t="e">
        <f t="shared" si="495"/>
        <v>#REF!</v>
      </c>
      <c r="DX74" s="1071" t="e">
        <f t="shared" si="495"/>
        <v>#REF!</v>
      </c>
      <c r="DY74" s="1174" t="e">
        <f t="shared" si="495"/>
        <v>#REF!</v>
      </c>
      <c r="DZ74" s="1071">
        <f t="shared" ref="DZ74:EF74" si="496">DZ807+DZ822+DZ816</f>
        <v>1743</v>
      </c>
      <c r="EA74" s="1071">
        <f t="shared" si="496"/>
        <v>1628</v>
      </c>
      <c r="EB74" s="1071">
        <f t="shared" si="496"/>
        <v>3371</v>
      </c>
      <c r="EC74" s="1071">
        <f t="shared" si="496"/>
        <v>2056</v>
      </c>
      <c r="ED74" s="1071">
        <f t="shared" si="496"/>
        <v>5427</v>
      </c>
      <c r="EE74" s="1071">
        <f t="shared" si="496"/>
        <v>1762</v>
      </c>
      <c r="EF74" s="1071">
        <f t="shared" si="496"/>
        <v>3818</v>
      </c>
      <c r="EG74" s="1174">
        <f>EG807+EG822+EG816+EG831</f>
        <v>7191</v>
      </c>
      <c r="EH74" s="1071">
        <f t="shared" ref="EH74:FB74" si="497">EH807+EH822+EH816</f>
        <v>1995</v>
      </c>
      <c r="EI74" s="1071">
        <f t="shared" si="497"/>
        <v>1973</v>
      </c>
      <c r="EJ74" s="1071">
        <f t="shared" si="497"/>
        <v>3968</v>
      </c>
      <c r="EK74" s="1071">
        <f t="shared" si="497"/>
        <v>2302</v>
      </c>
      <c r="EL74" s="1071">
        <f t="shared" si="497"/>
        <v>6270</v>
      </c>
      <c r="EM74" s="1071">
        <f t="shared" si="497"/>
        <v>1809</v>
      </c>
      <c r="EN74" s="1071">
        <f t="shared" si="497"/>
        <v>4111</v>
      </c>
      <c r="EO74" s="1072">
        <f t="shared" si="497"/>
        <v>8079</v>
      </c>
      <c r="EP74" s="1071">
        <f t="shared" si="497"/>
        <v>1942</v>
      </c>
      <c r="EQ74" s="1071">
        <f t="shared" si="497"/>
        <v>1841</v>
      </c>
      <c r="ER74" s="1071">
        <f t="shared" si="497"/>
        <v>3783</v>
      </c>
      <c r="ES74" s="1071">
        <f t="shared" si="497"/>
        <v>2160</v>
      </c>
      <c r="ET74" s="1071">
        <f t="shared" si="497"/>
        <v>5943</v>
      </c>
      <c r="EU74" s="1071">
        <f t="shared" si="497"/>
        <v>1819</v>
      </c>
      <c r="EV74" s="1071">
        <f t="shared" si="497"/>
        <v>3979</v>
      </c>
      <c r="EW74" s="1072">
        <f t="shared" si="497"/>
        <v>7762</v>
      </c>
      <c r="EX74" s="1071">
        <f t="shared" si="497"/>
        <v>1933</v>
      </c>
      <c r="EY74" s="1071">
        <f t="shared" si="497"/>
        <v>1979</v>
      </c>
      <c r="EZ74" s="1071">
        <f t="shared" si="497"/>
        <v>3912</v>
      </c>
      <c r="FA74" s="1071">
        <f t="shared" si="497"/>
        <v>2337</v>
      </c>
      <c r="FB74" s="1071">
        <f t="shared" si="497"/>
        <v>6249</v>
      </c>
      <c r="FC74" s="1175"/>
      <c r="FD74" s="1175"/>
      <c r="FE74" s="1176"/>
      <c r="FF74" s="1071"/>
      <c r="FG74" s="1071"/>
      <c r="FH74" s="1071"/>
      <c r="FI74" s="1071"/>
      <c r="FJ74" s="1071"/>
      <c r="FK74" s="1071"/>
      <c r="FL74" s="1071"/>
      <c r="FM74" s="1072"/>
      <c r="FN74" s="1071"/>
      <c r="FO74" s="1071"/>
      <c r="FP74" s="1071"/>
      <c r="FQ74" s="1071"/>
      <c r="FR74" s="1071"/>
      <c r="FS74" s="1071"/>
      <c r="FT74" s="1071"/>
      <c r="FU74" s="1071"/>
      <c r="FV74" s="1177"/>
      <c r="FW74" s="1071"/>
      <c r="FX74" s="1071"/>
      <c r="FY74" s="1071"/>
      <c r="FZ74" s="1071"/>
      <c r="GA74" s="1071"/>
      <c r="GB74" s="1071"/>
      <c r="GC74" s="1072"/>
      <c r="GD74" s="1071"/>
      <c r="GE74" s="1071"/>
      <c r="GF74" s="1071"/>
      <c r="GG74" s="1071"/>
      <c r="GH74" s="1071"/>
      <c r="GI74" s="1071"/>
      <c r="GJ74" s="1071"/>
      <c r="GK74" s="1072"/>
      <c r="GL74" s="1071"/>
      <c r="GM74" s="1071"/>
      <c r="GN74" s="1071"/>
      <c r="GO74" s="1071"/>
      <c r="GP74" s="1071"/>
      <c r="GQ74" s="1071"/>
      <c r="GR74" s="1071"/>
      <c r="GS74" s="1072"/>
      <c r="GT74" s="1071"/>
      <c r="GU74" s="1071"/>
      <c r="GV74" s="1071"/>
      <c r="GW74" s="1071"/>
      <c r="GX74" s="1071"/>
      <c r="GY74" s="1071"/>
      <c r="GZ74" s="1071"/>
      <c r="HA74" s="1072"/>
      <c r="HB74" s="1071"/>
      <c r="HC74" s="1071"/>
      <c r="HD74" s="1071"/>
      <c r="HE74" s="1071"/>
      <c r="HF74" s="1071"/>
      <c r="HG74" s="1071"/>
      <c r="HH74" s="1071"/>
      <c r="HI74" s="1072"/>
      <c r="HJ74" s="1071"/>
      <c r="HK74" s="1071"/>
      <c r="HL74" s="1071"/>
      <c r="HM74" s="1071"/>
      <c r="HN74" s="1071"/>
      <c r="HO74" s="1071"/>
      <c r="HP74" s="1071"/>
      <c r="HQ74" s="1072"/>
      <c r="HR74" s="1071"/>
      <c r="HS74" s="1071"/>
      <c r="HT74" s="1071"/>
      <c r="HU74" s="1071"/>
      <c r="HV74" s="1071"/>
      <c r="HW74" s="1071"/>
      <c r="HX74" s="1071"/>
      <c r="HY74" s="1071"/>
      <c r="HZ74" s="1071"/>
      <c r="IA74" s="1071"/>
      <c r="IB74" s="1071"/>
      <c r="IC74" s="1071"/>
      <c r="ID74" s="1071"/>
      <c r="IE74" s="1071"/>
      <c r="IF74" s="1071"/>
      <c r="IG74" s="1072"/>
      <c r="IH74" s="1071"/>
      <c r="II74" s="1071"/>
      <c r="IJ74" s="1071"/>
      <c r="IK74" s="1071"/>
      <c r="IL74" s="1071"/>
      <c r="IM74" s="1071"/>
      <c r="IN74" s="1071"/>
      <c r="IO74" s="1072"/>
      <c r="IP74" s="1071"/>
      <c r="IQ74" s="1071"/>
      <c r="IR74" s="1071"/>
      <c r="IS74" s="1071"/>
      <c r="IT74" s="1071"/>
      <c r="IU74" s="1071"/>
      <c r="IV74" s="1071"/>
      <c r="IW74" s="1071"/>
      <c r="IX74" s="1049"/>
      <c r="IY74" s="1049"/>
      <c r="IZ74" s="1049"/>
      <c r="JA74" s="1049"/>
      <c r="JB74" s="1049"/>
      <c r="JC74" s="1049"/>
      <c r="JD74" s="1049"/>
      <c r="JE74" s="1071"/>
      <c r="JF74" s="1071"/>
      <c r="JG74" s="1071"/>
      <c r="JH74" s="1071"/>
    </row>
    <row r="75" hidden="1" outlineLevel="1" spans="1:334">
      <c r="A75" s="1117" t="s">
        <v>61</v>
      </c>
      <c r="AX75" s="1059"/>
      <c r="BE75" s="1060"/>
      <c r="BN75" s="1059"/>
      <c r="BU75" s="1060"/>
      <c r="BV75" s="1059"/>
      <c r="CC75" s="1060"/>
      <c r="CD75" s="1059"/>
      <c r="CJ75" s="1061"/>
      <c r="CK75" s="1060"/>
      <c r="CL75" s="1059"/>
      <c r="CS75" s="1060"/>
      <c r="CT75" s="1117"/>
      <c r="CU75" s="1117"/>
      <c r="CV75" s="1117"/>
      <c r="CW75" s="1117"/>
      <c r="CX75" s="1117"/>
      <c r="CY75" s="1117"/>
      <c r="CZ75" s="1117"/>
      <c r="DA75" s="1117"/>
      <c r="DB75" s="1082"/>
      <c r="DC75" s="1080"/>
      <c r="DD75" s="1080"/>
      <c r="DE75" s="1080"/>
      <c r="DF75" s="1080"/>
      <c r="DG75" s="1080"/>
      <c r="DH75" s="1080"/>
      <c r="DI75" s="1081"/>
      <c r="DJ75" s="1080">
        <f t="shared" ref="DJ75:DR75" si="498">DJ74/DB74-1</f>
        <v>-0.0478011472275335</v>
      </c>
      <c r="DK75" s="1080">
        <f t="shared" si="498"/>
        <v>-0.0894418291862811</v>
      </c>
      <c r="DL75" s="1080">
        <f t="shared" si="498"/>
        <v>-0.0680628272251309</v>
      </c>
      <c r="DM75" s="1080">
        <f t="shared" si="498"/>
        <v>-0.0684150513112884</v>
      </c>
      <c r="DN75" s="1080">
        <f t="shared" si="498"/>
        <v>-0.0681912681912682</v>
      </c>
      <c r="DO75" s="1080">
        <f t="shared" si="498"/>
        <v>-0.0556715379262352</v>
      </c>
      <c r="DP75" s="1080">
        <f t="shared" si="498"/>
        <v>-0.0626762770291445</v>
      </c>
      <c r="DQ75" s="1081">
        <f t="shared" si="498"/>
        <v>-0.0653218059558117</v>
      </c>
      <c r="DR75" s="1082">
        <f t="shared" si="498"/>
        <v>-0.0220883534136547</v>
      </c>
      <c r="DS75" s="1082">
        <f t="shared" ref="DS75:DY75" si="499">DS74/DK74-1</f>
        <v>0.197932053175776</v>
      </c>
      <c r="DT75" s="1082">
        <f t="shared" si="499"/>
        <v>0.0825140449438202</v>
      </c>
      <c r="DU75" s="1082">
        <f t="shared" si="499"/>
        <v>0.153610771113831</v>
      </c>
      <c r="DV75" s="1082">
        <f t="shared" si="499"/>
        <v>0.108433734939759</v>
      </c>
      <c r="DW75" s="1082" t="e">
        <f t="shared" si="499"/>
        <v>#REF!</v>
      </c>
      <c r="DX75" s="1082" t="e">
        <f t="shared" si="499"/>
        <v>#REF!</v>
      </c>
      <c r="DY75" s="1085" t="e">
        <f t="shared" si="499"/>
        <v>#REF!</v>
      </c>
      <c r="DZ75" s="1082">
        <f t="shared" ref="DZ75:EG75" si="500">DZ74/DR74-1</f>
        <v>0.193018480492813</v>
      </c>
      <c r="EA75" s="1082">
        <f t="shared" si="500"/>
        <v>0.00369913686806411</v>
      </c>
      <c r="EB75" s="1082">
        <f t="shared" si="500"/>
        <v>0.0934155043788518</v>
      </c>
      <c r="EC75" s="1082">
        <f t="shared" si="500"/>
        <v>0.0907161803713528</v>
      </c>
      <c r="ED75" s="1082">
        <f t="shared" si="500"/>
        <v>0.0923913043478262</v>
      </c>
      <c r="EE75" s="1082" t="e">
        <f t="shared" si="500"/>
        <v>#REF!</v>
      </c>
      <c r="EF75" s="1082" t="e">
        <f t="shared" si="500"/>
        <v>#REF!</v>
      </c>
      <c r="EG75" s="1085" t="e">
        <f t="shared" si="500"/>
        <v>#REF!</v>
      </c>
      <c r="EH75" s="1082">
        <f t="shared" ref="EH75:ER75" si="501">EH74/DZ74-1</f>
        <v>0.144578313253012</v>
      </c>
      <c r="EI75" s="1082">
        <f t="shared" si="501"/>
        <v>0.211916461916462</v>
      </c>
      <c r="EJ75" s="1082">
        <f t="shared" si="501"/>
        <v>0.177098783743696</v>
      </c>
      <c r="EK75" s="1082">
        <f t="shared" si="501"/>
        <v>0.119649805447471</v>
      </c>
      <c r="EL75" s="1082">
        <f t="shared" si="501"/>
        <v>0.155334438916529</v>
      </c>
      <c r="EM75" s="1082">
        <f t="shared" si="501"/>
        <v>0.0266742338251986</v>
      </c>
      <c r="EN75" s="1082">
        <f t="shared" si="501"/>
        <v>0.0767417496071241</v>
      </c>
      <c r="EO75" s="1085">
        <f t="shared" si="501"/>
        <v>0.12348769294952</v>
      </c>
      <c r="EP75" s="1082">
        <f t="shared" si="501"/>
        <v>-0.0265664160401002</v>
      </c>
      <c r="EQ75" s="1082">
        <f t="shared" si="501"/>
        <v>-0.0669031931069437</v>
      </c>
      <c r="ER75" s="1082">
        <f t="shared" si="501"/>
        <v>-0.0466229838709677</v>
      </c>
      <c r="ES75" s="1082">
        <f t="shared" ref="ES75:FB75" si="502">ES74/EK74-1</f>
        <v>-0.0616854908774979</v>
      </c>
      <c r="ET75" s="1082">
        <f t="shared" si="502"/>
        <v>-0.0521531100478468</v>
      </c>
      <c r="EU75" s="1082">
        <f t="shared" si="502"/>
        <v>0.00552791597567714</v>
      </c>
      <c r="EV75" s="1082">
        <f t="shared" si="502"/>
        <v>-0.0321089759182681</v>
      </c>
      <c r="EW75" s="1085">
        <f t="shared" si="502"/>
        <v>-0.0392375293972026</v>
      </c>
      <c r="EX75" s="1082">
        <f t="shared" si="502"/>
        <v>-0.00463439752832129</v>
      </c>
      <c r="EY75" s="1082">
        <f t="shared" si="502"/>
        <v>0.0749592612710483</v>
      </c>
      <c r="EZ75" s="1082">
        <f t="shared" si="502"/>
        <v>0.0340999206978589</v>
      </c>
      <c r="FA75" s="1082">
        <f t="shared" si="502"/>
        <v>0.0819444444444444</v>
      </c>
      <c r="FB75" s="1082">
        <f t="shared" si="502"/>
        <v>0.0514891468955072</v>
      </c>
      <c r="FC75" s="1168"/>
      <c r="FD75" s="1168"/>
      <c r="FE75" s="1169"/>
      <c r="FF75" s="1082"/>
      <c r="FG75" s="1082"/>
      <c r="FH75" s="1082"/>
      <c r="FI75" s="1082"/>
      <c r="FJ75" s="1082"/>
      <c r="FK75" s="1082"/>
      <c r="FL75" s="1082"/>
      <c r="FM75" s="1085"/>
      <c r="FN75" s="1082"/>
      <c r="FO75" s="1082"/>
      <c r="FP75" s="1082"/>
      <c r="FQ75" s="1082"/>
      <c r="FR75" s="1082"/>
      <c r="FS75" s="1082"/>
      <c r="FT75" s="1082"/>
      <c r="FU75" s="1082"/>
      <c r="FV75" s="1109"/>
      <c r="FW75" s="1082"/>
      <c r="FX75" s="1082"/>
      <c r="FY75" s="1082"/>
      <c r="FZ75" s="1082"/>
      <c r="GA75" s="1082"/>
      <c r="GB75" s="1082"/>
      <c r="GC75" s="1085"/>
      <c r="GD75" s="1082"/>
      <c r="GE75" s="1082"/>
      <c r="GF75" s="1082"/>
      <c r="GG75" s="1082"/>
      <c r="GH75" s="1082"/>
      <c r="GI75" s="1082"/>
      <c r="GJ75" s="1082"/>
      <c r="GK75" s="1085"/>
      <c r="GL75" s="1082"/>
      <c r="GM75" s="1082"/>
      <c r="GN75" s="1082"/>
      <c r="GO75" s="1082"/>
      <c r="GP75" s="1082"/>
      <c r="GQ75" s="1082"/>
      <c r="GR75" s="1082"/>
      <c r="GS75" s="1085"/>
      <c r="GT75" s="1082"/>
      <c r="GU75" s="1082"/>
      <c r="GV75" s="1082"/>
      <c r="GW75" s="1082"/>
      <c r="GX75" s="1082"/>
      <c r="GY75" s="1082"/>
      <c r="GZ75" s="1082"/>
      <c r="HA75" s="1085"/>
      <c r="HB75" s="1082"/>
      <c r="HC75" s="1082"/>
      <c r="HD75" s="1082"/>
      <c r="HE75" s="1082"/>
      <c r="HF75" s="1082"/>
      <c r="HG75" s="1082"/>
      <c r="HH75" s="1082"/>
      <c r="HI75" s="1085"/>
      <c r="HJ75" s="1082"/>
      <c r="HK75" s="1082"/>
      <c r="HL75" s="1082"/>
      <c r="HM75" s="1082"/>
      <c r="HN75" s="1082"/>
      <c r="HO75" s="1082"/>
      <c r="HP75" s="1082"/>
      <c r="HQ75" s="1085"/>
      <c r="HR75" s="1082"/>
      <c r="HS75" s="1082"/>
      <c r="HT75" s="1082"/>
      <c r="HU75" s="1082"/>
      <c r="HV75" s="1082"/>
      <c r="HW75" s="1082"/>
      <c r="HX75" s="1082"/>
      <c r="HY75" s="1082"/>
      <c r="HZ75" s="1082"/>
      <c r="IA75" s="1082"/>
      <c r="IB75" s="1082"/>
      <c r="IC75" s="1082"/>
      <c r="ID75" s="1082"/>
      <c r="IE75" s="1082"/>
      <c r="IF75" s="1082"/>
      <c r="IG75" s="1085"/>
      <c r="IH75" s="1082"/>
      <c r="II75" s="1082"/>
      <c r="IJ75" s="1082"/>
      <c r="IK75" s="1082"/>
      <c r="IL75" s="1082"/>
      <c r="IM75" s="1082"/>
      <c r="IN75" s="1082"/>
      <c r="IO75" s="1085"/>
      <c r="IP75" s="1082"/>
      <c r="IQ75" s="1082"/>
      <c r="IR75" s="1082"/>
      <c r="IS75" s="1082"/>
      <c r="IT75" s="1082"/>
      <c r="IU75" s="1082"/>
      <c r="IV75" s="1082"/>
      <c r="IW75" s="1082"/>
      <c r="IX75" s="1049"/>
      <c r="IY75" s="1049"/>
      <c r="IZ75" s="1049"/>
      <c r="JA75" s="1049"/>
      <c r="JB75" s="1049"/>
      <c r="JC75" s="1049"/>
      <c r="JD75" s="1041"/>
      <c r="JE75" s="1037"/>
      <c r="JF75" s="1037"/>
      <c r="JG75" s="1037"/>
      <c r="JH75" s="1037"/>
      <c r="JI75" s="1035"/>
      <c r="JJ75" s="1035"/>
      <c r="JK75" s="1035"/>
      <c r="JL75" s="1035"/>
      <c r="JM75" s="1035"/>
      <c r="JN75" s="1035"/>
      <c r="JO75" s="1035"/>
      <c r="JP75" s="1035"/>
      <c r="JQ75" s="1035"/>
      <c r="JR75" s="1035"/>
      <c r="JS75" s="1035"/>
      <c r="JT75" s="1035"/>
      <c r="JU75" s="1035"/>
      <c r="JV75" s="1035"/>
      <c r="JW75" s="1035"/>
      <c r="JX75" s="1035"/>
      <c r="JY75" s="1035"/>
      <c r="LV75" s="1025"/>
    </row>
    <row r="76" s="1025" customFormat="1" hidden="1" outlineLevel="1" spans="1:334">
      <c r="A76" s="1025" t="s">
        <v>89</v>
      </c>
      <c r="B76" s="1170"/>
      <c r="C76" s="1170"/>
      <c r="D76" s="1170"/>
      <c r="E76" s="1170"/>
      <c r="F76" s="1170"/>
      <c r="G76" s="1170"/>
      <c r="H76" s="1170"/>
      <c r="I76" s="1170"/>
      <c r="J76" s="1170"/>
      <c r="K76" s="1170"/>
      <c r="L76" s="1170"/>
      <c r="M76" s="1170"/>
      <c r="N76" s="1170"/>
      <c r="O76" s="1170"/>
      <c r="P76" s="1170"/>
      <c r="Q76" s="1170"/>
      <c r="R76" s="1170"/>
      <c r="S76" s="1170"/>
      <c r="T76" s="1170"/>
      <c r="U76" s="1170"/>
      <c r="V76" s="1170"/>
      <c r="W76" s="1170"/>
      <c r="X76" s="1170"/>
      <c r="Y76" s="1170"/>
      <c r="Z76" s="1170"/>
      <c r="AA76" s="1170"/>
      <c r="AB76" s="1170"/>
      <c r="AC76" s="1170"/>
      <c r="AD76" s="1170"/>
      <c r="AE76" s="1170"/>
      <c r="AF76" s="1170"/>
      <c r="AG76" s="1170"/>
      <c r="AH76" s="1170"/>
      <c r="AI76" s="1170"/>
      <c r="AJ76" s="1170"/>
      <c r="AK76" s="1170"/>
      <c r="AL76" s="1170"/>
      <c r="AM76" s="1170"/>
      <c r="AN76" s="1170"/>
      <c r="AO76" s="1170"/>
      <c r="AP76" s="1170"/>
      <c r="AQ76" s="1170"/>
      <c r="AR76" s="1170"/>
      <c r="AS76" s="1170"/>
      <c r="AT76" s="1170"/>
      <c r="AU76" s="1170"/>
      <c r="AV76" s="1170"/>
      <c r="AW76" s="1170"/>
      <c r="AX76" s="1171"/>
      <c r="AY76" s="1170"/>
      <c r="AZ76" s="1170"/>
      <c r="BA76" s="1170"/>
      <c r="BB76" s="1170"/>
      <c r="BC76" s="1170"/>
      <c r="BD76" s="1170"/>
      <c r="BE76" s="1172"/>
      <c r="BF76" s="1170"/>
      <c r="BG76" s="1170"/>
      <c r="BH76" s="1170"/>
      <c r="BI76" s="1170"/>
      <c r="BJ76" s="1170"/>
      <c r="BK76" s="1170"/>
      <c r="BL76" s="1170"/>
      <c r="BM76" s="1170"/>
      <c r="BN76" s="1171"/>
      <c r="BO76" s="1170"/>
      <c r="BP76" s="1170"/>
      <c r="BQ76" s="1170"/>
      <c r="BR76" s="1170"/>
      <c r="BS76" s="1170"/>
      <c r="BT76" s="1170"/>
      <c r="BU76" s="1172"/>
      <c r="BV76" s="1171"/>
      <c r="BW76" s="1170"/>
      <c r="BX76" s="1170"/>
      <c r="BY76" s="1170"/>
      <c r="BZ76" s="1170"/>
      <c r="CA76" s="1170"/>
      <c r="CB76" s="1170"/>
      <c r="CC76" s="1172"/>
      <c r="CD76" s="1171"/>
      <c r="CE76" s="1170"/>
      <c r="CF76" s="1170"/>
      <c r="CG76" s="1170"/>
      <c r="CH76" s="1170"/>
      <c r="CI76" s="1170"/>
      <c r="CJ76" s="1173"/>
      <c r="CK76" s="1172"/>
      <c r="CL76" s="1171"/>
      <c r="CM76" s="1170"/>
      <c r="CN76" s="1170"/>
      <c r="CO76" s="1170"/>
      <c r="CP76" s="1170"/>
      <c r="CQ76" s="1170"/>
      <c r="CR76" s="1170"/>
      <c r="CS76" s="1172"/>
      <c r="DB76" s="1071">
        <f>DB810+DB825</f>
        <v>371</v>
      </c>
      <c r="DC76" s="1071">
        <f>DC810+DC825</f>
        <v>317</v>
      </c>
      <c r="DD76" s="1071">
        <f>DB76+DC76</f>
        <v>688</v>
      </c>
      <c r="DE76" s="1071">
        <f>DE810+DE825</f>
        <v>436</v>
      </c>
      <c r="DF76" s="1071">
        <f>DD76+DE76</f>
        <v>1124</v>
      </c>
      <c r="DG76" s="1071">
        <f>DG810+DG825</f>
        <v>373</v>
      </c>
      <c r="DH76" s="1071">
        <f>DE76+DG76</f>
        <v>809</v>
      </c>
      <c r="DI76" s="1072">
        <f>'Profit and Loss'!O74</f>
        <v>1497</v>
      </c>
      <c r="DJ76" s="1071">
        <f>DJ810+DJ825</f>
        <v>421</v>
      </c>
      <c r="DK76" s="1071">
        <f>DK810+DK825</f>
        <v>376</v>
      </c>
      <c r="DL76" s="1071">
        <f>DJ76+DK76</f>
        <v>797</v>
      </c>
      <c r="DM76" s="1071">
        <f>DM810+DM825</f>
        <v>470</v>
      </c>
      <c r="DN76" s="1071">
        <f>DL76+DM76</f>
        <v>1267</v>
      </c>
      <c r="DO76" s="1071">
        <f>DO810+DO825</f>
        <v>377</v>
      </c>
      <c r="DP76" s="1071">
        <f>DO76+DM76</f>
        <v>847</v>
      </c>
      <c r="DQ76" s="1072">
        <f>'Profit and Loss'!P74</f>
        <v>1645</v>
      </c>
      <c r="DR76" s="1071">
        <f t="shared" ref="DR76:FB76" si="503">DR810+DR825</f>
        <v>520</v>
      </c>
      <c r="DS76" s="1071">
        <f t="shared" si="503"/>
        <v>464</v>
      </c>
      <c r="DT76" s="1071">
        <f t="shared" si="503"/>
        <v>984</v>
      </c>
      <c r="DU76" s="1071">
        <f t="shared" si="503"/>
        <v>613</v>
      </c>
      <c r="DV76" s="1071">
        <f t="shared" si="503"/>
        <v>1597</v>
      </c>
      <c r="DW76" s="1071" t="e">
        <f t="shared" si="503"/>
        <v>#REF!</v>
      </c>
      <c r="DX76" s="1071" t="e">
        <f t="shared" si="503"/>
        <v>#REF!</v>
      </c>
      <c r="DY76" s="1174" t="e">
        <f t="shared" si="503"/>
        <v>#REF!</v>
      </c>
      <c r="DZ76" s="1071">
        <f t="shared" si="503"/>
        <v>677</v>
      </c>
      <c r="EA76" s="1071">
        <f t="shared" si="503"/>
        <v>599</v>
      </c>
      <c r="EB76" s="1071">
        <f t="shared" si="503"/>
        <v>1276</v>
      </c>
      <c r="EC76" s="1071">
        <f t="shared" si="503"/>
        <v>712</v>
      </c>
      <c r="ED76" s="1071">
        <f t="shared" si="503"/>
        <v>1988</v>
      </c>
      <c r="EE76" s="1071">
        <f t="shared" si="503"/>
        <v>625</v>
      </c>
      <c r="EF76" s="1071">
        <f t="shared" si="503"/>
        <v>1337</v>
      </c>
      <c r="EG76" s="1174">
        <f t="shared" si="503"/>
        <v>2613</v>
      </c>
      <c r="EH76" s="1071">
        <f t="shared" si="503"/>
        <v>859</v>
      </c>
      <c r="EI76" s="1071">
        <f t="shared" si="503"/>
        <v>656</v>
      </c>
      <c r="EJ76" s="1071">
        <f t="shared" si="503"/>
        <v>1515</v>
      </c>
      <c r="EK76" s="1071">
        <f t="shared" si="503"/>
        <v>930</v>
      </c>
      <c r="EL76" s="1071">
        <f t="shared" si="503"/>
        <v>2445</v>
      </c>
      <c r="EM76" s="1071">
        <f t="shared" si="503"/>
        <v>706</v>
      </c>
      <c r="EN76" s="1071">
        <f t="shared" si="503"/>
        <v>1636</v>
      </c>
      <c r="EO76" s="1072">
        <f t="shared" si="503"/>
        <v>3151</v>
      </c>
      <c r="EP76" s="1071">
        <f t="shared" si="503"/>
        <v>881</v>
      </c>
      <c r="EQ76" s="1071">
        <f t="shared" si="503"/>
        <v>682</v>
      </c>
      <c r="ER76" s="1071">
        <f t="shared" si="503"/>
        <v>1563</v>
      </c>
      <c r="ES76" s="1071">
        <f t="shared" si="503"/>
        <v>879</v>
      </c>
      <c r="ET76" s="1071">
        <f t="shared" si="503"/>
        <v>2442</v>
      </c>
      <c r="EU76" s="1071">
        <f t="shared" si="503"/>
        <v>734</v>
      </c>
      <c r="EV76" s="1071">
        <f t="shared" si="503"/>
        <v>1613</v>
      </c>
      <c r="EW76" s="1072">
        <f t="shared" si="503"/>
        <v>3176</v>
      </c>
      <c r="EX76" s="1071">
        <f t="shared" si="503"/>
        <v>861</v>
      </c>
      <c r="EY76" s="1071">
        <f t="shared" si="503"/>
        <v>710</v>
      </c>
      <c r="EZ76" s="1071">
        <f t="shared" si="503"/>
        <v>1571</v>
      </c>
      <c r="FA76" s="1071">
        <f t="shared" si="503"/>
        <v>981</v>
      </c>
      <c r="FB76" s="1071">
        <f t="shared" si="503"/>
        <v>2552</v>
      </c>
      <c r="FC76" s="1175"/>
      <c r="FD76" s="1175"/>
      <c r="FE76" s="1176"/>
      <c r="FF76" s="1071"/>
      <c r="FG76" s="1071"/>
      <c r="FH76" s="1071"/>
      <c r="FI76" s="1071"/>
      <c r="FJ76" s="1071"/>
      <c r="FK76" s="1071"/>
      <c r="FL76" s="1071"/>
      <c r="FM76" s="1072"/>
      <c r="FN76" s="1071"/>
      <c r="FO76" s="1071"/>
      <c r="FP76" s="1071"/>
      <c r="FQ76" s="1071"/>
      <c r="FR76" s="1071"/>
      <c r="FS76" s="1071"/>
      <c r="FT76" s="1071"/>
      <c r="FU76" s="1071"/>
      <c r="FV76" s="1177"/>
      <c r="FW76" s="1071"/>
      <c r="FX76" s="1071"/>
      <c r="FY76" s="1071"/>
      <c r="FZ76" s="1071"/>
      <c r="GA76" s="1071"/>
      <c r="GB76" s="1071"/>
      <c r="GC76" s="1072"/>
      <c r="GD76" s="1071"/>
      <c r="GE76" s="1071"/>
      <c r="GF76" s="1071"/>
      <c r="GG76" s="1071"/>
      <c r="GH76" s="1071"/>
      <c r="GI76" s="1071"/>
      <c r="GJ76" s="1071"/>
      <c r="GK76" s="1072"/>
      <c r="GL76" s="1071"/>
      <c r="GM76" s="1071"/>
      <c r="GN76" s="1071"/>
      <c r="GO76" s="1071"/>
      <c r="GP76" s="1071"/>
      <c r="GQ76" s="1071"/>
      <c r="GR76" s="1071"/>
      <c r="GS76" s="1072"/>
      <c r="GT76" s="1071"/>
      <c r="GU76" s="1071"/>
      <c r="GV76" s="1071"/>
      <c r="GW76" s="1071"/>
      <c r="GX76" s="1071"/>
      <c r="GY76" s="1071"/>
      <c r="GZ76" s="1071"/>
      <c r="HA76" s="1072"/>
      <c r="HB76" s="1071"/>
      <c r="HC76" s="1071"/>
      <c r="HD76" s="1071"/>
      <c r="HE76" s="1071"/>
      <c r="HF76" s="1071"/>
      <c r="HG76" s="1071"/>
      <c r="HH76" s="1071"/>
      <c r="HI76" s="1072"/>
      <c r="HJ76" s="1071"/>
      <c r="HK76" s="1071"/>
      <c r="HL76" s="1071"/>
      <c r="HM76" s="1071"/>
      <c r="HN76" s="1071"/>
      <c r="HO76" s="1071"/>
      <c r="HP76" s="1071"/>
      <c r="HQ76" s="1072"/>
      <c r="HR76" s="1071"/>
      <c r="HS76" s="1071"/>
      <c r="HT76" s="1071"/>
      <c r="HU76" s="1071"/>
      <c r="HV76" s="1071"/>
      <c r="HW76" s="1071"/>
      <c r="HX76" s="1071"/>
      <c r="HY76" s="1071"/>
      <c r="HZ76" s="1071"/>
      <c r="IA76" s="1071"/>
      <c r="IB76" s="1071"/>
      <c r="IC76" s="1071"/>
      <c r="ID76" s="1071"/>
      <c r="IE76" s="1071"/>
      <c r="IF76" s="1071"/>
      <c r="IG76" s="1072"/>
      <c r="IH76" s="1071"/>
      <c r="II76" s="1071"/>
      <c r="IJ76" s="1071"/>
      <c r="IK76" s="1071"/>
      <c r="IL76" s="1071"/>
      <c r="IM76" s="1071"/>
      <c r="IN76" s="1071"/>
      <c r="IO76" s="1072"/>
      <c r="IP76" s="1071"/>
      <c r="IQ76" s="1071"/>
      <c r="IR76" s="1071"/>
      <c r="IS76" s="1071"/>
      <c r="IT76" s="1071"/>
      <c r="IU76" s="1071"/>
      <c r="IV76" s="1071"/>
      <c r="IW76" s="1071"/>
      <c r="IX76" s="1049"/>
      <c r="IY76" s="1049"/>
      <c r="IZ76" s="1049"/>
      <c r="JA76" s="1049"/>
      <c r="JB76" s="1049"/>
      <c r="JC76" s="1049"/>
      <c r="JD76" s="1049"/>
      <c r="JE76" s="1071"/>
      <c r="JF76" s="1071"/>
      <c r="JG76" s="1071"/>
      <c r="JH76" s="1071"/>
    </row>
    <row r="77" hidden="1" outlineLevel="1" spans="1:334">
      <c r="A77" s="1117" t="s">
        <v>61</v>
      </c>
      <c r="AX77" s="1059"/>
      <c r="BE77" s="1060"/>
      <c r="BN77" s="1059"/>
      <c r="BU77" s="1060"/>
      <c r="BV77" s="1059"/>
      <c r="CC77" s="1060"/>
      <c r="CD77" s="1059"/>
      <c r="CJ77" s="1061"/>
      <c r="CK77" s="1060"/>
      <c r="CL77" s="1059"/>
      <c r="CS77" s="1060"/>
      <c r="CT77" s="1117"/>
      <c r="CU77" s="1117"/>
      <c r="CV77" s="1117"/>
      <c r="CW77" s="1117"/>
      <c r="CX77" s="1117"/>
      <c r="CY77" s="1117"/>
      <c r="CZ77" s="1117"/>
      <c r="DA77" s="1117"/>
      <c r="DB77" s="1082"/>
      <c r="DC77" s="1080"/>
      <c r="DD77" s="1080"/>
      <c r="DE77" s="1080"/>
      <c r="DF77" s="1080"/>
      <c r="DG77" s="1080"/>
      <c r="DH77" s="1080"/>
      <c r="DI77" s="1081"/>
      <c r="DJ77" s="1080">
        <f t="shared" ref="DJ77:DR77" si="504">DJ76/DB76-1</f>
        <v>0.134770889487871</v>
      </c>
      <c r="DK77" s="1080">
        <f t="shared" si="504"/>
        <v>0.186119873817035</v>
      </c>
      <c r="DL77" s="1080">
        <f t="shared" si="504"/>
        <v>0.158430232558139</v>
      </c>
      <c r="DM77" s="1080">
        <f t="shared" si="504"/>
        <v>0.0779816513761469</v>
      </c>
      <c r="DN77" s="1080">
        <f t="shared" si="504"/>
        <v>0.127224199288256</v>
      </c>
      <c r="DO77" s="1080">
        <f t="shared" si="504"/>
        <v>0.0107238605898123</v>
      </c>
      <c r="DP77" s="1080">
        <f t="shared" si="504"/>
        <v>0.0469715698393078</v>
      </c>
      <c r="DQ77" s="1081">
        <f t="shared" si="504"/>
        <v>0.0988643954575819</v>
      </c>
      <c r="DR77" s="1082">
        <f t="shared" si="504"/>
        <v>0.235154394299287</v>
      </c>
      <c r="DS77" s="1082">
        <f t="shared" ref="DS77:DY77" si="505">DS76/DK76-1</f>
        <v>0.234042553191489</v>
      </c>
      <c r="DT77" s="1082">
        <f t="shared" si="505"/>
        <v>0.234629861982434</v>
      </c>
      <c r="DU77" s="1082">
        <f t="shared" si="505"/>
        <v>0.304255319148936</v>
      </c>
      <c r="DV77" s="1082">
        <f t="shared" si="505"/>
        <v>0.260457774269929</v>
      </c>
      <c r="DW77" s="1082" t="e">
        <f t="shared" si="505"/>
        <v>#REF!</v>
      </c>
      <c r="DX77" s="1082" t="e">
        <f t="shared" si="505"/>
        <v>#REF!</v>
      </c>
      <c r="DY77" s="1085" t="e">
        <f t="shared" si="505"/>
        <v>#REF!</v>
      </c>
      <c r="DZ77" s="1082">
        <f t="shared" ref="DZ77:EG77" si="506">DZ76/DR76-1</f>
        <v>0.301923076923077</v>
      </c>
      <c r="EA77" s="1082">
        <f t="shared" si="506"/>
        <v>0.290948275862069</v>
      </c>
      <c r="EB77" s="1082">
        <f t="shared" si="506"/>
        <v>0.296747967479675</v>
      </c>
      <c r="EC77" s="1082">
        <f t="shared" si="506"/>
        <v>0.161500815660685</v>
      </c>
      <c r="ED77" s="1082">
        <f t="shared" si="506"/>
        <v>0.244834063869756</v>
      </c>
      <c r="EE77" s="1082" t="e">
        <f t="shared" si="506"/>
        <v>#REF!</v>
      </c>
      <c r="EF77" s="1082" t="e">
        <f t="shared" si="506"/>
        <v>#REF!</v>
      </c>
      <c r="EG77" s="1085" t="e">
        <f t="shared" si="506"/>
        <v>#REF!</v>
      </c>
      <c r="EH77" s="1082">
        <f t="shared" ref="EH77:ER77" si="507">EH76/DZ76-1</f>
        <v>0.268833087149188</v>
      </c>
      <c r="EI77" s="1082">
        <f t="shared" si="507"/>
        <v>0.0951585976627713</v>
      </c>
      <c r="EJ77" s="1082">
        <f t="shared" si="507"/>
        <v>0.18730407523511</v>
      </c>
      <c r="EK77" s="1082">
        <f t="shared" si="507"/>
        <v>0.306179775280899</v>
      </c>
      <c r="EL77" s="1082">
        <f t="shared" si="507"/>
        <v>0.229879275653924</v>
      </c>
      <c r="EM77" s="1082">
        <f t="shared" si="507"/>
        <v>0.1296</v>
      </c>
      <c r="EN77" s="1082">
        <f t="shared" si="507"/>
        <v>0.223635003739716</v>
      </c>
      <c r="EO77" s="1085">
        <f t="shared" si="507"/>
        <v>0.205893608878684</v>
      </c>
      <c r="EP77" s="1082">
        <f t="shared" si="507"/>
        <v>0.0256111757857975</v>
      </c>
      <c r="EQ77" s="1082">
        <f t="shared" si="507"/>
        <v>0.0396341463414633</v>
      </c>
      <c r="ER77" s="1082">
        <f t="shared" si="507"/>
        <v>0.0316831683168317</v>
      </c>
      <c r="ES77" s="1082">
        <f t="shared" ref="ES77:FB77" si="508">ES76/EK76-1</f>
        <v>-0.0548387096774193</v>
      </c>
      <c r="ET77" s="1082">
        <f t="shared" si="508"/>
        <v>-0.00122699386503067</v>
      </c>
      <c r="EU77" s="1082">
        <f t="shared" si="508"/>
        <v>0.0396600566572238</v>
      </c>
      <c r="EV77" s="1082">
        <f t="shared" si="508"/>
        <v>-0.0140586797066015</v>
      </c>
      <c r="EW77" s="1085">
        <f t="shared" si="508"/>
        <v>0.00793398920977473</v>
      </c>
      <c r="EX77" s="1082">
        <f t="shared" si="508"/>
        <v>-0.0227014755959137</v>
      </c>
      <c r="EY77" s="1082">
        <f t="shared" si="508"/>
        <v>0.0410557184750733</v>
      </c>
      <c r="EZ77" s="1082">
        <f t="shared" si="508"/>
        <v>0.0051183621241202</v>
      </c>
      <c r="FA77" s="1082">
        <f t="shared" si="508"/>
        <v>0.116040955631399</v>
      </c>
      <c r="FB77" s="1082">
        <f t="shared" si="508"/>
        <v>0.045045045045045</v>
      </c>
      <c r="FC77" s="1168"/>
      <c r="FD77" s="1168"/>
      <c r="FE77" s="1169"/>
      <c r="FF77" s="1082"/>
      <c r="FG77" s="1082"/>
      <c r="FH77" s="1082"/>
      <c r="FI77" s="1082"/>
      <c r="FJ77" s="1082"/>
      <c r="FK77" s="1082"/>
      <c r="FL77" s="1082"/>
      <c r="FM77" s="1085"/>
      <c r="FN77" s="1082"/>
      <c r="FO77" s="1082"/>
      <c r="FP77" s="1082"/>
      <c r="FQ77" s="1082"/>
      <c r="FR77" s="1082"/>
      <c r="FS77" s="1082"/>
      <c r="FT77" s="1082"/>
      <c r="FU77" s="1082"/>
      <c r="FV77" s="1109"/>
      <c r="FW77" s="1082"/>
      <c r="FX77" s="1082"/>
      <c r="FY77" s="1082"/>
      <c r="FZ77" s="1082"/>
      <c r="GA77" s="1082"/>
      <c r="GB77" s="1082"/>
      <c r="GC77" s="1085"/>
      <c r="GD77" s="1082"/>
      <c r="GE77" s="1082"/>
      <c r="GF77" s="1082"/>
      <c r="GG77" s="1082"/>
      <c r="GH77" s="1082"/>
      <c r="GI77" s="1082"/>
      <c r="GJ77" s="1082"/>
      <c r="GK77" s="1085"/>
      <c r="GL77" s="1082"/>
      <c r="GM77" s="1082"/>
      <c r="GN77" s="1082"/>
      <c r="GO77" s="1082"/>
      <c r="GP77" s="1082"/>
      <c r="GQ77" s="1082"/>
      <c r="GR77" s="1082"/>
      <c r="GS77" s="1085"/>
      <c r="GT77" s="1082"/>
      <c r="GU77" s="1082"/>
      <c r="GV77" s="1082"/>
      <c r="GW77" s="1082"/>
      <c r="GX77" s="1082"/>
      <c r="GY77" s="1082"/>
      <c r="GZ77" s="1082"/>
      <c r="HA77" s="1085"/>
      <c r="HB77" s="1082"/>
      <c r="HC77" s="1082"/>
      <c r="HD77" s="1082"/>
      <c r="HE77" s="1082"/>
      <c r="HF77" s="1082"/>
      <c r="HG77" s="1082"/>
      <c r="HH77" s="1082"/>
      <c r="HI77" s="1085"/>
      <c r="HJ77" s="1082"/>
      <c r="HK77" s="1082"/>
      <c r="HL77" s="1082"/>
      <c r="HM77" s="1082"/>
      <c r="HN77" s="1082"/>
      <c r="HO77" s="1082"/>
      <c r="HP77" s="1082"/>
      <c r="HQ77" s="1085"/>
      <c r="HR77" s="1082"/>
      <c r="HS77" s="1082"/>
      <c r="HT77" s="1082"/>
      <c r="HU77" s="1082"/>
      <c r="HV77" s="1082"/>
      <c r="HW77" s="1082"/>
      <c r="HX77" s="1082"/>
      <c r="HY77" s="1082"/>
      <c r="HZ77" s="1082"/>
      <c r="IA77" s="1082"/>
      <c r="IB77" s="1082"/>
      <c r="IC77" s="1082"/>
      <c r="ID77" s="1082"/>
      <c r="IE77" s="1082"/>
      <c r="IF77" s="1082"/>
      <c r="IG77" s="1085"/>
      <c r="IH77" s="1082"/>
      <c r="II77" s="1082"/>
      <c r="IJ77" s="1082"/>
      <c r="IK77" s="1082"/>
      <c r="IL77" s="1082"/>
      <c r="IM77" s="1082"/>
      <c r="IN77" s="1082"/>
      <c r="IO77" s="1085"/>
      <c r="IP77" s="1082"/>
      <c r="IQ77" s="1082"/>
      <c r="IR77" s="1082"/>
      <c r="IS77" s="1082"/>
      <c r="IT77" s="1082"/>
      <c r="IU77" s="1082"/>
      <c r="IV77" s="1082"/>
      <c r="IW77" s="1082"/>
      <c r="IX77" s="1049"/>
      <c r="IY77" s="1049"/>
      <c r="IZ77" s="1049"/>
      <c r="JA77" s="1049"/>
      <c r="JB77" s="1049"/>
      <c r="JC77" s="1049"/>
      <c r="JD77" s="1041"/>
      <c r="JE77" s="1037"/>
      <c r="JF77" s="1037"/>
      <c r="JG77" s="1037"/>
      <c r="JH77" s="1037"/>
      <c r="JI77" s="1035"/>
      <c r="JJ77" s="1035"/>
      <c r="JK77" s="1035"/>
      <c r="JL77" s="1035"/>
      <c r="JM77" s="1035"/>
      <c r="JN77" s="1035"/>
      <c r="JO77" s="1035"/>
      <c r="JP77" s="1035"/>
      <c r="JQ77" s="1035"/>
      <c r="JR77" s="1035"/>
      <c r="JS77" s="1035"/>
      <c r="JT77" s="1035"/>
      <c r="JU77" s="1035"/>
      <c r="JV77" s="1035"/>
      <c r="JW77" s="1035"/>
      <c r="JX77" s="1035"/>
      <c r="JY77" s="1035"/>
      <c r="LV77" s="1025"/>
    </row>
    <row r="78" s="1025" customFormat="1" hidden="1" outlineLevel="1" spans="1:334">
      <c r="A78" s="1025" t="s">
        <v>82</v>
      </c>
      <c r="B78" s="1170"/>
      <c r="C78" s="1170"/>
      <c r="D78" s="1170"/>
      <c r="E78" s="1170"/>
      <c r="F78" s="1170"/>
      <c r="G78" s="1170"/>
      <c r="H78" s="1170"/>
      <c r="I78" s="1170"/>
      <c r="J78" s="1170"/>
      <c r="K78" s="1170"/>
      <c r="L78" s="1170"/>
      <c r="M78" s="1170"/>
      <c r="N78" s="1170"/>
      <c r="O78" s="1170"/>
      <c r="P78" s="1170"/>
      <c r="Q78" s="1170"/>
      <c r="R78" s="1170"/>
      <c r="S78" s="1170"/>
      <c r="T78" s="1170"/>
      <c r="U78" s="1170"/>
      <c r="V78" s="1170"/>
      <c r="W78" s="1170"/>
      <c r="X78" s="1170"/>
      <c r="Y78" s="1170"/>
      <c r="Z78" s="1170"/>
      <c r="AA78" s="1170"/>
      <c r="AB78" s="1170"/>
      <c r="AC78" s="1170"/>
      <c r="AD78" s="1170"/>
      <c r="AE78" s="1170"/>
      <c r="AF78" s="1170"/>
      <c r="AG78" s="1170"/>
      <c r="AH78" s="1170"/>
      <c r="AI78" s="1170"/>
      <c r="AJ78" s="1170"/>
      <c r="AK78" s="1170"/>
      <c r="AL78" s="1170"/>
      <c r="AM78" s="1170"/>
      <c r="AN78" s="1170"/>
      <c r="AO78" s="1170"/>
      <c r="AP78" s="1170"/>
      <c r="AQ78" s="1170"/>
      <c r="AR78" s="1170"/>
      <c r="AS78" s="1170"/>
      <c r="AT78" s="1170"/>
      <c r="AU78" s="1170"/>
      <c r="AV78" s="1170"/>
      <c r="AW78" s="1170"/>
      <c r="AX78" s="1171"/>
      <c r="AY78" s="1170"/>
      <c r="AZ78" s="1170"/>
      <c r="BA78" s="1170"/>
      <c r="BB78" s="1170"/>
      <c r="BC78" s="1170"/>
      <c r="BD78" s="1170"/>
      <c r="BE78" s="1172"/>
      <c r="BF78" s="1170"/>
      <c r="BG78" s="1170"/>
      <c r="BH78" s="1170"/>
      <c r="BI78" s="1170"/>
      <c r="BJ78" s="1170"/>
      <c r="BK78" s="1170"/>
      <c r="BL78" s="1170"/>
      <c r="BM78" s="1170"/>
      <c r="BN78" s="1171"/>
      <c r="BO78" s="1170"/>
      <c r="BP78" s="1170"/>
      <c r="BQ78" s="1170"/>
      <c r="BR78" s="1170"/>
      <c r="BS78" s="1170"/>
      <c r="BT78" s="1170"/>
      <c r="BU78" s="1172"/>
      <c r="BV78" s="1171"/>
      <c r="BW78" s="1170"/>
      <c r="BX78" s="1170"/>
      <c r="BY78" s="1170"/>
      <c r="BZ78" s="1170"/>
      <c r="CA78" s="1170"/>
      <c r="CB78" s="1170"/>
      <c r="CC78" s="1172"/>
      <c r="CD78" s="1171"/>
      <c r="CE78" s="1170"/>
      <c r="CF78" s="1170"/>
      <c r="CG78" s="1170"/>
      <c r="CH78" s="1170"/>
      <c r="CI78" s="1170"/>
      <c r="CJ78" s="1173"/>
      <c r="CK78" s="1172"/>
      <c r="CL78" s="1171"/>
      <c r="CM78" s="1170"/>
      <c r="CN78" s="1170"/>
      <c r="CO78" s="1170"/>
      <c r="CP78" s="1170"/>
      <c r="CQ78" s="1170"/>
      <c r="CR78" s="1170"/>
      <c r="CS78" s="1172"/>
      <c r="DB78" s="1071">
        <f>DB813+DB828</f>
        <v>375</v>
      </c>
      <c r="DC78" s="1071">
        <f>DC813+DC828</f>
        <v>365</v>
      </c>
      <c r="DD78" s="1071">
        <f>DB78+DC78</f>
        <v>740</v>
      </c>
      <c r="DE78" s="1071">
        <f>DE813+DE828</f>
        <v>532</v>
      </c>
      <c r="DF78" s="1071">
        <f>DD78+DE78</f>
        <v>1272</v>
      </c>
      <c r="DG78" s="1071">
        <f>DG813+DG828</f>
        <v>445</v>
      </c>
      <c r="DH78" s="1071">
        <f>DE78+DG78</f>
        <v>977</v>
      </c>
      <c r="DI78" s="1072">
        <f>'Profit and Loss'!O77</f>
        <v>1717</v>
      </c>
      <c r="DJ78" s="1071">
        <f>DJ813+DJ828</f>
        <v>373</v>
      </c>
      <c r="DK78" s="1071">
        <f>DK813+DK828</f>
        <v>350</v>
      </c>
      <c r="DL78" s="1071">
        <f>DJ78+DK78</f>
        <v>723</v>
      </c>
      <c r="DM78" s="1071">
        <f>DM813+DM828</f>
        <v>469</v>
      </c>
      <c r="DN78" s="1071">
        <f>DL78+DM78</f>
        <v>1192</v>
      </c>
      <c r="DO78" s="1071">
        <f>DO813+DO828</f>
        <v>411</v>
      </c>
      <c r="DP78" s="1071">
        <f>DO78+DM78</f>
        <v>880</v>
      </c>
      <c r="DQ78" s="1072">
        <f>'Profit and Loss'!P77</f>
        <v>1604</v>
      </c>
      <c r="DR78" s="1071">
        <f t="shared" ref="DR78:DZ78" si="509">DR813+DR828</f>
        <v>376</v>
      </c>
      <c r="DS78" s="1071">
        <f t="shared" si="509"/>
        <v>435</v>
      </c>
      <c r="DT78" s="1071">
        <f t="shared" si="509"/>
        <v>811</v>
      </c>
      <c r="DU78" s="1071">
        <f t="shared" si="509"/>
        <v>585</v>
      </c>
      <c r="DV78" s="1071">
        <f t="shared" si="509"/>
        <v>1396</v>
      </c>
      <c r="DW78" s="1071" t="e">
        <f t="shared" si="509"/>
        <v>#REF!</v>
      </c>
      <c r="DX78" s="1071" t="e">
        <f t="shared" si="509"/>
        <v>#REF!</v>
      </c>
      <c r="DY78" s="1174" t="e">
        <f t="shared" si="509"/>
        <v>#REF!</v>
      </c>
      <c r="DZ78" s="1071">
        <f t="shared" si="509"/>
        <v>477</v>
      </c>
      <c r="EA78" s="1071">
        <v>427</v>
      </c>
      <c r="EB78" s="1071">
        <f t="shared" ref="EB78:FB78" si="510">EB813+EB828</f>
        <v>903</v>
      </c>
      <c r="EC78" s="1071">
        <f t="shared" si="510"/>
        <v>564</v>
      </c>
      <c r="ED78" s="1071">
        <f t="shared" si="510"/>
        <v>1467</v>
      </c>
      <c r="EE78" s="1071">
        <f t="shared" si="510"/>
        <v>472</v>
      </c>
      <c r="EF78" s="1071">
        <f t="shared" si="510"/>
        <v>1036</v>
      </c>
      <c r="EG78" s="1174">
        <f t="shared" si="510"/>
        <v>1939</v>
      </c>
      <c r="EH78" s="1071">
        <f t="shared" si="510"/>
        <v>452</v>
      </c>
      <c r="EI78" s="1071">
        <f t="shared" si="510"/>
        <v>335</v>
      </c>
      <c r="EJ78" s="1071">
        <f t="shared" si="510"/>
        <v>787</v>
      </c>
      <c r="EK78" s="1071">
        <f t="shared" si="510"/>
        <v>451</v>
      </c>
      <c r="EL78" s="1071">
        <f t="shared" si="510"/>
        <v>1238</v>
      </c>
      <c r="EM78" s="1071">
        <f t="shared" si="510"/>
        <v>429</v>
      </c>
      <c r="EN78" s="1071">
        <f t="shared" si="510"/>
        <v>880</v>
      </c>
      <c r="EO78" s="1072">
        <f t="shared" si="510"/>
        <v>1667</v>
      </c>
      <c r="EP78" s="1071">
        <f t="shared" si="510"/>
        <v>378</v>
      </c>
      <c r="EQ78" s="1071">
        <f t="shared" si="510"/>
        <v>355</v>
      </c>
      <c r="ER78" s="1071">
        <f t="shared" si="510"/>
        <v>733</v>
      </c>
      <c r="ES78" s="1071">
        <f t="shared" si="510"/>
        <v>439</v>
      </c>
      <c r="ET78" s="1071">
        <f t="shared" si="510"/>
        <v>1172</v>
      </c>
      <c r="EU78" s="1071">
        <f t="shared" si="510"/>
        <v>427</v>
      </c>
      <c r="EV78" s="1071">
        <f t="shared" si="510"/>
        <v>866</v>
      </c>
      <c r="EW78" s="1072">
        <f t="shared" si="510"/>
        <v>1599</v>
      </c>
      <c r="EX78" s="1071">
        <f t="shared" si="510"/>
        <v>358</v>
      </c>
      <c r="EY78" s="1071">
        <f t="shared" si="510"/>
        <v>354</v>
      </c>
      <c r="EZ78" s="1071">
        <f t="shared" si="510"/>
        <v>712</v>
      </c>
      <c r="FA78" s="1071">
        <f t="shared" si="510"/>
        <v>446</v>
      </c>
      <c r="FB78" s="1071">
        <f t="shared" si="510"/>
        <v>1158</v>
      </c>
      <c r="FC78" s="1175"/>
      <c r="FD78" s="1175"/>
      <c r="FE78" s="1176"/>
      <c r="FF78" s="1071"/>
      <c r="FG78" s="1071"/>
      <c r="FH78" s="1071"/>
      <c r="FI78" s="1071"/>
      <c r="FJ78" s="1071"/>
      <c r="FK78" s="1071"/>
      <c r="FL78" s="1071"/>
      <c r="FM78" s="1072"/>
      <c r="FN78" s="1071"/>
      <c r="FO78" s="1071"/>
      <c r="FP78" s="1071"/>
      <c r="FQ78" s="1071"/>
      <c r="FR78" s="1071"/>
      <c r="FS78" s="1071"/>
      <c r="FT78" s="1071"/>
      <c r="FU78" s="1071"/>
      <c r="FV78" s="1177"/>
      <c r="FW78" s="1071"/>
      <c r="FX78" s="1071"/>
      <c r="FY78" s="1071"/>
      <c r="FZ78" s="1071"/>
      <c r="GA78" s="1071"/>
      <c r="GB78" s="1071"/>
      <c r="GC78" s="1072"/>
      <c r="GD78" s="1071"/>
      <c r="GE78" s="1071"/>
      <c r="GF78" s="1071"/>
      <c r="GG78" s="1071"/>
      <c r="GH78" s="1071"/>
      <c r="GI78" s="1071"/>
      <c r="GJ78" s="1071"/>
      <c r="GK78" s="1072"/>
      <c r="GL78" s="1071"/>
      <c r="GM78" s="1071"/>
      <c r="GN78" s="1071"/>
      <c r="GO78" s="1071"/>
      <c r="GP78" s="1071"/>
      <c r="GQ78" s="1071"/>
      <c r="GR78" s="1071"/>
      <c r="GS78" s="1072"/>
      <c r="GT78" s="1071"/>
      <c r="GU78" s="1071"/>
      <c r="GV78" s="1071"/>
      <c r="GW78" s="1071"/>
      <c r="GX78" s="1071"/>
      <c r="GY78" s="1071"/>
      <c r="GZ78" s="1071"/>
      <c r="HA78" s="1072"/>
      <c r="HB78" s="1071"/>
      <c r="HC78" s="1071"/>
      <c r="HD78" s="1071"/>
      <c r="HE78" s="1071"/>
      <c r="HF78" s="1071"/>
      <c r="HG78" s="1071"/>
      <c r="HH78" s="1071"/>
      <c r="HI78" s="1072"/>
      <c r="HJ78" s="1071"/>
      <c r="HK78" s="1071"/>
      <c r="HL78" s="1071"/>
      <c r="HM78" s="1071"/>
      <c r="HN78" s="1071"/>
      <c r="HO78" s="1071"/>
      <c r="HP78" s="1071"/>
      <c r="HQ78" s="1072"/>
      <c r="HR78" s="1071"/>
      <c r="HS78" s="1071"/>
      <c r="HT78" s="1071"/>
      <c r="HU78" s="1071"/>
      <c r="HV78" s="1071"/>
      <c r="HW78" s="1071"/>
      <c r="HX78" s="1071"/>
      <c r="HY78" s="1071"/>
      <c r="HZ78" s="1071"/>
      <c r="IA78" s="1071"/>
      <c r="IB78" s="1071"/>
      <c r="IC78" s="1071"/>
      <c r="ID78" s="1071"/>
      <c r="IE78" s="1071"/>
      <c r="IF78" s="1071"/>
      <c r="IG78" s="1072"/>
      <c r="IH78" s="1071"/>
      <c r="II78" s="1071"/>
      <c r="IJ78" s="1071"/>
      <c r="IK78" s="1071"/>
      <c r="IL78" s="1071"/>
      <c r="IM78" s="1071"/>
      <c r="IN78" s="1071"/>
      <c r="IO78" s="1072"/>
      <c r="IP78" s="1071"/>
      <c r="IQ78" s="1071"/>
      <c r="IR78" s="1071"/>
      <c r="IS78" s="1071"/>
      <c r="IT78" s="1071"/>
      <c r="IU78" s="1071"/>
      <c r="IV78" s="1071"/>
      <c r="IW78" s="1071"/>
      <c r="IX78" s="1049"/>
      <c r="IY78" s="1049"/>
      <c r="IZ78" s="1049"/>
      <c r="JA78" s="1049"/>
      <c r="JB78" s="1049"/>
      <c r="JC78" s="1049"/>
      <c r="JD78" s="1049"/>
      <c r="JE78" s="1071"/>
      <c r="JF78" s="1071"/>
      <c r="JG78" s="1071"/>
      <c r="JH78" s="1071"/>
    </row>
    <row r="79" hidden="1" outlineLevel="1" spans="1:334">
      <c r="A79" s="1117" t="s">
        <v>61</v>
      </c>
      <c r="AX79" s="1059"/>
      <c r="BE79" s="1060"/>
      <c r="BN79" s="1059"/>
      <c r="BU79" s="1060"/>
      <c r="BV79" s="1059"/>
      <c r="CC79" s="1060"/>
      <c r="CD79" s="1059"/>
      <c r="CJ79" s="1061"/>
      <c r="CK79" s="1060"/>
      <c r="CL79" s="1059"/>
      <c r="CS79" s="1060"/>
      <c r="CT79" s="1117"/>
      <c r="CU79" s="1117"/>
      <c r="CV79" s="1117"/>
      <c r="CW79" s="1117"/>
      <c r="CX79" s="1117"/>
      <c r="CY79" s="1117"/>
      <c r="CZ79" s="1117"/>
      <c r="DA79" s="1117"/>
      <c r="DB79" s="1082"/>
      <c r="DC79" s="1080"/>
      <c r="DD79" s="1080"/>
      <c r="DE79" s="1080"/>
      <c r="DF79" s="1080"/>
      <c r="DG79" s="1080"/>
      <c r="DH79" s="1080"/>
      <c r="DI79" s="1081"/>
      <c r="DJ79" s="1080">
        <f t="shared" ref="DJ79:DR79" si="511">DJ78/DB78-1</f>
        <v>-0.0053333333333333</v>
      </c>
      <c r="DK79" s="1080">
        <f t="shared" si="511"/>
        <v>-0.041095890410959</v>
      </c>
      <c r="DL79" s="1080">
        <f t="shared" si="511"/>
        <v>-0.022972972972973</v>
      </c>
      <c r="DM79" s="1080">
        <f t="shared" si="511"/>
        <v>-0.118421052631579</v>
      </c>
      <c r="DN79" s="1080">
        <f t="shared" si="511"/>
        <v>-0.0628930817610063</v>
      </c>
      <c r="DO79" s="1080">
        <f t="shared" si="511"/>
        <v>-0.0764044943820225</v>
      </c>
      <c r="DP79" s="1080">
        <f t="shared" si="511"/>
        <v>-0.0992835209825998</v>
      </c>
      <c r="DQ79" s="1081">
        <f t="shared" si="511"/>
        <v>-0.0658124635993012</v>
      </c>
      <c r="DR79" s="1082">
        <f t="shared" si="511"/>
        <v>0.00804289544235925</v>
      </c>
      <c r="DS79" s="1082">
        <f t="shared" ref="DS79:DY79" si="512">DS78/DK78-1</f>
        <v>0.242857142857143</v>
      </c>
      <c r="DT79" s="1082">
        <f t="shared" si="512"/>
        <v>0.121715076071923</v>
      </c>
      <c r="DU79" s="1082">
        <f t="shared" si="512"/>
        <v>0.247334754797441</v>
      </c>
      <c r="DV79" s="1082">
        <f t="shared" si="512"/>
        <v>0.171140939597315</v>
      </c>
      <c r="DW79" s="1082" t="e">
        <f t="shared" si="512"/>
        <v>#REF!</v>
      </c>
      <c r="DX79" s="1082" t="e">
        <f t="shared" si="512"/>
        <v>#REF!</v>
      </c>
      <c r="DY79" s="1085" t="e">
        <f t="shared" si="512"/>
        <v>#REF!</v>
      </c>
      <c r="DZ79" s="1082">
        <f t="shared" ref="DZ79:EG79" si="513">DZ78/DR78-1</f>
        <v>0.268617021276596</v>
      </c>
      <c r="EA79" s="1082">
        <f t="shared" si="513"/>
        <v>-0.0183908045977011</v>
      </c>
      <c r="EB79" s="1082">
        <f t="shared" si="513"/>
        <v>0.1134401972873</v>
      </c>
      <c r="EC79" s="1082">
        <f t="shared" si="513"/>
        <v>-0.0358974358974359</v>
      </c>
      <c r="ED79" s="1082">
        <f t="shared" si="513"/>
        <v>0.0508595988538683</v>
      </c>
      <c r="EE79" s="1082" t="e">
        <f t="shared" si="513"/>
        <v>#REF!</v>
      </c>
      <c r="EF79" s="1082" t="e">
        <f t="shared" si="513"/>
        <v>#REF!</v>
      </c>
      <c r="EG79" s="1085" t="e">
        <f t="shared" si="513"/>
        <v>#REF!</v>
      </c>
      <c r="EH79" s="1082">
        <f t="shared" ref="EH79:ER79" si="514">EH78/DZ78-1</f>
        <v>-0.0524109014675053</v>
      </c>
      <c r="EI79" s="1082">
        <f t="shared" si="514"/>
        <v>-0.215456674473068</v>
      </c>
      <c r="EJ79" s="1082">
        <f t="shared" si="514"/>
        <v>-0.128460686600221</v>
      </c>
      <c r="EK79" s="1082">
        <f t="shared" si="514"/>
        <v>-0.200354609929078</v>
      </c>
      <c r="EL79" s="1082">
        <f t="shared" si="514"/>
        <v>-0.156100886162236</v>
      </c>
      <c r="EM79" s="1082">
        <f t="shared" si="514"/>
        <v>-0.0911016949152542</v>
      </c>
      <c r="EN79" s="1082">
        <f t="shared" si="514"/>
        <v>-0.150579150579151</v>
      </c>
      <c r="EO79" s="1085">
        <f t="shared" si="514"/>
        <v>-0.140278494069108</v>
      </c>
      <c r="EP79" s="1082">
        <f t="shared" si="514"/>
        <v>-0.163716814159292</v>
      </c>
      <c r="EQ79" s="1082">
        <f t="shared" si="514"/>
        <v>0.0597014925373134</v>
      </c>
      <c r="ER79" s="1082">
        <f t="shared" si="514"/>
        <v>-0.0686149936467598</v>
      </c>
      <c r="ES79" s="1082">
        <f t="shared" ref="ES79:FB79" si="515">ES78/EK78-1</f>
        <v>-0.0266075388026608</v>
      </c>
      <c r="ET79" s="1082">
        <f t="shared" si="515"/>
        <v>-0.0533117932148627</v>
      </c>
      <c r="EU79" s="1082">
        <f t="shared" si="515"/>
        <v>-0.00466200466200462</v>
      </c>
      <c r="EV79" s="1082">
        <f t="shared" si="515"/>
        <v>-0.0159090909090909</v>
      </c>
      <c r="EW79" s="1085">
        <f t="shared" si="515"/>
        <v>-0.0407918416316737</v>
      </c>
      <c r="EX79" s="1082">
        <f t="shared" si="515"/>
        <v>-0.0529100529100529</v>
      </c>
      <c r="EY79" s="1082">
        <f t="shared" si="515"/>
        <v>-0.0028169014084507</v>
      </c>
      <c r="EZ79" s="1082">
        <f t="shared" si="515"/>
        <v>-0.0286493860845839</v>
      </c>
      <c r="FA79" s="1082">
        <f t="shared" si="515"/>
        <v>0.0159453302961277</v>
      </c>
      <c r="FB79" s="1082">
        <f t="shared" si="515"/>
        <v>-0.0119453924914675</v>
      </c>
      <c r="FC79" s="1168"/>
      <c r="FD79" s="1168"/>
      <c r="FE79" s="1169"/>
      <c r="FF79" s="1082"/>
      <c r="FG79" s="1082"/>
      <c r="FH79" s="1082"/>
      <c r="FI79" s="1082"/>
      <c r="FJ79" s="1082"/>
      <c r="FK79" s="1082"/>
      <c r="FL79" s="1082"/>
      <c r="FM79" s="1085"/>
      <c r="FN79" s="1082"/>
      <c r="FO79" s="1082"/>
      <c r="FP79" s="1082"/>
      <c r="FQ79" s="1082"/>
      <c r="FR79" s="1082"/>
      <c r="FS79" s="1082"/>
      <c r="FT79" s="1082"/>
      <c r="FU79" s="1082"/>
      <c r="FV79" s="1109"/>
      <c r="FW79" s="1082"/>
      <c r="FX79" s="1082"/>
      <c r="FY79" s="1082"/>
      <c r="FZ79" s="1082"/>
      <c r="GA79" s="1082"/>
      <c r="GB79" s="1082"/>
      <c r="GC79" s="1085"/>
      <c r="GD79" s="1082"/>
      <c r="GE79" s="1082"/>
      <c r="GF79" s="1082"/>
      <c r="GG79" s="1082"/>
      <c r="GH79" s="1082"/>
      <c r="GI79" s="1082"/>
      <c r="GJ79" s="1082"/>
      <c r="GK79" s="1085"/>
      <c r="GL79" s="1082"/>
      <c r="GM79" s="1082"/>
      <c r="GN79" s="1082"/>
      <c r="GO79" s="1082"/>
      <c r="GP79" s="1082"/>
      <c r="GQ79" s="1082"/>
      <c r="GR79" s="1082"/>
      <c r="GS79" s="1085"/>
      <c r="GT79" s="1082"/>
      <c r="GU79" s="1082"/>
      <c r="GV79" s="1082"/>
      <c r="GW79" s="1082"/>
      <c r="GX79" s="1082"/>
      <c r="GY79" s="1082"/>
      <c r="GZ79" s="1082"/>
      <c r="HA79" s="1085"/>
      <c r="HB79" s="1082"/>
      <c r="HC79" s="1082"/>
      <c r="HD79" s="1082"/>
      <c r="HE79" s="1082"/>
      <c r="HF79" s="1082"/>
      <c r="HG79" s="1082"/>
      <c r="HH79" s="1082"/>
      <c r="HI79" s="1085"/>
      <c r="HJ79" s="1082"/>
      <c r="HK79" s="1082"/>
      <c r="HL79" s="1082"/>
      <c r="HM79" s="1082"/>
      <c r="HN79" s="1082"/>
      <c r="HO79" s="1082"/>
      <c r="HP79" s="1082"/>
      <c r="HQ79" s="1085"/>
      <c r="HR79" s="1082"/>
      <c r="HS79" s="1082"/>
      <c r="HT79" s="1082"/>
      <c r="HU79" s="1082"/>
      <c r="HV79" s="1082"/>
      <c r="HW79" s="1082"/>
      <c r="HX79" s="1082"/>
      <c r="HY79" s="1082"/>
      <c r="HZ79" s="1082"/>
      <c r="IA79" s="1082"/>
      <c r="IB79" s="1082"/>
      <c r="IC79" s="1082"/>
      <c r="ID79" s="1082"/>
      <c r="IE79" s="1082"/>
      <c r="IF79" s="1082"/>
      <c r="IG79" s="1085"/>
      <c r="IH79" s="1082"/>
      <c r="II79" s="1082"/>
      <c r="IJ79" s="1082"/>
      <c r="IK79" s="1082"/>
      <c r="IL79" s="1082"/>
      <c r="IM79" s="1082"/>
      <c r="IN79" s="1082"/>
      <c r="IO79" s="1085"/>
      <c r="IP79" s="1082"/>
      <c r="IQ79" s="1082"/>
      <c r="IR79" s="1082"/>
      <c r="IS79" s="1082"/>
      <c r="IT79" s="1082"/>
      <c r="IU79" s="1082"/>
      <c r="IV79" s="1082"/>
      <c r="IW79" s="1082"/>
      <c r="IX79" s="1049"/>
      <c r="IY79" s="1049"/>
      <c r="IZ79" s="1049"/>
      <c r="JA79" s="1049"/>
      <c r="JB79" s="1049"/>
      <c r="JC79" s="1049"/>
      <c r="JD79" s="1041"/>
      <c r="JE79" s="1037"/>
      <c r="JF79" s="1037"/>
      <c r="JG79" s="1037"/>
      <c r="JH79" s="1037"/>
      <c r="JI79" s="1035"/>
      <c r="JJ79" s="1035"/>
      <c r="JK79" s="1035"/>
      <c r="JL79" s="1035"/>
      <c r="JM79" s="1035"/>
      <c r="JN79" s="1035"/>
      <c r="JO79" s="1035"/>
      <c r="JP79" s="1035"/>
      <c r="JQ79" s="1035"/>
      <c r="JR79" s="1035"/>
      <c r="JS79" s="1035"/>
      <c r="JT79" s="1035"/>
      <c r="JU79" s="1035"/>
      <c r="JV79" s="1035"/>
      <c r="JW79" s="1035"/>
      <c r="JX79" s="1035"/>
      <c r="JY79" s="1035"/>
      <c r="LV79" s="1117"/>
    </row>
    <row r="80" s="969" customFormat="1" hidden="1" outlineLevel="1" spans="1:334">
      <c r="A80" s="1025" t="s">
        <v>90</v>
      </c>
      <c r="B80" s="1057"/>
      <c r="C80" s="1057"/>
      <c r="D80" s="1057"/>
      <c r="E80" s="1057"/>
      <c r="F80" s="1057"/>
      <c r="G80" s="1057"/>
      <c r="H80" s="1057"/>
      <c r="I80" s="1057"/>
      <c r="J80" s="1057"/>
      <c r="K80" s="1057"/>
      <c r="L80" s="1057"/>
      <c r="M80" s="1057"/>
      <c r="N80" s="1057"/>
      <c r="O80" s="1057"/>
      <c r="P80" s="1057"/>
      <c r="Q80" s="1057"/>
      <c r="R80" s="1057"/>
      <c r="S80" s="1057"/>
      <c r="T80" s="1057"/>
      <c r="U80" s="1057"/>
      <c r="V80" s="1057"/>
      <c r="W80" s="1057"/>
      <c r="X80" s="1057"/>
      <c r="Y80" s="1057"/>
      <c r="Z80" s="1057"/>
      <c r="AA80" s="1057"/>
      <c r="AB80" s="1057"/>
      <c r="AC80" s="1057"/>
      <c r="AD80" s="1057"/>
      <c r="AE80" s="1057"/>
      <c r="AF80" s="1057"/>
      <c r="AG80" s="1057"/>
      <c r="AH80" s="1057"/>
      <c r="AI80" s="1057"/>
      <c r="AJ80" s="1057"/>
      <c r="AK80" s="1057"/>
      <c r="AL80" s="1057"/>
      <c r="AM80" s="1057"/>
      <c r="AN80" s="1057"/>
      <c r="AO80" s="1057"/>
      <c r="AP80" s="1057"/>
      <c r="AQ80" s="1057"/>
      <c r="AR80" s="1057"/>
      <c r="AS80" s="1057"/>
      <c r="AT80" s="1057"/>
      <c r="AU80" s="1057"/>
      <c r="AV80" s="1057"/>
      <c r="AW80" s="1057"/>
      <c r="AX80" s="1153"/>
      <c r="AY80" s="1057"/>
      <c r="AZ80" s="1057"/>
      <c r="BA80" s="1057"/>
      <c r="BB80" s="1057"/>
      <c r="BC80" s="1057"/>
      <c r="BD80" s="1057"/>
      <c r="BE80" s="1154"/>
      <c r="BF80" s="1057"/>
      <c r="BG80" s="1057"/>
      <c r="BH80" s="1057"/>
      <c r="BI80" s="1057"/>
      <c r="BJ80" s="1057"/>
      <c r="BK80" s="1057"/>
      <c r="BL80" s="1057"/>
      <c r="BM80" s="1057"/>
      <c r="BN80" s="1153"/>
      <c r="BO80" s="1057"/>
      <c r="BP80" s="1057"/>
      <c r="BQ80" s="1057"/>
      <c r="BR80" s="1057"/>
      <c r="BS80" s="1057"/>
      <c r="BT80" s="1057"/>
      <c r="BU80" s="1154"/>
      <c r="BV80" s="1153"/>
      <c r="BW80" s="1057"/>
      <c r="BX80" s="1057"/>
      <c r="BY80" s="1057"/>
      <c r="BZ80" s="1057"/>
      <c r="CA80" s="1057"/>
      <c r="CB80" s="1057"/>
      <c r="CC80" s="1154"/>
      <c r="CD80" s="1153"/>
      <c r="CE80" s="1057"/>
      <c r="CF80" s="1057"/>
      <c r="CG80" s="1057"/>
      <c r="CH80" s="1057"/>
      <c r="CI80" s="1057"/>
      <c r="CJ80" s="1155"/>
      <c r="CK80" s="1154"/>
      <c r="CL80" s="1153"/>
      <c r="CM80" s="1057"/>
      <c r="CN80" s="1057"/>
      <c r="CO80" s="1057"/>
      <c r="CP80" s="1057"/>
      <c r="CQ80" s="1057"/>
      <c r="CR80" s="1057"/>
      <c r="CS80" s="1154"/>
      <c r="CT80" s="1025"/>
      <c r="CU80" s="1025"/>
      <c r="CV80" s="1025"/>
      <c r="CW80" s="1025"/>
      <c r="CX80" s="1025"/>
      <c r="CY80" s="1025"/>
      <c r="CZ80" s="1025"/>
      <c r="DA80" s="1025"/>
      <c r="DB80" s="1071">
        <f>DB851</f>
        <v>285</v>
      </c>
      <c r="DC80" s="1071">
        <f>DC851</f>
        <v>336</v>
      </c>
      <c r="DD80" s="1071">
        <f>DB80+DC80</f>
        <v>621</v>
      </c>
      <c r="DE80" s="1071">
        <f>DE851</f>
        <v>347</v>
      </c>
      <c r="DF80" s="1071">
        <f>DD80+DE80</f>
        <v>968</v>
      </c>
      <c r="DG80" s="1071">
        <f>DG851</f>
        <v>317</v>
      </c>
      <c r="DH80" s="1071">
        <f>DE80+DG80</f>
        <v>664</v>
      </c>
      <c r="DI80" s="1072">
        <f>'Profit and Loss'!O79</f>
        <v>1285</v>
      </c>
      <c r="DJ80" s="1071">
        <f>DJ851</f>
        <v>293</v>
      </c>
      <c r="DK80" s="1071">
        <f>DK851</f>
        <v>360</v>
      </c>
      <c r="DL80" s="1071">
        <f>DJ80+DK80</f>
        <v>653</v>
      </c>
      <c r="DM80" s="1071">
        <f>DM851</f>
        <v>321</v>
      </c>
      <c r="DN80" s="1071">
        <f>DL80+DM80</f>
        <v>974</v>
      </c>
      <c r="DO80" s="1071">
        <f>DO851</f>
        <v>308</v>
      </c>
      <c r="DP80" s="1071">
        <f>DO80+DM80</f>
        <v>629</v>
      </c>
      <c r="DQ80" s="1072">
        <f>'Profit and Loss'!P79</f>
        <v>1283</v>
      </c>
      <c r="DR80" s="1071">
        <f>DR851</f>
        <v>316</v>
      </c>
      <c r="DS80" s="1071">
        <f>DS851</f>
        <v>387</v>
      </c>
      <c r="DT80" s="1071">
        <f>DR80+DS80</f>
        <v>703</v>
      </c>
      <c r="DU80" s="1071">
        <f>DU851</f>
        <v>383</v>
      </c>
      <c r="DV80" s="1071">
        <f>DT80+DU80</f>
        <v>1086</v>
      </c>
      <c r="DW80" s="1071" t="e">
        <f>DW851</f>
        <v>#REF!</v>
      </c>
      <c r="DX80" s="1071" t="e">
        <f>DW80+DU80</f>
        <v>#REF!</v>
      </c>
      <c r="DY80" s="1174">
        <f>'Profit and Loss'!Q79</f>
        <v>1420</v>
      </c>
      <c r="DZ80" s="1071">
        <f t="shared" ref="DZ80:FB80" si="516">DZ851</f>
        <v>376</v>
      </c>
      <c r="EA80" s="1071">
        <f t="shared" si="516"/>
        <v>410</v>
      </c>
      <c r="EB80" s="1071">
        <f t="shared" si="516"/>
        <v>786</v>
      </c>
      <c r="EC80" s="1071">
        <f t="shared" si="516"/>
        <v>411</v>
      </c>
      <c r="ED80" s="1071">
        <f t="shared" si="516"/>
        <v>1197</v>
      </c>
      <c r="EE80" s="1071">
        <f t="shared" si="516"/>
        <v>382</v>
      </c>
      <c r="EF80" s="1071">
        <f t="shared" si="516"/>
        <v>794</v>
      </c>
      <c r="EG80" s="1174">
        <f t="shared" si="516"/>
        <v>1580</v>
      </c>
      <c r="EH80" s="1071">
        <f t="shared" si="516"/>
        <v>516</v>
      </c>
      <c r="EI80" s="1071">
        <f t="shared" si="516"/>
        <v>551</v>
      </c>
      <c r="EJ80" s="1071">
        <f t="shared" si="516"/>
        <v>1067</v>
      </c>
      <c r="EK80" s="1071">
        <f t="shared" si="516"/>
        <v>486</v>
      </c>
      <c r="EL80" s="1071">
        <f t="shared" si="516"/>
        <v>1553</v>
      </c>
      <c r="EM80" s="1071">
        <f t="shared" si="516"/>
        <v>424</v>
      </c>
      <c r="EN80" s="1071">
        <f t="shared" si="516"/>
        <v>910</v>
      </c>
      <c r="EO80" s="1072">
        <f t="shared" si="516"/>
        <v>1977</v>
      </c>
      <c r="EP80" s="1071">
        <f t="shared" si="516"/>
        <v>548</v>
      </c>
      <c r="EQ80" s="1071">
        <f t="shared" si="516"/>
        <v>503</v>
      </c>
      <c r="ER80" s="1071">
        <f t="shared" si="516"/>
        <v>1051</v>
      </c>
      <c r="ES80" s="1071">
        <f t="shared" si="516"/>
        <v>402</v>
      </c>
      <c r="ET80" s="1071">
        <f t="shared" si="516"/>
        <v>1453</v>
      </c>
      <c r="EU80" s="1071">
        <f t="shared" si="516"/>
        <v>493</v>
      </c>
      <c r="EV80" s="1071">
        <f t="shared" si="516"/>
        <v>895</v>
      </c>
      <c r="EW80" s="1072">
        <f t="shared" si="516"/>
        <v>1946</v>
      </c>
      <c r="EX80" s="1071">
        <f t="shared" si="516"/>
        <v>382</v>
      </c>
      <c r="EY80" s="1071">
        <f t="shared" si="516"/>
        <v>421</v>
      </c>
      <c r="EZ80" s="1071">
        <f t="shared" si="516"/>
        <v>803</v>
      </c>
      <c r="FA80" s="1071">
        <f t="shared" si="516"/>
        <v>355</v>
      </c>
      <c r="FB80" s="1071">
        <f t="shared" si="516"/>
        <v>1158</v>
      </c>
      <c r="FC80" s="1175"/>
      <c r="FD80" s="1175"/>
      <c r="FE80" s="1176"/>
      <c r="FF80" s="1071"/>
      <c r="FG80" s="1071"/>
      <c r="FH80" s="1071"/>
      <c r="FI80" s="1071"/>
      <c r="FJ80" s="1071"/>
      <c r="FK80" s="1071"/>
      <c r="FL80" s="1071"/>
      <c r="FM80" s="1072"/>
      <c r="FN80" s="1071"/>
      <c r="FO80" s="1071"/>
      <c r="FP80" s="1071"/>
      <c r="FQ80" s="1071"/>
      <c r="FR80" s="1071"/>
      <c r="FS80" s="1071"/>
      <c r="FT80" s="1071"/>
      <c r="FU80" s="1071"/>
      <c r="FV80" s="1177"/>
      <c r="FW80" s="1071"/>
      <c r="FX80" s="1071"/>
      <c r="FY80" s="1071"/>
      <c r="FZ80" s="1071"/>
      <c r="GA80" s="1071"/>
      <c r="GB80" s="1071"/>
      <c r="GC80" s="1072"/>
      <c r="GD80" s="1071"/>
      <c r="GE80" s="1071"/>
      <c r="GF80" s="1071"/>
      <c r="GG80" s="1071"/>
      <c r="GH80" s="1071"/>
      <c r="GI80" s="1071"/>
      <c r="GJ80" s="1071"/>
      <c r="GK80" s="1072"/>
      <c r="GL80" s="1071"/>
      <c r="GM80" s="1071"/>
      <c r="GN80" s="1071"/>
      <c r="GO80" s="1071"/>
      <c r="GP80" s="1071"/>
      <c r="GQ80" s="1071"/>
      <c r="GR80" s="1071"/>
      <c r="GS80" s="1072"/>
      <c r="GT80" s="1071"/>
      <c r="GU80" s="1071"/>
      <c r="GV80" s="1071"/>
      <c r="GW80" s="1071"/>
      <c r="GX80" s="1071"/>
      <c r="GY80" s="1071"/>
      <c r="GZ80" s="1071"/>
      <c r="HA80" s="1072"/>
      <c r="HB80" s="1071"/>
      <c r="HC80" s="1071"/>
      <c r="HD80" s="1071"/>
      <c r="HE80" s="1071"/>
      <c r="HF80" s="1071"/>
      <c r="HG80" s="1071"/>
      <c r="HH80" s="1071"/>
      <c r="HI80" s="1072"/>
      <c r="HJ80" s="1071"/>
      <c r="HK80" s="1071"/>
      <c r="HL80" s="1071"/>
      <c r="HM80" s="1071"/>
      <c r="HN80" s="1071"/>
      <c r="HO80" s="1071"/>
      <c r="HP80" s="1071"/>
      <c r="HQ80" s="1072"/>
      <c r="HR80" s="1071"/>
      <c r="HS80" s="1071"/>
      <c r="HT80" s="1071"/>
      <c r="HU80" s="1071"/>
      <c r="HV80" s="1071"/>
      <c r="HW80" s="1071"/>
      <c r="HX80" s="1071"/>
      <c r="HY80" s="1071"/>
      <c r="HZ80" s="1071"/>
      <c r="IA80" s="1071"/>
      <c r="IB80" s="1071"/>
      <c r="IC80" s="1071"/>
      <c r="ID80" s="1071"/>
      <c r="IE80" s="1071"/>
      <c r="IF80" s="1071"/>
      <c r="IG80" s="1072"/>
      <c r="IH80" s="1071"/>
      <c r="II80" s="1071"/>
      <c r="IJ80" s="1071"/>
      <c r="IK80" s="1071"/>
      <c r="IL80" s="1071"/>
      <c r="IM80" s="1071"/>
      <c r="IN80" s="1071"/>
      <c r="IO80" s="1072"/>
      <c r="IP80" s="1071"/>
      <c r="IQ80" s="1071"/>
      <c r="IR80" s="1071"/>
      <c r="IS80" s="1071"/>
      <c r="IT80" s="1071"/>
      <c r="IU80" s="1071"/>
      <c r="IV80" s="1071"/>
      <c r="IW80" s="1071"/>
      <c r="IX80" s="1049"/>
      <c r="IY80" s="1049"/>
      <c r="IZ80" s="1049"/>
      <c r="JA80" s="1049"/>
      <c r="JB80" s="1049"/>
      <c r="JC80" s="1049"/>
      <c r="JD80" s="1103"/>
      <c r="JE80" s="1079"/>
      <c r="JF80" s="1079"/>
      <c r="JG80" s="1079"/>
      <c r="JH80" s="1079"/>
      <c r="LV80" s="1025"/>
    </row>
    <row r="81" hidden="1" outlineLevel="1" spans="1:334">
      <c r="A81" s="1117" t="s">
        <v>61</v>
      </c>
      <c r="AX81" s="1059"/>
      <c r="BE81" s="1060"/>
      <c r="BN81" s="1059"/>
      <c r="BU81" s="1060"/>
      <c r="BV81" s="1059"/>
      <c r="CC81" s="1060"/>
      <c r="CD81" s="1059"/>
      <c r="CJ81" s="1061"/>
      <c r="CK81" s="1060"/>
      <c r="CL81" s="1059"/>
      <c r="CS81" s="1060"/>
      <c r="CT81" s="1025"/>
      <c r="CU81" s="1025"/>
      <c r="CV81" s="1025"/>
      <c r="CW81" s="1025"/>
      <c r="CX81" s="1025"/>
      <c r="CY81" s="1025"/>
      <c r="CZ81" s="1025"/>
      <c r="DA81" s="1025"/>
      <c r="DB81" s="1082"/>
      <c r="DC81" s="1080"/>
      <c r="DD81" s="1080"/>
      <c r="DE81" s="1080"/>
      <c r="DF81" s="1080"/>
      <c r="DG81" s="1080"/>
      <c r="DH81" s="1080"/>
      <c r="DI81" s="1081"/>
      <c r="DJ81" s="1080">
        <f t="shared" ref="DJ81:DR81" si="517">DJ80/DB80-1</f>
        <v>0.0280701754385966</v>
      </c>
      <c r="DK81" s="1080">
        <f t="shared" si="517"/>
        <v>0.0714285714285714</v>
      </c>
      <c r="DL81" s="1080">
        <f t="shared" si="517"/>
        <v>0.0515297906602254</v>
      </c>
      <c r="DM81" s="1080">
        <f t="shared" si="517"/>
        <v>-0.0749279538904899</v>
      </c>
      <c r="DN81" s="1080">
        <f t="shared" si="517"/>
        <v>0.00619834710743805</v>
      </c>
      <c r="DO81" s="1080">
        <f t="shared" si="517"/>
        <v>-0.0283911671924291</v>
      </c>
      <c r="DP81" s="1080">
        <f t="shared" si="517"/>
        <v>-0.052710843373494</v>
      </c>
      <c r="DQ81" s="1081">
        <f t="shared" si="517"/>
        <v>-0.00155642023346303</v>
      </c>
      <c r="DR81" s="1082">
        <f t="shared" si="517"/>
        <v>0.0784982935153584</v>
      </c>
      <c r="DS81" s="1082">
        <f t="shared" ref="DS81:EA81" si="518">DS80/DK80-1</f>
        <v>0.075</v>
      </c>
      <c r="DT81" s="1082">
        <f t="shared" si="518"/>
        <v>0.0765696784073506</v>
      </c>
      <c r="DU81" s="1082">
        <f t="shared" si="518"/>
        <v>0.193146417445483</v>
      </c>
      <c r="DV81" s="1082">
        <f t="shared" si="518"/>
        <v>0.114989733059548</v>
      </c>
      <c r="DW81" s="1082" t="e">
        <f t="shared" si="518"/>
        <v>#REF!</v>
      </c>
      <c r="DX81" s="1082" t="e">
        <f t="shared" si="518"/>
        <v>#REF!</v>
      </c>
      <c r="DY81" s="1085">
        <f t="shared" si="518"/>
        <v>0.106780982073266</v>
      </c>
      <c r="DZ81" s="1082">
        <f t="shared" si="518"/>
        <v>0.189873417721519</v>
      </c>
      <c r="EA81" s="1082">
        <f t="shared" si="518"/>
        <v>0.0594315245478036</v>
      </c>
      <c r="EB81" s="1082">
        <f t="shared" ref="EB81:EG81" si="519">EB80/DT80-1</f>
        <v>0.118065433854908</v>
      </c>
      <c r="EC81" s="1082">
        <f t="shared" si="519"/>
        <v>0.073107049608355</v>
      </c>
      <c r="ED81" s="1082">
        <f t="shared" si="519"/>
        <v>0.102209944751381</v>
      </c>
      <c r="EE81" s="1082" t="e">
        <f t="shared" si="519"/>
        <v>#REF!</v>
      </c>
      <c r="EF81" s="1082" t="e">
        <f t="shared" si="519"/>
        <v>#REF!</v>
      </c>
      <c r="EG81" s="1085">
        <f t="shared" si="519"/>
        <v>0.112676056338028</v>
      </c>
      <c r="EH81" s="1082">
        <f t="shared" ref="EH81:ER81" si="520">EH80/DZ80-1</f>
        <v>0.372340425531915</v>
      </c>
      <c r="EI81" s="1082">
        <f t="shared" si="520"/>
        <v>0.34390243902439</v>
      </c>
      <c r="EJ81" s="1082">
        <f t="shared" si="520"/>
        <v>0.357506361323155</v>
      </c>
      <c r="EK81" s="1082">
        <f t="shared" si="520"/>
        <v>0.182481751824818</v>
      </c>
      <c r="EL81" s="1082">
        <f t="shared" si="520"/>
        <v>0.297410192147034</v>
      </c>
      <c r="EM81" s="1082">
        <f t="shared" si="520"/>
        <v>0.109947643979058</v>
      </c>
      <c r="EN81" s="1082">
        <f t="shared" si="520"/>
        <v>0.146095717884131</v>
      </c>
      <c r="EO81" s="1085">
        <f t="shared" si="520"/>
        <v>0.25126582278481</v>
      </c>
      <c r="EP81" s="1082">
        <f t="shared" si="520"/>
        <v>0.0620155038759691</v>
      </c>
      <c r="EQ81" s="1082">
        <f t="shared" si="520"/>
        <v>-0.0871143375680581</v>
      </c>
      <c r="ER81" s="1082">
        <f t="shared" si="520"/>
        <v>-0.0149953139643861</v>
      </c>
      <c r="ES81" s="1082">
        <f t="shared" ref="ES81:FB81" si="521">ES80/EK80-1</f>
        <v>-0.172839506172839</v>
      </c>
      <c r="ET81" s="1082">
        <f t="shared" si="521"/>
        <v>-0.0643915003219575</v>
      </c>
      <c r="EU81" s="1082">
        <f t="shared" si="521"/>
        <v>0.162735849056604</v>
      </c>
      <c r="EV81" s="1082">
        <f t="shared" si="521"/>
        <v>-0.0164835164835165</v>
      </c>
      <c r="EW81" s="1085">
        <f t="shared" si="521"/>
        <v>-0.0156803237228124</v>
      </c>
      <c r="EX81" s="1082">
        <f t="shared" si="521"/>
        <v>-0.302919708029197</v>
      </c>
      <c r="EY81" s="1082">
        <f t="shared" si="521"/>
        <v>-0.163021868787276</v>
      </c>
      <c r="EZ81" s="1082">
        <f t="shared" si="521"/>
        <v>-0.235965746907707</v>
      </c>
      <c r="FA81" s="1082">
        <f t="shared" si="521"/>
        <v>-0.116915422885572</v>
      </c>
      <c r="FB81" s="1082">
        <f t="shared" si="521"/>
        <v>-0.203028217481074</v>
      </c>
      <c r="FC81" s="1168"/>
      <c r="FD81" s="1168"/>
      <c r="FE81" s="1169"/>
      <c r="FF81" s="1082"/>
      <c r="FG81" s="1082"/>
      <c r="FH81" s="1082"/>
      <c r="FI81" s="1082"/>
      <c r="FJ81" s="1082"/>
      <c r="FK81" s="1082"/>
      <c r="FL81" s="1082"/>
      <c r="FM81" s="1085"/>
      <c r="FN81" s="1082"/>
      <c r="FO81" s="1082"/>
      <c r="FP81" s="1082"/>
      <c r="FQ81" s="1082"/>
      <c r="FR81" s="1082"/>
      <c r="FS81" s="1082"/>
      <c r="FT81" s="1082"/>
      <c r="FU81" s="1082"/>
      <c r="FV81" s="1109"/>
      <c r="FW81" s="1082"/>
      <c r="FX81" s="1082"/>
      <c r="FY81" s="1082"/>
      <c r="FZ81" s="1082"/>
      <c r="GA81" s="1082"/>
      <c r="GB81" s="1082"/>
      <c r="GC81" s="1085"/>
      <c r="GD81" s="1082"/>
      <c r="GE81" s="1082"/>
      <c r="GF81" s="1082"/>
      <c r="GG81" s="1082"/>
      <c r="GH81" s="1082"/>
      <c r="GI81" s="1082"/>
      <c r="GJ81" s="1082"/>
      <c r="GK81" s="1085"/>
      <c r="GL81" s="1082"/>
      <c r="GM81" s="1082"/>
      <c r="GN81" s="1082"/>
      <c r="GO81" s="1082"/>
      <c r="GP81" s="1082"/>
      <c r="GQ81" s="1082"/>
      <c r="GR81" s="1082"/>
      <c r="GS81" s="1085"/>
      <c r="GT81" s="1082"/>
      <c r="GU81" s="1082"/>
      <c r="GV81" s="1082"/>
      <c r="GW81" s="1082"/>
      <c r="GX81" s="1082"/>
      <c r="GY81" s="1082"/>
      <c r="GZ81" s="1082"/>
      <c r="HA81" s="1085"/>
      <c r="HB81" s="1082"/>
      <c r="HC81" s="1082"/>
      <c r="HD81" s="1082"/>
      <c r="HE81" s="1082"/>
      <c r="HF81" s="1082"/>
      <c r="HG81" s="1082"/>
      <c r="HH81" s="1082"/>
      <c r="HI81" s="1085"/>
      <c r="HJ81" s="1082"/>
      <c r="HK81" s="1082"/>
      <c r="HL81" s="1082"/>
      <c r="HM81" s="1082"/>
      <c r="HN81" s="1082"/>
      <c r="HO81" s="1082"/>
      <c r="HP81" s="1082"/>
      <c r="HQ81" s="1085"/>
      <c r="HR81" s="1082"/>
      <c r="HS81" s="1082"/>
      <c r="HT81" s="1082"/>
      <c r="HU81" s="1082"/>
      <c r="HV81" s="1082"/>
      <c r="HW81" s="1082"/>
      <c r="HX81" s="1082"/>
      <c r="HY81" s="1082"/>
      <c r="HZ81" s="1082"/>
      <c r="IA81" s="1082"/>
      <c r="IB81" s="1082"/>
      <c r="IC81" s="1082"/>
      <c r="ID81" s="1082"/>
      <c r="IE81" s="1082"/>
      <c r="IF81" s="1082"/>
      <c r="IG81" s="1085"/>
      <c r="IH81" s="1082"/>
      <c r="II81" s="1082"/>
      <c r="IJ81" s="1082"/>
      <c r="IK81" s="1082"/>
      <c r="IL81" s="1082"/>
      <c r="IM81" s="1082"/>
      <c r="IN81" s="1082"/>
      <c r="IO81" s="1085"/>
      <c r="IP81" s="1082"/>
      <c r="IQ81" s="1082"/>
      <c r="IR81" s="1082"/>
      <c r="IS81" s="1082"/>
      <c r="IT81" s="1082"/>
      <c r="IU81" s="1082"/>
      <c r="IV81" s="1082"/>
      <c r="IW81" s="1082"/>
      <c r="IX81" s="1049"/>
      <c r="IY81" s="1049"/>
      <c r="IZ81" s="1049"/>
      <c r="JA81" s="1049"/>
      <c r="JB81" s="1049"/>
      <c r="JC81" s="1049"/>
      <c r="JD81" s="1041"/>
      <c r="JE81" s="1037"/>
      <c r="JF81" s="1037"/>
      <c r="JG81" s="1037"/>
      <c r="JH81" s="1037"/>
      <c r="JI81" s="1035"/>
      <c r="JJ81" s="1035"/>
      <c r="JK81" s="1035"/>
      <c r="JL81" s="1035"/>
      <c r="JM81" s="1035"/>
      <c r="JN81" s="1035"/>
      <c r="JO81" s="1035"/>
      <c r="JP81" s="1035"/>
      <c r="JQ81" s="1035"/>
      <c r="JR81" s="1035"/>
      <c r="JS81" s="1035"/>
      <c r="JT81" s="1035"/>
      <c r="JU81" s="1035"/>
      <c r="JV81" s="1035"/>
      <c r="JW81" s="1035"/>
      <c r="JX81" s="1035"/>
      <c r="JY81" s="1035"/>
      <c r="LV81" s="969"/>
    </row>
    <row r="82" s="1025" customFormat="1" hidden="1" outlineLevel="1" spans="1:334">
      <c r="A82" s="1025" t="s">
        <v>91</v>
      </c>
      <c r="B82" s="1170"/>
      <c r="C82" s="1170"/>
      <c r="D82" s="1170"/>
      <c r="E82" s="1170"/>
      <c r="F82" s="1170"/>
      <c r="G82" s="1170"/>
      <c r="H82" s="1170"/>
      <c r="I82" s="1170"/>
      <c r="J82" s="1170"/>
      <c r="K82" s="1170"/>
      <c r="L82" s="1170"/>
      <c r="M82" s="1170"/>
      <c r="N82" s="1170"/>
      <c r="O82" s="1170"/>
      <c r="P82" s="1170"/>
      <c r="Q82" s="1170"/>
      <c r="R82" s="1170"/>
      <c r="S82" s="1170"/>
      <c r="T82" s="1170"/>
      <c r="U82" s="1170"/>
      <c r="V82" s="1170"/>
      <c r="W82" s="1170"/>
      <c r="X82" s="1170"/>
      <c r="Y82" s="1170"/>
      <c r="Z82" s="1170"/>
      <c r="AA82" s="1170"/>
      <c r="AB82" s="1170"/>
      <c r="AC82" s="1170"/>
      <c r="AD82" s="1170"/>
      <c r="AE82" s="1170"/>
      <c r="AF82" s="1170"/>
      <c r="AG82" s="1170"/>
      <c r="AH82" s="1170"/>
      <c r="AI82" s="1170"/>
      <c r="AJ82" s="1170"/>
      <c r="AK82" s="1170"/>
      <c r="AL82" s="1170"/>
      <c r="AM82" s="1170"/>
      <c r="AN82" s="1170"/>
      <c r="AO82" s="1170"/>
      <c r="AP82" s="1170"/>
      <c r="AQ82" s="1170"/>
      <c r="AR82" s="1170"/>
      <c r="AS82" s="1170"/>
      <c r="AT82" s="1170"/>
      <c r="AU82" s="1170"/>
      <c r="AV82" s="1170"/>
      <c r="AW82" s="1170"/>
      <c r="AX82" s="1171"/>
      <c r="AY82" s="1170"/>
      <c r="AZ82" s="1170"/>
      <c r="BA82" s="1170"/>
      <c r="BB82" s="1170"/>
      <c r="BC82" s="1170"/>
      <c r="BD82" s="1170"/>
      <c r="BE82" s="1172"/>
      <c r="BF82" s="1170"/>
      <c r="BG82" s="1170"/>
      <c r="BH82" s="1170"/>
      <c r="BI82" s="1170"/>
      <c r="BJ82" s="1170"/>
      <c r="BK82" s="1170"/>
      <c r="BL82" s="1170"/>
      <c r="BM82" s="1170"/>
      <c r="BN82" s="1171"/>
      <c r="BO82" s="1170"/>
      <c r="BP82" s="1170"/>
      <c r="BQ82" s="1170"/>
      <c r="BR82" s="1170"/>
      <c r="BS82" s="1170"/>
      <c r="BT82" s="1170"/>
      <c r="BU82" s="1172"/>
      <c r="BV82" s="1171"/>
      <c r="BW82" s="1170"/>
      <c r="BX82" s="1170"/>
      <c r="BY82" s="1170"/>
      <c r="BZ82" s="1170"/>
      <c r="CA82" s="1170"/>
      <c r="CB82" s="1170"/>
      <c r="CC82" s="1172"/>
      <c r="CD82" s="1171"/>
      <c r="CE82" s="1170"/>
      <c r="CF82" s="1170"/>
      <c r="CG82" s="1170"/>
      <c r="CH82" s="1170"/>
      <c r="CI82" s="1170"/>
      <c r="CJ82" s="1173"/>
      <c r="CK82" s="1172"/>
      <c r="CL82" s="1171"/>
      <c r="CM82" s="1170"/>
      <c r="CN82" s="1170"/>
      <c r="CO82" s="1170"/>
      <c r="CP82" s="1170"/>
      <c r="CQ82" s="1170"/>
      <c r="CR82" s="1170"/>
      <c r="CS82" s="1172"/>
      <c r="DB82" s="1071">
        <f>DB839</f>
        <v>191</v>
      </c>
      <c r="DC82" s="1071">
        <f>DC839</f>
        <v>226</v>
      </c>
      <c r="DD82" s="1071">
        <f>DB82+DC82</f>
        <v>417</v>
      </c>
      <c r="DE82" s="1071">
        <f>DE839</f>
        <v>197</v>
      </c>
      <c r="DF82" s="1071">
        <f>DD82+DE82</f>
        <v>614</v>
      </c>
      <c r="DG82" s="1071">
        <f>DG839</f>
        <v>198</v>
      </c>
      <c r="DH82" s="1071">
        <f>DE82+DG82</f>
        <v>395</v>
      </c>
      <c r="DI82" s="1072">
        <f>'Profit and Loss'!O81</f>
        <v>812</v>
      </c>
      <c r="DJ82" s="1071">
        <f>DJ839</f>
        <v>194</v>
      </c>
      <c r="DK82" s="1071">
        <f>DK839</f>
        <v>255</v>
      </c>
      <c r="DL82" s="1071">
        <f>DJ82+DK82</f>
        <v>449</v>
      </c>
      <c r="DM82" s="1071">
        <f>DM839</f>
        <v>184</v>
      </c>
      <c r="DN82" s="1071">
        <f>DL82+DM82</f>
        <v>633</v>
      </c>
      <c r="DO82" s="1071">
        <f>DO839</f>
        <v>198</v>
      </c>
      <c r="DP82" s="1071">
        <f>DO82+DM82</f>
        <v>382</v>
      </c>
      <c r="DQ82" s="1072">
        <f>'Profit and Loss'!P81</f>
        <v>831</v>
      </c>
      <c r="DR82" s="1071">
        <f t="shared" ref="DR82:DZ82" si="522">DR839</f>
        <v>223</v>
      </c>
      <c r="DS82" s="1071">
        <f t="shared" si="522"/>
        <v>269</v>
      </c>
      <c r="DT82" s="1071">
        <f t="shared" si="522"/>
        <v>492</v>
      </c>
      <c r="DU82" s="1071">
        <f t="shared" si="522"/>
        <v>221</v>
      </c>
      <c r="DV82" s="1071">
        <f t="shared" si="522"/>
        <v>713</v>
      </c>
      <c r="DW82" s="1071" t="e">
        <f t="shared" si="522"/>
        <v>#REF!</v>
      </c>
      <c r="DX82" s="1071" t="e">
        <f t="shared" si="522"/>
        <v>#REF!</v>
      </c>
      <c r="DY82" s="1072" t="e">
        <f t="shared" si="522"/>
        <v>#REF!</v>
      </c>
      <c r="DZ82" s="1071">
        <f t="shared" si="522"/>
        <v>281</v>
      </c>
      <c r="EA82" s="1071">
        <v>288</v>
      </c>
      <c r="EB82" s="1071">
        <f t="shared" ref="EB82:FB82" si="523">EB839</f>
        <v>570</v>
      </c>
      <c r="EC82" s="1071">
        <f t="shared" si="523"/>
        <v>244</v>
      </c>
      <c r="ED82" s="1071">
        <f t="shared" si="523"/>
        <v>814</v>
      </c>
      <c r="EE82" s="1071">
        <f t="shared" si="523"/>
        <v>230</v>
      </c>
      <c r="EF82" s="1071">
        <f t="shared" si="523"/>
        <v>474</v>
      </c>
      <c r="EG82" s="1072">
        <f t="shared" si="523"/>
        <v>1044</v>
      </c>
      <c r="EH82" s="1071">
        <f t="shared" si="523"/>
        <v>387</v>
      </c>
      <c r="EI82" s="1071">
        <f t="shared" si="523"/>
        <v>401</v>
      </c>
      <c r="EJ82" s="1071">
        <f t="shared" si="523"/>
        <v>788</v>
      </c>
      <c r="EK82" s="1071">
        <f t="shared" si="523"/>
        <v>283</v>
      </c>
      <c r="EL82" s="1071">
        <f t="shared" si="523"/>
        <v>1071</v>
      </c>
      <c r="EM82" s="1071">
        <f t="shared" si="523"/>
        <v>273</v>
      </c>
      <c r="EN82" s="1071">
        <f t="shared" si="523"/>
        <v>556</v>
      </c>
      <c r="EO82" s="1072">
        <f t="shared" si="523"/>
        <v>1344</v>
      </c>
      <c r="EP82" s="1071">
        <f t="shared" si="523"/>
        <v>423</v>
      </c>
      <c r="EQ82" s="1071">
        <f t="shared" si="523"/>
        <v>348</v>
      </c>
      <c r="ER82" s="1071">
        <f t="shared" si="523"/>
        <v>771</v>
      </c>
      <c r="ES82" s="1071">
        <f t="shared" si="523"/>
        <v>210</v>
      </c>
      <c r="ET82" s="1071">
        <f t="shared" si="523"/>
        <v>981</v>
      </c>
      <c r="EU82" s="1071">
        <f t="shared" si="523"/>
        <v>304</v>
      </c>
      <c r="EV82" s="1071">
        <f t="shared" si="523"/>
        <v>514</v>
      </c>
      <c r="EW82" s="1072">
        <f t="shared" si="523"/>
        <v>1285</v>
      </c>
      <c r="EX82" s="1071">
        <f t="shared" si="523"/>
        <v>264</v>
      </c>
      <c r="EY82" s="1071">
        <f t="shared" si="523"/>
        <v>271</v>
      </c>
      <c r="EZ82" s="1071">
        <f t="shared" si="523"/>
        <v>535</v>
      </c>
      <c r="FA82" s="1071">
        <f t="shared" si="523"/>
        <v>138</v>
      </c>
      <c r="FB82" s="1071">
        <f t="shared" si="523"/>
        <v>673</v>
      </c>
      <c r="FC82" s="1175"/>
      <c r="FD82" s="1175"/>
      <c r="FE82" s="1176"/>
      <c r="FF82" s="1071"/>
      <c r="FG82" s="1071"/>
      <c r="FH82" s="1071"/>
      <c r="FI82" s="1071"/>
      <c r="FJ82" s="1071"/>
      <c r="FK82" s="1071"/>
      <c r="FL82" s="1071"/>
      <c r="FM82" s="1072"/>
      <c r="FN82" s="1071"/>
      <c r="FO82" s="1071"/>
      <c r="FP82" s="1071"/>
      <c r="FQ82" s="1071"/>
      <c r="FR82" s="1071"/>
      <c r="FS82" s="1071"/>
      <c r="FT82" s="1071"/>
      <c r="FU82" s="1071"/>
      <c r="FV82" s="1177"/>
      <c r="FW82" s="1071"/>
      <c r="FX82" s="1071"/>
      <c r="FY82" s="1071"/>
      <c r="FZ82" s="1071"/>
      <c r="GA82" s="1071"/>
      <c r="GB82" s="1071"/>
      <c r="GC82" s="1072"/>
      <c r="GD82" s="1071"/>
      <c r="GE82" s="1071"/>
      <c r="GF82" s="1071"/>
      <c r="GG82" s="1071"/>
      <c r="GH82" s="1071"/>
      <c r="GI82" s="1071"/>
      <c r="GJ82" s="1071"/>
      <c r="GK82" s="1072"/>
      <c r="GL82" s="1071"/>
      <c r="GM82" s="1071"/>
      <c r="GN82" s="1071"/>
      <c r="GO82" s="1071"/>
      <c r="GP82" s="1071"/>
      <c r="GQ82" s="1071"/>
      <c r="GR82" s="1071"/>
      <c r="GS82" s="1072"/>
      <c r="GT82" s="1071"/>
      <c r="GU82" s="1071"/>
      <c r="GV82" s="1071"/>
      <c r="GW82" s="1071"/>
      <c r="GX82" s="1071"/>
      <c r="GY82" s="1071"/>
      <c r="GZ82" s="1071"/>
      <c r="HA82" s="1072"/>
      <c r="HB82" s="1071"/>
      <c r="HC82" s="1071"/>
      <c r="HD82" s="1071"/>
      <c r="HE82" s="1071"/>
      <c r="HF82" s="1071"/>
      <c r="HG82" s="1071"/>
      <c r="HH82" s="1071"/>
      <c r="HI82" s="1072"/>
      <c r="HJ82" s="1071"/>
      <c r="HK82" s="1071"/>
      <c r="HL82" s="1071"/>
      <c r="HM82" s="1071"/>
      <c r="HN82" s="1071"/>
      <c r="HO82" s="1071"/>
      <c r="HP82" s="1071"/>
      <c r="HQ82" s="1072"/>
      <c r="HR82" s="1071"/>
      <c r="HS82" s="1071"/>
      <c r="HT82" s="1071"/>
      <c r="HU82" s="1071"/>
      <c r="HV82" s="1071"/>
      <c r="HW82" s="1071"/>
      <c r="HX82" s="1071"/>
      <c r="HY82" s="1071"/>
      <c r="HZ82" s="1071"/>
      <c r="IA82" s="1071"/>
      <c r="IB82" s="1071"/>
      <c r="IC82" s="1071"/>
      <c r="ID82" s="1071"/>
      <c r="IE82" s="1071"/>
      <c r="IF82" s="1071"/>
      <c r="IG82" s="1072"/>
      <c r="IH82" s="1071"/>
      <c r="II82" s="1071"/>
      <c r="IJ82" s="1071"/>
      <c r="IK82" s="1071"/>
      <c r="IL82" s="1071"/>
      <c r="IM82" s="1071"/>
      <c r="IN82" s="1071"/>
      <c r="IO82" s="1072"/>
      <c r="IP82" s="1071"/>
      <c r="IQ82" s="1071"/>
      <c r="IR82" s="1071"/>
      <c r="IS82" s="1071"/>
      <c r="IT82" s="1071"/>
      <c r="IU82" s="1071"/>
      <c r="IV82" s="1071"/>
      <c r="IW82" s="1071"/>
      <c r="IX82" s="1049"/>
      <c r="IY82" s="1049"/>
      <c r="IZ82" s="1049"/>
      <c r="JA82" s="1049"/>
      <c r="JB82" s="1049"/>
      <c r="JC82" s="1049"/>
      <c r="JD82" s="1049"/>
      <c r="JE82" s="1071"/>
      <c r="JF82" s="1071"/>
      <c r="JG82" s="1071"/>
      <c r="JH82" s="1071"/>
    </row>
    <row r="83" hidden="1" outlineLevel="1" spans="1:334">
      <c r="A83" s="1117" t="s">
        <v>61</v>
      </c>
      <c r="AX83" s="1059"/>
      <c r="BE83" s="1060"/>
      <c r="BN83" s="1059"/>
      <c r="BU83" s="1060"/>
      <c r="BV83" s="1059"/>
      <c r="CC83" s="1060"/>
      <c r="CD83" s="1059"/>
      <c r="CJ83" s="1061"/>
      <c r="CK83" s="1060"/>
      <c r="CL83" s="1059"/>
      <c r="CS83" s="1060"/>
      <c r="CT83" s="1117"/>
      <c r="CU83" s="1117"/>
      <c r="CV83" s="1117"/>
      <c r="CW83" s="1117"/>
      <c r="CX83" s="1117"/>
      <c r="CY83" s="1117"/>
      <c r="CZ83" s="1117"/>
      <c r="DA83" s="1117"/>
      <c r="DB83" s="1082"/>
      <c r="DC83" s="1080"/>
      <c r="DD83" s="1080"/>
      <c r="DE83" s="1080"/>
      <c r="DF83" s="1080"/>
      <c r="DG83" s="1080"/>
      <c r="DH83" s="1080"/>
      <c r="DI83" s="1081"/>
      <c r="DJ83" s="1080">
        <f t="shared" ref="DJ83:DR83" si="524">DJ82/DB82-1</f>
        <v>0.0157068062827226</v>
      </c>
      <c r="DK83" s="1080">
        <f t="shared" si="524"/>
        <v>0.128318584070797</v>
      </c>
      <c r="DL83" s="1080">
        <f t="shared" si="524"/>
        <v>0.0767386091127098</v>
      </c>
      <c r="DM83" s="1080">
        <f t="shared" si="524"/>
        <v>-0.065989847715736</v>
      </c>
      <c r="DN83" s="1080">
        <f t="shared" si="524"/>
        <v>0.0309446254071661</v>
      </c>
      <c r="DO83" s="1080">
        <f t="shared" si="524"/>
        <v>0</v>
      </c>
      <c r="DP83" s="1080">
        <f t="shared" si="524"/>
        <v>-0.0329113924050632</v>
      </c>
      <c r="DQ83" s="1081">
        <f t="shared" si="524"/>
        <v>0.0233990147783252</v>
      </c>
      <c r="DR83" s="1082">
        <f t="shared" si="524"/>
        <v>0.149484536082474</v>
      </c>
      <c r="DS83" s="1082">
        <f t="shared" ref="DS83:EA83" si="525">DS82/DK82-1</f>
        <v>0.0549019607843138</v>
      </c>
      <c r="DT83" s="1082">
        <f t="shared" si="525"/>
        <v>0.0957683741648108</v>
      </c>
      <c r="DU83" s="1082">
        <f t="shared" si="525"/>
        <v>0.201086956521739</v>
      </c>
      <c r="DV83" s="1082">
        <f t="shared" si="525"/>
        <v>0.126382306477093</v>
      </c>
      <c r="DW83" s="1082" t="e">
        <f t="shared" si="525"/>
        <v>#REF!</v>
      </c>
      <c r="DX83" s="1082" t="e">
        <f t="shared" si="525"/>
        <v>#REF!</v>
      </c>
      <c r="DY83" s="1085" t="e">
        <f t="shared" si="525"/>
        <v>#REF!</v>
      </c>
      <c r="DZ83" s="1082">
        <f t="shared" si="525"/>
        <v>0.260089686098655</v>
      </c>
      <c r="EA83" s="1082">
        <f t="shared" si="525"/>
        <v>0.0706319702602229</v>
      </c>
      <c r="EB83" s="1082">
        <f t="shared" ref="EB83:EG83" si="526">EB82/DT82-1</f>
        <v>0.158536585365854</v>
      </c>
      <c r="EC83" s="1082">
        <f t="shared" si="526"/>
        <v>0.104072398190045</v>
      </c>
      <c r="ED83" s="1082">
        <f t="shared" si="526"/>
        <v>0.141654978962132</v>
      </c>
      <c r="EE83" s="1082" t="e">
        <f t="shared" si="526"/>
        <v>#REF!</v>
      </c>
      <c r="EF83" s="1082" t="e">
        <f t="shared" si="526"/>
        <v>#REF!</v>
      </c>
      <c r="EG83" s="1085" t="e">
        <f t="shared" si="526"/>
        <v>#REF!</v>
      </c>
      <c r="EH83" s="1082">
        <f t="shared" ref="EH83:ER83" si="527">EH82/DZ82-1</f>
        <v>0.377224199288256</v>
      </c>
      <c r="EI83" s="1082">
        <f t="shared" si="527"/>
        <v>0.392361111111111</v>
      </c>
      <c r="EJ83" s="1082">
        <f t="shared" si="527"/>
        <v>0.382456140350877</v>
      </c>
      <c r="EK83" s="1082">
        <f t="shared" si="527"/>
        <v>0.159836065573771</v>
      </c>
      <c r="EL83" s="1082">
        <f t="shared" si="527"/>
        <v>0.315724815724816</v>
      </c>
      <c r="EM83" s="1082">
        <f t="shared" si="527"/>
        <v>0.18695652173913</v>
      </c>
      <c r="EN83" s="1082">
        <f t="shared" si="527"/>
        <v>0.172995780590717</v>
      </c>
      <c r="EO83" s="1085">
        <f t="shared" si="527"/>
        <v>0.28735632183908</v>
      </c>
      <c r="EP83" s="1082">
        <f t="shared" si="527"/>
        <v>0.0930232558139534</v>
      </c>
      <c r="EQ83" s="1082">
        <f t="shared" si="527"/>
        <v>-0.13216957605985</v>
      </c>
      <c r="ER83" s="1082">
        <f t="shared" si="527"/>
        <v>-0.0215736040609137</v>
      </c>
      <c r="ES83" s="1082">
        <f t="shared" ref="ES83:FB83" si="528">ES82/EK82-1</f>
        <v>-0.257950530035336</v>
      </c>
      <c r="ET83" s="1082">
        <f t="shared" si="528"/>
        <v>-0.0840336134453782</v>
      </c>
      <c r="EU83" s="1082">
        <f t="shared" si="528"/>
        <v>0.113553113553114</v>
      </c>
      <c r="EV83" s="1082">
        <f t="shared" si="528"/>
        <v>-0.0755395683453237</v>
      </c>
      <c r="EW83" s="1085">
        <f t="shared" si="528"/>
        <v>-0.0438988095238095</v>
      </c>
      <c r="EX83" s="1082">
        <f t="shared" si="528"/>
        <v>-0.375886524822695</v>
      </c>
      <c r="EY83" s="1082">
        <f t="shared" si="528"/>
        <v>-0.221264367816092</v>
      </c>
      <c r="EZ83" s="1082">
        <f t="shared" si="528"/>
        <v>-0.30609597924773</v>
      </c>
      <c r="FA83" s="1082">
        <f t="shared" si="528"/>
        <v>-0.342857142857143</v>
      </c>
      <c r="FB83" s="1082">
        <f t="shared" si="528"/>
        <v>-0.313965341488277</v>
      </c>
      <c r="FC83" s="1168"/>
      <c r="FD83" s="1168"/>
      <c r="FE83" s="1169"/>
      <c r="FF83" s="1082"/>
      <c r="FG83" s="1082"/>
      <c r="FH83" s="1082"/>
      <c r="FI83" s="1082"/>
      <c r="FJ83" s="1082"/>
      <c r="FK83" s="1082"/>
      <c r="FL83" s="1082"/>
      <c r="FM83" s="1085"/>
      <c r="FN83" s="1082"/>
      <c r="FO83" s="1082"/>
      <c r="FP83" s="1082"/>
      <c r="FQ83" s="1082"/>
      <c r="FR83" s="1082"/>
      <c r="FS83" s="1082"/>
      <c r="FT83" s="1082"/>
      <c r="FU83" s="1082"/>
      <c r="FV83" s="1109"/>
      <c r="FW83" s="1082"/>
      <c r="FX83" s="1082"/>
      <c r="FY83" s="1082"/>
      <c r="FZ83" s="1082"/>
      <c r="GA83" s="1082"/>
      <c r="GB83" s="1082"/>
      <c r="GC83" s="1085"/>
      <c r="GD83" s="1082"/>
      <c r="GE83" s="1082"/>
      <c r="GF83" s="1082"/>
      <c r="GG83" s="1082"/>
      <c r="GH83" s="1082"/>
      <c r="GI83" s="1082"/>
      <c r="GJ83" s="1082"/>
      <c r="GK83" s="1085"/>
      <c r="GL83" s="1082"/>
      <c r="GM83" s="1082"/>
      <c r="GN83" s="1082"/>
      <c r="GO83" s="1082"/>
      <c r="GP83" s="1082"/>
      <c r="GQ83" s="1082"/>
      <c r="GR83" s="1082"/>
      <c r="GS83" s="1085"/>
      <c r="GT83" s="1082"/>
      <c r="GU83" s="1082"/>
      <c r="GV83" s="1082"/>
      <c r="GW83" s="1082"/>
      <c r="GX83" s="1082"/>
      <c r="GY83" s="1082"/>
      <c r="GZ83" s="1082"/>
      <c r="HA83" s="1085"/>
      <c r="HB83" s="1082"/>
      <c r="HC83" s="1082"/>
      <c r="HD83" s="1082"/>
      <c r="HE83" s="1082"/>
      <c r="HF83" s="1082"/>
      <c r="HG83" s="1082"/>
      <c r="HH83" s="1082"/>
      <c r="HI83" s="1085"/>
      <c r="HJ83" s="1082"/>
      <c r="HK83" s="1082"/>
      <c r="HL83" s="1082"/>
      <c r="HM83" s="1082"/>
      <c r="HN83" s="1082"/>
      <c r="HO83" s="1082"/>
      <c r="HP83" s="1082"/>
      <c r="HQ83" s="1085"/>
      <c r="HR83" s="1082"/>
      <c r="HS83" s="1082"/>
      <c r="HT83" s="1082"/>
      <c r="HU83" s="1082"/>
      <c r="HV83" s="1082"/>
      <c r="HW83" s="1082"/>
      <c r="HX83" s="1082"/>
      <c r="HY83" s="1082"/>
      <c r="HZ83" s="1082"/>
      <c r="IA83" s="1082"/>
      <c r="IB83" s="1082"/>
      <c r="IC83" s="1082"/>
      <c r="ID83" s="1082"/>
      <c r="IE83" s="1082"/>
      <c r="IF83" s="1082"/>
      <c r="IG83" s="1085"/>
      <c r="IH83" s="1082"/>
      <c r="II83" s="1082"/>
      <c r="IJ83" s="1082"/>
      <c r="IK83" s="1082"/>
      <c r="IL83" s="1082"/>
      <c r="IM83" s="1082"/>
      <c r="IN83" s="1082"/>
      <c r="IO83" s="1085"/>
      <c r="IP83" s="1082"/>
      <c r="IQ83" s="1082"/>
      <c r="IR83" s="1082"/>
      <c r="IS83" s="1082"/>
      <c r="IT83" s="1082"/>
      <c r="IU83" s="1082"/>
      <c r="IV83" s="1082"/>
      <c r="IW83" s="1082"/>
      <c r="IX83" s="1049"/>
      <c r="IY83" s="1049"/>
      <c r="IZ83" s="1049"/>
      <c r="JA83" s="1049"/>
      <c r="JB83" s="1049"/>
      <c r="JC83" s="1049"/>
      <c r="JD83" s="1041"/>
      <c r="JE83" s="1037"/>
      <c r="JF83" s="1037"/>
      <c r="JG83" s="1037"/>
      <c r="JH83" s="1037"/>
      <c r="JI83" s="1035"/>
      <c r="JJ83" s="1035"/>
      <c r="JK83" s="1035"/>
      <c r="JL83" s="1035"/>
      <c r="JM83" s="1035"/>
      <c r="JN83" s="1035"/>
      <c r="JO83" s="1035"/>
      <c r="JP83" s="1035"/>
      <c r="JQ83" s="1035"/>
      <c r="JR83" s="1035"/>
      <c r="JS83" s="1035"/>
      <c r="JT83" s="1035"/>
      <c r="JU83" s="1035"/>
      <c r="JV83" s="1035"/>
      <c r="JW83" s="1035"/>
      <c r="JX83" s="1035"/>
      <c r="JY83" s="1035"/>
      <c r="LV83" s="1117"/>
    </row>
    <row r="84" s="1025" customFormat="1" hidden="1" outlineLevel="1" spans="1:334">
      <c r="A84" s="1025" t="s">
        <v>92</v>
      </c>
      <c r="B84" s="1170"/>
      <c r="C84" s="1170"/>
      <c r="D84" s="1170"/>
      <c r="E84" s="1170"/>
      <c r="F84" s="1170"/>
      <c r="G84" s="1170"/>
      <c r="H84" s="1170"/>
      <c r="I84" s="1170"/>
      <c r="J84" s="1170"/>
      <c r="K84" s="1170"/>
      <c r="L84" s="1170"/>
      <c r="M84" s="1170"/>
      <c r="N84" s="1170"/>
      <c r="O84" s="1170"/>
      <c r="P84" s="1170"/>
      <c r="Q84" s="1170"/>
      <c r="R84" s="1170"/>
      <c r="S84" s="1170"/>
      <c r="T84" s="1170"/>
      <c r="U84" s="1170"/>
      <c r="V84" s="1170"/>
      <c r="W84" s="1170"/>
      <c r="X84" s="1170"/>
      <c r="Y84" s="1170"/>
      <c r="Z84" s="1170"/>
      <c r="AA84" s="1170"/>
      <c r="AB84" s="1170"/>
      <c r="AC84" s="1170"/>
      <c r="AD84" s="1170"/>
      <c r="AE84" s="1170"/>
      <c r="AF84" s="1170"/>
      <c r="AG84" s="1170"/>
      <c r="AH84" s="1170"/>
      <c r="AI84" s="1170"/>
      <c r="AJ84" s="1170"/>
      <c r="AK84" s="1170"/>
      <c r="AL84" s="1170"/>
      <c r="AM84" s="1170"/>
      <c r="AN84" s="1170"/>
      <c r="AO84" s="1170"/>
      <c r="AP84" s="1170"/>
      <c r="AQ84" s="1170"/>
      <c r="AR84" s="1170"/>
      <c r="AS84" s="1170"/>
      <c r="AT84" s="1170"/>
      <c r="AU84" s="1170"/>
      <c r="AV84" s="1170"/>
      <c r="AW84" s="1170"/>
      <c r="AX84" s="1171"/>
      <c r="AY84" s="1170"/>
      <c r="AZ84" s="1170"/>
      <c r="BA84" s="1170"/>
      <c r="BB84" s="1170"/>
      <c r="BC84" s="1170"/>
      <c r="BD84" s="1170"/>
      <c r="BE84" s="1172"/>
      <c r="BF84" s="1170"/>
      <c r="BG84" s="1170"/>
      <c r="BH84" s="1170"/>
      <c r="BI84" s="1170"/>
      <c r="BJ84" s="1170"/>
      <c r="BK84" s="1170"/>
      <c r="BL84" s="1170"/>
      <c r="BM84" s="1170"/>
      <c r="BN84" s="1171"/>
      <c r="BO84" s="1170"/>
      <c r="BP84" s="1170"/>
      <c r="BQ84" s="1170"/>
      <c r="BR84" s="1170"/>
      <c r="BS84" s="1170"/>
      <c r="BT84" s="1170"/>
      <c r="BU84" s="1172"/>
      <c r="BV84" s="1171"/>
      <c r="BW84" s="1170"/>
      <c r="BX84" s="1170"/>
      <c r="BY84" s="1170"/>
      <c r="BZ84" s="1170"/>
      <c r="CA84" s="1170"/>
      <c r="CB84" s="1170"/>
      <c r="CC84" s="1172"/>
      <c r="CD84" s="1171"/>
      <c r="CE84" s="1170"/>
      <c r="CF84" s="1170"/>
      <c r="CG84" s="1170"/>
      <c r="CH84" s="1170"/>
      <c r="CI84" s="1170"/>
      <c r="CJ84" s="1173"/>
      <c r="CK84" s="1172"/>
      <c r="CL84" s="1171"/>
      <c r="CM84" s="1170"/>
      <c r="CN84" s="1170"/>
      <c r="CO84" s="1170"/>
      <c r="CP84" s="1170"/>
      <c r="CQ84" s="1170"/>
      <c r="CR84" s="1170"/>
      <c r="CS84" s="1172"/>
      <c r="DB84" s="1071">
        <f>DB842</f>
        <v>57</v>
      </c>
      <c r="DC84" s="1071">
        <f>DC842</f>
        <v>56</v>
      </c>
      <c r="DD84" s="1071">
        <f>DB84+DC84</f>
        <v>113</v>
      </c>
      <c r="DE84" s="1071">
        <f>DE842</f>
        <v>68</v>
      </c>
      <c r="DF84" s="1071">
        <f>DD84+DE84</f>
        <v>181</v>
      </c>
      <c r="DG84" s="1071">
        <f>DG842</f>
        <v>62</v>
      </c>
      <c r="DH84" s="1071">
        <f>DE84+DG84</f>
        <v>130</v>
      </c>
      <c r="DI84" s="1072">
        <f>'Profit and Loss'!O83</f>
        <v>243</v>
      </c>
      <c r="DJ84" s="1071">
        <f>DJ842</f>
        <v>60</v>
      </c>
      <c r="DK84" s="1071">
        <f>DK842</f>
        <v>55</v>
      </c>
      <c r="DL84" s="1071">
        <f>DJ84+DK84</f>
        <v>115</v>
      </c>
      <c r="DM84" s="1071">
        <f>DM842</f>
        <v>63</v>
      </c>
      <c r="DN84" s="1071">
        <f>DL84+DM84</f>
        <v>178</v>
      </c>
      <c r="DO84" s="1071">
        <f>DO842</f>
        <v>53</v>
      </c>
      <c r="DP84" s="1071">
        <f>DO84+DM84</f>
        <v>116</v>
      </c>
      <c r="DQ84" s="1072">
        <f>'Profit and Loss'!P83</f>
        <v>232</v>
      </c>
      <c r="DR84" s="1071">
        <f t="shared" ref="DR84:DZ84" si="529">DR842</f>
        <v>56</v>
      </c>
      <c r="DS84" s="1071">
        <f t="shared" si="529"/>
        <v>58</v>
      </c>
      <c r="DT84" s="1071">
        <f t="shared" si="529"/>
        <v>114</v>
      </c>
      <c r="DU84" s="1071">
        <f t="shared" si="529"/>
        <v>73</v>
      </c>
      <c r="DV84" s="1071">
        <f t="shared" si="529"/>
        <v>187</v>
      </c>
      <c r="DW84" s="1071" t="e">
        <f t="shared" si="529"/>
        <v>#REF!</v>
      </c>
      <c r="DX84" s="1071" t="e">
        <f t="shared" si="529"/>
        <v>#REF!</v>
      </c>
      <c r="DY84" s="1072" t="e">
        <f t="shared" si="529"/>
        <v>#REF!</v>
      </c>
      <c r="DZ84" s="1071">
        <f t="shared" si="529"/>
        <v>54</v>
      </c>
      <c r="EA84" s="1071">
        <v>59</v>
      </c>
      <c r="EB84" s="1071">
        <f t="shared" ref="EB84:FB84" si="530">EB842</f>
        <v>114</v>
      </c>
      <c r="EC84" s="1071">
        <f t="shared" si="530"/>
        <v>72</v>
      </c>
      <c r="ED84" s="1071">
        <f t="shared" si="530"/>
        <v>186</v>
      </c>
      <c r="EE84" s="1071">
        <f t="shared" si="530"/>
        <v>75</v>
      </c>
      <c r="EF84" s="1071">
        <f t="shared" si="530"/>
        <v>147</v>
      </c>
      <c r="EG84" s="1072">
        <f t="shared" si="530"/>
        <v>261</v>
      </c>
      <c r="EH84" s="1071">
        <f t="shared" si="530"/>
        <v>60</v>
      </c>
      <c r="EI84" s="1071">
        <f t="shared" si="530"/>
        <v>67</v>
      </c>
      <c r="EJ84" s="1071">
        <f t="shared" si="530"/>
        <v>127</v>
      </c>
      <c r="EK84" s="1071">
        <f t="shared" si="530"/>
        <v>80</v>
      </c>
      <c r="EL84" s="1071">
        <f t="shared" si="530"/>
        <v>207</v>
      </c>
      <c r="EM84" s="1071">
        <f t="shared" si="530"/>
        <v>78</v>
      </c>
      <c r="EN84" s="1071">
        <f t="shared" si="530"/>
        <v>158</v>
      </c>
      <c r="EO84" s="1072">
        <f t="shared" si="530"/>
        <v>285</v>
      </c>
      <c r="EP84" s="1071">
        <f t="shared" si="530"/>
        <v>61</v>
      </c>
      <c r="EQ84" s="1071">
        <f t="shared" si="530"/>
        <v>69</v>
      </c>
      <c r="ER84" s="1071">
        <f t="shared" si="530"/>
        <v>130</v>
      </c>
      <c r="ES84" s="1071">
        <f t="shared" si="530"/>
        <v>71</v>
      </c>
      <c r="ET84" s="1071">
        <f t="shared" si="530"/>
        <v>201</v>
      </c>
      <c r="EU84" s="1071">
        <f t="shared" si="530"/>
        <v>88</v>
      </c>
      <c r="EV84" s="1071">
        <f t="shared" si="530"/>
        <v>159</v>
      </c>
      <c r="EW84" s="1072">
        <f t="shared" si="530"/>
        <v>289</v>
      </c>
      <c r="EX84" s="1071">
        <f t="shared" si="530"/>
        <v>53</v>
      </c>
      <c r="EY84" s="1071">
        <f t="shared" si="530"/>
        <v>65</v>
      </c>
      <c r="EZ84" s="1071">
        <f t="shared" si="530"/>
        <v>118</v>
      </c>
      <c r="FA84" s="1071">
        <f t="shared" si="530"/>
        <v>74</v>
      </c>
      <c r="FB84" s="1071">
        <f t="shared" si="530"/>
        <v>192</v>
      </c>
      <c r="FC84" s="1175"/>
      <c r="FD84" s="1175"/>
      <c r="FE84" s="1176"/>
      <c r="FF84" s="1071"/>
      <c r="FG84" s="1071"/>
      <c r="FH84" s="1071"/>
      <c r="FI84" s="1071"/>
      <c r="FJ84" s="1071"/>
      <c r="FK84" s="1071"/>
      <c r="FL84" s="1071"/>
      <c r="FM84" s="1072"/>
      <c r="FN84" s="1071"/>
      <c r="FO84" s="1071"/>
      <c r="FP84" s="1071"/>
      <c r="FQ84" s="1071"/>
      <c r="FR84" s="1071"/>
      <c r="FS84" s="1071"/>
      <c r="FT84" s="1071"/>
      <c r="FU84" s="1071"/>
      <c r="FV84" s="1177"/>
      <c r="FW84" s="1071"/>
      <c r="FX84" s="1071"/>
      <c r="FY84" s="1071"/>
      <c r="FZ84" s="1071"/>
      <c r="GA84" s="1071"/>
      <c r="GB84" s="1071"/>
      <c r="GC84" s="1072"/>
      <c r="GD84" s="1071"/>
      <c r="GE84" s="1071"/>
      <c r="GF84" s="1071"/>
      <c r="GG84" s="1071"/>
      <c r="GH84" s="1071"/>
      <c r="GI84" s="1071"/>
      <c r="GJ84" s="1071"/>
      <c r="GK84" s="1072"/>
      <c r="GL84" s="1071"/>
      <c r="GM84" s="1071"/>
      <c r="GN84" s="1071"/>
      <c r="GO84" s="1071"/>
      <c r="GP84" s="1071"/>
      <c r="GQ84" s="1071"/>
      <c r="GR84" s="1071"/>
      <c r="GS84" s="1072"/>
      <c r="GT84" s="1071"/>
      <c r="GU84" s="1071"/>
      <c r="GV84" s="1071"/>
      <c r="GW84" s="1071"/>
      <c r="GX84" s="1071"/>
      <c r="GY84" s="1071"/>
      <c r="GZ84" s="1071"/>
      <c r="HA84" s="1072"/>
      <c r="HB84" s="1071"/>
      <c r="HC84" s="1071"/>
      <c r="HD84" s="1071"/>
      <c r="HE84" s="1071"/>
      <c r="HF84" s="1071"/>
      <c r="HG84" s="1071"/>
      <c r="HH84" s="1071"/>
      <c r="HI84" s="1072"/>
      <c r="HJ84" s="1071"/>
      <c r="HK84" s="1071"/>
      <c r="HL84" s="1071"/>
      <c r="HM84" s="1071"/>
      <c r="HN84" s="1071"/>
      <c r="HO84" s="1071"/>
      <c r="HP84" s="1071"/>
      <c r="HQ84" s="1072"/>
      <c r="HR84" s="1071"/>
      <c r="HS84" s="1071"/>
      <c r="HT84" s="1071"/>
      <c r="HU84" s="1071"/>
      <c r="HV84" s="1071"/>
      <c r="HW84" s="1071"/>
      <c r="HX84" s="1071"/>
      <c r="HY84" s="1071"/>
      <c r="HZ84" s="1071"/>
      <c r="IA84" s="1071"/>
      <c r="IB84" s="1071"/>
      <c r="IC84" s="1071"/>
      <c r="ID84" s="1071"/>
      <c r="IE84" s="1071"/>
      <c r="IF84" s="1071"/>
      <c r="IG84" s="1072"/>
      <c r="IH84" s="1071"/>
      <c r="II84" s="1071"/>
      <c r="IJ84" s="1071"/>
      <c r="IK84" s="1071"/>
      <c r="IL84" s="1071"/>
      <c r="IM84" s="1071"/>
      <c r="IN84" s="1071"/>
      <c r="IO84" s="1072"/>
      <c r="IP84" s="1071"/>
      <c r="IQ84" s="1071"/>
      <c r="IR84" s="1071"/>
      <c r="IS84" s="1071"/>
      <c r="IT84" s="1071"/>
      <c r="IU84" s="1071"/>
      <c r="IV84" s="1071"/>
      <c r="IW84" s="1071"/>
      <c r="IX84" s="1049"/>
      <c r="IY84" s="1049"/>
      <c r="IZ84" s="1049"/>
      <c r="JA84" s="1049"/>
      <c r="JB84" s="1049"/>
      <c r="JC84" s="1049"/>
      <c r="JD84" s="1049"/>
      <c r="JE84" s="1071"/>
      <c r="JF84" s="1071"/>
      <c r="JG84" s="1071"/>
      <c r="JH84" s="1071"/>
    </row>
    <row r="85" hidden="1" outlineLevel="1" spans="1:334">
      <c r="A85" s="1117" t="s">
        <v>61</v>
      </c>
      <c r="AX85" s="1059"/>
      <c r="BE85" s="1060"/>
      <c r="BN85" s="1059"/>
      <c r="BU85" s="1060"/>
      <c r="BV85" s="1059"/>
      <c r="CC85" s="1060"/>
      <c r="CD85" s="1059"/>
      <c r="CJ85" s="1061"/>
      <c r="CK85" s="1060"/>
      <c r="CL85" s="1059"/>
      <c r="CS85" s="1060"/>
      <c r="CT85" s="1117"/>
      <c r="CU85" s="1117"/>
      <c r="CV85" s="1117"/>
      <c r="CW85" s="1117"/>
      <c r="CX85" s="1117"/>
      <c r="CY85" s="1117"/>
      <c r="CZ85" s="1117"/>
      <c r="DA85" s="1117"/>
      <c r="DB85" s="1082"/>
      <c r="DC85" s="1080"/>
      <c r="DD85" s="1080"/>
      <c r="DE85" s="1080"/>
      <c r="DF85" s="1080"/>
      <c r="DG85" s="1080"/>
      <c r="DH85" s="1080"/>
      <c r="DI85" s="1081"/>
      <c r="DJ85" s="1080">
        <f t="shared" ref="DJ85:DR85" si="531">DJ84/DB84-1</f>
        <v>0.0526315789473684</v>
      </c>
      <c r="DK85" s="1080">
        <f t="shared" si="531"/>
        <v>-0.0178571428571429</v>
      </c>
      <c r="DL85" s="1080">
        <f t="shared" si="531"/>
        <v>0.0176991150442478</v>
      </c>
      <c r="DM85" s="1080">
        <f t="shared" si="531"/>
        <v>-0.0735294117647058</v>
      </c>
      <c r="DN85" s="1080">
        <f t="shared" si="531"/>
        <v>-0.0165745856353591</v>
      </c>
      <c r="DO85" s="1080">
        <f t="shared" si="531"/>
        <v>-0.145161290322581</v>
      </c>
      <c r="DP85" s="1080">
        <f t="shared" si="531"/>
        <v>-0.107692307692308</v>
      </c>
      <c r="DQ85" s="1081">
        <f t="shared" si="531"/>
        <v>-0.0452674897119342</v>
      </c>
      <c r="DR85" s="1082">
        <f t="shared" si="531"/>
        <v>-0.0666666666666667</v>
      </c>
      <c r="DS85" s="1082">
        <f t="shared" ref="DS85:EA85" si="532">DS84/DK84-1</f>
        <v>0.0545454545454545</v>
      </c>
      <c r="DT85" s="1082">
        <f t="shared" si="532"/>
        <v>-0.00869565217391299</v>
      </c>
      <c r="DU85" s="1082">
        <f t="shared" si="532"/>
        <v>0.158730158730159</v>
      </c>
      <c r="DV85" s="1082">
        <f t="shared" si="532"/>
        <v>0.050561797752809</v>
      </c>
      <c r="DW85" s="1082" t="e">
        <f t="shared" si="532"/>
        <v>#REF!</v>
      </c>
      <c r="DX85" s="1082" t="e">
        <f t="shared" si="532"/>
        <v>#REF!</v>
      </c>
      <c r="DY85" s="1085" t="e">
        <f t="shared" si="532"/>
        <v>#REF!</v>
      </c>
      <c r="DZ85" s="1082">
        <f t="shared" si="532"/>
        <v>-0.0357142857142857</v>
      </c>
      <c r="EA85" s="1082">
        <f t="shared" si="532"/>
        <v>0.0172413793103448</v>
      </c>
      <c r="EB85" s="1082">
        <f t="shared" ref="EB85:EG85" si="533">EB84/DT84-1</f>
        <v>0</v>
      </c>
      <c r="EC85" s="1082">
        <f t="shared" si="533"/>
        <v>-0.0136986301369864</v>
      </c>
      <c r="ED85" s="1082">
        <f t="shared" si="533"/>
        <v>-0.00534759358288772</v>
      </c>
      <c r="EE85" s="1082" t="e">
        <f t="shared" si="533"/>
        <v>#REF!</v>
      </c>
      <c r="EF85" s="1082" t="e">
        <f t="shared" si="533"/>
        <v>#REF!</v>
      </c>
      <c r="EG85" s="1085" t="e">
        <f t="shared" si="533"/>
        <v>#REF!</v>
      </c>
      <c r="EH85" s="1082">
        <f t="shared" ref="EH85:ER85" si="534">EH84/DZ84-1</f>
        <v>0.111111111111111</v>
      </c>
      <c r="EI85" s="1082">
        <f t="shared" si="534"/>
        <v>0.135593220338983</v>
      </c>
      <c r="EJ85" s="1082">
        <f t="shared" si="534"/>
        <v>0.114035087719298</v>
      </c>
      <c r="EK85" s="1082">
        <f t="shared" si="534"/>
        <v>0.111111111111111</v>
      </c>
      <c r="EL85" s="1082">
        <f t="shared" si="534"/>
        <v>0.112903225806452</v>
      </c>
      <c r="EM85" s="1082">
        <f t="shared" si="534"/>
        <v>0.04</v>
      </c>
      <c r="EN85" s="1082">
        <f t="shared" si="534"/>
        <v>0.0748299319727892</v>
      </c>
      <c r="EO85" s="1085">
        <f t="shared" si="534"/>
        <v>0.0919540229885059</v>
      </c>
      <c r="EP85" s="1082">
        <f t="shared" si="534"/>
        <v>0.0166666666666666</v>
      </c>
      <c r="EQ85" s="1082">
        <f t="shared" si="534"/>
        <v>0.0298507462686568</v>
      </c>
      <c r="ER85" s="1082">
        <f t="shared" si="534"/>
        <v>0.0236220472440944</v>
      </c>
      <c r="ES85" s="1082">
        <f t="shared" ref="ES85:FB85" si="535">ES84/EK84-1</f>
        <v>-0.1125</v>
      </c>
      <c r="ET85" s="1082">
        <f t="shared" si="535"/>
        <v>-0.0289855072463768</v>
      </c>
      <c r="EU85" s="1082">
        <f t="shared" si="535"/>
        <v>0.128205128205128</v>
      </c>
      <c r="EV85" s="1082">
        <f t="shared" si="535"/>
        <v>0.00632911392405067</v>
      </c>
      <c r="EW85" s="1085">
        <f t="shared" si="535"/>
        <v>0.0140350877192983</v>
      </c>
      <c r="EX85" s="1082">
        <f t="shared" si="535"/>
        <v>-0.131147540983607</v>
      </c>
      <c r="EY85" s="1082">
        <f t="shared" si="535"/>
        <v>-0.0579710144927537</v>
      </c>
      <c r="EZ85" s="1082">
        <f t="shared" si="535"/>
        <v>-0.0923076923076923</v>
      </c>
      <c r="FA85" s="1082">
        <f t="shared" si="535"/>
        <v>0.0422535211267605</v>
      </c>
      <c r="FB85" s="1082">
        <f t="shared" si="535"/>
        <v>-0.0447761194029851</v>
      </c>
      <c r="FC85" s="1168"/>
      <c r="FD85" s="1168"/>
      <c r="FE85" s="1169"/>
      <c r="FF85" s="1082"/>
      <c r="FG85" s="1082"/>
      <c r="FH85" s="1082"/>
      <c r="FI85" s="1082"/>
      <c r="FJ85" s="1082"/>
      <c r="FK85" s="1082"/>
      <c r="FL85" s="1082"/>
      <c r="FM85" s="1085"/>
      <c r="FN85" s="1082"/>
      <c r="FO85" s="1082"/>
      <c r="FP85" s="1082"/>
      <c r="FQ85" s="1082"/>
      <c r="FR85" s="1082"/>
      <c r="FS85" s="1082"/>
      <c r="FT85" s="1082"/>
      <c r="FU85" s="1082"/>
      <c r="FV85" s="1109"/>
      <c r="FW85" s="1082"/>
      <c r="FX85" s="1082"/>
      <c r="FY85" s="1082"/>
      <c r="FZ85" s="1082"/>
      <c r="GA85" s="1082"/>
      <c r="GB85" s="1082"/>
      <c r="GC85" s="1085"/>
      <c r="GD85" s="1082"/>
      <c r="GE85" s="1082"/>
      <c r="GF85" s="1082"/>
      <c r="GG85" s="1082"/>
      <c r="GH85" s="1082"/>
      <c r="GI85" s="1082"/>
      <c r="GJ85" s="1082"/>
      <c r="GK85" s="1085"/>
      <c r="GL85" s="1082"/>
      <c r="GM85" s="1082"/>
      <c r="GN85" s="1082"/>
      <c r="GO85" s="1082"/>
      <c r="GP85" s="1082"/>
      <c r="GQ85" s="1082"/>
      <c r="GR85" s="1082"/>
      <c r="GS85" s="1085"/>
      <c r="GT85" s="1082"/>
      <c r="GU85" s="1082"/>
      <c r="GV85" s="1082"/>
      <c r="GW85" s="1082"/>
      <c r="GX85" s="1082"/>
      <c r="GY85" s="1082"/>
      <c r="GZ85" s="1082"/>
      <c r="HA85" s="1085"/>
      <c r="HB85" s="1082"/>
      <c r="HC85" s="1082"/>
      <c r="HD85" s="1082"/>
      <c r="HE85" s="1082"/>
      <c r="HF85" s="1082"/>
      <c r="HG85" s="1082"/>
      <c r="HH85" s="1082"/>
      <c r="HI85" s="1085"/>
      <c r="HJ85" s="1082"/>
      <c r="HK85" s="1082"/>
      <c r="HL85" s="1082"/>
      <c r="HM85" s="1082"/>
      <c r="HN85" s="1082"/>
      <c r="HO85" s="1082"/>
      <c r="HP85" s="1082"/>
      <c r="HQ85" s="1085"/>
      <c r="HR85" s="1082"/>
      <c r="HS85" s="1082"/>
      <c r="HT85" s="1082"/>
      <c r="HU85" s="1082"/>
      <c r="HV85" s="1082"/>
      <c r="HW85" s="1082"/>
      <c r="HX85" s="1082"/>
      <c r="HY85" s="1082"/>
      <c r="HZ85" s="1082"/>
      <c r="IA85" s="1082"/>
      <c r="IB85" s="1082"/>
      <c r="IC85" s="1082"/>
      <c r="ID85" s="1082"/>
      <c r="IE85" s="1082"/>
      <c r="IF85" s="1082"/>
      <c r="IG85" s="1085"/>
      <c r="IH85" s="1082"/>
      <c r="II85" s="1082"/>
      <c r="IJ85" s="1082"/>
      <c r="IK85" s="1082"/>
      <c r="IL85" s="1082"/>
      <c r="IM85" s="1082"/>
      <c r="IN85" s="1082"/>
      <c r="IO85" s="1085"/>
      <c r="IP85" s="1082"/>
      <c r="IQ85" s="1082"/>
      <c r="IR85" s="1082"/>
      <c r="IS85" s="1082"/>
      <c r="IT85" s="1082"/>
      <c r="IU85" s="1082"/>
      <c r="IV85" s="1082"/>
      <c r="IW85" s="1082"/>
      <c r="IX85" s="1178"/>
      <c r="IY85" s="1178"/>
      <c r="IZ85" s="1049"/>
      <c r="JA85" s="1049"/>
      <c r="JB85" s="1049"/>
      <c r="JC85" s="1049"/>
      <c r="JD85" s="1041"/>
      <c r="JE85" s="1037"/>
      <c r="JF85" s="1037"/>
      <c r="JG85" s="1037"/>
      <c r="JH85" s="1037"/>
      <c r="JI85" s="1035"/>
      <c r="JJ85" s="1035"/>
      <c r="JK85" s="1035"/>
      <c r="JL85" s="1035"/>
      <c r="JM85" s="1035"/>
      <c r="JN85" s="1035"/>
      <c r="JO85" s="1035"/>
      <c r="JP85" s="1035"/>
      <c r="JQ85" s="1035"/>
      <c r="JR85" s="1035"/>
      <c r="JS85" s="1035"/>
      <c r="JT85" s="1035"/>
      <c r="JU85" s="1035"/>
      <c r="JV85" s="1035"/>
      <c r="JW85" s="1035"/>
      <c r="JX85" s="1035"/>
      <c r="JY85" s="1035"/>
      <c r="LV85" s="1117"/>
    </row>
    <row r="86" s="1025" customFormat="1" hidden="1" outlineLevel="1" spans="1:334">
      <c r="A86" s="1025" t="s">
        <v>93</v>
      </c>
      <c r="B86" s="1170"/>
      <c r="C86" s="1170"/>
      <c r="D86" s="1170"/>
      <c r="E86" s="1170"/>
      <c r="F86" s="1170"/>
      <c r="G86" s="1170"/>
      <c r="H86" s="1170"/>
      <c r="I86" s="1170"/>
      <c r="J86" s="1170"/>
      <c r="K86" s="1170"/>
      <c r="L86" s="1170"/>
      <c r="M86" s="1170"/>
      <c r="N86" s="1170"/>
      <c r="O86" s="1170"/>
      <c r="P86" s="1170"/>
      <c r="Q86" s="1170"/>
      <c r="R86" s="1170"/>
      <c r="S86" s="1170"/>
      <c r="T86" s="1170"/>
      <c r="U86" s="1170"/>
      <c r="V86" s="1170"/>
      <c r="W86" s="1170"/>
      <c r="X86" s="1170"/>
      <c r="Y86" s="1170"/>
      <c r="Z86" s="1170"/>
      <c r="AA86" s="1170"/>
      <c r="AB86" s="1170"/>
      <c r="AC86" s="1170"/>
      <c r="AD86" s="1170"/>
      <c r="AE86" s="1170"/>
      <c r="AF86" s="1170"/>
      <c r="AG86" s="1170"/>
      <c r="AH86" s="1170"/>
      <c r="AI86" s="1170"/>
      <c r="AJ86" s="1170"/>
      <c r="AK86" s="1170"/>
      <c r="AL86" s="1170"/>
      <c r="AM86" s="1170"/>
      <c r="AN86" s="1170"/>
      <c r="AO86" s="1170"/>
      <c r="AP86" s="1170"/>
      <c r="AQ86" s="1170"/>
      <c r="AR86" s="1170"/>
      <c r="AS86" s="1170"/>
      <c r="AT86" s="1170"/>
      <c r="AU86" s="1170"/>
      <c r="AV86" s="1170"/>
      <c r="AW86" s="1170"/>
      <c r="AX86" s="1171"/>
      <c r="AY86" s="1170"/>
      <c r="AZ86" s="1170"/>
      <c r="BA86" s="1170"/>
      <c r="BB86" s="1170"/>
      <c r="BC86" s="1170"/>
      <c r="BD86" s="1170"/>
      <c r="BE86" s="1172"/>
      <c r="BF86" s="1170"/>
      <c r="BG86" s="1170"/>
      <c r="BH86" s="1170"/>
      <c r="BI86" s="1170"/>
      <c r="BJ86" s="1170"/>
      <c r="BK86" s="1170"/>
      <c r="BL86" s="1170"/>
      <c r="BM86" s="1170"/>
      <c r="BN86" s="1171"/>
      <c r="BO86" s="1170"/>
      <c r="BP86" s="1170"/>
      <c r="BQ86" s="1170"/>
      <c r="BR86" s="1170"/>
      <c r="BS86" s="1170"/>
      <c r="BT86" s="1170"/>
      <c r="BU86" s="1172"/>
      <c r="BV86" s="1171"/>
      <c r="BW86" s="1170"/>
      <c r="BX86" s="1170"/>
      <c r="BY86" s="1170"/>
      <c r="BZ86" s="1170"/>
      <c r="CA86" s="1170"/>
      <c r="CB86" s="1170"/>
      <c r="CC86" s="1172"/>
      <c r="CD86" s="1171"/>
      <c r="CE86" s="1170"/>
      <c r="CF86" s="1170"/>
      <c r="CG86" s="1170"/>
      <c r="CH86" s="1170"/>
      <c r="CI86" s="1170"/>
      <c r="CJ86" s="1173"/>
      <c r="CK86" s="1172"/>
      <c r="CL86" s="1171"/>
      <c r="CM86" s="1170"/>
      <c r="CN86" s="1170"/>
      <c r="CO86" s="1170"/>
      <c r="CP86" s="1170"/>
      <c r="CQ86" s="1170"/>
      <c r="CR86" s="1170"/>
      <c r="CS86" s="1172"/>
      <c r="DB86" s="1071">
        <f>DB845</f>
        <v>22</v>
      </c>
      <c r="DC86" s="1071">
        <f>DC845</f>
        <v>49</v>
      </c>
      <c r="DD86" s="1071">
        <f>DB86+DC86</f>
        <v>71</v>
      </c>
      <c r="DE86" s="1071">
        <f>DE845</f>
        <v>64</v>
      </c>
      <c r="DF86" s="1071">
        <f>DD86+DE86</f>
        <v>135</v>
      </c>
      <c r="DG86" s="1071">
        <f>DG845</f>
        <v>53</v>
      </c>
      <c r="DH86" s="1071">
        <f>DE86+DG86</f>
        <v>117</v>
      </c>
      <c r="DI86" s="1072">
        <f>'Profit and Loss'!O85</f>
        <v>188</v>
      </c>
      <c r="DJ86" s="1071">
        <f>DJ845</f>
        <v>24</v>
      </c>
      <c r="DK86" s="1071">
        <f>DK845</f>
        <v>44</v>
      </c>
      <c r="DL86" s="1071">
        <f>DJ86+DK86</f>
        <v>68</v>
      </c>
      <c r="DM86" s="1071">
        <f>DM845</f>
        <v>59</v>
      </c>
      <c r="DN86" s="1071">
        <f>DL86+DM86</f>
        <v>127</v>
      </c>
      <c r="DO86" s="1071">
        <f>DO845</f>
        <v>50</v>
      </c>
      <c r="DP86" s="1071">
        <f>DO86+DM86</f>
        <v>109</v>
      </c>
      <c r="DQ86" s="1072">
        <f>'Profit and Loss'!P85</f>
        <v>177</v>
      </c>
      <c r="DR86" s="1071">
        <f t="shared" ref="DR86:DZ86" si="536">DR845</f>
        <v>21</v>
      </c>
      <c r="DS86" s="1071">
        <f t="shared" si="536"/>
        <v>52</v>
      </c>
      <c r="DT86" s="1071">
        <f t="shared" si="536"/>
        <v>73</v>
      </c>
      <c r="DU86" s="1071">
        <f t="shared" si="536"/>
        <v>65</v>
      </c>
      <c r="DV86" s="1071">
        <f t="shared" si="536"/>
        <v>138</v>
      </c>
      <c r="DW86" s="1071" t="e">
        <f t="shared" si="536"/>
        <v>#REF!</v>
      </c>
      <c r="DX86" s="1071" t="e">
        <f t="shared" si="536"/>
        <v>#REF!</v>
      </c>
      <c r="DY86" s="1072" t="e">
        <f t="shared" si="536"/>
        <v>#REF!</v>
      </c>
      <c r="DZ86" s="1071">
        <f t="shared" si="536"/>
        <v>22</v>
      </c>
      <c r="EA86" s="1071">
        <v>56</v>
      </c>
      <c r="EB86" s="1071">
        <f t="shared" ref="EB86:FB86" si="537">EB845</f>
        <v>77</v>
      </c>
      <c r="EC86" s="1071">
        <f t="shared" si="537"/>
        <v>71</v>
      </c>
      <c r="ED86" s="1071">
        <f t="shared" si="537"/>
        <v>148</v>
      </c>
      <c r="EE86" s="1071">
        <f t="shared" si="537"/>
        <v>62</v>
      </c>
      <c r="EF86" s="1071">
        <f t="shared" si="537"/>
        <v>133</v>
      </c>
      <c r="EG86" s="1072">
        <f t="shared" si="537"/>
        <v>210</v>
      </c>
      <c r="EH86" s="1071">
        <f t="shared" si="537"/>
        <v>37</v>
      </c>
      <c r="EI86" s="1071">
        <f t="shared" si="537"/>
        <v>65</v>
      </c>
      <c r="EJ86" s="1071">
        <f t="shared" si="537"/>
        <v>102</v>
      </c>
      <c r="EK86" s="1071">
        <f t="shared" si="537"/>
        <v>87</v>
      </c>
      <c r="EL86" s="1071">
        <f t="shared" si="537"/>
        <v>189</v>
      </c>
      <c r="EM86" s="1071">
        <f t="shared" si="537"/>
        <v>54</v>
      </c>
      <c r="EN86" s="1071">
        <f t="shared" si="537"/>
        <v>141</v>
      </c>
      <c r="EO86" s="1072">
        <f t="shared" si="537"/>
        <v>243</v>
      </c>
      <c r="EP86" s="1071">
        <f t="shared" si="537"/>
        <v>31</v>
      </c>
      <c r="EQ86" s="1071">
        <f t="shared" si="537"/>
        <v>65</v>
      </c>
      <c r="ER86" s="1071">
        <f t="shared" si="537"/>
        <v>96</v>
      </c>
      <c r="ES86" s="1071">
        <f t="shared" si="537"/>
        <v>85</v>
      </c>
      <c r="ET86" s="1071">
        <f t="shared" si="537"/>
        <v>181</v>
      </c>
      <c r="EU86" s="1071">
        <f t="shared" si="537"/>
        <v>79</v>
      </c>
      <c r="EV86" s="1071">
        <f t="shared" si="537"/>
        <v>164</v>
      </c>
      <c r="EW86" s="1072">
        <f t="shared" si="537"/>
        <v>260</v>
      </c>
      <c r="EX86" s="1071">
        <f t="shared" si="537"/>
        <v>32</v>
      </c>
      <c r="EY86" s="1071">
        <f t="shared" si="537"/>
        <v>61</v>
      </c>
      <c r="EZ86" s="1071">
        <f t="shared" si="537"/>
        <v>93</v>
      </c>
      <c r="FA86" s="1071">
        <f t="shared" si="537"/>
        <v>95</v>
      </c>
      <c r="FB86" s="1071">
        <f t="shared" si="537"/>
        <v>188</v>
      </c>
      <c r="FC86" s="1175"/>
      <c r="FD86" s="1175"/>
      <c r="FE86" s="1176"/>
      <c r="FF86" s="1071"/>
      <c r="FG86" s="1071"/>
      <c r="FH86" s="1071"/>
      <c r="FI86" s="1071"/>
      <c r="FJ86" s="1071"/>
      <c r="FK86" s="1071"/>
      <c r="FL86" s="1071"/>
      <c r="FM86" s="1072"/>
      <c r="FN86" s="1071"/>
      <c r="FO86" s="1071"/>
      <c r="FP86" s="1071"/>
      <c r="FQ86" s="1071"/>
      <c r="FR86" s="1071"/>
      <c r="FS86" s="1071"/>
      <c r="FT86" s="1071"/>
      <c r="FU86" s="1071"/>
      <c r="FV86" s="1177"/>
      <c r="FW86" s="1071"/>
      <c r="FX86" s="1071"/>
      <c r="FY86" s="1071"/>
      <c r="FZ86" s="1071"/>
      <c r="GA86" s="1071"/>
      <c r="GB86" s="1071"/>
      <c r="GC86" s="1072"/>
      <c r="GD86" s="1071"/>
      <c r="GE86" s="1071"/>
      <c r="GF86" s="1071"/>
      <c r="GG86" s="1071"/>
      <c r="GH86" s="1071"/>
      <c r="GI86" s="1071"/>
      <c r="GJ86" s="1071"/>
      <c r="GK86" s="1072"/>
      <c r="GL86" s="1071"/>
      <c r="GM86" s="1071"/>
      <c r="GN86" s="1071"/>
      <c r="GO86" s="1071"/>
      <c r="GP86" s="1071"/>
      <c r="GQ86" s="1071"/>
      <c r="GR86" s="1071"/>
      <c r="GS86" s="1072"/>
      <c r="GT86" s="1071"/>
      <c r="GU86" s="1071"/>
      <c r="GV86" s="1071"/>
      <c r="GW86" s="1071"/>
      <c r="GX86" s="1071"/>
      <c r="GY86" s="1071"/>
      <c r="GZ86" s="1071"/>
      <c r="HA86" s="1072"/>
      <c r="HB86" s="1071"/>
      <c r="HC86" s="1071"/>
      <c r="HD86" s="1071"/>
      <c r="HE86" s="1071"/>
      <c r="HF86" s="1071"/>
      <c r="HG86" s="1071"/>
      <c r="HH86" s="1071"/>
      <c r="HI86" s="1072"/>
      <c r="HJ86" s="1071"/>
      <c r="HK86" s="1071"/>
      <c r="HL86" s="1071"/>
      <c r="HM86" s="1071"/>
      <c r="HN86" s="1071"/>
      <c r="HO86" s="1071"/>
      <c r="HP86" s="1071"/>
      <c r="HQ86" s="1072"/>
      <c r="HR86" s="1071"/>
      <c r="HS86" s="1071"/>
      <c r="HT86" s="1071"/>
      <c r="HU86" s="1071"/>
      <c r="HV86" s="1071"/>
      <c r="HW86" s="1071"/>
      <c r="HX86" s="1071"/>
      <c r="HY86" s="1071"/>
      <c r="HZ86" s="1071"/>
      <c r="IA86" s="1071"/>
      <c r="IB86" s="1071"/>
      <c r="IC86" s="1071"/>
      <c r="ID86" s="1071"/>
      <c r="IE86" s="1071"/>
      <c r="IF86" s="1071"/>
      <c r="IG86" s="1072"/>
      <c r="IH86" s="1071"/>
      <c r="II86" s="1071"/>
      <c r="IJ86" s="1071"/>
      <c r="IK86" s="1071"/>
      <c r="IL86" s="1071"/>
      <c r="IM86" s="1071"/>
      <c r="IN86" s="1071"/>
      <c r="IO86" s="1072"/>
      <c r="IP86" s="1071"/>
      <c r="IQ86" s="1071"/>
      <c r="IR86" s="1071"/>
      <c r="IS86" s="1071"/>
      <c r="IT86" s="1071"/>
      <c r="IU86" s="1071"/>
      <c r="IV86" s="1071"/>
      <c r="IW86" s="1071"/>
      <c r="IX86" s="1178"/>
      <c r="IY86" s="1178"/>
      <c r="IZ86" s="1049"/>
      <c r="JA86" s="1049"/>
      <c r="JB86" s="1049"/>
      <c r="JC86" s="1049"/>
      <c r="JD86" s="1049"/>
      <c r="JE86" s="1071"/>
      <c r="JF86" s="1071"/>
      <c r="JG86" s="1071"/>
      <c r="JH86" s="1071"/>
    </row>
    <row r="87" hidden="1" outlineLevel="1" spans="1:334">
      <c r="A87" s="1117" t="s">
        <v>61</v>
      </c>
      <c r="AX87" s="1059"/>
      <c r="BE87" s="1060"/>
      <c r="BN87" s="1059"/>
      <c r="BU87" s="1060"/>
      <c r="BV87" s="1059"/>
      <c r="CC87" s="1060"/>
      <c r="CD87" s="1059"/>
      <c r="CJ87" s="1061"/>
      <c r="CK87" s="1060"/>
      <c r="CL87" s="1059"/>
      <c r="CS87" s="1060"/>
      <c r="CT87" s="1117"/>
      <c r="CU87" s="1117"/>
      <c r="CV87" s="1117"/>
      <c r="CW87" s="1117"/>
      <c r="CX87" s="1117"/>
      <c r="CY87" s="1117"/>
      <c r="CZ87" s="1117"/>
      <c r="DA87" s="1117"/>
      <c r="DB87" s="1082"/>
      <c r="DC87" s="1080"/>
      <c r="DD87" s="1080"/>
      <c r="DE87" s="1080"/>
      <c r="DF87" s="1080"/>
      <c r="DG87" s="1080"/>
      <c r="DH87" s="1080"/>
      <c r="DI87" s="1081"/>
      <c r="DJ87" s="1080">
        <f t="shared" ref="DJ87:DR87" si="538">DJ86/DB86-1</f>
        <v>0.0909090909090908</v>
      </c>
      <c r="DK87" s="1080">
        <f t="shared" si="538"/>
        <v>-0.102040816326531</v>
      </c>
      <c r="DL87" s="1080">
        <f t="shared" si="538"/>
        <v>-0.0422535211267606</v>
      </c>
      <c r="DM87" s="1080">
        <f t="shared" si="538"/>
        <v>-0.078125</v>
      </c>
      <c r="DN87" s="1080">
        <f t="shared" si="538"/>
        <v>-0.0592592592592592</v>
      </c>
      <c r="DO87" s="1080">
        <f t="shared" si="538"/>
        <v>-0.0566037735849056</v>
      </c>
      <c r="DP87" s="1080">
        <f t="shared" si="538"/>
        <v>-0.0683760683760684</v>
      </c>
      <c r="DQ87" s="1081">
        <f t="shared" si="538"/>
        <v>-0.0585106382978723</v>
      </c>
      <c r="DR87" s="1082">
        <f t="shared" si="538"/>
        <v>-0.125</v>
      </c>
      <c r="DS87" s="1082">
        <f t="shared" ref="DS87:EA87" si="539">DS86/DK86-1</f>
        <v>0.181818181818182</v>
      </c>
      <c r="DT87" s="1082">
        <f t="shared" si="539"/>
        <v>0.0735294117647058</v>
      </c>
      <c r="DU87" s="1082">
        <f t="shared" si="539"/>
        <v>0.101694915254237</v>
      </c>
      <c r="DV87" s="1082">
        <f t="shared" si="539"/>
        <v>0.0866141732283465</v>
      </c>
      <c r="DW87" s="1082" t="e">
        <f t="shared" si="539"/>
        <v>#REF!</v>
      </c>
      <c r="DX87" s="1082" t="e">
        <f t="shared" si="539"/>
        <v>#REF!</v>
      </c>
      <c r="DY87" s="1085" t="e">
        <f t="shared" si="539"/>
        <v>#REF!</v>
      </c>
      <c r="DZ87" s="1082">
        <f t="shared" si="539"/>
        <v>0.0476190476190477</v>
      </c>
      <c r="EA87" s="1082">
        <f t="shared" si="539"/>
        <v>0.0769230769230769</v>
      </c>
      <c r="EB87" s="1082">
        <f t="shared" ref="EB87:EG87" si="540">EB86/DT86-1</f>
        <v>0.0547945205479452</v>
      </c>
      <c r="EC87" s="1082">
        <f t="shared" si="540"/>
        <v>0.0923076923076922</v>
      </c>
      <c r="ED87" s="1082">
        <f t="shared" si="540"/>
        <v>0.0724637681159421</v>
      </c>
      <c r="EE87" s="1082" t="e">
        <f t="shared" si="540"/>
        <v>#REF!</v>
      </c>
      <c r="EF87" s="1082" t="e">
        <f t="shared" si="540"/>
        <v>#REF!</v>
      </c>
      <c r="EG87" s="1085" t="e">
        <f t="shared" si="540"/>
        <v>#REF!</v>
      </c>
      <c r="EH87" s="1082">
        <f t="shared" ref="EH87:ER87" si="541">EH86/DZ86-1</f>
        <v>0.681818181818182</v>
      </c>
      <c r="EI87" s="1082">
        <f t="shared" si="541"/>
        <v>0.160714285714286</v>
      </c>
      <c r="EJ87" s="1082">
        <f t="shared" si="541"/>
        <v>0.324675324675325</v>
      </c>
      <c r="EK87" s="1082">
        <f t="shared" si="541"/>
        <v>0.225352112676056</v>
      </c>
      <c r="EL87" s="1082">
        <f t="shared" si="541"/>
        <v>0.277027027027027</v>
      </c>
      <c r="EM87" s="1082">
        <f t="shared" si="541"/>
        <v>-0.129032258064516</v>
      </c>
      <c r="EN87" s="1082">
        <f t="shared" si="541"/>
        <v>0.0601503759398496</v>
      </c>
      <c r="EO87" s="1085">
        <f t="shared" si="541"/>
        <v>0.157142857142857</v>
      </c>
      <c r="EP87" s="1082">
        <f t="shared" si="541"/>
        <v>-0.162162162162162</v>
      </c>
      <c r="EQ87" s="1082">
        <f t="shared" si="541"/>
        <v>0</v>
      </c>
      <c r="ER87" s="1082">
        <f t="shared" si="541"/>
        <v>-0.0588235294117647</v>
      </c>
      <c r="ES87" s="1082">
        <f t="shared" ref="ES87:FB87" si="542">ES86/EK86-1</f>
        <v>-0.0229885057471264</v>
      </c>
      <c r="ET87" s="1082">
        <f t="shared" si="542"/>
        <v>-0.0423280423280423</v>
      </c>
      <c r="EU87" s="1082">
        <f t="shared" si="542"/>
        <v>0.462962962962963</v>
      </c>
      <c r="EV87" s="1082">
        <f t="shared" si="542"/>
        <v>0.163120567375886</v>
      </c>
      <c r="EW87" s="1085">
        <f t="shared" si="542"/>
        <v>0.0699588477366255</v>
      </c>
      <c r="EX87" s="1082">
        <f t="shared" si="542"/>
        <v>0.032258064516129</v>
      </c>
      <c r="EY87" s="1082">
        <f t="shared" si="542"/>
        <v>-0.0615384615384615</v>
      </c>
      <c r="EZ87" s="1082">
        <f t="shared" si="542"/>
        <v>-0.03125</v>
      </c>
      <c r="FA87" s="1082">
        <f t="shared" si="542"/>
        <v>0.117647058823529</v>
      </c>
      <c r="FB87" s="1082">
        <f t="shared" si="542"/>
        <v>0.0386740331491713</v>
      </c>
      <c r="FC87" s="1168"/>
      <c r="FD87" s="1168"/>
      <c r="FE87" s="1169"/>
      <c r="FF87" s="1082"/>
      <c r="FG87" s="1082"/>
      <c r="FH87" s="1082"/>
      <c r="FI87" s="1082"/>
      <c r="FJ87" s="1082"/>
      <c r="FK87" s="1082"/>
      <c r="FL87" s="1082"/>
      <c r="FM87" s="1085"/>
      <c r="FN87" s="1082"/>
      <c r="FO87" s="1082"/>
      <c r="FP87" s="1082"/>
      <c r="FQ87" s="1082"/>
      <c r="FR87" s="1082"/>
      <c r="FS87" s="1082"/>
      <c r="FT87" s="1082"/>
      <c r="FU87" s="1082"/>
      <c r="FV87" s="1109"/>
      <c r="FW87" s="1082"/>
      <c r="FX87" s="1082"/>
      <c r="FY87" s="1082"/>
      <c r="FZ87" s="1082"/>
      <c r="GA87" s="1082"/>
      <c r="GB87" s="1082"/>
      <c r="GC87" s="1085"/>
      <c r="GD87" s="1082"/>
      <c r="GE87" s="1082"/>
      <c r="GF87" s="1082"/>
      <c r="GG87" s="1082"/>
      <c r="GH87" s="1082"/>
      <c r="GI87" s="1082"/>
      <c r="GJ87" s="1082"/>
      <c r="GK87" s="1085"/>
      <c r="GL87" s="1082"/>
      <c r="GM87" s="1082"/>
      <c r="GN87" s="1082"/>
      <c r="GO87" s="1082"/>
      <c r="GP87" s="1082"/>
      <c r="GQ87" s="1082"/>
      <c r="GR87" s="1082"/>
      <c r="GS87" s="1085"/>
      <c r="GT87" s="1082"/>
      <c r="GU87" s="1082"/>
      <c r="GV87" s="1082"/>
      <c r="GW87" s="1082"/>
      <c r="GX87" s="1082"/>
      <c r="GY87" s="1082"/>
      <c r="GZ87" s="1082"/>
      <c r="HA87" s="1085"/>
      <c r="HB87" s="1082"/>
      <c r="HC87" s="1082"/>
      <c r="HD87" s="1082"/>
      <c r="HE87" s="1082"/>
      <c r="HF87" s="1082"/>
      <c r="HG87" s="1082"/>
      <c r="HH87" s="1082"/>
      <c r="HI87" s="1085"/>
      <c r="HJ87" s="1082"/>
      <c r="HK87" s="1082"/>
      <c r="HL87" s="1082"/>
      <c r="HM87" s="1082"/>
      <c r="HN87" s="1082"/>
      <c r="HO87" s="1082"/>
      <c r="HP87" s="1082"/>
      <c r="HQ87" s="1085"/>
      <c r="HR87" s="1082"/>
      <c r="HS87" s="1082"/>
      <c r="HT87" s="1082"/>
      <c r="HU87" s="1082"/>
      <c r="HV87" s="1082"/>
      <c r="HW87" s="1082"/>
      <c r="HX87" s="1082"/>
      <c r="HY87" s="1082"/>
      <c r="HZ87" s="1082"/>
      <c r="IA87" s="1082"/>
      <c r="IB87" s="1082"/>
      <c r="IC87" s="1082"/>
      <c r="ID87" s="1082"/>
      <c r="IE87" s="1082"/>
      <c r="IF87" s="1082"/>
      <c r="IG87" s="1085"/>
      <c r="IH87" s="1082"/>
      <c r="II87" s="1082"/>
      <c r="IJ87" s="1082"/>
      <c r="IK87" s="1082"/>
      <c r="IL87" s="1082"/>
      <c r="IM87" s="1082"/>
      <c r="IN87" s="1082"/>
      <c r="IO87" s="1085"/>
      <c r="IP87" s="1082"/>
      <c r="IQ87" s="1082"/>
      <c r="IR87" s="1082"/>
      <c r="IS87" s="1082"/>
      <c r="IT87" s="1082"/>
      <c r="IU87" s="1082"/>
      <c r="IV87" s="1082"/>
      <c r="IW87" s="1082"/>
      <c r="IX87" s="1178"/>
      <c r="IY87" s="1178"/>
      <c r="IZ87" s="1049"/>
      <c r="JA87" s="1049"/>
      <c r="JB87" s="1049"/>
      <c r="JC87" s="1049"/>
      <c r="JD87" s="1041"/>
      <c r="JE87" s="1037"/>
      <c r="JF87" s="1037"/>
      <c r="JG87" s="1037"/>
      <c r="JH87" s="1037"/>
      <c r="JI87" s="1035"/>
      <c r="JJ87" s="1035"/>
      <c r="JK87" s="1035"/>
      <c r="JL87" s="1035"/>
      <c r="JM87" s="1035"/>
      <c r="JN87" s="1035"/>
      <c r="JO87" s="1035"/>
      <c r="JP87" s="1035"/>
      <c r="JQ87" s="1035"/>
      <c r="JR87" s="1035"/>
      <c r="JS87" s="1035"/>
      <c r="JT87" s="1035"/>
      <c r="JU87" s="1035"/>
      <c r="JV87" s="1035"/>
      <c r="JW87" s="1035"/>
      <c r="JX87" s="1035"/>
      <c r="JY87" s="1035"/>
      <c r="LV87" s="1117"/>
    </row>
    <row r="88" s="1025" customFormat="1" hidden="1" outlineLevel="1" spans="1:334">
      <c r="A88" s="1025" t="s">
        <v>94</v>
      </c>
      <c r="B88" s="1170"/>
      <c r="C88" s="1170"/>
      <c r="D88" s="1170"/>
      <c r="E88" s="1170"/>
      <c r="F88" s="1170"/>
      <c r="G88" s="1170"/>
      <c r="H88" s="1170"/>
      <c r="I88" s="1170"/>
      <c r="J88" s="1170"/>
      <c r="K88" s="1170"/>
      <c r="L88" s="1170"/>
      <c r="M88" s="1170"/>
      <c r="N88" s="1170"/>
      <c r="O88" s="1170"/>
      <c r="P88" s="1170"/>
      <c r="Q88" s="1170"/>
      <c r="R88" s="1170"/>
      <c r="S88" s="1170"/>
      <c r="T88" s="1170"/>
      <c r="U88" s="1170"/>
      <c r="V88" s="1170"/>
      <c r="W88" s="1170"/>
      <c r="X88" s="1170"/>
      <c r="Y88" s="1170"/>
      <c r="Z88" s="1170"/>
      <c r="AA88" s="1170"/>
      <c r="AB88" s="1170"/>
      <c r="AC88" s="1170"/>
      <c r="AD88" s="1170"/>
      <c r="AE88" s="1170"/>
      <c r="AF88" s="1170"/>
      <c r="AG88" s="1170"/>
      <c r="AH88" s="1170"/>
      <c r="AI88" s="1170"/>
      <c r="AJ88" s="1170"/>
      <c r="AK88" s="1170"/>
      <c r="AL88" s="1170"/>
      <c r="AM88" s="1170"/>
      <c r="AN88" s="1170"/>
      <c r="AO88" s="1170"/>
      <c r="AP88" s="1170"/>
      <c r="AQ88" s="1170"/>
      <c r="AR88" s="1170"/>
      <c r="AS88" s="1170"/>
      <c r="AT88" s="1170"/>
      <c r="AU88" s="1170"/>
      <c r="AV88" s="1170"/>
      <c r="AW88" s="1170"/>
      <c r="AX88" s="1171"/>
      <c r="AY88" s="1170"/>
      <c r="AZ88" s="1170"/>
      <c r="BA88" s="1170"/>
      <c r="BB88" s="1170"/>
      <c r="BC88" s="1170"/>
      <c r="BD88" s="1170"/>
      <c r="BE88" s="1172"/>
      <c r="BF88" s="1170"/>
      <c r="BG88" s="1170"/>
      <c r="BH88" s="1170"/>
      <c r="BI88" s="1170"/>
      <c r="BJ88" s="1170"/>
      <c r="BK88" s="1170"/>
      <c r="BL88" s="1170"/>
      <c r="BM88" s="1170"/>
      <c r="BN88" s="1171"/>
      <c r="BO88" s="1170"/>
      <c r="BP88" s="1170"/>
      <c r="BQ88" s="1170"/>
      <c r="BR88" s="1170"/>
      <c r="BS88" s="1170"/>
      <c r="BT88" s="1170"/>
      <c r="BU88" s="1172"/>
      <c r="BV88" s="1171"/>
      <c r="BW88" s="1170"/>
      <c r="BX88" s="1170"/>
      <c r="BY88" s="1170"/>
      <c r="BZ88" s="1170"/>
      <c r="CA88" s="1170"/>
      <c r="CB88" s="1170"/>
      <c r="CC88" s="1172"/>
      <c r="CD88" s="1171"/>
      <c r="CE88" s="1170"/>
      <c r="CF88" s="1170"/>
      <c r="CG88" s="1170"/>
      <c r="CH88" s="1170"/>
      <c r="CI88" s="1170"/>
      <c r="CJ88" s="1173"/>
      <c r="CK88" s="1172"/>
      <c r="CL88" s="1171"/>
      <c r="CM88" s="1170"/>
      <c r="CN88" s="1170"/>
      <c r="CO88" s="1170"/>
      <c r="CP88" s="1170"/>
      <c r="CQ88" s="1170"/>
      <c r="CR88" s="1170"/>
      <c r="CS88" s="1172"/>
      <c r="DB88" s="1071">
        <f>DB848</f>
        <v>15</v>
      </c>
      <c r="DC88" s="1071">
        <f>DC848</f>
        <v>5</v>
      </c>
      <c r="DD88" s="1071">
        <f>DB88+DC88</f>
        <v>20</v>
      </c>
      <c r="DE88" s="1071">
        <f>DE848</f>
        <v>18</v>
      </c>
      <c r="DF88" s="1071">
        <f>DD88+DE88</f>
        <v>38</v>
      </c>
      <c r="DG88" s="1071">
        <f>DG848</f>
        <v>4</v>
      </c>
      <c r="DH88" s="1071">
        <f>DE88+DG88</f>
        <v>22</v>
      </c>
      <c r="DI88" s="1072">
        <f>'Profit and Loss'!O87</f>
        <v>42</v>
      </c>
      <c r="DJ88" s="1071">
        <f>DJ848</f>
        <v>15</v>
      </c>
      <c r="DK88" s="1071">
        <f>DK848</f>
        <v>6</v>
      </c>
      <c r="DL88" s="1071">
        <f>DJ88+DK88</f>
        <v>21</v>
      </c>
      <c r="DM88" s="1071">
        <f>DM848</f>
        <v>15</v>
      </c>
      <c r="DN88" s="1071">
        <f>DL88+DM88</f>
        <v>36</v>
      </c>
      <c r="DO88" s="1071">
        <f>DO848</f>
        <v>7</v>
      </c>
      <c r="DP88" s="1071">
        <f>DO88+DM88</f>
        <v>22</v>
      </c>
      <c r="DQ88" s="1072">
        <f>'Profit and Loss'!P87</f>
        <v>43</v>
      </c>
      <c r="DR88" s="1071">
        <f t="shared" ref="DR88:FB88" si="543">DR848</f>
        <v>16</v>
      </c>
      <c r="DS88" s="1071">
        <f t="shared" si="543"/>
        <v>8</v>
      </c>
      <c r="DT88" s="1071">
        <f t="shared" si="543"/>
        <v>24</v>
      </c>
      <c r="DU88" s="1071">
        <f t="shared" si="543"/>
        <v>24</v>
      </c>
      <c r="DV88" s="1071">
        <f t="shared" si="543"/>
        <v>48</v>
      </c>
      <c r="DW88" s="1071" t="e">
        <f t="shared" si="543"/>
        <v>#REF!</v>
      </c>
      <c r="DX88" s="1071" t="e">
        <f t="shared" si="543"/>
        <v>#REF!</v>
      </c>
      <c r="DY88" s="1072" t="e">
        <f t="shared" si="543"/>
        <v>#REF!</v>
      </c>
      <c r="DZ88" s="1071">
        <f t="shared" si="543"/>
        <v>19</v>
      </c>
      <c r="EA88" s="1071">
        <f t="shared" si="543"/>
        <v>6</v>
      </c>
      <c r="EB88" s="1071">
        <f t="shared" si="543"/>
        <v>25</v>
      </c>
      <c r="EC88" s="1071">
        <f t="shared" si="543"/>
        <v>24</v>
      </c>
      <c r="ED88" s="1071">
        <f t="shared" si="543"/>
        <v>49</v>
      </c>
      <c r="EE88" s="1071">
        <f t="shared" si="543"/>
        <v>15</v>
      </c>
      <c r="EF88" s="1071">
        <f t="shared" si="543"/>
        <v>40</v>
      </c>
      <c r="EG88" s="1072">
        <f t="shared" si="543"/>
        <v>65</v>
      </c>
      <c r="EH88" s="1071">
        <f t="shared" si="543"/>
        <v>32</v>
      </c>
      <c r="EI88" s="1071">
        <f t="shared" si="543"/>
        <v>18</v>
      </c>
      <c r="EJ88" s="1071">
        <f t="shared" si="543"/>
        <v>50</v>
      </c>
      <c r="EK88" s="1071">
        <f t="shared" si="543"/>
        <v>36</v>
      </c>
      <c r="EL88" s="1071">
        <f t="shared" si="543"/>
        <v>86</v>
      </c>
      <c r="EM88" s="1071">
        <f t="shared" si="543"/>
        <v>18</v>
      </c>
      <c r="EN88" s="1071">
        <f t="shared" si="543"/>
        <v>54</v>
      </c>
      <c r="EO88" s="1072">
        <f t="shared" si="543"/>
        <v>104</v>
      </c>
      <c r="EP88" s="1071">
        <f t="shared" si="543"/>
        <v>33</v>
      </c>
      <c r="EQ88" s="1071">
        <f t="shared" si="543"/>
        <v>21</v>
      </c>
      <c r="ER88" s="1071">
        <f t="shared" si="543"/>
        <v>54</v>
      </c>
      <c r="ES88" s="1071">
        <f t="shared" si="543"/>
        <v>36</v>
      </c>
      <c r="ET88" s="1071">
        <f t="shared" si="543"/>
        <v>90</v>
      </c>
      <c r="EU88" s="1071">
        <f t="shared" si="543"/>
        <v>22</v>
      </c>
      <c r="EV88" s="1071">
        <f t="shared" si="543"/>
        <v>58</v>
      </c>
      <c r="EW88" s="1072">
        <f t="shared" si="543"/>
        <v>112</v>
      </c>
      <c r="EX88" s="1071">
        <f t="shared" si="543"/>
        <v>33</v>
      </c>
      <c r="EY88" s="1071">
        <f t="shared" si="543"/>
        <v>24</v>
      </c>
      <c r="EZ88" s="1071">
        <f t="shared" si="543"/>
        <v>57</v>
      </c>
      <c r="FA88" s="1071">
        <f t="shared" si="543"/>
        <v>48</v>
      </c>
      <c r="FB88" s="1071">
        <f t="shared" si="543"/>
        <v>105</v>
      </c>
      <c r="FC88" s="1175"/>
      <c r="FD88" s="1175"/>
      <c r="FE88" s="1176"/>
      <c r="FF88" s="1071"/>
      <c r="FG88" s="1071"/>
      <c r="FH88" s="1071"/>
      <c r="FI88" s="1071"/>
      <c r="FJ88" s="1071"/>
      <c r="FK88" s="1071"/>
      <c r="FL88" s="1071"/>
      <c r="FM88" s="1072"/>
      <c r="FN88" s="1071"/>
      <c r="FO88" s="1071"/>
      <c r="FP88" s="1071"/>
      <c r="FQ88" s="1071"/>
      <c r="FR88" s="1071"/>
      <c r="FS88" s="1071"/>
      <c r="FT88" s="1071"/>
      <c r="FU88" s="1071"/>
      <c r="FV88" s="1177"/>
      <c r="FW88" s="1071"/>
      <c r="FX88" s="1071"/>
      <c r="FY88" s="1071"/>
      <c r="FZ88" s="1071"/>
      <c r="GA88" s="1071"/>
      <c r="GB88" s="1071"/>
      <c r="GC88" s="1072"/>
      <c r="GD88" s="1071"/>
      <c r="GE88" s="1071"/>
      <c r="GF88" s="1071"/>
      <c r="GG88" s="1071"/>
      <c r="GH88" s="1071"/>
      <c r="GI88" s="1071"/>
      <c r="GJ88" s="1071"/>
      <c r="GK88" s="1072"/>
      <c r="GL88" s="1071"/>
      <c r="GM88" s="1071"/>
      <c r="GN88" s="1071"/>
      <c r="GO88" s="1071"/>
      <c r="GP88" s="1071"/>
      <c r="GQ88" s="1071"/>
      <c r="GR88" s="1071"/>
      <c r="GS88" s="1072"/>
      <c r="GT88" s="1071"/>
      <c r="GU88" s="1071"/>
      <c r="GV88" s="1071"/>
      <c r="GW88" s="1071"/>
      <c r="GX88" s="1071"/>
      <c r="GY88" s="1071"/>
      <c r="GZ88" s="1071"/>
      <c r="HA88" s="1072"/>
      <c r="HB88" s="1071"/>
      <c r="HC88" s="1071"/>
      <c r="HD88" s="1071"/>
      <c r="HE88" s="1071"/>
      <c r="HF88" s="1071"/>
      <c r="HG88" s="1071"/>
      <c r="HH88" s="1071"/>
      <c r="HI88" s="1072"/>
      <c r="HJ88" s="1071"/>
      <c r="HK88" s="1071"/>
      <c r="HL88" s="1071"/>
      <c r="HM88" s="1071"/>
      <c r="HN88" s="1071"/>
      <c r="HO88" s="1071"/>
      <c r="HP88" s="1071"/>
      <c r="HQ88" s="1072"/>
      <c r="HR88" s="1071"/>
      <c r="HS88" s="1071"/>
      <c r="HT88" s="1071"/>
      <c r="HU88" s="1071"/>
      <c r="HV88" s="1071"/>
      <c r="HW88" s="1071"/>
      <c r="HX88" s="1071"/>
      <c r="HY88" s="1071"/>
      <c r="HZ88" s="1071"/>
      <c r="IA88" s="1071"/>
      <c r="IB88" s="1071"/>
      <c r="IC88" s="1071"/>
      <c r="ID88" s="1071"/>
      <c r="IE88" s="1071"/>
      <c r="IF88" s="1071"/>
      <c r="IG88" s="1072"/>
      <c r="IH88" s="1071"/>
      <c r="II88" s="1071"/>
      <c r="IJ88" s="1071"/>
      <c r="IK88" s="1071"/>
      <c r="IL88" s="1071"/>
      <c r="IM88" s="1071"/>
      <c r="IN88" s="1071"/>
      <c r="IO88" s="1072"/>
      <c r="IP88" s="1071"/>
      <c r="IQ88" s="1071"/>
      <c r="IR88" s="1071"/>
      <c r="IS88" s="1071"/>
      <c r="IT88" s="1071"/>
      <c r="IU88" s="1071"/>
      <c r="IV88" s="1071"/>
      <c r="IW88" s="1071"/>
      <c r="IX88" s="1178"/>
      <c r="IY88" s="1178"/>
      <c r="IZ88" s="1049"/>
      <c r="JA88" s="1049"/>
      <c r="JB88" s="1049"/>
      <c r="JC88" s="1049"/>
      <c r="JD88" s="1049"/>
      <c r="JE88" s="1071"/>
      <c r="JF88" s="1071"/>
      <c r="JG88" s="1071"/>
      <c r="JH88" s="1071"/>
    </row>
    <row r="89" hidden="1" outlineLevel="1" spans="1:334">
      <c r="A89" s="1117" t="s">
        <v>61</v>
      </c>
      <c r="AX89" s="1059"/>
      <c r="BE89" s="1060"/>
      <c r="BN89" s="1059"/>
      <c r="BU89" s="1060"/>
      <c r="BV89" s="1059"/>
      <c r="CC89" s="1060"/>
      <c r="CD89" s="1059"/>
      <c r="CJ89" s="1061"/>
      <c r="CK89" s="1060"/>
      <c r="CL89" s="1059"/>
      <c r="CS89" s="1060"/>
      <c r="CT89" s="1117"/>
      <c r="CU89" s="1117"/>
      <c r="CV89" s="1117"/>
      <c r="CW89" s="1117"/>
      <c r="CX89" s="1117"/>
      <c r="CY89" s="1117"/>
      <c r="CZ89" s="1117"/>
      <c r="DA89" s="1117"/>
      <c r="DB89" s="1082"/>
      <c r="DC89" s="1080"/>
      <c r="DD89" s="1080"/>
      <c r="DE89" s="1080"/>
      <c r="DF89" s="1080"/>
      <c r="DG89" s="1080"/>
      <c r="DH89" s="1080"/>
      <c r="DI89" s="1081"/>
      <c r="DJ89" s="1080">
        <f t="shared" ref="DJ89:DR89" si="544">DJ88/DB88-1</f>
        <v>0</v>
      </c>
      <c r="DK89" s="1080">
        <f t="shared" si="544"/>
        <v>0.2</v>
      </c>
      <c r="DL89" s="1080">
        <f t="shared" si="544"/>
        <v>0.05</v>
      </c>
      <c r="DM89" s="1080">
        <f t="shared" si="544"/>
        <v>-0.166666666666667</v>
      </c>
      <c r="DN89" s="1080">
        <f t="shared" si="544"/>
        <v>-0.0526315789473685</v>
      </c>
      <c r="DO89" s="1080">
        <f t="shared" si="544"/>
        <v>0.75</v>
      </c>
      <c r="DP89" s="1080">
        <f t="shared" si="544"/>
        <v>0</v>
      </c>
      <c r="DQ89" s="1081">
        <f t="shared" si="544"/>
        <v>0.0238095238095237</v>
      </c>
      <c r="DR89" s="1082">
        <f t="shared" si="544"/>
        <v>0.0666666666666667</v>
      </c>
      <c r="DS89" s="1082">
        <f t="shared" ref="DS89:DZ89" si="545">DS88/DK88-1</f>
        <v>0.333333333333333</v>
      </c>
      <c r="DT89" s="1082">
        <f t="shared" si="545"/>
        <v>0.142857142857143</v>
      </c>
      <c r="DU89" s="1082">
        <f t="shared" si="545"/>
        <v>0.6</v>
      </c>
      <c r="DV89" s="1082">
        <f t="shared" si="545"/>
        <v>0.333333333333333</v>
      </c>
      <c r="DW89" s="1082" t="e">
        <f t="shared" si="545"/>
        <v>#REF!</v>
      </c>
      <c r="DX89" s="1082" t="e">
        <f t="shared" si="545"/>
        <v>#REF!</v>
      </c>
      <c r="DY89" s="1085" t="e">
        <f t="shared" si="545"/>
        <v>#REF!</v>
      </c>
      <c r="DZ89" s="1082">
        <f t="shared" si="545"/>
        <v>0.1875</v>
      </c>
      <c r="EA89" s="1082">
        <f t="shared" ref="EA89:EG89" si="546">EA88/DS88-1</f>
        <v>-0.25</v>
      </c>
      <c r="EB89" s="1082">
        <f t="shared" si="546"/>
        <v>0.0416666666666667</v>
      </c>
      <c r="EC89" s="1082">
        <f t="shared" si="546"/>
        <v>0</v>
      </c>
      <c r="ED89" s="1082">
        <f t="shared" si="546"/>
        <v>0.0208333333333333</v>
      </c>
      <c r="EE89" s="1082" t="e">
        <f t="shared" si="546"/>
        <v>#REF!</v>
      </c>
      <c r="EF89" s="1082" t="e">
        <f t="shared" si="546"/>
        <v>#REF!</v>
      </c>
      <c r="EG89" s="1085" t="e">
        <f t="shared" si="546"/>
        <v>#REF!</v>
      </c>
      <c r="EH89" s="1082">
        <f t="shared" ref="EH89:ER89" si="547">EH88/DZ88-1</f>
        <v>0.684210526315789</v>
      </c>
      <c r="EI89" s="1082">
        <f t="shared" si="547"/>
        <v>2</v>
      </c>
      <c r="EJ89" s="1082">
        <f t="shared" si="547"/>
        <v>1</v>
      </c>
      <c r="EK89" s="1082">
        <f t="shared" si="547"/>
        <v>0.5</v>
      </c>
      <c r="EL89" s="1082">
        <f t="shared" si="547"/>
        <v>0.755102040816326</v>
      </c>
      <c r="EM89" s="1082">
        <f t="shared" si="547"/>
        <v>0.2</v>
      </c>
      <c r="EN89" s="1082">
        <f t="shared" si="547"/>
        <v>0.35</v>
      </c>
      <c r="EO89" s="1085">
        <f t="shared" si="547"/>
        <v>0.6</v>
      </c>
      <c r="EP89" s="1082">
        <f t="shared" si="547"/>
        <v>0.03125</v>
      </c>
      <c r="EQ89" s="1082">
        <f t="shared" si="547"/>
        <v>0.166666666666667</v>
      </c>
      <c r="ER89" s="1082">
        <f t="shared" si="547"/>
        <v>0.0800000000000001</v>
      </c>
      <c r="ES89" s="1082">
        <f t="shared" ref="ES89:FB89" si="548">ES88/EK88-1</f>
        <v>0</v>
      </c>
      <c r="ET89" s="1082">
        <f t="shared" si="548"/>
        <v>0.0465116279069768</v>
      </c>
      <c r="EU89" s="1082">
        <f t="shared" si="548"/>
        <v>0.222222222222222</v>
      </c>
      <c r="EV89" s="1082">
        <f t="shared" si="548"/>
        <v>0.0740740740740742</v>
      </c>
      <c r="EW89" s="1085">
        <f t="shared" si="548"/>
        <v>0.0769230769230769</v>
      </c>
      <c r="EX89" s="1082">
        <f t="shared" si="548"/>
        <v>0</v>
      </c>
      <c r="EY89" s="1082">
        <f t="shared" si="548"/>
        <v>0.142857142857143</v>
      </c>
      <c r="EZ89" s="1082">
        <f t="shared" si="548"/>
        <v>0.0555555555555556</v>
      </c>
      <c r="FA89" s="1082">
        <f t="shared" si="548"/>
        <v>0.333333333333333</v>
      </c>
      <c r="FB89" s="1082">
        <f t="shared" si="548"/>
        <v>0.166666666666667</v>
      </c>
      <c r="FC89" s="1168"/>
      <c r="FD89" s="1168"/>
      <c r="FE89" s="1169"/>
      <c r="FF89" s="1082"/>
      <c r="FG89" s="1082"/>
      <c r="FH89" s="1082"/>
      <c r="FI89" s="1082"/>
      <c r="FJ89" s="1082"/>
      <c r="FK89" s="1082"/>
      <c r="FL89" s="1082"/>
      <c r="FM89" s="1085"/>
      <c r="FN89" s="1082"/>
      <c r="FO89" s="1082"/>
      <c r="FP89" s="1082"/>
      <c r="FQ89" s="1082"/>
      <c r="FR89" s="1082"/>
      <c r="FS89" s="1082"/>
      <c r="FT89" s="1082"/>
      <c r="FU89" s="1082"/>
      <c r="FV89" s="1109"/>
      <c r="FW89" s="1082"/>
      <c r="FX89" s="1082"/>
      <c r="FY89" s="1082"/>
      <c r="FZ89" s="1082"/>
      <c r="GA89" s="1082"/>
      <c r="GB89" s="1082"/>
      <c r="GC89" s="1085"/>
      <c r="GD89" s="1082"/>
      <c r="GE89" s="1082"/>
      <c r="GF89" s="1082"/>
      <c r="GG89" s="1082"/>
      <c r="GH89" s="1082"/>
      <c r="GI89" s="1082"/>
      <c r="GJ89" s="1082"/>
      <c r="GK89" s="1085"/>
      <c r="GL89" s="1082"/>
      <c r="GM89" s="1082"/>
      <c r="GN89" s="1082"/>
      <c r="GO89" s="1082"/>
      <c r="GP89" s="1082"/>
      <c r="GQ89" s="1082"/>
      <c r="GR89" s="1082"/>
      <c r="GS89" s="1085"/>
      <c r="GT89" s="1082"/>
      <c r="GU89" s="1082"/>
      <c r="GV89" s="1082"/>
      <c r="GW89" s="1082"/>
      <c r="GX89" s="1082"/>
      <c r="GY89" s="1082"/>
      <c r="GZ89" s="1082"/>
      <c r="HA89" s="1085"/>
      <c r="HB89" s="1082"/>
      <c r="HC89" s="1082"/>
      <c r="HD89" s="1082"/>
      <c r="HE89" s="1082"/>
      <c r="HF89" s="1082"/>
      <c r="HG89" s="1082"/>
      <c r="HH89" s="1082"/>
      <c r="HI89" s="1085"/>
      <c r="HJ89" s="1082"/>
      <c r="HK89" s="1082"/>
      <c r="HL89" s="1082"/>
      <c r="HM89" s="1082"/>
      <c r="HN89" s="1082"/>
      <c r="HO89" s="1082"/>
      <c r="HP89" s="1082"/>
      <c r="HQ89" s="1085"/>
      <c r="HR89" s="1082"/>
      <c r="HS89" s="1082"/>
      <c r="HT89" s="1082"/>
      <c r="HU89" s="1082"/>
      <c r="HV89" s="1082"/>
      <c r="HW89" s="1082"/>
      <c r="HX89" s="1082"/>
      <c r="HY89" s="1082"/>
      <c r="HZ89" s="1082"/>
      <c r="IA89" s="1082"/>
      <c r="IB89" s="1082"/>
      <c r="IC89" s="1082"/>
      <c r="ID89" s="1082"/>
      <c r="IE89" s="1082"/>
      <c r="IF89" s="1082"/>
      <c r="IG89" s="1085"/>
      <c r="IH89" s="1082"/>
      <c r="II89" s="1082"/>
      <c r="IJ89" s="1082"/>
      <c r="IK89" s="1082"/>
      <c r="IL89" s="1082"/>
      <c r="IM89" s="1082"/>
      <c r="IN89" s="1082"/>
      <c r="IO89" s="1085"/>
      <c r="IP89" s="1082"/>
      <c r="IQ89" s="1082"/>
      <c r="IR89" s="1082"/>
      <c r="IS89" s="1082"/>
      <c r="IT89" s="1082"/>
      <c r="IU89" s="1082"/>
      <c r="IV89" s="1082"/>
      <c r="IW89" s="1082"/>
      <c r="IX89" s="1178"/>
      <c r="IY89" s="1178"/>
      <c r="IZ89" s="1049"/>
      <c r="JA89" s="1049"/>
      <c r="JB89" s="1049"/>
      <c r="JC89" s="1049"/>
      <c r="JD89" s="1041"/>
      <c r="JE89" s="1037"/>
      <c r="JF89" s="1037"/>
      <c r="JG89" s="1037"/>
      <c r="JH89" s="1037"/>
      <c r="JI89" s="1035"/>
      <c r="JJ89" s="1035"/>
      <c r="JK89" s="1035"/>
      <c r="JL89" s="1035"/>
      <c r="JM89" s="1035"/>
      <c r="JN89" s="1035"/>
      <c r="JO89" s="1035"/>
      <c r="JP89" s="1035"/>
      <c r="JQ89" s="1035"/>
      <c r="JR89" s="1035"/>
      <c r="JS89" s="1035"/>
      <c r="JT89" s="1035"/>
      <c r="JU89" s="1035"/>
      <c r="JV89" s="1035"/>
      <c r="JW89" s="1035"/>
      <c r="JX89" s="1035"/>
      <c r="JY89" s="1035"/>
      <c r="LV89" s="1117"/>
    </row>
    <row r="90" hidden="1" outlineLevel="1" spans="1:334">
      <c r="A90" s="1105" t="s">
        <v>71</v>
      </c>
      <c r="AX90" s="1059"/>
      <c r="BE90" s="1060"/>
      <c r="BN90" s="1059"/>
      <c r="BU90" s="1060"/>
      <c r="BV90" s="1059"/>
      <c r="CC90" s="1060"/>
      <c r="CD90" s="1059"/>
      <c r="CJ90" s="1061"/>
      <c r="CK90" s="1060"/>
      <c r="CL90" s="1059"/>
      <c r="CS90" s="1060"/>
      <c r="CT90" s="1105"/>
      <c r="CU90" s="1105"/>
      <c r="CV90" s="1105"/>
      <c r="CW90" s="1105"/>
      <c r="CX90" s="1105"/>
      <c r="CY90" s="1105"/>
      <c r="CZ90" s="1105"/>
      <c r="DA90" s="1105"/>
      <c r="DB90" s="1106">
        <f t="shared" ref="DB90:DQ90" si="549">SUM(DB88,DB86,DB84,DB82,DB78,DB76,DB74)</f>
        <v>2600</v>
      </c>
      <c r="DC90" s="1106">
        <f t="shared" si="549"/>
        <v>2505</v>
      </c>
      <c r="DD90" s="1106">
        <f t="shared" si="549"/>
        <v>5105</v>
      </c>
      <c r="DE90" s="1106">
        <f t="shared" si="549"/>
        <v>3069</v>
      </c>
      <c r="DF90" s="1106">
        <f t="shared" si="549"/>
        <v>8174</v>
      </c>
      <c r="DG90" s="1106">
        <f t="shared" si="549"/>
        <v>2572</v>
      </c>
      <c r="DH90" s="1106">
        <f t="shared" si="549"/>
        <v>5641</v>
      </c>
      <c r="DI90" s="1107">
        <f t="shared" si="549"/>
        <v>10745</v>
      </c>
      <c r="DJ90" s="1106">
        <f t="shared" si="549"/>
        <v>2581</v>
      </c>
      <c r="DK90" s="1106">
        <f t="shared" si="549"/>
        <v>2440</v>
      </c>
      <c r="DL90" s="1106">
        <f t="shared" si="549"/>
        <v>5021</v>
      </c>
      <c r="DM90" s="1106">
        <f t="shared" si="549"/>
        <v>2894</v>
      </c>
      <c r="DN90" s="1106">
        <f t="shared" si="549"/>
        <v>7915</v>
      </c>
      <c r="DO90" s="1106">
        <f t="shared" si="549"/>
        <v>2453</v>
      </c>
      <c r="DP90" s="1106">
        <f t="shared" si="549"/>
        <v>5347</v>
      </c>
      <c r="DQ90" s="1107">
        <f t="shared" si="549"/>
        <v>10370</v>
      </c>
      <c r="DR90" s="1106">
        <f>SUM(DR74,DR76,DR78,DR80)</f>
        <v>2673</v>
      </c>
      <c r="DS90" s="1106">
        <f>SUM(DS74,DS76,DS78,DS80)</f>
        <v>2908</v>
      </c>
      <c r="DT90" s="1106">
        <f t="shared" ref="DT90:DY90" si="550">SUM(DT74,DT76,DT78,DT80)</f>
        <v>5581</v>
      </c>
      <c r="DU90" s="1106">
        <f t="shared" si="550"/>
        <v>3466</v>
      </c>
      <c r="DV90" s="1106">
        <f t="shared" si="550"/>
        <v>9047</v>
      </c>
      <c r="DW90" s="1106" t="e">
        <f t="shared" si="550"/>
        <v>#REF!</v>
      </c>
      <c r="DX90" s="1106" t="e">
        <f t="shared" si="550"/>
        <v>#REF!</v>
      </c>
      <c r="DY90" s="1107" t="e">
        <f t="shared" si="550"/>
        <v>#REF!</v>
      </c>
      <c r="DZ90" s="1106">
        <f t="shared" ref="DZ90:EG90" si="551">SUM(DZ74,DZ76,DZ78,DZ80)</f>
        <v>3273</v>
      </c>
      <c r="EA90" s="1106">
        <f t="shared" si="551"/>
        <v>3064</v>
      </c>
      <c r="EB90" s="1106">
        <f t="shared" si="551"/>
        <v>6336</v>
      </c>
      <c r="EC90" s="1106">
        <f t="shared" si="551"/>
        <v>3743</v>
      </c>
      <c r="ED90" s="1106">
        <f t="shared" si="551"/>
        <v>10079</v>
      </c>
      <c r="EE90" s="1106">
        <f t="shared" si="551"/>
        <v>3241</v>
      </c>
      <c r="EF90" s="1106">
        <f t="shared" si="551"/>
        <v>6985</v>
      </c>
      <c r="EG90" s="1107">
        <f t="shared" si="551"/>
        <v>13323</v>
      </c>
      <c r="EH90" s="1106">
        <f t="shared" ref="EH90:EO90" si="552">SUM(EH74,EH76,EH78,EH80)</f>
        <v>3822</v>
      </c>
      <c r="EI90" s="1106">
        <f t="shared" si="552"/>
        <v>3515</v>
      </c>
      <c r="EJ90" s="1106">
        <f t="shared" si="552"/>
        <v>7337</v>
      </c>
      <c r="EK90" s="1106">
        <f t="shared" si="552"/>
        <v>4169</v>
      </c>
      <c r="EL90" s="1106">
        <f t="shared" si="552"/>
        <v>11506</v>
      </c>
      <c r="EM90" s="1106">
        <f t="shared" si="552"/>
        <v>3368</v>
      </c>
      <c r="EN90" s="1106">
        <f t="shared" si="552"/>
        <v>7537</v>
      </c>
      <c r="EO90" s="1107">
        <f t="shared" si="552"/>
        <v>14874</v>
      </c>
      <c r="EP90" s="1106">
        <f t="shared" ref="EP90:FB90" si="553">SUM(EP74,EP76,EP78,EP80)</f>
        <v>3749</v>
      </c>
      <c r="EQ90" s="1106">
        <f t="shared" si="553"/>
        <v>3381</v>
      </c>
      <c r="ER90" s="1106">
        <f t="shared" si="553"/>
        <v>7130</v>
      </c>
      <c r="ES90" s="1106">
        <f t="shared" si="553"/>
        <v>3880</v>
      </c>
      <c r="ET90" s="1106">
        <f t="shared" si="553"/>
        <v>11010</v>
      </c>
      <c r="EU90" s="1106">
        <f t="shared" si="553"/>
        <v>3473</v>
      </c>
      <c r="EV90" s="1106">
        <f t="shared" si="553"/>
        <v>7353</v>
      </c>
      <c r="EW90" s="1107">
        <f t="shared" si="553"/>
        <v>14483</v>
      </c>
      <c r="EX90" s="1106">
        <f t="shared" si="553"/>
        <v>3534</v>
      </c>
      <c r="EY90" s="1106">
        <f t="shared" si="553"/>
        <v>3464</v>
      </c>
      <c r="EZ90" s="1106">
        <f t="shared" si="553"/>
        <v>6998</v>
      </c>
      <c r="FA90" s="1106">
        <f t="shared" si="553"/>
        <v>4119</v>
      </c>
      <c r="FB90" s="1106">
        <f t="shared" si="553"/>
        <v>11117</v>
      </c>
      <c r="FC90" s="1106"/>
      <c r="FD90" s="1106"/>
      <c r="FE90" s="1107"/>
      <c r="FF90" s="1106"/>
      <c r="FG90" s="1106"/>
      <c r="FH90" s="1106"/>
      <c r="FI90" s="1106"/>
      <c r="FJ90" s="1106"/>
      <c r="FK90" s="1106"/>
      <c r="FL90" s="1106"/>
      <c r="FM90" s="1107"/>
      <c r="FN90" s="1106"/>
      <c r="FO90" s="1106"/>
      <c r="FP90" s="1106"/>
      <c r="FQ90" s="1106"/>
      <c r="FR90" s="1106"/>
      <c r="FS90" s="1106"/>
      <c r="FT90" s="1106"/>
      <c r="FU90" s="1106"/>
      <c r="FV90" s="1108"/>
      <c r="FW90" s="1106"/>
      <c r="FX90" s="1106"/>
      <c r="FY90" s="1106"/>
      <c r="FZ90" s="1106"/>
      <c r="GA90" s="1106"/>
      <c r="GB90" s="1106"/>
      <c r="GC90" s="1107"/>
      <c r="GD90" s="1106"/>
      <c r="GE90" s="1106"/>
      <c r="GF90" s="1106"/>
      <c r="GG90" s="1106"/>
      <c r="GH90" s="1106"/>
      <c r="GI90" s="1106"/>
      <c r="GJ90" s="1106"/>
      <c r="GK90" s="1107"/>
      <c r="GL90" s="1106"/>
      <c r="GM90" s="1106"/>
      <c r="GN90" s="1106"/>
      <c r="GO90" s="1106"/>
      <c r="GP90" s="1106"/>
      <c r="GQ90" s="1106"/>
      <c r="GR90" s="1106"/>
      <c r="GS90" s="1107"/>
      <c r="GT90" s="1106"/>
      <c r="GU90" s="1106"/>
      <c r="GV90" s="1106"/>
      <c r="GW90" s="1106"/>
      <c r="GX90" s="1106"/>
      <c r="GY90" s="1106"/>
      <c r="GZ90" s="1106"/>
      <c r="HA90" s="1107"/>
      <c r="HB90" s="1106"/>
      <c r="HC90" s="1106"/>
      <c r="HD90" s="1106"/>
      <c r="HE90" s="1106"/>
      <c r="HF90" s="1106"/>
      <c r="HG90" s="1106"/>
      <c r="HH90" s="1106"/>
      <c r="HI90" s="1107"/>
      <c r="HJ90" s="1106"/>
      <c r="HK90" s="1106"/>
      <c r="HL90" s="1106"/>
      <c r="HM90" s="1106"/>
      <c r="HN90" s="1106"/>
      <c r="HO90" s="1106"/>
      <c r="HP90" s="1106"/>
      <c r="HQ90" s="1107"/>
      <c r="HR90" s="1106"/>
      <c r="HS90" s="1106"/>
      <c r="HT90" s="1106"/>
      <c r="HU90" s="1106"/>
      <c r="HV90" s="1106"/>
      <c r="HW90" s="1106"/>
      <c r="HX90" s="1106"/>
      <c r="HY90" s="1106"/>
      <c r="HZ90" s="1106"/>
      <c r="IA90" s="1106"/>
      <c r="IB90" s="1106"/>
      <c r="IC90" s="1106"/>
      <c r="ID90" s="1106"/>
      <c r="IE90" s="1106"/>
      <c r="IF90" s="1106"/>
      <c r="IG90" s="1107"/>
      <c r="IH90" s="1106"/>
      <c r="II90" s="1106"/>
      <c r="IJ90" s="1106"/>
      <c r="IK90" s="1106"/>
      <c r="IL90" s="1106"/>
      <c r="IM90" s="1106"/>
      <c r="IN90" s="1106"/>
      <c r="IO90" s="1107"/>
      <c r="IP90" s="1106"/>
      <c r="IQ90" s="1106"/>
      <c r="IR90" s="1106"/>
      <c r="IS90" s="1106"/>
      <c r="IT90" s="1106"/>
      <c r="IU90" s="1106"/>
      <c r="IV90" s="1106"/>
      <c r="IW90" s="1106"/>
      <c r="IX90" s="1178"/>
      <c r="IY90" s="1178"/>
      <c r="IZ90" s="1049"/>
      <c r="JA90" s="1049"/>
      <c r="JB90" s="1049"/>
      <c r="JC90" s="1049"/>
      <c r="JD90" s="1041"/>
      <c r="JE90" s="1037"/>
      <c r="JF90" s="1037"/>
      <c r="JG90" s="1037"/>
      <c r="JH90" s="1037"/>
      <c r="JI90" s="1035"/>
      <c r="JJ90" s="1035"/>
      <c r="JK90" s="1035"/>
      <c r="JL90" s="1035"/>
      <c r="JM90" s="1035"/>
      <c r="JN90" s="1035"/>
      <c r="JO90" s="1035"/>
      <c r="JP90" s="1035"/>
      <c r="JQ90" s="1035"/>
      <c r="JR90" s="1035"/>
      <c r="JS90" s="1035"/>
      <c r="JT90" s="1035"/>
      <c r="JU90" s="1035"/>
      <c r="JV90" s="1035"/>
      <c r="JW90" s="1035"/>
      <c r="JX90" s="1035"/>
      <c r="JY90" s="1035"/>
      <c r="LV90" s="1117"/>
    </row>
    <row r="91" hidden="1" outlineLevel="1" spans="1:334">
      <c r="A91" s="967" t="s">
        <v>61</v>
      </c>
      <c r="AX91" s="1059"/>
      <c r="BE91" s="1060"/>
      <c r="BN91" s="1059"/>
      <c r="BU91" s="1060"/>
      <c r="BV91" s="1059"/>
      <c r="CC91" s="1060"/>
      <c r="CD91" s="1059"/>
      <c r="CJ91" s="1061"/>
      <c r="CK91" s="1060"/>
      <c r="CL91" s="1059"/>
      <c r="CS91" s="1060"/>
      <c r="CT91" s="967"/>
      <c r="CU91" s="967"/>
      <c r="CV91" s="967"/>
      <c r="CW91" s="967"/>
      <c r="CX91" s="967"/>
      <c r="CY91" s="967"/>
      <c r="CZ91" s="967"/>
      <c r="DA91" s="967"/>
      <c r="DB91" s="1082"/>
      <c r="DC91" s="1080"/>
      <c r="DD91" s="1080"/>
      <c r="DE91" s="1080"/>
      <c r="DF91" s="1080"/>
      <c r="DG91" s="1080"/>
      <c r="DH91" s="1080"/>
      <c r="DI91" s="1081"/>
      <c r="DJ91" s="1080">
        <f t="shared" ref="DJ91:DR91" si="554">DJ90/DB90-1</f>
        <v>-0.00730769230769235</v>
      </c>
      <c r="DK91" s="1080">
        <f t="shared" si="554"/>
        <v>-0.0259481037924152</v>
      </c>
      <c r="DL91" s="1080">
        <f t="shared" si="554"/>
        <v>-0.0164544564152791</v>
      </c>
      <c r="DM91" s="1080">
        <f t="shared" si="554"/>
        <v>-0.0570218312153796</v>
      </c>
      <c r="DN91" s="1080">
        <f t="shared" si="554"/>
        <v>-0.0316858331294348</v>
      </c>
      <c r="DO91" s="1080">
        <f t="shared" si="554"/>
        <v>-0.0462674961119751</v>
      </c>
      <c r="DP91" s="1080">
        <f t="shared" si="554"/>
        <v>-0.052118418720085</v>
      </c>
      <c r="DQ91" s="1081">
        <f t="shared" si="554"/>
        <v>-0.0348999534667287</v>
      </c>
      <c r="DR91" s="1082">
        <f t="shared" si="554"/>
        <v>0.0356450987989152</v>
      </c>
      <c r="DS91" s="1082">
        <f t="shared" ref="DS91:DZ91" si="555">DS90/DK90-1</f>
        <v>0.191803278688525</v>
      </c>
      <c r="DT91" s="1082">
        <f t="shared" si="555"/>
        <v>0.111531567416849</v>
      </c>
      <c r="DU91" s="1082">
        <f t="shared" si="555"/>
        <v>0.197650310988251</v>
      </c>
      <c r="DV91" s="1082">
        <f t="shared" si="555"/>
        <v>0.14301958307012</v>
      </c>
      <c r="DW91" s="1082" t="e">
        <f t="shared" si="555"/>
        <v>#REF!</v>
      </c>
      <c r="DX91" s="1082" t="e">
        <f t="shared" si="555"/>
        <v>#REF!</v>
      </c>
      <c r="DY91" s="1085" t="e">
        <f t="shared" si="555"/>
        <v>#REF!</v>
      </c>
      <c r="DZ91" s="1082">
        <f t="shared" si="555"/>
        <v>0.224466891133558</v>
      </c>
      <c r="EA91" s="1082">
        <f t="shared" ref="EA91:EG91" si="556">EA90/DS90-1</f>
        <v>0.0536451169188445</v>
      </c>
      <c r="EB91" s="1082">
        <f t="shared" si="556"/>
        <v>0.135280415696112</v>
      </c>
      <c r="EC91" s="1082">
        <f t="shared" si="556"/>
        <v>0.0799192152336987</v>
      </c>
      <c r="ED91" s="1082">
        <f t="shared" si="556"/>
        <v>0.114070962750083</v>
      </c>
      <c r="EE91" s="1082" t="e">
        <f t="shared" si="556"/>
        <v>#REF!</v>
      </c>
      <c r="EF91" s="1082" t="e">
        <f t="shared" si="556"/>
        <v>#REF!</v>
      </c>
      <c r="EG91" s="1085" t="e">
        <f t="shared" si="556"/>
        <v>#REF!</v>
      </c>
      <c r="EH91" s="1082">
        <f t="shared" ref="EH91:ER91" si="557">EH90/DZ90-1</f>
        <v>0.167736021998167</v>
      </c>
      <c r="EI91" s="1082">
        <f t="shared" si="557"/>
        <v>0.147193211488251</v>
      </c>
      <c r="EJ91" s="1082">
        <f t="shared" si="557"/>
        <v>0.157986111111111</v>
      </c>
      <c r="EK91" s="1082">
        <f t="shared" si="557"/>
        <v>0.113812449906492</v>
      </c>
      <c r="EL91" s="1082">
        <f t="shared" si="557"/>
        <v>0.141581506101796</v>
      </c>
      <c r="EM91" s="1082">
        <f t="shared" si="557"/>
        <v>0.0391854365936439</v>
      </c>
      <c r="EN91" s="1082">
        <f t="shared" si="557"/>
        <v>0.0790264853256979</v>
      </c>
      <c r="EO91" s="1085">
        <f t="shared" si="557"/>
        <v>0.116415221796893</v>
      </c>
      <c r="EP91" s="1082">
        <f t="shared" si="557"/>
        <v>-0.0190999476713762</v>
      </c>
      <c r="EQ91" s="1082">
        <f t="shared" si="557"/>
        <v>-0.038122332859175</v>
      </c>
      <c r="ER91" s="1082">
        <f t="shared" si="557"/>
        <v>-0.0282131661442007</v>
      </c>
      <c r="ES91" s="1082">
        <f t="shared" ref="ES91:FB91" si="558">ES90/EK90-1</f>
        <v>-0.0693211801391221</v>
      </c>
      <c r="ET91" s="1082">
        <f t="shared" si="558"/>
        <v>-0.0431079436815575</v>
      </c>
      <c r="EU91" s="1082">
        <f t="shared" si="558"/>
        <v>0.0311757719714965</v>
      </c>
      <c r="EV91" s="1082">
        <f t="shared" si="558"/>
        <v>-0.0244128963778691</v>
      </c>
      <c r="EW91" s="1085">
        <f t="shared" si="558"/>
        <v>-0.0262874815113621</v>
      </c>
      <c r="EX91" s="1082">
        <f t="shared" si="558"/>
        <v>-0.0573486263003468</v>
      </c>
      <c r="EY91" s="1082">
        <f t="shared" si="558"/>
        <v>0.0245489500147886</v>
      </c>
      <c r="EZ91" s="1082">
        <f t="shared" si="558"/>
        <v>-0.0185133239831697</v>
      </c>
      <c r="FA91" s="1082">
        <f t="shared" si="558"/>
        <v>0.0615979381443299</v>
      </c>
      <c r="FB91" s="1082">
        <f t="shared" si="558"/>
        <v>0.00971843778383286</v>
      </c>
      <c r="FC91" s="1082"/>
      <c r="FD91" s="1082"/>
      <c r="FE91" s="1085"/>
      <c r="FF91" s="1082"/>
      <c r="FG91" s="1082"/>
      <c r="FH91" s="1082"/>
      <c r="FI91" s="1082"/>
      <c r="FJ91" s="1082"/>
      <c r="FK91" s="1082"/>
      <c r="FL91" s="1082"/>
      <c r="FM91" s="1085"/>
      <c r="FN91" s="1082"/>
      <c r="FO91" s="1082"/>
      <c r="FP91" s="1082"/>
      <c r="FQ91" s="1082"/>
      <c r="FR91" s="1082"/>
      <c r="FS91" s="1082"/>
      <c r="FT91" s="1082"/>
      <c r="FU91" s="1082"/>
      <c r="FV91" s="1109"/>
      <c r="FW91" s="1082"/>
      <c r="FX91" s="1082"/>
      <c r="FY91" s="1082"/>
      <c r="FZ91" s="1082"/>
      <c r="GA91" s="1082"/>
      <c r="GB91" s="1082"/>
      <c r="GC91" s="1085"/>
      <c r="GD91" s="1082"/>
      <c r="GE91" s="1082"/>
      <c r="GF91" s="1082"/>
      <c r="GG91" s="1082"/>
      <c r="GH91" s="1082"/>
      <c r="GI91" s="1082"/>
      <c r="GJ91" s="1082"/>
      <c r="GK91" s="1085"/>
      <c r="GL91" s="1082"/>
      <c r="GM91" s="1082"/>
      <c r="GN91" s="1082"/>
      <c r="GO91" s="1082"/>
      <c r="GP91" s="1082"/>
      <c r="GQ91" s="1082"/>
      <c r="GR91" s="1082"/>
      <c r="GS91" s="1085"/>
      <c r="GT91" s="1082"/>
      <c r="GU91" s="1082"/>
      <c r="GV91" s="1082"/>
      <c r="GW91" s="1082"/>
      <c r="GX91" s="1082"/>
      <c r="GY91" s="1082"/>
      <c r="GZ91" s="1082"/>
      <c r="HA91" s="1085"/>
      <c r="HB91" s="1082"/>
      <c r="HC91" s="1082"/>
      <c r="HD91" s="1082"/>
      <c r="HE91" s="1082"/>
      <c r="HF91" s="1082"/>
      <c r="HG91" s="1082"/>
      <c r="HH91" s="1082"/>
      <c r="HI91" s="1085"/>
      <c r="HJ91" s="1082"/>
      <c r="HK91" s="1082"/>
      <c r="HL91" s="1082"/>
      <c r="HM91" s="1082"/>
      <c r="HN91" s="1082"/>
      <c r="HO91" s="1082"/>
      <c r="HP91" s="1082"/>
      <c r="HQ91" s="1085"/>
      <c r="HR91" s="1082"/>
      <c r="HS91" s="1082"/>
      <c r="HT91" s="1082"/>
      <c r="HU91" s="1082"/>
      <c r="HV91" s="1082"/>
      <c r="HW91" s="1082"/>
      <c r="HX91" s="1082"/>
      <c r="HY91" s="1082"/>
      <c r="HZ91" s="1082"/>
      <c r="IA91" s="1082"/>
      <c r="IB91" s="1082"/>
      <c r="IC91" s="1082"/>
      <c r="ID91" s="1082"/>
      <c r="IE91" s="1082"/>
      <c r="IF91" s="1082"/>
      <c r="IG91" s="1085"/>
      <c r="IH91" s="1082"/>
      <c r="II91" s="1082"/>
      <c r="IJ91" s="1082"/>
      <c r="IK91" s="1082"/>
      <c r="IL91" s="1082"/>
      <c r="IM91" s="1082"/>
      <c r="IN91" s="1082"/>
      <c r="IO91" s="1085"/>
      <c r="IP91" s="1082"/>
      <c r="IQ91" s="1082"/>
      <c r="IR91" s="1082"/>
      <c r="IS91" s="1082"/>
      <c r="IT91" s="1082"/>
      <c r="IU91" s="1082"/>
      <c r="IV91" s="1082"/>
      <c r="IW91" s="1082"/>
      <c r="IX91" s="1178"/>
      <c r="IY91" s="1178"/>
      <c r="IZ91" s="1049"/>
      <c r="JA91" s="1049"/>
      <c r="JB91" s="1049"/>
      <c r="JC91" s="1049"/>
      <c r="JD91" s="1041"/>
      <c r="JE91" s="1037"/>
      <c r="JF91" s="1037"/>
      <c r="JG91" s="1037"/>
      <c r="JH91" s="1037"/>
      <c r="JI91" s="1035"/>
      <c r="JJ91" s="1035"/>
      <c r="JK91" s="1035"/>
      <c r="JL91" s="1035"/>
      <c r="JM91" s="1035"/>
      <c r="JN91" s="1035"/>
      <c r="JO91" s="1035"/>
      <c r="JP91" s="1035"/>
      <c r="JQ91" s="1035"/>
      <c r="JR91" s="1035"/>
      <c r="JS91" s="1035"/>
      <c r="JT91" s="1035"/>
      <c r="JU91" s="1035"/>
      <c r="JV91" s="1035"/>
      <c r="JW91" s="1035"/>
      <c r="JX91" s="1035"/>
      <c r="JY91" s="1035"/>
      <c r="LV91" s="1117"/>
    </row>
    <row r="92" collapsed="1" spans="1:334">
      <c r="AX92" s="1059"/>
      <c r="BE92" s="1060"/>
      <c r="BN92" s="1059"/>
      <c r="BU92" s="1060"/>
      <c r="BV92" s="1059"/>
      <c r="CC92" s="1060"/>
      <c r="CD92" s="1059"/>
      <c r="CJ92" s="1061"/>
      <c r="CK92" s="1060"/>
      <c r="CL92" s="1059"/>
      <c r="CS92" s="1060"/>
      <c r="CT92" s="1035"/>
      <c r="CU92" s="1035"/>
      <c r="CV92" s="1035"/>
      <c r="CW92" s="1035"/>
      <c r="CX92" s="1035"/>
      <c r="CY92" s="1035"/>
      <c r="CZ92" s="1035"/>
      <c r="DA92" s="1035"/>
      <c r="EW92" s="1038"/>
      <c r="EX92" s="1037"/>
      <c r="EY92" s="1037"/>
      <c r="EZ92" s="1037"/>
      <c r="FA92" s="1037"/>
      <c r="FB92" s="1037"/>
      <c r="FC92" s="1037"/>
      <c r="FD92" s="1037"/>
      <c r="FE92" s="1038"/>
      <c r="FF92" s="1037"/>
      <c r="FG92" s="1037"/>
      <c r="FH92" s="1037"/>
      <c r="FI92" s="1037"/>
      <c r="FJ92" s="1037"/>
      <c r="FK92" s="1037"/>
      <c r="FL92" s="1037"/>
      <c r="FM92" s="1038"/>
      <c r="FN92" s="1037"/>
      <c r="FO92" s="1037"/>
      <c r="FP92" s="1037"/>
      <c r="FQ92" s="1037"/>
      <c r="FR92" s="1037"/>
      <c r="FS92" s="1037"/>
      <c r="FT92" s="1037"/>
      <c r="FU92" s="1037"/>
      <c r="FV92" s="1063"/>
      <c r="FW92" s="1037"/>
      <c r="FX92" s="1037"/>
      <c r="FY92" s="1037"/>
      <c r="FZ92" s="1037"/>
      <c r="GA92" s="1037"/>
      <c r="GB92" s="1037"/>
      <c r="GC92" s="1038"/>
      <c r="GD92" s="1037"/>
      <c r="GE92" s="1037"/>
      <c r="GF92" s="1037"/>
      <c r="GG92" s="1037"/>
      <c r="GH92" s="1037"/>
      <c r="GI92" s="1037"/>
      <c r="GJ92" s="1037"/>
      <c r="GK92" s="1038"/>
      <c r="GL92" s="1037"/>
      <c r="GM92" s="1037"/>
      <c r="GN92" s="1037"/>
      <c r="GO92" s="1037"/>
      <c r="GP92" s="1037"/>
      <c r="GQ92" s="1037"/>
      <c r="GR92" s="1037"/>
      <c r="GS92" s="1038"/>
      <c r="GT92" s="1037"/>
      <c r="GU92" s="1037"/>
      <c r="GV92" s="1037"/>
      <c r="GW92" s="1037"/>
      <c r="GX92" s="1037"/>
      <c r="GY92" s="1037"/>
      <c r="GZ92" s="1037"/>
      <c r="HA92" s="1038"/>
      <c r="HB92" s="1037"/>
      <c r="HC92" s="1037"/>
      <c r="HD92" s="1037"/>
      <c r="HE92" s="1037"/>
      <c r="HF92" s="1037"/>
      <c r="HG92" s="1037"/>
      <c r="HH92" s="1037"/>
      <c r="HI92" s="1038"/>
      <c r="HJ92" s="1037"/>
      <c r="HK92" s="1037"/>
      <c r="HL92" s="1037"/>
      <c r="HM92" s="1037"/>
      <c r="HN92" s="1037"/>
      <c r="HO92" s="1037"/>
      <c r="HP92" s="1037"/>
      <c r="HQ92" s="1038"/>
      <c r="HR92" s="1037"/>
      <c r="HS92" s="1037"/>
      <c r="HT92" s="1037"/>
      <c r="HU92" s="1037"/>
      <c r="HV92" s="1037"/>
      <c r="HW92" s="1037"/>
      <c r="HX92" s="1037"/>
      <c r="HY92" s="1037"/>
      <c r="HZ92" s="1037"/>
      <c r="IA92" s="1037"/>
      <c r="IB92" s="1037"/>
      <c r="IC92" s="1037"/>
      <c r="ID92" s="1037"/>
      <c r="IE92" s="1037"/>
      <c r="IF92" s="1037"/>
      <c r="IG92" s="1038"/>
      <c r="IH92" s="1037"/>
      <c r="II92" s="1037"/>
      <c r="IJ92" s="1037"/>
      <c r="IK92" s="1037"/>
      <c r="IL92" s="1037"/>
      <c r="IM92" s="1037"/>
      <c r="IN92" s="1037"/>
      <c r="IO92" s="1038"/>
      <c r="IP92" s="1037"/>
      <c r="IQ92" s="1037"/>
      <c r="IR92" s="1037"/>
      <c r="IS92" s="1037"/>
      <c r="IT92" s="1037"/>
      <c r="IU92" s="1037"/>
      <c r="IV92" s="1037"/>
      <c r="IW92" s="1037"/>
      <c r="IX92" s="1178"/>
      <c r="IY92" s="1178"/>
      <c r="IZ92" s="1049"/>
      <c r="JA92" s="1049"/>
      <c r="JB92" s="1049"/>
      <c r="JC92" s="1049"/>
      <c r="JD92" s="1041"/>
      <c r="JE92" s="1037"/>
      <c r="JF92" s="1037"/>
      <c r="JG92" s="1037"/>
      <c r="JH92" s="1037"/>
      <c r="JI92" s="1035"/>
      <c r="JJ92" s="1035"/>
      <c r="JK92" s="1035"/>
      <c r="JL92" s="1035"/>
      <c r="JM92" s="1035"/>
      <c r="JN92" s="1035"/>
      <c r="JO92" s="1035"/>
      <c r="JP92" s="1035"/>
      <c r="JQ92" s="1035"/>
      <c r="JR92" s="1035"/>
      <c r="JS92" s="1035"/>
      <c r="JT92" s="1035"/>
      <c r="JU92" s="1035"/>
      <c r="JV92" s="1035"/>
      <c r="JW92" s="1035"/>
      <c r="JX92" s="1035"/>
      <c r="JY92" s="1035"/>
      <c r="LV92" s="1117"/>
    </row>
    <row r="93" spans="1:334">
      <c r="A93" s="967"/>
      <c r="AX93" s="1059"/>
      <c r="BE93" s="1060"/>
      <c r="BN93" s="1059"/>
      <c r="BU93" s="1060"/>
      <c r="BV93" s="1059"/>
      <c r="CC93" s="1060"/>
      <c r="CD93" s="1059"/>
      <c r="CJ93" s="1061"/>
      <c r="CK93" s="1060"/>
      <c r="CL93" s="1059"/>
      <c r="CS93" s="1060"/>
      <c r="CT93" s="967"/>
      <c r="CU93" s="967"/>
      <c r="CV93" s="967"/>
      <c r="CW93" s="967"/>
      <c r="CX93" s="967"/>
      <c r="CY93" s="967"/>
      <c r="CZ93" s="967"/>
      <c r="DA93" s="967"/>
      <c r="EW93" s="1038"/>
      <c r="EX93" s="1037"/>
      <c r="EY93" s="1037"/>
      <c r="EZ93" s="1037"/>
      <c r="FA93" s="1037"/>
      <c r="FB93" s="1082"/>
      <c r="FC93" s="1037"/>
      <c r="FD93" s="1037"/>
      <c r="FE93" s="1038"/>
      <c r="FF93" s="1037"/>
      <c r="FG93" s="1037"/>
      <c r="FH93" s="1037"/>
      <c r="FI93" s="1037"/>
      <c r="FJ93" s="1037"/>
      <c r="FK93" s="1037"/>
      <c r="FL93" s="1037"/>
      <c r="FM93" s="1038"/>
      <c r="FN93" s="1037"/>
      <c r="FO93" s="1037"/>
      <c r="FP93" s="1037"/>
      <c r="FQ93" s="1037"/>
      <c r="FR93" s="1037"/>
      <c r="FS93" s="1037"/>
      <c r="FT93" s="1037"/>
      <c r="FU93" s="1037"/>
      <c r="FV93" s="1063"/>
      <c r="FW93" s="1037"/>
      <c r="FX93" s="1037"/>
      <c r="FY93" s="1037"/>
      <c r="FZ93" s="1037"/>
      <c r="GA93" s="1037"/>
      <c r="GB93" s="1037"/>
      <c r="GC93" s="1038"/>
      <c r="GD93" s="1037"/>
      <c r="GE93" s="1037"/>
      <c r="GF93" s="1037"/>
      <c r="GG93" s="1037"/>
      <c r="GH93" s="1037"/>
      <c r="GI93" s="1037"/>
      <c r="GJ93" s="1037"/>
      <c r="GK93" s="1038"/>
      <c r="GL93" s="1037"/>
      <c r="GM93" s="1037"/>
      <c r="GN93" s="1037"/>
      <c r="GO93" s="1037"/>
      <c r="GP93" s="1037"/>
      <c r="GQ93" s="1037"/>
      <c r="GR93" s="1037"/>
      <c r="GS93" s="1038"/>
      <c r="GT93" s="1037"/>
      <c r="GU93" s="1037"/>
      <c r="GV93" s="1037"/>
      <c r="GW93" s="1037"/>
      <c r="GX93" s="1037"/>
      <c r="GY93" s="1037"/>
      <c r="GZ93" s="1037"/>
      <c r="HA93" s="1038"/>
      <c r="HB93" s="1037"/>
      <c r="HC93" s="1037"/>
      <c r="HD93" s="1037"/>
      <c r="HE93" s="1037"/>
      <c r="HF93" s="1037"/>
      <c r="HG93" s="1037"/>
      <c r="HH93" s="1037"/>
      <c r="HI93" s="1038"/>
      <c r="HJ93" s="1037"/>
      <c r="HK93" s="1037"/>
      <c r="HL93" s="1037"/>
      <c r="HM93" s="1037"/>
      <c r="HN93" s="1037"/>
      <c r="HO93" s="1037"/>
      <c r="HP93" s="1037"/>
      <c r="HQ93" s="1038"/>
      <c r="HR93" s="1037"/>
      <c r="HS93" s="1037"/>
      <c r="HT93" s="1037"/>
      <c r="HU93" s="1037"/>
      <c r="HV93" s="1037"/>
      <c r="HW93" s="1037"/>
      <c r="HX93" s="1037"/>
      <c r="HY93" s="1037"/>
      <c r="HZ93" s="1037"/>
      <c r="IA93" s="1037"/>
      <c r="IB93" s="1037"/>
      <c r="IC93" s="1037"/>
      <c r="ID93" s="1037"/>
      <c r="IE93" s="1037"/>
      <c r="IF93" s="1037"/>
      <c r="IG93" s="1038"/>
      <c r="IH93" s="1037"/>
      <c r="II93" s="1037"/>
      <c r="IJ93" s="1037"/>
      <c r="IK93" s="1037"/>
      <c r="IL93" s="1037"/>
      <c r="IM93" s="1037"/>
      <c r="IN93" s="1037"/>
      <c r="IO93" s="1038"/>
      <c r="IP93" s="1037"/>
      <c r="IQ93" s="1037"/>
      <c r="IR93" s="1037"/>
      <c r="IS93" s="1037"/>
      <c r="IT93" s="1037"/>
      <c r="IU93" s="1037"/>
      <c r="IV93" s="1037"/>
      <c r="IW93" s="1037"/>
      <c r="IX93" s="1049"/>
      <c r="IY93" s="1049"/>
      <c r="IZ93" s="1049"/>
      <c r="JA93" s="1049"/>
      <c r="JB93" s="1049"/>
      <c r="JC93" s="1049"/>
      <c r="JD93" s="1041"/>
      <c r="JE93" s="1037"/>
      <c r="JF93" s="1037"/>
      <c r="JG93" s="1037"/>
      <c r="JH93" s="1037"/>
      <c r="JI93" s="1035"/>
      <c r="JJ93" s="1035"/>
      <c r="JK93" s="1035"/>
      <c r="JL93" s="1035"/>
      <c r="JM93" s="1035"/>
      <c r="JN93" s="1035"/>
      <c r="JO93" s="1035"/>
      <c r="JP93" s="1035"/>
      <c r="JQ93" s="1035"/>
      <c r="JR93" s="1035"/>
      <c r="JS93" s="1035"/>
      <c r="JT93" s="1035"/>
      <c r="JU93" s="1035"/>
      <c r="JV93" s="1035"/>
      <c r="JW93" s="1035"/>
      <c r="JX93" s="1035"/>
      <c r="JY93" s="1035"/>
      <c r="LV93" s="1179"/>
    </row>
    <row r="94" spans="1:334">
      <c r="A94" s="1051" t="s">
        <v>523</v>
      </c>
      <c r="B94" s="1066"/>
      <c r="C94" s="1066"/>
      <c r="D94" s="1066"/>
      <c r="E94" s="1066"/>
      <c r="F94" s="1066"/>
      <c r="G94" s="1066"/>
      <c r="H94" s="1066"/>
      <c r="I94" s="1066"/>
      <c r="J94" s="1066"/>
      <c r="K94" s="1066"/>
      <c r="L94" s="1066"/>
      <c r="M94" s="1066"/>
      <c r="N94" s="1066"/>
      <c r="O94" s="1066"/>
      <c r="P94" s="1066"/>
      <c r="Q94" s="1066"/>
      <c r="R94" s="1066"/>
      <c r="S94" s="1066"/>
      <c r="T94" s="1066"/>
      <c r="U94" s="1066"/>
      <c r="V94" s="1066"/>
      <c r="W94" s="1066"/>
      <c r="X94" s="1066"/>
      <c r="Y94" s="1066"/>
      <c r="Z94" s="1066"/>
      <c r="AA94" s="1066"/>
      <c r="AB94" s="1066"/>
      <c r="AC94" s="1066"/>
      <c r="AD94" s="1066"/>
      <c r="AE94" s="1066"/>
      <c r="AF94" s="1066"/>
      <c r="AG94" s="1066"/>
      <c r="AH94" s="1066"/>
      <c r="AI94" s="1066"/>
      <c r="AJ94" s="1066"/>
      <c r="AK94" s="1066"/>
      <c r="AL94" s="1066"/>
      <c r="AM94" s="1066"/>
      <c r="AN94" s="1066"/>
      <c r="AO94" s="1066"/>
      <c r="AP94" s="1066"/>
      <c r="AQ94" s="1066"/>
      <c r="AR94" s="1066"/>
      <c r="AS94" s="1066"/>
      <c r="AT94" s="1066"/>
      <c r="AU94" s="1066"/>
      <c r="AV94" s="1066"/>
      <c r="AW94" s="1066"/>
      <c r="AX94" s="1067"/>
      <c r="AY94" s="1066"/>
      <c r="AZ94" s="1066"/>
      <c r="BA94" s="1066"/>
      <c r="BB94" s="1066"/>
      <c r="BC94" s="1066"/>
      <c r="BD94" s="1066"/>
      <c r="BE94" s="1068"/>
      <c r="BF94" s="1066"/>
      <c r="BG94" s="1066"/>
      <c r="BH94" s="1066"/>
      <c r="BI94" s="1066"/>
      <c r="BJ94" s="1066"/>
      <c r="BK94" s="1066"/>
      <c r="BL94" s="1066"/>
      <c r="BM94" s="1066"/>
      <c r="BN94" s="1067"/>
      <c r="BO94" s="1066"/>
      <c r="BP94" s="1066"/>
      <c r="BQ94" s="1066"/>
      <c r="BR94" s="1066"/>
      <c r="BS94" s="1066"/>
      <c r="BT94" s="1066"/>
      <c r="BU94" s="1068"/>
      <c r="BV94" s="1067"/>
      <c r="BW94" s="1066"/>
      <c r="BX94" s="1066"/>
      <c r="BY94" s="1066"/>
      <c r="BZ94" s="1066"/>
      <c r="CA94" s="1066"/>
      <c r="CB94" s="1066"/>
      <c r="CC94" s="1068"/>
      <c r="CD94" s="1067"/>
      <c r="CE94" s="1066"/>
      <c r="CF94" s="1066"/>
      <c r="CG94" s="1066"/>
      <c r="CH94" s="1066"/>
      <c r="CI94" s="1066"/>
      <c r="CJ94" s="1069"/>
      <c r="CK94" s="1068"/>
      <c r="CL94" s="1067"/>
      <c r="CM94" s="1066"/>
      <c r="CN94" s="1066"/>
      <c r="CO94" s="1066"/>
      <c r="CP94" s="1066"/>
      <c r="CQ94" s="1066"/>
      <c r="CR94" s="1066"/>
      <c r="CS94" s="1068"/>
      <c r="CT94" s="1051"/>
      <c r="CU94" s="1051"/>
      <c r="CV94" s="1051"/>
      <c r="CW94" s="1051"/>
      <c r="CX94" s="1051"/>
      <c r="CY94" s="1051"/>
      <c r="CZ94" s="1051"/>
      <c r="DA94" s="1051"/>
      <c r="DB94" s="1047"/>
      <c r="DC94" s="1047"/>
      <c r="DD94" s="1047"/>
      <c r="DE94" s="1047"/>
      <c r="DF94" s="1047"/>
      <c r="DG94" s="1047"/>
      <c r="DH94" s="1047"/>
      <c r="DI94" s="1048"/>
      <c r="DJ94" s="1047"/>
      <c r="DK94" s="1047"/>
      <c r="DL94" s="1047"/>
      <c r="DM94" s="1047"/>
      <c r="DN94" s="1047"/>
      <c r="DO94" s="1047"/>
      <c r="DP94" s="1047"/>
      <c r="DQ94" s="1048"/>
      <c r="DR94" s="1047" t="str">
        <f t="shared" ref="DR94:EO94" si="559">DR2</f>
        <v>Q1 10</v>
      </c>
      <c r="DS94" s="1047" t="str">
        <f t="shared" si="559"/>
        <v>Q2 10</v>
      </c>
      <c r="DT94" s="1047" t="str">
        <f t="shared" si="559"/>
        <v>H1 10</v>
      </c>
      <c r="DU94" s="1047" t="str">
        <f t="shared" si="559"/>
        <v>Q3 10</v>
      </c>
      <c r="DV94" s="1047" t="str">
        <f t="shared" si="559"/>
        <v>9M 10</v>
      </c>
      <c r="DW94" s="1047" t="str">
        <f t="shared" si="559"/>
        <v>Q4 10</v>
      </c>
      <c r="DX94" s="1047" t="str">
        <f t="shared" si="559"/>
        <v>H2 10</v>
      </c>
      <c r="DY94" s="1047" t="str">
        <f t="shared" si="559"/>
        <v>FY 10</v>
      </c>
      <c r="DZ94" s="1047" t="str">
        <f t="shared" si="559"/>
        <v>Q1 11</v>
      </c>
      <c r="EA94" s="1047" t="str">
        <f t="shared" si="559"/>
        <v>Q2 11</v>
      </c>
      <c r="EB94" s="1047" t="str">
        <f t="shared" si="559"/>
        <v>H1 11</v>
      </c>
      <c r="EC94" s="1047" t="str">
        <f t="shared" si="559"/>
        <v>Q3 11</v>
      </c>
      <c r="ED94" s="1047" t="str">
        <f t="shared" si="559"/>
        <v>9M 11</v>
      </c>
      <c r="EE94" s="1047" t="str">
        <f t="shared" si="559"/>
        <v>Q4 11</v>
      </c>
      <c r="EF94" s="1047" t="str">
        <f t="shared" si="559"/>
        <v>H2 11</v>
      </c>
      <c r="EG94" s="1047" t="str">
        <f t="shared" si="559"/>
        <v>FY 11</v>
      </c>
      <c r="EH94" s="1047" t="str">
        <f t="shared" si="559"/>
        <v>Q1 12</v>
      </c>
      <c r="EI94" s="1047" t="str">
        <f t="shared" si="559"/>
        <v>Q2 12</v>
      </c>
      <c r="EJ94" s="1047" t="str">
        <f t="shared" si="559"/>
        <v>H1 12</v>
      </c>
      <c r="EK94" s="1047" t="str">
        <f t="shared" si="559"/>
        <v>Q3 12</v>
      </c>
      <c r="EL94" s="1047" t="str">
        <f t="shared" si="559"/>
        <v>9M 12</v>
      </c>
      <c r="EM94" s="1047" t="str">
        <f t="shared" si="559"/>
        <v>Q4 12</v>
      </c>
      <c r="EN94" s="1047" t="str">
        <f t="shared" si="559"/>
        <v>H2 12</v>
      </c>
      <c r="EO94" s="1048" t="str">
        <f t="shared" si="559"/>
        <v>FY 12</v>
      </c>
      <c r="EP94" s="1047" t="str">
        <f t="shared" ref="EP94:FM94" si="560">EP$2</f>
        <v>1Q13</v>
      </c>
      <c r="EQ94" s="1047" t="str">
        <f t="shared" si="560"/>
        <v>2Q13</v>
      </c>
      <c r="ER94" s="1047" t="str">
        <f t="shared" si="560"/>
        <v>1H13</v>
      </c>
      <c r="ES94" s="1047" t="str">
        <f t="shared" si="560"/>
        <v>3Q13</v>
      </c>
      <c r="ET94" s="1047" t="str">
        <f t="shared" si="560"/>
        <v>9M13</v>
      </c>
      <c r="EU94" s="1047" t="str">
        <f t="shared" si="560"/>
        <v>4Q13</v>
      </c>
      <c r="EV94" s="1047" t="str">
        <f t="shared" si="560"/>
        <v>2H13</v>
      </c>
      <c r="EW94" s="1048" t="str">
        <f t="shared" si="560"/>
        <v>FY13</v>
      </c>
      <c r="EX94" s="1047" t="str">
        <f t="shared" si="560"/>
        <v>1Q14</v>
      </c>
      <c r="EY94" s="1047" t="str">
        <f t="shared" si="560"/>
        <v>2Q14</v>
      </c>
      <c r="EZ94" s="1047" t="str">
        <f t="shared" si="560"/>
        <v>1H14</v>
      </c>
      <c r="FA94" s="1047" t="str">
        <f t="shared" si="560"/>
        <v>3Q14</v>
      </c>
      <c r="FB94" s="1047" t="str">
        <f t="shared" si="560"/>
        <v>9M14</v>
      </c>
      <c r="FC94" s="1047" t="str">
        <f t="shared" si="560"/>
        <v>4Q14</v>
      </c>
      <c r="FD94" s="1047" t="str">
        <f t="shared" si="560"/>
        <v>2H14</v>
      </c>
      <c r="FE94" s="1048" t="str">
        <f t="shared" si="560"/>
        <v>FY14</v>
      </c>
      <c r="FF94" s="1047" t="str">
        <f t="shared" si="560"/>
        <v>1Q15</v>
      </c>
      <c r="FG94" s="1047" t="str">
        <f t="shared" si="560"/>
        <v>2Q15</v>
      </c>
      <c r="FH94" s="1047" t="str">
        <f t="shared" si="560"/>
        <v>1H15</v>
      </c>
      <c r="FI94" s="1047" t="str">
        <f t="shared" si="560"/>
        <v>3Q15</v>
      </c>
      <c r="FJ94" s="1047" t="str">
        <f t="shared" si="560"/>
        <v>9M15</v>
      </c>
      <c r="FK94" s="1047" t="str">
        <f t="shared" si="560"/>
        <v>4Q15</v>
      </c>
      <c r="FL94" s="1047" t="str">
        <f t="shared" si="560"/>
        <v>2H15</v>
      </c>
      <c r="FM94" s="1048" t="str">
        <f t="shared" si="560"/>
        <v>FY15</v>
      </c>
      <c r="FN94" s="1047"/>
      <c r="FO94" s="1047"/>
      <c r="FP94" s="1047"/>
      <c r="FQ94" s="1047"/>
      <c r="FR94" s="1047"/>
      <c r="FS94" s="1047"/>
      <c r="FT94" s="1047"/>
      <c r="FU94" s="1047"/>
      <c r="FV94" s="1055"/>
      <c r="FW94" s="1047"/>
      <c r="FX94" s="1047"/>
      <c r="FY94" s="1047"/>
      <c r="FZ94" s="1047"/>
      <c r="GA94" s="1047"/>
      <c r="GB94" s="1047"/>
      <c r="GC94" s="1048"/>
      <c r="GD94" s="1047"/>
      <c r="GE94" s="1047"/>
      <c r="GF94" s="1047"/>
      <c r="GG94" s="1047"/>
      <c r="GH94" s="1047"/>
      <c r="GI94" s="1047"/>
      <c r="GJ94" s="1047"/>
      <c r="GK94" s="1048"/>
      <c r="GL94" s="1047"/>
      <c r="GM94" s="1047"/>
      <c r="GN94" s="1047"/>
      <c r="GO94" s="1047"/>
      <c r="GP94" s="1047"/>
      <c r="GQ94" s="1047"/>
      <c r="GR94" s="1047"/>
      <c r="GS94" s="1048"/>
      <c r="GT94" s="1047" t="s">
        <v>440</v>
      </c>
      <c r="GU94" s="1047" t="s">
        <v>441</v>
      </c>
      <c r="GV94" s="1047" t="s">
        <v>442</v>
      </c>
      <c r="GW94" s="1047" t="s">
        <v>443</v>
      </c>
      <c r="GX94" s="1047" t="s">
        <v>444</v>
      </c>
      <c r="GY94" s="1047" t="s">
        <v>445</v>
      </c>
      <c r="GZ94" s="1047" t="s">
        <v>446</v>
      </c>
      <c r="HA94" s="1048" t="s">
        <v>447</v>
      </c>
      <c r="HB94" s="1047" t="s">
        <v>448</v>
      </c>
      <c r="HC94" s="1047" t="s">
        <v>449</v>
      </c>
      <c r="HD94" s="1047" t="s">
        <v>450</v>
      </c>
      <c r="HE94" s="1047" t="s">
        <v>451</v>
      </c>
      <c r="HF94" s="1047" t="s">
        <v>452</v>
      </c>
      <c r="HG94" s="1047" t="s">
        <v>453</v>
      </c>
      <c r="HH94" s="1047" t="s">
        <v>454</v>
      </c>
      <c r="HI94" s="1048" t="s">
        <v>455</v>
      </c>
      <c r="HJ94" s="1047" t="s">
        <v>456</v>
      </c>
      <c r="HK94" s="1047" t="s">
        <v>457</v>
      </c>
      <c r="HL94" s="1047" t="s">
        <v>458</v>
      </c>
      <c r="HM94" s="1047" t="s">
        <v>459</v>
      </c>
      <c r="HN94" s="1047" t="s">
        <v>460</v>
      </c>
      <c r="HO94" s="1047" t="s">
        <v>461</v>
      </c>
      <c r="HP94" s="1047" t="s">
        <v>462</v>
      </c>
      <c r="HQ94" s="1048" t="s">
        <v>463</v>
      </c>
      <c r="HR94" s="1047" t="str">
        <f>HR73</f>
        <v>1Q23</v>
      </c>
      <c r="HS94" s="1047" t="s">
        <v>465</v>
      </c>
      <c r="HT94" s="1047" t="s">
        <v>466</v>
      </c>
      <c r="HU94" s="1047" t="s">
        <v>467</v>
      </c>
      <c r="HV94" s="1047" t="s">
        <v>468</v>
      </c>
      <c r="HW94" s="1047" t="s">
        <v>469</v>
      </c>
      <c r="HX94" s="1047" t="s">
        <v>470</v>
      </c>
      <c r="HY94" s="1048" t="s">
        <v>471</v>
      </c>
      <c r="HZ94" s="1047" t="s">
        <v>472</v>
      </c>
      <c r="IA94" s="1047" t="s">
        <v>473</v>
      </c>
      <c r="IB94" s="1047" t="s">
        <v>474</v>
      </c>
      <c r="IC94" s="1047" t="s">
        <v>475</v>
      </c>
      <c r="ID94" s="1047" t="s">
        <v>476</v>
      </c>
      <c r="IE94" s="1047" t="s">
        <v>477</v>
      </c>
      <c r="IF94" s="1047" t="s">
        <v>478</v>
      </c>
      <c r="IG94" s="1048" t="s">
        <v>479</v>
      </c>
      <c r="IH94" s="1047" t="s">
        <v>480</v>
      </c>
      <c r="II94" s="1047" t="s">
        <v>481</v>
      </c>
      <c r="IJ94" s="1047" t="s">
        <v>490</v>
      </c>
      <c r="IK94" s="1047" t="s">
        <v>483</v>
      </c>
      <c r="IL94" s="1047" t="s">
        <v>484</v>
      </c>
      <c r="IM94" s="1047" t="s">
        <v>521</v>
      </c>
      <c r="IN94" s="1047" t="s">
        <v>486</v>
      </c>
      <c r="IO94" s="1048" t="s">
        <v>522</v>
      </c>
      <c r="IP94" s="1047" t="s">
        <v>480</v>
      </c>
      <c r="IQ94" s="1047" t="str">
        <f>IQ2</f>
        <v>2Q26</v>
      </c>
      <c r="IR94" s="1047"/>
      <c r="IS94" s="1047"/>
      <c r="IT94" s="1047"/>
      <c r="IU94" s="1047"/>
      <c r="IV94" s="1047"/>
      <c r="IW94" s="1047"/>
      <c r="IX94" s="1049"/>
      <c r="IY94" s="1037"/>
      <c r="IZ94" s="1037"/>
      <c r="JA94" s="1037"/>
      <c r="JB94" s="1037"/>
      <c r="JC94" s="1049"/>
      <c r="JD94" s="1103"/>
      <c r="JE94" s="1037"/>
      <c r="JF94" s="1037"/>
      <c r="JG94" s="1037"/>
      <c r="JH94" s="1037"/>
      <c r="JI94" s="1035"/>
      <c r="JJ94" s="1035"/>
      <c r="JK94" s="1035"/>
      <c r="JL94" s="1035"/>
      <c r="JM94" s="1035"/>
      <c r="JN94" s="1035"/>
      <c r="JO94" s="1035"/>
      <c r="JP94" s="1035"/>
      <c r="JQ94" s="1035"/>
      <c r="JR94" s="1035"/>
      <c r="JS94" s="1035"/>
      <c r="JT94" s="1035"/>
      <c r="JU94" s="1035"/>
      <c r="JV94" s="1035"/>
      <c r="JW94" s="1035"/>
      <c r="JX94" s="1035"/>
      <c r="JY94" s="1035"/>
      <c r="KP94" s="1025"/>
      <c r="LV94" s="1179"/>
    </row>
    <row r="95" hidden="1" outlineLevel="1" spans="1:334">
      <c r="A95" s="1180" t="s">
        <v>112</v>
      </c>
      <c r="AX95" s="1059"/>
      <c r="BE95" s="1060"/>
      <c r="BN95" s="1059"/>
      <c r="BU95" s="1060"/>
      <c r="BV95" s="1059"/>
      <c r="CC95" s="1060"/>
      <c r="CD95" s="1059"/>
      <c r="CJ95" s="1061"/>
      <c r="CK95" s="1060"/>
      <c r="CL95" s="1059"/>
      <c r="CS95" s="1060"/>
      <c r="CT95" s="1180"/>
      <c r="CU95" s="1180"/>
      <c r="CV95" s="1180"/>
      <c r="CW95" s="1180"/>
      <c r="CX95" s="1180"/>
      <c r="CY95" s="1180"/>
      <c r="CZ95" s="1180"/>
      <c r="DA95" s="1180"/>
      <c r="DB95" s="1071">
        <v>980</v>
      </c>
      <c r="DC95" s="1071">
        <v>846</v>
      </c>
      <c r="DD95" s="1071">
        <f>DB95+DC95</f>
        <v>1826</v>
      </c>
      <c r="DE95" s="1071">
        <v>1079</v>
      </c>
      <c r="DF95" s="1071">
        <f>DE95+DD95</f>
        <v>2905</v>
      </c>
      <c r="DG95" s="1071">
        <v>623</v>
      </c>
      <c r="DH95" s="1071">
        <f>DE95+DG95</f>
        <v>1702</v>
      </c>
      <c r="DI95" s="1072">
        <f>SUM(DB95,DC95,DE95,DG95)</f>
        <v>3528</v>
      </c>
      <c r="DJ95" s="1071">
        <v>899</v>
      </c>
      <c r="DK95" s="1071">
        <v>719</v>
      </c>
      <c r="DL95" s="1071">
        <f>DJ95+DK95</f>
        <v>1618</v>
      </c>
      <c r="DM95" s="1071">
        <v>1008</v>
      </c>
      <c r="DN95" s="1071">
        <f>DM95+DL95</f>
        <v>2626</v>
      </c>
      <c r="DO95" s="1071">
        <v>636</v>
      </c>
      <c r="DP95" s="1071">
        <f>DM95+DO95</f>
        <v>1644</v>
      </c>
      <c r="DQ95" s="1072">
        <f>SUM(DJ95,DK95,DM95,DO95)</f>
        <v>3262</v>
      </c>
      <c r="DR95" s="1079">
        <v>945</v>
      </c>
      <c r="DS95" s="1079">
        <v>827</v>
      </c>
      <c r="DT95" s="1071">
        <f>DR95+DS95</f>
        <v>1772</v>
      </c>
      <c r="DU95" s="1079">
        <v>1102</v>
      </c>
      <c r="DV95" s="1071">
        <f>DU95+DT95</f>
        <v>2874</v>
      </c>
      <c r="DW95" s="1079">
        <f>DY95-DV95</f>
        <v>669</v>
      </c>
      <c r="DX95" s="1071">
        <f>DU95+DW95</f>
        <v>1771</v>
      </c>
      <c r="DY95" s="1072">
        <v>3543</v>
      </c>
      <c r="DZ95" s="1079">
        <v>1094</v>
      </c>
      <c r="EA95" s="1079">
        <v>867</v>
      </c>
      <c r="EB95" s="1071">
        <f>DZ95+EA95</f>
        <v>1961</v>
      </c>
      <c r="EC95" s="1071">
        <f>ED95-EB95</f>
        <v>1211</v>
      </c>
      <c r="ED95" s="1071">
        <v>3172</v>
      </c>
      <c r="EE95" s="1079">
        <f>+EF95-EC95</f>
        <v>750</v>
      </c>
      <c r="EF95" s="1071">
        <f>+EG95-EB95</f>
        <v>1961</v>
      </c>
      <c r="EG95" s="1072">
        <v>3922</v>
      </c>
      <c r="EH95" s="1079">
        <v>1174</v>
      </c>
      <c r="EI95" s="1071">
        <v>924</v>
      </c>
      <c r="EJ95" s="1071">
        <f>EH95+EI95</f>
        <v>2098</v>
      </c>
      <c r="EK95" s="1071">
        <f>EL95-EJ95</f>
        <v>1244</v>
      </c>
      <c r="EL95" s="1071">
        <v>3342</v>
      </c>
      <c r="EM95" s="1071">
        <v>733</v>
      </c>
      <c r="EN95" s="1071">
        <f>EK95+EM95</f>
        <v>1977</v>
      </c>
      <c r="EO95" s="1072">
        <f>EH95+EI95+EK95+EM95</f>
        <v>4075</v>
      </c>
      <c r="EP95" s="1071">
        <v>1096</v>
      </c>
      <c r="EQ95" s="1071">
        <f>ER95-EP95</f>
        <v>811</v>
      </c>
      <c r="ER95" s="1071">
        <v>1907</v>
      </c>
      <c r="ES95" s="1071">
        <v>1145</v>
      </c>
      <c r="ET95" s="1071">
        <f>ER95+ES95</f>
        <v>3052</v>
      </c>
      <c r="EU95" s="1071">
        <v>747</v>
      </c>
      <c r="EV95" s="1071">
        <f>ES95+EU95</f>
        <v>1892</v>
      </c>
      <c r="EW95" s="1072">
        <f>EP95+EQ95+ES95+EU95</f>
        <v>3799</v>
      </c>
      <c r="EX95" s="1071">
        <f>1098-(50%*EX842)</f>
        <v>1071.5</v>
      </c>
      <c r="EY95" s="1071">
        <f>919-(50%*EX842)</f>
        <v>892.5</v>
      </c>
      <c r="EZ95" s="1071">
        <f>EX95+EY95</f>
        <v>1964</v>
      </c>
      <c r="FA95" s="1071">
        <f>1265-(50%*EX842)</f>
        <v>1238.5</v>
      </c>
      <c r="FB95" s="1071">
        <f>EZ95+FA95</f>
        <v>3202.5</v>
      </c>
      <c r="FC95" s="1071">
        <f>EU95*(1+FC96)</f>
        <v>776.759575621751</v>
      </c>
      <c r="FD95" s="1071">
        <f>FA95+FC95</f>
        <v>2015.25957562175</v>
      </c>
      <c r="FE95" s="1072">
        <f>EX95+EY95+FA95+FC95</f>
        <v>3979.25957562175</v>
      </c>
      <c r="FF95" s="1071">
        <f>EX95*(1+FF96)</f>
        <v>1189.53239738895</v>
      </c>
      <c r="FG95" s="1071">
        <f>EY95*(1+FG96)</f>
        <v>924.986762241073</v>
      </c>
      <c r="FH95" s="1071">
        <f>FF95+FG95</f>
        <v>2114.51915963002</v>
      </c>
      <c r="FI95" s="1071">
        <f>FA95*(1+FI96)</f>
        <v>1312.26273382325</v>
      </c>
      <c r="FJ95" s="1071">
        <f>FH95+FI95</f>
        <v>3426.78189345327</v>
      </c>
      <c r="FK95" s="1071">
        <f>FM95-FJ95</f>
        <v>1198.21810654673</v>
      </c>
      <c r="FL95" s="1071">
        <f>FI95+FK95</f>
        <v>2510.48084036998</v>
      </c>
      <c r="FM95" s="1072">
        <v>4625</v>
      </c>
      <c r="FN95" s="1071"/>
      <c r="FO95" s="1071"/>
      <c r="FP95" s="1071"/>
      <c r="FQ95" s="1071"/>
      <c r="FR95" s="1071"/>
      <c r="FS95" s="1071"/>
      <c r="FT95" s="1071"/>
      <c r="FU95" s="1071"/>
      <c r="FV95" s="1177"/>
      <c r="FW95" s="1071"/>
      <c r="FX95" s="1071"/>
      <c r="FY95" s="1071"/>
      <c r="FZ95" s="1071"/>
      <c r="GA95" s="1071"/>
      <c r="GB95" s="1071"/>
      <c r="GC95" s="1072"/>
      <c r="GD95" s="1071"/>
      <c r="GE95" s="1071"/>
      <c r="GF95" s="1071"/>
      <c r="GG95" s="1071"/>
      <c r="GH95" s="1071"/>
      <c r="GI95" s="1071"/>
      <c r="GJ95" s="1071"/>
      <c r="GK95" s="1072"/>
      <c r="GL95" s="1071"/>
      <c r="GM95" s="1071"/>
      <c r="GN95" s="1071"/>
      <c r="GO95" s="1071"/>
      <c r="GP95" s="1071"/>
      <c r="GQ95" s="1071"/>
      <c r="GR95" s="1071"/>
      <c r="GS95" s="1072"/>
      <c r="GT95" s="1071"/>
      <c r="GU95" s="1071"/>
      <c r="GV95" s="1071"/>
      <c r="GW95" s="1071"/>
      <c r="GX95" s="1071"/>
      <c r="GY95" s="1071"/>
      <c r="GZ95" s="1071"/>
      <c r="HA95" s="1072"/>
      <c r="HB95" s="1071"/>
      <c r="HC95" s="1071"/>
      <c r="HD95" s="1071"/>
      <c r="HE95" s="1071"/>
      <c r="HF95" s="1071"/>
      <c r="HG95" s="1071"/>
      <c r="HH95" s="1071"/>
      <c r="HI95" s="1072"/>
      <c r="HJ95" s="1071"/>
      <c r="HK95" s="1071"/>
      <c r="HL95" s="1071"/>
      <c r="HM95" s="1071"/>
      <c r="HN95" s="1071"/>
      <c r="HO95" s="1071"/>
      <c r="HP95" s="1071"/>
      <c r="HQ95" s="1072"/>
      <c r="HR95" s="1071"/>
      <c r="HS95" s="1071"/>
      <c r="HT95" s="1071"/>
      <c r="HU95" s="1071"/>
      <c r="HV95" s="1071"/>
      <c r="HW95" s="1071"/>
      <c r="HX95" s="1071"/>
      <c r="HY95" s="1071"/>
      <c r="HZ95" s="1071"/>
      <c r="IA95" s="1071"/>
      <c r="IB95" s="1071"/>
      <c r="IC95" s="1071"/>
      <c r="ID95" s="1071"/>
      <c r="IE95" s="1071"/>
      <c r="IF95" s="1071"/>
      <c r="IG95" s="1072"/>
      <c r="IH95" s="1071"/>
      <c r="II95" s="1071"/>
      <c r="IJ95" s="1071"/>
      <c r="IK95" s="1071"/>
      <c r="IL95" s="1071"/>
      <c r="IM95" s="1071"/>
      <c r="IN95" s="1071"/>
      <c r="IO95" s="1072"/>
      <c r="IP95" s="1071"/>
      <c r="IQ95" s="1071"/>
      <c r="IR95" s="1071"/>
      <c r="IS95" s="1071"/>
      <c r="IT95" s="1071"/>
      <c r="IU95" s="1071"/>
      <c r="IV95" s="1071"/>
      <c r="IW95" s="1071"/>
      <c r="IX95" s="1071"/>
      <c r="IY95" s="1049"/>
      <c r="IZ95" s="1049"/>
      <c r="JA95" s="1049"/>
      <c r="JB95" s="1049"/>
      <c r="JC95" s="1049"/>
      <c r="JD95" s="1079"/>
      <c r="JE95" s="1037"/>
      <c r="JF95" s="1037"/>
      <c r="JG95" s="1037"/>
      <c r="JH95" s="1037"/>
      <c r="JI95" s="1035"/>
      <c r="JJ95" s="1035"/>
      <c r="JK95" s="1035"/>
      <c r="JL95" s="1035"/>
      <c r="JM95" s="1035"/>
      <c r="JN95" s="1035"/>
      <c r="JO95" s="1035"/>
      <c r="JP95" s="1035"/>
      <c r="JQ95" s="1035"/>
      <c r="JR95" s="1035"/>
      <c r="JS95" s="1035"/>
      <c r="JT95" s="1035"/>
      <c r="JU95" s="1035"/>
      <c r="JV95" s="1035"/>
      <c r="JW95" s="1035"/>
      <c r="JX95" s="1035"/>
      <c r="JY95" s="1035"/>
      <c r="KP95" s="967"/>
      <c r="LV95" s="1025"/>
    </row>
    <row r="96" hidden="1" outlineLevel="1" spans="1:334">
      <c r="A96" s="967" t="s">
        <v>61</v>
      </c>
      <c r="AX96" s="1059"/>
      <c r="BE96" s="1060"/>
      <c r="BN96" s="1059"/>
      <c r="BU96" s="1060"/>
      <c r="BV96" s="1059"/>
      <c r="CC96" s="1060"/>
      <c r="CD96" s="1059"/>
      <c r="CJ96" s="1061"/>
      <c r="CK96" s="1060"/>
      <c r="CL96" s="1059"/>
      <c r="CS96" s="1060"/>
      <c r="CT96" s="967"/>
      <c r="CU96" s="967"/>
      <c r="CV96" s="967"/>
      <c r="CW96" s="967"/>
      <c r="CX96" s="967"/>
      <c r="CY96" s="967"/>
      <c r="CZ96" s="967"/>
      <c r="DA96" s="967"/>
      <c r="DB96" s="1181"/>
      <c r="DC96" s="1181"/>
      <c r="DD96" s="1181"/>
      <c r="DE96" s="1181"/>
      <c r="DF96" s="1181"/>
      <c r="DG96" s="1181"/>
      <c r="DH96" s="1181"/>
      <c r="DI96" s="1182"/>
      <c r="DJ96" s="1181">
        <f t="shared" ref="DJ96:DW96" si="561">DJ95/DB95-1</f>
        <v>-0.0826530612244898</v>
      </c>
      <c r="DK96" s="1181">
        <f t="shared" si="561"/>
        <v>-0.150118203309693</v>
      </c>
      <c r="DL96" s="1181">
        <f t="shared" si="561"/>
        <v>-0.113910186199343</v>
      </c>
      <c r="DM96" s="1181">
        <f t="shared" si="561"/>
        <v>-0.0658016682113067</v>
      </c>
      <c r="DN96" s="1181">
        <f t="shared" si="561"/>
        <v>-0.0960413080895008</v>
      </c>
      <c r="DO96" s="1181">
        <f t="shared" si="561"/>
        <v>0.0208667736757624</v>
      </c>
      <c r="DP96" s="1181">
        <f t="shared" si="561"/>
        <v>-0.0340775558166863</v>
      </c>
      <c r="DQ96" s="1182">
        <f t="shared" si="561"/>
        <v>-0.0753968253968254</v>
      </c>
      <c r="DR96" s="1082">
        <f t="shared" si="561"/>
        <v>0.0511679644048944</v>
      </c>
      <c r="DS96" s="1094">
        <f t="shared" si="561"/>
        <v>0.150208623087622</v>
      </c>
      <c r="DT96" s="1094">
        <f t="shared" si="561"/>
        <v>0.0951792336217552</v>
      </c>
      <c r="DU96" s="1094">
        <f t="shared" si="561"/>
        <v>0.0932539682539681</v>
      </c>
      <c r="DV96" s="1094">
        <f t="shared" si="561"/>
        <v>0.0944402132520945</v>
      </c>
      <c r="DW96" s="1094">
        <f t="shared" si="561"/>
        <v>0.0518867924528301</v>
      </c>
      <c r="DX96" s="1094">
        <f>DX97+DX98</f>
        <v>0.0776787139656069</v>
      </c>
      <c r="DY96" s="1093">
        <f t="shared" ref="DY96:EG96" si="562">DY95/DQ95-1</f>
        <v>0.0861434702636419</v>
      </c>
      <c r="DZ96" s="1082">
        <f t="shared" si="562"/>
        <v>0.157671957671958</v>
      </c>
      <c r="EA96" s="1082">
        <f t="shared" si="562"/>
        <v>0.0483675937122128</v>
      </c>
      <c r="EB96" s="1094">
        <f t="shared" si="562"/>
        <v>0.10665914221219</v>
      </c>
      <c r="EC96" s="1094">
        <f t="shared" si="562"/>
        <v>0.0989110707803993</v>
      </c>
      <c r="ED96" s="1094">
        <f t="shared" si="562"/>
        <v>0.103688239387613</v>
      </c>
      <c r="EE96" s="1094">
        <f t="shared" si="562"/>
        <v>0.121076233183856</v>
      </c>
      <c r="EF96" s="1094">
        <f t="shared" si="562"/>
        <v>0.107284020327499</v>
      </c>
      <c r="EG96" s="1093">
        <f t="shared" si="562"/>
        <v>0.106971493084956</v>
      </c>
      <c r="EH96" s="1082">
        <f>+EH95/DZ95-1</f>
        <v>0.0731261425959782</v>
      </c>
      <c r="EI96" s="1082">
        <f t="shared" ref="EI96:EO96" si="563">EI95/EA95-1</f>
        <v>0.0657439446366781</v>
      </c>
      <c r="EJ96" s="1082">
        <f t="shared" si="563"/>
        <v>0.0698623151453339</v>
      </c>
      <c r="EK96" s="1082">
        <f t="shared" si="563"/>
        <v>0.0272502064409579</v>
      </c>
      <c r="EL96" s="1082">
        <f t="shared" si="563"/>
        <v>0.0535939470365701</v>
      </c>
      <c r="EM96" s="1082">
        <f t="shared" si="563"/>
        <v>-0.0226666666666666</v>
      </c>
      <c r="EN96" s="1082">
        <f t="shared" si="563"/>
        <v>0.00815910249872509</v>
      </c>
      <c r="EO96" s="1085">
        <f t="shared" si="563"/>
        <v>0.0390107088220295</v>
      </c>
      <c r="EP96" s="1082">
        <f t="shared" ref="EP96:FB96" si="564">EP95/EH95-1</f>
        <v>-0.0664395229982965</v>
      </c>
      <c r="EQ96" s="1082">
        <f t="shared" si="564"/>
        <v>-0.122294372294372</v>
      </c>
      <c r="ER96" s="1082">
        <f t="shared" si="564"/>
        <v>-0.0910390848427073</v>
      </c>
      <c r="ES96" s="1082">
        <f t="shared" si="564"/>
        <v>-0.0795819935691319</v>
      </c>
      <c r="ET96" s="1082">
        <f t="shared" si="564"/>
        <v>-0.0867743865948534</v>
      </c>
      <c r="EU96" s="1082">
        <f t="shared" si="564"/>
        <v>0.019099590723056</v>
      </c>
      <c r="EV96" s="1082">
        <f t="shared" si="564"/>
        <v>-0.0429944360141629</v>
      </c>
      <c r="EW96" s="1085">
        <f t="shared" si="564"/>
        <v>-0.0677300613496933</v>
      </c>
      <c r="EX96" s="1082">
        <f t="shared" si="564"/>
        <v>-0.0223540145985401</v>
      </c>
      <c r="EY96" s="1082">
        <f t="shared" si="564"/>
        <v>0.100493218249075</v>
      </c>
      <c r="EZ96" s="1082">
        <f t="shared" si="564"/>
        <v>0.0298898793917148</v>
      </c>
      <c r="FA96" s="1082">
        <f t="shared" si="564"/>
        <v>0.0816593886462882</v>
      </c>
      <c r="FB96" s="1082">
        <f t="shared" si="564"/>
        <v>0.0493119266055047</v>
      </c>
      <c r="FC96" s="1082">
        <f>FC97+FC98</f>
        <v>0.0398387893196128</v>
      </c>
      <c r="FD96" s="1082">
        <f>FD95/EV95-1</f>
        <v>0.06514776724194</v>
      </c>
      <c r="FE96" s="1085">
        <f>FE95/EW95-1</f>
        <v>0.0474492170628456</v>
      </c>
      <c r="FF96" s="1082">
        <f>FF97+FF98</f>
        <v>0.110156227147876</v>
      </c>
      <c r="FG96" s="1082">
        <f>FG97+FG98</f>
        <v>0.0363997336034429</v>
      </c>
      <c r="FH96" s="1082">
        <f>FH95/EZ95-1</f>
        <v>0.0766390833146748</v>
      </c>
      <c r="FI96" s="1082">
        <f>FI97+FI98</f>
        <v>0.0595581217789654</v>
      </c>
      <c r="FJ96" s="1082">
        <f>FJ95/FB95-1</f>
        <v>0.0700333781274847</v>
      </c>
      <c r="FK96" s="1082">
        <f>FK95/FC95-1</f>
        <v>0.542585562060985</v>
      </c>
      <c r="FL96" s="1082">
        <f>FL95/FD95-1</f>
        <v>0.245735720965594</v>
      </c>
      <c r="FM96" s="1085">
        <f>FM95/FE95-1</f>
        <v>0.162276527104255</v>
      </c>
      <c r="FN96" s="1082"/>
      <c r="FO96" s="1082"/>
      <c r="FP96" s="1082"/>
      <c r="FQ96" s="1082"/>
      <c r="FR96" s="1082"/>
      <c r="FS96" s="1082"/>
      <c r="FT96" s="1082"/>
      <c r="FU96" s="1082"/>
      <c r="FV96" s="1109"/>
      <c r="FW96" s="1082"/>
      <c r="FX96" s="1082"/>
      <c r="FY96" s="1082"/>
      <c r="FZ96" s="1082"/>
      <c r="GA96" s="1082"/>
      <c r="GB96" s="1082"/>
      <c r="GC96" s="1085"/>
      <c r="GD96" s="1082"/>
      <c r="GE96" s="1082"/>
      <c r="GF96" s="1082"/>
      <c r="GG96" s="1082"/>
      <c r="GH96" s="1082"/>
      <c r="GI96" s="1082"/>
      <c r="GJ96" s="1082"/>
      <c r="GK96" s="1085"/>
      <c r="GL96" s="1082"/>
      <c r="GM96" s="1082"/>
      <c r="GN96" s="1082"/>
      <c r="GO96" s="1082"/>
      <c r="GP96" s="1082"/>
      <c r="GQ96" s="1082"/>
      <c r="GR96" s="1082"/>
      <c r="GS96" s="1085"/>
      <c r="GT96" s="1082"/>
      <c r="GU96" s="1082"/>
      <c r="GV96" s="1082"/>
      <c r="GW96" s="1082"/>
      <c r="GX96" s="1082"/>
      <c r="GY96" s="1082"/>
      <c r="GZ96" s="1082"/>
      <c r="HA96" s="1085"/>
      <c r="HB96" s="1082"/>
      <c r="HC96" s="1082"/>
      <c r="HD96" s="1082"/>
      <c r="HE96" s="1082"/>
      <c r="HF96" s="1082"/>
      <c r="HG96" s="1082"/>
      <c r="HH96" s="1082"/>
      <c r="HI96" s="1085"/>
      <c r="HJ96" s="1082"/>
      <c r="HK96" s="1082"/>
      <c r="HL96" s="1082"/>
      <c r="HM96" s="1082"/>
      <c r="HN96" s="1082"/>
      <c r="HO96" s="1082"/>
      <c r="HP96" s="1082"/>
      <c r="HQ96" s="1085"/>
      <c r="HR96" s="1082"/>
      <c r="HS96" s="1082"/>
      <c r="HT96" s="1082"/>
      <c r="HU96" s="1082"/>
      <c r="HV96" s="1082"/>
      <c r="HW96" s="1082"/>
      <c r="HX96" s="1082"/>
      <c r="HY96" s="1082"/>
      <c r="HZ96" s="1082"/>
      <c r="IA96" s="1082"/>
      <c r="IB96" s="1082"/>
      <c r="IC96" s="1082"/>
      <c r="ID96" s="1082"/>
      <c r="IE96" s="1082"/>
      <c r="IF96" s="1082"/>
      <c r="IG96" s="1085"/>
      <c r="IH96" s="1082"/>
      <c r="II96" s="1082"/>
      <c r="IJ96" s="1082"/>
      <c r="IK96" s="1082"/>
      <c r="IL96" s="1082"/>
      <c r="IM96" s="1082"/>
      <c r="IN96" s="1082"/>
      <c r="IO96" s="1085"/>
      <c r="IP96" s="1082"/>
      <c r="IQ96" s="1082"/>
      <c r="IR96" s="1082"/>
      <c r="IS96" s="1082"/>
      <c r="IT96" s="1082"/>
      <c r="IU96" s="1082"/>
      <c r="IV96" s="1082"/>
      <c r="IW96" s="1082"/>
      <c r="IX96" s="1082"/>
      <c r="IY96" s="1049"/>
      <c r="IZ96" s="1049"/>
      <c r="JA96" s="1049"/>
      <c r="JB96" s="1112"/>
      <c r="JC96" s="1049"/>
      <c r="JD96" s="1082"/>
      <c r="JE96" s="1037"/>
      <c r="JF96" s="1037"/>
      <c r="JG96" s="1037"/>
      <c r="JH96" s="1037"/>
      <c r="JI96" s="1035"/>
      <c r="JJ96" s="1035"/>
      <c r="JK96" s="1035"/>
      <c r="JL96" s="1035"/>
      <c r="JM96" s="1035"/>
      <c r="JN96" s="1035"/>
      <c r="JO96" s="1035"/>
      <c r="JP96" s="1035"/>
      <c r="JQ96" s="1035"/>
      <c r="JR96" s="1035"/>
      <c r="JS96" s="1035"/>
      <c r="JT96" s="1035"/>
      <c r="JU96" s="1035"/>
      <c r="JV96" s="1035"/>
      <c r="JW96" s="1035"/>
      <c r="JX96" s="1035"/>
      <c r="JY96" s="1035"/>
      <c r="KP96" s="967"/>
      <c r="LV96" s="967"/>
    </row>
    <row r="97" hidden="1" outlineLevel="1" spans="1:334">
      <c r="A97" s="967" t="s">
        <v>63</v>
      </c>
      <c r="AX97" s="1059"/>
      <c r="BE97" s="1060"/>
      <c r="BN97" s="1059"/>
      <c r="BU97" s="1060"/>
      <c r="BV97" s="1059"/>
      <c r="CC97" s="1060"/>
      <c r="CD97" s="1059"/>
      <c r="CJ97" s="1061"/>
      <c r="CK97" s="1060"/>
      <c r="CL97" s="1059"/>
      <c r="CS97" s="1060"/>
      <c r="CT97" s="967"/>
      <c r="CU97" s="967"/>
      <c r="CV97" s="967"/>
      <c r="CW97" s="967"/>
      <c r="CX97" s="967"/>
      <c r="CY97" s="967"/>
      <c r="CZ97" s="967"/>
      <c r="DA97" s="967"/>
      <c r="DB97" s="1181"/>
      <c r="DC97" s="1181"/>
      <c r="DD97" s="1181"/>
      <c r="DE97" s="1181"/>
      <c r="DF97" s="1181"/>
      <c r="DG97" s="1181"/>
      <c r="DH97" s="1181"/>
      <c r="DI97" s="1182"/>
      <c r="DJ97" s="1181">
        <f>DJ96-DJ98</f>
        <v>-0.0326530612244898</v>
      </c>
      <c r="DK97" s="1181">
        <f t="shared" ref="DK97:DQ97" si="565">DK96-DK98</f>
        <v>-0.0301182033096927</v>
      </c>
      <c r="DL97" s="1181">
        <f t="shared" si="565"/>
        <v>-0.0328038821202328</v>
      </c>
      <c r="DM97" s="1181">
        <f t="shared" si="565"/>
        <v>-0.0258016682113067</v>
      </c>
      <c r="DN97" s="1181">
        <f t="shared" si="565"/>
        <v>-0.0307138138016105</v>
      </c>
      <c r="DO97" s="1181">
        <f t="shared" si="565"/>
        <v>-0.0091332263242376</v>
      </c>
      <c r="DP97" s="1181">
        <f t="shared" si="565"/>
        <v>-0.0211578477874892</v>
      </c>
      <c r="DQ97" s="1182">
        <f t="shared" si="565"/>
        <v>-0.0253968253968253</v>
      </c>
      <c r="DR97" s="1082">
        <f t="shared" ref="DR97:DW97" si="566">DR96-DR98</f>
        <v>0.0111679644048943</v>
      </c>
      <c r="DS97" s="1094">
        <f t="shared" si="566"/>
        <v>0.0202086230876216</v>
      </c>
      <c r="DT97" s="1094">
        <f t="shared" si="566"/>
        <v>0.0161792336217552</v>
      </c>
      <c r="DU97" s="1094">
        <f t="shared" si="566"/>
        <v>0.0152539682539681</v>
      </c>
      <c r="DV97" s="1094">
        <f t="shared" si="566"/>
        <v>0.0158236509695614</v>
      </c>
      <c r="DW97" s="1094">
        <f t="shared" si="566"/>
        <v>0.0208867924528301</v>
      </c>
      <c r="DX97" s="1082">
        <f>((DW97*DO95)+(DU97*DM95))/DP95</f>
        <v>0.0174330900243308</v>
      </c>
      <c r="DY97" s="1093">
        <v>0.017</v>
      </c>
      <c r="DZ97" s="1082">
        <f t="shared" ref="DZ97:EG97" si="567">DZ96-DZ98</f>
        <v>0.0176719576719576</v>
      </c>
      <c r="EA97" s="1094">
        <f t="shared" si="567"/>
        <v>0.00136759371221278</v>
      </c>
      <c r="EB97" s="1094">
        <f t="shared" si="567"/>
        <v>0.0100626410835215</v>
      </c>
      <c r="EC97" s="1094">
        <f t="shared" si="567"/>
        <v>-0.00108892921960071</v>
      </c>
      <c r="ED97" s="1094">
        <f t="shared" si="567"/>
        <v>0.00368823938761306</v>
      </c>
      <c r="EE97" s="1094">
        <f t="shared" si="567"/>
        <v>-0.0089237668161436</v>
      </c>
      <c r="EF97" s="1094">
        <f t="shared" si="567"/>
        <v>0.00387859966120828</v>
      </c>
      <c r="EG97" s="1093">
        <f t="shared" si="567"/>
        <v>0.00697149308495634</v>
      </c>
      <c r="EH97" s="1082">
        <v>0</v>
      </c>
      <c r="EI97" s="1094">
        <f>EI96-EI98</f>
        <v>0.0147439446366781</v>
      </c>
      <c r="EJ97" s="1094">
        <f>EJ96-EJ98</f>
        <v>0.00886231514533392</v>
      </c>
      <c r="EK97" s="1094">
        <f>EK96-EK98</f>
        <v>0.0162502064409579</v>
      </c>
      <c r="EL97" s="1094">
        <f>EL96-EL98</f>
        <v>0.0115939470365701</v>
      </c>
      <c r="EM97" s="1082">
        <f>EM96-EM98</f>
        <v>0.0183333333333334</v>
      </c>
      <c r="EN97" s="1082">
        <f>+EN96-EN98</f>
        <v>0.0170469148393676</v>
      </c>
      <c r="EO97" s="1093">
        <f t="shared" ref="EO97:ET97" si="568">EO96-EO98</f>
        <v>0.0117827638959713</v>
      </c>
      <c r="EP97" s="1082">
        <f t="shared" si="568"/>
        <v>-0.00243952299829647</v>
      </c>
      <c r="EQ97" s="1082">
        <f t="shared" si="568"/>
        <v>-0.0102943722943723</v>
      </c>
      <c r="ER97" s="1094">
        <f t="shared" si="568"/>
        <v>-0.00603908484270728</v>
      </c>
      <c r="ES97" s="1082">
        <f t="shared" si="568"/>
        <v>-0.0145819935691319</v>
      </c>
      <c r="ET97" s="1094">
        <f t="shared" si="568"/>
        <v>-0.0091310592459605</v>
      </c>
      <c r="EU97" s="1082">
        <f t="shared" ref="EU97:FB97" si="569">EU96-EU98</f>
        <v>-0.014900409276944</v>
      </c>
      <c r="EV97" s="1094">
        <f t="shared" si="569"/>
        <v>-0.0147000505816894</v>
      </c>
      <c r="EW97" s="1085">
        <f t="shared" si="569"/>
        <v>-0.0101688343558283</v>
      </c>
      <c r="EX97" s="1082">
        <f t="shared" si="569"/>
        <v>-0.0253540145985401</v>
      </c>
      <c r="EY97" s="1082">
        <f t="shared" si="569"/>
        <v>-0.0255067817509248</v>
      </c>
      <c r="EZ97" s="1082">
        <f t="shared" si="569"/>
        <v>-0.0254189826953329</v>
      </c>
      <c r="FA97" s="1091">
        <f t="shared" si="569"/>
        <v>-0.0143406113537118</v>
      </c>
      <c r="FB97" s="1082">
        <f t="shared" si="569"/>
        <v>-0.0212627785058977</v>
      </c>
      <c r="FC97" s="1082">
        <f>0.1*FC492-((50%*FC842)/EU95)</f>
        <v>-0.0601612106803873</v>
      </c>
      <c r="FD97" s="1082">
        <f>FD96-FD98</f>
        <v>-0.0324315139419923</v>
      </c>
      <c r="FE97" s="1085">
        <f>FE96-FE98</f>
        <v>-0.0289114041532639</v>
      </c>
      <c r="FF97" s="1082">
        <f>10%*FF490</f>
        <v>0.0101562271478756</v>
      </c>
      <c r="FG97" s="1082">
        <f>10%*FG490</f>
        <v>0.0113997336034429</v>
      </c>
      <c r="FH97" s="1082">
        <f>FH96-FH98</f>
        <v>0.010721313457241</v>
      </c>
      <c r="FI97" s="1082">
        <f>10%*FI490</f>
        <v>0.00955812177896545</v>
      </c>
      <c r="FJ97" s="1082">
        <f>FJ96-FJ98</f>
        <v>0.0102714733655799</v>
      </c>
      <c r="FK97" s="1082">
        <f>FK96-FK98</f>
        <v>0.225459052070787</v>
      </c>
      <c r="FL97" s="1082">
        <f>FL96-FL98</f>
        <v>0.092774754027482</v>
      </c>
      <c r="FM97" s="1085">
        <f>FM96-FM98</f>
        <v>0.052276527104255</v>
      </c>
      <c r="FN97" s="1082"/>
      <c r="FO97" s="1082"/>
      <c r="FP97" s="1082"/>
      <c r="FQ97" s="1082"/>
      <c r="FR97" s="1082"/>
      <c r="FS97" s="1082"/>
      <c r="FT97" s="1082"/>
      <c r="FU97" s="1082"/>
      <c r="FV97" s="1109"/>
      <c r="FW97" s="1082"/>
      <c r="FX97" s="1082"/>
      <c r="FY97" s="1082"/>
      <c r="FZ97" s="1082"/>
      <c r="GA97" s="1082"/>
      <c r="GB97" s="1082"/>
      <c r="GC97" s="1085"/>
      <c r="GD97" s="1082"/>
      <c r="GE97" s="1082"/>
      <c r="GF97" s="1082"/>
      <c r="GG97" s="1082"/>
      <c r="GH97" s="1082"/>
      <c r="GI97" s="1082"/>
      <c r="GJ97" s="1082"/>
      <c r="GK97" s="1085"/>
      <c r="GL97" s="1082"/>
      <c r="GM97" s="1082"/>
      <c r="GN97" s="1082"/>
      <c r="GO97" s="1082"/>
      <c r="GP97" s="1082"/>
      <c r="GQ97" s="1082"/>
      <c r="GR97" s="1082"/>
      <c r="GS97" s="1085"/>
      <c r="GT97" s="1082"/>
      <c r="GU97" s="1082"/>
      <c r="GV97" s="1082"/>
      <c r="GW97" s="1082"/>
      <c r="GX97" s="1082"/>
      <c r="GY97" s="1082"/>
      <c r="GZ97" s="1082"/>
      <c r="HA97" s="1085"/>
      <c r="HB97" s="1082"/>
      <c r="HC97" s="1082"/>
      <c r="HD97" s="1082"/>
      <c r="HE97" s="1082"/>
      <c r="HF97" s="1082"/>
      <c r="HG97" s="1082"/>
      <c r="HH97" s="1082"/>
      <c r="HI97" s="1085"/>
      <c r="HJ97" s="1082"/>
      <c r="HK97" s="1082"/>
      <c r="HL97" s="1082"/>
      <c r="HM97" s="1082"/>
      <c r="HN97" s="1082"/>
      <c r="HO97" s="1082"/>
      <c r="HP97" s="1082"/>
      <c r="HQ97" s="1085"/>
      <c r="HR97" s="1082"/>
      <c r="HS97" s="1082"/>
      <c r="HT97" s="1082"/>
      <c r="HU97" s="1082"/>
      <c r="HV97" s="1082"/>
      <c r="HW97" s="1082"/>
      <c r="HX97" s="1082"/>
      <c r="HY97" s="1082"/>
      <c r="HZ97" s="1082"/>
      <c r="IA97" s="1082"/>
      <c r="IB97" s="1082"/>
      <c r="IC97" s="1082"/>
      <c r="ID97" s="1082"/>
      <c r="IE97" s="1082"/>
      <c r="IF97" s="1082"/>
      <c r="IG97" s="1085"/>
      <c r="IH97" s="1082"/>
      <c r="II97" s="1082"/>
      <c r="IJ97" s="1082"/>
      <c r="IK97" s="1082"/>
      <c r="IL97" s="1082"/>
      <c r="IM97" s="1082"/>
      <c r="IN97" s="1082"/>
      <c r="IO97" s="1085"/>
      <c r="IP97" s="1082"/>
      <c r="IQ97" s="1082"/>
      <c r="IR97" s="1082"/>
      <c r="IS97" s="1082"/>
      <c r="IT97" s="1082"/>
      <c r="IU97" s="1082"/>
      <c r="IV97" s="1082"/>
      <c r="IW97" s="1082"/>
      <c r="IX97" s="1112"/>
      <c r="IY97" s="1049"/>
      <c r="IZ97" s="1183"/>
      <c r="JA97" s="1183"/>
      <c r="JB97" s="790"/>
      <c r="JC97" s="790"/>
      <c r="JD97" s="790"/>
      <c r="JE97" s="790"/>
      <c r="JF97" s="790"/>
      <c r="JG97" s="790"/>
      <c r="JH97" s="790"/>
      <c r="JI97" s="790"/>
      <c r="JJ97" s="790"/>
      <c r="JK97" s="790"/>
      <c r="JL97" s="790"/>
      <c r="JM97" s="765"/>
      <c r="JN97" s="765"/>
      <c r="JO97" s="765"/>
      <c r="JP97" s="790"/>
      <c r="JQ97" s="1035"/>
      <c r="JR97" s="1035"/>
      <c r="JS97" s="1035"/>
      <c r="JT97" s="1035"/>
      <c r="JU97" s="1035"/>
      <c r="JV97" s="1035"/>
      <c r="JW97" s="1035"/>
      <c r="JX97" s="1035"/>
      <c r="JY97" s="1035"/>
      <c r="KP97" s="967"/>
      <c r="LV97" s="1179"/>
    </row>
    <row r="98" hidden="1" outlineLevel="1" spans="1:334">
      <c r="A98" s="967" t="s">
        <v>65</v>
      </c>
      <c r="AX98" s="1059"/>
      <c r="BE98" s="1060"/>
      <c r="BN98" s="1059"/>
      <c r="BU98" s="1060"/>
      <c r="BV98" s="1059"/>
      <c r="CC98" s="1060"/>
      <c r="CD98" s="1059"/>
      <c r="CJ98" s="1061"/>
      <c r="CK98" s="1060"/>
      <c r="CL98" s="1059"/>
      <c r="CS98" s="1060"/>
      <c r="CT98" s="967"/>
      <c r="CU98" s="967"/>
      <c r="CV98" s="967"/>
      <c r="CW98" s="967"/>
      <c r="CX98" s="967"/>
      <c r="CY98" s="967"/>
      <c r="CZ98" s="967"/>
      <c r="DA98" s="967"/>
      <c r="DB98" s="1181"/>
      <c r="DC98" s="1181"/>
      <c r="DD98" s="1181"/>
      <c r="DE98" s="1181"/>
      <c r="DF98" s="1181"/>
      <c r="DG98" s="1181"/>
      <c r="DH98" s="1181"/>
      <c r="DI98" s="1182"/>
      <c r="DJ98" s="1181">
        <v>-0.05</v>
      </c>
      <c r="DK98" s="1181">
        <v>-0.12</v>
      </c>
      <c r="DL98" s="1181">
        <f>(DJ98*DJ95+DK98*DK95)/DL95</f>
        <v>-0.08110630407911</v>
      </c>
      <c r="DM98" s="1181">
        <v>-0.04</v>
      </c>
      <c r="DN98" s="1181">
        <f>(DL98*DL95+DM98*DM95)/DN95</f>
        <v>-0.0653274942878903</v>
      </c>
      <c r="DO98" s="1181">
        <v>0.03</v>
      </c>
      <c r="DP98" s="1181">
        <f>(DM98*DM95+DO98*DO95)/DP95</f>
        <v>-0.0129197080291971</v>
      </c>
      <c r="DQ98" s="1182">
        <v>-0.05</v>
      </c>
      <c r="DR98" s="1094">
        <v>0.04</v>
      </c>
      <c r="DS98" s="1094">
        <v>0.13</v>
      </c>
      <c r="DT98" s="1094">
        <v>0.079</v>
      </c>
      <c r="DU98" s="1094">
        <v>0.078</v>
      </c>
      <c r="DV98" s="1094">
        <f>(DT98*DT95+DU98*DU95)/DV95</f>
        <v>0.0786165622825331</v>
      </c>
      <c r="DW98" s="1094">
        <v>0.031</v>
      </c>
      <c r="DX98" s="1094">
        <f>(DU98*DU95+DW98*DW95)/DX95</f>
        <v>0.0602456239412761</v>
      </c>
      <c r="DY98" s="1093">
        <f>DY96-DY97</f>
        <v>0.0691434702636419</v>
      </c>
      <c r="DZ98" s="1083">
        <v>0.14</v>
      </c>
      <c r="EA98" s="1083">
        <v>0.047</v>
      </c>
      <c r="EB98" s="1083">
        <f>(DR95*DZ98+DS95*EA98)/DT95</f>
        <v>0.0965965011286682</v>
      </c>
      <c r="EC98" s="1083">
        <v>0.1</v>
      </c>
      <c r="ED98" s="1083">
        <v>0.1</v>
      </c>
      <c r="EE98" s="1083">
        <v>0.13</v>
      </c>
      <c r="EF98" s="1083">
        <f>(-EB98*DT95+EG98*DY95)/DX95</f>
        <v>0.10340542066629</v>
      </c>
      <c r="EG98" s="1093">
        <v>0.1</v>
      </c>
      <c r="EH98" s="1083">
        <f>+EH96</f>
        <v>0.0731261425959782</v>
      </c>
      <c r="EI98" s="1083">
        <v>0.051</v>
      </c>
      <c r="EJ98" s="1083">
        <v>0.061</v>
      </c>
      <c r="EK98" s="1083">
        <v>0.011</v>
      </c>
      <c r="EL98" s="1083">
        <v>0.042</v>
      </c>
      <c r="EM98" s="1082">
        <v>-0.041</v>
      </c>
      <c r="EN98" s="1083">
        <f>(EC95*EK98+EE95*EM98)/EF95</f>
        <v>-0.00888781234064253</v>
      </c>
      <c r="EO98" s="1093">
        <f>(DZ95*EH98+EA95*EI98+EC95*EK98+EE95*EM98)/EG95</f>
        <v>0.0272279449260582</v>
      </c>
      <c r="EP98" s="1083">
        <v>-0.064</v>
      </c>
      <c r="EQ98" s="1083">
        <v>-0.112</v>
      </c>
      <c r="ER98" s="1094">
        <v>-0.085</v>
      </c>
      <c r="ES98" s="1083">
        <v>-0.065</v>
      </c>
      <c r="ET98" s="1094">
        <f>(EH95*EP98+EI95*EQ98+EK95*ES98)/EL95</f>
        <v>-0.0776433273488929</v>
      </c>
      <c r="EU98" s="1083">
        <v>0.034</v>
      </c>
      <c r="EV98" s="1094">
        <f>(EK95*ES98+EM95*EU98)/EN95</f>
        <v>-0.0282943854324734</v>
      </c>
      <c r="EW98" s="1084">
        <f>(EH95*EP98+EI95*EQ98+EK95*ES98+EM95*EU98)/EO95</f>
        <v>-0.057561226993865</v>
      </c>
      <c r="EX98" s="1083">
        <v>0.003</v>
      </c>
      <c r="EY98" s="1083">
        <v>0.126</v>
      </c>
      <c r="EZ98" s="1083">
        <f>(EP95*EX98+EQ95*EY98)/ER95</f>
        <v>0.0553088620870477</v>
      </c>
      <c r="FA98" s="1095">
        <v>0.096</v>
      </c>
      <c r="FB98" s="1083">
        <f>(EP95*EX98+EQ95*EY98+ES95*FA98)/ET95</f>
        <v>0.0705747051114024</v>
      </c>
      <c r="FC98" s="1096">
        <v>0.1</v>
      </c>
      <c r="FD98" s="1083">
        <f>(ES95*FA98+EU95*FC98)/EV95</f>
        <v>0.0975792811839323</v>
      </c>
      <c r="FE98" s="1084">
        <f>(EP95*EX98+EQ95*EY98+ES95*FA98+EU95*FC98)/EW95</f>
        <v>0.0763606212161095</v>
      </c>
      <c r="FF98" s="1099">
        <v>0.1</v>
      </c>
      <c r="FG98" s="1099">
        <v>0.025</v>
      </c>
      <c r="FH98" s="1083">
        <f>(EX95*FF98+EY95*FG98)/EZ95</f>
        <v>0.0659177698574338</v>
      </c>
      <c r="FI98" s="1099">
        <v>0.05</v>
      </c>
      <c r="FJ98" s="1083">
        <f>(EX95*FF98+EY95*FG98+FA95*FI98)/FB95</f>
        <v>0.0597619047619048</v>
      </c>
      <c r="FK98" s="1083">
        <f>(FE95*FM98-FB95*FJ98)/FC95</f>
        <v>0.317126509990197</v>
      </c>
      <c r="FL98" s="1083">
        <f>(FA95*FI98+FC95*FK98)/FD95</f>
        <v>0.152960966938112</v>
      </c>
      <c r="FM98" s="1084">
        <v>0.11</v>
      </c>
      <c r="FN98" s="1083"/>
      <c r="FO98" s="1083"/>
      <c r="FP98" s="1083"/>
      <c r="FQ98" s="1083"/>
      <c r="FR98" s="1083"/>
      <c r="FS98" s="1083"/>
      <c r="FT98" s="1083"/>
      <c r="FU98" s="1083"/>
      <c r="FV98" s="1115"/>
      <c r="FW98" s="1083"/>
      <c r="FX98" s="1083"/>
      <c r="FY98" s="1083"/>
      <c r="FZ98" s="1083"/>
      <c r="GA98" s="1083"/>
      <c r="GB98" s="1083"/>
      <c r="GC98" s="1084"/>
      <c r="GD98" s="1083"/>
      <c r="GE98" s="1083"/>
      <c r="GF98" s="1083"/>
      <c r="GG98" s="1083"/>
      <c r="GH98" s="1083"/>
      <c r="GI98" s="1083"/>
      <c r="GJ98" s="1083"/>
      <c r="GK98" s="1084"/>
      <c r="GL98" s="1083"/>
      <c r="GM98" s="1083"/>
      <c r="GN98" s="1083"/>
      <c r="GO98" s="1083"/>
      <c r="GP98" s="1083"/>
      <c r="GQ98" s="1083"/>
      <c r="GR98" s="1083"/>
      <c r="GS98" s="1084"/>
      <c r="GT98" s="1083"/>
      <c r="GU98" s="1083"/>
      <c r="GV98" s="1083"/>
      <c r="GW98" s="1083"/>
      <c r="GX98" s="1083"/>
      <c r="GY98" s="1083"/>
      <c r="GZ98" s="1083"/>
      <c r="HA98" s="1084"/>
      <c r="HB98" s="1083"/>
      <c r="HC98" s="1083"/>
      <c r="HD98" s="1083"/>
      <c r="HE98" s="1083"/>
      <c r="HF98" s="1083"/>
      <c r="HG98" s="1083"/>
      <c r="HH98" s="1083"/>
      <c r="HI98" s="1084"/>
      <c r="HJ98" s="1083"/>
      <c r="HK98" s="1083"/>
      <c r="HL98" s="1083"/>
      <c r="HM98" s="1083"/>
      <c r="HN98" s="1083"/>
      <c r="HO98" s="1083"/>
      <c r="HP98" s="1083"/>
      <c r="HQ98" s="1084"/>
      <c r="HR98" s="1083"/>
      <c r="HS98" s="1083"/>
      <c r="HT98" s="1083"/>
      <c r="HU98" s="1083"/>
      <c r="HV98" s="1083"/>
      <c r="HW98" s="1083"/>
      <c r="HX98" s="1083"/>
      <c r="HY98" s="1083"/>
      <c r="HZ98" s="1083"/>
      <c r="IA98" s="1083"/>
      <c r="IB98" s="1083"/>
      <c r="IC98" s="1083"/>
      <c r="ID98" s="1083"/>
      <c r="IE98" s="1083"/>
      <c r="IF98" s="1083"/>
      <c r="IG98" s="1084"/>
      <c r="IH98" s="1083"/>
      <c r="II98" s="1083"/>
      <c r="IJ98" s="1083"/>
      <c r="IK98" s="1083"/>
      <c r="IL98" s="1083"/>
      <c r="IM98" s="1083"/>
      <c r="IN98" s="1083"/>
      <c r="IO98" s="1084"/>
      <c r="IP98" s="1083"/>
      <c r="IQ98" s="1083"/>
      <c r="IR98" s="1083"/>
      <c r="IS98" s="1083"/>
      <c r="IT98" s="1083"/>
      <c r="IU98" s="1083"/>
      <c r="IV98" s="1083"/>
      <c r="IW98" s="1083"/>
      <c r="IX98" s="1184"/>
      <c r="IY98" s="1049"/>
      <c r="IZ98" s="1183"/>
      <c r="JA98" s="1183"/>
      <c r="JB98" s="790"/>
      <c r="JC98" s="790"/>
      <c r="JD98" s="790"/>
      <c r="JE98" s="790"/>
      <c r="JF98" s="790"/>
      <c r="JG98" s="790"/>
      <c r="JH98" s="790"/>
      <c r="JI98" s="790"/>
      <c r="JJ98" s="790"/>
      <c r="JK98" s="790"/>
      <c r="JL98" s="790"/>
      <c r="JM98" s="765"/>
      <c r="JN98" s="765"/>
      <c r="JO98" s="765"/>
      <c r="JP98" s="790"/>
      <c r="JQ98" s="1035"/>
      <c r="JR98" s="1035"/>
      <c r="JS98" s="1035"/>
      <c r="JT98" s="1035"/>
      <c r="JU98" s="1035"/>
      <c r="JV98" s="1035"/>
      <c r="JW98" s="1035"/>
      <c r="JX98" s="1035"/>
      <c r="JY98" s="1035"/>
      <c r="KP98" s="967"/>
      <c r="LV98" s="1179"/>
    </row>
    <row r="99" hidden="1" outlineLevel="1" spans="1:334">
      <c r="A99" s="967" t="s">
        <v>66</v>
      </c>
      <c r="AX99" s="1059"/>
      <c r="BE99" s="1060"/>
      <c r="BN99" s="1059"/>
      <c r="BU99" s="1060"/>
      <c r="BV99" s="1059"/>
      <c r="CC99" s="1060"/>
      <c r="CD99" s="1059"/>
      <c r="CJ99" s="1061"/>
      <c r="CK99" s="1060"/>
      <c r="CL99" s="1059"/>
      <c r="CS99" s="1060"/>
      <c r="CT99" s="967"/>
      <c r="CU99" s="967"/>
      <c r="CV99" s="967"/>
      <c r="CW99" s="967"/>
      <c r="CX99" s="967"/>
      <c r="CY99" s="967"/>
      <c r="CZ99" s="967"/>
      <c r="DA99" s="967"/>
      <c r="DB99" s="1181">
        <f t="shared" ref="DB99:DJ99" si="570">DB95/DB$127</f>
        <v>0.374045801526718</v>
      </c>
      <c r="DC99" s="1181">
        <f t="shared" si="570"/>
        <v>0.335581118603729</v>
      </c>
      <c r="DD99" s="1181">
        <f t="shared" si="570"/>
        <v>0.355183816378137</v>
      </c>
      <c r="DE99" s="1181">
        <f t="shared" si="570"/>
        <v>0.350097339390006</v>
      </c>
      <c r="DF99" s="1181">
        <f t="shared" si="570"/>
        <v>0.353277392679071</v>
      </c>
      <c r="DG99" s="1181">
        <f t="shared" si="570"/>
        <v>0.241847826086957</v>
      </c>
      <c r="DH99" s="1181">
        <f t="shared" si="570"/>
        <v>0.300813008130081</v>
      </c>
      <c r="DI99" s="1182">
        <f t="shared" si="570"/>
        <v>0.326696916381146</v>
      </c>
      <c r="DJ99" s="1181">
        <f t="shared" si="570"/>
        <v>0.348719937936385</v>
      </c>
      <c r="DK99" s="1181">
        <f t="shared" ref="DK99:DR99" si="571">DK95/DK$127</f>
        <v>0.292633292633293</v>
      </c>
      <c r="DL99" s="1181">
        <f t="shared" si="571"/>
        <v>0.321350546176763</v>
      </c>
      <c r="DM99" s="1181">
        <f t="shared" si="571"/>
        <v>0.348909657320872</v>
      </c>
      <c r="DN99" s="1181">
        <f t="shared" si="571"/>
        <v>0.331398283695103</v>
      </c>
      <c r="DO99" s="1181">
        <f t="shared" si="571"/>
        <v>0.258852258852259</v>
      </c>
      <c r="DP99" s="1181">
        <f t="shared" si="571"/>
        <v>0.307519640852974</v>
      </c>
      <c r="DQ99" s="1182">
        <f t="shared" si="571"/>
        <v>0.314227916385705</v>
      </c>
      <c r="DR99" s="1094">
        <f t="shared" si="571"/>
        <v>0.353403141361257</v>
      </c>
      <c r="DS99" s="1094">
        <f t="shared" ref="DS99:DY99" si="572">DS95/DS$127</f>
        <v>0.283510455947892</v>
      </c>
      <c r="DT99" s="1094">
        <f t="shared" si="572"/>
        <v>0.316994633273703</v>
      </c>
      <c r="DU99" s="1094">
        <f t="shared" si="572"/>
        <v>0.317762399077278</v>
      </c>
      <c r="DV99" s="1094">
        <f t="shared" si="572"/>
        <v>0.317288584676529</v>
      </c>
      <c r="DW99" s="1094">
        <f t="shared" si="572"/>
        <v>0.228171896316507</v>
      </c>
      <c r="DX99" s="1094">
        <f t="shared" si="572"/>
        <v>0.27671875</v>
      </c>
      <c r="DY99" s="1093">
        <f t="shared" si="572"/>
        <v>0.295496246872394</v>
      </c>
      <c r="DZ99" s="1181">
        <f t="shared" ref="DZ99:EI99" si="573">DZ95/DZ$127</f>
        <v>0.334249923617476</v>
      </c>
      <c r="EA99" s="1181">
        <f t="shared" si="573"/>
        <v>0.282963446475196</v>
      </c>
      <c r="EB99" s="1181">
        <f t="shared" si="573"/>
        <v>0.309452422281837</v>
      </c>
      <c r="EC99" s="1181">
        <f t="shared" si="573"/>
        <v>0.323450854700855</v>
      </c>
      <c r="ED99" s="1181">
        <f t="shared" si="573"/>
        <v>0.314651324273386</v>
      </c>
      <c r="EE99" s="1181">
        <f t="shared" si="573"/>
        <v>0.231410058623882</v>
      </c>
      <c r="EF99" s="1181">
        <f t="shared" si="573"/>
        <v>0.280744452397996</v>
      </c>
      <c r="EG99" s="1182">
        <f t="shared" si="573"/>
        <v>0.294378143060872</v>
      </c>
      <c r="EH99" s="1181">
        <f t="shared" si="573"/>
        <v>0.307008368200837</v>
      </c>
      <c r="EI99" s="1181">
        <f t="shared" si="573"/>
        <v>0.262723912425363</v>
      </c>
      <c r="EJ99" s="1181">
        <f t="shared" ref="EJ99:EO99" si="574">EJ95/EJ$127</f>
        <v>0.285792126413295</v>
      </c>
      <c r="EK99" s="1181">
        <f t="shared" si="574"/>
        <v>0.29810687754613</v>
      </c>
      <c r="EL99" s="1181">
        <f t="shared" si="574"/>
        <v>0.290255341323606</v>
      </c>
      <c r="EM99" s="1181">
        <f t="shared" si="574"/>
        <v>0.217571979815969</v>
      </c>
      <c r="EN99" s="1181">
        <f t="shared" si="574"/>
        <v>0.262132060461416</v>
      </c>
      <c r="EO99" s="1182">
        <f t="shared" si="574"/>
        <v>0.273802324800108</v>
      </c>
      <c r="EP99" s="1181">
        <f t="shared" ref="EP99:EW99" si="575">EP95/EP$127</f>
        <v>0.292188749666756</v>
      </c>
      <c r="EQ99" s="1181">
        <f t="shared" si="575"/>
        <v>0.23972805202483</v>
      </c>
      <c r="ER99" s="1181">
        <f t="shared" si="575"/>
        <v>0.26731146621811</v>
      </c>
      <c r="ES99" s="1181">
        <f t="shared" si="575"/>
        <v>0.295179169889147</v>
      </c>
      <c r="ET99" s="1181">
        <f t="shared" si="575"/>
        <v>0.277127031689821</v>
      </c>
      <c r="EU99" s="1181">
        <f t="shared" si="575"/>
        <v>0.214716872664559</v>
      </c>
      <c r="EV99" s="1181">
        <f t="shared" si="575"/>
        <v>0.257135091057353</v>
      </c>
      <c r="EW99" s="1182">
        <f t="shared" si="575"/>
        <v>0.262144631520839</v>
      </c>
      <c r="EX99" s="1181">
        <f t="shared" ref="EX99:FD99" si="576">EX95/EX$127</f>
        <v>0.307902298850575</v>
      </c>
      <c r="EY99" s="1181">
        <f t="shared" si="576"/>
        <v>0.261576787807737</v>
      </c>
      <c r="EZ99" s="1181">
        <f t="shared" si="576"/>
        <v>0.284968078932095</v>
      </c>
      <c r="FA99" s="1185">
        <f t="shared" si="576"/>
        <v>0.304674046740467</v>
      </c>
      <c r="FB99" s="1181">
        <f t="shared" si="576"/>
        <v>0.292278908460345</v>
      </c>
      <c r="FC99" s="1181">
        <f t="shared" si="576"/>
        <v>0.22165364500813</v>
      </c>
      <c r="FD99" s="1181">
        <f t="shared" si="576"/>
        <v>0.266238239373782</v>
      </c>
      <c r="FE99" s="1182">
        <f t="shared" ref="FE99:FM99" si="577">FE95/FE$127</f>
        <v>0.275164497792157</v>
      </c>
      <c r="FF99" s="1181">
        <f t="shared" si="577"/>
        <v>0.320445077149681</v>
      </c>
      <c r="FG99" s="1181">
        <f t="shared" si="577"/>
        <v>0.248212490700198</v>
      </c>
      <c r="FH99" s="1181">
        <f t="shared" si="577"/>
        <v>0.284258545774369</v>
      </c>
      <c r="FI99" s="1181">
        <f t="shared" si="577"/>
        <v>0.309656938829351</v>
      </c>
      <c r="FJ99" s="1181">
        <f t="shared" si="577"/>
        <v>0.293476468001801</v>
      </c>
      <c r="FK99" s="1181">
        <f t="shared" si="577"/>
        <v>0.270815169869254</v>
      </c>
      <c r="FL99" s="1181">
        <f t="shared" si="577"/>
        <v>0.28981749137993</v>
      </c>
      <c r="FM99" s="1182">
        <f t="shared" si="577"/>
        <v>0.287249239177691</v>
      </c>
      <c r="FN99" s="1181"/>
      <c r="FO99" s="1181"/>
      <c r="FP99" s="1181"/>
      <c r="FQ99" s="1181"/>
      <c r="FR99" s="1181"/>
      <c r="FS99" s="1181"/>
      <c r="FT99" s="1181"/>
      <c r="FU99" s="1181"/>
      <c r="FV99" s="1186"/>
      <c r="FW99" s="1181"/>
      <c r="FX99" s="1181"/>
      <c r="FY99" s="1181"/>
      <c r="FZ99" s="1181"/>
      <c r="GA99" s="1181"/>
      <c r="GB99" s="1181"/>
      <c r="GC99" s="1182"/>
      <c r="GD99" s="1181"/>
      <c r="GE99" s="1181"/>
      <c r="GF99" s="1181"/>
      <c r="GG99" s="1181"/>
      <c r="GH99" s="1181"/>
      <c r="GI99" s="1181"/>
      <c r="GJ99" s="1181"/>
      <c r="GK99" s="1182"/>
      <c r="GL99" s="1181"/>
      <c r="GM99" s="1181"/>
      <c r="GN99" s="1181"/>
      <c r="GO99" s="1181"/>
      <c r="GP99" s="1181"/>
      <c r="GQ99" s="1181"/>
      <c r="GR99" s="1181"/>
      <c r="GS99" s="1182"/>
      <c r="GT99" s="1181"/>
      <c r="GU99" s="1181"/>
      <c r="GV99" s="1181"/>
      <c r="GW99" s="1181"/>
      <c r="GX99" s="1181"/>
      <c r="GY99" s="1181"/>
      <c r="GZ99" s="1181"/>
      <c r="HA99" s="1182"/>
      <c r="HB99" s="1181"/>
      <c r="HC99" s="1181"/>
      <c r="HD99" s="1181"/>
      <c r="HE99" s="1181"/>
      <c r="HF99" s="1181"/>
      <c r="HG99" s="1181"/>
      <c r="HH99" s="1181"/>
      <c r="HI99" s="1182"/>
      <c r="HJ99" s="1181"/>
      <c r="HK99" s="1181"/>
      <c r="HL99" s="1181"/>
      <c r="HM99" s="1181"/>
      <c r="HN99" s="1181"/>
      <c r="HO99" s="1181"/>
      <c r="HP99" s="1181"/>
      <c r="HQ99" s="1182"/>
      <c r="HR99" s="1181"/>
      <c r="HS99" s="1181"/>
      <c r="HT99" s="1181"/>
      <c r="HU99" s="1181"/>
      <c r="HV99" s="1181"/>
      <c r="HW99" s="1181"/>
      <c r="HX99" s="1181"/>
      <c r="HY99" s="1181"/>
      <c r="HZ99" s="1181"/>
      <c r="IA99" s="1181"/>
      <c r="IB99" s="1181"/>
      <c r="IC99" s="1181"/>
      <c r="ID99" s="1181"/>
      <c r="IE99" s="1181"/>
      <c r="IF99" s="1181"/>
      <c r="IG99" s="1182"/>
      <c r="IH99" s="1181"/>
      <c r="II99" s="1181"/>
      <c r="IJ99" s="1181"/>
      <c r="IK99" s="1181"/>
      <c r="IL99" s="1181"/>
      <c r="IM99" s="1181"/>
      <c r="IN99" s="1181"/>
      <c r="IO99" s="1182"/>
      <c r="IP99" s="1181"/>
      <c r="IQ99" s="1181"/>
      <c r="IR99" s="1181"/>
      <c r="IS99" s="1181"/>
      <c r="IT99" s="1181"/>
      <c r="IU99" s="1181"/>
      <c r="IV99" s="1181"/>
      <c r="IW99" s="1181"/>
      <c r="IX99" s="1094"/>
      <c r="IY99" s="1049"/>
      <c r="IZ99" s="1049"/>
      <c r="JA99" s="1049"/>
      <c r="JB99" s="1094"/>
      <c r="JC99" s="1094"/>
      <c r="JD99" s="1094"/>
      <c r="JE99" s="1094"/>
      <c r="JF99" s="1094"/>
      <c r="JG99" s="1094"/>
      <c r="JH99" s="1094"/>
      <c r="JI99" s="1094"/>
      <c r="JJ99" s="1094"/>
      <c r="JK99" s="1094"/>
      <c r="JL99" s="1094"/>
      <c r="JM99" s="1082"/>
      <c r="JN99" s="1082"/>
      <c r="JO99" s="1082"/>
      <c r="JP99" s="1094"/>
      <c r="JQ99" s="1035"/>
      <c r="JR99" s="1035"/>
      <c r="JS99" s="1035"/>
      <c r="JT99" s="1035"/>
      <c r="JU99" s="1035"/>
      <c r="JV99" s="1035"/>
      <c r="JW99" s="1035"/>
      <c r="JX99" s="1035"/>
      <c r="JY99" s="1035"/>
      <c r="KP99" s="1025"/>
      <c r="LV99" s="967"/>
    </row>
    <row r="100" hidden="1" outlineLevel="1" spans="1:334">
      <c r="A100" s="1180" t="s">
        <v>524</v>
      </c>
      <c r="AX100" s="1059"/>
      <c r="BE100" s="1060"/>
      <c r="BN100" s="1059"/>
      <c r="BU100" s="1060"/>
      <c r="BV100" s="1059"/>
      <c r="CC100" s="1060"/>
      <c r="CD100" s="1059"/>
      <c r="CJ100" s="1061"/>
      <c r="CK100" s="1060"/>
      <c r="CL100" s="1059"/>
      <c r="CS100" s="1060"/>
      <c r="CT100" s="1180"/>
      <c r="CU100" s="1180"/>
      <c r="CV100" s="1180"/>
      <c r="CW100" s="1180"/>
      <c r="CX100" s="1180"/>
      <c r="CY100" s="1180"/>
      <c r="CZ100" s="1180"/>
      <c r="DA100" s="1180"/>
      <c r="DB100" s="1071">
        <v>284</v>
      </c>
      <c r="DC100" s="1071">
        <v>262</v>
      </c>
      <c r="DD100" s="1071">
        <f>DB100+DC100</f>
        <v>546</v>
      </c>
      <c r="DE100" s="1071">
        <v>362</v>
      </c>
      <c r="DF100" s="1071">
        <f>DE100+DD100</f>
        <v>908</v>
      </c>
      <c r="DG100" s="1071">
        <v>271</v>
      </c>
      <c r="DH100" s="1071">
        <f>DE100+DG100</f>
        <v>633</v>
      </c>
      <c r="DI100" s="1072">
        <f>SUM(DB100,DC100,DE100,DG100)</f>
        <v>1179</v>
      </c>
      <c r="DJ100" s="1071">
        <v>293</v>
      </c>
      <c r="DK100" s="1071">
        <v>256</v>
      </c>
      <c r="DL100" s="1071">
        <f>DJ100+DK100</f>
        <v>549</v>
      </c>
      <c r="DM100" s="1071">
        <v>311</v>
      </c>
      <c r="DN100" s="1071">
        <f>DM100+DL100</f>
        <v>860</v>
      </c>
      <c r="DO100" s="1071">
        <v>263</v>
      </c>
      <c r="DP100" s="1071">
        <f>DM100+DO100</f>
        <v>574</v>
      </c>
      <c r="DQ100" s="1072">
        <f>SUM(DJ100,DK100,DM100,DO100)</f>
        <v>1123</v>
      </c>
      <c r="DR100" s="1079">
        <v>290</v>
      </c>
      <c r="DS100" s="1079">
        <v>343</v>
      </c>
      <c r="DT100" s="1071">
        <f>DR100+DS100</f>
        <v>633</v>
      </c>
      <c r="DU100" s="1079">
        <v>400</v>
      </c>
      <c r="DV100" s="1071">
        <f>DU100+DT100</f>
        <v>1033</v>
      </c>
      <c r="DW100" s="1079">
        <f>DY100-DV100</f>
        <v>352</v>
      </c>
      <c r="DX100" s="1071">
        <f>DU100+DW100</f>
        <v>752</v>
      </c>
      <c r="DY100" s="1072">
        <v>1385</v>
      </c>
      <c r="DZ100" s="1079">
        <v>370</v>
      </c>
      <c r="EA100" s="1079">
        <v>380</v>
      </c>
      <c r="EB100" s="1071">
        <f>DZ100+EA100</f>
        <v>750</v>
      </c>
      <c r="EC100" s="1071">
        <f>ED100-EB100</f>
        <v>439</v>
      </c>
      <c r="ED100" s="1071">
        <v>1189</v>
      </c>
      <c r="EE100" s="1079">
        <f>+EF100-EC100</f>
        <v>408</v>
      </c>
      <c r="EF100" s="1071">
        <f>+EG100-EB100</f>
        <v>847</v>
      </c>
      <c r="EG100" s="1072">
        <v>1597</v>
      </c>
      <c r="EH100" s="1079">
        <v>430</v>
      </c>
      <c r="EI100" s="1071">
        <v>487</v>
      </c>
      <c r="EJ100" s="1071">
        <f>EH100+EI100</f>
        <v>917</v>
      </c>
      <c r="EK100" s="1071">
        <f>EL100-EJ100</f>
        <v>569</v>
      </c>
      <c r="EL100" s="1071">
        <v>1486</v>
      </c>
      <c r="EM100" s="1071">
        <v>461</v>
      </c>
      <c r="EN100" s="1071">
        <f>EK100+EM100</f>
        <v>1030</v>
      </c>
      <c r="EO100" s="1072">
        <f>EH100+EI100+EK100+EM100</f>
        <v>1947</v>
      </c>
      <c r="EP100" s="1071">
        <v>433</v>
      </c>
      <c r="EQ100" s="1071">
        <f>ER100-EP100</f>
        <v>468</v>
      </c>
      <c r="ER100" s="1071">
        <v>901</v>
      </c>
      <c r="ES100" s="1071">
        <v>531</v>
      </c>
      <c r="ET100" s="1071">
        <f>ER100+ES100</f>
        <v>1432</v>
      </c>
      <c r="EU100" s="1071">
        <v>462</v>
      </c>
      <c r="EV100" s="1071">
        <f>ES100+EU100</f>
        <v>993</v>
      </c>
      <c r="EW100" s="1072">
        <f>EP100+EQ100+ES100+EU100</f>
        <v>1894</v>
      </c>
      <c r="EX100" s="1071">
        <v>477</v>
      </c>
      <c r="EY100" s="1071">
        <v>461</v>
      </c>
      <c r="EZ100" s="1071">
        <f>EX100+EY100</f>
        <v>938</v>
      </c>
      <c r="FA100" s="1098">
        <v>572</v>
      </c>
      <c r="FB100" s="1071">
        <f>EZ100+FA100</f>
        <v>1510</v>
      </c>
      <c r="FC100" s="1071">
        <f>EU100*(1+FC101)</f>
        <v>344.964661725333</v>
      </c>
      <c r="FD100" s="1071">
        <f>FA100+FC100</f>
        <v>916.964661725333</v>
      </c>
      <c r="FE100" s="1072">
        <f>EX100+EY100+FA100+FC100</f>
        <v>1854.96466172533</v>
      </c>
      <c r="FF100" s="1071">
        <f>EX100*(1+FF101)</f>
        <v>201.97493830721</v>
      </c>
      <c r="FG100" s="1071">
        <f>EY100*(1+FG101)</f>
        <v>360.890413717266</v>
      </c>
      <c r="FH100" s="1071">
        <f>FF100+FG100</f>
        <v>562.865352024476</v>
      </c>
      <c r="FI100" s="1071">
        <f>FA100*(1+FI101)</f>
        <v>322.063382371464</v>
      </c>
      <c r="FJ100" s="1071">
        <f>FH100+FI100</f>
        <v>884.92873439594</v>
      </c>
      <c r="FK100" s="1071">
        <f>FM100-FJ100</f>
        <v>307.07126560406</v>
      </c>
      <c r="FL100" s="1071">
        <f>FI100+FK100</f>
        <v>629.134647975524</v>
      </c>
      <c r="FM100" s="1072">
        <v>1192</v>
      </c>
      <c r="FN100" s="1071"/>
      <c r="FO100" s="1071"/>
      <c r="FP100" s="1071"/>
      <c r="FQ100" s="1071"/>
      <c r="FR100" s="1071"/>
      <c r="FS100" s="1071"/>
      <c r="FT100" s="1071"/>
      <c r="FU100" s="1071"/>
      <c r="FV100" s="1177"/>
      <c r="FW100" s="1071"/>
      <c r="FX100" s="1071"/>
      <c r="FY100" s="1071"/>
      <c r="FZ100" s="1071"/>
      <c r="GA100" s="1071"/>
      <c r="GB100" s="1071"/>
      <c r="GC100" s="1072"/>
      <c r="GD100" s="1071"/>
      <c r="GE100" s="1071"/>
      <c r="GF100" s="1071"/>
      <c r="GG100" s="1071"/>
      <c r="GH100" s="1071"/>
      <c r="GI100" s="1071"/>
      <c r="GJ100" s="1071"/>
      <c r="GK100" s="1072"/>
      <c r="GL100" s="1071"/>
      <c r="GM100" s="1071"/>
      <c r="GN100" s="1071"/>
      <c r="GO100" s="1071"/>
      <c r="GP100" s="1071"/>
      <c r="GQ100" s="1071"/>
      <c r="GR100" s="1071"/>
      <c r="GS100" s="1072"/>
      <c r="GT100" s="1071"/>
      <c r="GU100" s="1071"/>
      <c r="GV100" s="1071"/>
      <c r="GW100" s="1071"/>
      <c r="GX100" s="1071"/>
      <c r="GY100" s="1071"/>
      <c r="GZ100" s="1071"/>
      <c r="HA100" s="1072"/>
      <c r="HB100" s="1071"/>
      <c r="HC100" s="1071"/>
      <c r="HD100" s="1071"/>
      <c r="HE100" s="1071"/>
      <c r="HF100" s="1071"/>
      <c r="HG100" s="1071"/>
      <c r="HH100" s="1071"/>
      <c r="HI100" s="1072"/>
      <c r="HJ100" s="1071"/>
      <c r="HK100" s="1071"/>
      <c r="HL100" s="1071"/>
      <c r="HM100" s="1071"/>
      <c r="HN100" s="1071"/>
      <c r="HO100" s="1071"/>
      <c r="HP100" s="1071"/>
      <c r="HQ100" s="1072"/>
      <c r="HR100" s="1071"/>
      <c r="HS100" s="1071"/>
      <c r="HT100" s="1071"/>
      <c r="HU100" s="1071"/>
      <c r="HV100" s="1071"/>
      <c r="HW100" s="1071"/>
      <c r="HX100" s="1071"/>
      <c r="HY100" s="1071"/>
      <c r="HZ100" s="1071"/>
      <c r="IA100" s="1071"/>
      <c r="IB100" s="1071"/>
      <c r="IC100" s="1071"/>
      <c r="ID100" s="1071"/>
      <c r="IE100" s="1071"/>
      <c r="IF100" s="1071"/>
      <c r="IG100" s="1072"/>
      <c r="IH100" s="1071"/>
      <c r="II100" s="1071"/>
      <c r="IJ100" s="1071"/>
      <c r="IK100" s="1071"/>
      <c r="IL100" s="1071"/>
      <c r="IM100" s="1071"/>
      <c r="IN100" s="1071"/>
      <c r="IO100" s="1072"/>
      <c r="IP100" s="1071"/>
      <c r="IQ100" s="1071"/>
      <c r="IR100" s="1071"/>
      <c r="IS100" s="1071"/>
      <c r="IT100" s="1071"/>
      <c r="IU100" s="1071"/>
      <c r="IV100" s="1071"/>
      <c r="IW100" s="1071"/>
      <c r="IX100" s="969"/>
      <c r="IY100" s="1071"/>
      <c r="IZ100" s="1071"/>
      <c r="JA100" s="1049"/>
      <c r="JB100" s="1094"/>
      <c r="JC100" s="1094"/>
      <c r="JD100" s="1094"/>
      <c r="JE100" s="1094"/>
      <c r="JF100" s="1094"/>
      <c r="JG100" s="1094"/>
      <c r="JH100" s="1094"/>
      <c r="JI100" s="1094"/>
      <c r="JJ100" s="1094"/>
      <c r="JK100" s="1094"/>
      <c r="JL100" s="1094"/>
      <c r="JM100" s="1082"/>
      <c r="JN100" s="1082"/>
      <c r="JO100" s="1082"/>
      <c r="JP100" s="1094"/>
      <c r="JQ100" s="1035"/>
      <c r="JR100" s="969"/>
      <c r="JS100" s="1079"/>
      <c r="JT100" s="1071"/>
      <c r="JU100" s="1079"/>
      <c r="JV100" s="1071"/>
      <c r="JW100" s="1035"/>
      <c r="JX100" s="1035"/>
      <c r="JY100" s="1035"/>
      <c r="KP100" s="967"/>
      <c r="LV100" s="1179"/>
    </row>
    <row r="101" hidden="1" outlineLevel="1" spans="1:334">
      <c r="A101" s="967" t="s">
        <v>61</v>
      </c>
      <c r="AX101" s="1059"/>
      <c r="BE101" s="1060"/>
      <c r="BN101" s="1059"/>
      <c r="BU101" s="1060"/>
      <c r="BV101" s="1059"/>
      <c r="CC101" s="1060"/>
      <c r="CD101" s="1059"/>
      <c r="CJ101" s="1061"/>
      <c r="CK101" s="1060"/>
      <c r="CL101" s="1059"/>
      <c r="CS101" s="1060"/>
      <c r="CT101" s="967"/>
      <c r="CU101" s="967"/>
      <c r="CV101" s="967"/>
      <c r="CW101" s="967"/>
      <c r="CX101" s="967"/>
      <c r="CY101" s="967"/>
      <c r="CZ101" s="967"/>
      <c r="DA101" s="967"/>
      <c r="DB101" s="1181"/>
      <c r="DC101" s="1181"/>
      <c r="DD101" s="1181"/>
      <c r="DE101" s="1181"/>
      <c r="DF101" s="1181"/>
      <c r="DG101" s="1181"/>
      <c r="DH101" s="1181"/>
      <c r="DI101" s="1182"/>
      <c r="DJ101" s="1181">
        <f t="shared" ref="DJ101:DW101" si="578">DJ100/DB100-1</f>
        <v>0.0316901408450705</v>
      </c>
      <c r="DK101" s="1181">
        <f t="shared" si="578"/>
        <v>-0.0229007633587787</v>
      </c>
      <c r="DL101" s="1181">
        <f t="shared" si="578"/>
        <v>0.00549450549450547</v>
      </c>
      <c r="DM101" s="1181">
        <f t="shared" si="578"/>
        <v>-0.140883977900553</v>
      </c>
      <c r="DN101" s="1181">
        <f t="shared" si="578"/>
        <v>-0.052863436123348</v>
      </c>
      <c r="DO101" s="1181">
        <f t="shared" si="578"/>
        <v>-0.0295202952029521</v>
      </c>
      <c r="DP101" s="1181">
        <f t="shared" si="578"/>
        <v>-0.0932069510268563</v>
      </c>
      <c r="DQ101" s="1182">
        <f t="shared" si="578"/>
        <v>-0.0474978795589482</v>
      </c>
      <c r="DR101" s="1082">
        <f t="shared" si="578"/>
        <v>-0.0102389078498294</v>
      </c>
      <c r="DS101" s="1094">
        <f t="shared" si="578"/>
        <v>0.33984375</v>
      </c>
      <c r="DT101" s="1094">
        <f t="shared" si="578"/>
        <v>0.153005464480874</v>
      </c>
      <c r="DU101" s="1094">
        <f t="shared" si="578"/>
        <v>0.286173633440514</v>
      </c>
      <c r="DV101" s="1094">
        <f t="shared" si="578"/>
        <v>0.201162790697675</v>
      </c>
      <c r="DW101" s="1094">
        <f t="shared" si="578"/>
        <v>0.338403041825095</v>
      </c>
      <c r="DX101" s="1094">
        <f>DX102+DX103</f>
        <v>0.31063896508266</v>
      </c>
      <c r="DY101" s="1093">
        <f t="shared" ref="DY101:EG101" si="579">DY100/DQ100-1</f>
        <v>0.233303650934995</v>
      </c>
      <c r="DZ101" s="1082">
        <f t="shared" si="579"/>
        <v>0.275862068965517</v>
      </c>
      <c r="EA101" s="1082">
        <f t="shared" si="579"/>
        <v>0.107871720116618</v>
      </c>
      <c r="EB101" s="1094">
        <f t="shared" si="579"/>
        <v>0.184834123222749</v>
      </c>
      <c r="EC101" s="1094">
        <f t="shared" si="579"/>
        <v>0.0974999999999999</v>
      </c>
      <c r="ED101" s="1094">
        <f t="shared" si="579"/>
        <v>0.151016456921588</v>
      </c>
      <c r="EE101" s="1094">
        <f t="shared" si="579"/>
        <v>0.159090909090909</v>
      </c>
      <c r="EF101" s="1094">
        <f t="shared" si="579"/>
        <v>0.126329787234043</v>
      </c>
      <c r="EG101" s="1093">
        <f t="shared" si="579"/>
        <v>0.153068592057762</v>
      </c>
      <c r="EH101" s="1082">
        <f>+EH100/DZ100-1</f>
        <v>0.162162162162162</v>
      </c>
      <c r="EI101" s="1082">
        <f t="shared" ref="EI101:EO101" si="580">EI100/EA100-1</f>
        <v>0.281578947368421</v>
      </c>
      <c r="EJ101" s="1082">
        <f t="shared" si="580"/>
        <v>0.222666666666667</v>
      </c>
      <c r="EK101" s="1082">
        <f t="shared" si="580"/>
        <v>0.296127562642369</v>
      </c>
      <c r="EL101" s="1082">
        <f t="shared" si="580"/>
        <v>0.249789739276703</v>
      </c>
      <c r="EM101" s="1082">
        <f t="shared" si="580"/>
        <v>0.129901960784314</v>
      </c>
      <c r="EN101" s="1082">
        <f t="shared" si="580"/>
        <v>0.216056670602125</v>
      </c>
      <c r="EO101" s="1085">
        <f t="shared" si="580"/>
        <v>0.219160926737633</v>
      </c>
      <c r="EP101" s="1082">
        <f t="shared" ref="EP101:FB101" si="581">EP100/EH100-1</f>
        <v>0.00697674418604644</v>
      </c>
      <c r="EQ101" s="1082">
        <f t="shared" si="581"/>
        <v>-0.0390143737166324</v>
      </c>
      <c r="ER101" s="1082">
        <f t="shared" si="581"/>
        <v>-0.0174482006543075</v>
      </c>
      <c r="ES101" s="1082">
        <f t="shared" si="581"/>
        <v>-0.0667838312829525</v>
      </c>
      <c r="ET101" s="1082">
        <f t="shared" si="581"/>
        <v>-0.0363391655450875</v>
      </c>
      <c r="EU101" s="1082">
        <f t="shared" si="581"/>
        <v>0.00216919739696309</v>
      </c>
      <c r="EV101" s="1082">
        <f t="shared" si="581"/>
        <v>-0.0359223300970873</v>
      </c>
      <c r="EW101" s="1085">
        <f t="shared" si="581"/>
        <v>-0.0272213662044171</v>
      </c>
      <c r="EX101" s="1082">
        <f t="shared" si="581"/>
        <v>0.10161662817552</v>
      </c>
      <c r="EY101" s="1082">
        <f t="shared" si="581"/>
        <v>-0.0149572649572649</v>
      </c>
      <c r="EZ101" s="1082">
        <f t="shared" si="581"/>
        <v>0.0410654827968924</v>
      </c>
      <c r="FA101" s="1082">
        <f t="shared" si="581"/>
        <v>0.0772128060263653</v>
      </c>
      <c r="FB101" s="1082">
        <f t="shared" si="581"/>
        <v>0.0544692737430168</v>
      </c>
      <c r="FC101" s="1082">
        <f>FC102+FC103</f>
        <v>-0.253323243018761</v>
      </c>
      <c r="FD101" s="1082">
        <f>FD100/EV100-1</f>
        <v>-0.0765713376381343</v>
      </c>
      <c r="FE101" s="1085">
        <f>FE100/EW100-1</f>
        <v>-0.0206099990890535</v>
      </c>
      <c r="FF101" s="1082">
        <f>FF102+FF103</f>
        <v>-0.576572456379016</v>
      </c>
      <c r="FG101" s="1082">
        <f>FG102+FG103</f>
        <v>-0.217157453975562</v>
      </c>
      <c r="FH101" s="1082">
        <f>FH100/EZ100-1</f>
        <v>-0.399930328332116</v>
      </c>
      <c r="FI101" s="1082">
        <f>FI102+FI103</f>
        <v>-0.436952128721216</v>
      </c>
      <c r="FJ101" s="1082">
        <f>FJ100/FB100-1</f>
        <v>-0.41395448053249</v>
      </c>
      <c r="FK101" s="1082">
        <f>FK100/FC100-1</f>
        <v>-0.109847182409205</v>
      </c>
      <c r="FL101" s="1082">
        <f>FL100/FD100-1</f>
        <v>-0.313894336133124</v>
      </c>
      <c r="FM101" s="1085">
        <f>FM100/FE100-1</f>
        <v>-0.357400157213075</v>
      </c>
      <c r="FN101" s="1082"/>
      <c r="FO101" s="1082"/>
      <c r="FP101" s="1082"/>
      <c r="FQ101" s="1082"/>
      <c r="FR101" s="1082"/>
      <c r="FS101" s="1082"/>
      <c r="FT101" s="1082"/>
      <c r="FU101" s="1082"/>
      <c r="FV101" s="1109"/>
      <c r="FW101" s="1082"/>
      <c r="FX101" s="1082"/>
      <c r="FY101" s="1082"/>
      <c r="FZ101" s="1082"/>
      <c r="GA101" s="1082"/>
      <c r="GB101" s="1082"/>
      <c r="GC101" s="1085"/>
      <c r="GD101" s="1082"/>
      <c r="GE101" s="1082"/>
      <c r="GF101" s="1082"/>
      <c r="GG101" s="1082"/>
      <c r="GH101" s="1082"/>
      <c r="GI101" s="1082"/>
      <c r="GJ101" s="1082"/>
      <c r="GK101" s="1085"/>
      <c r="GL101" s="1082"/>
      <c r="GM101" s="1082"/>
      <c r="GN101" s="1082"/>
      <c r="GO101" s="1082"/>
      <c r="GP101" s="1082"/>
      <c r="GQ101" s="1082"/>
      <c r="GR101" s="1082"/>
      <c r="GS101" s="1085"/>
      <c r="GT101" s="1082"/>
      <c r="GU101" s="1082"/>
      <c r="GV101" s="1082"/>
      <c r="GW101" s="1082"/>
      <c r="GX101" s="1082"/>
      <c r="GY101" s="1082"/>
      <c r="GZ101" s="1082"/>
      <c r="HA101" s="1085"/>
      <c r="HB101" s="1082"/>
      <c r="HC101" s="1082"/>
      <c r="HD101" s="1082"/>
      <c r="HE101" s="1082"/>
      <c r="HF101" s="1082"/>
      <c r="HG101" s="1082"/>
      <c r="HH101" s="1082"/>
      <c r="HI101" s="1085"/>
      <c r="HJ101" s="1082"/>
      <c r="HK101" s="1082"/>
      <c r="HL101" s="1082"/>
      <c r="HM101" s="1082"/>
      <c r="HN101" s="1082"/>
      <c r="HO101" s="1082"/>
      <c r="HP101" s="1082"/>
      <c r="HQ101" s="1085"/>
      <c r="HR101" s="1082"/>
      <c r="HS101" s="1082"/>
      <c r="HT101" s="1082"/>
      <c r="HU101" s="1082"/>
      <c r="HV101" s="1082"/>
      <c r="HW101" s="1082"/>
      <c r="HX101" s="1082"/>
      <c r="HY101" s="1082"/>
      <c r="HZ101" s="1082"/>
      <c r="IA101" s="1082"/>
      <c r="IB101" s="1082"/>
      <c r="IC101" s="1082"/>
      <c r="ID101" s="1082"/>
      <c r="IE101" s="1082"/>
      <c r="IF101" s="1082"/>
      <c r="IG101" s="1085"/>
      <c r="IH101" s="1082"/>
      <c r="II101" s="1082"/>
      <c r="IJ101" s="1082"/>
      <c r="IK101" s="1082"/>
      <c r="IL101" s="1082"/>
      <c r="IM101" s="1082"/>
      <c r="IN101" s="1082"/>
      <c r="IO101" s="1085"/>
      <c r="IP101" s="1082"/>
      <c r="IQ101" s="1082"/>
      <c r="IR101" s="1082"/>
      <c r="IS101" s="1082"/>
      <c r="IT101" s="1082"/>
      <c r="IU101" s="1082"/>
      <c r="IV101" s="1082"/>
      <c r="IW101" s="1082"/>
      <c r="IX101" s="1094"/>
      <c r="IY101" s="1049"/>
      <c r="IZ101" s="1049"/>
      <c r="JA101" s="1049"/>
      <c r="JB101" s="1094"/>
      <c r="JC101" s="1094"/>
      <c r="JD101" s="1094"/>
      <c r="JE101" s="1094"/>
      <c r="JF101" s="1094"/>
      <c r="JG101" s="1094"/>
      <c r="JH101" s="1094"/>
      <c r="JI101" s="1094"/>
      <c r="JJ101" s="1094"/>
      <c r="JK101" s="1094"/>
      <c r="JL101" s="1094"/>
      <c r="JM101" s="1082"/>
      <c r="JN101" s="1082"/>
      <c r="JO101" s="1082"/>
      <c r="JP101" s="1094"/>
      <c r="JQ101" s="1035"/>
      <c r="JR101" s="1035"/>
      <c r="JU101" s="1037"/>
      <c r="JW101" s="1035"/>
      <c r="JX101" s="1035"/>
      <c r="JY101" s="1035"/>
      <c r="KP101" s="967"/>
      <c r="LV101" s="1179"/>
    </row>
    <row r="102" hidden="1" outlineLevel="1" spans="1:334">
      <c r="A102" s="967" t="s">
        <v>63</v>
      </c>
      <c r="AX102" s="1059"/>
      <c r="BE102" s="1060"/>
      <c r="BN102" s="1059"/>
      <c r="BU102" s="1060"/>
      <c r="BV102" s="1059"/>
      <c r="CC102" s="1060"/>
      <c r="CD102" s="1059"/>
      <c r="CJ102" s="1061"/>
      <c r="CK102" s="1060"/>
      <c r="CL102" s="1059"/>
      <c r="CS102" s="1060"/>
      <c r="CT102" s="967"/>
      <c r="CU102" s="967"/>
      <c r="CV102" s="967"/>
      <c r="CW102" s="967"/>
      <c r="CX102" s="967"/>
      <c r="CY102" s="967"/>
      <c r="CZ102" s="967"/>
      <c r="DA102" s="967"/>
      <c r="DB102" s="1181"/>
      <c r="DC102" s="1181"/>
      <c r="DD102" s="1181"/>
      <c r="DE102" s="1181"/>
      <c r="DF102" s="1181"/>
      <c r="DG102" s="1181"/>
      <c r="DH102" s="1181"/>
      <c r="DI102" s="1182"/>
      <c r="DJ102" s="1181">
        <f t="shared" ref="DJ102:DQ102" si="582">DJ101-DJ103</f>
        <v>0.0716901408450705</v>
      </c>
      <c r="DK102" s="1181">
        <f t="shared" si="582"/>
        <v>0.0870992366412213</v>
      </c>
      <c r="DL102" s="1181">
        <f t="shared" si="582"/>
        <v>0.0781356712504253</v>
      </c>
      <c r="DM102" s="1181">
        <f t="shared" si="582"/>
        <v>0.0191160220994475</v>
      </c>
      <c r="DN102" s="1181">
        <f t="shared" si="582"/>
        <v>0.0513691220161869</v>
      </c>
      <c r="DO102" s="1181">
        <f t="shared" si="582"/>
        <v>-0.109520295202952</v>
      </c>
      <c r="DP102" s="1181">
        <f t="shared" si="582"/>
        <v>-0.0431721078212814</v>
      </c>
      <c r="DQ102" s="1182">
        <f t="shared" si="582"/>
        <v>0.0225021204410518</v>
      </c>
      <c r="DR102" s="1082">
        <f t="shared" ref="DR102:DW102" si="583">DR101-DR103</f>
        <v>-0.0202389078498294</v>
      </c>
      <c r="DS102" s="1094">
        <f t="shared" si="583"/>
        <v>0.08984375</v>
      </c>
      <c r="DT102" s="1094">
        <f t="shared" si="583"/>
        <v>0.0240054644808743</v>
      </c>
      <c r="DU102" s="1094">
        <f t="shared" si="583"/>
        <v>0.125173633440514</v>
      </c>
      <c r="DV102" s="1094">
        <f t="shared" si="583"/>
        <v>0.0601627906976745</v>
      </c>
      <c r="DW102" s="1094">
        <f t="shared" si="583"/>
        <v>0.123403041825095</v>
      </c>
      <c r="DX102" s="1082">
        <f>((DW102*DO100)+(DU102*DM100))/DP100</f>
        <v>0.124362369337979</v>
      </c>
      <c r="DY102" s="1093">
        <v>0.075</v>
      </c>
      <c r="DZ102" s="1082">
        <f t="shared" ref="DZ102:EG102" si="584">DZ101-DZ103</f>
        <v>0.0158620689655173</v>
      </c>
      <c r="EA102" s="1094">
        <f t="shared" si="584"/>
        <v>-0.101128279883382</v>
      </c>
      <c r="EB102" s="1082">
        <f t="shared" si="584"/>
        <v>-0.0475308056872037</v>
      </c>
      <c r="EC102" s="1094">
        <f t="shared" si="584"/>
        <v>-0.1225</v>
      </c>
      <c r="ED102" s="1094">
        <f t="shared" si="584"/>
        <v>-0.0789835430784123</v>
      </c>
      <c r="EE102" s="1094">
        <f t="shared" si="584"/>
        <v>-0.0409090909090908</v>
      </c>
      <c r="EF102" s="1094">
        <f t="shared" si="584"/>
        <v>-0.0832619680851064</v>
      </c>
      <c r="EG102" s="1093">
        <f t="shared" si="584"/>
        <v>-0.0669314079422383</v>
      </c>
      <c r="EH102" s="1082">
        <f>+EH101-EH103</f>
        <v>0.0121621621621621</v>
      </c>
      <c r="EI102" s="1094">
        <f>EI101-EI103</f>
        <v>0.100578947368421</v>
      </c>
      <c r="EJ102" s="1082">
        <f>EJ101-EJ103</f>
        <v>0.0586666666666666</v>
      </c>
      <c r="EK102" s="1082">
        <f>EK101-EK103</f>
        <v>0.110127562642369</v>
      </c>
      <c r="EL102" s="1082">
        <f>EL101-EL103</f>
        <v>0.076789739276703</v>
      </c>
      <c r="EM102" s="1082">
        <f>EM101-EM103</f>
        <v>0.0429019607843137</v>
      </c>
      <c r="EN102" s="1082">
        <f>EN484</f>
        <v>0.0350166144157649</v>
      </c>
      <c r="EO102" s="1093">
        <f t="shared" ref="EO102:ET102" si="585">EO101-EO103</f>
        <v>0.0679837194740138</v>
      </c>
      <c r="EP102" s="1082">
        <f t="shared" si="585"/>
        <v>-0.0240232558139536</v>
      </c>
      <c r="EQ102" s="1082">
        <f t="shared" si="585"/>
        <v>-0.0360143737166324</v>
      </c>
      <c r="ER102" s="1094">
        <f t="shared" si="585"/>
        <v>-0.0304482006543075</v>
      </c>
      <c r="ES102" s="1082">
        <f t="shared" si="585"/>
        <v>-0.0837838312829525</v>
      </c>
      <c r="ET102" s="1094">
        <f t="shared" si="585"/>
        <v>-0.0508358008075371</v>
      </c>
      <c r="EU102" s="1082">
        <f t="shared" ref="EU102:FB102" si="586">EU101-EU103</f>
        <v>-0.104830802603037</v>
      </c>
      <c r="EV102" s="1094">
        <f t="shared" si="586"/>
        <v>-0.0932038834951456</v>
      </c>
      <c r="EW102" s="1085">
        <f t="shared" si="586"/>
        <v>-0.0636204417051875</v>
      </c>
      <c r="EX102" s="1082">
        <f t="shared" si="586"/>
        <v>-0.17338337182448</v>
      </c>
      <c r="EY102" s="1082">
        <f t="shared" si="586"/>
        <v>-0.158957264957265</v>
      </c>
      <c r="EZ102" s="1082">
        <f t="shared" si="586"/>
        <v>-0.16589012208657</v>
      </c>
      <c r="FA102" s="1091">
        <f t="shared" si="586"/>
        <v>-0.108787193973635</v>
      </c>
      <c r="FB102" s="1082">
        <f t="shared" si="586"/>
        <v>-0.144715782122905</v>
      </c>
      <c r="FC102" s="1082">
        <f>FC484*1</f>
        <v>-0.353323243018761</v>
      </c>
      <c r="FD102" s="1082">
        <f>FD101-FD103</f>
        <v>-0.222559253045989</v>
      </c>
      <c r="FE102" s="1085">
        <f>FE101-FE103</f>
        <v>-0.195601023376276</v>
      </c>
      <c r="FF102" s="1082">
        <f>FF484</f>
        <v>-0.476572456379016</v>
      </c>
      <c r="FG102" s="1082">
        <f>FG484</f>
        <v>-0.217157453975562</v>
      </c>
      <c r="FH102" s="1082">
        <f>FH101-FH103</f>
        <v>-0.349077449867297</v>
      </c>
      <c r="FI102" s="1082">
        <f>FI484</f>
        <v>-0.461952128721216</v>
      </c>
      <c r="FJ102" s="1082">
        <f>FJ101-FJ103</f>
        <v>-0.391835275234477</v>
      </c>
      <c r="FK102" s="1082">
        <f>FK101-FK103</f>
        <v>0.062194303780823</v>
      </c>
      <c r="FL102" s="1082">
        <f>FL101-FL103</f>
        <v>-0.264766779787054</v>
      </c>
      <c r="FM102" s="1085">
        <f>FM101-FM103</f>
        <v>-0.307400157213075</v>
      </c>
      <c r="FN102" s="1082"/>
      <c r="FO102" s="1082"/>
      <c r="FP102" s="1082"/>
      <c r="FQ102" s="1082"/>
      <c r="FR102" s="1082"/>
      <c r="FS102" s="1082"/>
      <c r="FT102" s="1082"/>
      <c r="FU102" s="1082"/>
      <c r="FV102" s="1109"/>
      <c r="FW102" s="1082"/>
      <c r="FX102" s="1082"/>
      <c r="FY102" s="1082"/>
      <c r="FZ102" s="1082"/>
      <c r="GA102" s="1082"/>
      <c r="GB102" s="1082"/>
      <c r="GC102" s="1085"/>
      <c r="GD102" s="1082"/>
      <c r="GE102" s="1082"/>
      <c r="GF102" s="1082"/>
      <c r="GG102" s="1082"/>
      <c r="GH102" s="1082"/>
      <c r="GI102" s="1082"/>
      <c r="GJ102" s="1082"/>
      <c r="GK102" s="1085"/>
      <c r="GL102" s="1082"/>
      <c r="GM102" s="1082"/>
      <c r="GN102" s="1082"/>
      <c r="GO102" s="1082"/>
      <c r="GP102" s="1082"/>
      <c r="GQ102" s="1082"/>
      <c r="GR102" s="1082"/>
      <c r="GS102" s="1085"/>
      <c r="GT102" s="1082"/>
      <c r="GU102" s="1082"/>
      <c r="GV102" s="1082"/>
      <c r="GW102" s="1082"/>
      <c r="GX102" s="1082"/>
      <c r="GY102" s="1082"/>
      <c r="GZ102" s="1082"/>
      <c r="HA102" s="1085"/>
      <c r="HB102" s="1082"/>
      <c r="HC102" s="1082"/>
      <c r="HD102" s="1082"/>
      <c r="HE102" s="1082"/>
      <c r="HF102" s="1082"/>
      <c r="HG102" s="1082"/>
      <c r="HH102" s="1082"/>
      <c r="HI102" s="1085"/>
      <c r="HJ102" s="1082"/>
      <c r="HK102" s="1082"/>
      <c r="HL102" s="1082"/>
      <c r="HM102" s="1082"/>
      <c r="HN102" s="1082"/>
      <c r="HO102" s="1082"/>
      <c r="HP102" s="1082"/>
      <c r="HQ102" s="1085"/>
      <c r="HR102" s="1082"/>
      <c r="HS102" s="1082"/>
      <c r="HT102" s="1082"/>
      <c r="HU102" s="1082"/>
      <c r="HV102" s="1082"/>
      <c r="HW102" s="1082"/>
      <c r="HX102" s="1082"/>
      <c r="HY102" s="1082"/>
      <c r="HZ102" s="1082"/>
      <c r="IA102" s="1082"/>
      <c r="IB102" s="1082"/>
      <c r="IC102" s="1082"/>
      <c r="ID102" s="1082"/>
      <c r="IE102" s="1082"/>
      <c r="IF102" s="1082"/>
      <c r="IG102" s="1085"/>
      <c r="IH102" s="1082"/>
      <c r="II102" s="1082"/>
      <c r="IJ102" s="1082"/>
      <c r="IK102" s="1082"/>
      <c r="IL102" s="1082"/>
      <c r="IM102" s="1082"/>
      <c r="IN102" s="1082"/>
      <c r="IO102" s="1085"/>
      <c r="IP102" s="1082"/>
      <c r="IQ102" s="1082"/>
      <c r="IR102" s="1082"/>
      <c r="IS102" s="1082"/>
      <c r="IT102" s="1082"/>
      <c r="IU102" s="1082"/>
      <c r="IV102" s="1082"/>
      <c r="IW102" s="1082"/>
      <c r="IX102" s="1094"/>
      <c r="IY102" s="1049"/>
      <c r="IZ102" s="1183"/>
      <c r="JA102" s="1183"/>
      <c r="JB102" s="790"/>
      <c r="JC102" s="790"/>
      <c r="JD102" s="790"/>
      <c r="JE102" s="790"/>
      <c r="JF102" s="790"/>
      <c r="JG102" s="790"/>
      <c r="JH102" s="790"/>
      <c r="JI102" s="790"/>
      <c r="JJ102" s="790"/>
      <c r="JK102" s="790"/>
      <c r="JL102" s="790"/>
      <c r="JM102" s="765"/>
      <c r="JN102" s="765"/>
      <c r="JO102" s="765"/>
      <c r="JP102" s="790"/>
      <c r="JQ102" s="1035"/>
      <c r="JR102" s="967"/>
      <c r="JS102" s="1035"/>
      <c r="JT102" s="1094"/>
      <c r="JU102" s="1094"/>
      <c r="JV102" s="1094"/>
      <c r="JW102" s="1035"/>
      <c r="JX102" s="1035"/>
      <c r="JY102" s="1035"/>
      <c r="KP102" s="967"/>
      <c r="LV102" s="967"/>
    </row>
    <row r="103" hidden="1" outlineLevel="1" spans="1:334">
      <c r="A103" s="967" t="s">
        <v>65</v>
      </c>
      <c r="AX103" s="1059"/>
      <c r="BE103" s="1060"/>
      <c r="BN103" s="1059"/>
      <c r="BU103" s="1060"/>
      <c r="BV103" s="1059"/>
      <c r="CC103" s="1060"/>
      <c r="CD103" s="1059"/>
      <c r="CJ103" s="1061"/>
      <c r="CK103" s="1060"/>
      <c r="CL103" s="1059"/>
      <c r="CS103" s="1060"/>
      <c r="CT103" s="967"/>
      <c r="CU103" s="967"/>
      <c r="CV103" s="967"/>
      <c r="CW103" s="967"/>
      <c r="CX103" s="967"/>
      <c r="CY103" s="967"/>
      <c r="CZ103" s="967"/>
      <c r="DA103" s="967"/>
      <c r="DB103" s="1181"/>
      <c r="DC103" s="1181"/>
      <c r="DD103" s="1181"/>
      <c r="DE103" s="1181"/>
      <c r="DF103" s="1181"/>
      <c r="DG103" s="1181"/>
      <c r="DH103" s="1181"/>
      <c r="DI103" s="1182"/>
      <c r="DJ103" s="1181">
        <v>-0.04</v>
      </c>
      <c r="DK103" s="1181">
        <v>-0.11</v>
      </c>
      <c r="DL103" s="1181">
        <f>(DJ103*DJ100+DK103*DK100)/DL100</f>
        <v>-0.0726411657559199</v>
      </c>
      <c r="DM103" s="1181">
        <v>-0.16</v>
      </c>
      <c r="DN103" s="1181">
        <f>(DL103*DL100+DM103*DM100)/DN100</f>
        <v>-0.104232558139535</v>
      </c>
      <c r="DO103" s="1181">
        <v>0.08</v>
      </c>
      <c r="DP103" s="1181">
        <f>(DM103*DM100+DO103*DO100)/DP100</f>
        <v>-0.0500348432055749</v>
      </c>
      <c r="DQ103" s="1182">
        <v>-0.07</v>
      </c>
      <c r="DR103" s="1094">
        <v>0.01</v>
      </c>
      <c r="DS103" s="1094">
        <v>0.25</v>
      </c>
      <c r="DT103" s="1094">
        <v>0.129</v>
      </c>
      <c r="DU103" s="1094">
        <v>0.161</v>
      </c>
      <c r="DV103" s="1094">
        <v>0.141</v>
      </c>
      <c r="DW103" s="1094">
        <v>0.215</v>
      </c>
      <c r="DX103" s="1094">
        <f>(DU103*DU100+DW103*DW100)/DX100</f>
        <v>0.186276595744681</v>
      </c>
      <c r="DY103" s="1093">
        <f>DY101-DY102</f>
        <v>0.158303650934995</v>
      </c>
      <c r="DZ103" s="1083">
        <v>0.26</v>
      </c>
      <c r="EA103" s="1083">
        <v>0.209</v>
      </c>
      <c r="EB103" s="1083">
        <f>(DR100*DZ103+DS100*EA103)/DT100</f>
        <v>0.232364928909953</v>
      </c>
      <c r="EC103" s="1083">
        <v>0.22</v>
      </c>
      <c r="ED103" s="1083">
        <v>0.23</v>
      </c>
      <c r="EE103" s="1083">
        <v>0.2</v>
      </c>
      <c r="EF103" s="1083">
        <f>(-EB103*DT100+EG103*DY100)/DX100</f>
        <v>0.209591755319149</v>
      </c>
      <c r="EG103" s="1093">
        <v>0.22</v>
      </c>
      <c r="EH103" s="1083">
        <v>0.15</v>
      </c>
      <c r="EI103" s="1083">
        <v>0.181</v>
      </c>
      <c r="EJ103" s="1083">
        <v>0.164</v>
      </c>
      <c r="EK103" s="1083">
        <v>0.186</v>
      </c>
      <c r="EL103" s="1083">
        <v>0.173</v>
      </c>
      <c r="EM103" s="1082">
        <v>0.087</v>
      </c>
      <c r="EN103" s="1083">
        <f>(EC100*EK103+EE100*EM103)/EF100</f>
        <v>0.138311688311688</v>
      </c>
      <c r="EO103" s="1093">
        <f>(DZ100*EH103+EA100*EI103+EC100*EK103+EE100*EM103)/EG100</f>
        <v>0.151177207263619</v>
      </c>
      <c r="EP103" s="1083">
        <v>0.031</v>
      </c>
      <c r="EQ103" s="1083">
        <v>-0.003</v>
      </c>
      <c r="ER103" s="1094">
        <v>0.013</v>
      </c>
      <c r="ES103" s="1083">
        <v>0.017</v>
      </c>
      <c r="ET103" s="1094">
        <f>(EH100*EP103+EI100*EQ103+EK100*ES103)/EL100</f>
        <v>0.0144966352624495</v>
      </c>
      <c r="EU103" s="1083">
        <v>0.107</v>
      </c>
      <c r="EV103" s="1094">
        <f>(EK100*ES103+EM100*EU103)/EN100</f>
        <v>0.0572815533980583</v>
      </c>
      <c r="EW103" s="1084">
        <f>(EH100*EP103+EI100*EQ103+EK100*ES103+EM100*EU103)/EO100</f>
        <v>0.0363990755007704</v>
      </c>
      <c r="EX103" s="1083">
        <v>0.275</v>
      </c>
      <c r="EY103" s="1083">
        <v>0.144</v>
      </c>
      <c r="EZ103" s="1083">
        <f>(EP100*EX103+EQ100*EY103)/ER100</f>
        <v>0.206955604883463</v>
      </c>
      <c r="FA103" s="1095">
        <v>0.186</v>
      </c>
      <c r="FB103" s="1083">
        <f>(EP100*EX103+EQ100*EY103+ES100*FA103)/ET100</f>
        <v>0.199185055865922</v>
      </c>
      <c r="FC103" s="1096">
        <v>0.1</v>
      </c>
      <c r="FD103" s="1083">
        <f>(ES100*FA103+EU100*FC103)/EV100</f>
        <v>0.145987915407855</v>
      </c>
      <c r="FE103" s="1084">
        <f>(EP100*EX103+EQ100*EY103+ES100*FA103+EU100*FC103)/EW100</f>
        <v>0.174991024287223</v>
      </c>
      <c r="FF103" s="1099">
        <v>-0.1</v>
      </c>
      <c r="FG103" s="1099">
        <v>0</v>
      </c>
      <c r="FH103" s="1083">
        <f>(EX100*FF103+EY100*FG103)/EZ100</f>
        <v>-0.0508528784648188</v>
      </c>
      <c r="FI103" s="1099">
        <v>0.025</v>
      </c>
      <c r="FJ103" s="1083">
        <f>(EX100*FF103+EY100*FG103+FA100*FI103)/FB100</f>
        <v>-0.0221192052980132</v>
      </c>
      <c r="FK103" s="1083">
        <f>(FE100*FM103-FB100*FJ103)/FC100</f>
        <v>-0.172041486190028</v>
      </c>
      <c r="FL103" s="1083">
        <f>(FA100*FI103+FC100*FK103)/FD100</f>
        <v>-0.0491275563460704</v>
      </c>
      <c r="FM103" s="1084">
        <v>-0.05</v>
      </c>
      <c r="FN103" s="1083"/>
      <c r="FO103" s="1083"/>
      <c r="FP103" s="1083"/>
      <c r="FQ103" s="1083"/>
      <c r="FR103" s="1083"/>
      <c r="FS103" s="1083"/>
      <c r="FT103" s="1083"/>
      <c r="FU103" s="1083"/>
      <c r="FV103" s="1115"/>
      <c r="FW103" s="1083"/>
      <c r="FX103" s="1083"/>
      <c r="FY103" s="1083"/>
      <c r="FZ103" s="1083"/>
      <c r="GA103" s="1083"/>
      <c r="GB103" s="1083"/>
      <c r="GC103" s="1084"/>
      <c r="GD103" s="1083"/>
      <c r="GE103" s="1083"/>
      <c r="GF103" s="1083"/>
      <c r="GG103" s="1083"/>
      <c r="GH103" s="1083"/>
      <c r="GI103" s="1083"/>
      <c r="GJ103" s="1083"/>
      <c r="GK103" s="1084"/>
      <c r="GL103" s="1083"/>
      <c r="GM103" s="1083"/>
      <c r="GN103" s="1083"/>
      <c r="GO103" s="1083"/>
      <c r="GP103" s="1083"/>
      <c r="GQ103" s="1083"/>
      <c r="GR103" s="1083"/>
      <c r="GS103" s="1084"/>
      <c r="GT103" s="1083"/>
      <c r="GU103" s="1083"/>
      <c r="GV103" s="1083"/>
      <c r="GW103" s="1083"/>
      <c r="GX103" s="1083"/>
      <c r="GY103" s="1083"/>
      <c r="GZ103" s="1083"/>
      <c r="HA103" s="1084"/>
      <c r="HB103" s="1083"/>
      <c r="HC103" s="1083"/>
      <c r="HD103" s="1083"/>
      <c r="HE103" s="1083"/>
      <c r="HF103" s="1083"/>
      <c r="HG103" s="1083"/>
      <c r="HH103" s="1083"/>
      <c r="HI103" s="1084"/>
      <c r="HJ103" s="1083"/>
      <c r="HK103" s="1083"/>
      <c r="HL103" s="1083"/>
      <c r="HM103" s="1083"/>
      <c r="HN103" s="1083"/>
      <c r="HO103" s="1083"/>
      <c r="HP103" s="1083"/>
      <c r="HQ103" s="1084"/>
      <c r="HR103" s="1083"/>
      <c r="HS103" s="1083"/>
      <c r="HT103" s="1083"/>
      <c r="HU103" s="1083"/>
      <c r="HV103" s="1083"/>
      <c r="HW103" s="1083"/>
      <c r="HX103" s="1083"/>
      <c r="HY103" s="1083"/>
      <c r="HZ103" s="1083"/>
      <c r="IA103" s="1083"/>
      <c r="IB103" s="1083"/>
      <c r="IC103" s="1083"/>
      <c r="ID103" s="1083"/>
      <c r="IE103" s="1083"/>
      <c r="IF103" s="1083"/>
      <c r="IG103" s="1084"/>
      <c r="IH103" s="1083"/>
      <c r="II103" s="1083"/>
      <c r="IJ103" s="1083"/>
      <c r="IK103" s="1083"/>
      <c r="IL103" s="1083"/>
      <c r="IM103" s="1083"/>
      <c r="IN103" s="1083"/>
      <c r="IO103" s="1084"/>
      <c r="IP103" s="1083"/>
      <c r="IQ103" s="1083"/>
      <c r="IR103" s="1083"/>
      <c r="IS103" s="1083"/>
      <c r="IT103" s="1083"/>
      <c r="IU103" s="1083"/>
      <c r="IV103" s="1083"/>
      <c r="IW103" s="1083"/>
      <c r="IX103" s="1184"/>
      <c r="IY103" s="1049"/>
      <c r="IZ103" s="1183"/>
      <c r="JA103" s="1183"/>
      <c r="JB103" s="790"/>
      <c r="JC103" s="790"/>
      <c r="JD103" s="790"/>
      <c r="JE103" s="790"/>
      <c r="JF103" s="790"/>
      <c r="JG103" s="790"/>
      <c r="JH103" s="790"/>
      <c r="JI103" s="790"/>
      <c r="JJ103" s="790"/>
      <c r="JK103" s="790"/>
      <c r="JL103" s="790"/>
      <c r="JM103" s="765"/>
      <c r="JN103" s="765"/>
      <c r="JO103" s="765"/>
      <c r="JP103" s="790"/>
      <c r="JQ103" s="1035"/>
      <c r="JR103" s="1035"/>
      <c r="JU103" s="1037"/>
      <c r="JW103" s="1035"/>
      <c r="JX103" s="1035"/>
      <c r="JY103" s="1035"/>
      <c r="KP103" s="967"/>
      <c r="LV103" s="1179"/>
    </row>
    <row r="104" hidden="1" outlineLevel="1" spans="1:334">
      <c r="A104" s="967" t="s">
        <v>66</v>
      </c>
      <c r="AX104" s="1059"/>
      <c r="BE104" s="1060"/>
      <c r="BN104" s="1059"/>
      <c r="BU104" s="1060"/>
      <c r="BV104" s="1059"/>
      <c r="CC104" s="1060"/>
      <c r="CD104" s="1059"/>
      <c r="CJ104" s="1061"/>
      <c r="CK104" s="1060"/>
      <c r="CL104" s="1059"/>
      <c r="CS104" s="1060"/>
      <c r="CT104" s="967"/>
      <c r="CU104" s="967"/>
      <c r="CV104" s="967"/>
      <c r="CW104" s="967"/>
      <c r="CX104" s="967"/>
      <c r="CY104" s="967"/>
      <c r="CZ104" s="967"/>
      <c r="DA104" s="967"/>
      <c r="DB104" s="1181">
        <f t="shared" ref="DB104:DJ104" si="587">DB100/DB$127</f>
        <v>0.108396946564885</v>
      </c>
      <c r="DC104" s="1181">
        <f t="shared" si="587"/>
        <v>0.103927013090044</v>
      </c>
      <c r="DD104" s="1181">
        <f t="shared" si="587"/>
        <v>0.106205018478895</v>
      </c>
      <c r="DE104" s="1181">
        <f t="shared" si="587"/>
        <v>0.117456197274497</v>
      </c>
      <c r="DF104" s="1181">
        <f t="shared" si="587"/>
        <v>0.110421987109327</v>
      </c>
      <c r="DG104" s="1181">
        <f t="shared" si="587"/>
        <v>0.105201863354037</v>
      </c>
      <c r="DH104" s="1181">
        <f t="shared" si="587"/>
        <v>0.111876988335101</v>
      </c>
      <c r="DI104" s="1182">
        <f t="shared" si="587"/>
        <v>0.109176775627373</v>
      </c>
      <c r="DJ104" s="1181">
        <f t="shared" si="587"/>
        <v>0.113653995345229</v>
      </c>
      <c r="DK104" s="1181">
        <f t="shared" ref="DK104:DY104" si="588">DK100/DK$127</f>
        <v>0.104192104192104</v>
      </c>
      <c r="DL104" s="1181">
        <f t="shared" si="588"/>
        <v>0.109036742800397</v>
      </c>
      <c r="DM104" s="1181">
        <f t="shared" si="588"/>
        <v>0.107649705780547</v>
      </c>
      <c r="DN104" s="1181">
        <f t="shared" si="588"/>
        <v>0.108531044926805</v>
      </c>
      <c r="DO104" s="1181">
        <f t="shared" si="588"/>
        <v>0.107041107041107</v>
      </c>
      <c r="DP104" s="1181">
        <f t="shared" si="588"/>
        <v>0.107369996258885</v>
      </c>
      <c r="DQ104" s="1182">
        <f t="shared" si="588"/>
        <v>0.108178402851363</v>
      </c>
      <c r="DR104" s="1094">
        <f t="shared" si="588"/>
        <v>0.108451757666417</v>
      </c>
      <c r="DS104" s="1094">
        <f t="shared" si="588"/>
        <v>0.117586561535824</v>
      </c>
      <c r="DT104" s="1094">
        <f t="shared" si="588"/>
        <v>0.113237924865832</v>
      </c>
      <c r="DU104" s="1094">
        <f t="shared" si="588"/>
        <v>0.115340253748558</v>
      </c>
      <c r="DV104" s="1094">
        <f t="shared" si="588"/>
        <v>0.114042835062928</v>
      </c>
      <c r="DW104" s="1094">
        <f t="shared" si="588"/>
        <v>0.120054570259209</v>
      </c>
      <c r="DX104" s="1094">
        <f t="shared" si="588"/>
        <v>0.1175</v>
      </c>
      <c r="DY104" s="1093">
        <f t="shared" si="588"/>
        <v>0.115512927439533</v>
      </c>
      <c r="DZ104" s="1181">
        <f t="shared" ref="DZ104:EI104" si="589">DZ100/DZ$127</f>
        <v>0.113046135044302</v>
      </c>
      <c r="EA104" s="1181">
        <f t="shared" si="589"/>
        <v>0.12402088772846</v>
      </c>
      <c r="EB104" s="1181">
        <f t="shared" si="589"/>
        <v>0.118352532744201</v>
      </c>
      <c r="EC104" s="1181">
        <f t="shared" si="589"/>
        <v>0.117254273504274</v>
      </c>
      <c r="ED104" s="1181">
        <f t="shared" si="589"/>
        <v>0.117944648348378</v>
      </c>
      <c r="EE104" s="1181">
        <f t="shared" si="589"/>
        <v>0.125887071891392</v>
      </c>
      <c r="EF104" s="1181">
        <f t="shared" si="589"/>
        <v>0.121259842519685</v>
      </c>
      <c r="EG104" s="1182">
        <f t="shared" si="589"/>
        <v>0.119867897620656</v>
      </c>
      <c r="EH104" s="1181">
        <f t="shared" si="589"/>
        <v>0.11244769874477</v>
      </c>
      <c r="EI104" s="1181">
        <f t="shared" si="589"/>
        <v>0.138470287176571</v>
      </c>
      <c r="EJ104" s="1181">
        <f t="shared" ref="EJ104:EO104" si="590">EJ100/EJ$127</f>
        <v>0.124914861735458</v>
      </c>
      <c r="EK104" s="1181">
        <f t="shared" si="590"/>
        <v>0.136352743829379</v>
      </c>
      <c r="EL104" s="1181">
        <f t="shared" si="590"/>
        <v>0.129060274448497</v>
      </c>
      <c r="EM104" s="1181">
        <f t="shared" si="590"/>
        <v>0.136835856337192</v>
      </c>
      <c r="EN104" s="1181">
        <f t="shared" si="590"/>
        <v>0.136568549456378</v>
      </c>
      <c r="EO104" s="1182">
        <f t="shared" si="590"/>
        <v>0.130820399113082</v>
      </c>
      <c r="EP104" s="1181">
        <f t="shared" ref="EP104:EW104" si="591">EP100/EP$127</f>
        <v>0.11543588376433</v>
      </c>
      <c r="EQ104" s="1181">
        <f t="shared" si="591"/>
        <v>0.138338752586462</v>
      </c>
      <c r="ER104" s="1181">
        <f t="shared" si="591"/>
        <v>0.126296607793664</v>
      </c>
      <c r="ES104" s="1181">
        <f t="shared" si="591"/>
        <v>0.136890951276102</v>
      </c>
      <c r="ET104" s="1181">
        <f t="shared" si="591"/>
        <v>0.130028148551712</v>
      </c>
      <c r="EU104" s="1181">
        <f t="shared" si="591"/>
        <v>0.132796780684105</v>
      </c>
      <c r="EV104" s="1181">
        <f t="shared" si="591"/>
        <v>0.134955150856211</v>
      </c>
      <c r="EW104" s="1182">
        <f t="shared" si="591"/>
        <v>0.130692796025393</v>
      </c>
      <c r="EX104" s="1181">
        <f t="shared" ref="EX104:FE104" si="592">EX100/EX$127</f>
        <v>0.137068965517241</v>
      </c>
      <c r="EY104" s="1181">
        <f t="shared" si="592"/>
        <v>0.135111371629543</v>
      </c>
      <c r="EZ104" s="1181">
        <f t="shared" si="592"/>
        <v>0.136099825885084</v>
      </c>
      <c r="FA104" s="1185">
        <f t="shared" si="592"/>
        <v>0.140713407134071</v>
      </c>
      <c r="FB104" s="1181">
        <f t="shared" si="592"/>
        <v>0.137811444738523</v>
      </c>
      <c r="FC104" s="1181">
        <f t="shared" si="592"/>
        <v>0.0984380200388424</v>
      </c>
      <c r="FD104" s="1181">
        <f t="shared" si="592"/>
        <v>0.121141246546569</v>
      </c>
      <c r="FE104" s="1182">
        <f t="shared" si="592"/>
        <v>0.12827019948456</v>
      </c>
      <c r="FF104" s="1181">
        <f t="shared" ref="FF104:FM104" si="593">FF100/FF$127</f>
        <v>0.0544095098462403</v>
      </c>
      <c r="FG104" s="1181">
        <f t="shared" si="593"/>
        <v>0.0968419355986863</v>
      </c>
      <c r="FH104" s="1181">
        <f t="shared" si="593"/>
        <v>0.0756669835336232</v>
      </c>
      <c r="FI104" s="1181">
        <f t="shared" si="593"/>
        <v>0.0759978611932502</v>
      </c>
      <c r="FJ104" s="1181">
        <f t="shared" si="593"/>
        <v>0.0757870700495943</v>
      </c>
      <c r="FK104" s="1181">
        <f t="shared" si="593"/>
        <v>0.0694026876260422</v>
      </c>
      <c r="FL104" s="1181">
        <f t="shared" si="593"/>
        <v>0.0726292041287161</v>
      </c>
      <c r="FM104" s="1182">
        <f t="shared" si="593"/>
        <v>0.0740326687783368</v>
      </c>
      <c r="FN104" s="1181"/>
      <c r="FO104" s="1181"/>
      <c r="FP104" s="1181"/>
      <c r="FQ104" s="1181"/>
      <c r="FR104" s="1181"/>
      <c r="FS104" s="1181"/>
      <c r="FT104" s="1181"/>
      <c r="FU104" s="1181"/>
      <c r="FV104" s="1186"/>
      <c r="FW104" s="1181"/>
      <c r="FX104" s="1181"/>
      <c r="FY104" s="1181"/>
      <c r="FZ104" s="1181"/>
      <c r="GA104" s="1181"/>
      <c r="GB104" s="1181"/>
      <c r="GC104" s="1182"/>
      <c r="GD104" s="1181"/>
      <c r="GE104" s="1181"/>
      <c r="GF104" s="1181"/>
      <c r="GG104" s="1181"/>
      <c r="GH104" s="1181"/>
      <c r="GI104" s="1181"/>
      <c r="GJ104" s="1181"/>
      <c r="GK104" s="1182"/>
      <c r="GL104" s="1181"/>
      <c r="GM104" s="1181"/>
      <c r="GN104" s="1181"/>
      <c r="GO104" s="1181"/>
      <c r="GP104" s="1181"/>
      <c r="GQ104" s="1181"/>
      <c r="GR104" s="1181"/>
      <c r="GS104" s="1182"/>
      <c r="GT104" s="1181"/>
      <c r="GU104" s="1181"/>
      <c r="GV104" s="1181"/>
      <c r="GW104" s="1181"/>
      <c r="GX104" s="1181"/>
      <c r="GY104" s="1181"/>
      <c r="GZ104" s="1181"/>
      <c r="HA104" s="1182"/>
      <c r="HB104" s="1181"/>
      <c r="HC104" s="1181"/>
      <c r="HD104" s="1181"/>
      <c r="HE104" s="1181"/>
      <c r="HF104" s="1181"/>
      <c r="HG104" s="1181"/>
      <c r="HH104" s="1181"/>
      <c r="HI104" s="1182"/>
      <c r="HJ104" s="1181"/>
      <c r="HK104" s="1181"/>
      <c r="HL104" s="1181"/>
      <c r="HM104" s="1181"/>
      <c r="HN104" s="1181"/>
      <c r="HO104" s="1181"/>
      <c r="HP104" s="1181"/>
      <c r="HQ104" s="1182"/>
      <c r="HR104" s="1181"/>
      <c r="HS104" s="1181"/>
      <c r="HT104" s="1181"/>
      <c r="HU104" s="1181"/>
      <c r="HV104" s="1181"/>
      <c r="HW104" s="1181"/>
      <c r="HX104" s="1181"/>
      <c r="HY104" s="1181"/>
      <c r="HZ104" s="1181"/>
      <c r="IA104" s="1181"/>
      <c r="IB104" s="1181"/>
      <c r="IC104" s="1181"/>
      <c r="ID104" s="1181"/>
      <c r="IE104" s="1181"/>
      <c r="IF104" s="1181"/>
      <c r="IG104" s="1182"/>
      <c r="IH104" s="1181"/>
      <c r="II104" s="1181"/>
      <c r="IJ104" s="1181"/>
      <c r="IK104" s="1181"/>
      <c r="IL104" s="1181"/>
      <c r="IM104" s="1181"/>
      <c r="IN104" s="1181"/>
      <c r="IO104" s="1182"/>
      <c r="IP104" s="1181"/>
      <c r="IQ104" s="1181"/>
      <c r="IR104" s="1181"/>
      <c r="IS104" s="1181"/>
      <c r="IT104" s="1181"/>
      <c r="IU104" s="1181"/>
      <c r="IV104" s="1181"/>
      <c r="IW104" s="1181"/>
      <c r="IX104" s="1094"/>
      <c r="IY104" s="1049"/>
      <c r="IZ104" s="1049"/>
      <c r="JA104" s="1049"/>
      <c r="JB104" s="1094"/>
      <c r="JC104" s="1094"/>
      <c r="JD104" s="1094"/>
      <c r="JE104" s="1094"/>
      <c r="JF104" s="1094"/>
      <c r="JG104" s="1094"/>
      <c r="JH104" s="1094"/>
      <c r="JI104" s="1094"/>
      <c r="JJ104" s="1094"/>
      <c r="JK104" s="1094"/>
      <c r="JL104" s="1094"/>
      <c r="JM104" s="1082"/>
      <c r="JN104" s="1082"/>
      <c r="JO104" s="1082"/>
      <c r="JP104" s="1094"/>
      <c r="JQ104" s="1035"/>
      <c r="JR104" s="967"/>
      <c r="JS104" s="1035"/>
      <c r="JT104" s="1094"/>
      <c r="JU104" s="1094"/>
      <c r="JV104" s="1094"/>
      <c r="JW104" s="1035"/>
      <c r="JX104" s="1035"/>
      <c r="JY104" s="1035"/>
      <c r="KP104" s="1025"/>
      <c r="LV104" s="1179"/>
    </row>
    <row r="105" hidden="1" outlineLevel="1" spans="1:334">
      <c r="A105" s="1180" t="s">
        <v>101</v>
      </c>
      <c r="AX105" s="1059"/>
      <c r="BE105" s="1060"/>
      <c r="BN105" s="1059"/>
      <c r="BU105" s="1060"/>
      <c r="BV105" s="1059"/>
      <c r="CC105" s="1060"/>
      <c r="CD105" s="1059"/>
      <c r="CJ105" s="1061"/>
      <c r="CK105" s="1060"/>
      <c r="CL105" s="1059"/>
      <c r="CS105" s="1060"/>
      <c r="CT105" s="1180"/>
      <c r="CU105" s="1180"/>
      <c r="CV105" s="1180"/>
      <c r="CW105" s="1180"/>
      <c r="CX105" s="1180"/>
      <c r="CY105" s="1180"/>
      <c r="CZ105" s="1180"/>
      <c r="DA105" s="1180"/>
      <c r="DB105" s="1071">
        <v>578</v>
      </c>
      <c r="DC105" s="1071">
        <v>582</v>
      </c>
      <c r="DD105" s="1071">
        <f>DB105+DC105</f>
        <v>1160</v>
      </c>
      <c r="DE105" s="1071">
        <v>711</v>
      </c>
      <c r="DF105" s="1071">
        <f>DE105+DD105</f>
        <v>1871</v>
      </c>
      <c r="DG105" s="1071">
        <v>649</v>
      </c>
      <c r="DH105" s="1071">
        <f>DE105+DG105</f>
        <v>1360</v>
      </c>
      <c r="DI105" s="1072">
        <f>SUM(DB105,DC105,DE105,DG105)</f>
        <v>2520</v>
      </c>
      <c r="DJ105" s="1071">
        <v>532</v>
      </c>
      <c r="DK105" s="1071">
        <v>636</v>
      </c>
      <c r="DL105" s="1071">
        <f>DJ105+DK105</f>
        <v>1168</v>
      </c>
      <c r="DM105" s="1071">
        <v>649</v>
      </c>
      <c r="DN105" s="1071">
        <f>DM105+DL105</f>
        <v>1817</v>
      </c>
      <c r="DO105" s="1071">
        <v>543</v>
      </c>
      <c r="DP105" s="1071">
        <f>DM105+DO105</f>
        <v>1192</v>
      </c>
      <c r="DQ105" s="1072">
        <f>SUM(DJ105,DK105,DM105,DO105)</f>
        <v>2360</v>
      </c>
      <c r="DR105" s="1079">
        <v>585</v>
      </c>
      <c r="DS105" s="1079">
        <v>727</v>
      </c>
      <c r="DT105" s="1071">
        <f>DR105+DS105</f>
        <v>1312</v>
      </c>
      <c r="DU105" s="1079">
        <v>828</v>
      </c>
      <c r="DV105" s="1071">
        <f>DU105+DT105</f>
        <v>2140</v>
      </c>
      <c r="DW105" s="1079">
        <f>DY105-DV105</f>
        <v>665</v>
      </c>
      <c r="DX105" s="1071">
        <f>DU105+DW105</f>
        <v>1493</v>
      </c>
      <c r="DY105" s="1072">
        <v>2805</v>
      </c>
      <c r="DZ105" s="1079">
        <v>751</v>
      </c>
      <c r="EA105" s="1079">
        <v>700.5</v>
      </c>
      <c r="EB105" s="1071">
        <f>DZ105+EA105</f>
        <v>1451.5</v>
      </c>
      <c r="EC105" s="1071">
        <f>ED105-EB105</f>
        <v>854.5</v>
      </c>
      <c r="ED105" s="1071">
        <v>2306</v>
      </c>
      <c r="EE105" s="1079">
        <f>+EF105-EC105</f>
        <v>796</v>
      </c>
      <c r="EF105" s="1071">
        <f>+EG105-EB105</f>
        <v>1650.5</v>
      </c>
      <c r="EG105" s="1072">
        <v>3102</v>
      </c>
      <c r="EH105" s="1079">
        <v>869</v>
      </c>
      <c r="EI105" s="1071">
        <v>859</v>
      </c>
      <c r="EJ105" s="1071">
        <f>EH105+EI105</f>
        <v>1728</v>
      </c>
      <c r="EK105" s="1071">
        <f>EL105-EJ105</f>
        <v>913</v>
      </c>
      <c r="EL105" s="1071">
        <v>2641</v>
      </c>
      <c r="EM105" s="1071">
        <v>769</v>
      </c>
      <c r="EN105" s="1071">
        <f>EK105+EM105</f>
        <v>1682</v>
      </c>
      <c r="EO105" s="1072">
        <f>EH105+EI105+EK105+EM105</f>
        <v>3410</v>
      </c>
      <c r="EP105" s="1071">
        <v>890</v>
      </c>
      <c r="EQ105" s="1071">
        <f>ER105-EP105</f>
        <v>826</v>
      </c>
      <c r="ER105" s="1071">
        <v>1716</v>
      </c>
      <c r="ES105" s="1071">
        <v>819</v>
      </c>
      <c r="ET105" s="1071">
        <f>ER105+ES105</f>
        <v>2535</v>
      </c>
      <c r="EU105" s="1071">
        <v>828</v>
      </c>
      <c r="EV105" s="1071">
        <f>ES105+EU105</f>
        <v>1647</v>
      </c>
      <c r="EW105" s="1072">
        <f>EP105+EQ105+ES105+EU105</f>
        <v>3363</v>
      </c>
      <c r="EX105" s="1071">
        <f>680-(50%*EX842)</f>
        <v>653.5</v>
      </c>
      <c r="EY105" s="1071">
        <f>790-(50%*EX842)</f>
        <v>763.5</v>
      </c>
      <c r="EZ105" s="1071">
        <f>EX105+EY105</f>
        <v>1417</v>
      </c>
      <c r="FA105" s="1098">
        <f>801-(50%*EX842)</f>
        <v>774.5</v>
      </c>
      <c r="FB105" s="1071">
        <f>EZ105+FA105</f>
        <v>2191.5</v>
      </c>
      <c r="FC105" s="1071">
        <f>EU105*(1+FC106)</f>
        <v>844.601856854698</v>
      </c>
      <c r="FD105" s="1071">
        <f>FA105+FC105</f>
        <v>1619.1018568547</v>
      </c>
      <c r="FE105" s="1072">
        <f>EX105+EY105+FA105+FC105</f>
        <v>3036.1018568547</v>
      </c>
      <c r="FF105" s="1071">
        <f>EX105*(1+FF106)</f>
        <v>769.661956550864</v>
      </c>
      <c r="FG105" s="1071">
        <f>EY105*(1+FG106)</f>
        <v>911.104870013511</v>
      </c>
      <c r="FH105" s="1071">
        <f>FF105+FG105</f>
        <v>1680.76682656437</v>
      </c>
      <c r="FI105" s="1071">
        <f>FA105*(1+FI106)</f>
        <v>899.404603937675</v>
      </c>
      <c r="FJ105" s="1071">
        <f>FH105+FI105</f>
        <v>2580.17143050205</v>
      </c>
      <c r="FK105" s="1071">
        <f>FM105-FJ105</f>
        <v>1000.82856949795</v>
      </c>
      <c r="FL105" s="1071">
        <f>FI105+FK105</f>
        <v>1900.23317343562</v>
      </c>
      <c r="FM105" s="1072">
        <v>3581</v>
      </c>
      <c r="FN105" s="1071"/>
      <c r="FO105" s="1071"/>
      <c r="FP105" s="1071"/>
      <c r="FQ105" s="1071"/>
      <c r="FR105" s="1071"/>
      <c r="FS105" s="1071"/>
      <c r="FT105" s="1071"/>
      <c r="FU105" s="1071"/>
      <c r="FV105" s="1177"/>
      <c r="FW105" s="1071"/>
      <c r="FX105" s="1071"/>
      <c r="FY105" s="1071"/>
      <c r="FZ105" s="1071"/>
      <c r="GA105" s="1071"/>
      <c r="GB105" s="1071"/>
      <c r="GC105" s="1072"/>
      <c r="GD105" s="1071"/>
      <c r="GE105" s="1071"/>
      <c r="GF105" s="1071"/>
      <c r="GG105" s="1071"/>
      <c r="GH105" s="1071"/>
      <c r="GI105" s="1071"/>
      <c r="GJ105" s="1071"/>
      <c r="GK105" s="1072"/>
      <c r="GL105" s="1071"/>
      <c r="GM105" s="1071"/>
      <c r="GN105" s="1071"/>
      <c r="GO105" s="1071"/>
      <c r="GP105" s="1071"/>
      <c r="GQ105" s="1071"/>
      <c r="GR105" s="1071"/>
      <c r="GS105" s="1072"/>
      <c r="GT105" s="1071"/>
      <c r="GU105" s="1071"/>
      <c r="GV105" s="1071"/>
      <c r="GW105" s="1071"/>
      <c r="GX105" s="1071"/>
      <c r="GY105" s="1071"/>
      <c r="GZ105" s="1071"/>
      <c r="HA105" s="1072"/>
      <c r="HB105" s="1071"/>
      <c r="HC105" s="1071"/>
      <c r="HD105" s="1071"/>
      <c r="HE105" s="1071"/>
      <c r="HF105" s="1071"/>
      <c r="HG105" s="1071"/>
      <c r="HH105" s="1071"/>
      <c r="HI105" s="1072"/>
      <c r="HJ105" s="1071"/>
      <c r="HK105" s="1071"/>
      <c r="HL105" s="1071"/>
      <c r="HM105" s="1071"/>
      <c r="HN105" s="1071"/>
      <c r="HO105" s="1071"/>
      <c r="HP105" s="1071"/>
      <c r="HQ105" s="1072"/>
      <c r="HR105" s="1071"/>
      <c r="HS105" s="1071"/>
      <c r="HT105" s="1071"/>
      <c r="HU105" s="1071"/>
      <c r="HV105" s="1071"/>
      <c r="HW105" s="1071"/>
      <c r="HX105" s="1071"/>
      <c r="HY105" s="1071"/>
      <c r="HZ105" s="1071"/>
      <c r="IA105" s="1071"/>
      <c r="IB105" s="1071"/>
      <c r="IC105" s="1071"/>
      <c r="ID105" s="1071"/>
      <c r="IE105" s="1071"/>
      <c r="IF105" s="1071"/>
      <c r="IG105" s="1072"/>
      <c r="IH105" s="1071"/>
      <c r="II105" s="1071"/>
      <c r="IJ105" s="1071"/>
      <c r="IK105" s="1071"/>
      <c r="IL105" s="1071"/>
      <c r="IM105" s="1071"/>
      <c r="IN105" s="1071"/>
      <c r="IO105" s="1072"/>
      <c r="IP105" s="1071"/>
      <c r="IQ105" s="1071"/>
      <c r="IR105" s="1071"/>
      <c r="IS105" s="1071"/>
      <c r="IT105" s="1071"/>
      <c r="IU105" s="1071"/>
      <c r="IV105" s="1071"/>
      <c r="IW105" s="1071"/>
      <c r="IX105" s="969"/>
      <c r="IY105" s="1049"/>
      <c r="IZ105" s="1049"/>
      <c r="JA105" s="1049"/>
      <c r="JB105" s="1094"/>
      <c r="JC105" s="1094"/>
      <c r="JD105" s="1094"/>
      <c r="JE105" s="1094"/>
      <c r="JF105" s="1094"/>
      <c r="JG105" s="1094"/>
      <c r="JH105" s="1094"/>
      <c r="JI105" s="1094"/>
      <c r="JJ105" s="1094"/>
      <c r="JK105" s="1094"/>
      <c r="JL105" s="1094"/>
      <c r="JM105" s="1082"/>
      <c r="JN105" s="1082"/>
      <c r="JO105" s="1082"/>
      <c r="JP105" s="1094"/>
      <c r="JQ105" s="1035"/>
      <c r="JR105" s="969"/>
      <c r="JS105" s="1079"/>
      <c r="JT105" s="1079"/>
      <c r="JU105" s="1079"/>
      <c r="JV105" s="1079"/>
      <c r="JW105" s="1035"/>
      <c r="JX105" s="1035"/>
      <c r="JY105" s="1035"/>
      <c r="KP105" s="967"/>
      <c r="LV105" s="967"/>
    </row>
    <row r="106" hidden="1" outlineLevel="1" spans="1:334">
      <c r="A106" s="967" t="s">
        <v>61</v>
      </c>
      <c r="AX106" s="1059"/>
      <c r="BE106" s="1060"/>
      <c r="BN106" s="1059"/>
      <c r="BU106" s="1060"/>
      <c r="BV106" s="1059"/>
      <c r="CC106" s="1060"/>
      <c r="CD106" s="1059"/>
      <c r="CJ106" s="1061"/>
      <c r="CK106" s="1060"/>
      <c r="CL106" s="1059"/>
      <c r="CS106" s="1060"/>
      <c r="CT106" s="967"/>
      <c r="CU106" s="967"/>
      <c r="CV106" s="967"/>
      <c r="CW106" s="967"/>
      <c r="CX106" s="967"/>
      <c r="CY106" s="967"/>
      <c r="CZ106" s="967"/>
      <c r="DA106" s="967"/>
      <c r="DB106" s="1181"/>
      <c r="DC106" s="1181"/>
      <c r="DD106" s="1181"/>
      <c r="DE106" s="1181"/>
      <c r="DF106" s="1181"/>
      <c r="DG106" s="1181"/>
      <c r="DH106" s="1181"/>
      <c r="DI106" s="1182"/>
      <c r="DJ106" s="1181">
        <f t="shared" ref="DJ106:DW106" si="594">DJ105/DB105-1</f>
        <v>-0.0795847750865052</v>
      </c>
      <c r="DK106" s="1181">
        <f t="shared" si="594"/>
        <v>0.0927835051546391</v>
      </c>
      <c r="DL106" s="1181">
        <f t="shared" si="594"/>
        <v>0.00689655172413794</v>
      </c>
      <c r="DM106" s="1181">
        <f t="shared" si="594"/>
        <v>-0.0872011251758087</v>
      </c>
      <c r="DN106" s="1181">
        <f t="shared" si="594"/>
        <v>-0.0288615713522181</v>
      </c>
      <c r="DO106" s="1181">
        <f t="shared" si="594"/>
        <v>-0.163328197226502</v>
      </c>
      <c r="DP106" s="1181">
        <f t="shared" si="594"/>
        <v>-0.123529411764706</v>
      </c>
      <c r="DQ106" s="1182">
        <f t="shared" si="594"/>
        <v>-0.0634920634920635</v>
      </c>
      <c r="DR106" s="1082">
        <f t="shared" si="594"/>
        <v>0.0996240601503759</v>
      </c>
      <c r="DS106" s="1094">
        <f t="shared" si="594"/>
        <v>0.143081761006289</v>
      </c>
      <c r="DT106" s="1094">
        <f t="shared" si="594"/>
        <v>0.123287671232877</v>
      </c>
      <c r="DU106" s="1094">
        <f t="shared" si="594"/>
        <v>0.275808936825886</v>
      </c>
      <c r="DV106" s="1094">
        <f t="shared" si="594"/>
        <v>0.177765547605944</v>
      </c>
      <c r="DW106" s="1094">
        <f t="shared" si="594"/>
        <v>0.224677716390424</v>
      </c>
      <c r="DX106" s="1094">
        <f>DX107+DX108</f>
        <v>0.252749653303785</v>
      </c>
      <c r="DY106" s="1093">
        <f t="shared" ref="DY106:EG106" si="595">DY105/DQ105-1</f>
        <v>0.188559322033898</v>
      </c>
      <c r="DZ106" s="1082">
        <f t="shared" si="595"/>
        <v>0.283760683760684</v>
      </c>
      <c r="EA106" s="1082">
        <f t="shared" si="595"/>
        <v>-0.0364511691884457</v>
      </c>
      <c r="EB106" s="1094">
        <f t="shared" si="595"/>
        <v>0.106326219512195</v>
      </c>
      <c r="EC106" s="1094">
        <f t="shared" si="595"/>
        <v>0.0320048309178744</v>
      </c>
      <c r="ED106" s="1094">
        <f t="shared" si="595"/>
        <v>0.077570093457944</v>
      </c>
      <c r="EE106" s="1094">
        <f t="shared" si="595"/>
        <v>0.196992481203007</v>
      </c>
      <c r="EF106" s="1094">
        <f t="shared" si="595"/>
        <v>0.10549229738781</v>
      </c>
      <c r="EG106" s="1093">
        <f t="shared" si="595"/>
        <v>0.105882352941177</v>
      </c>
      <c r="EH106" s="1082">
        <f>+EH105/DZ105-1</f>
        <v>0.157123834886818</v>
      </c>
      <c r="EI106" s="1082">
        <f t="shared" ref="EI106:EO106" si="596">EI105/EA105-1</f>
        <v>0.226266952177016</v>
      </c>
      <c r="EJ106" s="1082">
        <f t="shared" si="596"/>
        <v>0.190492593868412</v>
      </c>
      <c r="EK106" s="1082">
        <f t="shared" si="596"/>
        <v>0.0684610883557637</v>
      </c>
      <c r="EL106" s="1082">
        <f t="shared" si="596"/>
        <v>0.145273200346921</v>
      </c>
      <c r="EM106" s="1082">
        <f t="shared" si="596"/>
        <v>-0.0339195979899497</v>
      </c>
      <c r="EN106" s="1082">
        <f t="shared" si="596"/>
        <v>0.0190851257194788</v>
      </c>
      <c r="EO106" s="1085">
        <f t="shared" si="596"/>
        <v>0.0992907801418439</v>
      </c>
      <c r="EP106" s="1082">
        <f t="shared" ref="EP106:FB106" si="597">EP105/EH105-1</f>
        <v>0.0241657077100115</v>
      </c>
      <c r="EQ106" s="1082">
        <f t="shared" si="597"/>
        <v>-0.0384167636786962</v>
      </c>
      <c r="ER106" s="1082">
        <f t="shared" si="597"/>
        <v>-0.00694444444444442</v>
      </c>
      <c r="ES106" s="1082">
        <f t="shared" si="597"/>
        <v>-0.102957283680175</v>
      </c>
      <c r="ET106" s="1082">
        <f t="shared" si="597"/>
        <v>-0.0401363120030291</v>
      </c>
      <c r="EU106" s="1082">
        <f t="shared" si="597"/>
        <v>0.0767230169050714</v>
      </c>
      <c r="EV106" s="1082">
        <f t="shared" si="597"/>
        <v>-0.0208085612366231</v>
      </c>
      <c r="EW106" s="1085">
        <f t="shared" si="597"/>
        <v>-0.0137829912023461</v>
      </c>
      <c r="EX106" s="1082">
        <f t="shared" si="597"/>
        <v>-0.265730337078652</v>
      </c>
      <c r="EY106" s="1082">
        <f t="shared" si="597"/>
        <v>-0.0756658595641646</v>
      </c>
      <c r="EZ106" s="1082">
        <f t="shared" si="597"/>
        <v>-0.174242424242424</v>
      </c>
      <c r="FA106" s="1082">
        <f t="shared" si="597"/>
        <v>-0.0543345543345544</v>
      </c>
      <c r="FB106" s="1082">
        <f t="shared" si="597"/>
        <v>-0.135502958579882</v>
      </c>
      <c r="FC106" s="1082">
        <f>FC107+FC108</f>
        <v>0.0200505517568818</v>
      </c>
      <c r="FD106" s="1082">
        <f>FD105/EV105-1</f>
        <v>-0.0169387632940508</v>
      </c>
      <c r="FE106" s="1085">
        <f>FE105/EW105-1</f>
        <v>-0.0972043244559327</v>
      </c>
      <c r="FF106" s="1082">
        <f>FF107+FF108</f>
        <v>0.177753567790151</v>
      </c>
      <c r="FG106" s="1082">
        <f>FG107+FG108</f>
        <v>0.193326614294055</v>
      </c>
      <c r="FH106" s="1082">
        <f>FH105/EZ105-1</f>
        <v>0.186144549445572</v>
      </c>
      <c r="FI106" s="1082">
        <f>FI107+FI108</f>
        <v>0.161271276872402</v>
      </c>
      <c r="FJ106" s="1082">
        <f>FJ105/FB105-1</f>
        <v>0.177354063655966</v>
      </c>
      <c r="FK106" s="1082">
        <f>FK105/FC105-1</f>
        <v>0.184970837294913</v>
      </c>
      <c r="FL106" s="1082">
        <f>FL105/FD105-1</f>
        <v>0.173634114117476</v>
      </c>
      <c r="FM106" s="1085">
        <f>FM105/FE105-1</f>
        <v>0.179472945518962</v>
      </c>
      <c r="FN106" s="1082"/>
      <c r="FO106" s="1082"/>
      <c r="FP106" s="1082"/>
      <c r="FQ106" s="1082"/>
      <c r="FR106" s="1082"/>
      <c r="FS106" s="1082"/>
      <c r="FT106" s="1082"/>
      <c r="FU106" s="1082"/>
      <c r="FV106" s="1109"/>
      <c r="FW106" s="1082"/>
      <c r="FX106" s="1082"/>
      <c r="FY106" s="1082"/>
      <c r="FZ106" s="1082"/>
      <c r="GA106" s="1082"/>
      <c r="GB106" s="1082"/>
      <c r="GC106" s="1085"/>
      <c r="GD106" s="1082"/>
      <c r="GE106" s="1082"/>
      <c r="GF106" s="1082"/>
      <c r="GG106" s="1082"/>
      <c r="GH106" s="1082"/>
      <c r="GI106" s="1082"/>
      <c r="GJ106" s="1082"/>
      <c r="GK106" s="1085"/>
      <c r="GL106" s="1082"/>
      <c r="GM106" s="1082"/>
      <c r="GN106" s="1082"/>
      <c r="GO106" s="1082"/>
      <c r="GP106" s="1082"/>
      <c r="GQ106" s="1082"/>
      <c r="GR106" s="1082"/>
      <c r="GS106" s="1085"/>
      <c r="GT106" s="1082"/>
      <c r="GU106" s="1082"/>
      <c r="GV106" s="1082"/>
      <c r="GW106" s="1082"/>
      <c r="GX106" s="1082"/>
      <c r="GY106" s="1082"/>
      <c r="GZ106" s="1082"/>
      <c r="HA106" s="1085"/>
      <c r="HB106" s="1082"/>
      <c r="HC106" s="1082"/>
      <c r="HD106" s="1082"/>
      <c r="HE106" s="1082"/>
      <c r="HF106" s="1082"/>
      <c r="HG106" s="1082"/>
      <c r="HH106" s="1082"/>
      <c r="HI106" s="1085"/>
      <c r="HJ106" s="1082"/>
      <c r="HK106" s="1082"/>
      <c r="HL106" s="1082"/>
      <c r="HM106" s="1082"/>
      <c r="HN106" s="1082"/>
      <c r="HO106" s="1082"/>
      <c r="HP106" s="1082"/>
      <c r="HQ106" s="1085"/>
      <c r="HR106" s="1082"/>
      <c r="HS106" s="1082"/>
      <c r="HT106" s="1082"/>
      <c r="HU106" s="1082"/>
      <c r="HV106" s="1082"/>
      <c r="HW106" s="1082"/>
      <c r="HX106" s="1082"/>
      <c r="HY106" s="1082"/>
      <c r="HZ106" s="1082"/>
      <c r="IA106" s="1082"/>
      <c r="IB106" s="1082"/>
      <c r="IC106" s="1082"/>
      <c r="ID106" s="1082"/>
      <c r="IE106" s="1082"/>
      <c r="IF106" s="1082"/>
      <c r="IG106" s="1085"/>
      <c r="IH106" s="1082"/>
      <c r="II106" s="1082"/>
      <c r="IJ106" s="1082"/>
      <c r="IK106" s="1082"/>
      <c r="IL106" s="1082"/>
      <c r="IM106" s="1082"/>
      <c r="IN106" s="1082"/>
      <c r="IO106" s="1085"/>
      <c r="IP106" s="1082"/>
      <c r="IQ106" s="1082"/>
      <c r="IR106" s="1082"/>
      <c r="IS106" s="1082"/>
      <c r="IT106" s="1082"/>
      <c r="IU106" s="1082"/>
      <c r="IV106" s="1082"/>
      <c r="IW106" s="1082"/>
      <c r="IX106" s="1187"/>
      <c r="IY106" s="1049"/>
      <c r="IZ106" s="1049"/>
      <c r="JA106" s="1049"/>
      <c r="JB106" s="1094"/>
      <c r="JC106" s="1094"/>
      <c r="JD106" s="1094"/>
      <c r="JE106" s="1094"/>
      <c r="JF106" s="1094"/>
      <c r="JG106" s="1094"/>
      <c r="JH106" s="1094"/>
      <c r="JI106" s="1094"/>
      <c r="JJ106" s="1094"/>
      <c r="JK106" s="1094"/>
      <c r="JL106" s="1094"/>
      <c r="JM106" s="1082"/>
      <c r="JN106" s="1082"/>
      <c r="JO106" s="1082"/>
      <c r="JP106" s="1094"/>
      <c r="JQ106" s="1035"/>
      <c r="JR106" s="967"/>
      <c r="JS106" s="1035"/>
      <c r="JT106" s="1094"/>
      <c r="JU106" s="1094"/>
      <c r="JV106" s="1094"/>
      <c r="JW106" s="1035"/>
      <c r="JX106" s="1035"/>
      <c r="JY106" s="1035"/>
      <c r="KP106" s="967"/>
      <c r="LV106" s="1179"/>
    </row>
    <row r="107" hidden="1" outlineLevel="1" spans="1:334">
      <c r="A107" s="967" t="s">
        <v>63</v>
      </c>
      <c r="AX107" s="1059"/>
      <c r="BE107" s="1060"/>
      <c r="BN107" s="1059"/>
      <c r="BU107" s="1060"/>
      <c r="BV107" s="1059"/>
      <c r="CC107" s="1060"/>
      <c r="CD107" s="1059"/>
      <c r="CJ107" s="1061"/>
      <c r="CK107" s="1060"/>
      <c r="CL107" s="1059"/>
      <c r="CS107" s="1060"/>
      <c r="CT107" s="967"/>
      <c r="CU107" s="967"/>
      <c r="CV107" s="967"/>
      <c r="CW107" s="967"/>
      <c r="CX107" s="967"/>
      <c r="CY107" s="967"/>
      <c r="CZ107" s="967"/>
      <c r="DA107" s="967"/>
      <c r="DB107" s="1181"/>
      <c r="DC107" s="1181"/>
      <c r="DD107" s="1181"/>
      <c r="DE107" s="1181"/>
      <c r="DF107" s="1181"/>
      <c r="DG107" s="1181"/>
      <c r="DH107" s="1181"/>
      <c r="DI107" s="1182"/>
      <c r="DJ107" s="1181">
        <f t="shared" ref="DJ107:DQ107" si="598">DJ106-DJ108</f>
        <v>0.100415224913495</v>
      </c>
      <c r="DK107" s="1181">
        <f t="shared" si="598"/>
        <v>0.122783505154639</v>
      </c>
      <c r="DL107" s="1181">
        <f t="shared" si="598"/>
        <v>0.105218469532357</v>
      </c>
      <c r="DM107" s="1181">
        <f t="shared" si="598"/>
        <v>0.0427988748241913</v>
      </c>
      <c r="DN107" s="1181">
        <f t="shared" si="598"/>
        <v>0.0807751925443146</v>
      </c>
      <c r="DO107" s="1181">
        <f t="shared" si="598"/>
        <v>-0.0933281972265023</v>
      </c>
      <c r="DP107" s="1181">
        <f t="shared" si="598"/>
        <v>-0.0208616265298066</v>
      </c>
      <c r="DQ107" s="1182">
        <f t="shared" si="598"/>
        <v>0.0365079365079365</v>
      </c>
      <c r="DR107" s="1082">
        <f t="shared" ref="DR107:DW107" si="599">DR106-DR108</f>
        <v>-0.0403759398496241</v>
      </c>
      <c r="DS107" s="1094">
        <f t="shared" si="599"/>
        <v>0.0670817610062893</v>
      </c>
      <c r="DT107" s="1094">
        <f t="shared" si="599"/>
        <v>0.0182876712328768</v>
      </c>
      <c r="DU107" s="1094">
        <f t="shared" si="599"/>
        <v>0.137808936825886</v>
      </c>
      <c r="DV107" s="1094">
        <f t="shared" si="599"/>
        <v>0.0597655476059439</v>
      </c>
      <c r="DW107" s="1094">
        <f t="shared" si="599"/>
        <v>0.109677716390424</v>
      </c>
      <c r="DX107" s="1082">
        <f>((DW107*DO105)+(DU107*DM105))/DP105</f>
        <v>0.124994127516779</v>
      </c>
      <c r="DY107" s="1093">
        <v>0.071</v>
      </c>
      <c r="DZ107" s="1082">
        <f t="shared" ref="DZ107:EG107" si="600">DZ106-DZ108</f>
        <v>0.0237606837606839</v>
      </c>
      <c r="EA107" s="1094">
        <f t="shared" si="600"/>
        <v>-0.0904511691884457</v>
      </c>
      <c r="EB107" s="1082">
        <f t="shared" si="600"/>
        <v>-0.0395259146341462</v>
      </c>
      <c r="EC107" s="1094">
        <f t="shared" si="600"/>
        <v>-0.0979951690821256</v>
      </c>
      <c r="ED107" s="1094">
        <f t="shared" si="600"/>
        <v>-0.062429906542056</v>
      </c>
      <c r="EE107" s="1094">
        <f t="shared" si="600"/>
        <v>0.00699248120300749</v>
      </c>
      <c r="EF107" s="1094">
        <f t="shared" si="600"/>
        <v>-0.0481527126590756</v>
      </c>
      <c r="EG107" s="1093">
        <f t="shared" si="600"/>
        <v>-0.0441176470588235</v>
      </c>
      <c r="EH107" s="1082">
        <f>+EH106-EH108</f>
        <v>0.0471238348868176</v>
      </c>
      <c r="EI107" s="1094">
        <f>EI106-EI108</f>
        <v>0.128266952177016</v>
      </c>
      <c r="EJ107" s="1082">
        <f>EJ106-EJ108</f>
        <v>0.0854925938684119</v>
      </c>
      <c r="EK107" s="1082">
        <f>EK106-EK108</f>
        <v>0.115461088355764</v>
      </c>
      <c r="EL107" s="1082">
        <f>EL106-EL108</f>
        <v>0.097273200346921</v>
      </c>
      <c r="EM107" s="1082">
        <f>EM106-EM108</f>
        <v>0.0410804020100503</v>
      </c>
      <c r="EN107" s="1082">
        <f>+EN106-EN108</f>
        <v>0.0795889124507724</v>
      </c>
      <c r="EO107" s="1093">
        <f t="shared" ref="EO107:ET107" si="601">EO106-EO108</f>
        <v>0.0827216312056737</v>
      </c>
      <c r="EP107" s="1082">
        <f t="shared" si="601"/>
        <v>-0.00783429228998853</v>
      </c>
      <c r="EQ107" s="1082">
        <f t="shared" si="601"/>
        <v>-0.0184167636786962</v>
      </c>
      <c r="ER107" s="1094">
        <f t="shared" si="601"/>
        <v>-0.0129444444444444</v>
      </c>
      <c r="ES107" s="1082">
        <f t="shared" si="601"/>
        <v>-0.0559572836801752</v>
      </c>
      <c r="ET107" s="1094">
        <f t="shared" si="601"/>
        <v>-0.0279125331313896</v>
      </c>
      <c r="EU107" s="1082">
        <f t="shared" ref="EU107:FB107" si="602">EU106-EU108</f>
        <v>-0.0652769830949285</v>
      </c>
      <c r="EV107" s="1094">
        <f t="shared" si="602"/>
        <v>-0.0602181926278241</v>
      </c>
      <c r="EW107" s="1085">
        <f t="shared" si="602"/>
        <v>-0.0363387096774194</v>
      </c>
      <c r="EX107" s="1082">
        <f t="shared" si="602"/>
        <v>-0.0667303370786517</v>
      </c>
      <c r="EY107" s="1082">
        <f t="shared" si="602"/>
        <v>-0.0896658595641646</v>
      </c>
      <c r="EZ107" s="1082">
        <f t="shared" si="602"/>
        <v>-0.0777703962703962</v>
      </c>
      <c r="FA107" s="1091">
        <f t="shared" si="602"/>
        <v>-0.0403345543345544</v>
      </c>
      <c r="FB107" s="1082">
        <f t="shared" si="602"/>
        <v>-0.0656757396449704</v>
      </c>
      <c r="FC107" s="1082">
        <f>FC483-((50%*FC842)/EU105)</f>
        <v>0.0300505517568818</v>
      </c>
      <c r="FD107" s="1082">
        <f>FD106-FD108</f>
        <v>-0.00494969225579938</v>
      </c>
      <c r="FE107" s="1085">
        <f>FE106-FE108</f>
        <v>-0.0421070898439791</v>
      </c>
      <c r="FF107" s="1082">
        <f>FF483</f>
        <v>0.177753567790151</v>
      </c>
      <c r="FG107" s="1082">
        <f>FG483</f>
        <v>0.193326614294055</v>
      </c>
      <c r="FH107" s="1082">
        <f>FH106-FH108</f>
        <v>0.186144549445572</v>
      </c>
      <c r="FI107" s="1082">
        <f>FI483</f>
        <v>0.161271276872402</v>
      </c>
      <c r="FJ107" s="1082">
        <f>FJ106-FJ108</f>
        <v>0.177354063655966</v>
      </c>
      <c r="FK107" s="1082">
        <f>FK106-FK108</f>
        <v>0.0411822897223961</v>
      </c>
      <c r="FL107" s="1082">
        <f>FL106-FL108</f>
        <v>0.0986270515537241</v>
      </c>
      <c r="FM107" s="1085">
        <f>FM106-FM108</f>
        <v>0.139472945518962</v>
      </c>
      <c r="FN107" s="1082"/>
      <c r="FO107" s="1082"/>
      <c r="FP107" s="1082"/>
      <c r="FQ107" s="1082"/>
      <c r="FR107" s="1082"/>
      <c r="FS107" s="1082"/>
      <c r="FT107" s="1082"/>
      <c r="FU107" s="1082"/>
      <c r="FV107" s="1109"/>
      <c r="FW107" s="1082"/>
      <c r="FX107" s="1082"/>
      <c r="FY107" s="1082"/>
      <c r="FZ107" s="1082"/>
      <c r="GA107" s="1082"/>
      <c r="GB107" s="1082"/>
      <c r="GC107" s="1085"/>
      <c r="GD107" s="1082"/>
      <c r="GE107" s="1082"/>
      <c r="GF107" s="1082"/>
      <c r="GG107" s="1082"/>
      <c r="GH107" s="1082"/>
      <c r="GI107" s="1082"/>
      <c r="GJ107" s="1082"/>
      <c r="GK107" s="1085"/>
      <c r="GL107" s="1082"/>
      <c r="GM107" s="1082"/>
      <c r="GN107" s="1082"/>
      <c r="GO107" s="1082"/>
      <c r="GP107" s="1082"/>
      <c r="GQ107" s="1082"/>
      <c r="GR107" s="1082"/>
      <c r="GS107" s="1085"/>
      <c r="GT107" s="1082"/>
      <c r="GU107" s="1082"/>
      <c r="GV107" s="1082"/>
      <c r="GW107" s="1082"/>
      <c r="GX107" s="1082"/>
      <c r="GY107" s="1082"/>
      <c r="GZ107" s="1082"/>
      <c r="HA107" s="1085"/>
      <c r="HB107" s="1082"/>
      <c r="HC107" s="1082"/>
      <c r="HD107" s="1082"/>
      <c r="HE107" s="1082"/>
      <c r="HF107" s="1082"/>
      <c r="HG107" s="1082"/>
      <c r="HH107" s="1082"/>
      <c r="HI107" s="1085"/>
      <c r="HJ107" s="1082"/>
      <c r="HK107" s="1082"/>
      <c r="HL107" s="1082"/>
      <c r="HM107" s="1082"/>
      <c r="HN107" s="1082"/>
      <c r="HO107" s="1082"/>
      <c r="HP107" s="1082"/>
      <c r="HQ107" s="1085"/>
      <c r="HR107" s="1082"/>
      <c r="HS107" s="1082"/>
      <c r="HT107" s="1082"/>
      <c r="HU107" s="1082"/>
      <c r="HV107" s="1082"/>
      <c r="HW107" s="1082"/>
      <c r="HX107" s="1082"/>
      <c r="HY107" s="1082"/>
      <c r="HZ107" s="1082"/>
      <c r="IA107" s="1082"/>
      <c r="IB107" s="1082"/>
      <c r="IC107" s="1082"/>
      <c r="ID107" s="1082"/>
      <c r="IE107" s="1082"/>
      <c r="IF107" s="1082"/>
      <c r="IG107" s="1085"/>
      <c r="IH107" s="1082"/>
      <c r="II107" s="1082"/>
      <c r="IJ107" s="1082"/>
      <c r="IK107" s="1082"/>
      <c r="IL107" s="1082"/>
      <c r="IM107" s="1082"/>
      <c r="IN107" s="1082"/>
      <c r="IO107" s="1085"/>
      <c r="IP107" s="1082"/>
      <c r="IQ107" s="1082"/>
      <c r="IR107" s="1082"/>
      <c r="IS107" s="1082"/>
      <c r="IT107" s="1082"/>
      <c r="IU107" s="1082"/>
      <c r="IV107" s="1082"/>
      <c r="IW107" s="1082"/>
      <c r="IX107" s="1187"/>
      <c r="IY107" s="1049"/>
      <c r="IZ107" s="1183"/>
      <c r="JA107" s="1183"/>
      <c r="JB107" s="790"/>
      <c r="JC107" s="790"/>
      <c r="JD107" s="790"/>
      <c r="JE107" s="790"/>
      <c r="JF107" s="790"/>
      <c r="JG107" s="790"/>
      <c r="JH107" s="790"/>
      <c r="JI107" s="790"/>
      <c r="JJ107" s="790"/>
      <c r="JK107" s="790"/>
      <c r="JL107" s="790"/>
      <c r="JM107" s="765"/>
      <c r="JN107" s="765"/>
      <c r="JO107" s="765"/>
      <c r="JP107" s="790"/>
      <c r="JQ107" s="1035"/>
      <c r="JR107" s="1035"/>
      <c r="JS107" s="1035"/>
      <c r="JT107" s="1035"/>
      <c r="JU107" s="1035"/>
      <c r="JV107" s="1035"/>
      <c r="JW107" s="1035"/>
      <c r="JX107" s="1035"/>
      <c r="JY107" s="1035"/>
      <c r="KP107" s="967"/>
      <c r="LV107" s="1179"/>
    </row>
    <row r="108" hidden="1" outlineLevel="1" spans="1:334">
      <c r="A108" s="967" t="s">
        <v>65</v>
      </c>
      <c r="AX108" s="1059"/>
      <c r="BE108" s="1060"/>
      <c r="BN108" s="1059"/>
      <c r="BU108" s="1060"/>
      <c r="BV108" s="1059"/>
      <c r="CC108" s="1060"/>
      <c r="CD108" s="1059"/>
      <c r="CJ108" s="1061"/>
      <c r="CK108" s="1060"/>
      <c r="CL108" s="1059"/>
      <c r="CS108" s="1060"/>
      <c r="CT108" s="967"/>
      <c r="CU108" s="967"/>
      <c r="CV108" s="967"/>
      <c r="CW108" s="967"/>
      <c r="CX108" s="967"/>
      <c r="CY108" s="967"/>
      <c r="CZ108" s="967"/>
      <c r="DA108" s="967"/>
      <c r="DB108" s="1181"/>
      <c r="DC108" s="1181"/>
      <c r="DD108" s="1181"/>
      <c r="DE108" s="1181"/>
      <c r="DF108" s="1181"/>
      <c r="DG108" s="1181"/>
      <c r="DH108" s="1181"/>
      <c r="DI108" s="1182"/>
      <c r="DJ108" s="1181">
        <v>-0.18</v>
      </c>
      <c r="DK108" s="1181">
        <v>-0.03</v>
      </c>
      <c r="DL108" s="1181">
        <f>(DJ108*DJ105+DK108*DK105)/DL105</f>
        <v>-0.0983219178082192</v>
      </c>
      <c r="DM108" s="1181">
        <v>-0.13</v>
      </c>
      <c r="DN108" s="1181">
        <f>(DL108*DL105+DM108*DM105)/DN105</f>
        <v>-0.109636763896533</v>
      </c>
      <c r="DO108" s="1181">
        <v>-0.07</v>
      </c>
      <c r="DP108" s="1181">
        <f>(DM108*DM105+DO108*DO105)/DP105</f>
        <v>-0.102667785234899</v>
      </c>
      <c r="DQ108" s="1182">
        <v>-0.1</v>
      </c>
      <c r="DR108" s="1094">
        <v>0.14</v>
      </c>
      <c r="DS108" s="1094">
        <v>0.076</v>
      </c>
      <c r="DT108" s="1094">
        <v>0.105</v>
      </c>
      <c r="DU108" s="1094">
        <v>0.138</v>
      </c>
      <c r="DV108" s="1094">
        <v>0.118</v>
      </c>
      <c r="DW108" s="1094">
        <v>0.115</v>
      </c>
      <c r="DX108" s="1094">
        <f>(DU108*DU105+DW108*DW105)/DX105</f>
        <v>0.127755525787006</v>
      </c>
      <c r="DY108" s="1093">
        <f>DY106-DY107</f>
        <v>0.117559322033898</v>
      </c>
      <c r="DZ108" s="1083">
        <v>0.26</v>
      </c>
      <c r="EA108" s="1083">
        <v>0.054</v>
      </c>
      <c r="EB108" s="1083">
        <f>(DR105*DZ108+DS105*EA108)/DT105</f>
        <v>0.145852134146341</v>
      </c>
      <c r="EC108" s="1083">
        <v>0.13</v>
      </c>
      <c r="ED108" s="1083">
        <v>0.14</v>
      </c>
      <c r="EE108" s="1083">
        <v>0.19</v>
      </c>
      <c r="EF108" s="1083">
        <f>(-EB108*DT105+EG108*DY105)/DX105</f>
        <v>0.153645010046885</v>
      </c>
      <c r="EG108" s="1093">
        <v>0.15</v>
      </c>
      <c r="EH108" s="1083">
        <v>0.11</v>
      </c>
      <c r="EI108" s="1083">
        <v>0.098</v>
      </c>
      <c r="EJ108" s="1083">
        <v>0.105</v>
      </c>
      <c r="EK108" s="1083">
        <v>-0.047</v>
      </c>
      <c r="EL108" s="1083">
        <v>0.048</v>
      </c>
      <c r="EM108" s="1082">
        <v>-0.075</v>
      </c>
      <c r="EN108" s="1083">
        <f>(EC105*EK108+EE105*EM108)/EF105</f>
        <v>-0.0605037867312935</v>
      </c>
      <c r="EO108" s="1093">
        <f>(DZ105*EH108+EA105*EI108+EC105*EK108+EE105*EM108)/EG105</f>
        <v>0.0165691489361702</v>
      </c>
      <c r="EP108" s="1083">
        <v>0.032</v>
      </c>
      <c r="EQ108" s="1083">
        <v>-0.02</v>
      </c>
      <c r="ER108" s="1094">
        <v>0.006</v>
      </c>
      <c r="ES108" s="1083">
        <v>-0.047</v>
      </c>
      <c r="ET108" s="1094">
        <f>(EH105*EP108+EI105*EQ108+EK105*ES108)/EL105</f>
        <v>-0.0122237788716395</v>
      </c>
      <c r="EU108" s="1083">
        <v>0.142</v>
      </c>
      <c r="EV108" s="1094">
        <f>(EK105*ES108+EM105*EU108)/EN105</f>
        <v>0.0394096313912009</v>
      </c>
      <c r="EW108" s="1084">
        <f>(EH105*EP108+EI105*EQ108+EK105*ES108+EM105*EU108)/EO105</f>
        <v>0.0225557184750733</v>
      </c>
      <c r="EX108" s="1083">
        <v>-0.199</v>
      </c>
      <c r="EY108" s="1083">
        <v>0.014</v>
      </c>
      <c r="EZ108" s="1083">
        <f>(EP105*EX108+EQ105*EY108)/ER105</f>
        <v>-0.096472027972028</v>
      </c>
      <c r="FA108" s="1095">
        <v>-0.014</v>
      </c>
      <c r="FB108" s="1083">
        <f>(EP105*EX108+EQ105*EY108+ES105*FA108)/ET105</f>
        <v>-0.0698272189349113</v>
      </c>
      <c r="FC108" s="1096">
        <v>-0.01</v>
      </c>
      <c r="FD108" s="1083">
        <f>(ES105*FA108+EU105*FC108)/EV105</f>
        <v>-0.0119890710382514</v>
      </c>
      <c r="FE108" s="1084">
        <f>(EP105*EX108+EQ105*EY108+ES105*FA108+EU105*FC108)/EW105</f>
        <v>-0.0550972346119536</v>
      </c>
      <c r="FF108" s="1099">
        <v>0</v>
      </c>
      <c r="FG108" s="1099">
        <v>0</v>
      </c>
      <c r="FH108" s="1083">
        <f>(EX105*FF108+EY105*FG108)/EZ105</f>
        <v>0</v>
      </c>
      <c r="FI108" s="1099">
        <v>0</v>
      </c>
      <c r="FJ108" s="1083">
        <f>(EX105*FF108+EY105*FG108+FA105*FI108)/FB105</f>
        <v>0</v>
      </c>
      <c r="FK108" s="1083">
        <f>(FE105*FM108-FB105*FJ108)/FC105</f>
        <v>0.143788547572517</v>
      </c>
      <c r="FL108" s="1083">
        <f>(FA105*FI108+FC105*FK108)/FD105</f>
        <v>0.0750070625637523</v>
      </c>
      <c r="FM108" s="1084">
        <v>0.04</v>
      </c>
      <c r="FN108" s="1083"/>
      <c r="FO108" s="1083"/>
      <c r="FP108" s="1083"/>
      <c r="FQ108" s="1083"/>
      <c r="FR108" s="1083"/>
      <c r="FS108" s="1083"/>
      <c r="FT108" s="1083"/>
      <c r="FU108" s="1083"/>
      <c r="FV108" s="1115"/>
      <c r="FW108" s="1083"/>
      <c r="FX108" s="1083"/>
      <c r="FY108" s="1083"/>
      <c r="FZ108" s="1083"/>
      <c r="GA108" s="1083"/>
      <c r="GB108" s="1083"/>
      <c r="GC108" s="1084"/>
      <c r="GD108" s="1083"/>
      <c r="GE108" s="1083"/>
      <c r="GF108" s="1083"/>
      <c r="GG108" s="1083"/>
      <c r="GH108" s="1083"/>
      <c r="GI108" s="1083"/>
      <c r="GJ108" s="1083"/>
      <c r="GK108" s="1084"/>
      <c r="GL108" s="1083"/>
      <c r="GM108" s="1083"/>
      <c r="GN108" s="1083"/>
      <c r="GO108" s="1083"/>
      <c r="GP108" s="1083"/>
      <c r="GQ108" s="1083"/>
      <c r="GR108" s="1083"/>
      <c r="GS108" s="1084"/>
      <c r="GT108" s="1083"/>
      <c r="GU108" s="1083"/>
      <c r="GV108" s="1083"/>
      <c r="GW108" s="1083"/>
      <c r="GX108" s="1083"/>
      <c r="GY108" s="1083"/>
      <c r="GZ108" s="1083"/>
      <c r="HA108" s="1084"/>
      <c r="HB108" s="1083"/>
      <c r="HC108" s="1083"/>
      <c r="HD108" s="1083"/>
      <c r="HE108" s="1083"/>
      <c r="HF108" s="1083"/>
      <c r="HG108" s="1083"/>
      <c r="HH108" s="1083"/>
      <c r="HI108" s="1084"/>
      <c r="HJ108" s="1083"/>
      <c r="HK108" s="1083"/>
      <c r="HL108" s="1083"/>
      <c r="HM108" s="1083"/>
      <c r="HN108" s="1083"/>
      <c r="HO108" s="1083"/>
      <c r="HP108" s="1083"/>
      <c r="HQ108" s="1084"/>
      <c r="HR108" s="1083"/>
      <c r="HS108" s="1083"/>
      <c r="HT108" s="1083"/>
      <c r="HU108" s="1083"/>
      <c r="HV108" s="1083"/>
      <c r="HW108" s="1083"/>
      <c r="HX108" s="1083"/>
      <c r="HY108" s="1083"/>
      <c r="HZ108" s="1083"/>
      <c r="IA108" s="1083"/>
      <c r="IB108" s="1083"/>
      <c r="IC108" s="1083"/>
      <c r="ID108" s="1083"/>
      <c r="IE108" s="1083"/>
      <c r="IF108" s="1083"/>
      <c r="IG108" s="1084"/>
      <c r="IH108" s="1083"/>
      <c r="II108" s="1083"/>
      <c r="IJ108" s="1083"/>
      <c r="IK108" s="1083"/>
      <c r="IL108" s="1083"/>
      <c r="IM108" s="1083"/>
      <c r="IN108" s="1083"/>
      <c r="IO108" s="1084"/>
      <c r="IP108" s="1083"/>
      <c r="IQ108" s="1083"/>
      <c r="IR108" s="1083"/>
      <c r="IS108" s="1083"/>
      <c r="IT108" s="1083"/>
      <c r="IU108" s="1083"/>
      <c r="IV108" s="1083"/>
      <c r="IW108" s="1083"/>
      <c r="IX108" s="1188"/>
      <c r="IY108" s="1049"/>
      <c r="IZ108" s="1183"/>
      <c r="JA108" s="1183"/>
      <c r="JB108" s="790"/>
      <c r="JC108" s="790"/>
      <c r="JD108" s="790"/>
      <c r="JE108" s="790"/>
      <c r="JF108" s="790"/>
      <c r="JG108" s="790"/>
      <c r="JH108" s="790"/>
      <c r="JI108" s="790"/>
      <c r="JJ108" s="790"/>
      <c r="JK108" s="790"/>
      <c r="JL108" s="790"/>
      <c r="JM108" s="765"/>
      <c r="JN108" s="765"/>
      <c r="JO108" s="765"/>
      <c r="JP108" s="790"/>
      <c r="JQ108" s="1035"/>
      <c r="JR108" s="1035"/>
      <c r="JS108" s="1035"/>
      <c r="JT108" s="1035"/>
      <c r="JU108" s="1035"/>
      <c r="JV108" s="1035"/>
      <c r="JW108" s="1035"/>
      <c r="JX108" s="1035"/>
      <c r="JY108" s="1035"/>
      <c r="KP108" s="967"/>
      <c r="LV108" s="1180"/>
    </row>
    <row r="109" hidden="1" outlineLevel="1" spans="1:334">
      <c r="A109" s="967" t="s">
        <v>66</v>
      </c>
      <c r="AX109" s="1059"/>
      <c r="BE109" s="1060"/>
      <c r="BN109" s="1059"/>
      <c r="BU109" s="1060"/>
      <c r="BV109" s="1059"/>
      <c r="CC109" s="1060"/>
      <c r="CD109" s="1059"/>
      <c r="CJ109" s="1061"/>
      <c r="CK109" s="1060"/>
      <c r="CL109" s="1059"/>
      <c r="CS109" s="1060"/>
      <c r="CT109" s="967"/>
      <c r="CU109" s="967"/>
      <c r="CV109" s="967"/>
      <c r="CW109" s="967"/>
      <c r="CX109" s="967"/>
      <c r="CY109" s="967"/>
      <c r="CZ109" s="967"/>
      <c r="DA109" s="967"/>
      <c r="DB109" s="1181">
        <f t="shared" ref="DB109:DJ109" si="603">DB105/DB$127</f>
        <v>0.220610687022901</v>
      </c>
      <c r="DC109" s="1181">
        <f t="shared" si="603"/>
        <v>0.230860769535898</v>
      </c>
      <c r="DD109" s="1181">
        <f t="shared" si="603"/>
        <v>0.225637035596188</v>
      </c>
      <c r="DE109" s="1181">
        <f t="shared" si="603"/>
        <v>0.23069435431538</v>
      </c>
      <c r="DF109" s="1181">
        <f t="shared" si="603"/>
        <v>0.227532530706555</v>
      </c>
      <c r="DG109" s="1181">
        <f t="shared" si="603"/>
        <v>0.25194099378882</v>
      </c>
      <c r="DH109" s="1181">
        <f t="shared" si="603"/>
        <v>0.240367621067515</v>
      </c>
      <c r="DI109" s="1182">
        <f t="shared" si="603"/>
        <v>0.233354940272247</v>
      </c>
      <c r="DJ109" s="1181">
        <f t="shared" si="603"/>
        <v>0.206361520558573</v>
      </c>
      <c r="DK109" s="1181">
        <f t="shared" ref="DK109:DY109" si="604">DK105/DK$127</f>
        <v>0.258852258852259</v>
      </c>
      <c r="DL109" s="1181">
        <f t="shared" si="604"/>
        <v>0.231976166832175</v>
      </c>
      <c r="DM109" s="1181">
        <f t="shared" si="604"/>
        <v>0.224645205953617</v>
      </c>
      <c r="DN109" s="1181">
        <f t="shared" si="604"/>
        <v>0.229303382130237</v>
      </c>
      <c r="DO109" s="1181">
        <f t="shared" si="604"/>
        <v>0.221001221001221</v>
      </c>
      <c r="DP109" s="1181">
        <f t="shared" si="604"/>
        <v>0.222970445192667</v>
      </c>
      <c r="DQ109" s="1182">
        <f t="shared" si="604"/>
        <v>0.227338406704556</v>
      </c>
      <c r="DR109" s="1094">
        <f t="shared" si="604"/>
        <v>0.218773373223635</v>
      </c>
      <c r="DS109" s="1094">
        <f t="shared" si="604"/>
        <v>0.249228659581762</v>
      </c>
      <c r="DT109" s="1094">
        <f t="shared" si="604"/>
        <v>0.234704830053667</v>
      </c>
      <c r="DU109" s="1094">
        <f t="shared" si="604"/>
        <v>0.238754325259516</v>
      </c>
      <c r="DV109" s="1094">
        <f t="shared" si="604"/>
        <v>0.236255243983219</v>
      </c>
      <c r="DW109" s="1094">
        <f t="shared" si="604"/>
        <v>0.226807639836289</v>
      </c>
      <c r="DX109" s="1094">
        <f t="shared" si="604"/>
        <v>0.23328125</v>
      </c>
      <c r="DY109" s="1093">
        <f t="shared" si="604"/>
        <v>0.23394495412844</v>
      </c>
      <c r="DZ109" s="1181">
        <f t="shared" ref="DZ109:EI109" si="605">DZ105/DZ$127</f>
        <v>0.229453101130461</v>
      </c>
      <c r="EA109" s="1181">
        <f t="shared" si="605"/>
        <v>0.2286227154047</v>
      </c>
      <c r="EB109" s="1181">
        <f t="shared" si="605"/>
        <v>0.229051601704276</v>
      </c>
      <c r="EC109" s="1181">
        <f t="shared" si="605"/>
        <v>0.228231837606838</v>
      </c>
      <c r="ED109" s="1181">
        <f t="shared" si="605"/>
        <v>0.228747148100387</v>
      </c>
      <c r="EE109" s="1181">
        <f t="shared" si="605"/>
        <v>0.245603208886146</v>
      </c>
      <c r="EF109" s="1181">
        <f t="shared" si="605"/>
        <v>0.236292054402291</v>
      </c>
      <c r="EG109" s="1182">
        <f t="shared" si="605"/>
        <v>0.232830443593785</v>
      </c>
      <c r="EH109" s="1181">
        <f t="shared" si="605"/>
        <v>0.227248953974895</v>
      </c>
      <c r="EI109" s="1181">
        <f t="shared" si="605"/>
        <v>0.244242251919249</v>
      </c>
      <c r="EJ109" s="1181">
        <f t="shared" ref="EJ109:EO109" si="606">EJ105/EJ$127</f>
        <v>0.235390273804659</v>
      </c>
      <c r="EK109" s="1181">
        <f t="shared" si="606"/>
        <v>0.218787443086509</v>
      </c>
      <c r="EL109" s="1181">
        <f t="shared" si="606"/>
        <v>0.229372937293729</v>
      </c>
      <c r="EM109" s="1181">
        <f t="shared" si="606"/>
        <v>0.228257643217572</v>
      </c>
      <c r="EN109" s="1181">
        <f t="shared" si="606"/>
        <v>0.223017767170512</v>
      </c>
      <c r="EO109" s="1182">
        <f t="shared" si="606"/>
        <v>0.229120473022912</v>
      </c>
      <c r="EP109" s="1181">
        <f t="shared" ref="EP109:EW109" si="607">EP105/EP$127</f>
        <v>0.237270061316982</v>
      </c>
      <c r="EQ109" s="1181">
        <f t="shared" si="607"/>
        <v>0.244161986402601</v>
      </c>
      <c r="ER109" s="1181">
        <f t="shared" si="607"/>
        <v>0.24053826745164</v>
      </c>
      <c r="ES109" s="1181">
        <f t="shared" si="607"/>
        <v>0.211136890951276</v>
      </c>
      <c r="ET109" s="1181">
        <f t="shared" si="607"/>
        <v>0.230182511577227</v>
      </c>
      <c r="EU109" s="1181">
        <f t="shared" si="607"/>
        <v>0.237999425122162</v>
      </c>
      <c r="EV109" s="1181">
        <f t="shared" si="607"/>
        <v>0.223837999456374</v>
      </c>
      <c r="EW109" s="1182">
        <f t="shared" si="607"/>
        <v>0.232059067071488</v>
      </c>
      <c r="EX109" s="1181">
        <f t="shared" ref="EX109:FE109" si="608">EX105/EX$127</f>
        <v>0.187787356321839</v>
      </c>
      <c r="EY109" s="1181">
        <f t="shared" si="608"/>
        <v>0.223769050410317</v>
      </c>
      <c r="EZ109" s="1181">
        <f t="shared" si="608"/>
        <v>0.205600696459663</v>
      </c>
      <c r="FA109" s="1185">
        <f t="shared" si="608"/>
        <v>0.190528905289053</v>
      </c>
      <c r="FB109" s="1181">
        <f t="shared" si="608"/>
        <v>0.200009126585744</v>
      </c>
      <c r="FC109" s="1181">
        <f t="shared" si="608"/>
        <v>0.241012902869757</v>
      </c>
      <c r="FD109" s="1181">
        <f t="shared" si="608"/>
        <v>0.213901391637265</v>
      </c>
      <c r="FE109" s="1182">
        <f t="shared" si="608"/>
        <v>0.209945450104678</v>
      </c>
      <c r="FF109" s="1181">
        <f t="shared" ref="FF109:FM109" si="609">FF105/FF$127</f>
        <v>0.207337257553879</v>
      </c>
      <c r="FG109" s="1181">
        <f t="shared" si="609"/>
        <v>0.244487400584219</v>
      </c>
      <c r="FH109" s="1181">
        <f t="shared" si="609"/>
        <v>0.225948453448199</v>
      </c>
      <c r="FI109" s="1181">
        <f t="shared" si="609"/>
        <v>0.212234081823646</v>
      </c>
      <c r="FJ109" s="1181">
        <f t="shared" si="609"/>
        <v>0.220971051501566</v>
      </c>
      <c r="FK109" s="1181">
        <f t="shared" si="609"/>
        <v>0.226202189382472</v>
      </c>
      <c r="FL109" s="1181">
        <f t="shared" si="609"/>
        <v>0.219368657392691</v>
      </c>
      <c r="FM109" s="1182">
        <f t="shared" si="609"/>
        <v>0.22240854605304</v>
      </c>
      <c r="FN109" s="1181"/>
      <c r="FO109" s="1181"/>
      <c r="FP109" s="1181"/>
      <c r="FQ109" s="1181"/>
      <c r="FR109" s="1181"/>
      <c r="FS109" s="1181"/>
      <c r="FT109" s="1181"/>
      <c r="FU109" s="1181"/>
      <c r="FV109" s="1186"/>
      <c r="FW109" s="1181"/>
      <c r="FX109" s="1181"/>
      <c r="FY109" s="1181"/>
      <c r="FZ109" s="1181"/>
      <c r="GA109" s="1181"/>
      <c r="GB109" s="1181"/>
      <c r="GC109" s="1182"/>
      <c r="GD109" s="1181"/>
      <c r="GE109" s="1181"/>
      <c r="GF109" s="1181"/>
      <c r="GG109" s="1181"/>
      <c r="GH109" s="1181"/>
      <c r="GI109" s="1181"/>
      <c r="GJ109" s="1181"/>
      <c r="GK109" s="1182"/>
      <c r="GL109" s="1181"/>
      <c r="GM109" s="1181"/>
      <c r="GN109" s="1181"/>
      <c r="GO109" s="1181"/>
      <c r="GP109" s="1181"/>
      <c r="GQ109" s="1181"/>
      <c r="GR109" s="1181"/>
      <c r="GS109" s="1182"/>
      <c r="GT109" s="1181"/>
      <c r="GU109" s="1181"/>
      <c r="GV109" s="1181"/>
      <c r="GW109" s="1181"/>
      <c r="GX109" s="1181"/>
      <c r="GY109" s="1181"/>
      <c r="GZ109" s="1181"/>
      <c r="HA109" s="1182"/>
      <c r="HB109" s="1181"/>
      <c r="HC109" s="1181"/>
      <c r="HD109" s="1181"/>
      <c r="HE109" s="1181"/>
      <c r="HF109" s="1181"/>
      <c r="HG109" s="1181"/>
      <c r="HH109" s="1181"/>
      <c r="HI109" s="1182"/>
      <c r="HJ109" s="1181"/>
      <c r="HK109" s="1181"/>
      <c r="HL109" s="1181"/>
      <c r="HM109" s="1181"/>
      <c r="HN109" s="1181"/>
      <c r="HO109" s="1181"/>
      <c r="HP109" s="1181"/>
      <c r="HQ109" s="1182"/>
      <c r="HR109" s="1181"/>
      <c r="HS109" s="1181"/>
      <c r="HT109" s="1181"/>
      <c r="HU109" s="1181"/>
      <c r="HV109" s="1181"/>
      <c r="HW109" s="1181"/>
      <c r="HX109" s="1181"/>
      <c r="HY109" s="1181"/>
      <c r="HZ109" s="1181"/>
      <c r="IA109" s="1181"/>
      <c r="IB109" s="1181"/>
      <c r="IC109" s="1181"/>
      <c r="ID109" s="1181"/>
      <c r="IE109" s="1181"/>
      <c r="IF109" s="1181"/>
      <c r="IG109" s="1182"/>
      <c r="IH109" s="1181"/>
      <c r="II109" s="1181"/>
      <c r="IJ109" s="1181"/>
      <c r="IK109" s="1181"/>
      <c r="IL109" s="1181"/>
      <c r="IM109" s="1181"/>
      <c r="IN109" s="1181"/>
      <c r="IO109" s="1182"/>
      <c r="IP109" s="1181"/>
      <c r="IQ109" s="1181"/>
      <c r="IR109" s="1181"/>
      <c r="IS109" s="1181"/>
      <c r="IT109" s="1181"/>
      <c r="IU109" s="1181"/>
      <c r="IV109" s="1181"/>
      <c r="IW109" s="1181"/>
      <c r="IX109" s="1065"/>
      <c r="IY109" s="1049"/>
      <c r="IZ109" s="1183"/>
      <c r="JA109" s="1183"/>
      <c r="JB109" s="790"/>
      <c r="JC109" s="790"/>
      <c r="JD109" s="790"/>
      <c r="JE109" s="790"/>
      <c r="JF109" s="790"/>
      <c r="JG109" s="790"/>
      <c r="JH109" s="790"/>
      <c r="JI109" s="790"/>
      <c r="JJ109" s="790"/>
      <c r="JK109" s="790"/>
      <c r="JL109" s="790"/>
      <c r="JM109" s="765"/>
      <c r="JN109" s="765"/>
      <c r="JO109" s="765"/>
      <c r="JP109" s="790"/>
      <c r="JQ109" s="1035"/>
      <c r="JR109" s="1035"/>
      <c r="JS109" s="1035"/>
      <c r="JT109" s="1035"/>
      <c r="JU109" s="1035"/>
      <c r="JV109" s="1035"/>
      <c r="JW109" s="1035"/>
      <c r="JX109" s="1035"/>
      <c r="JY109" s="1035"/>
      <c r="KP109" s="1025"/>
      <c r="LV109" s="1179"/>
    </row>
    <row r="110" hidden="1" outlineLevel="1" spans="1:334">
      <c r="A110" s="1180" t="s">
        <v>114</v>
      </c>
      <c r="AX110" s="1059"/>
      <c r="BE110" s="1060"/>
      <c r="BN110" s="1059"/>
      <c r="BU110" s="1060"/>
      <c r="BV110" s="1059"/>
      <c r="CC110" s="1060"/>
      <c r="CD110" s="1059"/>
      <c r="CJ110" s="1061"/>
      <c r="CK110" s="1060"/>
      <c r="CL110" s="1059"/>
      <c r="CS110" s="1060"/>
      <c r="CT110" s="1180"/>
      <c r="CU110" s="1180"/>
      <c r="CV110" s="1180"/>
      <c r="CW110" s="1180"/>
      <c r="CX110" s="1180"/>
      <c r="CY110" s="1180"/>
      <c r="CZ110" s="1180"/>
      <c r="DA110" s="1180"/>
      <c r="DB110" s="1071">
        <v>231</v>
      </c>
      <c r="DC110" s="1071">
        <v>267</v>
      </c>
      <c r="DD110" s="1071">
        <f>DB110+DC110</f>
        <v>498</v>
      </c>
      <c r="DE110" s="1071">
        <v>263</v>
      </c>
      <c r="DF110" s="1071">
        <f>DE110+DD110</f>
        <v>761</v>
      </c>
      <c r="DG110" s="1071">
        <v>316</v>
      </c>
      <c r="DH110" s="1071">
        <f>DE110+DG110</f>
        <v>579</v>
      </c>
      <c r="DI110" s="1072">
        <f>SUM(DB110,DC110,DE110,DG110)</f>
        <v>1077</v>
      </c>
      <c r="DJ110" s="1071">
        <v>247</v>
      </c>
      <c r="DK110" s="1071">
        <v>234</v>
      </c>
      <c r="DL110" s="1071">
        <f>DJ110+DK110</f>
        <v>481</v>
      </c>
      <c r="DM110" s="1071">
        <v>261</v>
      </c>
      <c r="DN110" s="1071">
        <f>DM110+DL110</f>
        <v>742</v>
      </c>
      <c r="DO110" s="1071">
        <v>224</v>
      </c>
      <c r="DP110" s="1071">
        <f>DM110+DO110</f>
        <v>485</v>
      </c>
      <c r="DQ110" s="1072">
        <f>SUM(DJ110,DK110,DM110,DO110)</f>
        <v>966</v>
      </c>
      <c r="DR110" s="1079">
        <v>198</v>
      </c>
      <c r="DS110" s="1079">
        <v>205</v>
      </c>
      <c r="DT110" s="1071">
        <f>DR110+DS110</f>
        <v>403</v>
      </c>
      <c r="DU110" s="1079">
        <v>317</v>
      </c>
      <c r="DV110" s="1071">
        <f>DU110+DT110</f>
        <v>720</v>
      </c>
      <c r="DW110" s="1079">
        <f>DY110-DV110</f>
        <v>280</v>
      </c>
      <c r="DX110" s="1071">
        <f>DU110+DW110</f>
        <v>597</v>
      </c>
      <c r="DY110" s="1072">
        <v>1000</v>
      </c>
      <c r="DZ110" s="1079">
        <v>284</v>
      </c>
      <c r="EA110" s="1079">
        <v>268.1</v>
      </c>
      <c r="EB110" s="1071">
        <f>DZ110+EA110</f>
        <v>552.1</v>
      </c>
      <c r="EC110" s="1071">
        <f>ED110-EB110</f>
        <v>347.9</v>
      </c>
      <c r="ED110" s="1071">
        <v>900</v>
      </c>
      <c r="EE110" s="1079">
        <f>+EF110-EC110</f>
        <v>329</v>
      </c>
      <c r="EF110" s="1071">
        <f>+EG110-EB110</f>
        <v>676.9</v>
      </c>
      <c r="EG110" s="1072">
        <v>1229</v>
      </c>
      <c r="EH110" s="1079">
        <v>385</v>
      </c>
      <c r="EI110" s="1071">
        <v>347</v>
      </c>
      <c r="EJ110" s="1071">
        <f>EH110+EI110</f>
        <v>732</v>
      </c>
      <c r="EK110" s="1071">
        <f>EL110-EJ110</f>
        <v>437</v>
      </c>
      <c r="EL110" s="1071">
        <v>1169</v>
      </c>
      <c r="EM110" s="1071">
        <v>393</v>
      </c>
      <c r="EN110" s="1071">
        <f>EK110+EM110</f>
        <v>830</v>
      </c>
      <c r="EO110" s="1072">
        <f>EH110+EI110+EK110+EM110</f>
        <v>1562</v>
      </c>
      <c r="EP110" s="1071">
        <v>409</v>
      </c>
      <c r="EQ110" s="1071">
        <f>ER110-EP110</f>
        <v>372</v>
      </c>
      <c r="ER110" s="1071">
        <v>781</v>
      </c>
      <c r="ES110" s="1071">
        <v>464</v>
      </c>
      <c r="ET110" s="1071">
        <f>ER110+ES110</f>
        <v>1245</v>
      </c>
      <c r="EU110" s="1071">
        <v>411</v>
      </c>
      <c r="EV110" s="1071">
        <f>ES110+EU110</f>
        <v>875</v>
      </c>
      <c r="EW110" s="1072">
        <f>EP110+EQ110+ES110+EU110</f>
        <v>1656</v>
      </c>
      <c r="EX110" s="1071">
        <v>419</v>
      </c>
      <c r="EY110" s="1071">
        <v>387</v>
      </c>
      <c r="EZ110" s="1071">
        <f>EX110+EY110</f>
        <v>806</v>
      </c>
      <c r="FA110" s="1098">
        <v>517</v>
      </c>
      <c r="FB110" s="1071">
        <f>EZ110+FA110</f>
        <v>1323</v>
      </c>
      <c r="FC110" s="1071">
        <f>EU110*(1+FC111)</f>
        <v>479.361475342561</v>
      </c>
      <c r="FD110" s="1071">
        <f>FA110+FC110</f>
        <v>996.361475342561</v>
      </c>
      <c r="FE110" s="1072">
        <f>EX110+EY110+FA110+FC110</f>
        <v>1802.36147534256</v>
      </c>
      <c r="FF110" s="1071">
        <f>EX110*(1+FF111)</f>
        <v>527.759936925909</v>
      </c>
      <c r="FG110" s="1071">
        <f>EY110*(1+FG111)</f>
        <v>492.226541349066</v>
      </c>
      <c r="FH110" s="1071">
        <f>FF110+FG110</f>
        <v>1019.98647827497</v>
      </c>
      <c r="FI110" s="1071">
        <f>FA110*(1+FI111)</f>
        <v>631.976495325881</v>
      </c>
      <c r="FJ110" s="1071">
        <f>FH110+FI110</f>
        <v>1651.96297360086</v>
      </c>
      <c r="FK110" s="1071">
        <f>FM110-FJ110</f>
        <v>745.037026399144</v>
      </c>
      <c r="FL110" s="1071">
        <f>FI110+FK110</f>
        <v>1377.01352172503</v>
      </c>
      <c r="FM110" s="1072">
        <v>2397</v>
      </c>
      <c r="FN110" s="1071"/>
      <c r="FO110" s="1071"/>
      <c r="FP110" s="1071"/>
      <c r="FQ110" s="1071"/>
      <c r="FR110" s="1071"/>
      <c r="FS110" s="1071"/>
      <c r="FT110" s="1071"/>
      <c r="FU110" s="1071"/>
      <c r="FV110" s="1177"/>
      <c r="FW110" s="1071"/>
      <c r="FX110" s="1071"/>
      <c r="FY110" s="1071"/>
      <c r="FZ110" s="1071"/>
      <c r="GA110" s="1071"/>
      <c r="GB110" s="1071"/>
      <c r="GC110" s="1072"/>
      <c r="GD110" s="1071"/>
      <c r="GE110" s="1071"/>
      <c r="GF110" s="1071"/>
      <c r="GG110" s="1071"/>
      <c r="GH110" s="1071"/>
      <c r="GI110" s="1071"/>
      <c r="GJ110" s="1071"/>
      <c r="GK110" s="1072"/>
      <c r="GL110" s="1071"/>
      <c r="GM110" s="1071"/>
      <c r="GN110" s="1071"/>
      <c r="GO110" s="1071"/>
      <c r="GP110" s="1071"/>
      <c r="GQ110" s="1071"/>
      <c r="GR110" s="1071"/>
      <c r="GS110" s="1072"/>
      <c r="GT110" s="1071"/>
      <c r="GU110" s="1071"/>
      <c r="GV110" s="1071"/>
      <c r="GW110" s="1071"/>
      <c r="GX110" s="1071"/>
      <c r="GY110" s="1071"/>
      <c r="GZ110" s="1071"/>
      <c r="HA110" s="1072"/>
      <c r="HB110" s="1071"/>
      <c r="HC110" s="1071"/>
      <c r="HD110" s="1071"/>
      <c r="HE110" s="1071"/>
      <c r="HF110" s="1071"/>
      <c r="HG110" s="1071"/>
      <c r="HH110" s="1071"/>
      <c r="HI110" s="1072"/>
      <c r="HJ110" s="1071"/>
      <c r="HK110" s="1071"/>
      <c r="HL110" s="1071"/>
      <c r="HM110" s="1071"/>
      <c r="HN110" s="1071"/>
      <c r="HO110" s="1071"/>
      <c r="HP110" s="1071"/>
      <c r="HQ110" s="1072"/>
      <c r="HR110" s="1071"/>
      <c r="HS110" s="1071"/>
      <c r="HT110" s="1071"/>
      <c r="HU110" s="1071"/>
      <c r="HV110" s="1071"/>
      <c r="HW110" s="1071"/>
      <c r="HX110" s="1071"/>
      <c r="HY110" s="1071"/>
      <c r="HZ110" s="1071"/>
      <c r="IA110" s="1071"/>
      <c r="IB110" s="1071"/>
      <c r="IC110" s="1071"/>
      <c r="ID110" s="1071"/>
      <c r="IE110" s="1071"/>
      <c r="IF110" s="1071"/>
      <c r="IG110" s="1072"/>
      <c r="IH110" s="1071"/>
      <c r="II110" s="1071"/>
      <c r="IJ110" s="1071"/>
      <c r="IK110" s="1071"/>
      <c r="IL110" s="1071"/>
      <c r="IM110" s="1071"/>
      <c r="IN110" s="1071"/>
      <c r="IO110" s="1072"/>
      <c r="IP110" s="1071"/>
      <c r="IQ110" s="1071"/>
      <c r="IR110" s="1071"/>
      <c r="IS110" s="1071"/>
      <c r="IT110" s="1071"/>
      <c r="IU110" s="1071"/>
      <c r="IV110" s="1071"/>
      <c r="IW110" s="1071"/>
      <c r="IX110" s="969"/>
      <c r="IY110" s="1049"/>
      <c r="IZ110" s="1183"/>
      <c r="JA110" s="1183"/>
      <c r="JB110" s="790"/>
      <c r="JC110" s="790"/>
      <c r="JD110" s="790"/>
      <c r="JE110" s="790"/>
      <c r="JF110" s="790"/>
      <c r="JG110" s="790"/>
      <c r="JH110" s="790"/>
      <c r="JI110" s="790"/>
      <c r="JJ110" s="790"/>
      <c r="JK110" s="790"/>
      <c r="JL110" s="790"/>
      <c r="JM110" s="765"/>
      <c r="JN110" s="765"/>
      <c r="JO110" s="765"/>
      <c r="JP110" s="790"/>
      <c r="JQ110" s="1035"/>
      <c r="JR110" s="1035"/>
      <c r="JS110" s="1035"/>
      <c r="JT110" s="1035"/>
      <c r="JU110" s="1035"/>
      <c r="JV110" s="1035"/>
      <c r="JW110" s="1035"/>
      <c r="JX110" s="1035"/>
      <c r="JY110" s="1035"/>
      <c r="KP110" s="967"/>
      <c r="LV110" s="1179"/>
    </row>
    <row r="111" hidden="1" outlineLevel="1" spans="1:334">
      <c r="A111" s="967" t="s">
        <v>61</v>
      </c>
      <c r="AX111" s="1059"/>
      <c r="BE111" s="1060"/>
      <c r="BN111" s="1059"/>
      <c r="BU111" s="1060"/>
      <c r="BV111" s="1059"/>
      <c r="CC111" s="1060"/>
      <c r="CD111" s="1059"/>
      <c r="CJ111" s="1061"/>
      <c r="CK111" s="1060"/>
      <c r="CL111" s="1059"/>
      <c r="CS111" s="1060"/>
      <c r="CT111" s="967"/>
      <c r="CU111" s="967"/>
      <c r="CV111" s="967"/>
      <c r="CW111" s="967"/>
      <c r="CX111" s="967"/>
      <c r="CY111" s="967"/>
      <c r="CZ111" s="967"/>
      <c r="DA111" s="967"/>
      <c r="DB111" s="1181"/>
      <c r="DC111" s="1181"/>
      <c r="DD111" s="1181"/>
      <c r="DE111" s="1181"/>
      <c r="DF111" s="1181"/>
      <c r="DG111" s="1181"/>
      <c r="DH111" s="1181"/>
      <c r="DI111" s="1182"/>
      <c r="DJ111" s="1181">
        <f t="shared" ref="DJ111:DW111" si="610">DJ110/DB110-1</f>
        <v>0.0692640692640694</v>
      </c>
      <c r="DK111" s="1181">
        <f t="shared" si="610"/>
        <v>-0.123595505617977</v>
      </c>
      <c r="DL111" s="1181">
        <f t="shared" si="610"/>
        <v>-0.0341365461847389</v>
      </c>
      <c r="DM111" s="1181">
        <f t="shared" si="610"/>
        <v>-0.00760456273764254</v>
      </c>
      <c r="DN111" s="1181">
        <f t="shared" si="610"/>
        <v>-0.0249671484888305</v>
      </c>
      <c r="DO111" s="1181">
        <f t="shared" si="610"/>
        <v>-0.291139240506329</v>
      </c>
      <c r="DP111" s="1181">
        <f t="shared" si="610"/>
        <v>-0.162348877374784</v>
      </c>
      <c r="DQ111" s="1182">
        <f t="shared" si="610"/>
        <v>-0.103064066852368</v>
      </c>
      <c r="DR111" s="1082">
        <f t="shared" si="610"/>
        <v>-0.198380566801619</v>
      </c>
      <c r="DS111" s="1094">
        <f t="shared" si="610"/>
        <v>-0.123931623931624</v>
      </c>
      <c r="DT111" s="1094">
        <f t="shared" si="610"/>
        <v>-0.162162162162162</v>
      </c>
      <c r="DU111" s="1094">
        <f t="shared" si="610"/>
        <v>0.21455938697318</v>
      </c>
      <c r="DV111" s="1094">
        <f t="shared" si="610"/>
        <v>-0.0296495956873315</v>
      </c>
      <c r="DW111" s="1094">
        <f t="shared" si="610"/>
        <v>0.25</v>
      </c>
      <c r="DX111" s="1094">
        <f>DX112+DX113</f>
        <v>0.231056644044967</v>
      </c>
      <c r="DY111" s="1093">
        <f t="shared" ref="DY111:EG111" si="611">DY110/DQ110-1</f>
        <v>0.0351966873706004</v>
      </c>
      <c r="DZ111" s="1082">
        <f t="shared" si="611"/>
        <v>0.434343434343434</v>
      </c>
      <c r="EA111" s="1082">
        <f t="shared" si="611"/>
        <v>0.307804878048781</v>
      </c>
      <c r="EB111" s="1094">
        <f t="shared" si="611"/>
        <v>0.369975186104218</v>
      </c>
      <c r="EC111" s="1094">
        <f t="shared" si="611"/>
        <v>0.0974763406940062</v>
      </c>
      <c r="ED111" s="1094">
        <f t="shared" si="611"/>
        <v>0.25</v>
      </c>
      <c r="EE111" s="1094">
        <f t="shared" si="611"/>
        <v>0.175</v>
      </c>
      <c r="EF111" s="1094">
        <f t="shared" si="611"/>
        <v>0.133835845896147</v>
      </c>
      <c r="EG111" s="1093">
        <f t="shared" si="611"/>
        <v>0.229</v>
      </c>
      <c r="EH111" s="1082">
        <f>+EH110/DZ110-1</f>
        <v>0.355633802816901</v>
      </c>
      <c r="EI111" s="1082">
        <f t="shared" ref="EI111:EO111" si="612">EI110/EA110-1</f>
        <v>0.294293174188735</v>
      </c>
      <c r="EJ111" s="1082">
        <f t="shared" si="612"/>
        <v>0.325846766890056</v>
      </c>
      <c r="EK111" s="1082">
        <f t="shared" si="612"/>
        <v>0.25610807703363</v>
      </c>
      <c r="EL111" s="1082">
        <f t="shared" si="612"/>
        <v>0.298888888888889</v>
      </c>
      <c r="EM111" s="1082">
        <f t="shared" si="612"/>
        <v>0.194528875379939</v>
      </c>
      <c r="EN111" s="1082">
        <f t="shared" si="612"/>
        <v>0.226178165164722</v>
      </c>
      <c r="EO111" s="1085">
        <f t="shared" si="612"/>
        <v>0.270951993490643</v>
      </c>
      <c r="EP111" s="1082">
        <f t="shared" ref="EP111:FB111" si="613">EP110/EH110-1</f>
        <v>0.0623376623376624</v>
      </c>
      <c r="EQ111" s="1082">
        <f t="shared" si="613"/>
        <v>0.0720461095100864</v>
      </c>
      <c r="ER111" s="1082">
        <f t="shared" si="613"/>
        <v>0.0669398907103824</v>
      </c>
      <c r="ES111" s="1082">
        <f t="shared" si="613"/>
        <v>0.0617848970251715</v>
      </c>
      <c r="ET111" s="1082">
        <f t="shared" si="613"/>
        <v>0.0650128314798974</v>
      </c>
      <c r="EU111" s="1082">
        <f t="shared" si="613"/>
        <v>0.0458015267175573</v>
      </c>
      <c r="EV111" s="1082">
        <f t="shared" si="613"/>
        <v>0.0542168674698795</v>
      </c>
      <c r="EW111" s="1085">
        <f t="shared" si="613"/>
        <v>0.0601792573623559</v>
      </c>
      <c r="EX111" s="1082">
        <f t="shared" si="613"/>
        <v>0.0244498777506112</v>
      </c>
      <c r="EY111" s="1082">
        <f t="shared" si="613"/>
        <v>0.0403225806451613</v>
      </c>
      <c r="EZ111" s="1082">
        <f t="shared" si="613"/>
        <v>0.0320102432778488</v>
      </c>
      <c r="FA111" s="1082">
        <f t="shared" si="613"/>
        <v>0.114224137931034</v>
      </c>
      <c r="FB111" s="1082">
        <f t="shared" si="613"/>
        <v>0.0626506024096385</v>
      </c>
      <c r="FC111" s="1082">
        <f>FC112+FC113</f>
        <v>0.166329623704528</v>
      </c>
      <c r="FD111" s="1082">
        <f>FD110/EV110-1</f>
        <v>0.138698828962927</v>
      </c>
      <c r="FE111" s="1085">
        <f>FE110/EW110-1</f>
        <v>0.0883825334194208</v>
      </c>
      <c r="FF111" s="1082">
        <f>FF112+FF113</f>
        <v>0.2595702551931</v>
      </c>
      <c r="FG111" s="1082">
        <f>FG112+FG113</f>
        <v>0.271903207620326</v>
      </c>
      <c r="FH111" s="1082">
        <f>FH110/EZ110-1</f>
        <v>0.265491908529745</v>
      </c>
      <c r="FI111" s="1082">
        <f>FI112+FI113</f>
        <v>0.222391673744451</v>
      </c>
      <c r="FJ111" s="1082">
        <f>FJ110/FB110-1</f>
        <v>0.248649261980995</v>
      </c>
      <c r="FK111" s="1082">
        <f>FK110/FC110-1</f>
        <v>0.554227998540613</v>
      </c>
      <c r="FL111" s="1082">
        <f>FL110/FD110-1</f>
        <v>0.382042116041863</v>
      </c>
      <c r="FM111" s="1085">
        <f>FM110/FE110-1</f>
        <v>0.329921901234835</v>
      </c>
      <c r="FN111" s="1082"/>
      <c r="FO111" s="1082"/>
      <c r="FP111" s="1082"/>
      <c r="FQ111" s="1082"/>
      <c r="FR111" s="1082"/>
      <c r="FS111" s="1082"/>
      <c r="FT111" s="1082"/>
      <c r="FU111" s="1082"/>
      <c r="FV111" s="1109"/>
      <c r="FW111" s="1082"/>
      <c r="FX111" s="1082"/>
      <c r="FY111" s="1082"/>
      <c r="FZ111" s="1082"/>
      <c r="GA111" s="1082"/>
      <c r="GB111" s="1082"/>
      <c r="GC111" s="1085"/>
      <c r="GD111" s="1082"/>
      <c r="GE111" s="1082"/>
      <c r="GF111" s="1082"/>
      <c r="GG111" s="1082"/>
      <c r="GH111" s="1082"/>
      <c r="GI111" s="1082"/>
      <c r="GJ111" s="1082"/>
      <c r="GK111" s="1085"/>
      <c r="GL111" s="1082"/>
      <c r="GM111" s="1082"/>
      <c r="GN111" s="1082"/>
      <c r="GO111" s="1082"/>
      <c r="GP111" s="1082"/>
      <c r="GQ111" s="1082"/>
      <c r="GR111" s="1082"/>
      <c r="GS111" s="1085"/>
      <c r="GT111" s="1082"/>
      <c r="GU111" s="1082"/>
      <c r="GV111" s="1082"/>
      <c r="GW111" s="1082"/>
      <c r="GX111" s="1082"/>
      <c r="GY111" s="1082"/>
      <c r="GZ111" s="1082"/>
      <c r="HA111" s="1085"/>
      <c r="HB111" s="1082"/>
      <c r="HC111" s="1082"/>
      <c r="HD111" s="1082"/>
      <c r="HE111" s="1082"/>
      <c r="HF111" s="1082"/>
      <c r="HG111" s="1082"/>
      <c r="HH111" s="1082"/>
      <c r="HI111" s="1085"/>
      <c r="HJ111" s="1082"/>
      <c r="HK111" s="1082"/>
      <c r="HL111" s="1082"/>
      <c r="HM111" s="1082"/>
      <c r="HN111" s="1082"/>
      <c r="HO111" s="1082"/>
      <c r="HP111" s="1082"/>
      <c r="HQ111" s="1085"/>
      <c r="HR111" s="1082"/>
      <c r="HS111" s="1082"/>
      <c r="HT111" s="1082"/>
      <c r="HU111" s="1082"/>
      <c r="HV111" s="1082"/>
      <c r="HW111" s="1082"/>
      <c r="HX111" s="1082"/>
      <c r="HY111" s="1082"/>
      <c r="HZ111" s="1082"/>
      <c r="IA111" s="1082"/>
      <c r="IB111" s="1082"/>
      <c r="IC111" s="1082"/>
      <c r="ID111" s="1082"/>
      <c r="IE111" s="1082"/>
      <c r="IF111" s="1082"/>
      <c r="IG111" s="1085"/>
      <c r="IH111" s="1082"/>
      <c r="II111" s="1082"/>
      <c r="IJ111" s="1082"/>
      <c r="IK111" s="1082"/>
      <c r="IL111" s="1082"/>
      <c r="IM111" s="1082"/>
      <c r="IN111" s="1082"/>
      <c r="IO111" s="1085"/>
      <c r="IP111" s="1082"/>
      <c r="IQ111" s="1082"/>
      <c r="IR111" s="1082"/>
      <c r="IS111" s="1082"/>
      <c r="IT111" s="1082"/>
      <c r="IU111" s="1082"/>
      <c r="IV111" s="1082"/>
      <c r="IW111" s="1082"/>
      <c r="IX111" s="1094"/>
      <c r="IY111" s="1049"/>
      <c r="IZ111" s="1183"/>
      <c r="JA111" s="1183"/>
      <c r="JB111" s="790"/>
      <c r="JC111" s="790"/>
      <c r="JD111" s="790"/>
      <c r="JE111" s="790"/>
      <c r="JF111" s="790"/>
      <c r="JG111" s="790"/>
      <c r="JH111" s="790"/>
      <c r="JI111" s="790"/>
      <c r="JJ111" s="790"/>
      <c r="JK111" s="790"/>
      <c r="JL111" s="790"/>
      <c r="JM111" s="765"/>
      <c r="JN111" s="765"/>
      <c r="JO111" s="765"/>
      <c r="JP111" s="790"/>
      <c r="JQ111" s="1035"/>
      <c r="JR111" s="1035"/>
      <c r="JS111" s="1035"/>
      <c r="JT111" s="1035"/>
      <c r="JU111" s="1035"/>
      <c r="JV111" s="1035"/>
      <c r="JW111" s="1035"/>
      <c r="JX111" s="1035"/>
      <c r="JY111" s="1035"/>
      <c r="KP111" s="967"/>
      <c r="LV111" s="967"/>
    </row>
    <row r="112" hidden="1" outlineLevel="1" spans="1:334">
      <c r="A112" s="967" t="s">
        <v>63</v>
      </c>
      <c r="AX112" s="1059"/>
      <c r="BE112" s="1060"/>
      <c r="BN112" s="1059"/>
      <c r="BU112" s="1060"/>
      <c r="BV112" s="1059"/>
      <c r="CC112" s="1060"/>
      <c r="CD112" s="1059"/>
      <c r="CJ112" s="1061"/>
      <c r="CK112" s="1060"/>
      <c r="CL112" s="1059"/>
      <c r="CS112" s="1060"/>
      <c r="CT112" s="967"/>
      <c r="CU112" s="967"/>
      <c r="CV112" s="967"/>
      <c r="CW112" s="967"/>
      <c r="CX112" s="967"/>
      <c r="CY112" s="967"/>
      <c r="CZ112" s="967"/>
      <c r="DA112" s="967"/>
      <c r="DB112" s="1181"/>
      <c r="DC112" s="1181"/>
      <c r="DD112" s="1181"/>
      <c r="DE112" s="1181"/>
      <c r="DF112" s="1181"/>
      <c r="DG112" s="1181"/>
      <c r="DH112" s="1181"/>
      <c r="DI112" s="1182"/>
      <c r="DJ112" s="1181">
        <f t="shared" ref="DJ112:DQ112" si="614">DJ111-DJ113</f>
        <v>0.179264069264069</v>
      </c>
      <c r="DK112" s="1181">
        <f t="shared" si="614"/>
        <v>0.126404494382023</v>
      </c>
      <c r="DL112" s="1181">
        <f t="shared" si="614"/>
        <v>0.143971561923369</v>
      </c>
      <c r="DM112" s="1181">
        <f t="shared" si="614"/>
        <v>0.0423954372623575</v>
      </c>
      <c r="DN112" s="1181">
        <f t="shared" si="614"/>
        <v>0.108078673613595</v>
      </c>
      <c r="DO112" s="1181">
        <f t="shared" si="614"/>
        <v>-0.0711392405063291</v>
      </c>
      <c r="DP112" s="1181">
        <f t="shared" si="614"/>
        <v>-0.0338334134572583</v>
      </c>
      <c r="DQ112" s="1182">
        <f t="shared" si="614"/>
        <v>0.0569359331476323</v>
      </c>
      <c r="DR112" s="1082">
        <f t="shared" ref="DR112:DW112" si="615">DR111-DR113</f>
        <v>-0.0483805668016194</v>
      </c>
      <c r="DS112" s="1094">
        <f t="shared" si="615"/>
        <v>0.0550683760683761</v>
      </c>
      <c r="DT112" s="1094">
        <f t="shared" si="615"/>
        <v>0.00283783783783784</v>
      </c>
      <c r="DU112" s="1094">
        <f t="shared" si="615"/>
        <v>0.11955938697318</v>
      </c>
      <c r="DV112" s="1094">
        <f t="shared" si="615"/>
        <v>0.0383504043126685</v>
      </c>
      <c r="DW112" s="1094">
        <f t="shared" si="615"/>
        <v>0.137</v>
      </c>
      <c r="DX112" s="1082">
        <f>((DW112*DO110)+(DU112*DM110))/DP110</f>
        <v>0.127614432989691</v>
      </c>
      <c r="DY112" s="1093">
        <v>0.057</v>
      </c>
      <c r="DZ112" s="1082">
        <f t="shared" ref="DZ112:EG112" si="616">DZ111-DZ113</f>
        <v>0.0743434343434343</v>
      </c>
      <c r="EA112" s="1094">
        <f t="shared" si="616"/>
        <v>-0.101195121951219</v>
      </c>
      <c r="EB112" s="1082">
        <f t="shared" si="616"/>
        <v>-0.0149503722084366</v>
      </c>
      <c r="EC112" s="1094">
        <f t="shared" si="616"/>
        <v>-0.0325236593059938</v>
      </c>
      <c r="ED112" s="1094">
        <f t="shared" si="616"/>
        <v>-0.03</v>
      </c>
      <c r="EE112" s="1094">
        <f t="shared" si="616"/>
        <v>0.045</v>
      </c>
      <c r="EF112" s="1094">
        <f t="shared" si="616"/>
        <v>0.00841708542713554</v>
      </c>
      <c r="EG112" s="1093">
        <f t="shared" si="616"/>
        <v>-0.000999999999999918</v>
      </c>
      <c r="EH112" s="1082">
        <f>+EH111-EH113</f>
        <v>0.0956338028169015</v>
      </c>
      <c r="EI112" s="1094">
        <f>EI111-EI113</f>
        <v>0.164293174188735</v>
      </c>
      <c r="EJ112" s="1082">
        <f>EJ111-EJ113</f>
        <v>0.131846766890056</v>
      </c>
      <c r="EK112" s="1082">
        <f>EK111-EK113</f>
        <v>0.15110807703363</v>
      </c>
      <c r="EL112" s="1082">
        <f>EL111-EL113</f>
        <v>0.139888888888889</v>
      </c>
      <c r="EM112" s="1082">
        <f>EM111-EM113</f>
        <v>0.0695288753799392</v>
      </c>
      <c r="EN112" s="1082">
        <f>EN483</f>
        <v>0.0755983437292644</v>
      </c>
      <c r="EO112" s="1093">
        <f t="shared" ref="EO112:ET112" si="617">EO111-EO113</f>
        <v>0.119326688364524</v>
      </c>
      <c r="EP112" s="1082">
        <f t="shared" si="617"/>
        <v>0.00333766233766236</v>
      </c>
      <c r="EQ112" s="1082">
        <f t="shared" si="617"/>
        <v>0.00804610951008639</v>
      </c>
      <c r="ER112" s="1094">
        <f t="shared" si="617"/>
        <v>0.00593989071038242</v>
      </c>
      <c r="ES112" s="1082">
        <f t="shared" si="617"/>
        <v>-0.0242151029748285</v>
      </c>
      <c r="ET112" s="1094">
        <f t="shared" si="617"/>
        <v>-0.00556458511548322</v>
      </c>
      <c r="EU112" s="1082">
        <f t="shared" ref="EU112:FB112" si="618">EU111-EU113</f>
        <v>-0.0291984732824427</v>
      </c>
      <c r="EV112" s="1094">
        <f t="shared" si="618"/>
        <v>-0.0265746987951807</v>
      </c>
      <c r="EW112" s="1085">
        <f t="shared" si="618"/>
        <v>-0.0115108834827146</v>
      </c>
      <c r="EX112" s="1082">
        <f t="shared" si="618"/>
        <v>-0.0225501222493888</v>
      </c>
      <c r="EY112" s="1082">
        <f t="shared" si="618"/>
        <v>-0.0666774193548387</v>
      </c>
      <c r="EZ112" s="1082">
        <f t="shared" si="618"/>
        <v>-0.0435685019206147</v>
      </c>
      <c r="FA112" s="1091">
        <f t="shared" si="618"/>
        <v>-0.0127758620689655</v>
      </c>
      <c r="FB112" s="1082">
        <f t="shared" si="618"/>
        <v>-0.0320923694779117</v>
      </c>
      <c r="FC112" s="1082">
        <f>0.5*FC483</f>
        <v>0.0413296237045279</v>
      </c>
      <c r="FD112" s="1082">
        <f>FD111-FD113</f>
        <v>0.0126382575343553</v>
      </c>
      <c r="FE112" s="1085">
        <f>FE111-FE113</f>
        <v>-0.0138698820395164</v>
      </c>
      <c r="FF112" s="1082">
        <f>FF489</f>
        <v>0.1595702551931</v>
      </c>
      <c r="FG112" s="1082">
        <f>FG489</f>
        <v>0.196903207620326</v>
      </c>
      <c r="FH112" s="1082">
        <f>FH111-FH113</f>
        <v>0.177495630614113</v>
      </c>
      <c r="FI112" s="1082">
        <f>FI489</f>
        <v>0.142391673744451</v>
      </c>
      <c r="FJ112" s="1082">
        <f>FJ111-FJ113</f>
        <v>0.163777757823776</v>
      </c>
      <c r="FK112" s="1082">
        <f>FK111-FK113</f>
        <v>0.130480433011304</v>
      </c>
      <c r="FL112" s="1082">
        <f>FL111-FL113</f>
        <v>0.136661032734833</v>
      </c>
      <c r="FM112" s="1085">
        <f>FM111-FM113</f>
        <v>0.154921901234835</v>
      </c>
      <c r="FN112" s="1082"/>
      <c r="FO112" s="1082"/>
      <c r="FP112" s="1082"/>
      <c r="FQ112" s="1082"/>
      <c r="FR112" s="1082"/>
      <c r="FS112" s="1082"/>
      <c r="FT112" s="1082"/>
      <c r="FU112" s="1082"/>
      <c r="FV112" s="1109"/>
      <c r="FW112" s="1082"/>
      <c r="FX112" s="1082"/>
      <c r="FY112" s="1082"/>
      <c r="FZ112" s="1082"/>
      <c r="GA112" s="1082"/>
      <c r="GB112" s="1082"/>
      <c r="GC112" s="1085"/>
      <c r="GD112" s="1082"/>
      <c r="GE112" s="1082"/>
      <c r="GF112" s="1082"/>
      <c r="GG112" s="1082"/>
      <c r="GH112" s="1082"/>
      <c r="GI112" s="1082"/>
      <c r="GJ112" s="1082"/>
      <c r="GK112" s="1085"/>
      <c r="GL112" s="1082"/>
      <c r="GM112" s="1082"/>
      <c r="GN112" s="1082"/>
      <c r="GO112" s="1082"/>
      <c r="GP112" s="1082"/>
      <c r="GQ112" s="1082"/>
      <c r="GR112" s="1082"/>
      <c r="GS112" s="1085"/>
      <c r="GT112" s="1082"/>
      <c r="GU112" s="1082"/>
      <c r="GV112" s="1082"/>
      <c r="GW112" s="1082"/>
      <c r="GX112" s="1082"/>
      <c r="GY112" s="1082"/>
      <c r="GZ112" s="1082"/>
      <c r="HA112" s="1085"/>
      <c r="HB112" s="1082"/>
      <c r="HC112" s="1082"/>
      <c r="HD112" s="1082"/>
      <c r="HE112" s="1082"/>
      <c r="HF112" s="1082"/>
      <c r="HG112" s="1082"/>
      <c r="HH112" s="1082"/>
      <c r="HI112" s="1085"/>
      <c r="HJ112" s="1082"/>
      <c r="HK112" s="1082"/>
      <c r="HL112" s="1082"/>
      <c r="HM112" s="1082"/>
      <c r="HN112" s="1082"/>
      <c r="HO112" s="1082"/>
      <c r="HP112" s="1082"/>
      <c r="HQ112" s="1085"/>
      <c r="HR112" s="1082"/>
      <c r="HS112" s="1082"/>
      <c r="HT112" s="1082"/>
      <c r="HU112" s="1082"/>
      <c r="HV112" s="1082"/>
      <c r="HW112" s="1082"/>
      <c r="HX112" s="1082"/>
      <c r="HY112" s="1082"/>
      <c r="HZ112" s="1082"/>
      <c r="IA112" s="1082"/>
      <c r="IB112" s="1082"/>
      <c r="IC112" s="1082"/>
      <c r="ID112" s="1082"/>
      <c r="IE112" s="1082"/>
      <c r="IF112" s="1082"/>
      <c r="IG112" s="1085"/>
      <c r="IH112" s="1082"/>
      <c r="II112" s="1082"/>
      <c r="IJ112" s="1082"/>
      <c r="IK112" s="1082"/>
      <c r="IL112" s="1082"/>
      <c r="IM112" s="1082"/>
      <c r="IN112" s="1082"/>
      <c r="IO112" s="1085"/>
      <c r="IP112" s="1082"/>
      <c r="IQ112" s="1082"/>
      <c r="IR112" s="1082"/>
      <c r="IS112" s="1082"/>
      <c r="IT112" s="1082"/>
      <c r="IU112" s="1082"/>
      <c r="IV112" s="1082"/>
      <c r="IW112" s="1082"/>
      <c r="IX112" s="1094"/>
      <c r="IY112" s="1049"/>
      <c r="IZ112" s="1183"/>
      <c r="JA112" s="1183"/>
      <c r="JB112" s="790"/>
      <c r="JC112" s="790"/>
      <c r="JD112" s="790"/>
      <c r="JE112" s="790"/>
      <c r="JF112" s="790"/>
      <c r="JG112" s="790"/>
      <c r="JH112" s="790"/>
      <c r="JI112" s="790"/>
      <c r="JJ112" s="790"/>
      <c r="JK112" s="790"/>
      <c r="JL112" s="790"/>
      <c r="JM112" s="765"/>
      <c r="JN112" s="765"/>
      <c r="JO112" s="765"/>
      <c r="JP112" s="790"/>
      <c r="JQ112" s="1035"/>
      <c r="JR112" s="1035"/>
      <c r="JS112" s="1035"/>
      <c r="JT112" s="1189"/>
      <c r="JU112" s="1189"/>
      <c r="JV112" s="1189"/>
      <c r="JW112" s="1189"/>
      <c r="JX112" s="1189"/>
      <c r="JY112" s="1189"/>
      <c r="JZ112" s="1189"/>
      <c r="KA112" s="1189"/>
      <c r="KP112" s="967"/>
    </row>
    <row r="113" hidden="1" outlineLevel="1" spans="1:334">
      <c r="A113" s="967" t="s">
        <v>65</v>
      </c>
      <c r="AX113" s="1059"/>
      <c r="BE113" s="1060"/>
      <c r="BN113" s="1059"/>
      <c r="BU113" s="1060"/>
      <c r="BV113" s="1059"/>
      <c r="CC113" s="1060"/>
      <c r="CD113" s="1059"/>
      <c r="CJ113" s="1061"/>
      <c r="CK113" s="1060"/>
      <c r="CL113" s="1059"/>
      <c r="CS113" s="1060"/>
      <c r="CT113" s="967"/>
      <c r="CU113" s="967"/>
      <c r="CV113" s="967"/>
      <c r="CW113" s="967"/>
      <c r="CX113" s="967"/>
      <c r="CY113" s="967"/>
      <c r="CZ113" s="967"/>
      <c r="DA113" s="967"/>
      <c r="DB113" s="1181"/>
      <c r="DC113" s="1181"/>
      <c r="DD113" s="1181"/>
      <c r="DE113" s="1181"/>
      <c r="DF113" s="1181"/>
      <c r="DG113" s="1181"/>
      <c r="DH113" s="1181"/>
      <c r="DI113" s="1182"/>
      <c r="DJ113" s="1181">
        <v>-0.11</v>
      </c>
      <c r="DK113" s="1181">
        <v>-0.25</v>
      </c>
      <c r="DL113" s="1181">
        <f>(DJ113*DJ110+DK113*DK110)/DL110</f>
        <v>-0.178108108108108</v>
      </c>
      <c r="DM113" s="1181">
        <v>-0.05</v>
      </c>
      <c r="DN113" s="1181">
        <f>(DL113*DL110+DM113*DM110)/DN110</f>
        <v>-0.133045822102426</v>
      </c>
      <c r="DO113" s="1181">
        <v>-0.22</v>
      </c>
      <c r="DP113" s="1181">
        <f>(DM113*DM110+DO113*DO110)/DP110</f>
        <v>-0.128515463917526</v>
      </c>
      <c r="DQ113" s="1182">
        <v>-0.16</v>
      </c>
      <c r="DR113" s="1094">
        <v>-0.15</v>
      </c>
      <c r="DS113" s="1094">
        <v>-0.179</v>
      </c>
      <c r="DT113" s="1094">
        <v>-0.165</v>
      </c>
      <c r="DU113" s="1094">
        <v>0.095</v>
      </c>
      <c r="DV113" s="1094">
        <v>-0.068</v>
      </c>
      <c r="DW113" s="1094">
        <v>0.113</v>
      </c>
      <c r="DX113" s="1094">
        <f>(DU113*DU110+DW113*DW110)/DX110</f>
        <v>0.103442211055276</v>
      </c>
      <c r="DY113" s="1093">
        <f>DY111-DY112</f>
        <v>-0.0218033126293996</v>
      </c>
      <c r="DZ113" s="1083">
        <v>0.36</v>
      </c>
      <c r="EA113" s="1083">
        <v>0.409</v>
      </c>
      <c r="EB113" s="1083">
        <f>(DR110*DZ113+DS110*EA113)/DT110</f>
        <v>0.384925558312655</v>
      </c>
      <c r="EC113" s="1083">
        <v>0.13</v>
      </c>
      <c r="ED113" s="1083">
        <v>0.28</v>
      </c>
      <c r="EE113" s="1083">
        <v>0.13</v>
      </c>
      <c r="EF113" s="1083">
        <f>(-EB113*DT110+EG113*DY110)/DX110</f>
        <v>0.125418760469012</v>
      </c>
      <c r="EG113" s="1093">
        <v>0.23</v>
      </c>
      <c r="EH113" s="1083">
        <v>0.26</v>
      </c>
      <c r="EI113" s="1083">
        <v>0.13</v>
      </c>
      <c r="EJ113" s="1083">
        <v>0.194</v>
      </c>
      <c r="EK113" s="1083">
        <v>0.105</v>
      </c>
      <c r="EL113" s="1083">
        <v>0.159</v>
      </c>
      <c r="EM113" s="1083">
        <v>0.125</v>
      </c>
      <c r="EN113" s="1083">
        <f>(EC110*EK113+EE110*EM113)/EF110</f>
        <v>0.114720785935884</v>
      </c>
      <c r="EO113" s="1093">
        <f>(DZ110*EH113+EA110*EI113+EC110*EK113+EE110*EM113)/EG110</f>
        <v>0.151625305126119</v>
      </c>
      <c r="EP113" s="1083">
        <v>0.059</v>
      </c>
      <c r="EQ113" s="1083">
        <v>0.064</v>
      </c>
      <c r="ER113" s="1094">
        <v>0.061</v>
      </c>
      <c r="ES113" s="1083">
        <v>0.086</v>
      </c>
      <c r="ET113" s="1094">
        <f>(EH110*EP113+EI110*EQ113+EK110*ES113)/EL110</f>
        <v>0.0705774165953807</v>
      </c>
      <c r="EU113" s="1083">
        <v>0.075</v>
      </c>
      <c r="EV113" s="1094">
        <f>(EK110*ES113+EM110*EU113)/EN110</f>
        <v>0.0807915662650602</v>
      </c>
      <c r="EW113" s="1084">
        <f>(EH110*EP113+EI110*EQ113+EK110*ES113+EM110*EU113)/EO110</f>
        <v>0.0716901408450704</v>
      </c>
      <c r="EX113" s="1083">
        <v>0.047</v>
      </c>
      <c r="EY113" s="1083">
        <v>0.107</v>
      </c>
      <c r="EZ113" s="1083">
        <f>(EP110*EX113+EQ110*EY113)/ER110</f>
        <v>0.0755787451984635</v>
      </c>
      <c r="FA113" s="1095">
        <v>0.127</v>
      </c>
      <c r="FB113" s="1083">
        <f>(EP110*EX113+EQ110*EY113+ES110*FA113)/ET110</f>
        <v>0.0947429718875502</v>
      </c>
      <c r="FC113" s="1096">
        <v>0.125</v>
      </c>
      <c r="FD113" s="1083">
        <f>(ES110*FA113+EU110*FC113)/EV110</f>
        <v>0.126060571428571</v>
      </c>
      <c r="FE113" s="1084">
        <f>(EP110*EX113+EQ110*EY113+ES110*FA113+EU110*FC113)/EW110</f>
        <v>0.102252415458937</v>
      </c>
      <c r="FF113" s="1099">
        <v>0.1</v>
      </c>
      <c r="FG113" s="1099">
        <v>0.075</v>
      </c>
      <c r="FH113" s="1083">
        <f>(EX110*FF113+EY110*FG113)/EZ110</f>
        <v>0.0879962779156328</v>
      </c>
      <c r="FI113" s="1099">
        <v>0.08</v>
      </c>
      <c r="FJ113" s="1083">
        <f>(EX110*FF113+EY110*FG113+FA110*FI113)/FB110</f>
        <v>0.0848715041572184</v>
      </c>
      <c r="FK113" s="1083">
        <f>(FE110*FM113-FB110*FJ113)/FC110</f>
        <v>0.423747565529309</v>
      </c>
      <c r="FL113" s="1083">
        <f>(FA110*FI113+FC110*FK113)/FD110</f>
        <v>0.24538108330703</v>
      </c>
      <c r="FM113" s="1084">
        <v>0.175</v>
      </c>
      <c r="FN113" s="1083"/>
      <c r="FO113" s="1083"/>
      <c r="FP113" s="1083"/>
      <c r="FQ113" s="1083"/>
      <c r="FR113" s="1083"/>
      <c r="FS113" s="1083"/>
      <c r="FT113" s="1083"/>
      <c r="FU113" s="1083"/>
      <c r="FV113" s="1115"/>
      <c r="FW113" s="1083"/>
      <c r="FX113" s="1083"/>
      <c r="FY113" s="1083"/>
      <c r="FZ113" s="1083"/>
      <c r="GA113" s="1083"/>
      <c r="GB113" s="1083"/>
      <c r="GC113" s="1084"/>
      <c r="GD113" s="1083"/>
      <c r="GE113" s="1083"/>
      <c r="GF113" s="1083"/>
      <c r="GG113" s="1083"/>
      <c r="GH113" s="1083"/>
      <c r="GI113" s="1083"/>
      <c r="GJ113" s="1083"/>
      <c r="GK113" s="1084"/>
      <c r="GL113" s="1083"/>
      <c r="GM113" s="1083"/>
      <c r="GN113" s="1083"/>
      <c r="GO113" s="1083"/>
      <c r="GP113" s="1083"/>
      <c r="GQ113" s="1083"/>
      <c r="GR113" s="1083"/>
      <c r="GS113" s="1084"/>
      <c r="GT113" s="1083"/>
      <c r="GU113" s="1083"/>
      <c r="GV113" s="1083"/>
      <c r="GW113" s="1083"/>
      <c r="GX113" s="1083"/>
      <c r="GY113" s="1083"/>
      <c r="GZ113" s="1083"/>
      <c r="HA113" s="1084"/>
      <c r="HB113" s="1083"/>
      <c r="HC113" s="1083"/>
      <c r="HD113" s="1083"/>
      <c r="HE113" s="1083"/>
      <c r="HF113" s="1083"/>
      <c r="HG113" s="1083"/>
      <c r="HH113" s="1083"/>
      <c r="HI113" s="1084"/>
      <c r="HJ113" s="1083"/>
      <c r="HK113" s="1083"/>
      <c r="HL113" s="1083"/>
      <c r="HM113" s="1083"/>
      <c r="HN113" s="1083"/>
      <c r="HO113" s="1083"/>
      <c r="HP113" s="1083"/>
      <c r="HQ113" s="1084"/>
      <c r="HR113" s="1083"/>
      <c r="HS113" s="1083"/>
      <c r="HT113" s="1083"/>
      <c r="HU113" s="1083"/>
      <c r="HV113" s="1083"/>
      <c r="HW113" s="1083"/>
      <c r="HX113" s="1083"/>
      <c r="HY113" s="1083"/>
      <c r="HZ113" s="1083"/>
      <c r="IA113" s="1083"/>
      <c r="IB113" s="1083"/>
      <c r="IC113" s="1083"/>
      <c r="ID113" s="1083"/>
      <c r="IE113" s="1083"/>
      <c r="IF113" s="1083"/>
      <c r="IG113" s="1084"/>
      <c r="IH113" s="1083"/>
      <c r="II113" s="1083"/>
      <c r="IJ113" s="1083"/>
      <c r="IK113" s="1083"/>
      <c r="IL113" s="1083"/>
      <c r="IM113" s="1083"/>
      <c r="IN113" s="1083"/>
      <c r="IO113" s="1084"/>
      <c r="IP113" s="1083"/>
      <c r="IQ113" s="1083"/>
      <c r="IR113" s="1083"/>
      <c r="IS113" s="1083"/>
      <c r="IT113" s="1083"/>
      <c r="IU113" s="1083"/>
      <c r="IV113" s="1083"/>
      <c r="IW113" s="1083"/>
      <c r="IX113" s="1188"/>
      <c r="IY113" s="1049"/>
      <c r="IZ113" s="1183"/>
      <c r="JA113" s="1183"/>
      <c r="JB113" s="790"/>
      <c r="JC113" s="790"/>
      <c r="JD113" s="790"/>
      <c r="JE113" s="790"/>
      <c r="JF113" s="790"/>
      <c r="JG113" s="790"/>
      <c r="JH113" s="790"/>
      <c r="JI113" s="790"/>
      <c r="JJ113" s="790"/>
      <c r="JK113" s="790"/>
      <c r="JL113" s="790"/>
      <c r="JM113" s="765"/>
      <c r="JN113" s="765"/>
      <c r="JO113" s="765"/>
      <c r="JP113" s="790"/>
      <c r="JQ113" s="1035"/>
      <c r="JR113" s="1035"/>
      <c r="JS113" s="1035"/>
      <c r="JT113" s="1079"/>
      <c r="JU113" s="1079"/>
      <c r="JV113" s="1180"/>
      <c r="JW113" s="1180"/>
      <c r="JX113" s="1180"/>
      <c r="JY113" s="1180"/>
      <c r="JZ113" s="1180"/>
      <c r="KA113" s="1180"/>
      <c r="LV113" s="1110"/>
    </row>
    <row r="114" hidden="1" outlineLevel="1" spans="1:334">
      <c r="A114" s="967" t="s">
        <v>66</v>
      </c>
      <c r="AX114" s="1059"/>
      <c r="BE114" s="1060"/>
      <c r="BN114" s="1059"/>
      <c r="BU114" s="1060"/>
      <c r="BV114" s="1059"/>
      <c r="CC114" s="1060"/>
      <c r="CD114" s="1059"/>
      <c r="CJ114" s="1061"/>
      <c r="CK114" s="1060"/>
      <c r="CL114" s="1059"/>
      <c r="CS114" s="1060"/>
      <c r="CT114" s="967"/>
      <c r="CU114" s="967"/>
      <c r="CV114" s="967"/>
      <c r="CW114" s="967"/>
      <c r="CX114" s="967"/>
      <c r="CY114" s="967"/>
      <c r="CZ114" s="967"/>
      <c r="DA114" s="967"/>
      <c r="DB114" s="1181">
        <f t="shared" ref="DB114:DJ114" si="619">DB110/DB$127</f>
        <v>0.0881679389312977</v>
      </c>
      <c r="DC114" s="1181">
        <f t="shared" si="619"/>
        <v>0.10591035303451</v>
      </c>
      <c r="DD114" s="1181">
        <f t="shared" si="619"/>
        <v>0.0968683135576736</v>
      </c>
      <c r="DE114" s="1181">
        <f t="shared" si="619"/>
        <v>0.0853341985723556</v>
      </c>
      <c r="DF114" s="1181">
        <f t="shared" si="619"/>
        <v>0.0925452997689408</v>
      </c>
      <c r="DG114" s="1181">
        <f t="shared" si="619"/>
        <v>0.122670807453416</v>
      </c>
      <c r="DH114" s="1181">
        <f t="shared" si="619"/>
        <v>0.102332979851538</v>
      </c>
      <c r="DI114" s="1182">
        <f t="shared" si="619"/>
        <v>0.0997314566163534</v>
      </c>
      <c r="DJ114" s="1181">
        <f t="shared" si="619"/>
        <v>0.095810705973623</v>
      </c>
      <c r="DK114" s="1181">
        <f t="shared" ref="DK114:DY114" si="620">DK110/DK$127</f>
        <v>0.0952380952380952</v>
      </c>
      <c r="DL114" s="1181">
        <f t="shared" si="620"/>
        <v>0.0955312810327706</v>
      </c>
      <c r="DM114" s="1181">
        <f t="shared" si="620"/>
        <v>0.0903426791277259</v>
      </c>
      <c r="DN114" s="1181">
        <f t="shared" si="620"/>
        <v>0.0936395759717314</v>
      </c>
      <c r="DO114" s="1181">
        <f t="shared" si="620"/>
        <v>0.0911680911680912</v>
      </c>
      <c r="DP114" s="1181">
        <f t="shared" si="620"/>
        <v>0.0907220351664796</v>
      </c>
      <c r="DQ114" s="1182">
        <f t="shared" si="620"/>
        <v>0.0930546190155091</v>
      </c>
      <c r="DR114" s="1094">
        <f t="shared" si="620"/>
        <v>0.0740463724756918</v>
      </c>
      <c r="DS114" s="1094">
        <f t="shared" si="620"/>
        <v>0.0702776825505656</v>
      </c>
      <c r="DT114" s="1094">
        <f t="shared" si="620"/>
        <v>0.072093023255814</v>
      </c>
      <c r="DU114" s="1094">
        <f t="shared" si="620"/>
        <v>0.0914071510957324</v>
      </c>
      <c r="DV114" s="1094">
        <f t="shared" si="620"/>
        <v>0.079487745639214</v>
      </c>
      <c r="DW114" s="1094">
        <f t="shared" si="620"/>
        <v>0.0954979536152797</v>
      </c>
      <c r="DX114" s="1094">
        <f t="shared" si="620"/>
        <v>0.09328125</v>
      </c>
      <c r="DY114" s="1093">
        <f t="shared" si="620"/>
        <v>0.0834028356964137</v>
      </c>
      <c r="DZ114" s="1181">
        <f t="shared" ref="DZ114:EI114" si="621">DZ110/DZ$127</f>
        <v>0.0867705468988695</v>
      </c>
      <c r="EA114" s="1181">
        <f t="shared" si="621"/>
        <v>0.0875</v>
      </c>
      <c r="EB114" s="1181">
        <f t="shared" si="621"/>
        <v>0.087123244437431</v>
      </c>
      <c r="EC114" s="1181">
        <f t="shared" si="621"/>
        <v>0.0929220085470085</v>
      </c>
      <c r="ED114" s="1181">
        <f t="shared" si="621"/>
        <v>0.0892768574546176</v>
      </c>
      <c r="EE114" s="1181">
        <f t="shared" si="621"/>
        <v>0.101511879049676</v>
      </c>
      <c r="EF114" s="1181">
        <f t="shared" si="621"/>
        <v>0.096907659269864</v>
      </c>
      <c r="EG114" s="1182">
        <f t="shared" si="621"/>
        <v>0.0922464910305487</v>
      </c>
      <c r="EH114" s="1181">
        <f t="shared" si="621"/>
        <v>0.100679916317992</v>
      </c>
      <c r="EI114" s="1181">
        <f t="shared" si="621"/>
        <v>0.0986636337787887</v>
      </c>
      <c r="EJ114" s="1181">
        <f t="shared" ref="EJ114:EO114" si="622">EJ110/EJ$127</f>
        <v>0.0997139354311402</v>
      </c>
      <c r="EK114" s="1181">
        <f t="shared" si="622"/>
        <v>0.104720824346993</v>
      </c>
      <c r="EL114" s="1181">
        <f t="shared" si="622"/>
        <v>0.101528573910023</v>
      </c>
      <c r="EM114" s="1181">
        <f t="shared" si="622"/>
        <v>0.116651825467498</v>
      </c>
      <c r="EN114" s="1181">
        <f t="shared" si="622"/>
        <v>0.110050384513392</v>
      </c>
      <c r="EO114" s="1182">
        <f t="shared" si="622"/>
        <v>0.104951958610495</v>
      </c>
      <c r="EP114" s="1181">
        <f t="shared" ref="EP114:EW114" si="623">EP110/EP$127</f>
        <v>0.109037589976006</v>
      </c>
      <c r="EQ114" s="1181">
        <f t="shared" si="623"/>
        <v>0.109961572568726</v>
      </c>
      <c r="ER114" s="1181">
        <f t="shared" si="623"/>
        <v>0.109475749929913</v>
      </c>
      <c r="ES114" s="1181">
        <f t="shared" si="623"/>
        <v>0.119618458365558</v>
      </c>
      <c r="ET114" s="1181">
        <f t="shared" si="623"/>
        <v>0.113048215745029</v>
      </c>
      <c r="EU114" s="1181">
        <f t="shared" si="623"/>
        <v>0.118137395803392</v>
      </c>
      <c r="EV114" s="1181">
        <f t="shared" si="623"/>
        <v>0.118918184289209</v>
      </c>
      <c r="EW114" s="1182">
        <f t="shared" si="623"/>
        <v>0.114269942036986</v>
      </c>
      <c r="EX114" s="1181">
        <f t="shared" ref="EX114:FE114" si="624">EX110/EX$127</f>
        <v>0.120402298850575</v>
      </c>
      <c r="EY114" s="1181">
        <f t="shared" si="624"/>
        <v>0.113423212192263</v>
      </c>
      <c r="EZ114" s="1181">
        <f t="shared" si="624"/>
        <v>0.116947185142194</v>
      </c>
      <c r="FA114" s="1185">
        <f t="shared" si="624"/>
        <v>0.127183271832718</v>
      </c>
      <c r="FB114" s="1181">
        <f t="shared" si="624"/>
        <v>0.120744729396733</v>
      </c>
      <c r="FC114" s="1181">
        <f t="shared" si="624"/>
        <v>0.136789067841365</v>
      </c>
      <c r="FD114" s="1181">
        <f t="shared" si="624"/>
        <v>0.131630450083943</v>
      </c>
      <c r="FE114" s="1182">
        <f t="shared" si="624"/>
        <v>0.12463270635595</v>
      </c>
      <c r="FF114" s="1181">
        <f t="shared" ref="FF114:FM114" si="625">FF110/FF$127</f>
        <v>0.142171893826475</v>
      </c>
      <c r="FG114" s="1181">
        <f t="shared" si="625"/>
        <v>0.1320848911621</v>
      </c>
      <c r="FH114" s="1181">
        <f t="shared" si="625"/>
        <v>0.137118584006917</v>
      </c>
      <c r="FI114" s="1181">
        <f t="shared" si="625"/>
        <v>0.149128602002252</v>
      </c>
      <c r="FJ114" s="1181">
        <f t="shared" si="625"/>
        <v>0.141477419291944</v>
      </c>
      <c r="FK114" s="1181">
        <f t="shared" si="625"/>
        <v>0.168389484152149</v>
      </c>
      <c r="FL114" s="1181">
        <f t="shared" si="625"/>
        <v>0.158966600360023</v>
      </c>
      <c r="FM114" s="1182">
        <f t="shared" si="625"/>
        <v>0.148872740823551</v>
      </c>
      <c r="FN114" s="1181"/>
      <c r="FO114" s="1181"/>
      <c r="FP114" s="1181"/>
      <c r="FQ114" s="1181"/>
      <c r="FR114" s="1181"/>
      <c r="FS114" s="1181"/>
      <c r="FT114" s="1181"/>
      <c r="FU114" s="1181"/>
      <c r="FV114" s="1186"/>
      <c r="FW114" s="1181"/>
      <c r="FX114" s="1181"/>
      <c r="FY114" s="1181"/>
      <c r="FZ114" s="1181"/>
      <c r="GA114" s="1181"/>
      <c r="GB114" s="1181"/>
      <c r="GC114" s="1182"/>
      <c r="GD114" s="1181"/>
      <c r="GE114" s="1181"/>
      <c r="GF114" s="1181"/>
      <c r="GG114" s="1181"/>
      <c r="GH114" s="1181"/>
      <c r="GI114" s="1181"/>
      <c r="GJ114" s="1181"/>
      <c r="GK114" s="1182"/>
      <c r="GL114" s="1181"/>
      <c r="GM114" s="1181"/>
      <c r="GN114" s="1181"/>
      <c r="GO114" s="1181"/>
      <c r="GP114" s="1181"/>
      <c r="GQ114" s="1181"/>
      <c r="GR114" s="1181"/>
      <c r="GS114" s="1182"/>
      <c r="GT114" s="1181"/>
      <c r="GU114" s="1181"/>
      <c r="GV114" s="1181"/>
      <c r="GW114" s="1181"/>
      <c r="GX114" s="1181"/>
      <c r="GY114" s="1181"/>
      <c r="GZ114" s="1181"/>
      <c r="HA114" s="1182"/>
      <c r="HB114" s="1181"/>
      <c r="HC114" s="1181"/>
      <c r="HD114" s="1181"/>
      <c r="HE114" s="1181"/>
      <c r="HF114" s="1181"/>
      <c r="HG114" s="1181"/>
      <c r="HH114" s="1181"/>
      <c r="HI114" s="1182"/>
      <c r="HJ114" s="1181"/>
      <c r="HK114" s="1181"/>
      <c r="HL114" s="1181"/>
      <c r="HM114" s="1181"/>
      <c r="HN114" s="1181"/>
      <c r="HO114" s="1181"/>
      <c r="HP114" s="1181"/>
      <c r="HQ114" s="1182"/>
      <c r="HR114" s="1181"/>
      <c r="HS114" s="1181"/>
      <c r="HT114" s="1181"/>
      <c r="HU114" s="1181"/>
      <c r="HV114" s="1181"/>
      <c r="HW114" s="1181"/>
      <c r="HX114" s="1181"/>
      <c r="HY114" s="1181"/>
      <c r="HZ114" s="1181"/>
      <c r="IA114" s="1181"/>
      <c r="IB114" s="1181"/>
      <c r="IC114" s="1181"/>
      <c r="ID114" s="1181"/>
      <c r="IE114" s="1181"/>
      <c r="IF114" s="1181"/>
      <c r="IG114" s="1182"/>
      <c r="IH114" s="1181"/>
      <c r="II114" s="1181"/>
      <c r="IJ114" s="1181"/>
      <c r="IK114" s="1181"/>
      <c r="IL114" s="1181"/>
      <c r="IM114" s="1181"/>
      <c r="IN114" s="1181"/>
      <c r="IO114" s="1182"/>
      <c r="IP114" s="1181"/>
      <c r="IQ114" s="1181"/>
      <c r="IR114" s="1181"/>
      <c r="IS114" s="1181"/>
      <c r="IT114" s="1181"/>
      <c r="IU114" s="1181"/>
      <c r="IV114" s="1181"/>
      <c r="IW114" s="1181"/>
      <c r="IX114" s="1094"/>
      <c r="IY114" s="1049"/>
      <c r="IZ114" s="1183"/>
      <c r="JA114" s="1183"/>
      <c r="JB114" s="790"/>
      <c r="JC114" s="790"/>
      <c r="JD114" s="790"/>
      <c r="JE114" s="790"/>
      <c r="JF114" s="790"/>
      <c r="JG114" s="790"/>
      <c r="JH114" s="790"/>
      <c r="JI114" s="790"/>
      <c r="JJ114" s="790"/>
      <c r="JK114" s="790"/>
      <c r="JL114" s="790"/>
      <c r="JM114" s="765"/>
      <c r="JN114" s="765"/>
      <c r="JO114" s="765"/>
      <c r="JP114" s="790"/>
      <c r="JQ114" s="1035"/>
      <c r="JR114" s="1035"/>
      <c r="JS114" s="1035"/>
      <c r="JU114" s="1094"/>
      <c r="JV114" s="1094"/>
      <c r="JW114" s="1094"/>
      <c r="JX114" s="1094"/>
      <c r="JY114" s="1094"/>
      <c r="JZ114" s="1094"/>
      <c r="KA114" s="1094"/>
      <c r="KP114" s="1110"/>
      <c r="LV114" s="1180"/>
    </row>
    <row r="115" hidden="1" outlineLevel="1" spans="1:334">
      <c r="A115" s="1180" t="s">
        <v>525</v>
      </c>
      <c r="AX115" s="1059"/>
      <c r="BE115" s="1060"/>
      <c r="BN115" s="1059"/>
      <c r="BU115" s="1060"/>
      <c r="BV115" s="1059"/>
      <c r="CC115" s="1060"/>
      <c r="CD115" s="1059"/>
      <c r="CJ115" s="1061"/>
      <c r="CK115" s="1060"/>
      <c r="CL115" s="1059"/>
      <c r="CS115" s="1060"/>
      <c r="CT115" s="1180"/>
      <c r="CU115" s="1180"/>
      <c r="CV115" s="1180"/>
      <c r="CW115" s="1180"/>
      <c r="CX115" s="1180"/>
      <c r="CY115" s="1180"/>
      <c r="CZ115" s="1180"/>
      <c r="DA115" s="1180"/>
      <c r="DB115" s="1071">
        <v>362</v>
      </c>
      <c r="DC115" s="1071">
        <v>353</v>
      </c>
      <c r="DD115" s="1071">
        <f>DB115+DC115</f>
        <v>715</v>
      </c>
      <c r="DE115" s="1071">
        <v>398</v>
      </c>
      <c r="DF115" s="1071">
        <f>DE115+DD115</f>
        <v>1113</v>
      </c>
      <c r="DG115" s="1071">
        <v>472</v>
      </c>
      <c r="DH115" s="1071">
        <f>DE115+DG115</f>
        <v>870</v>
      </c>
      <c r="DI115" s="1072">
        <f>SUM(DB115,DC115,DE115,DG115)</f>
        <v>1585</v>
      </c>
      <c r="DJ115" s="1071">
        <v>381</v>
      </c>
      <c r="DK115" s="1071">
        <v>383</v>
      </c>
      <c r="DL115" s="1071">
        <f>DJ115+DK115</f>
        <v>764</v>
      </c>
      <c r="DM115" s="1071">
        <v>388</v>
      </c>
      <c r="DN115" s="1071">
        <f>DM115+DL115</f>
        <v>1152</v>
      </c>
      <c r="DO115" s="1071">
        <v>495</v>
      </c>
      <c r="DP115" s="1071">
        <f>DM115+DO115</f>
        <v>883</v>
      </c>
      <c r="DQ115" s="1072">
        <f>SUM(DJ115,DK115,DM115,DO115)</f>
        <v>1647</v>
      </c>
      <c r="DR115" s="1079">
        <v>384</v>
      </c>
      <c r="DS115" s="1079">
        <v>484</v>
      </c>
      <c r="DT115" s="1071">
        <f>DR115+DS115</f>
        <v>868</v>
      </c>
      <c r="DU115" s="1079">
        <v>491</v>
      </c>
      <c r="DV115" s="1071">
        <f>DU115+DT115</f>
        <v>1359</v>
      </c>
      <c r="DW115" s="1079">
        <f>DY115-DV115</f>
        <v>613</v>
      </c>
      <c r="DX115" s="1071">
        <f>DU115+DW115</f>
        <v>1104</v>
      </c>
      <c r="DY115" s="1072">
        <v>1972</v>
      </c>
      <c r="DZ115" s="1079">
        <v>446</v>
      </c>
      <c r="EA115" s="1079">
        <v>509.2</v>
      </c>
      <c r="EB115" s="1071">
        <f>DZ115+EA115</f>
        <v>955.2</v>
      </c>
      <c r="EC115" s="1071">
        <f>ED115-EB115</f>
        <v>526.8</v>
      </c>
      <c r="ED115" s="1071">
        <v>1482</v>
      </c>
      <c r="EE115" s="1079">
        <v>621</v>
      </c>
      <c r="EF115" s="1071">
        <f>+EG115-EB115</f>
        <v>1147.8</v>
      </c>
      <c r="EG115" s="1072">
        <v>2103</v>
      </c>
      <c r="EH115" s="1079">
        <v>594</v>
      </c>
      <c r="EI115" s="1071">
        <v>568</v>
      </c>
      <c r="EJ115" s="1071">
        <f>EH115+EI115</f>
        <v>1162</v>
      </c>
      <c r="EK115" s="1071">
        <f>EL115-EJ115</f>
        <v>579</v>
      </c>
      <c r="EL115" s="1071">
        <v>1741</v>
      </c>
      <c r="EM115" s="1071">
        <v>666</v>
      </c>
      <c r="EN115" s="1071">
        <f>EK115+EM115</f>
        <v>1245</v>
      </c>
      <c r="EO115" s="1072">
        <f>EH115+EI115+EK115+EM115</f>
        <v>2407</v>
      </c>
      <c r="EP115" s="1071">
        <v>533</v>
      </c>
      <c r="EQ115" s="1071">
        <f>ER115-EP115</f>
        <v>531</v>
      </c>
      <c r="ER115" s="1071">
        <v>1064</v>
      </c>
      <c r="ES115" s="1071">
        <v>502</v>
      </c>
      <c r="ET115" s="1071">
        <f>ER115+ES115</f>
        <v>1566</v>
      </c>
      <c r="EU115" s="1071">
        <v>640</v>
      </c>
      <c r="EV115" s="1071">
        <f>ES115+EU115</f>
        <v>1142</v>
      </c>
      <c r="EW115" s="1072">
        <f>EP115+EQ115+ES115+EU115</f>
        <v>2206</v>
      </c>
      <c r="EX115" s="1071">
        <v>482</v>
      </c>
      <c r="EY115" s="1071">
        <v>504</v>
      </c>
      <c r="EZ115" s="1071">
        <f>EX115+EY115</f>
        <v>986</v>
      </c>
      <c r="FA115" s="1098">
        <v>534</v>
      </c>
      <c r="FB115" s="1071">
        <f>EZ115+FA115</f>
        <v>1520</v>
      </c>
      <c r="FC115" s="1071">
        <f>EU115*(1+FC116)</f>
        <v>651.935525238415</v>
      </c>
      <c r="FD115" s="1071">
        <f>FA115+FC115</f>
        <v>1185.93552523842</v>
      </c>
      <c r="FE115" s="1072">
        <f>EX115+EY115+FA115+FC115</f>
        <v>2171.93552523841</v>
      </c>
      <c r="FF115" s="1071">
        <f>EX115*(1+FF116)</f>
        <v>572.122655231285</v>
      </c>
      <c r="FG115" s="1071">
        <f>EY115*(1+FG116)</f>
        <v>601.332806438195</v>
      </c>
      <c r="FH115" s="1071">
        <f>FF115+FG115</f>
        <v>1173.45546166948</v>
      </c>
      <c r="FI115" s="1071">
        <f>FA115*(1+FI116)</f>
        <v>601.853725053057</v>
      </c>
      <c r="FJ115" s="1071">
        <f>FH115+FI115</f>
        <v>1775.30918672254</v>
      </c>
      <c r="FK115" s="1071">
        <f>FM115-FJ115</f>
        <v>777.690813277463</v>
      </c>
      <c r="FL115" s="1071">
        <f>FI115+FK115</f>
        <v>1379.54453833052</v>
      </c>
      <c r="FM115" s="1072">
        <v>2553</v>
      </c>
      <c r="FN115" s="1071"/>
      <c r="FO115" s="1071"/>
      <c r="FP115" s="1071"/>
      <c r="FQ115" s="1071"/>
      <c r="FR115" s="1071"/>
      <c r="FS115" s="1071"/>
      <c r="FT115" s="1071"/>
      <c r="FU115" s="1071"/>
      <c r="FV115" s="1177"/>
      <c r="FW115" s="1071"/>
      <c r="FX115" s="1071"/>
      <c r="FY115" s="1071"/>
      <c r="FZ115" s="1071"/>
      <c r="GA115" s="1071"/>
      <c r="GB115" s="1071"/>
      <c r="GC115" s="1072"/>
      <c r="GD115" s="1071"/>
      <c r="GE115" s="1071"/>
      <c r="GF115" s="1071"/>
      <c r="GG115" s="1071"/>
      <c r="GH115" s="1071"/>
      <c r="GI115" s="1071"/>
      <c r="GJ115" s="1071"/>
      <c r="GK115" s="1072"/>
      <c r="GL115" s="1071"/>
      <c r="GM115" s="1071"/>
      <c r="GN115" s="1071"/>
      <c r="GO115" s="1071"/>
      <c r="GP115" s="1071"/>
      <c r="GQ115" s="1071"/>
      <c r="GR115" s="1071"/>
      <c r="GS115" s="1072"/>
      <c r="GT115" s="1071"/>
      <c r="GU115" s="1071"/>
      <c r="GV115" s="1071"/>
      <c r="GW115" s="1071"/>
      <c r="GX115" s="1071"/>
      <c r="GY115" s="1071"/>
      <c r="GZ115" s="1071"/>
      <c r="HA115" s="1072"/>
      <c r="HB115" s="1071"/>
      <c r="HC115" s="1071"/>
      <c r="HD115" s="1071"/>
      <c r="HE115" s="1071"/>
      <c r="HF115" s="1071"/>
      <c r="HG115" s="1071"/>
      <c r="HH115" s="1071"/>
      <c r="HI115" s="1072"/>
      <c r="HJ115" s="1071"/>
      <c r="HK115" s="1071"/>
      <c r="HL115" s="1071"/>
      <c r="HM115" s="1071"/>
      <c r="HN115" s="1071"/>
      <c r="HO115" s="1071"/>
      <c r="HP115" s="1071"/>
      <c r="HQ115" s="1072"/>
      <c r="HR115" s="1071"/>
      <c r="HS115" s="1071"/>
      <c r="HT115" s="1071"/>
      <c r="HU115" s="1071"/>
      <c r="HV115" s="1071"/>
      <c r="HW115" s="1071"/>
      <c r="HX115" s="1071"/>
      <c r="HY115" s="1071"/>
      <c r="HZ115" s="1071"/>
      <c r="IA115" s="1071"/>
      <c r="IB115" s="1071"/>
      <c r="IC115" s="1071"/>
      <c r="ID115" s="1071"/>
      <c r="IE115" s="1071"/>
      <c r="IF115" s="1071"/>
      <c r="IG115" s="1072"/>
      <c r="IH115" s="1071"/>
      <c r="II115" s="1071"/>
      <c r="IJ115" s="1071"/>
      <c r="IK115" s="1071"/>
      <c r="IL115" s="1071"/>
      <c r="IM115" s="1071"/>
      <c r="IN115" s="1071"/>
      <c r="IO115" s="1072"/>
      <c r="IP115" s="1071"/>
      <c r="IQ115" s="1071"/>
      <c r="IR115" s="1071"/>
      <c r="IS115" s="1071"/>
      <c r="IT115" s="1071"/>
      <c r="IU115" s="1071"/>
      <c r="IV115" s="1071"/>
      <c r="IW115" s="1071"/>
      <c r="IX115" s="969"/>
      <c r="IY115" s="1049"/>
      <c r="IZ115" s="1183"/>
      <c r="JA115" s="1183"/>
      <c r="JB115" s="790"/>
      <c r="JC115" s="790"/>
      <c r="JD115" s="790"/>
      <c r="JE115" s="790"/>
      <c r="JF115" s="790"/>
      <c r="JG115" s="790"/>
      <c r="JH115" s="790"/>
      <c r="JI115" s="790"/>
      <c r="JJ115" s="790"/>
      <c r="JK115" s="790"/>
      <c r="JL115" s="790"/>
      <c r="JM115" s="765"/>
      <c r="JN115" s="765"/>
      <c r="JO115" s="765"/>
      <c r="JP115" s="790"/>
      <c r="JQ115" s="1035"/>
      <c r="JR115" s="1035"/>
      <c r="JS115" s="1035"/>
      <c r="JT115" s="1079"/>
      <c r="JU115" s="1079"/>
      <c r="JV115" s="1180"/>
      <c r="JW115" s="1180"/>
      <c r="JX115" s="1180"/>
      <c r="JY115" s="1180"/>
      <c r="JZ115" s="1180"/>
      <c r="KA115" s="1180"/>
      <c r="KP115" s="1025"/>
      <c r="LV115" s="967"/>
    </row>
    <row r="116" hidden="1" outlineLevel="1" spans="1:334">
      <c r="A116" s="967" t="s">
        <v>61</v>
      </c>
      <c r="AX116" s="1059"/>
      <c r="BE116" s="1060"/>
      <c r="BN116" s="1059"/>
      <c r="BU116" s="1060"/>
      <c r="BV116" s="1059"/>
      <c r="CC116" s="1060"/>
      <c r="CD116" s="1059"/>
      <c r="CJ116" s="1061"/>
      <c r="CK116" s="1060"/>
      <c r="CL116" s="1059"/>
      <c r="CS116" s="1060"/>
      <c r="CT116" s="967"/>
      <c r="CU116" s="967"/>
      <c r="CV116" s="967"/>
      <c r="CW116" s="967"/>
      <c r="CX116" s="967"/>
      <c r="CY116" s="967"/>
      <c r="CZ116" s="967"/>
      <c r="DA116" s="967"/>
      <c r="DB116" s="1181"/>
      <c r="DC116" s="1181"/>
      <c r="DD116" s="1181"/>
      <c r="DE116" s="1181"/>
      <c r="DF116" s="1181"/>
      <c r="DG116" s="1181"/>
      <c r="DH116" s="1181"/>
      <c r="DI116" s="1182"/>
      <c r="DJ116" s="1181">
        <f t="shared" ref="DJ116:DW116" si="626">DJ115/DB115-1</f>
        <v>0.0524861878453038</v>
      </c>
      <c r="DK116" s="1181">
        <f t="shared" si="626"/>
        <v>0.0849858356940509</v>
      </c>
      <c r="DL116" s="1181">
        <f t="shared" si="626"/>
        <v>0.0685314685314686</v>
      </c>
      <c r="DM116" s="1181">
        <f t="shared" si="626"/>
        <v>-0.0251256281407035</v>
      </c>
      <c r="DN116" s="1181">
        <f t="shared" si="626"/>
        <v>0.0350404312668464</v>
      </c>
      <c r="DO116" s="1181">
        <f t="shared" si="626"/>
        <v>0.048728813559322</v>
      </c>
      <c r="DP116" s="1181">
        <f t="shared" si="626"/>
        <v>0.0149425287356322</v>
      </c>
      <c r="DQ116" s="1182">
        <f t="shared" si="626"/>
        <v>0.0391167192429023</v>
      </c>
      <c r="DR116" s="1082">
        <f t="shared" si="626"/>
        <v>0.00787401574803148</v>
      </c>
      <c r="DS116" s="1094">
        <f t="shared" si="626"/>
        <v>0.263707571801567</v>
      </c>
      <c r="DT116" s="1094">
        <f t="shared" si="626"/>
        <v>0.136125654450262</v>
      </c>
      <c r="DU116" s="1094">
        <f t="shared" si="626"/>
        <v>0.265463917525773</v>
      </c>
      <c r="DV116" s="1094">
        <f t="shared" si="626"/>
        <v>0.1796875</v>
      </c>
      <c r="DW116" s="1094">
        <f t="shared" si="626"/>
        <v>0.238383838383838</v>
      </c>
      <c r="DX116" s="1094">
        <f>DX117+DX118</f>
        <v>0.250229772924976</v>
      </c>
      <c r="DY116" s="1093">
        <f t="shared" ref="DY116:EG116" si="627">DY115/DQ115-1</f>
        <v>0.197328476017001</v>
      </c>
      <c r="DZ116" s="1082">
        <f t="shared" si="627"/>
        <v>0.161458333333333</v>
      </c>
      <c r="EA116" s="1082">
        <f t="shared" si="627"/>
        <v>0.0520661157024793</v>
      </c>
      <c r="EB116" s="1094">
        <f t="shared" si="627"/>
        <v>0.100460829493088</v>
      </c>
      <c r="EC116" s="1094">
        <f t="shared" si="627"/>
        <v>0.0729124236252545</v>
      </c>
      <c r="ED116" s="1094">
        <f t="shared" si="627"/>
        <v>0.0905077262693157</v>
      </c>
      <c r="EE116" s="1094">
        <f t="shared" si="627"/>
        <v>0.0130505709624795</v>
      </c>
      <c r="EF116" s="1094">
        <f t="shared" si="627"/>
        <v>0.0396739130434782</v>
      </c>
      <c r="EG116" s="1093">
        <f t="shared" si="627"/>
        <v>0.0664300202839756</v>
      </c>
      <c r="EH116" s="1082">
        <f>+EH115/DZ115-1</f>
        <v>0.331838565022422</v>
      </c>
      <c r="EI116" s="1082">
        <f t="shared" ref="EI116:EO116" si="628">EI115/EA115-1</f>
        <v>0.115475255302435</v>
      </c>
      <c r="EJ116" s="1082">
        <f t="shared" si="628"/>
        <v>0.216499162479062</v>
      </c>
      <c r="EK116" s="1082">
        <f t="shared" si="628"/>
        <v>0.0990888382687929</v>
      </c>
      <c r="EL116" s="1082">
        <f t="shared" si="628"/>
        <v>0.174763832658569</v>
      </c>
      <c r="EM116" s="1082">
        <f t="shared" si="628"/>
        <v>0.0724637681159421</v>
      </c>
      <c r="EN116" s="1082">
        <f t="shared" si="628"/>
        <v>0.0846837428123366</v>
      </c>
      <c r="EO116" s="1085">
        <f t="shared" si="628"/>
        <v>0.144555397051831</v>
      </c>
      <c r="EP116" s="1082">
        <f t="shared" ref="EP116:FB116" si="629">EP115/EH115-1</f>
        <v>-0.102693602693603</v>
      </c>
      <c r="EQ116" s="1082">
        <f t="shared" si="629"/>
        <v>-0.0651408450704225</v>
      </c>
      <c r="ER116" s="1082">
        <f t="shared" si="629"/>
        <v>-0.0843373493975904</v>
      </c>
      <c r="ES116" s="1082">
        <f t="shared" si="629"/>
        <v>-0.132987910189983</v>
      </c>
      <c r="ET116" s="1082">
        <f t="shared" si="629"/>
        <v>-0.100516944284894</v>
      </c>
      <c r="EU116" s="1082">
        <f t="shared" si="629"/>
        <v>-0.039039039039039</v>
      </c>
      <c r="EV116" s="1082">
        <f t="shared" si="629"/>
        <v>-0.0827309236947791</v>
      </c>
      <c r="EW116" s="1085">
        <f t="shared" si="629"/>
        <v>-0.0835064395513087</v>
      </c>
      <c r="EX116" s="1082">
        <f t="shared" si="629"/>
        <v>-0.0956848030018762</v>
      </c>
      <c r="EY116" s="1082">
        <f t="shared" si="629"/>
        <v>-0.0508474576271186</v>
      </c>
      <c r="EZ116" s="1082">
        <f t="shared" si="629"/>
        <v>-0.0733082706766918</v>
      </c>
      <c r="FA116" s="1082">
        <f t="shared" si="629"/>
        <v>0.0637450199203187</v>
      </c>
      <c r="FB116" s="1082">
        <f t="shared" si="629"/>
        <v>-0.0293742017879949</v>
      </c>
      <c r="FC116" s="1082">
        <f>FC117+FC118</f>
        <v>0.0186492581850234</v>
      </c>
      <c r="FD116" s="1082">
        <f>FD115/EV115-1</f>
        <v>0.0384724389127977</v>
      </c>
      <c r="FE116" s="1085">
        <f>FE115/EW115-1</f>
        <v>-0.0154417383325409</v>
      </c>
      <c r="FF116" s="1082">
        <f>FF117+FF118</f>
        <v>0.186976463135446</v>
      </c>
      <c r="FG116" s="1082">
        <f>FG117+FG118</f>
        <v>0.193120647694831</v>
      </c>
      <c r="FH116" s="1082">
        <f>FH115/EZ115-1</f>
        <v>0.190117101084665</v>
      </c>
      <c r="FI116" s="1082">
        <f>FI117+FI118</f>
        <v>0.127066900848422</v>
      </c>
      <c r="FJ116" s="1082">
        <f>FJ115/FB115-1</f>
        <v>0.167966570212196</v>
      </c>
      <c r="FK116" s="1082">
        <f>FK115/FC115-1</f>
        <v>0.192895283614217</v>
      </c>
      <c r="FL116" s="1082">
        <f>FL115/FD115-1</f>
        <v>0.16325424862636</v>
      </c>
      <c r="FM116" s="1085">
        <f>FM115/FE115-1</f>
        <v>0.17544925727929</v>
      </c>
      <c r="FN116" s="1082"/>
      <c r="FO116" s="1082"/>
      <c r="FP116" s="1082"/>
      <c r="FQ116" s="1082"/>
      <c r="FR116" s="1082"/>
      <c r="FS116" s="1082"/>
      <c r="FT116" s="1082"/>
      <c r="FU116" s="1082"/>
      <c r="FV116" s="1109"/>
      <c r="FW116" s="1082"/>
      <c r="FX116" s="1082"/>
      <c r="FY116" s="1082"/>
      <c r="FZ116" s="1082"/>
      <c r="GA116" s="1082"/>
      <c r="GB116" s="1082"/>
      <c r="GC116" s="1085"/>
      <c r="GD116" s="1082"/>
      <c r="GE116" s="1082"/>
      <c r="GF116" s="1082"/>
      <c r="GG116" s="1082"/>
      <c r="GH116" s="1082"/>
      <c r="GI116" s="1082"/>
      <c r="GJ116" s="1082"/>
      <c r="GK116" s="1085"/>
      <c r="GL116" s="1082"/>
      <c r="GM116" s="1082"/>
      <c r="GN116" s="1082"/>
      <c r="GO116" s="1082"/>
      <c r="GP116" s="1082"/>
      <c r="GQ116" s="1082"/>
      <c r="GR116" s="1082"/>
      <c r="GS116" s="1085"/>
      <c r="GT116" s="1082"/>
      <c r="GU116" s="1082"/>
      <c r="GV116" s="1082"/>
      <c r="GW116" s="1082"/>
      <c r="GX116" s="1082"/>
      <c r="GY116" s="1082"/>
      <c r="GZ116" s="1082"/>
      <c r="HA116" s="1085"/>
      <c r="HB116" s="1082"/>
      <c r="HC116" s="1082"/>
      <c r="HD116" s="1082"/>
      <c r="HE116" s="1082"/>
      <c r="HF116" s="1082"/>
      <c r="HG116" s="1082"/>
      <c r="HH116" s="1082"/>
      <c r="HI116" s="1085"/>
      <c r="HJ116" s="1082"/>
      <c r="HK116" s="1082"/>
      <c r="HL116" s="1082"/>
      <c r="HM116" s="1082"/>
      <c r="HN116" s="1082"/>
      <c r="HO116" s="1082"/>
      <c r="HP116" s="1082"/>
      <c r="HQ116" s="1085"/>
      <c r="HR116" s="1082"/>
      <c r="HS116" s="1082"/>
      <c r="HT116" s="1082"/>
      <c r="HU116" s="1082"/>
      <c r="HV116" s="1082"/>
      <c r="HW116" s="1082"/>
      <c r="HX116" s="1082"/>
      <c r="HY116" s="1082"/>
      <c r="HZ116" s="1082"/>
      <c r="IA116" s="1082"/>
      <c r="IB116" s="1082"/>
      <c r="IC116" s="1082"/>
      <c r="ID116" s="1082"/>
      <c r="IE116" s="1082"/>
      <c r="IF116" s="1082"/>
      <c r="IG116" s="1085"/>
      <c r="IH116" s="1082"/>
      <c r="II116" s="1082"/>
      <c r="IJ116" s="1082"/>
      <c r="IK116" s="1082"/>
      <c r="IL116" s="1082"/>
      <c r="IM116" s="1082"/>
      <c r="IN116" s="1082"/>
      <c r="IO116" s="1085"/>
      <c r="IP116" s="1082"/>
      <c r="IQ116" s="1082"/>
      <c r="IR116" s="1082"/>
      <c r="IS116" s="1082"/>
      <c r="IT116" s="1082"/>
      <c r="IU116" s="1082"/>
      <c r="IV116" s="1082"/>
      <c r="IW116" s="1082"/>
      <c r="IX116" s="1094"/>
      <c r="IY116" s="1049"/>
      <c r="IZ116" s="1183"/>
      <c r="JA116" s="1183"/>
      <c r="JB116" s="790"/>
      <c r="JC116" s="790"/>
      <c r="JD116" s="790"/>
      <c r="JE116" s="790"/>
      <c r="JF116" s="790"/>
      <c r="JG116" s="790"/>
      <c r="JH116" s="790"/>
      <c r="JI116" s="790"/>
      <c r="JJ116" s="790"/>
      <c r="JK116" s="790"/>
      <c r="JL116" s="790"/>
      <c r="JM116" s="765"/>
      <c r="JN116" s="765"/>
      <c r="JO116" s="765"/>
      <c r="JP116" s="790"/>
      <c r="JQ116" s="1035"/>
      <c r="JR116" s="1035"/>
      <c r="JS116" s="1035"/>
      <c r="JU116" s="1094"/>
      <c r="JV116" s="1094"/>
      <c r="JW116" s="1094"/>
      <c r="JX116" s="1094"/>
      <c r="JY116" s="1094"/>
      <c r="JZ116" s="1094"/>
      <c r="KA116" s="1094"/>
      <c r="KP116" s="1117"/>
      <c r="LV116" s="967"/>
    </row>
    <row r="117" hidden="1" outlineLevel="1" spans="1:334">
      <c r="A117" s="967" t="s">
        <v>63</v>
      </c>
      <c r="AX117" s="1059"/>
      <c r="BE117" s="1060"/>
      <c r="BN117" s="1059"/>
      <c r="BU117" s="1060"/>
      <c r="BV117" s="1059"/>
      <c r="CC117" s="1060"/>
      <c r="CD117" s="1059"/>
      <c r="CJ117" s="1061"/>
      <c r="CK117" s="1060"/>
      <c r="CL117" s="1059"/>
      <c r="CS117" s="1060"/>
      <c r="CT117" s="967"/>
      <c r="CU117" s="967"/>
      <c r="CV117" s="967"/>
      <c r="CW117" s="967"/>
      <c r="CX117" s="967"/>
      <c r="CY117" s="967"/>
      <c r="CZ117" s="967"/>
      <c r="DA117" s="967"/>
      <c r="DB117" s="1181"/>
      <c r="DC117" s="1181"/>
      <c r="DD117" s="1181"/>
      <c r="DE117" s="1181"/>
      <c r="DF117" s="1181"/>
      <c r="DG117" s="1181"/>
      <c r="DH117" s="1181"/>
      <c r="DI117" s="1182"/>
      <c r="DJ117" s="1181">
        <f t="shared" ref="DJ117:DQ117" si="630">DJ116-DJ118</f>
        <v>0.0724861878453038</v>
      </c>
      <c r="DK117" s="1181">
        <f t="shared" si="630"/>
        <v>0.114985835694051</v>
      </c>
      <c r="DL117" s="1181">
        <f t="shared" si="630"/>
        <v>0.0935445575367042</v>
      </c>
      <c r="DM117" s="1181">
        <f t="shared" si="630"/>
        <v>0.0748743718592965</v>
      </c>
      <c r="DN117" s="1181">
        <f t="shared" si="630"/>
        <v>0.0853095284890686</v>
      </c>
      <c r="DO117" s="1181">
        <f t="shared" si="630"/>
        <v>0.028728813559322</v>
      </c>
      <c r="DP117" s="1181">
        <f t="shared" si="630"/>
        <v>0.0476718605589617</v>
      </c>
      <c r="DQ117" s="1182">
        <f t="shared" si="630"/>
        <v>0.0691167192429023</v>
      </c>
      <c r="DR117" s="1082">
        <f t="shared" ref="DR117:DW117" si="631">DR116-DR118</f>
        <v>0.0378740157480315</v>
      </c>
      <c r="DS117" s="1094">
        <f t="shared" si="631"/>
        <v>0.155707571801567</v>
      </c>
      <c r="DT117" s="1094">
        <f t="shared" si="631"/>
        <v>0.0931256544502618</v>
      </c>
      <c r="DU117" s="1094">
        <f t="shared" si="631"/>
        <v>0.200463917525773</v>
      </c>
      <c r="DV117" s="1094">
        <f t="shared" si="631"/>
        <v>0.1286875</v>
      </c>
      <c r="DW117" s="1094">
        <f t="shared" si="631"/>
        <v>0.163383838383838</v>
      </c>
      <c r="DX117" s="1082">
        <f>((DW117*DO115)+(DU117*DM115))/DP115</f>
        <v>0.179677236693092</v>
      </c>
      <c r="DY117" s="1093">
        <v>0.139</v>
      </c>
      <c r="DZ117" s="1082">
        <f t="shared" ref="DZ117:EG117" si="632">DZ116-DZ118</f>
        <v>0.0914583333333333</v>
      </c>
      <c r="EA117" s="1094">
        <f t="shared" si="632"/>
        <v>-0.00793388429752068</v>
      </c>
      <c r="EB117" s="1082">
        <f t="shared" si="632"/>
        <v>0.036036866359447</v>
      </c>
      <c r="EC117" s="1094">
        <f t="shared" si="632"/>
        <v>0.00291242362525451</v>
      </c>
      <c r="ED117" s="1094">
        <f t="shared" si="632"/>
        <v>0.0205077262693157</v>
      </c>
      <c r="EE117" s="1094">
        <f t="shared" si="632"/>
        <v>-0.00694942903752048</v>
      </c>
      <c r="EF117" s="1094">
        <f t="shared" si="632"/>
        <v>0.00101449275362315</v>
      </c>
      <c r="EG117" s="1093">
        <f t="shared" si="632"/>
        <v>0.0164300202839756</v>
      </c>
      <c r="EH117" s="1082">
        <f>+EH116-EH118</f>
        <v>0.0718385650224216</v>
      </c>
      <c r="EI117" s="1094">
        <f>EI116-EI118</f>
        <v>0.0964752553024352</v>
      </c>
      <c r="EJ117" s="1082">
        <f>EJ116-EJ118</f>
        <v>0.085499162479062</v>
      </c>
      <c r="EK117" s="1082">
        <f>EK116-EK118</f>
        <v>0.0890888382687929</v>
      </c>
      <c r="EL117" s="1082">
        <f>EL116-EL118</f>
        <v>0.0867638326585694</v>
      </c>
      <c r="EM117" s="1082">
        <f>EM116-EM118</f>
        <v>0.0364637681159421</v>
      </c>
      <c r="EN117" s="1082">
        <f>EN483</f>
        <v>0.0755983437292644</v>
      </c>
      <c r="EO117" s="1093">
        <f t="shared" ref="EO117:ET117" si="633">EO116-EO118</f>
        <v>0.0716791250594389</v>
      </c>
      <c r="EP117" s="1082">
        <f t="shared" si="633"/>
        <v>-0.0626936026936027</v>
      </c>
      <c r="EQ117" s="1082">
        <f t="shared" si="633"/>
        <v>-0.131140845070423</v>
      </c>
      <c r="ER117" s="1094">
        <f t="shared" si="633"/>
        <v>-0.0943373493975904</v>
      </c>
      <c r="ES117" s="1082">
        <f t="shared" si="633"/>
        <v>-0.173987910189983</v>
      </c>
      <c r="ET117" s="1094">
        <f t="shared" si="633"/>
        <v>-0.12203733486502</v>
      </c>
      <c r="EU117" s="1082">
        <f t="shared" ref="EU117:FB117" si="634">EU116-EU118</f>
        <v>-0.184039039039039</v>
      </c>
      <c r="EV117" s="1094">
        <f t="shared" si="634"/>
        <v>-0.179364658634538</v>
      </c>
      <c r="EW117" s="1085">
        <f t="shared" si="634"/>
        <v>-0.139192771084337</v>
      </c>
      <c r="EX117" s="1082">
        <f t="shared" si="634"/>
        <v>-0.0986848030018762</v>
      </c>
      <c r="EY117" s="1082">
        <f t="shared" si="634"/>
        <v>-0.0528474576271186</v>
      </c>
      <c r="EZ117" s="1082">
        <f t="shared" si="634"/>
        <v>-0.0758092105263158</v>
      </c>
      <c r="FA117" s="1091">
        <f t="shared" si="634"/>
        <v>0.00374501992031867</v>
      </c>
      <c r="FB117" s="1082">
        <f t="shared" si="634"/>
        <v>-0.0503071519795658</v>
      </c>
      <c r="FC117" s="1082">
        <f>0.5*FC483+0.5*FC486</f>
        <v>0.0186492581850234</v>
      </c>
      <c r="FD117" s="1082">
        <f>FD116-FD118</f>
        <v>0.0120976578269834</v>
      </c>
      <c r="FE117" s="1085">
        <f>FE116-FE118</f>
        <v>-0.0303016658030758</v>
      </c>
      <c r="FF117" s="1082">
        <f>50%*FF483+50%*FF486</f>
        <v>0.111976463135446</v>
      </c>
      <c r="FG117" s="1082">
        <f>50%*FG483+50%*FG486</f>
        <v>0.118120647694831</v>
      </c>
      <c r="FH117" s="1082">
        <f>FH116-FH118</f>
        <v>0.115117101084665</v>
      </c>
      <c r="FI117" s="1082">
        <f>50%*FI483+50%*FI486</f>
        <v>0.0870669008484217</v>
      </c>
      <c r="FJ117" s="1082">
        <f>FJ116-FJ118</f>
        <v>0.105262622843774</v>
      </c>
      <c r="FK117" s="1082">
        <f>FK116-FK118</f>
        <v>0.00593883193248362</v>
      </c>
      <c r="FL117" s="1082">
        <f>FL116-FL118</f>
        <v>0.0424689702740275</v>
      </c>
      <c r="FM117" s="1085">
        <f>FM116-FM118</f>
        <v>0.0754492572792903</v>
      </c>
      <c r="FN117" s="1082"/>
      <c r="FO117" s="1082"/>
      <c r="FP117" s="1082"/>
      <c r="FQ117" s="1082"/>
      <c r="FR117" s="1082"/>
      <c r="FS117" s="1082"/>
      <c r="FT117" s="1082"/>
      <c r="FU117" s="1082"/>
      <c r="FV117" s="1109"/>
      <c r="FW117" s="1082"/>
      <c r="FX117" s="1082"/>
      <c r="FY117" s="1082"/>
      <c r="FZ117" s="1082"/>
      <c r="GA117" s="1082"/>
      <c r="GB117" s="1082"/>
      <c r="GC117" s="1085"/>
      <c r="GD117" s="1082"/>
      <c r="GE117" s="1082"/>
      <c r="GF117" s="1082"/>
      <c r="GG117" s="1082"/>
      <c r="GH117" s="1082"/>
      <c r="GI117" s="1082"/>
      <c r="GJ117" s="1082"/>
      <c r="GK117" s="1085"/>
      <c r="GL117" s="1082"/>
      <c r="GM117" s="1082"/>
      <c r="GN117" s="1082"/>
      <c r="GO117" s="1082"/>
      <c r="GP117" s="1082"/>
      <c r="GQ117" s="1082"/>
      <c r="GR117" s="1082"/>
      <c r="GS117" s="1085"/>
      <c r="GT117" s="1082"/>
      <c r="GU117" s="1082"/>
      <c r="GV117" s="1082"/>
      <c r="GW117" s="1082"/>
      <c r="GX117" s="1082"/>
      <c r="GY117" s="1082"/>
      <c r="GZ117" s="1082"/>
      <c r="HA117" s="1085"/>
      <c r="HB117" s="1082"/>
      <c r="HC117" s="1082"/>
      <c r="HD117" s="1082"/>
      <c r="HE117" s="1082"/>
      <c r="HF117" s="1082"/>
      <c r="HG117" s="1082"/>
      <c r="HH117" s="1082"/>
      <c r="HI117" s="1085"/>
      <c r="HJ117" s="1082"/>
      <c r="HK117" s="1082"/>
      <c r="HL117" s="1082"/>
      <c r="HM117" s="1082"/>
      <c r="HN117" s="1082"/>
      <c r="HO117" s="1082"/>
      <c r="HP117" s="1082"/>
      <c r="HQ117" s="1085"/>
      <c r="HR117" s="1082"/>
      <c r="HS117" s="1082"/>
      <c r="HT117" s="1082"/>
      <c r="HU117" s="1082"/>
      <c r="HV117" s="1082"/>
      <c r="HW117" s="1082"/>
      <c r="HX117" s="1082"/>
      <c r="HY117" s="1082"/>
      <c r="HZ117" s="1082"/>
      <c r="IA117" s="1082"/>
      <c r="IB117" s="1082"/>
      <c r="IC117" s="1082"/>
      <c r="ID117" s="1082"/>
      <c r="IE117" s="1082"/>
      <c r="IF117" s="1082"/>
      <c r="IG117" s="1085"/>
      <c r="IH117" s="1082"/>
      <c r="II117" s="1082"/>
      <c r="IJ117" s="1082"/>
      <c r="IK117" s="1082"/>
      <c r="IL117" s="1082"/>
      <c r="IM117" s="1082"/>
      <c r="IN117" s="1082"/>
      <c r="IO117" s="1085"/>
      <c r="IP117" s="1082"/>
      <c r="IQ117" s="1082"/>
      <c r="IR117" s="1082"/>
      <c r="IS117" s="1082"/>
      <c r="IT117" s="1082"/>
      <c r="IU117" s="1082"/>
      <c r="IV117" s="1082"/>
      <c r="IW117" s="1082"/>
      <c r="IX117" s="1094"/>
      <c r="IY117" s="1049"/>
      <c r="IZ117" s="1183"/>
      <c r="JA117" s="1183"/>
      <c r="JB117" s="790"/>
      <c r="JC117" s="790"/>
      <c r="JD117" s="790"/>
      <c r="JE117" s="790"/>
      <c r="JF117" s="790"/>
      <c r="JG117" s="790"/>
      <c r="JH117" s="790"/>
      <c r="JI117" s="790"/>
      <c r="JJ117" s="790"/>
      <c r="JK117" s="790"/>
      <c r="JL117" s="790"/>
      <c r="JM117" s="765"/>
      <c r="JN117" s="765"/>
      <c r="JO117" s="765"/>
      <c r="JP117" s="790"/>
      <c r="JQ117" s="1035"/>
      <c r="JR117" s="1035"/>
      <c r="JS117" s="1035"/>
      <c r="JT117" s="1079"/>
      <c r="JU117" s="1079"/>
      <c r="JV117" s="1180"/>
      <c r="JW117" s="1180"/>
      <c r="JX117" s="1180"/>
      <c r="JY117" s="1180"/>
      <c r="JZ117" s="1180"/>
      <c r="KA117" s="1180"/>
      <c r="KP117" s="1025"/>
      <c r="LV117" s="967"/>
    </row>
    <row r="118" hidden="1" outlineLevel="1" spans="1:334">
      <c r="A118" s="967" t="s">
        <v>65</v>
      </c>
      <c r="AX118" s="1059"/>
      <c r="BE118" s="1060"/>
      <c r="BN118" s="1059"/>
      <c r="BU118" s="1060"/>
      <c r="BV118" s="1059"/>
      <c r="CC118" s="1060"/>
      <c r="CD118" s="1059"/>
      <c r="CJ118" s="1061"/>
      <c r="CK118" s="1060"/>
      <c r="CL118" s="1059"/>
      <c r="CS118" s="1060"/>
      <c r="CT118" s="967"/>
      <c r="CU118" s="967"/>
      <c r="CV118" s="967"/>
      <c r="CW118" s="967"/>
      <c r="CX118" s="967"/>
      <c r="CY118" s="967"/>
      <c r="CZ118" s="967"/>
      <c r="DA118" s="967"/>
      <c r="DB118" s="1181"/>
      <c r="DC118" s="1181"/>
      <c r="DD118" s="1181"/>
      <c r="DE118" s="1181"/>
      <c r="DF118" s="1181"/>
      <c r="DG118" s="1181"/>
      <c r="DH118" s="1181"/>
      <c r="DI118" s="1182"/>
      <c r="DJ118" s="1181">
        <v>-0.02</v>
      </c>
      <c r="DK118" s="1181">
        <v>-0.03</v>
      </c>
      <c r="DL118" s="1181">
        <f>(DJ118*DJ115+DK118*DK115)/DL115</f>
        <v>-0.0250130890052356</v>
      </c>
      <c r="DM118" s="1181">
        <v>-0.1</v>
      </c>
      <c r="DN118" s="1181">
        <f>(DL118*DL115+DM118*DM115)/DN115</f>
        <v>-0.0502690972222222</v>
      </c>
      <c r="DO118" s="1181">
        <v>0.02</v>
      </c>
      <c r="DP118" s="1181">
        <f>(DM118*DM115+DO118*DO115)/DP115</f>
        <v>-0.0327293318233296</v>
      </c>
      <c r="DQ118" s="1182">
        <v>-0.03</v>
      </c>
      <c r="DR118" s="1094">
        <v>-0.03</v>
      </c>
      <c r="DS118" s="1094">
        <v>0.108</v>
      </c>
      <c r="DT118" s="1094">
        <v>0.043</v>
      </c>
      <c r="DU118" s="1094">
        <v>0.065</v>
      </c>
      <c r="DV118" s="1094">
        <v>0.051</v>
      </c>
      <c r="DW118" s="1094">
        <v>0.075</v>
      </c>
      <c r="DX118" s="1094">
        <f>(DU118*DU115+DW118*DW115)/DX115</f>
        <v>0.0705525362318841</v>
      </c>
      <c r="DY118" s="1093">
        <f>DY116-DY117</f>
        <v>0.0583284760170006</v>
      </c>
      <c r="DZ118" s="1083">
        <v>0.07</v>
      </c>
      <c r="EA118" s="1083">
        <v>0.06</v>
      </c>
      <c r="EB118" s="1083">
        <f>(DR115*DZ118+DS115*EA118)/DT115</f>
        <v>0.0644239631336406</v>
      </c>
      <c r="EC118" s="1083">
        <v>0.07</v>
      </c>
      <c r="ED118" s="1083">
        <v>0.07</v>
      </c>
      <c r="EE118" s="1083">
        <v>0.02</v>
      </c>
      <c r="EF118" s="1083">
        <f>(-EB118*DT115+EG118*DY115)/DX115</f>
        <v>0.0386594202898551</v>
      </c>
      <c r="EG118" s="1093">
        <v>0.05</v>
      </c>
      <c r="EH118" s="1083">
        <v>0.26</v>
      </c>
      <c r="EI118" s="1083">
        <v>0.019</v>
      </c>
      <c r="EJ118" s="1083">
        <v>0.131</v>
      </c>
      <c r="EK118" s="1083">
        <v>0.01</v>
      </c>
      <c r="EL118" s="1083">
        <v>0.088</v>
      </c>
      <c r="EM118" s="1083">
        <v>0.036</v>
      </c>
      <c r="EN118" s="1083">
        <f>(EC115*EK118+EE115*EM118)/EF115</f>
        <v>0.0240669106116048</v>
      </c>
      <c r="EO118" s="1093">
        <f>(DZ115*EH118+EA115*EI118+EC115*EK118+EE115*EM118)/EG115</f>
        <v>0.0728762719923918</v>
      </c>
      <c r="EP118" s="1083">
        <v>-0.04</v>
      </c>
      <c r="EQ118" s="1083">
        <v>0.066</v>
      </c>
      <c r="ER118" s="1094">
        <v>0.01</v>
      </c>
      <c r="ES118" s="1083">
        <v>0.041</v>
      </c>
      <c r="ET118" s="1094">
        <f>(EH115*EP118+EI115*EQ118+EK115*ES118)/EL115</f>
        <v>0.0215203905801264</v>
      </c>
      <c r="EU118" s="1083">
        <v>0.145</v>
      </c>
      <c r="EV118" s="1094">
        <f>(EK115*ES118+EM115*EU118)/EN115</f>
        <v>0.096633734939759</v>
      </c>
      <c r="EW118" s="1084">
        <f>(EH115*EP118+EI115*EQ118+EK115*ES118+EM115*EU118)/EO115</f>
        <v>0.0556863315330287</v>
      </c>
      <c r="EX118" s="1083">
        <v>0.003</v>
      </c>
      <c r="EY118" s="1083">
        <v>0.002</v>
      </c>
      <c r="EZ118" s="1083">
        <f>(EP115*EX118+EQ115*EY118)/ER115</f>
        <v>0.00250093984962406</v>
      </c>
      <c r="FA118" s="1095">
        <v>0.06</v>
      </c>
      <c r="FB118" s="1083">
        <f>(EP115*EX118+EQ115*EY118+ES115*FA118)/ET115</f>
        <v>0.0209329501915709</v>
      </c>
      <c r="FC118" s="1096">
        <v>0</v>
      </c>
      <c r="FD118" s="1083">
        <f>(ES115*FA118+EU115*FC118)/EV115</f>
        <v>0.0263747810858144</v>
      </c>
      <c r="FE118" s="1084">
        <f>(EP115*EX118+EQ115*EY118+ES115*FA118+EU115*FC118)/EW115</f>
        <v>0.0148599274705349</v>
      </c>
      <c r="FF118" s="1099">
        <v>0.075</v>
      </c>
      <c r="FG118" s="1099">
        <v>0.075</v>
      </c>
      <c r="FH118" s="1083">
        <f>(EX115*FF118+EY115*FG118)/EZ115</f>
        <v>0.075</v>
      </c>
      <c r="FI118" s="1099">
        <v>0.04</v>
      </c>
      <c r="FJ118" s="1083">
        <f>(EX115*FF118+EY115*FG118+FA115*FI118)/FB115</f>
        <v>0.062703947368421</v>
      </c>
      <c r="FK118" s="1083">
        <f>(FE115*FM118-FB115*FJ118)/FC115</f>
        <v>0.186956451681734</v>
      </c>
      <c r="FL118" s="1083">
        <f>(FA115*FI118+FC115*FK118)/FD115</f>
        <v>0.120785278352332</v>
      </c>
      <c r="FM118" s="1084">
        <v>0.1</v>
      </c>
      <c r="FN118" s="1083"/>
      <c r="FO118" s="1083"/>
      <c r="FP118" s="1083"/>
      <c r="FQ118" s="1083"/>
      <c r="FR118" s="1083"/>
      <c r="FS118" s="1083"/>
      <c r="FT118" s="1083"/>
      <c r="FU118" s="1083"/>
      <c r="FV118" s="1115"/>
      <c r="FW118" s="1083"/>
      <c r="FX118" s="1083"/>
      <c r="FY118" s="1083"/>
      <c r="FZ118" s="1083"/>
      <c r="GA118" s="1083"/>
      <c r="GB118" s="1083"/>
      <c r="GC118" s="1084"/>
      <c r="GD118" s="1083"/>
      <c r="GE118" s="1083"/>
      <c r="GF118" s="1083"/>
      <c r="GG118" s="1083"/>
      <c r="GH118" s="1083"/>
      <c r="GI118" s="1083"/>
      <c r="GJ118" s="1083"/>
      <c r="GK118" s="1084"/>
      <c r="GL118" s="1083"/>
      <c r="GM118" s="1083"/>
      <c r="GN118" s="1083"/>
      <c r="GO118" s="1083"/>
      <c r="GP118" s="1083"/>
      <c r="GQ118" s="1083"/>
      <c r="GR118" s="1083"/>
      <c r="GS118" s="1084"/>
      <c r="GT118" s="1083"/>
      <c r="GU118" s="1083"/>
      <c r="GV118" s="1083"/>
      <c r="GW118" s="1083"/>
      <c r="GX118" s="1083"/>
      <c r="GY118" s="1083"/>
      <c r="GZ118" s="1083"/>
      <c r="HA118" s="1084"/>
      <c r="HB118" s="1083"/>
      <c r="HC118" s="1083"/>
      <c r="HD118" s="1083"/>
      <c r="HE118" s="1083"/>
      <c r="HF118" s="1083"/>
      <c r="HG118" s="1083"/>
      <c r="HH118" s="1083"/>
      <c r="HI118" s="1084"/>
      <c r="HJ118" s="1083"/>
      <c r="HK118" s="1083"/>
      <c r="HL118" s="1083"/>
      <c r="HM118" s="1083"/>
      <c r="HN118" s="1083"/>
      <c r="HO118" s="1083"/>
      <c r="HP118" s="1083"/>
      <c r="HQ118" s="1084"/>
      <c r="HR118" s="1083"/>
      <c r="HS118" s="1083"/>
      <c r="HT118" s="1083"/>
      <c r="HU118" s="1083"/>
      <c r="HV118" s="1083"/>
      <c r="HW118" s="1083"/>
      <c r="HX118" s="1083"/>
      <c r="HY118" s="1083"/>
      <c r="HZ118" s="1083"/>
      <c r="IA118" s="1083"/>
      <c r="IB118" s="1083"/>
      <c r="IC118" s="1083"/>
      <c r="ID118" s="1083"/>
      <c r="IE118" s="1083"/>
      <c r="IF118" s="1083"/>
      <c r="IG118" s="1084"/>
      <c r="IH118" s="1083"/>
      <c r="II118" s="1083"/>
      <c r="IJ118" s="1083"/>
      <c r="IK118" s="1083"/>
      <c r="IL118" s="1083"/>
      <c r="IM118" s="1083"/>
      <c r="IN118" s="1083"/>
      <c r="IO118" s="1084"/>
      <c r="IP118" s="1083"/>
      <c r="IQ118" s="1083"/>
      <c r="IR118" s="1083"/>
      <c r="IS118" s="1083"/>
      <c r="IT118" s="1083"/>
      <c r="IU118" s="1083"/>
      <c r="IV118" s="1083"/>
      <c r="IW118" s="1083"/>
      <c r="IX118" s="1184"/>
      <c r="IY118" s="1049"/>
      <c r="IZ118" s="1183"/>
      <c r="JA118" s="1183"/>
      <c r="JB118" s="790"/>
      <c r="JC118" s="790"/>
      <c r="JD118" s="790"/>
      <c r="JE118" s="790"/>
      <c r="JF118" s="790"/>
      <c r="JG118" s="790"/>
      <c r="JH118" s="790"/>
      <c r="JI118" s="790"/>
      <c r="JJ118" s="790"/>
      <c r="JK118" s="790"/>
      <c r="JL118" s="790"/>
      <c r="JM118" s="765"/>
      <c r="JN118" s="765"/>
      <c r="JO118" s="765"/>
      <c r="JP118" s="790"/>
      <c r="JQ118" s="1035"/>
      <c r="JR118" s="1035"/>
      <c r="JS118" s="1035"/>
      <c r="JU118" s="1094"/>
      <c r="JV118" s="1094"/>
      <c r="JW118" s="1094"/>
      <c r="JX118" s="1094"/>
      <c r="JY118" s="1094"/>
      <c r="JZ118" s="1094"/>
      <c r="KA118" s="1094"/>
      <c r="KP118" s="1117"/>
      <c r="LV118" s="967"/>
    </row>
    <row r="119" hidden="1" outlineLevel="1" spans="1:334">
      <c r="A119" s="967" t="s">
        <v>66</v>
      </c>
      <c r="AX119" s="1059"/>
      <c r="BE119" s="1060"/>
      <c r="BN119" s="1059"/>
      <c r="BU119" s="1060"/>
      <c r="BV119" s="1059"/>
      <c r="CC119" s="1060"/>
      <c r="CD119" s="1059"/>
      <c r="CJ119" s="1061"/>
      <c r="CK119" s="1060"/>
      <c r="CL119" s="1059"/>
      <c r="CS119" s="1060"/>
      <c r="CT119" s="967"/>
      <c r="CU119" s="967"/>
      <c r="CV119" s="967"/>
      <c r="CW119" s="967"/>
      <c r="CX119" s="967"/>
      <c r="CY119" s="967"/>
      <c r="CZ119" s="967"/>
      <c r="DA119" s="967"/>
      <c r="DB119" s="1181">
        <f t="shared" ref="DB119:DJ119" si="635">DB115/DB$127</f>
        <v>0.138167938931298</v>
      </c>
      <c r="DC119" s="1181">
        <f t="shared" si="635"/>
        <v>0.140023800079334</v>
      </c>
      <c r="DD119" s="1181">
        <f t="shared" si="635"/>
        <v>0.139078000389029</v>
      </c>
      <c r="DE119" s="1181">
        <f t="shared" si="635"/>
        <v>0.129136924075276</v>
      </c>
      <c r="DF119" s="1181">
        <f t="shared" si="635"/>
        <v>0.135352061291499</v>
      </c>
      <c r="DG119" s="1181">
        <f t="shared" si="635"/>
        <v>0.183229813664596</v>
      </c>
      <c r="DH119" s="1181">
        <f t="shared" si="635"/>
        <v>0.153764581124072</v>
      </c>
      <c r="DI119" s="1182">
        <f t="shared" si="635"/>
        <v>0.146772849337902</v>
      </c>
      <c r="DJ119" s="1181">
        <f t="shared" si="635"/>
        <v>0.147788983708301</v>
      </c>
      <c r="DK119" s="1181">
        <f t="shared" ref="DK119:DY119" si="636">DK115/DK$127</f>
        <v>0.155881155881156</v>
      </c>
      <c r="DL119" s="1181">
        <f t="shared" si="636"/>
        <v>0.151737835153923</v>
      </c>
      <c r="DM119" s="1181">
        <f t="shared" si="636"/>
        <v>0.134302526825891</v>
      </c>
      <c r="DN119" s="1181">
        <f t="shared" si="636"/>
        <v>0.145381120646138</v>
      </c>
      <c r="DO119" s="1181">
        <f t="shared" si="636"/>
        <v>0.201465201465201</v>
      </c>
      <c r="DP119" s="1181">
        <f t="shared" si="636"/>
        <v>0.165170220725776</v>
      </c>
      <c r="DQ119" s="1182">
        <f t="shared" si="636"/>
        <v>0.158655235526443</v>
      </c>
      <c r="DR119" s="1094">
        <f t="shared" si="636"/>
        <v>0.143605086013463</v>
      </c>
      <c r="DS119" s="1094">
        <f t="shared" si="636"/>
        <v>0.165923894412067</v>
      </c>
      <c r="DT119" s="1094">
        <f t="shared" si="636"/>
        <v>0.155277280858676</v>
      </c>
      <c r="DU119" s="1094">
        <f t="shared" si="636"/>
        <v>0.141580161476355</v>
      </c>
      <c r="DV119" s="1094">
        <f t="shared" si="636"/>
        <v>0.150033119894016</v>
      </c>
      <c r="DW119" s="1094">
        <f t="shared" si="636"/>
        <v>0.209072305593452</v>
      </c>
      <c r="DX119" s="1094">
        <f t="shared" si="636"/>
        <v>0.1725</v>
      </c>
      <c r="DY119" s="1093">
        <f t="shared" si="636"/>
        <v>0.164470391993328</v>
      </c>
      <c r="DZ119" s="1181">
        <f t="shared" ref="DZ119:EI119" si="637">DZ115/DZ$127</f>
        <v>0.136266422242591</v>
      </c>
      <c r="EA119" s="1181">
        <f t="shared" si="637"/>
        <v>0.166187989556136</v>
      </c>
      <c r="EB119" s="1181">
        <f t="shared" si="637"/>
        <v>0.150733785703014</v>
      </c>
      <c r="EC119" s="1181">
        <f t="shared" si="637"/>
        <v>0.140705128205128</v>
      </c>
      <c r="ED119" s="1181">
        <f t="shared" si="637"/>
        <v>0.14700922527527</v>
      </c>
      <c r="EE119" s="1181">
        <f t="shared" si="637"/>
        <v>0.191607528540574</v>
      </c>
      <c r="EF119" s="1181">
        <f t="shared" si="637"/>
        <v>0.164323550465283</v>
      </c>
      <c r="EG119" s="1182">
        <f t="shared" si="637"/>
        <v>0.157847331682054</v>
      </c>
      <c r="EH119" s="1181">
        <f t="shared" si="637"/>
        <v>0.155334728033473</v>
      </c>
      <c r="EI119" s="1181">
        <f t="shared" si="637"/>
        <v>0.161501279499573</v>
      </c>
      <c r="EJ119" s="1181">
        <f t="shared" ref="EJ119:EO119" si="638">EJ115/EJ$127</f>
        <v>0.158289061435772</v>
      </c>
      <c r="EK119" s="1181">
        <f t="shared" si="638"/>
        <v>0.138749101365924</v>
      </c>
      <c r="EL119" s="1181">
        <f t="shared" si="638"/>
        <v>0.151207225985756</v>
      </c>
      <c r="EM119" s="1181">
        <f t="shared" si="638"/>
        <v>0.197684772929653</v>
      </c>
      <c r="EN119" s="1181">
        <f t="shared" si="638"/>
        <v>0.165075576770088</v>
      </c>
      <c r="EO119" s="1182">
        <f t="shared" si="638"/>
        <v>0.161728146207082</v>
      </c>
      <c r="EP119" s="1181">
        <f t="shared" ref="EP119:EW119" si="639">EP115/EP$127</f>
        <v>0.142095441215676</v>
      </c>
      <c r="EQ119" s="1181">
        <f t="shared" si="639"/>
        <v>0.156961276973101</v>
      </c>
      <c r="ER119" s="1181">
        <f t="shared" si="639"/>
        <v>0.149144939725259</v>
      </c>
      <c r="ES119" s="1181">
        <f t="shared" si="639"/>
        <v>0.129414797628255</v>
      </c>
      <c r="ET119" s="1181">
        <f t="shared" si="639"/>
        <v>0.142195587033506</v>
      </c>
      <c r="EU119" s="1181">
        <f t="shared" si="639"/>
        <v>0.183960908306985</v>
      </c>
      <c r="EV119" s="1181">
        <f t="shared" si="639"/>
        <v>0.155205218809459</v>
      </c>
      <c r="EW119" s="1182">
        <f t="shared" si="639"/>
        <v>0.152221915539608</v>
      </c>
      <c r="EX119" s="1181">
        <f t="shared" ref="EX119:FE119" si="640">EX115/EX$127</f>
        <v>0.138505747126437</v>
      </c>
      <c r="EY119" s="1181">
        <f t="shared" si="640"/>
        <v>0.147713950762016</v>
      </c>
      <c r="EZ119" s="1181">
        <f t="shared" si="640"/>
        <v>0.143064422518862</v>
      </c>
      <c r="FA119" s="1185">
        <f t="shared" si="640"/>
        <v>0.131365313653137</v>
      </c>
      <c r="FB119" s="1181">
        <f t="shared" si="640"/>
        <v>0.138724103312951</v>
      </c>
      <c r="FC119" s="1181">
        <f t="shared" si="640"/>
        <v>0.186034250512738</v>
      </c>
      <c r="FD119" s="1181">
        <f t="shared" si="640"/>
        <v>0.156675293877656</v>
      </c>
      <c r="FE119" s="1182">
        <f t="shared" si="640"/>
        <v>0.150188630995703</v>
      </c>
      <c r="FF119" s="1181">
        <f t="shared" ref="FF119:FM119" si="641">FF115/FF$127</f>
        <v>0.154122652562546</v>
      </c>
      <c r="FG119" s="1181">
        <f t="shared" si="641"/>
        <v>0.161362648330381</v>
      </c>
      <c r="FH119" s="1181">
        <f t="shared" si="641"/>
        <v>0.15774969053651</v>
      </c>
      <c r="FI119" s="1181">
        <f t="shared" si="641"/>
        <v>0.142020479069761</v>
      </c>
      <c r="FJ119" s="1181">
        <f t="shared" si="641"/>
        <v>0.152041036147019</v>
      </c>
      <c r="FK119" s="1181">
        <f t="shared" si="641"/>
        <v>0.175769727191383</v>
      </c>
      <c r="FL119" s="1181">
        <f t="shared" si="641"/>
        <v>0.15925878856216</v>
      </c>
      <c r="FM119" s="1182">
        <f t="shared" si="641"/>
        <v>0.158561580026085</v>
      </c>
      <c r="FN119" s="1181"/>
      <c r="FO119" s="1181"/>
      <c r="FP119" s="1181"/>
      <c r="FQ119" s="1181"/>
      <c r="FR119" s="1181"/>
      <c r="FS119" s="1181"/>
      <c r="FT119" s="1181"/>
      <c r="FU119" s="1181"/>
      <c r="FV119" s="1186"/>
      <c r="FW119" s="1181"/>
      <c r="FX119" s="1181"/>
      <c r="FY119" s="1181"/>
      <c r="FZ119" s="1181"/>
      <c r="GA119" s="1181"/>
      <c r="GB119" s="1181"/>
      <c r="GC119" s="1182"/>
      <c r="GD119" s="1181"/>
      <c r="GE119" s="1181"/>
      <c r="GF119" s="1181"/>
      <c r="GG119" s="1181"/>
      <c r="GH119" s="1181"/>
      <c r="GI119" s="1181"/>
      <c r="GJ119" s="1181"/>
      <c r="GK119" s="1182"/>
      <c r="GL119" s="1181"/>
      <c r="GM119" s="1181"/>
      <c r="GN119" s="1181"/>
      <c r="GO119" s="1181"/>
      <c r="GP119" s="1181"/>
      <c r="GQ119" s="1181"/>
      <c r="GR119" s="1181"/>
      <c r="GS119" s="1182"/>
      <c r="GT119" s="1181"/>
      <c r="GU119" s="1181"/>
      <c r="GV119" s="1181"/>
      <c r="GW119" s="1181"/>
      <c r="GX119" s="1181"/>
      <c r="GY119" s="1181"/>
      <c r="GZ119" s="1181"/>
      <c r="HA119" s="1182"/>
      <c r="HB119" s="1181"/>
      <c r="HC119" s="1181"/>
      <c r="HD119" s="1181"/>
      <c r="HE119" s="1181"/>
      <c r="HF119" s="1181"/>
      <c r="HG119" s="1181"/>
      <c r="HH119" s="1181"/>
      <c r="HI119" s="1182"/>
      <c r="HJ119" s="1181"/>
      <c r="HK119" s="1181"/>
      <c r="HL119" s="1181"/>
      <c r="HM119" s="1181"/>
      <c r="HN119" s="1181"/>
      <c r="HO119" s="1181"/>
      <c r="HP119" s="1181"/>
      <c r="HQ119" s="1182"/>
      <c r="HR119" s="1181"/>
      <c r="HS119" s="1181"/>
      <c r="HT119" s="1181"/>
      <c r="HU119" s="1181"/>
      <c r="HV119" s="1181"/>
      <c r="HW119" s="1181"/>
      <c r="HX119" s="1181"/>
      <c r="HY119" s="1181"/>
      <c r="HZ119" s="1181"/>
      <c r="IA119" s="1181"/>
      <c r="IB119" s="1181"/>
      <c r="IC119" s="1181"/>
      <c r="ID119" s="1181"/>
      <c r="IE119" s="1181"/>
      <c r="IF119" s="1181"/>
      <c r="IG119" s="1182"/>
      <c r="IH119" s="1181"/>
      <c r="II119" s="1181"/>
      <c r="IJ119" s="1181"/>
      <c r="IK119" s="1181"/>
      <c r="IL119" s="1181"/>
      <c r="IM119" s="1181"/>
      <c r="IN119" s="1181"/>
      <c r="IO119" s="1182"/>
      <c r="IP119" s="1181"/>
      <c r="IQ119" s="1181"/>
      <c r="IR119" s="1181"/>
      <c r="IS119" s="1181"/>
      <c r="IT119" s="1181"/>
      <c r="IU119" s="1181"/>
      <c r="IV119" s="1181"/>
      <c r="IW119" s="1181"/>
      <c r="IX119" s="1094"/>
      <c r="IY119" s="1049"/>
      <c r="IZ119" s="1183"/>
      <c r="JA119" s="1183"/>
      <c r="JB119" s="790"/>
      <c r="JC119" s="790"/>
      <c r="JD119" s="790"/>
      <c r="JE119" s="790"/>
      <c r="JF119" s="790"/>
      <c r="JG119" s="790"/>
      <c r="JH119" s="790"/>
      <c r="JI119" s="790"/>
      <c r="JJ119" s="790"/>
      <c r="JK119" s="790"/>
      <c r="JL119" s="790"/>
      <c r="JM119" s="765"/>
      <c r="JN119" s="765"/>
      <c r="JO119" s="765"/>
      <c r="JP119" s="790"/>
      <c r="JQ119" s="1035"/>
      <c r="JR119" s="1035"/>
      <c r="JS119" s="1035"/>
      <c r="JT119" s="1079"/>
      <c r="JU119" s="1079"/>
      <c r="JV119" s="1180"/>
      <c r="JW119" s="1180"/>
      <c r="JX119" s="1180"/>
      <c r="JY119" s="1180"/>
      <c r="JZ119" s="1180"/>
      <c r="KA119" s="1180"/>
      <c r="KP119" s="1117"/>
      <c r="LV119" s="967"/>
    </row>
    <row r="120" hidden="1" outlineLevel="1" spans="1:334">
      <c r="A120" s="1180" t="s">
        <v>102</v>
      </c>
      <c r="AX120" s="1059"/>
      <c r="BE120" s="1060"/>
      <c r="BN120" s="1059"/>
      <c r="BU120" s="1060"/>
      <c r="BV120" s="1059"/>
      <c r="CC120" s="1060"/>
      <c r="CD120" s="1059"/>
      <c r="CJ120" s="1061"/>
      <c r="CK120" s="1060"/>
      <c r="CL120" s="1059"/>
      <c r="CS120" s="1060"/>
      <c r="CT120" s="1180"/>
      <c r="CU120" s="1180"/>
      <c r="CV120" s="1180"/>
      <c r="CW120" s="1180"/>
      <c r="CX120" s="1180"/>
      <c r="CY120" s="1180"/>
      <c r="CZ120" s="1180"/>
      <c r="DA120" s="1180"/>
      <c r="DB120" s="1071">
        <v>177</v>
      </c>
      <c r="DC120" s="1071">
        <v>204</v>
      </c>
      <c r="DD120" s="1071">
        <f>DB120+DC120</f>
        <v>381</v>
      </c>
      <c r="DE120" s="1071">
        <v>266</v>
      </c>
      <c r="DF120" s="1071">
        <f>DE120+DD120</f>
        <v>647</v>
      </c>
      <c r="DG120" s="1071">
        <v>247</v>
      </c>
      <c r="DH120" s="1071">
        <f>DE120+DG120</f>
        <v>513</v>
      </c>
      <c r="DI120" s="1072">
        <f>SUM(DB120,DC120,DE120,DG120)</f>
        <v>894</v>
      </c>
      <c r="DJ120" s="1071">
        <v>218</v>
      </c>
      <c r="DK120" s="1071">
        <v>226</v>
      </c>
      <c r="DL120" s="1071">
        <f>DJ120+DK120</f>
        <v>444</v>
      </c>
      <c r="DM120" s="1071">
        <v>270</v>
      </c>
      <c r="DN120" s="1071">
        <f>DM120+DL120</f>
        <v>714</v>
      </c>
      <c r="DO120" s="1071">
        <v>293</v>
      </c>
      <c r="DP120" s="1071">
        <f>DM120+DO120</f>
        <v>563</v>
      </c>
      <c r="DQ120" s="1072">
        <f>SUM(DJ120,DK120,DM120,DO120)</f>
        <v>1007</v>
      </c>
      <c r="DR120" s="1079">
        <v>271</v>
      </c>
      <c r="DS120" s="1079">
        <v>330</v>
      </c>
      <c r="DT120" s="1079">
        <f>SUM(DR120,DS120)</f>
        <v>601</v>
      </c>
      <c r="DU120" s="1079">
        <v>330</v>
      </c>
      <c r="DV120" s="1079">
        <f>DT120+DU120</f>
        <v>931</v>
      </c>
      <c r="DW120" s="1079">
        <f>DY120-DV120</f>
        <v>354</v>
      </c>
      <c r="DX120" s="1079">
        <f>DY120-DT120</f>
        <v>684</v>
      </c>
      <c r="DY120" s="1174">
        <v>1285</v>
      </c>
      <c r="DZ120" s="1079">
        <v>328</v>
      </c>
      <c r="EA120" s="1079">
        <v>338</v>
      </c>
      <c r="EB120" s="1079">
        <f>EB127-EB115-EB110-EB105-EB100-EB95</f>
        <v>667.2</v>
      </c>
      <c r="EC120" s="1071">
        <f>ED120-EB120</f>
        <v>363.8</v>
      </c>
      <c r="ED120" s="1079">
        <v>1031</v>
      </c>
      <c r="EE120" s="1079">
        <f>+EF120-EC120</f>
        <v>338</v>
      </c>
      <c r="EF120" s="1071">
        <f>+EG120-EB120</f>
        <v>701.8</v>
      </c>
      <c r="EG120" s="1072">
        <v>1369</v>
      </c>
      <c r="EH120" s="1079">
        <v>372</v>
      </c>
      <c r="EI120" s="1071">
        <v>332</v>
      </c>
      <c r="EJ120" s="1071">
        <f>EH120+EI120</f>
        <v>704</v>
      </c>
      <c r="EK120" s="1071">
        <f>EL120-EJ120</f>
        <v>431</v>
      </c>
      <c r="EL120" s="1071">
        <v>1135</v>
      </c>
      <c r="EM120" s="1071">
        <v>347</v>
      </c>
      <c r="EN120" s="1071">
        <f>EK120+EM120</f>
        <v>778</v>
      </c>
      <c r="EO120" s="1072">
        <f>EH120+EI120+EK120+EM120</f>
        <v>1482</v>
      </c>
      <c r="EP120" s="1071">
        <v>390</v>
      </c>
      <c r="EQ120" s="1071">
        <f>ER120-EP120</f>
        <v>375</v>
      </c>
      <c r="ER120" s="1071">
        <v>765</v>
      </c>
      <c r="ES120" s="1071">
        <v>418</v>
      </c>
      <c r="ET120" s="1071">
        <f>ER120+ES120</f>
        <v>1183</v>
      </c>
      <c r="EU120" s="1071">
        <v>391</v>
      </c>
      <c r="EV120" s="1071">
        <f>ES120+EU120</f>
        <v>809</v>
      </c>
      <c r="EW120" s="1072">
        <f>EP120+EQ120+ES120+EU120</f>
        <v>1574</v>
      </c>
      <c r="EX120" s="1071">
        <v>377</v>
      </c>
      <c r="EY120" s="1071">
        <v>404</v>
      </c>
      <c r="EZ120" s="1071">
        <f>EX120+EY120</f>
        <v>781</v>
      </c>
      <c r="FA120" s="1098">
        <v>429</v>
      </c>
      <c r="FB120" s="1071">
        <f>EZ120+FA120</f>
        <v>1210</v>
      </c>
      <c r="FC120" s="1071">
        <f>EU120*(1+FC121)</f>
        <v>406.76130455008</v>
      </c>
      <c r="FD120" s="1071">
        <f>FA120+FC120</f>
        <v>835.76130455008</v>
      </c>
      <c r="FE120" s="1072">
        <f>EX120+EY120+FA120+FC120</f>
        <v>1616.76130455008</v>
      </c>
      <c r="FF120" s="1071">
        <f>EX120*(1+FF121)</f>
        <v>451.073787706869</v>
      </c>
      <c r="FG120" s="1071">
        <f>EY120*(1+FG121)</f>
        <v>436.050928938759</v>
      </c>
      <c r="FH120" s="1071">
        <f>FF120+FG120</f>
        <v>887.124716645629</v>
      </c>
      <c r="FI120" s="1071">
        <f>FA120*(1+FI121)</f>
        <v>470.234404182774</v>
      </c>
      <c r="FJ120" s="1071">
        <f>FH120+FI120</f>
        <v>1357.3591208284</v>
      </c>
      <c r="FK120" s="1071">
        <f>FM120-FJ120</f>
        <v>395.640879171597</v>
      </c>
      <c r="FL120" s="1071">
        <f>FI120+FK120</f>
        <v>865.875283354371</v>
      </c>
      <c r="FM120" s="1072">
        <v>1753</v>
      </c>
      <c r="FN120" s="1071"/>
      <c r="FO120" s="1071"/>
      <c r="FP120" s="1071"/>
      <c r="FQ120" s="1071"/>
      <c r="FR120" s="1071"/>
      <c r="FS120" s="1071"/>
      <c r="FT120" s="1071"/>
      <c r="FU120" s="1071"/>
      <c r="FV120" s="1177"/>
      <c r="FW120" s="1071"/>
      <c r="FX120" s="1071"/>
      <c r="FY120" s="1071"/>
      <c r="FZ120" s="1071"/>
      <c r="GA120" s="1071"/>
      <c r="GB120" s="1071"/>
      <c r="GC120" s="1072"/>
      <c r="GD120" s="1071"/>
      <c r="GE120" s="1071"/>
      <c r="GF120" s="1071"/>
      <c r="GG120" s="1071"/>
      <c r="GH120" s="1071"/>
      <c r="GI120" s="1071"/>
      <c r="GJ120" s="1071"/>
      <c r="GK120" s="1072"/>
      <c r="GL120" s="1071"/>
      <c r="GM120" s="1071"/>
      <c r="GN120" s="1071"/>
      <c r="GO120" s="1071"/>
      <c r="GP120" s="1071"/>
      <c r="GQ120" s="1071"/>
      <c r="GR120" s="1071"/>
      <c r="GS120" s="1072"/>
      <c r="GT120" s="1071"/>
      <c r="GU120" s="1071"/>
      <c r="GV120" s="1071"/>
      <c r="GW120" s="1071"/>
      <c r="GX120" s="1071"/>
      <c r="GY120" s="1071"/>
      <c r="GZ120" s="1071"/>
      <c r="HA120" s="1072"/>
      <c r="HB120" s="1071"/>
      <c r="HC120" s="1071"/>
      <c r="HD120" s="1071"/>
      <c r="HE120" s="1071"/>
      <c r="HF120" s="1071"/>
      <c r="HG120" s="1071"/>
      <c r="HH120" s="1071"/>
      <c r="HI120" s="1072"/>
      <c r="HJ120" s="1071"/>
      <c r="HK120" s="1071"/>
      <c r="HL120" s="1071"/>
      <c r="HM120" s="1071"/>
      <c r="HN120" s="1071"/>
      <c r="HO120" s="1071"/>
      <c r="HP120" s="1071"/>
      <c r="HQ120" s="1072"/>
      <c r="HR120" s="1071"/>
      <c r="HS120" s="1071"/>
      <c r="HT120" s="1071"/>
      <c r="HU120" s="1071"/>
      <c r="HV120" s="1071"/>
      <c r="HW120" s="1071"/>
      <c r="HX120" s="1071"/>
      <c r="HY120" s="1071"/>
      <c r="HZ120" s="1071"/>
      <c r="IA120" s="1071"/>
      <c r="IB120" s="1071"/>
      <c r="IC120" s="1071"/>
      <c r="ID120" s="1071"/>
      <c r="IE120" s="1071"/>
      <c r="IF120" s="1071"/>
      <c r="IG120" s="1072"/>
      <c r="IH120" s="1071"/>
      <c r="II120" s="1071"/>
      <c r="IJ120" s="1071"/>
      <c r="IK120" s="1071"/>
      <c r="IL120" s="1071"/>
      <c r="IM120" s="1071"/>
      <c r="IN120" s="1071"/>
      <c r="IO120" s="1072"/>
      <c r="IP120" s="1071"/>
      <c r="IQ120" s="1071"/>
      <c r="IR120" s="1071"/>
      <c r="IS120" s="1071"/>
      <c r="IT120" s="1071"/>
      <c r="IU120" s="1071"/>
      <c r="IV120" s="1071"/>
      <c r="IW120" s="1071"/>
      <c r="IX120" s="969"/>
      <c r="IY120" s="1049"/>
      <c r="IZ120" s="1183"/>
      <c r="JA120" s="1183"/>
      <c r="JB120" s="790"/>
      <c r="JC120" s="790"/>
      <c r="JD120" s="790"/>
      <c r="JE120" s="790"/>
      <c r="JF120" s="790"/>
      <c r="JG120" s="790"/>
      <c r="JH120" s="790"/>
      <c r="JI120" s="790"/>
      <c r="JJ120" s="790"/>
      <c r="JK120" s="790"/>
      <c r="JL120" s="790"/>
      <c r="JM120" s="765"/>
      <c r="JN120" s="765"/>
      <c r="JO120" s="765"/>
      <c r="JP120" s="790"/>
      <c r="JQ120" s="1035"/>
      <c r="JR120" s="1035"/>
      <c r="JS120" s="1035"/>
      <c r="JU120" s="1094"/>
      <c r="JV120" s="1094"/>
      <c r="JW120" s="1094"/>
      <c r="JX120" s="1094"/>
      <c r="JY120" s="1094"/>
      <c r="JZ120" s="1094"/>
      <c r="KA120" s="1094"/>
      <c r="KP120" s="1117"/>
      <c r="LV120" s="967"/>
    </row>
    <row r="121" hidden="1" outlineLevel="1" spans="1:334">
      <c r="A121" s="967" t="s">
        <v>61</v>
      </c>
      <c r="AX121" s="1059"/>
      <c r="BE121" s="1060"/>
      <c r="BN121" s="1059"/>
      <c r="BU121" s="1060"/>
      <c r="BV121" s="1059"/>
      <c r="CC121" s="1060"/>
      <c r="CD121" s="1059"/>
      <c r="CJ121" s="1061"/>
      <c r="CK121" s="1060"/>
      <c r="CL121" s="1059"/>
      <c r="CS121" s="1060"/>
      <c r="CT121" s="967"/>
      <c r="CU121" s="967"/>
      <c r="CV121" s="967"/>
      <c r="CW121" s="967"/>
      <c r="CX121" s="967"/>
      <c r="CY121" s="967"/>
      <c r="CZ121" s="967"/>
      <c r="DA121" s="967"/>
      <c r="DB121" s="1181"/>
      <c r="DC121" s="1181"/>
      <c r="DD121" s="1181"/>
      <c r="DE121" s="1181"/>
      <c r="DF121" s="1181"/>
      <c r="DG121" s="1181"/>
      <c r="DH121" s="1181"/>
      <c r="DI121" s="1182"/>
      <c r="DJ121" s="1181">
        <f t="shared" ref="DJ121:DT121" si="642">DJ120/DB120-1</f>
        <v>0.231638418079096</v>
      </c>
      <c r="DK121" s="1181">
        <f t="shared" si="642"/>
        <v>0.107843137254902</v>
      </c>
      <c r="DL121" s="1181">
        <f t="shared" si="642"/>
        <v>0.165354330708661</v>
      </c>
      <c r="DM121" s="1181">
        <f t="shared" si="642"/>
        <v>0.0150375939849625</v>
      </c>
      <c r="DN121" s="1181">
        <f t="shared" si="642"/>
        <v>0.10355486862442</v>
      </c>
      <c r="DO121" s="1181">
        <f t="shared" si="642"/>
        <v>0.186234817813765</v>
      </c>
      <c r="DP121" s="1181">
        <f t="shared" si="642"/>
        <v>0.0974658869395713</v>
      </c>
      <c r="DQ121" s="1182">
        <f t="shared" si="642"/>
        <v>0.126398210290828</v>
      </c>
      <c r="DR121" s="1082">
        <f t="shared" si="642"/>
        <v>0.243119266055046</v>
      </c>
      <c r="DS121" s="1094">
        <f t="shared" si="642"/>
        <v>0.460176991150443</v>
      </c>
      <c r="DT121" s="1094">
        <f t="shared" si="642"/>
        <v>0.353603603603604</v>
      </c>
      <c r="DU121" s="1094">
        <f t="shared" ref="DU121:EA121" si="643">DU120/DM120-1</f>
        <v>0.222222222222222</v>
      </c>
      <c r="DV121" s="1094">
        <f t="shared" si="643"/>
        <v>0.303921568627451</v>
      </c>
      <c r="DW121" s="1094">
        <f t="shared" si="643"/>
        <v>0.208191126279863</v>
      </c>
      <c r="DX121" s="1094">
        <f t="shared" si="643"/>
        <v>0.214920071047957</v>
      </c>
      <c r="DY121" s="1093">
        <f t="shared" si="643"/>
        <v>0.276067527308838</v>
      </c>
      <c r="DZ121" s="1082">
        <f t="shared" si="643"/>
        <v>0.210332103321033</v>
      </c>
      <c r="EA121" s="1082">
        <f t="shared" si="643"/>
        <v>0.0242424242424242</v>
      </c>
      <c r="EB121" s="1082">
        <f t="shared" ref="EB121:EG121" si="644">EB120/DT120-1</f>
        <v>0.110149750415973</v>
      </c>
      <c r="EC121" s="1094">
        <f t="shared" si="644"/>
        <v>0.102424242424243</v>
      </c>
      <c r="ED121" s="1082">
        <f t="shared" si="644"/>
        <v>0.107411385606874</v>
      </c>
      <c r="EE121" s="1094">
        <f t="shared" si="644"/>
        <v>-0.0451977401129944</v>
      </c>
      <c r="EF121" s="1094">
        <f t="shared" si="644"/>
        <v>0.0260233918128658</v>
      </c>
      <c r="EG121" s="1093">
        <f t="shared" si="644"/>
        <v>0.0653696498054475</v>
      </c>
      <c r="EH121" s="1082">
        <f t="shared" ref="EH121:EN121" si="645">+EH120/DZ120-1</f>
        <v>0.134146341463415</v>
      </c>
      <c r="EI121" s="1082">
        <f>EI120/EA120-1</f>
        <v>-0.0177514792899408</v>
      </c>
      <c r="EJ121" s="1082">
        <f t="shared" si="645"/>
        <v>0.0551558752997605</v>
      </c>
      <c r="EK121" s="1082">
        <f>EK120/EC120-1</f>
        <v>0.184716877405167</v>
      </c>
      <c r="EL121" s="1082">
        <f t="shared" si="645"/>
        <v>0.100872938894278</v>
      </c>
      <c r="EM121" s="1082">
        <f>EM120/EE120-1</f>
        <v>0.0266272189349113</v>
      </c>
      <c r="EN121" s="1082">
        <f t="shared" si="645"/>
        <v>0.108577942433741</v>
      </c>
      <c r="EO121" s="1085">
        <f t="shared" ref="EO121:ET121" si="646">EO120/EG120-1</f>
        <v>0.0825420014609204</v>
      </c>
      <c r="EP121" s="1082">
        <f t="shared" si="646"/>
        <v>0.0483870967741935</v>
      </c>
      <c r="EQ121" s="1082">
        <f t="shared" si="646"/>
        <v>0.129518072289157</v>
      </c>
      <c r="ER121" s="1082">
        <f t="shared" si="646"/>
        <v>0.0866477272727273</v>
      </c>
      <c r="ES121" s="1082">
        <f t="shared" si="646"/>
        <v>-0.0301624129930395</v>
      </c>
      <c r="ET121" s="1082">
        <f t="shared" si="646"/>
        <v>0.0422907488986783</v>
      </c>
      <c r="EU121" s="1082">
        <f t="shared" ref="EU121:FB121" si="647">EU120/EM120-1</f>
        <v>0.126801152737752</v>
      </c>
      <c r="EV121" s="1082">
        <f t="shared" si="647"/>
        <v>0.0398457583547558</v>
      </c>
      <c r="EW121" s="1085">
        <f t="shared" si="647"/>
        <v>0.0620782726045883</v>
      </c>
      <c r="EX121" s="1082">
        <f t="shared" si="647"/>
        <v>-0.0333333333333333</v>
      </c>
      <c r="EY121" s="1082">
        <f t="shared" si="647"/>
        <v>0.0773333333333333</v>
      </c>
      <c r="EZ121" s="1082">
        <f t="shared" si="647"/>
        <v>0.0209150326797385</v>
      </c>
      <c r="FA121" s="1082">
        <f t="shared" si="647"/>
        <v>0.0263157894736843</v>
      </c>
      <c r="FB121" s="1082">
        <f t="shared" si="647"/>
        <v>0.0228233305156382</v>
      </c>
      <c r="FC121" s="1082">
        <f>FC122+FC123</f>
        <v>0.0403102418160605</v>
      </c>
      <c r="FD121" s="1082">
        <f>FD120/EV120-1</f>
        <v>0.0330794864648698</v>
      </c>
      <c r="FE121" s="1085">
        <f>FE120/EW120-1</f>
        <v>0.0271672837039898</v>
      </c>
      <c r="FF121" s="1082">
        <f>FF122+FF123</f>
        <v>0.196482195508937</v>
      </c>
      <c r="FG121" s="1082">
        <f>FG122+FG123</f>
        <v>0.0793339825216816</v>
      </c>
      <c r="FH121" s="1082">
        <f>FH120/EZ120-1</f>
        <v>0.135883119904774</v>
      </c>
      <c r="FI121" s="1082">
        <f>FI122+FI123</f>
        <v>0.0961174922675393</v>
      </c>
      <c r="FJ121" s="1082">
        <f>FJ120/FB120-1</f>
        <v>0.121784397378845</v>
      </c>
      <c r="FK121" s="1082">
        <f>FK120/FC120-1</f>
        <v>-0.0273389460946466</v>
      </c>
      <c r="FL121" s="1082">
        <f>FL120/FD120-1</f>
        <v>0.0360317935759218</v>
      </c>
      <c r="FM121" s="1085">
        <f>FM120/FE120-1</f>
        <v>0.0842664251466814</v>
      </c>
      <c r="FN121" s="1082"/>
      <c r="FO121" s="1082"/>
      <c r="FP121" s="1082"/>
      <c r="FQ121" s="1082"/>
      <c r="FR121" s="1082"/>
      <c r="FS121" s="1082"/>
      <c r="FT121" s="1082"/>
      <c r="FU121" s="1082"/>
      <c r="FV121" s="1109"/>
      <c r="FW121" s="1082"/>
      <c r="FX121" s="1082"/>
      <c r="FY121" s="1082"/>
      <c r="FZ121" s="1082"/>
      <c r="GA121" s="1082"/>
      <c r="GB121" s="1082"/>
      <c r="GC121" s="1085"/>
      <c r="GD121" s="1082"/>
      <c r="GE121" s="1082"/>
      <c r="GF121" s="1082"/>
      <c r="GG121" s="1082"/>
      <c r="GH121" s="1082"/>
      <c r="GI121" s="1082"/>
      <c r="GJ121" s="1082"/>
      <c r="GK121" s="1085"/>
      <c r="GL121" s="1082"/>
      <c r="GM121" s="1082"/>
      <c r="GN121" s="1082"/>
      <c r="GO121" s="1082"/>
      <c r="GP121" s="1082"/>
      <c r="GQ121" s="1082"/>
      <c r="GR121" s="1082"/>
      <c r="GS121" s="1085"/>
      <c r="GT121" s="1082"/>
      <c r="GU121" s="1082"/>
      <c r="GV121" s="1082"/>
      <c r="GW121" s="1082"/>
      <c r="GX121" s="1082"/>
      <c r="GY121" s="1082"/>
      <c r="GZ121" s="1082"/>
      <c r="HA121" s="1085"/>
      <c r="HB121" s="1082"/>
      <c r="HC121" s="1082"/>
      <c r="HD121" s="1082"/>
      <c r="HE121" s="1082"/>
      <c r="HF121" s="1082"/>
      <c r="HG121" s="1082"/>
      <c r="HH121" s="1082"/>
      <c r="HI121" s="1085"/>
      <c r="HJ121" s="1082"/>
      <c r="HK121" s="1082"/>
      <c r="HL121" s="1082"/>
      <c r="HM121" s="1082"/>
      <c r="HN121" s="1082"/>
      <c r="HO121" s="1082"/>
      <c r="HP121" s="1082"/>
      <c r="HQ121" s="1085"/>
      <c r="HR121" s="1082"/>
      <c r="HS121" s="1082"/>
      <c r="HT121" s="1082"/>
      <c r="HU121" s="1082"/>
      <c r="HV121" s="1082"/>
      <c r="HW121" s="1082"/>
      <c r="HX121" s="1082"/>
      <c r="HY121" s="1082"/>
      <c r="HZ121" s="1082"/>
      <c r="IA121" s="1082"/>
      <c r="IB121" s="1082"/>
      <c r="IC121" s="1082"/>
      <c r="ID121" s="1082"/>
      <c r="IE121" s="1082"/>
      <c r="IF121" s="1082"/>
      <c r="IG121" s="1085"/>
      <c r="IH121" s="1082"/>
      <c r="II121" s="1082"/>
      <c r="IJ121" s="1082"/>
      <c r="IK121" s="1082"/>
      <c r="IL121" s="1082"/>
      <c r="IM121" s="1082"/>
      <c r="IN121" s="1082"/>
      <c r="IO121" s="1085"/>
      <c r="IP121" s="1082"/>
      <c r="IQ121" s="1082"/>
      <c r="IR121" s="1082"/>
      <c r="IS121" s="1082"/>
      <c r="IT121" s="1082"/>
      <c r="IU121" s="1082"/>
      <c r="IV121" s="1082"/>
      <c r="IW121" s="1082"/>
      <c r="IX121" s="1094"/>
      <c r="IY121" s="1049"/>
      <c r="IZ121" s="1183"/>
      <c r="JA121" s="1183"/>
      <c r="JB121" s="790"/>
      <c r="JC121" s="790"/>
      <c r="JD121" s="790"/>
      <c r="JE121" s="790"/>
      <c r="JF121" s="790"/>
      <c r="JG121" s="790"/>
      <c r="JH121" s="790"/>
      <c r="JI121" s="790"/>
      <c r="JJ121" s="790"/>
      <c r="JK121" s="790"/>
      <c r="JL121" s="790"/>
      <c r="JM121" s="765"/>
      <c r="JN121" s="765"/>
      <c r="JO121" s="765"/>
      <c r="JP121" s="790"/>
      <c r="JQ121" s="1035"/>
      <c r="JR121" s="1035"/>
      <c r="JS121" s="1035"/>
      <c r="JT121" s="1079"/>
      <c r="JU121" s="1079"/>
      <c r="JV121" s="1180"/>
      <c r="JW121" s="1180"/>
      <c r="JX121" s="1180"/>
      <c r="JY121" s="1180"/>
      <c r="JZ121" s="1180"/>
      <c r="KA121" s="1180"/>
      <c r="KP121" s="1117"/>
      <c r="LV121" s="967"/>
    </row>
    <row r="122" hidden="1" outlineLevel="1" spans="1:334">
      <c r="A122" s="967" t="s">
        <v>63</v>
      </c>
      <c r="AX122" s="1059"/>
      <c r="BE122" s="1060"/>
      <c r="BN122" s="1059"/>
      <c r="BU122" s="1060"/>
      <c r="BV122" s="1059"/>
      <c r="CC122" s="1060"/>
      <c r="CD122" s="1059"/>
      <c r="CJ122" s="1061"/>
      <c r="CK122" s="1060"/>
      <c r="CL122" s="1059"/>
      <c r="CS122" s="1060"/>
      <c r="CT122" s="967"/>
      <c r="CU122" s="967"/>
      <c r="CV122" s="967"/>
      <c r="CW122" s="967"/>
      <c r="CX122" s="967"/>
      <c r="CY122" s="967"/>
      <c r="CZ122" s="967"/>
      <c r="DA122" s="967"/>
      <c r="DB122" s="1181"/>
      <c r="DC122" s="1181"/>
      <c r="DD122" s="1181"/>
      <c r="DE122" s="1181"/>
      <c r="DF122" s="1181"/>
      <c r="DG122" s="1181"/>
      <c r="DH122" s="1181"/>
      <c r="DI122" s="1182"/>
      <c r="DJ122" s="1181">
        <f t="shared" ref="DJ122:DQ122" si="648">DJ121-DJ123</f>
        <v>-0.078361581920904</v>
      </c>
      <c r="DK122" s="1181">
        <f t="shared" si="648"/>
        <v>-0.072156862745098</v>
      </c>
      <c r="DL122" s="1181">
        <f t="shared" si="648"/>
        <v>-0.0784744981201675</v>
      </c>
      <c r="DM122" s="1181">
        <f t="shared" si="648"/>
        <v>-0.0949624060150375</v>
      </c>
      <c r="DN122" s="1181">
        <f t="shared" si="648"/>
        <v>-0.0896664198909858</v>
      </c>
      <c r="DO122" s="1181">
        <f t="shared" si="648"/>
        <v>-0.0137651821862348</v>
      </c>
      <c r="DP122" s="1181">
        <f t="shared" si="648"/>
        <v>-0.0593724789574092</v>
      </c>
      <c r="DQ122" s="1182">
        <f t="shared" si="648"/>
        <v>-0.0636017897091724</v>
      </c>
      <c r="DR122" s="1082">
        <f t="shared" ref="DR122:DW122" si="649">DR121-DR123</f>
        <v>0.0631192660550459</v>
      </c>
      <c r="DS122" s="1094">
        <f t="shared" si="649"/>
        <v>0.186176991150443</v>
      </c>
      <c r="DT122" s="1094">
        <f t="shared" si="649"/>
        <v>0.122603603603604</v>
      </c>
      <c r="DU122" s="1094">
        <f t="shared" si="649"/>
        <v>0.153222222222222</v>
      </c>
      <c r="DV122" s="1094">
        <f t="shared" si="649"/>
        <v>0.135921568627451</v>
      </c>
      <c r="DW122" s="1094">
        <f t="shared" si="649"/>
        <v>0.132191126279863</v>
      </c>
      <c r="DX122" s="1082">
        <f>((DW122*DO120)+(DU122*DM120))/DP120</f>
        <v>0.142277087033748</v>
      </c>
      <c r="DY122" s="1093">
        <v>0.136</v>
      </c>
      <c r="DZ122" s="1082">
        <f t="shared" ref="DZ122:EG122" si="650">DZ121-DZ123</f>
        <v>0.0603321033210333</v>
      </c>
      <c r="EA122" s="1094">
        <f t="shared" si="650"/>
        <v>-0.0557575757575758</v>
      </c>
      <c r="EB122" s="1082">
        <f t="shared" si="650"/>
        <v>0.036149750415973</v>
      </c>
      <c r="EC122" s="1094">
        <f t="shared" si="650"/>
        <v>-0.077575757575757</v>
      </c>
      <c r="ED122" s="1094">
        <f t="shared" si="650"/>
        <v>-0.0325886143931257</v>
      </c>
      <c r="EE122" s="1094">
        <f t="shared" si="650"/>
        <v>-0.0351977401129944</v>
      </c>
      <c r="EF122" s="1094">
        <f t="shared" si="650"/>
        <v>-0.0968216374269003</v>
      </c>
      <c r="EG122" s="1093">
        <f t="shared" si="650"/>
        <v>-0.0346303501945525</v>
      </c>
      <c r="EH122" s="1082">
        <f>+EH121-EH123</f>
        <v>-0.00585365853658548</v>
      </c>
      <c r="EI122" s="1094">
        <f>EI121-EI123</f>
        <v>0.00124852071005919</v>
      </c>
      <c r="EJ122" s="1082">
        <f>+EJ121-EJ123</f>
        <v>-0.00484412470023948</v>
      </c>
      <c r="EK122" s="1082">
        <f>EK121-EK123</f>
        <v>0.0277168774051671</v>
      </c>
      <c r="EL122" s="1082">
        <f>EL121-EL123</f>
        <v>0.00587293889427751</v>
      </c>
      <c r="EM122" s="1082">
        <f>EM121-EM123</f>
        <v>-0.0173727810650887</v>
      </c>
      <c r="EN122" s="1082">
        <f>EN483*0.5</f>
        <v>0.0377991718646322</v>
      </c>
      <c r="EO122" s="1085">
        <f t="shared" ref="EO122:ET122" si="651">EO121-EO123</f>
        <v>0.00110547845142439</v>
      </c>
      <c r="EP122" s="1082">
        <f t="shared" si="651"/>
        <v>-0.0666129032258065</v>
      </c>
      <c r="EQ122" s="1082">
        <f t="shared" si="651"/>
        <v>-0.0824819277108433</v>
      </c>
      <c r="ER122" s="1094">
        <f t="shared" si="651"/>
        <v>-0.0743522727272727</v>
      </c>
      <c r="ES122" s="1082">
        <f t="shared" si="651"/>
        <v>-0.153162412993039</v>
      </c>
      <c r="ET122" s="1094">
        <f t="shared" si="651"/>
        <v>-0.104120704845815</v>
      </c>
      <c r="EU122" s="1082">
        <f t="shared" ref="EU122:FB122" si="652">EU121-EU123</f>
        <v>-0.197198847262248</v>
      </c>
      <c r="EV122" s="1094">
        <f t="shared" si="652"/>
        <v>-0.172803341902314</v>
      </c>
      <c r="EW122" s="1085">
        <f t="shared" si="652"/>
        <v>-0.125914304993252</v>
      </c>
      <c r="EX122" s="1082">
        <f t="shared" si="652"/>
        <v>-0.218333333333333</v>
      </c>
      <c r="EY122" s="1082">
        <f t="shared" si="652"/>
        <v>-0.247666666666667</v>
      </c>
      <c r="EZ122" s="1082">
        <f t="shared" si="652"/>
        <v>-0.232712418300654</v>
      </c>
      <c r="FA122" s="1091">
        <f t="shared" si="652"/>
        <v>-0.131684210526316</v>
      </c>
      <c r="FB122" s="1082">
        <f t="shared" si="652"/>
        <v>-0.197015215553677</v>
      </c>
      <c r="FC122" s="1082">
        <f>0.8*FC487+0.05*FC483+0.15*FC488</f>
        <v>-0.0596897581839395</v>
      </c>
      <c r="FD122" s="1082">
        <f>FD121-FD123</f>
        <v>-0.0968883750926086</v>
      </c>
      <c r="FE122" s="1085">
        <f>FE121-FE123</f>
        <v>-0.162901966613672</v>
      </c>
      <c r="FF122" s="1082">
        <f>45%*FF483+30%*FF487+25%*FF488</f>
        <v>0.0964821955089375</v>
      </c>
      <c r="FG122" s="1082">
        <f>45%*FG483+30%*FG487+25%*FG488</f>
        <v>0.0793339825216816</v>
      </c>
      <c r="FH122" s="1082">
        <f>FH121-FH123</f>
        <v>0.0876116730417781</v>
      </c>
      <c r="FI122" s="1082">
        <f>45%*FI483+30%*FI487+25%*FI488</f>
        <v>-0.00388250773246072</v>
      </c>
      <c r="FJ122" s="1082">
        <f>FJ121-FJ123</f>
        <v>0.0551728271309116</v>
      </c>
      <c r="FK122" s="1082">
        <f>FK121-FK123</f>
        <v>-0.0279242161900095</v>
      </c>
      <c r="FL122" s="1082">
        <f>FL121-FL123</f>
        <v>-0.0155835001600412</v>
      </c>
      <c r="FM122" s="1085">
        <f>FM121-FM123</f>
        <v>0.0342664251466814</v>
      </c>
      <c r="FN122" s="1082"/>
      <c r="FO122" s="1082"/>
      <c r="FP122" s="1082"/>
      <c r="FQ122" s="1082"/>
      <c r="FR122" s="1082"/>
      <c r="FS122" s="1082"/>
      <c r="FT122" s="1082"/>
      <c r="FU122" s="1082"/>
      <c r="FV122" s="1109"/>
      <c r="FW122" s="1082"/>
      <c r="FX122" s="1082"/>
      <c r="FY122" s="1082"/>
      <c r="FZ122" s="1082"/>
      <c r="GA122" s="1082"/>
      <c r="GB122" s="1082"/>
      <c r="GC122" s="1085"/>
      <c r="GD122" s="1082"/>
      <c r="GE122" s="1082"/>
      <c r="GF122" s="1082"/>
      <c r="GG122" s="1082"/>
      <c r="GH122" s="1082"/>
      <c r="GI122" s="1082"/>
      <c r="GJ122" s="1082"/>
      <c r="GK122" s="1085"/>
      <c r="GL122" s="1082"/>
      <c r="GM122" s="1082"/>
      <c r="GN122" s="1082"/>
      <c r="GO122" s="1082"/>
      <c r="GP122" s="1082"/>
      <c r="GQ122" s="1082"/>
      <c r="GR122" s="1082"/>
      <c r="GS122" s="1085"/>
      <c r="GT122" s="1082"/>
      <c r="GU122" s="1082"/>
      <c r="GV122" s="1082"/>
      <c r="GW122" s="1082"/>
      <c r="GX122" s="1082"/>
      <c r="GY122" s="1082"/>
      <c r="GZ122" s="1082"/>
      <c r="HA122" s="1085"/>
      <c r="HB122" s="1082"/>
      <c r="HC122" s="1082"/>
      <c r="HD122" s="1082"/>
      <c r="HE122" s="1082"/>
      <c r="HF122" s="1082"/>
      <c r="HG122" s="1082"/>
      <c r="HH122" s="1082"/>
      <c r="HI122" s="1085"/>
      <c r="HJ122" s="1082"/>
      <c r="HK122" s="1082"/>
      <c r="HL122" s="1082"/>
      <c r="HM122" s="1082"/>
      <c r="HN122" s="1082"/>
      <c r="HO122" s="1082"/>
      <c r="HP122" s="1082"/>
      <c r="HQ122" s="1085"/>
      <c r="HR122" s="1082"/>
      <c r="HS122" s="1082"/>
      <c r="HT122" s="1082"/>
      <c r="HU122" s="1082"/>
      <c r="HV122" s="1082"/>
      <c r="HW122" s="1082"/>
      <c r="HX122" s="1082"/>
      <c r="HY122" s="1082"/>
      <c r="HZ122" s="1082"/>
      <c r="IA122" s="1082"/>
      <c r="IB122" s="1082"/>
      <c r="IC122" s="1082"/>
      <c r="ID122" s="1082"/>
      <c r="IE122" s="1082"/>
      <c r="IF122" s="1082"/>
      <c r="IG122" s="1085"/>
      <c r="IH122" s="1082"/>
      <c r="II122" s="1082"/>
      <c r="IJ122" s="1082"/>
      <c r="IK122" s="1082"/>
      <c r="IL122" s="1082"/>
      <c r="IM122" s="1082"/>
      <c r="IN122" s="1082"/>
      <c r="IO122" s="1085"/>
      <c r="IP122" s="1082"/>
      <c r="IQ122" s="1082"/>
      <c r="IR122" s="1082"/>
      <c r="IS122" s="1082"/>
      <c r="IT122" s="1082"/>
      <c r="IU122" s="1082"/>
      <c r="IV122" s="1082"/>
      <c r="IW122" s="1082"/>
      <c r="IX122" s="1094"/>
      <c r="IY122" s="1049"/>
      <c r="IZ122" s="1183"/>
      <c r="JA122" s="1183"/>
      <c r="JB122" s="790"/>
      <c r="JC122" s="790"/>
      <c r="JD122" s="790"/>
      <c r="JE122" s="790"/>
      <c r="JF122" s="790"/>
      <c r="JG122" s="790"/>
      <c r="JH122" s="790"/>
      <c r="JI122" s="790"/>
      <c r="JJ122" s="790"/>
      <c r="JK122" s="790"/>
      <c r="JL122" s="790"/>
      <c r="JM122" s="765"/>
      <c r="JN122" s="765"/>
      <c r="JO122" s="765"/>
      <c r="JP122" s="790"/>
      <c r="JQ122" s="1035"/>
      <c r="JR122" s="1035"/>
      <c r="JS122" s="1035"/>
      <c r="JU122" s="1094"/>
      <c r="JV122" s="1094"/>
      <c r="JW122" s="1094"/>
      <c r="JX122" s="1094"/>
      <c r="JY122" s="1094"/>
      <c r="JZ122" s="1094"/>
      <c r="KA122" s="1094"/>
      <c r="KP122" s="1117"/>
      <c r="LV122" s="967"/>
    </row>
    <row r="123" hidden="1" outlineLevel="1" spans="1:334">
      <c r="A123" s="967" t="s">
        <v>65</v>
      </c>
      <c r="AX123" s="1059"/>
      <c r="BE123" s="1060"/>
      <c r="BN123" s="1059"/>
      <c r="BU123" s="1060"/>
      <c r="BV123" s="1059"/>
      <c r="CC123" s="1060"/>
      <c r="CD123" s="1059"/>
      <c r="CJ123" s="1061"/>
      <c r="CK123" s="1060"/>
      <c r="CL123" s="1059"/>
      <c r="CS123" s="1060"/>
      <c r="CT123" s="967"/>
      <c r="CU123" s="967"/>
      <c r="CV123" s="967"/>
      <c r="CW123" s="967"/>
      <c r="CX123" s="967"/>
      <c r="CY123" s="967"/>
      <c r="CZ123" s="967"/>
      <c r="DA123" s="967"/>
      <c r="DB123" s="1181"/>
      <c r="DC123" s="1181"/>
      <c r="DD123" s="1181"/>
      <c r="DE123" s="1181"/>
      <c r="DF123" s="1181"/>
      <c r="DG123" s="1181"/>
      <c r="DH123" s="1181"/>
      <c r="DI123" s="1182"/>
      <c r="DJ123" s="1181">
        <v>0.31</v>
      </c>
      <c r="DK123" s="1181">
        <v>0.18</v>
      </c>
      <c r="DL123" s="1181">
        <f>(DJ123*DJ120+DK123*DK120)/DL120</f>
        <v>0.243828828828829</v>
      </c>
      <c r="DM123" s="1181">
        <v>0.11</v>
      </c>
      <c r="DN123" s="1181">
        <f>(DL123*DL120+DM123*DM120)/DN120</f>
        <v>0.193221288515406</v>
      </c>
      <c r="DO123" s="1181">
        <v>0.2</v>
      </c>
      <c r="DP123" s="1181">
        <f>(DM123*DM120+DO123*DO120)/DP120</f>
        <v>0.15683836589698</v>
      </c>
      <c r="DQ123" s="1182">
        <v>0.19</v>
      </c>
      <c r="DR123" s="1094">
        <v>0.18</v>
      </c>
      <c r="DS123" s="1094">
        <v>0.274</v>
      </c>
      <c r="DT123" s="1094">
        <v>0.231</v>
      </c>
      <c r="DU123" s="1094">
        <v>0.069</v>
      </c>
      <c r="DV123" s="1094">
        <v>0.168</v>
      </c>
      <c r="DW123" s="1094">
        <v>0.076</v>
      </c>
      <c r="DX123" s="1094">
        <f>DX121-DX122</f>
        <v>0.0726429840142095</v>
      </c>
      <c r="DY123" s="1093">
        <f>DY121-DY122</f>
        <v>0.140067527308838</v>
      </c>
      <c r="DZ123" s="1083">
        <v>0.15</v>
      </c>
      <c r="EA123" s="1083">
        <v>0.08</v>
      </c>
      <c r="EB123" s="1083">
        <v>0.074</v>
      </c>
      <c r="EC123" s="1083">
        <v>0.18</v>
      </c>
      <c r="ED123" s="1083">
        <v>0.14</v>
      </c>
      <c r="EE123" s="1083">
        <v>-0.01</v>
      </c>
      <c r="EF123" s="1083">
        <f>(-EB123*DT120+EG123*DY120)/DX120</f>
        <v>0.122845029239766</v>
      </c>
      <c r="EG123" s="1093">
        <v>0.1</v>
      </c>
      <c r="EH123" s="1083">
        <v>0.14</v>
      </c>
      <c r="EI123" s="1083">
        <v>-0.019</v>
      </c>
      <c r="EJ123" s="1083">
        <v>0.06</v>
      </c>
      <c r="EK123" s="1083">
        <v>0.157</v>
      </c>
      <c r="EL123" s="1083">
        <v>0.095</v>
      </c>
      <c r="EM123" s="1082">
        <v>0.044</v>
      </c>
      <c r="EN123" s="1083">
        <f>EN121-EN122</f>
        <v>0.0707787705691092</v>
      </c>
      <c r="EO123" s="1093">
        <f>(DZ120*EH123+EA120*EI123+EC120*EK123+EE120*EM123)/EG120</f>
        <v>0.081436523009496</v>
      </c>
      <c r="EP123" s="1083">
        <v>0.115</v>
      </c>
      <c r="EQ123" s="1083">
        <v>0.212</v>
      </c>
      <c r="ER123" s="1094">
        <v>0.161</v>
      </c>
      <c r="ES123" s="1083">
        <v>0.123</v>
      </c>
      <c r="ET123" s="1094">
        <f>(EH120*EP123+EI120*EQ123+EK120*ES123)/EL120</f>
        <v>0.146411453744493</v>
      </c>
      <c r="EU123" s="1087">
        <v>0.324</v>
      </c>
      <c r="EV123" s="1094">
        <f>(EK120*ES123+EM120*EU123)/EN120</f>
        <v>0.212649100257069</v>
      </c>
      <c r="EW123" s="1084">
        <f>(EH120*EP123+EI120*EQ123+EK120*ES123+EM120*EU123)/EO120</f>
        <v>0.187992577597841</v>
      </c>
      <c r="EX123" s="1083">
        <v>0.185</v>
      </c>
      <c r="EY123" s="1083">
        <v>0.325</v>
      </c>
      <c r="EZ123" s="1083">
        <f>(EP120*EX123+EQ120*EY123)/ER120</f>
        <v>0.253627450980392</v>
      </c>
      <c r="FA123" s="1095">
        <v>0.158</v>
      </c>
      <c r="FB123" s="1083">
        <f>(EP120*EX123+EQ120*EY123+ES120*FA123)/ET120</f>
        <v>0.219838546069315</v>
      </c>
      <c r="FC123" s="1096">
        <v>0.1</v>
      </c>
      <c r="FD123" s="1083">
        <f>(ES120*FA123+EU120*FC123)/EV120</f>
        <v>0.129967861557478</v>
      </c>
      <c r="FE123" s="1084">
        <f>(EP120*EX123+EQ120*EY123+ES120*FA123+EU120*FC123)/EW120</f>
        <v>0.190069250317662</v>
      </c>
      <c r="FF123" s="1099">
        <v>0.1</v>
      </c>
      <c r="FG123" s="1099">
        <v>0</v>
      </c>
      <c r="FH123" s="1083">
        <f>(EX120*FF123+EY120*FG123)/EZ120</f>
        <v>0.0482714468629962</v>
      </c>
      <c r="FI123" s="1099">
        <v>0.1</v>
      </c>
      <c r="FJ123" s="1083">
        <f>(EX120*FF123+EY120*FG123+FA120*FI123)/FB120</f>
        <v>0.0666115702479339</v>
      </c>
      <c r="FK123" s="1083">
        <f>(FE120*FM123-FB120*FJ123)/FC120</f>
        <v>0.000585270095362944</v>
      </c>
      <c r="FL123" s="1083">
        <f>(FA120*FI123+FC120*FK123)/FD120</f>
        <v>0.051615293735963</v>
      </c>
      <c r="FM123" s="1084">
        <v>0.05</v>
      </c>
      <c r="FN123" s="1083"/>
      <c r="FO123" s="1083"/>
      <c r="FP123" s="1083"/>
      <c r="FQ123" s="1083"/>
      <c r="FR123" s="1083"/>
      <c r="FS123" s="1083"/>
      <c r="FT123" s="1083"/>
      <c r="FU123" s="1083"/>
      <c r="FV123" s="1115"/>
      <c r="FW123" s="1083"/>
      <c r="FX123" s="1083"/>
      <c r="FY123" s="1083"/>
      <c r="FZ123" s="1083"/>
      <c r="GA123" s="1083"/>
      <c r="GB123" s="1083"/>
      <c r="GC123" s="1084"/>
      <c r="GD123" s="1083"/>
      <c r="GE123" s="1083"/>
      <c r="GF123" s="1083"/>
      <c r="GG123" s="1083"/>
      <c r="GH123" s="1083"/>
      <c r="GI123" s="1083"/>
      <c r="GJ123" s="1083"/>
      <c r="GK123" s="1084"/>
      <c r="GL123" s="1083"/>
      <c r="GM123" s="1083"/>
      <c r="GN123" s="1083"/>
      <c r="GO123" s="1083"/>
      <c r="GP123" s="1083"/>
      <c r="GQ123" s="1083"/>
      <c r="GR123" s="1083"/>
      <c r="GS123" s="1084"/>
      <c r="GT123" s="1083"/>
      <c r="GU123" s="1083"/>
      <c r="GV123" s="1083"/>
      <c r="GW123" s="1083"/>
      <c r="GX123" s="1083"/>
      <c r="GY123" s="1083"/>
      <c r="GZ123" s="1083"/>
      <c r="HA123" s="1084"/>
      <c r="HB123" s="1083"/>
      <c r="HC123" s="1083"/>
      <c r="HD123" s="1083"/>
      <c r="HE123" s="1083"/>
      <c r="HF123" s="1083"/>
      <c r="HG123" s="1083"/>
      <c r="HH123" s="1083"/>
      <c r="HI123" s="1084"/>
      <c r="HJ123" s="1083"/>
      <c r="HK123" s="1083"/>
      <c r="HL123" s="1083"/>
      <c r="HM123" s="1083"/>
      <c r="HN123" s="1083"/>
      <c r="HO123" s="1083"/>
      <c r="HP123" s="1083"/>
      <c r="HQ123" s="1084"/>
      <c r="HR123" s="1083"/>
      <c r="HS123" s="1083"/>
      <c r="HT123" s="1083"/>
      <c r="HU123" s="1083"/>
      <c r="HV123" s="1083"/>
      <c r="HW123" s="1083"/>
      <c r="HX123" s="1083"/>
      <c r="HY123" s="1083"/>
      <c r="HZ123" s="1083"/>
      <c r="IA123" s="1083"/>
      <c r="IB123" s="1083"/>
      <c r="IC123" s="1083"/>
      <c r="ID123" s="1083"/>
      <c r="IE123" s="1083"/>
      <c r="IF123" s="1083"/>
      <c r="IG123" s="1084"/>
      <c r="IH123" s="1083"/>
      <c r="II123" s="1083"/>
      <c r="IJ123" s="1083"/>
      <c r="IK123" s="1083"/>
      <c r="IL123" s="1083"/>
      <c r="IM123" s="1083"/>
      <c r="IN123" s="1083"/>
      <c r="IO123" s="1084"/>
      <c r="IP123" s="1083"/>
      <c r="IQ123" s="1083"/>
      <c r="IR123" s="1083"/>
      <c r="IS123" s="1083"/>
      <c r="IT123" s="1083"/>
      <c r="IU123" s="1083"/>
      <c r="IV123" s="1083"/>
      <c r="IW123" s="1083"/>
      <c r="IX123" s="1184"/>
      <c r="IY123" s="1049"/>
      <c r="IZ123" s="1183"/>
      <c r="JA123" s="1183"/>
      <c r="JB123" s="790"/>
      <c r="JC123" s="790"/>
      <c r="JD123" s="790"/>
      <c r="JE123" s="790"/>
      <c r="JF123" s="790"/>
      <c r="JG123" s="790"/>
      <c r="JH123" s="790"/>
      <c r="JI123" s="790"/>
      <c r="JJ123" s="790"/>
      <c r="JK123" s="790"/>
      <c r="JL123" s="790"/>
      <c r="JM123" s="765"/>
      <c r="JN123" s="765"/>
      <c r="JO123" s="765"/>
      <c r="JP123" s="790"/>
      <c r="JQ123" s="1035"/>
      <c r="JR123" s="1035"/>
      <c r="JS123" s="1035"/>
      <c r="JT123" s="1079"/>
      <c r="JU123" s="1079"/>
      <c r="JV123" s="1180"/>
      <c r="JW123" s="1180"/>
      <c r="JX123" s="1180"/>
      <c r="JY123" s="1180"/>
      <c r="JZ123" s="1180"/>
      <c r="KA123" s="1180"/>
      <c r="KP123" s="1117"/>
      <c r="LV123" s="967"/>
    </row>
    <row r="124" hidden="1" outlineLevel="1" spans="1:334">
      <c r="A124" s="967" t="s">
        <v>66</v>
      </c>
      <c r="AX124" s="1059"/>
      <c r="BE124" s="1060"/>
      <c r="BN124" s="1059"/>
      <c r="BU124" s="1060"/>
      <c r="BV124" s="1059"/>
      <c r="CC124" s="1060"/>
      <c r="CD124" s="1059"/>
      <c r="CJ124" s="1061"/>
      <c r="CK124" s="1060"/>
      <c r="CL124" s="1059"/>
      <c r="CS124" s="1060"/>
      <c r="CT124" s="967"/>
      <c r="CU124" s="967"/>
      <c r="CV124" s="967"/>
      <c r="CW124" s="967"/>
      <c r="CX124" s="967"/>
      <c r="CY124" s="967"/>
      <c r="CZ124" s="967"/>
      <c r="DA124" s="967"/>
      <c r="DB124" s="1181">
        <f t="shared" ref="DB124:DJ124" si="653">DB120/DB$127</f>
        <v>0.0675572519083969</v>
      </c>
      <c r="DC124" s="1181">
        <f t="shared" si="653"/>
        <v>0.0809202697342324</v>
      </c>
      <c r="DD124" s="1181">
        <f t="shared" si="653"/>
        <v>0.0741100953121961</v>
      </c>
      <c r="DE124" s="1181">
        <f t="shared" si="653"/>
        <v>0.0863075924724205</v>
      </c>
      <c r="DF124" s="1181">
        <f t="shared" si="653"/>
        <v>0.0786817463212939</v>
      </c>
      <c r="DG124" s="1181">
        <f t="shared" si="653"/>
        <v>0.0958850931677019</v>
      </c>
      <c r="DH124" s="1181">
        <f t="shared" si="653"/>
        <v>0.0906680805938494</v>
      </c>
      <c r="DI124" s="1182">
        <f t="shared" si="653"/>
        <v>0.082785443096583</v>
      </c>
      <c r="DJ124" s="1181">
        <f t="shared" si="653"/>
        <v>0.0845616757176106</v>
      </c>
      <c r="DK124" s="1181">
        <f t="shared" ref="DK124:DX124" si="654">DK120/DK$127</f>
        <v>0.091982091982092</v>
      </c>
      <c r="DL124" s="1181">
        <f t="shared" si="654"/>
        <v>0.0881827209533267</v>
      </c>
      <c r="DM124" s="1181">
        <f t="shared" si="654"/>
        <v>0.0934579439252336</v>
      </c>
      <c r="DN124" s="1181">
        <f t="shared" si="654"/>
        <v>0.0901060070671378</v>
      </c>
      <c r="DO124" s="1181">
        <f t="shared" si="654"/>
        <v>0.119251119251119</v>
      </c>
      <c r="DP124" s="1181">
        <f t="shared" si="654"/>
        <v>0.105312383090161</v>
      </c>
      <c r="DQ124" s="1182">
        <f t="shared" si="654"/>
        <v>0.097004142182834</v>
      </c>
      <c r="DR124" s="1094">
        <f t="shared" si="654"/>
        <v>0.101346297681376</v>
      </c>
      <c r="DS124" s="1094">
        <f t="shared" si="654"/>
        <v>0.113129928008228</v>
      </c>
      <c r="DT124" s="1094">
        <f t="shared" si="654"/>
        <v>0.107513416815742</v>
      </c>
      <c r="DU124" s="1094">
        <f t="shared" si="654"/>
        <v>0.0951557093425606</v>
      </c>
      <c r="DV124" s="1094">
        <f t="shared" si="654"/>
        <v>0.102782071097372</v>
      </c>
      <c r="DW124" s="1094">
        <f t="shared" si="654"/>
        <v>0.120736698499318</v>
      </c>
      <c r="DX124" s="1094">
        <f t="shared" si="654"/>
        <v>0.106875</v>
      </c>
      <c r="DY124" s="1093">
        <f t="shared" ref="DY124:EI124" si="655">DY120/DY$127</f>
        <v>0.107172643869892</v>
      </c>
      <c r="DZ124" s="1181">
        <f t="shared" si="655"/>
        <v>0.1002138710663</v>
      </c>
      <c r="EA124" s="1181">
        <f t="shared" si="655"/>
        <v>0.110313315926893</v>
      </c>
      <c r="EB124" s="1181">
        <f t="shared" si="655"/>
        <v>0.105286413129241</v>
      </c>
      <c r="EC124" s="1181">
        <f t="shared" si="655"/>
        <v>0.0971688034188035</v>
      </c>
      <c r="ED124" s="1181">
        <f t="shared" si="655"/>
        <v>0.102271600039679</v>
      </c>
      <c r="EE124" s="1181">
        <f t="shared" si="655"/>
        <v>0.104288799753163</v>
      </c>
      <c r="EF124" s="1181">
        <f t="shared" si="655"/>
        <v>0.100472440944882</v>
      </c>
      <c r="EG124" s="1182">
        <f t="shared" si="655"/>
        <v>0.102754634842003</v>
      </c>
      <c r="EH124" s="1181">
        <f t="shared" si="655"/>
        <v>0.0972803347280335</v>
      </c>
      <c r="EI124" s="1181">
        <f t="shared" si="655"/>
        <v>0.0943986352004549</v>
      </c>
      <c r="EJ124" s="1181">
        <f t="shared" ref="EJ124:EO124" si="656">EJ120/EJ$127</f>
        <v>0.0958997411796758</v>
      </c>
      <c r="EK124" s="1181">
        <f t="shared" si="656"/>
        <v>0.103283009825066</v>
      </c>
      <c r="EL124" s="1181">
        <f t="shared" si="656"/>
        <v>0.098575647038388</v>
      </c>
      <c r="EM124" s="1181">
        <f t="shared" si="656"/>
        <v>0.102997922232116</v>
      </c>
      <c r="EN124" s="1181">
        <f t="shared" si="656"/>
        <v>0.103155661628215</v>
      </c>
      <c r="EO124" s="1182">
        <f t="shared" si="656"/>
        <v>0.0995766982463213</v>
      </c>
      <c r="EP124" s="1181">
        <f t="shared" ref="EP124:EW124" si="657">EP120/EP$127</f>
        <v>0.103972274060251</v>
      </c>
      <c r="EQ124" s="1181">
        <f t="shared" si="657"/>
        <v>0.11084835944428</v>
      </c>
      <c r="ER124" s="1181">
        <f t="shared" si="657"/>
        <v>0.107232968881413</v>
      </c>
      <c r="ES124" s="1181">
        <f t="shared" si="657"/>
        <v>0.107759731889662</v>
      </c>
      <c r="ET124" s="1181">
        <f t="shared" si="657"/>
        <v>0.107418505402706</v>
      </c>
      <c r="EU124" s="1181">
        <f t="shared" si="657"/>
        <v>0.112388617418799</v>
      </c>
      <c r="EV124" s="1181">
        <f t="shared" si="657"/>
        <v>0.109948355531394</v>
      </c>
      <c r="EW124" s="1182">
        <f t="shared" si="657"/>
        <v>0.108611647805686</v>
      </c>
      <c r="EX124" s="1181">
        <f t="shared" ref="EX124:FD124" si="658">EX120/EX$127</f>
        <v>0.108333333333333</v>
      </c>
      <c r="EY124" s="1181">
        <f t="shared" si="658"/>
        <v>0.118405627198124</v>
      </c>
      <c r="EZ124" s="1181">
        <f t="shared" si="658"/>
        <v>0.113319791062101</v>
      </c>
      <c r="FA124" s="1185">
        <f t="shared" si="658"/>
        <v>0.105535055350554</v>
      </c>
      <c r="FB124" s="1181">
        <f t="shared" si="658"/>
        <v>0.110431687505704</v>
      </c>
      <c r="FC124" s="1181">
        <f t="shared" si="658"/>
        <v>0.116072113729167</v>
      </c>
      <c r="FD124" s="1181">
        <f t="shared" si="658"/>
        <v>0.110413378480784</v>
      </c>
      <c r="FE124" s="1182">
        <f t="shared" ref="FE124:FM124" si="659">FE120/FE$127</f>
        <v>0.111798515266952</v>
      </c>
      <c r="FF124" s="1181">
        <f t="shared" si="659"/>
        <v>0.121513609061178</v>
      </c>
      <c r="FG124" s="1181">
        <f t="shared" si="659"/>
        <v>0.117010633624415</v>
      </c>
      <c r="FH124" s="1181">
        <f t="shared" si="659"/>
        <v>0.119257742700382</v>
      </c>
      <c r="FI124" s="1181">
        <f t="shared" si="659"/>
        <v>0.110962037081741</v>
      </c>
      <c r="FJ124" s="1181">
        <f t="shared" si="659"/>
        <v>0.116246955008075</v>
      </c>
      <c r="FK124" s="1181">
        <f t="shared" si="659"/>
        <v>0.0894207417786993</v>
      </c>
      <c r="FL124" s="1181">
        <f t="shared" si="659"/>
        <v>0.0999592581764803</v>
      </c>
      <c r="FM124" s="1182">
        <f t="shared" si="659"/>
        <v>0.108875225141296</v>
      </c>
      <c r="FN124" s="1181"/>
      <c r="FO124" s="1181"/>
      <c r="FP124" s="1181"/>
      <c r="FQ124" s="1181"/>
      <c r="FR124" s="1181"/>
      <c r="FS124" s="1181"/>
      <c r="FT124" s="1181"/>
      <c r="FU124" s="1181"/>
      <c r="FV124" s="1186"/>
      <c r="FW124" s="1181"/>
      <c r="FX124" s="1181"/>
      <c r="FY124" s="1181"/>
      <c r="FZ124" s="1181"/>
      <c r="GA124" s="1181"/>
      <c r="GB124" s="1181"/>
      <c r="GC124" s="1182"/>
      <c r="GD124" s="1181"/>
      <c r="GE124" s="1181"/>
      <c r="GF124" s="1181"/>
      <c r="GG124" s="1181"/>
      <c r="GH124" s="1181"/>
      <c r="GI124" s="1181"/>
      <c r="GJ124" s="1181"/>
      <c r="GK124" s="1182"/>
      <c r="GL124" s="1181"/>
      <c r="GM124" s="1181"/>
      <c r="GN124" s="1181"/>
      <c r="GO124" s="1181"/>
      <c r="GP124" s="1181"/>
      <c r="GQ124" s="1181"/>
      <c r="GR124" s="1181"/>
      <c r="GS124" s="1182"/>
      <c r="GT124" s="1181"/>
      <c r="GU124" s="1181"/>
      <c r="GV124" s="1181"/>
      <c r="GW124" s="1181"/>
      <c r="GX124" s="1181"/>
      <c r="GY124" s="1181"/>
      <c r="GZ124" s="1181"/>
      <c r="HA124" s="1182"/>
      <c r="HB124" s="1181"/>
      <c r="HC124" s="1181"/>
      <c r="HD124" s="1181"/>
      <c r="HE124" s="1181"/>
      <c r="HF124" s="1181"/>
      <c r="HG124" s="1181"/>
      <c r="HH124" s="1181"/>
      <c r="HI124" s="1182"/>
      <c r="HJ124" s="1181"/>
      <c r="HK124" s="1181"/>
      <c r="HL124" s="1181"/>
      <c r="HM124" s="1181"/>
      <c r="HN124" s="1181"/>
      <c r="HO124" s="1181"/>
      <c r="HP124" s="1181"/>
      <c r="HQ124" s="1182"/>
      <c r="HR124" s="1181"/>
      <c r="HS124" s="1181"/>
      <c r="HT124" s="1181"/>
      <c r="HU124" s="1181"/>
      <c r="HV124" s="1181"/>
      <c r="HW124" s="1181"/>
      <c r="HX124" s="1181"/>
      <c r="HY124" s="1181"/>
      <c r="HZ124" s="1181"/>
      <c r="IA124" s="1181"/>
      <c r="IB124" s="1181"/>
      <c r="IC124" s="1181"/>
      <c r="ID124" s="1181"/>
      <c r="IE124" s="1181"/>
      <c r="IF124" s="1181"/>
      <c r="IG124" s="1182"/>
      <c r="IH124" s="1181"/>
      <c r="II124" s="1181"/>
      <c r="IJ124" s="1181"/>
      <c r="IK124" s="1181"/>
      <c r="IL124" s="1181"/>
      <c r="IM124" s="1181"/>
      <c r="IN124" s="1181"/>
      <c r="IO124" s="1182"/>
      <c r="IP124" s="1181"/>
      <c r="IQ124" s="1181"/>
      <c r="IR124" s="1181"/>
      <c r="IS124" s="1181"/>
      <c r="IT124" s="1181"/>
      <c r="IU124" s="1181"/>
      <c r="IV124" s="1181"/>
      <c r="IW124" s="1181"/>
      <c r="IX124" s="1181"/>
      <c r="IY124" s="1049"/>
      <c r="IZ124" s="1049"/>
      <c r="JA124" s="1049"/>
      <c r="JB124" s="790"/>
      <c r="JC124" s="790"/>
      <c r="JD124" s="790"/>
      <c r="JE124" s="790"/>
      <c r="JF124" s="790"/>
      <c r="JG124" s="790"/>
      <c r="JH124" s="790"/>
      <c r="JI124" s="790"/>
      <c r="JJ124" s="790"/>
      <c r="JK124" s="790"/>
      <c r="JL124" s="790"/>
      <c r="JM124" s="765"/>
      <c r="JN124" s="765"/>
      <c r="JO124" s="765"/>
      <c r="JP124" s="790"/>
      <c r="JQ124" s="1035"/>
      <c r="JR124" s="1035"/>
      <c r="JS124" s="1035"/>
      <c r="JU124" s="1094"/>
      <c r="JV124" s="1094"/>
      <c r="JW124" s="1094"/>
      <c r="JX124" s="1094"/>
      <c r="JY124" s="1094"/>
      <c r="JZ124" s="1094"/>
      <c r="KA124" s="1094"/>
      <c r="KP124" s="1117"/>
      <c r="LV124" s="967"/>
    </row>
    <row r="125" hidden="1" outlineLevel="1" spans="1:334">
      <c r="A125" s="1180" t="s">
        <v>108</v>
      </c>
      <c r="AX125" s="1059"/>
      <c r="BE125" s="1060"/>
      <c r="BN125" s="1059"/>
      <c r="BU125" s="1060"/>
      <c r="BV125" s="1059"/>
      <c r="CC125" s="1060"/>
      <c r="CD125" s="1059"/>
      <c r="CJ125" s="1061"/>
      <c r="CK125" s="1060"/>
      <c r="CL125" s="1059"/>
      <c r="CS125" s="1060"/>
      <c r="CT125" s="1180"/>
      <c r="CU125" s="1180"/>
      <c r="CV125" s="1180"/>
      <c r="CW125" s="1180"/>
      <c r="CX125" s="1180"/>
      <c r="CY125" s="1180"/>
      <c r="CZ125" s="1180"/>
      <c r="DA125" s="1180"/>
      <c r="DB125" s="1071">
        <v>8</v>
      </c>
      <c r="DC125" s="1071">
        <v>7</v>
      </c>
      <c r="DD125" s="1071">
        <f>DB125+DC125</f>
        <v>15</v>
      </c>
      <c r="DE125" s="1071">
        <v>3</v>
      </c>
      <c r="DF125" s="1071">
        <f>DE125+DD125</f>
        <v>18</v>
      </c>
      <c r="DG125" s="1071">
        <v>-2</v>
      </c>
      <c r="DH125" s="1071">
        <f>DE125+DG125</f>
        <v>1</v>
      </c>
      <c r="DI125" s="1072">
        <f>SUM(DB125,DC125,DE125,DG125)</f>
        <v>16</v>
      </c>
      <c r="DJ125" s="1071">
        <v>8</v>
      </c>
      <c r="DK125" s="1071">
        <v>3</v>
      </c>
      <c r="DL125" s="1071">
        <f>DJ125+DK125</f>
        <v>11</v>
      </c>
      <c r="DM125" s="1071">
        <v>2</v>
      </c>
      <c r="DN125" s="1071">
        <f>DM125+DL125</f>
        <v>13</v>
      </c>
      <c r="DO125" s="1071">
        <v>3</v>
      </c>
      <c r="DP125" s="1071">
        <f>DM125+DO125</f>
        <v>5</v>
      </c>
      <c r="DQ125" s="1072">
        <f>SUM(DJ125,DK125,DM125,DO125)</f>
        <v>16</v>
      </c>
      <c r="DR125" s="1079">
        <v>8</v>
      </c>
      <c r="DS125" s="1079">
        <v>3</v>
      </c>
      <c r="DT125" s="1071">
        <f>DR125+DS125</f>
        <v>11</v>
      </c>
      <c r="DU125" s="1079">
        <v>2</v>
      </c>
      <c r="DV125" s="1071">
        <f>DU125+DT125</f>
        <v>13</v>
      </c>
      <c r="DW125" s="1079">
        <f>DY125-DV125</f>
        <v>3</v>
      </c>
      <c r="DX125" s="1071">
        <f>DU125+DW125</f>
        <v>5</v>
      </c>
      <c r="DY125" s="1072">
        <v>16</v>
      </c>
      <c r="DZ125" s="1071">
        <f>DZ127-SUM(DZ120,DZ115,DZ110,DZ105,DZ100,DZ95)</f>
        <v>0</v>
      </c>
      <c r="EA125" s="1071">
        <f>EA127-SUM(EA120,EA115,EA110,EA105,EA100,EA95)</f>
        <v>1.19999999999982</v>
      </c>
      <c r="EB125" s="1071">
        <f>DZ125+EA125</f>
        <v>1.19999999999982</v>
      </c>
      <c r="EC125" s="1071">
        <f>ED125-EB125</f>
        <v>-0.199999999999818</v>
      </c>
      <c r="ED125" s="1071">
        <f>ED127-SUM(ED120,ED115,ED110,ED105,ED100,ED95)</f>
        <v>1</v>
      </c>
      <c r="EE125" s="1071">
        <f>+EF125-EC125</f>
        <v>0</v>
      </c>
      <c r="EF125" s="1071">
        <f>+EG125-EB125</f>
        <v>-0.199999999999818</v>
      </c>
      <c r="EG125" s="1072">
        <f>EG127-SUM(EG120,EG115,EG110,EG105,EG100,EG95)</f>
        <v>1</v>
      </c>
      <c r="EH125" s="1071">
        <f>EH127-SUM(EH120,EH115,EH110,EH105,EH100,EH95)</f>
        <v>0</v>
      </c>
      <c r="EI125" s="1071">
        <v>0</v>
      </c>
      <c r="EJ125" s="1071">
        <f>EH125+EI125</f>
        <v>0</v>
      </c>
      <c r="EK125" s="1071">
        <v>0</v>
      </c>
      <c r="EL125" s="1071">
        <f>EK125+EJ125</f>
        <v>0</v>
      </c>
      <c r="EM125" s="1071">
        <v>0</v>
      </c>
      <c r="EN125" s="1071">
        <f>EK125+EM125</f>
        <v>0</v>
      </c>
      <c r="EO125" s="1072">
        <f>EH125+EI125+EK125+EM125</f>
        <v>0</v>
      </c>
      <c r="EP125" s="1071">
        <f>EH125</f>
        <v>0</v>
      </c>
      <c r="EQ125" s="1071">
        <f>ER125-EP125</f>
        <v>0</v>
      </c>
      <c r="ER125" s="1071">
        <v>0</v>
      </c>
      <c r="ES125" s="1071">
        <f>EK125</f>
        <v>0</v>
      </c>
      <c r="ET125" s="1071">
        <f>ER125+ES125</f>
        <v>0</v>
      </c>
      <c r="EU125" s="1071">
        <f>EM125</f>
        <v>0</v>
      </c>
      <c r="EV125" s="1071">
        <f>ES125+EU125</f>
        <v>0</v>
      </c>
      <c r="EW125" s="1072">
        <f>ER125+EV125</f>
        <v>0</v>
      </c>
      <c r="EX125" s="1071">
        <v>0</v>
      </c>
      <c r="EY125" s="1071">
        <v>0</v>
      </c>
      <c r="EZ125" s="1071">
        <f>EX125+EY125</f>
        <v>0</v>
      </c>
      <c r="FA125" s="1098">
        <v>0</v>
      </c>
      <c r="FB125" s="1071">
        <f>EZ125+FA125</f>
        <v>0</v>
      </c>
      <c r="FC125" s="1071">
        <v>0</v>
      </c>
      <c r="FD125" s="1071">
        <f>FA125+FC125</f>
        <v>0</v>
      </c>
      <c r="FE125" s="1072">
        <f>EX125+EY125+FA125+FC125</f>
        <v>0</v>
      </c>
      <c r="FF125" s="1071">
        <v>0</v>
      </c>
      <c r="FG125" s="1071">
        <v>0</v>
      </c>
      <c r="FH125" s="1071">
        <v>0</v>
      </c>
      <c r="FI125" s="1071">
        <v>0</v>
      </c>
      <c r="FJ125" s="1071">
        <v>0</v>
      </c>
      <c r="FK125" s="1071">
        <v>0</v>
      </c>
      <c r="FL125" s="1071">
        <v>0</v>
      </c>
      <c r="FM125" s="1072">
        <v>0</v>
      </c>
      <c r="FN125" s="1071"/>
      <c r="FO125" s="1071"/>
      <c r="FP125" s="1071"/>
      <c r="FQ125" s="1071"/>
      <c r="FR125" s="1071"/>
      <c r="FS125" s="1071"/>
      <c r="FT125" s="1071"/>
      <c r="FU125" s="1071"/>
      <c r="FV125" s="1177"/>
      <c r="FW125" s="1071"/>
      <c r="FX125" s="1071"/>
      <c r="FY125" s="1071"/>
      <c r="FZ125" s="1071"/>
      <c r="GA125" s="1071"/>
      <c r="GB125" s="1071"/>
      <c r="GC125" s="1072"/>
      <c r="GD125" s="1071"/>
      <c r="GE125" s="1071"/>
      <c r="GF125" s="1071"/>
      <c r="GG125" s="1071"/>
      <c r="GH125" s="1071"/>
      <c r="GI125" s="1071"/>
      <c r="GJ125" s="1071"/>
      <c r="GK125" s="1072"/>
      <c r="GL125" s="1071"/>
      <c r="GM125" s="1071"/>
      <c r="GN125" s="1071"/>
      <c r="GO125" s="1071"/>
      <c r="GP125" s="1071"/>
      <c r="GQ125" s="1071"/>
      <c r="GR125" s="1071"/>
      <c r="GS125" s="1072"/>
      <c r="GT125" s="1071"/>
      <c r="GU125" s="1071"/>
      <c r="GV125" s="1071"/>
      <c r="GW125" s="1071"/>
      <c r="GX125" s="1071"/>
      <c r="GY125" s="1071"/>
      <c r="GZ125" s="1071"/>
      <c r="HA125" s="1072"/>
      <c r="HB125" s="1071"/>
      <c r="HC125" s="1071"/>
      <c r="HD125" s="1071"/>
      <c r="HE125" s="1071"/>
      <c r="HF125" s="1071"/>
      <c r="HG125" s="1071"/>
      <c r="HH125" s="1071"/>
      <c r="HI125" s="1072"/>
      <c r="HJ125" s="1071"/>
      <c r="HK125" s="1071"/>
      <c r="HL125" s="1071"/>
      <c r="HM125" s="1071"/>
      <c r="HN125" s="1071"/>
      <c r="HO125" s="1071"/>
      <c r="HP125" s="1071"/>
      <c r="HQ125" s="1072"/>
      <c r="HR125" s="1071"/>
      <c r="HS125" s="1071"/>
      <c r="HT125" s="1071"/>
      <c r="HU125" s="1071"/>
      <c r="HV125" s="1071"/>
      <c r="HW125" s="1071"/>
      <c r="HX125" s="1071"/>
      <c r="HY125" s="1071"/>
      <c r="HZ125" s="1071"/>
      <c r="IA125" s="1071"/>
      <c r="IB125" s="1071"/>
      <c r="IC125" s="1071"/>
      <c r="ID125" s="1071"/>
      <c r="IE125" s="1071"/>
      <c r="IF125" s="1071"/>
      <c r="IG125" s="1072"/>
      <c r="IH125" s="1071"/>
      <c r="II125" s="1071"/>
      <c r="IJ125" s="1071"/>
      <c r="IK125" s="1071"/>
      <c r="IL125" s="1071"/>
      <c r="IM125" s="1071"/>
      <c r="IN125" s="1071"/>
      <c r="IO125" s="1072"/>
      <c r="IP125" s="1071"/>
      <c r="IQ125" s="1071"/>
      <c r="IR125" s="1071"/>
      <c r="IS125" s="1071"/>
      <c r="IT125" s="1071"/>
      <c r="IU125" s="1071"/>
      <c r="IV125" s="1071"/>
      <c r="IW125" s="1071"/>
      <c r="IX125" s="1071"/>
      <c r="IY125" s="1049"/>
      <c r="IZ125" s="1049"/>
      <c r="JA125" s="1049"/>
      <c r="JB125" s="790"/>
      <c r="JC125" s="790"/>
      <c r="JD125" s="790"/>
      <c r="JE125" s="790"/>
      <c r="JF125" s="790"/>
      <c r="JG125" s="790"/>
      <c r="JH125" s="790"/>
      <c r="JI125" s="790"/>
      <c r="JJ125" s="790"/>
      <c r="JK125" s="790"/>
      <c r="JL125" s="790"/>
      <c r="JM125" s="765"/>
      <c r="JN125" s="765"/>
      <c r="JO125" s="765"/>
      <c r="JP125" s="790"/>
      <c r="JQ125" s="1035"/>
      <c r="JR125" s="1035"/>
      <c r="JS125" s="1035"/>
      <c r="JT125" s="1079"/>
      <c r="JU125" s="1190"/>
      <c r="JV125" s="1190"/>
      <c r="JW125" s="1190"/>
      <c r="JX125" s="1190"/>
      <c r="JY125" s="1190"/>
      <c r="JZ125" s="1190"/>
      <c r="KA125" s="1190"/>
      <c r="KP125" s="1117"/>
      <c r="LV125" s="967"/>
    </row>
    <row r="126" hidden="1" outlineLevel="1" spans="1:334">
      <c r="A126" s="967" t="s">
        <v>66</v>
      </c>
      <c r="AX126" s="1059"/>
      <c r="BE126" s="1060"/>
      <c r="BN126" s="1059"/>
      <c r="BU126" s="1060"/>
      <c r="BV126" s="1059"/>
      <c r="CC126" s="1060"/>
      <c r="CD126" s="1059"/>
      <c r="CJ126" s="1061"/>
      <c r="CK126" s="1060"/>
      <c r="CL126" s="1059"/>
      <c r="CS126" s="1060"/>
      <c r="CT126" s="967"/>
      <c r="CU126" s="967"/>
      <c r="CV126" s="967"/>
      <c r="CW126" s="967"/>
      <c r="CX126" s="967"/>
      <c r="CY126" s="967"/>
      <c r="CZ126" s="967"/>
      <c r="DA126" s="967"/>
      <c r="DB126" s="1181">
        <f t="shared" ref="DB126:ED126" si="660">DB125/DB$127</f>
        <v>0.00305343511450382</v>
      </c>
      <c r="DC126" s="1181">
        <f t="shared" si="660"/>
        <v>0.00277667592225307</v>
      </c>
      <c r="DD126" s="1181">
        <f t="shared" si="660"/>
        <v>0.00291772028788173</v>
      </c>
      <c r="DE126" s="1181">
        <f t="shared" si="660"/>
        <v>0.000973393900064893</v>
      </c>
      <c r="DF126" s="1181">
        <f t="shared" si="660"/>
        <v>0.00218898212331266</v>
      </c>
      <c r="DG126" s="1181">
        <f t="shared" si="660"/>
        <v>-0.00077639751552795</v>
      </c>
      <c r="DH126" s="1181">
        <f t="shared" si="660"/>
        <v>0.000176740897843761</v>
      </c>
      <c r="DI126" s="1182">
        <f t="shared" si="660"/>
        <v>0.00148161866839522</v>
      </c>
      <c r="DJ126" s="1181">
        <f t="shared" si="660"/>
        <v>0.00310318076027929</v>
      </c>
      <c r="DK126" s="1181">
        <f t="shared" si="660"/>
        <v>0.00122100122100122</v>
      </c>
      <c r="DL126" s="1181">
        <f t="shared" si="660"/>
        <v>0.00218470705064548</v>
      </c>
      <c r="DM126" s="1181">
        <f t="shared" si="660"/>
        <v>0.000692281066112842</v>
      </c>
      <c r="DN126" s="1181">
        <f t="shared" si="660"/>
        <v>0.00164058556284705</v>
      </c>
      <c r="DO126" s="1181">
        <f t="shared" si="660"/>
        <v>0.00122100122100122</v>
      </c>
      <c r="DP126" s="1181">
        <f t="shared" si="660"/>
        <v>0.000935278713056491</v>
      </c>
      <c r="DQ126" s="1182">
        <f t="shared" si="660"/>
        <v>0.00154127733359021</v>
      </c>
      <c r="DR126" s="1181">
        <f t="shared" si="660"/>
        <v>0.00299177262528048</v>
      </c>
      <c r="DS126" s="1181">
        <f t="shared" si="660"/>
        <v>0.00102845389098389</v>
      </c>
      <c r="DT126" s="1181">
        <f t="shared" si="660"/>
        <v>0.00196779964221825</v>
      </c>
      <c r="DU126" s="1181">
        <f t="shared" si="660"/>
        <v>0.000576701268742791</v>
      </c>
      <c r="DV126" s="1181">
        <f t="shared" si="660"/>
        <v>0.0014351954073747</v>
      </c>
      <c r="DW126" s="1181">
        <f t="shared" si="660"/>
        <v>0.00102319236016371</v>
      </c>
      <c r="DX126" s="1181">
        <f t="shared" si="660"/>
        <v>0.00078125</v>
      </c>
      <c r="DY126" s="1182">
        <f t="shared" si="660"/>
        <v>0.00133444537114262</v>
      </c>
      <c r="DZ126" s="1181">
        <f t="shared" si="660"/>
        <v>0</v>
      </c>
      <c r="EA126" s="1181">
        <f t="shared" si="660"/>
        <v>0.000391644908616129</v>
      </c>
      <c r="EB126" s="1181">
        <f t="shared" si="660"/>
        <v>0.000189364052390692</v>
      </c>
      <c r="EC126" s="1181">
        <f t="shared" si="660"/>
        <v>-5.34188034187548e-5</v>
      </c>
      <c r="ED126" s="1181">
        <f t="shared" si="660"/>
        <v>9.91965082829084e-5</v>
      </c>
      <c r="EE126" s="1181">
        <v>0</v>
      </c>
      <c r="EF126" s="1181">
        <f t="shared" ref="EF126:EL126" si="661">EF125/EF$127</f>
        <v>-2.86327845382703e-5</v>
      </c>
      <c r="EG126" s="1182">
        <f t="shared" si="661"/>
        <v>7.50581700818134e-5</v>
      </c>
      <c r="EH126" s="1181">
        <f t="shared" si="661"/>
        <v>0</v>
      </c>
      <c r="EI126" s="1181">
        <f t="shared" si="661"/>
        <v>0</v>
      </c>
      <c r="EJ126" s="1181">
        <f t="shared" si="661"/>
        <v>0</v>
      </c>
      <c r="EK126" s="1181">
        <f t="shared" si="661"/>
        <v>0</v>
      </c>
      <c r="EL126" s="1181">
        <f t="shared" si="661"/>
        <v>0</v>
      </c>
      <c r="EM126" s="1181">
        <v>0</v>
      </c>
      <c r="EN126" s="1181">
        <f t="shared" ref="EN126:FE126" si="662">EN125/EN$127</f>
        <v>0</v>
      </c>
      <c r="EO126" s="1182">
        <f t="shared" si="662"/>
        <v>0</v>
      </c>
      <c r="EP126" s="1181">
        <f t="shared" si="662"/>
        <v>0</v>
      </c>
      <c r="EQ126" s="1181">
        <f t="shared" si="662"/>
        <v>0</v>
      </c>
      <c r="ER126" s="1181">
        <f t="shared" si="662"/>
        <v>0</v>
      </c>
      <c r="ES126" s="1181">
        <f t="shared" si="662"/>
        <v>0</v>
      </c>
      <c r="ET126" s="1181">
        <f t="shared" si="662"/>
        <v>0</v>
      </c>
      <c r="EU126" s="1181">
        <f t="shared" si="662"/>
        <v>0</v>
      </c>
      <c r="EV126" s="1181">
        <f t="shared" si="662"/>
        <v>0</v>
      </c>
      <c r="EW126" s="1182">
        <f t="shared" si="662"/>
        <v>0</v>
      </c>
      <c r="EX126" s="1181">
        <f t="shared" si="662"/>
        <v>0</v>
      </c>
      <c r="EY126" s="1181">
        <f t="shared" si="662"/>
        <v>0</v>
      </c>
      <c r="EZ126" s="1181">
        <f t="shared" si="662"/>
        <v>0</v>
      </c>
      <c r="FA126" s="1181">
        <f t="shared" si="662"/>
        <v>0</v>
      </c>
      <c r="FB126" s="1181">
        <f t="shared" si="662"/>
        <v>0</v>
      </c>
      <c r="FC126" s="1181">
        <f t="shared" si="662"/>
        <v>0</v>
      </c>
      <c r="FD126" s="1181">
        <f t="shared" si="662"/>
        <v>0</v>
      </c>
      <c r="FE126" s="1182">
        <f t="shared" si="662"/>
        <v>0</v>
      </c>
      <c r="FF126" s="1181"/>
      <c r="FG126" s="1181"/>
      <c r="FH126" s="1181"/>
      <c r="FI126" s="1181"/>
      <c r="FJ126" s="1181"/>
      <c r="FK126" s="1181"/>
      <c r="FL126" s="1181"/>
      <c r="FM126" s="1182"/>
      <c r="FN126" s="1181"/>
      <c r="FO126" s="1181"/>
      <c r="FP126" s="1181"/>
      <c r="FQ126" s="1181"/>
      <c r="FR126" s="1181"/>
      <c r="FS126" s="1181"/>
      <c r="FT126" s="1181"/>
      <c r="FU126" s="1181"/>
      <c r="FV126" s="1186"/>
      <c r="FW126" s="1181"/>
      <c r="FX126" s="1181"/>
      <c r="FY126" s="1181"/>
      <c r="FZ126" s="1181"/>
      <c r="GA126" s="1181"/>
      <c r="GB126" s="1181"/>
      <c r="GC126" s="1182"/>
      <c r="GD126" s="1181"/>
      <c r="GE126" s="1181"/>
      <c r="GF126" s="1181"/>
      <c r="GG126" s="1181"/>
      <c r="GH126" s="1181"/>
      <c r="GI126" s="1181"/>
      <c r="GJ126" s="1181"/>
      <c r="GK126" s="1182"/>
      <c r="GL126" s="1181"/>
      <c r="GM126" s="1181"/>
      <c r="GN126" s="1181"/>
      <c r="GO126" s="1181"/>
      <c r="GP126" s="1181"/>
      <c r="GQ126" s="1181"/>
      <c r="GR126" s="1181"/>
      <c r="GS126" s="1182"/>
      <c r="GT126" s="1181"/>
      <c r="GU126" s="1181"/>
      <c r="GV126" s="1181"/>
      <c r="GW126" s="1181"/>
      <c r="GX126" s="1181"/>
      <c r="GY126" s="1181"/>
      <c r="GZ126" s="1181"/>
      <c r="HA126" s="1182"/>
      <c r="HB126" s="1181"/>
      <c r="HC126" s="1181"/>
      <c r="HD126" s="1181"/>
      <c r="HE126" s="1181"/>
      <c r="HF126" s="1181"/>
      <c r="HG126" s="1181"/>
      <c r="HH126" s="1181"/>
      <c r="HI126" s="1182"/>
      <c r="HJ126" s="1181"/>
      <c r="HK126" s="1181"/>
      <c r="HL126" s="1181"/>
      <c r="HM126" s="1181"/>
      <c r="HN126" s="1181"/>
      <c r="HO126" s="1181"/>
      <c r="HP126" s="1181"/>
      <c r="HQ126" s="1182"/>
      <c r="HR126" s="1181"/>
      <c r="HS126" s="1181"/>
      <c r="HT126" s="1181"/>
      <c r="HU126" s="1181"/>
      <c r="HV126" s="1181"/>
      <c r="HW126" s="1181"/>
      <c r="HX126" s="1181"/>
      <c r="HY126" s="1181"/>
      <c r="HZ126" s="1181"/>
      <c r="IA126" s="1181"/>
      <c r="IB126" s="1181"/>
      <c r="IC126" s="1181"/>
      <c r="ID126" s="1181"/>
      <c r="IE126" s="1181"/>
      <c r="IF126" s="1181"/>
      <c r="IG126" s="1182"/>
      <c r="IH126" s="1181"/>
      <c r="II126" s="1181"/>
      <c r="IJ126" s="1181"/>
      <c r="IK126" s="1181"/>
      <c r="IL126" s="1181"/>
      <c r="IM126" s="1181"/>
      <c r="IN126" s="1181"/>
      <c r="IO126" s="1182"/>
      <c r="IP126" s="1181"/>
      <c r="IQ126" s="1181"/>
      <c r="IR126" s="1181"/>
      <c r="IS126" s="1181"/>
      <c r="IT126" s="1181"/>
      <c r="IU126" s="1181"/>
      <c r="IV126" s="1181"/>
      <c r="IW126" s="1181"/>
      <c r="IX126" s="1037"/>
      <c r="IY126" s="1049"/>
      <c r="IZ126" s="1049"/>
      <c r="JA126" s="1049"/>
      <c r="JB126" s="790"/>
      <c r="JC126" s="790"/>
      <c r="JD126" s="790"/>
      <c r="JE126" s="790"/>
      <c r="JF126" s="790"/>
      <c r="JG126" s="790"/>
      <c r="JH126" s="790"/>
      <c r="JI126" s="790"/>
      <c r="JJ126" s="790"/>
      <c r="JK126" s="790"/>
      <c r="JL126" s="790"/>
      <c r="JM126" s="765"/>
      <c r="JN126" s="765"/>
      <c r="JO126" s="765"/>
      <c r="JP126" s="790"/>
      <c r="JQ126" s="1035"/>
      <c r="JR126" s="1035"/>
      <c r="JS126" s="1035"/>
      <c r="JU126" s="1094"/>
      <c r="JV126" s="1094"/>
      <c r="JW126" s="1094"/>
      <c r="JX126" s="1094"/>
      <c r="JY126" s="1094"/>
      <c r="JZ126" s="1094"/>
      <c r="KA126" s="1094"/>
      <c r="KP126" s="1117"/>
      <c r="LV126" s="967"/>
    </row>
    <row r="127" hidden="1" outlineLevel="1" spans="1:334">
      <c r="A127" s="1191" t="s">
        <v>71</v>
      </c>
      <c r="AX127" s="1059"/>
      <c r="BE127" s="1060"/>
      <c r="BN127" s="1059"/>
      <c r="BU127" s="1060"/>
      <c r="BV127" s="1059"/>
      <c r="CC127" s="1060"/>
      <c r="CD127" s="1059"/>
      <c r="CJ127" s="1061"/>
      <c r="CK127" s="1060"/>
      <c r="CL127" s="1059"/>
      <c r="CS127" s="1060"/>
      <c r="CT127" s="1191"/>
      <c r="CU127" s="1191"/>
      <c r="CV127" s="1191"/>
      <c r="CW127" s="1191"/>
      <c r="CX127" s="1191"/>
      <c r="CY127" s="1191"/>
      <c r="CZ127" s="1191"/>
      <c r="DA127" s="1191"/>
      <c r="DB127" s="1191">
        <f>SUM(DB125,DB120,DB115,DB110,DB105,DB100,DB95)</f>
        <v>2620</v>
      </c>
      <c r="DC127" s="1191">
        <f t="shared" ref="DC127:DM127" si="663">SUM(DC125,DC120,DC115,DC110,DC105,DC100,DC95)</f>
        <v>2521</v>
      </c>
      <c r="DD127" s="1191">
        <f>DB127+DC127</f>
        <v>5141</v>
      </c>
      <c r="DE127" s="1191">
        <f t="shared" si="663"/>
        <v>3082</v>
      </c>
      <c r="DF127" s="1191">
        <f>DE127+DD127</f>
        <v>8223</v>
      </c>
      <c r="DG127" s="1191">
        <f>SUM(DG125,DG120,DG115,DG110,DG105,DG100,DG95)</f>
        <v>2576</v>
      </c>
      <c r="DH127" s="1191">
        <f>DE127+DG127</f>
        <v>5658</v>
      </c>
      <c r="DI127" s="1192">
        <f>SUM(DB127,DC127,DE127,DG127)</f>
        <v>10799</v>
      </c>
      <c r="DJ127" s="1191">
        <f t="shared" si="663"/>
        <v>2578</v>
      </c>
      <c r="DK127" s="1191">
        <f t="shared" si="663"/>
        <v>2457</v>
      </c>
      <c r="DL127" s="1191">
        <f>DJ127+DK127</f>
        <v>5035</v>
      </c>
      <c r="DM127" s="1191">
        <f t="shared" si="663"/>
        <v>2889</v>
      </c>
      <c r="DN127" s="1191">
        <f>DM127+DL127</f>
        <v>7924</v>
      </c>
      <c r="DO127" s="1191">
        <f>SUM(DO125,DO120,DO115,DO110,DO105,DO100,DO95)</f>
        <v>2457</v>
      </c>
      <c r="DP127" s="1191">
        <f>DM127+DO127</f>
        <v>5346</v>
      </c>
      <c r="DQ127" s="1192">
        <f>SUM(DJ127,DK127,DM127,DO127)</f>
        <v>10381</v>
      </c>
      <c r="DR127" s="1191">
        <f>DR26</f>
        <v>2674</v>
      </c>
      <c r="DS127" s="1191">
        <f>DS26</f>
        <v>2917</v>
      </c>
      <c r="DT127" s="1191">
        <f>DT26</f>
        <v>5590</v>
      </c>
      <c r="DU127" s="1191">
        <f>DU26</f>
        <v>3468</v>
      </c>
      <c r="DV127" s="1191">
        <f>DV26</f>
        <v>9058</v>
      </c>
      <c r="DW127" s="1191">
        <f>DY127-DV127</f>
        <v>2932</v>
      </c>
      <c r="DX127" s="1191">
        <f>DY127-DT127</f>
        <v>6400</v>
      </c>
      <c r="DY127" s="1192">
        <v>11990</v>
      </c>
      <c r="DZ127" s="1191">
        <f>+DZ95+DZ100+DZ105+DZ110+DZ115+DZ120</f>
        <v>3273</v>
      </c>
      <c r="EA127" s="1191">
        <f t="shared" ref="EA127:EL127" si="664">EA26</f>
        <v>3064</v>
      </c>
      <c r="EB127" s="1191">
        <f t="shared" si="664"/>
        <v>6337</v>
      </c>
      <c r="EC127" s="1191">
        <f t="shared" si="664"/>
        <v>3744</v>
      </c>
      <c r="ED127" s="1191">
        <f t="shared" si="664"/>
        <v>10081</v>
      </c>
      <c r="EE127" s="1191">
        <f t="shared" si="664"/>
        <v>3241</v>
      </c>
      <c r="EF127" s="1191">
        <f t="shared" si="664"/>
        <v>6985</v>
      </c>
      <c r="EG127" s="1192">
        <f t="shared" si="664"/>
        <v>13323</v>
      </c>
      <c r="EH127" s="1191">
        <f t="shared" si="664"/>
        <v>3824</v>
      </c>
      <c r="EI127" s="1191">
        <f t="shared" si="664"/>
        <v>3517</v>
      </c>
      <c r="EJ127" s="1191">
        <f t="shared" si="664"/>
        <v>7341</v>
      </c>
      <c r="EK127" s="1191">
        <f t="shared" si="664"/>
        <v>4173</v>
      </c>
      <c r="EL127" s="1191">
        <f t="shared" si="664"/>
        <v>11514</v>
      </c>
      <c r="EM127" s="1191">
        <f>EM95+EM100+EM105+EM110+EM115+EM120+EM125</f>
        <v>3369</v>
      </c>
      <c r="EN127" s="1191">
        <f>EN95+EN100+EN105+EN110+EN115+EN120+EN125</f>
        <v>7542</v>
      </c>
      <c r="EO127" s="1192">
        <f>EO95+EO100+EO105+EO110+EO115+EO120+EO125</f>
        <v>14883</v>
      </c>
      <c r="EP127" s="1191">
        <f>EP95+EP100+EP105+EP110+EP115+EP120</f>
        <v>3751</v>
      </c>
      <c r="EQ127" s="1191">
        <f>EQ95+EQ100+EQ105+EQ110+EQ115+EQ120</f>
        <v>3383</v>
      </c>
      <c r="ER127" s="1191">
        <f>EP127+EQ127</f>
        <v>7134</v>
      </c>
      <c r="ES127" s="1191">
        <f>ES95+ES100+ES105+ES110+ES115+ES120</f>
        <v>3879</v>
      </c>
      <c r="ET127" s="1191">
        <f>ER127+ES127</f>
        <v>11013</v>
      </c>
      <c r="EU127" s="1191">
        <f>EU95+EU100+EU105+EU110+EU115+EU120</f>
        <v>3479</v>
      </c>
      <c r="EV127" s="1191">
        <f>ES127+EU127</f>
        <v>7358</v>
      </c>
      <c r="EW127" s="1192">
        <f>ER127+EV127</f>
        <v>14492</v>
      </c>
      <c r="EX127" s="1191">
        <f t="shared" ref="EX127:FF127" si="665">EX95+EX100+EX105+EX110+EX115+EX120</f>
        <v>3480</v>
      </c>
      <c r="EY127" s="1191">
        <f t="shared" si="665"/>
        <v>3412</v>
      </c>
      <c r="EZ127" s="1191">
        <f t="shared" si="665"/>
        <v>6892</v>
      </c>
      <c r="FA127" s="1191">
        <f t="shared" si="665"/>
        <v>4065</v>
      </c>
      <c r="FB127" s="1191">
        <f t="shared" si="665"/>
        <v>10957</v>
      </c>
      <c r="FC127" s="1191">
        <f t="shared" si="665"/>
        <v>3504.38439933284</v>
      </c>
      <c r="FD127" s="1191">
        <f t="shared" si="665"/>
        <v>7569.38439933284</v>
      </c>
      <c r="FE127" s="1192">
        <f t="shared" si="665"/>
        <v>14461.3843993328</v>
      </c>
      <c r="FF127" s="1191">
        <f t="shared" si="665"/>
        <v>3712.12567211108</v>
      </c>
      <c r="FG127" s="1191">
        <f t="shared" ref="FG127:FM127" si="666">FG95+FG100+FG105+FG110+FG115+FG120</f>
        <v>3726.59232269787</v>
      </c>
      <c r="FH127" s="1191">
        <f t="shared" si="666"/>
        <v>7438.71799480896</v>
      </c>
      <c r="FI127" s="1191">
        <f t="shared" si="666"/>
        <v>4237.7953446941</v>
      </c>
      <c r="FJ127" s="1191">
        <f t="shared" si="666"/>
        <v>11676.5133395031</v>
      </c>
      <c r="FK127" s="1191">
        <f t="shared" si="666"/>
        <v>4424.48666049694</v>
      </c>
      <c r="FL127" s="1191">
        <f t="shared" si="666"/>
        <v>8662.28200519105</v>
      </c>
      <c r="FM127" s="1192">
        <f t="shared" si="666"/>
        <v>16101</v>
      </c>
      <c r="FN127" s="1191"/>
      <c r="FO127" s="1191"/>
      <c r="FP127" s="1191"/>
      <c r="FQ127" s="1191"/>
      <c r="FR127" s="1191"/>
      <c r="FS127" s="1191"/>
      <c r="FT127" s="1191"/>
      <c r="FU127" s="1191"/>
      <c r="FV127" s="1193"/>
      <c r="FW127" s="1191"/>
      <c r="FX127" s="1191"/>
      <c r="FY127" s="1191"/>
      <c r="FZ127" s="1191"/>
      <c r="GA127" s="1191"/>
      <c r="GB127" s="1191"/>
      <c r="GC127" s="1192"/>
      <c r="GD127" s="1191"/>
      <c r="GE127" s="1191"/>
      <c r="GF127" s="1191"/>
      <c r="GG127" s="1191"/>
      <c r="GH127" s="1191"/>
      <c r="GI127" s="1191"/>
      <c r="GJ127" s="1191"/>
      <c r="GK127" s="1192"/>
      <c r="GL127" s="1191"/>
      <c r="GM127" s="1191"/>
      <c r="GN127" s="1191"/>
      <c r="GO127" s="1191"/>
      <c r="GP127" s="1191"/>
      <c r="GQ127" s="1191"/>
      <c r="GR127" s="1191"/>
      <c r="GS127" s="1192"/>
      <c r="GT127" s="1191"/>
      <c r="GU127" s="1191"/>
      <c r="GV127" s="1191"/>
      <c r="GW127" s="1191"/>
      <c r="GX127" s="1191"/>
      <c r="GY127" s="1191"/>
      <c r="GZ127" s="1191"/>
      <c r="HA127" s="1192"/>
      <c r="HB127" s="1191"/>
      <c r="HC127" s="1191"/>
      <c r="HD127" s="1191"/>
      <c r="HE127" s="1191"/>
      <c r="HF127" s="1191"/>
      <c r="HG127" s="1191"/>
      <c r="HH127" s="1191"/>
      <c r="HI127" s="1192"/>
      <c r="HJ127" s="1191"/>
      <c r="HK127" s="1191"/>
      <c r="HL127" s="1191"/>
      <c r="HM127" s="1191"/>
      <c r="HN127" s="1191"/>
      <c r="HO127" s="1191"/>
      <c r="HP127" s="1191"/>
      <c r="HQ127" s="1192"/>
      <c r="HR127" s="1191"/>
      <c r="HS127" s="1191"/>
      <c r="HT127" s="1191"/>
      <c r="HU127" s="1191"/>
      <c r="HV127" s="1191"/>
      <c r="HW127" s="1191"/>
      <c r="HX127" s="1191"/>
      <c r="HY127" s="1191"/>
      <c r="HZ127" s="1191"/>
      <c r="IA127" s="1191"/>
      <c r="IB127" s="1191"/>
      <c r="IC127" s="1191"/>
      <c r="ID127" s="1191"/>
      <c r="IE127" s="1191"/>
      <c r="IF127" s="1191"/>
      <c r="IG127" s="1192"/>
      <c r="IH127" s="1191"/>
      <c r="II127" s="1191"/>
      <c r="IJ127" s="1191"/>
      <c r="IK127" s="1191"/>
      <c r="IL127" s="1191"/>
      <c r="IM127" s="1191"/>
      <c r="IN127" s="1191"/>
      <c r="IO127" s="1192"/>
      <c r="IP127" s="1191"/>
      <c r="IQ127" s="1191"/>
      <c r="IR127" s="1191"/>
      <c r="IS127" s="1191"/>
      <c r="IT127" s="1191"/>
      <c r="IU127" s="1191"/>
      <c r="IV127" s="1191"/>
      <c r="IW127" s="1191"/>
      <c r="IX127" s="1041"/>
      <c r="IY127" s="1041"/>
      <c r="IZ127" s="969"/>
      <c r="JA127" s="1049"/>
      <c r="JB127" s="790"/>
      <c r="JC127" s="790"/>
      <c r="JD127" s="790"/>
      <c r="JE127" s="790"/>
      <c r="JF127" s="790"/>
      <c r="JG127" s="790"/>
      <c r="JH127" s="790"/>
      <c r="JI127" s="790"/>
      <c r="JJ127" s="790"/>
      <c r="JK127" s="790"/>
      <c r="JL127" s="790"/>
      <c r="JM127" s="765"/>
      <c r="JN127" s="765"/>
      <c r="JO127" s="765"/>
      <c r="JP127" s="765"/>
      <c r="JQ127" s="1035"/>
      <c r="JR127" s="1035"/>
      <c r="JS127" s="1035"/>
      <c r="JT127" s="1035"/>
      <c r="JU127" s="1035"/>
      <c r="JV127" s="1035"/>
      <c r="JW127" s="1035"/>
      <c r="JX127" s="1035"/>
      <c r="JY127" s="1035"/>
      <c r="KP127" s="1117"/>
      <c r="LV127" s="967"/>
    </row>
    <row r="128" hidden="1" outlineLevel="1" spans="1:334">
      <c r="A128" s="967" t="s">
        <v>61</v>
      </c>
      <c r="AX128" s="1059"/>
      <c r="BE128" s="1060"/>
      <c r="BN128" s="1059"/>
      <c r="BU128" s="1060"/>
      <c r="BV128" s="1059"/>
      <c r="CC128" s="1060"/>
      <c r="CD128" s="1059"/>
      <c r="CJ128" s="1061"/>
      <c r="CK128" s="1060"/>
      <c r="CL128" s="1059"/>
      <c r="CS128" s="1060"/>
      <c r="CT128" s="1059"/>
      <c r="CW128" s="1062"/>
      <c r="CX128" s="1062"/>
      <c r="DB128" s="1181"/>
      <c r="DC128" s="1181"/>
      <c r="DD128" s="1181"/>
      <c r="DE128" s="1194"/>
      <c r="DF128" s="1194"/>
      <c r="DG128" s="1181"/>
      <c r="DH128" s="1181"/>
      <c r="DI128" s="1182"/>
      <c r="DJ128" s="1181">
        <f t="shared" ref="DJ128:DX128" si="667">DJ127/DB127-1</f>
        <v>-0.016030534351145</v>
      </c>
      <c r="DK128" s="1181">
        <f t="shared" si="667"/>
        <v>-0.025386751289171</v>
      </c>
      <c r="DL128" s="1181">
        <f t="shared" si="667"/>
        <v>-0.020618556701031</v>
      </c>
      <c r="DM128" s="1181">
        <f t="shared" si="667"/>
        <v>-0.0626216742375081</v>
      </c>
      <c r="DN128" s="1181">
        <f t="shared" si="667"/>
        <v>-0.0363614252705825</v>
      </c>
      <c r="DO128" s="1181">
        <f t="shared" si="667"/>
        <v>-0.0461956521739131</v>
      </c>
      <c r="DP128" s="1181">
        <f t="shared" si="667"/>
        <v>-0.0551431601272534</v>
      </c>
      <c r="DQ128" s="1182">
        <f t="shared" si="667"/>
        <v>-0.0387072877118252</v>
      </c>
      <c r="DR128" s="1082">
        <f t="shared" si="667"/>
        <v>0.0372381691233514</v>
      </c>
      <c r="DS128" s="1094">
        <f t="shared" si="667"/>
        <v>0.187220187220187</v>
      </c>
      <c r="DT128" s="1094">
        <f t="shared" si="667"/>
        <v>0.110228401191658</v>
      </c>
      <c r="DU128" s="1094">
        <f t="shared" si="667"/>
        <v>0.200415368639668</v>
      </c>
      <c r="DV128" s="1094">
        <f t="shared" si="667"/>
        <v>0.143109540636042</v>
      </c>
      <c r="DW128" s="1094">
        <f t="shared" si="667"/>
        <v>0.193325193325193</v>
      </c>
      <c r="DX128" s="1094">
        <f t="shared" si="667"/>
        <v>0.197156752712308</v>
      </c>
      <c r="DY128" s="1093">
        <f t="shared" ref="DY128:EG128" si="668">DY127/DQ127-1</f>
        <v>0.154994701859166</v>
      </c>
      <c r="DZ128" s="1082">
        <f t="shared" si="668"/>
        <v>0.224008975317876</v>
      </c>
      <c r="EA128" s="1082">
        <f t="shared" si="668"/>
        <v>0.0503942406582105</v>
      </c>
      <c r="EB128" s="1094">
        <f t="shared" si="668"/>
        <v>0.133631484794275</v>
      </c>
      <c r="EC128" s="1094">
        <f t="shared" si="668"/>
        <v>0.0795847750865053</v>
      </c>
      <c r="ED128" s="1094">
        <f t="shared" si="668"/>
        <v>0.112938838595716</v>
      </c>
      <c r="EE128" s="1094">
        <f t="shared" si="668"/>
        <v>0.105388813096862</v>
      </c>
      <c r="EF128" s="1094">
        <f t="shared" si="668"/>
        <v>0.0914062499999999</v>
      </c>
      <c r="EG128" s="1093">
        <f t="shared" si="668"/>
        <v>0.111175979983319</v>
      </c>
      <c r="EH128" s="1082">
        <f>+EH127/DZ127-1</f>
        <v>0.168347082187595</v>
      </c>
      <c r="EI128" s="1082">
        <f t="shared" ref="EI128:EO128" si="669">EI127/EA127-1</f>
        <v>0.147845953002611</v>
      </c>
      <c r="EJ128" s="1094">
        <f t="shared" si="669"/>
        <v>0.158434590500237</v>
      </c>
      <c r="EK128" s="1094">
        <f t="shared" si="669"/>
        <v>0.114583333333333</v>
      </c>
      <c r="EL128" s="1094">
        <f t="shared" si="669"/>
        <v>0.142148596369408</v>
      </c>
      <c r="EM128" s="1094">
        <f t="shared" si="669"/>
        <v>0.0394939833384758</v>
      </c>
      <c r="EN128" s="1094">
        <f t="shared" si="669"/>
        <v>0.0797423049391552</v>
      </c>
      <c r="EO128" s="1093">
        <f t="shared" si="669"/>
        <v>0.117090745327629</v>
      </c>
      <c r="EP128" s="1082">
        <f t="shared" ref="EP128:EW128" si="670">EP127/EH127-1</f>
        <v>-0.0190899581589958</v>
      </c>
      <c r="EQ128" s="1082">
        <f t="shared" si="670"/>
        <v>-0.0381006539664487</v>
      </c>
      <c r="ER128" s="1082">
        <f t="shared" si="670"/>
        <v>-0.0281977932161831</v>
      </c>
      <c r="ES128" s="1082">
        <f t="shared" si="670"/>
        <v>-0.0704529115744069</v>
      </c>
      <c r="ET128" s="1082">
        <f t="shared" si="670"/>
        <v>-0.0435122459614382</v>
      </c>
      <c r="EU128" s="1082">
        <f t="shared" si="670"/>
        <v>0.0326506381715643</v>
      </c>
      <c r="EV128" s="1082">
        <f t="shared" si="670"/>
        <v>-0.0243967117475471</v>
      </c>
      <c r="EW128" s="1085">
        <f t="shared" si="670"/>
        <v>-0.0262715850298999</v>
      </c>
      <c r="EX128" s="1082">
        <f t="shared" ref="EX128:FF128" si="671">EX127/EP127-1</f>
        <v>-0.0722474006931485</v>
      </c>
      <c r="EY128" s="1082">
        <f t="shared" si="671"/>
        <v>0.00857227313035769</v>
      </c>
      <c r="EZ128" s="1082">
        <f t="shared" si="671"/>
        <v>-0.0339220633585646</v>
      </c>
      <c r="FA128" s="1082">
        <f t="shared" si="671"/>
        <v>0.0479505027068832</v>
      </c>
      <c r="FB128" s="1082">
        <f t="shared" si="671"/>
        <v>-0.00508489966403336</v>
      </c>
      <c r="FC128" s="1082">
        <f t="shared" si="671"/>
        <v>0.0072964643095248</v>
      </c>
      <c r="FD128" s="1082">
        <f t="shared" si="671"/>
        <v>0.0287285130922583</v>
      </c>
      <c r="FE128" s="1085">
        <f t="shared" si="671"/>
        <v>-0.0021125863005218</v>
      </c>
      <c r="FF128" s="1082">
        <f t="shared" si="671"/>
        <v>0.0667027793422656</v>
      </c>
      <c r="FG128" s="1082">
        <f t="shared" ref="FG128:FM128" si="672">FG127/EY127-1</f>
        <v>0.0922017358434555</v>
      </c>
      <c r="FH128" s="1082">
        <f t="shared" si="672"/>
        <v>0.0793264647140097</v>
      </c>
      <c r="FI128" s="1082">
        <f t="shared" si="672"/>
        <v>0.0425080798755473</v>
      </c>
      <c r="FJ128" s="1082">
        <f t="shared" si="672"/>
        <v>0.0656670018712289</v>
      </c>
      <c r="FK128" s="1082">
        <f t="shared" si="672"/>
        <v>0.262557458405327</v>
      </c>
      <c r="FL128" s="1082">
        <f t="shared" si="672"/>
        <v>0.144383948310848</v>
      </c>
      <c r="FM128" s="1085">
        <f t="shared" si="672"/>
        <v>0.113378882366394</v>
      </c>
      <c r="FN128" s="1082"/>
      <c r="FO128" s="1082"/>
      <c r="FP128" s="1082"/>
      <c r="FQ128" s="1082"/>
      <c r="FR128" s="1082"/>
      <c r="FS128" s="1082"/>
      <c r="FT128" s="1082"/>
      <c r="FU128" s="1082"/>
      <c r="FV128" s="1109"/>
      <c r="FW128" s="1082"/>
      <c r="FX128" s="1082"/>
      <c r="FY128" s="1082"/>
      <c r="FZ128" s="1082"/>
      <c r="GA128" s="1082"/>
      <c r="GB128" s="1082"/>
      <c r="GC128" s="1085"/>
      <c r="GD128" s="1082"/>
      <c r="GE128" s="1082"/>
      <c r="GF128" s="1082"/>
      <c r="GG128" s="1082"/>
      <c r="GH128" s="1082"/>
      <c r="GI128" s="1082"/>
      <c r="GJ128" s="1082"/>
      <c r="GK128" s="1085"/>
      <c r="GL128" s="1082"/>
      <c r="GM128" s="1082"/>
      <c r="GN128" s="1082"/>
      <c r="GO128" s="1082"/>
      <c r="GP128" s="1082"/>
      <c r="GQ128" s="1082"/>
      <c r="GR128" s="1082"/>
      <c r="GS128" s="1085"/>
      <c r="GT128" s="1082"/>
      <c r="GU128" s="1082"/>
      <c r="GV128" s="1082"/>
      <c r="GW128" s="1082"/>
      <c r="GX128" s="1082"/>
      <c r="GY128" s="1082"/>
      <c r="GZ128" s="1082"/>
      <c r="HA128" s="1085"/>
      <c r="HB128" s="1082"/>
      <c r="HC128" s="1082"/>
      <c r="HD128" s="1082"/>
      <c r="HE128" s="1082"/>
      <c r="HF128" s="1082"/>
      <c r="HG128" s="1082"/>
      <c r="HH128" s="1082"/>
      <c r="HI128" s="1085"/>
      <c r="HJ128" s="1082"/>
      <c r="HK128" s="1082"/>
      <c r="HL128" s="1082"/>
      <c r="HM128" s="1082"/>
      <c r="HN128" s="1082"/>
      <c r="HO128" s="1082"/>
      <c r="HP128" s="1082"/>
      <c r="HQ128" s="1085"/>
      <c r="HR128" s="1082"/>
      <c r="HS128" s="1082"/>
      <c r="HT128" s="1082"/>
      <c r="HU128" s="1082"/>
      <c r="HV128" s="1082"/>
      <c r="HW128" s="1082"/>
      <c r="HX128" s="1082"/>
      <c r="HY128" s="1082"/>
      <c r="HZ128" s="1082"/>
      <c r="IA128" s="1082"/>
      <c r="IB128" s="1082"/>
      <c r="IC128" s="1082"/>
      <c r="ID128" s="1082"/>
      <c r="IE128" s="1082"/>
      <c r="IF128" s="1082"/>
      <c r="IG128" s="1085"/>
      <c r="IH128" s="1082"/>
      <c r="II128" s="1082"/>
      <c r="IJ128" s="1082"/>
      <c r="IK128" s="1082"/>
      <c r="IL128" s="1082"/>
      <c r="IM128" s="1082"/>
      <c r="IN128" s="1082"/>
      <c r="IO128" s="1085"/>
      <c r="IP128" s="1082"/>
      <c r="IQ128" s="1082"/>
      <c r="IR128" s="1082"/>
      <c r="IS128" s="1082"/>
      <c r="IT128" s="1082"/>
      <c r="IU128" s="1082"/>
      <c r="IV128" s="1082"/>
      <c r="IW128" s="1082"/>
      <c r="IX128" s="1094"/>
      <c r="IY128" s="1094"/>
      <c r="IZ128" s="1049"/>
      <c r="JA128" s="1049"/>
      <c r="JB128" s="790"/>
      <c r="JC128" s="790"/>
      <c r="JD128" s="790"/>
      <c r="JE128" s="790"/>
      <c r="JF128" s="790"/>
      <c r="JG128" s="790"/>
      <c r="JH128" s="790"/>
      <c r="JI128" s="790"/>
      <c r="JJ128" s="790"/>
      <c r="JK128" s="790"/>
      <c r="JL128" s="790"/>
      <c r="JM128" s="765"/>
      <c r="JN128" s="765"/>
      <c r="JO128" s="765"/>
      <c r="JP128" s="765"/>
      <c r="JQ128" s="1035"/>
      <c r="JR128" s="1035"/>
      <c r="JS128" s="1035"/>
      <c r="JT128" s="1035"/>
      <c r="JU128" s="1035"/>
      <c r="JV128" s="1035"/>
      <c r="JW128" s="1035"/>
      <c r="JX128" s="1035"/>
      <c r="JY128" s="1035"/>
      <c r="KP128" s="1117"/>
      <c r="LV128" s="967"/>
    </row>
    <row r="129" hidden="1" outlineLevel="1" spans="1:334">
      <c r="A129" s="967" t="s">
        <v>63</v>
      </c>
      <c r="AX129" s="1059"/>
      <c r="BE129" s="1060"/>
      <c r="BN129" s="1059"/>
      <c r="BU129" s="1060"/>
      <c r="BV129" s="1059"/>
      <c r="CC129" s="1060"/>
      <c r="CD129" s="1059"/>
      <c r="CJ129" s="1061"/>
      <c r="CK129" s="1060"/>
      <c r="CL129" s="1059"/>
      <c r="CS129" s="1060"/>
      <c r="CT129" s="1059"/>
      <c r="CW129" s="1062"/>
      <c r="CX129" s="1062"/>
      <c r="DB129" s="1181"/>
      <c r="DC129" s="1181"/>
      <c r="DD129" s="1181"/>
      <c r="DE129" s="1194"/>
      <c r="DF129" s="1194"/>
      <c r="DG129" s="1181"/>
      <c r="DH129" s="1181"/>
      <c r="DI129" s="1182"/>
      <c r="DJ129" s="1080">
        <f>(DJ125*0%+DJ120*DJ122+DJ115*DJ117+DJ110*DJ112+DJ105*DJ107+DJ100*DJ102+DJ95*DJ97)/DJ127</f>
        <v>0.0387446263379742</v>
      </c>
      <c r="DK129" s="1080">
        <f t="shared" ref="DK129:DQ129" si="673">(DK125*0%+DK120*DK122+DK115*DK117+DK110*DK112+DK105*DK107+DK100*DK102+DK95*DK97)/DK127</f>
        <v>0.0553697604618057</v>
      </c>
      <c r="DL129" s="1080">
        <f t="shared" si="673"/>
        <v>0.0434142325198745</v>
      </c>
      <c r="DM129" s="1080">
        <f t="shared" si="673"/>
        <v>0.0076808884941687</v>
      </c>
      <c r="DN129" s="1080">
        <f t="shared" si="673"/>
        <v>0.0283620171103536</v>
      </c>
      <c r="DO129" s="1080">
        <f t="shared" si="673"/>
        <v>-0.0370522613824592</v>
      </c>
      <c r="DP129" s="1080">
        <f t="shared" si="673"/>
        <v>-0.0172414906063983</v>
      </c>
      <c r="DQ129" s="1081">
        <f t="shared" si="673"/>
        <v>0.0128477519262232</v>
      </c>
      <c r="DR129" s="1082">
        <f t="shared" ref="DR129:DY129" si="674">DR128-DR130</f>
        <v>-0.0617618308766486</v>
      </c>
      <c r="DS129" s="1082">
        <f t="shared" si="674"/>
        <v>0.0792201872201873</v>
      </c>
      <c r="DT129" s="1082">
        <f t="shared" si="674"/>
        <v>0.0372284011916583</v>
      </c>
      <c r="DU129" s="1082">
        <f t="shared" si="674"/>
        <v>0.101415368639668</v>
      </c>
      <c r="DV129" s="1082">
        <f t="shared" si="674"/>
        <v>0.0601095406360423</v>
      </c>
      <c r="DW129" s="1094">
        <f t="shared" si="674"/>
        <v>0.0503251933251934</v>
      </c>
      <c r="DX129" s="1082">
        <f t="shared" si="674"/>
        <v>0.0641567527123084</v>
      </c>
      <c r="DY129" s="1085">
        <f t="shared" si="674"/>
        <v>0.0469947018591658</v>
      </c>
      <c r="DZ129" s="1082">
        <f>(DZ97*DR95+DZ102*DR100+DZ107*DR105+DZ112*DR110+DZ117*DR115+DZ122*DR120)/DR127</f>
        <v>0.0379169783096485</v>
      </c>
      <c r="EA129" s="1082">
        <f>(EA97*DS95+EA102*DS100+EA107*DS105+EA112*DS110+EA117*DS115+EA122*DS120)/DS127</f>
        <v>-0.0487826534110388</v>
      </c>
      <c r="EB129" s="1082">
        <f>(EB97*DT95+EB102*DT100+EB107*DT105+EB112*DT110+EB117*DT115+EB122*DT120)/DT127</f>
        <v>-0.0030649373881932</v>
      </c>
      <c r="EC129" s="1082">
        <f>(EC97*DU95+EC102*DU100+EC107*DU105+EC112*DU110+EC117*DU115+EC122*DU120)/DU127</f>
        <v>-0.0478143021914648</v>
      </c>
      <c r="ED129" s="1094">
        <f>ED128-ED130</f>
        <v>-0.0270611614042836</v>
      </c>
      <c r="EE129" s="1082">
        <f>(EE97*DW95+EE102*DW100+EE107*DW105+EE112*DW110+EE117*DW115+EE122*DW120)/DW127</f>
        <v>-0.00676671214188271</v>
      </c>
      <c r="EF129" s="1082">
        <f>(EF97*DX95+EF102*DX100+EF107*DX105+EF112*DX110+EF117*DX115+EF122*DX120)/DX127</f>
        <v>-0.02933078125</v>
      </c>
      <c r="EG129" s="1085">
        <f>(EG97*DY95+EG102*DY100+EG107*DY105+EG112*DY110+EG117*DY115+EG122*DY120)/DY127</f>
        <v>-0.0170850708924103</v>
      </c>
      <c r="EH129" s="1082">
        <f t="shared" ref="EH129:EO129" si="675">(EH97*DZ95+EH102*DZ100+EH107*DZ105+EH112*DZ110+EH117*DZ115+EH122*DZ120)/DZ127</f>
        <v>0.0296883593033914</v>
      </c>
      <c r="EI129" s="1082">
        <f>+EI128-EI130</f>
        <v>0.0761253916449087</v>
      </c>
      <c r="EJ129" s="1082">
        <f>+EJ128-EJ130</f>
        <v>0.0531325390563358</v>
      </c>
      <c r="EK129" s="1082">
        <f t="shared" si="675"/>
        <v>0.0737907051282051</v>
      </c>
      <c r="EL129" s="1082">
        <f t="shared" si="675"/>
        <v>0.0608005158218431</v>
      </c>
      <c r="EM129" s="1082">
        <f t="shared" si="675"/>
        <v>0.0319657513113237</v>
      </c>
      <c r="EN129" s="1082">
        <f t="shared" si="675"/>
        <v>0.0513845854012227</v>
      </c>
      <c r="EO129" s="1085">
        <f t="shared" si="675"/>
        <v>0.0533131877204833</v>
      </c>
      <c r="EP129" s="1082">
        <f t="shared" ref="EP129:FB129" si="676">EP128-EP130</f>
        <v>-0.0211132322175732</v>
      </c>
      <c r="EQ129" s="1082">
        <f t="shared" si="676"/>
        <v>-0.0403613875462042</v>
      </c>
      <c r="ER129" s="1082">
        <f t="shared" si="676"/>
        <v>-0.030046996322027</v>
      </c>
      <c r="ES129" s="1082">
        <f t="shared" si="676"/>
        <v>-0.0705094656122694</v>
      </c>
      <c r="ET129" s="1082">
        <f t="shared" si="676"/>
        <v>-0.0448952579468473</v>
      </c>
      <c r="EU129" s="1082">
        <f t="shared" si="676"/>
        <v>-0.0925853368952211</v>
      </c>
      <c r="EV129" s="1082">
        <f t="shared" si="676"/>
        <v>-0.080370723945903</v>
      </c>
      <c r="EW129" s="1085">
        <f t="shared" si="676"/>
        <v>-0.0556906537660418</v>
      </c>
      <c r="EX129" s="1082">
        <f t="shared" si="676"/>
        <v>-0.0824380165289256</v>
      </c>
      <c r="EY129" s="1082">
        <f t="shared" si="676"/>
        <v>-0.0930780372450488</v>
      </c>
      <c r="EZ129" s="1082">
        <f t="shared" si="676"/>
        <v>-0.0874835996635829</v>
      </c>
      <c r="FA129" s="1082">
        <f t="shared" si="676"/>
        <v>-0.0428749677751998</v>
      </c>
      <c r="FB129" s="1082">
        <f t="shared" si="676"/>
        <v>-0.0717715427222373</v>
      </c>
      <c r="FC129" s="1082">
        <v>-0.026</v>
      </c>
      <c r="FD129" s="1082">
        <f>FD128-FD130</f>
        <v>-0.0467549063151894</v>
      </c>
      <c r="FE129" s="1085">
        <f>(ET127*FB129+EU127*FC129)/EW127</f>
        <v>-0.0607834667402705</v>
      </c>
      <c r="FF129" s="1082">
        <f>FF128-FF130</f>
        <v>0.0163579517560588</v>
      </c>
      <c r="FG129" s="1082">
        <f t="shared" ref="FG129:FM129" si="677">FG128-FG130</f>
        <v>0.0660770289266911</v>
      </c>
      <c r="FH129" s="1082">
        <f t="shared" si="677"/>
        <v>0.0409722134081479</v>
      </c>
      <c r="FI129" s="1082">
        <f t="shared" si="677"/>
        <v>-0.00222623746762615</v>
      </c>
      <c r="FJ129" s="1082">
        <f t="shared" si="677"/>
        <v>0.0249457734327877</v>
      </c>
      <c r="FK129" s="1082">
        <f t="shared" si="677"/>
        <v>0.0817334681594945</v>
      </c>
      <c r="FL129" s="1082">
        <f t="shared" si="677"/>
        <v>0.0366444377484712</v>
      </c>
      <c r="FM129" s="1085">
        <f t="shared" si="677"/>
        <v>0.0387069671040885</v>
      </c>
      <c r="FN129" s="1082"/>
      <c r="FO129" s="1082"/>
      <c r="FP129" s="1082"/>
      <c r="FQ129" s="1082"/>
      <c r="FR129" s="1082"/>
      <c r="FS129" s="1082"/>
      <c r="FT129" s="1082"/>
      <c r="FU129" s="1082"/>
      <c r="FV129" s="1109"/>
      <c r="FW129" s="1082"/>
      <c r="FX129" s="1082"/>
      <c r="FY129" s="1082"/>
      <c r="FZ129" s="1082"/>
      <c r="GA129" s="1082"/>
      <c r="GB129" s="1082"/>
      <c r="GC129" s="1085"/>
      <c r="GD129" s="1082"/>
      <c r="GE129" s="1082"/>
      <c r="GF129" s="1082"/>
      <c r="GG129" s="1082"/>
      <c r="GH129" s="1082"/>
      <c r="GI129" s="1082"/>
      <c r="GJ129" s="1082"/>
      <c r="GK129" s="1085"/>
      <c r="GL129" s="1082"/>
      <c r="GM129" s="1082"/>
      <c r="GN129" s="1082"/>
      <c r="GO129" s="1082"/>
      <c r="GP129" s="1082"/>
      <c r="GQ129" s="1082"/>
      <c r="GR129" s="1082"/>
      <c r="GS129" s="1085"/>
      <c r="GT129" s="1082"/>
      <c r="GU129" s="1082"/>
      <c r="GV129" s="1082"/>
      <c r="GW129" s="1082"/>
      <c r="GX129" s="1082"/>
      <c r="GY129" s="1082"/>
      <c r="GZ129" s="1082"/>
      <c r="HA129" s="1085"/>
      <c r="HB129" s="1082"/>
      <c r="HC129" s="1082"/>
      <c r="HD129" s="1082"/>
      <c r="HE129" s="1082"/>
      <c r="HF129" s="1082"/>
      <c r="HG129" s="1082"/>
      <c r="HH129" s="1082"/>
      <c r="HI129" s="1085"/>
      <c r="HJ129" s="1082"/>
      <c r="HK129" s="1082"/>
      <c r="HL129" s="1082"/>
      <c r="HM129" s="1082"/>
      <c r="HN129" s="1082"/>
      <c r="HO129" s="1082"/>
      <c r="HP129" s="1082"/>
      <c r="HQ129" s="1085"/>
      <c r="HR129" s="1082"/>
      <c r="HS129" s="1082"/>
      <c r="HT129" s="1082"/>
      <c r="HU129" s="1082"/>
      <c r="HV129" s="1082"/>
      <c r="HW129" s="1082"/>
      <c r="HX129" s="1082"/>
      <c r="HY129" s="1082"/>
      <c r="HZ129" s="1082"/>
      <c r="IA129" s="1082"/>
      <c r="IB129" s="1082"/>
      <c r="IC129" s="1082"/>
      <c r="ID129" s="1082"/>
      <c r="IE129" s="1082"/>
      <c r="IF129" s="1082"/>
      <c r="IG129" s="1085"/>
      <c r="IH129" s="1082"/>
      <c r="II129" s="1082"/>
      <c r="IJ129" s="1082"/>
      <c r="IK129" s="1082"/>
      <c r="IL129" s="1082"/>
      <c r="IM129" s="1082"/>
      <c r="IN129" s="1082"/>
      <c r="IO129" s="1085"/>
      <c r="IP129" s="1082"/>
      <c r="IQ129" s="1082"/>
      <c r="IR129" s="1082"/>
      <c r="IS129" s="1082"/>
      <c r="IT129" s="1082"/>
      <c r="IU129" s="1082"/>
      <c r="IV129" s="1082"/>
      <c r="IW129" s="1082"/>
      <c r="IX129" s="1094"/>
      <c r="IY129" s="1104"/>
      <c r="IZ129" s="1183"/>
      <c r="JA129" s="1183"/>
      <c r="JB129" s="790"/>
      <c r="JC129" s="790"/>
      <c r="JD129" s="790"/>
      <c r="JE129" s="790"/>
      <c r="JF129" s="790"/>
      <c r="JG129" s="790"/>
      <c r="JH129" s="790"/>
      <c r="JI129" s="790"/>
      <c r="JJ129" s="790"/>
      <c r="JK129" s="790"/>
      <c r="JL129" s="790"/>
      <c r="JM129" s="765"/>
      <c r="JN129" s="765"/>
      <c r="JO129" s="765"/>
      <c r="JP129" s="765"/>
      <c r="JQ129" s="1035"/>
      <c r="JR129" s="1035"/>
      <c r="JS129" s="1035"/>
      <c r="JT129" s="1035"/>
      <c r="JU129" s="1035"/>
      <c r="JV129" s="1035"/>
      <c r="JW129" s="1035"/>
      <c r="JX129" s="1035"/>
      <c r="JY129" s="1035"/>
      <c r="KP129" s="1117"/>
      <c r="LV129" s="967"/>
    </row>
    <row r="130" hidden="1" outlineLevel="1" spans="1:334">
      <c r="A130" s="967" t="s">
        <v>65</v>
      </c>
      <c r="AX130" s="1059"/>
      <c r="BE130" s="1060"/>
      <c r="BN130" s="1059"/>
      <c r="BU130" s="1060"/>
      <c r="BV130" s="1059"/>
      <c r="CC130" s="1060"/>
      <c r="CD130" s="1059"/>
      <c r="CJ130" s="1061"/>
      <c r="CK130" s="1060"/>
      <c r="CL130" s="1059"/>
      <c r="CS130" s="1060"/>
      <c r="CT130" s="1059"/>
      <c r="CW130" s="1062"/>
      <c r="CX130" s="1062"/>
      <c r="DB130" s="1181"/>
      <c r="DC130" s="1181"/>
      <c r="DD130" s="1181"/>
      <c r="DE130" s="1194"/>
      <c r="DF130" s="1194"/>
      <c r="DG130" s="1181"/>
      <c r="DH130" s="1181"/>
      <c r="DI130" s="1182"/>
      <c r="DJ130" s="1080">
        <f t="shared" ref="DJ130:DQ130" si="678">DJ128-DJ129</f>
        <v>-0.0547751606891191</v>
      </c>
      <c r="DK130" s="1080">
        <f t="shared" si="678"/>
        <v>-0.0807565117509767</v>
      </c>
      <c r="DL130" s="1080">
        <f t="shared" si="678"/>
        <v>-0.0640327892209055</v>
      </c>
      <c r="DM130" s="1080">
        <f t="shared" si="678"/>
        <v>-0.0703025627316768</v>
      </c>
      <c r="DN130" s="1080">
        <f t="shared" si="678"/>
        <v>-0.0647234423809361</v>
      </c>
      <c r="DO130" s="1080">
        <f t="shared" si="678"/>
        <v>-0.00914339079145383</v>
      </c>
      <c r="DP130" s="1080">
        <f t="shared" si="678"/>
        <v>-0.0379016695208551</v>
      </c>
      <c r="DQ130" s="1081">
        <f t="shared" si="678"/>
        <v>-0.0515550396380484</v>
      </c>
      <c r="DR130" s="1082">
        <v>0.099</v>
      </c>
      <c r="DS130" s="1082">
        <v>0.108</v>
      </c>
      <c r="DT130" s="1082">
        <v>0.073</v>
      </c>
      <c r="DU130" s="1082">
        <v>0.099</v>
      </c>
      <c r="DV130" s="1082">
        <v>0.083</v>
      </c>
      <c r="DW130" s="1082">
        <v>0.143</v>
      </c>
      <c r="DX130" s="1082">
        <v>0.133</v>
      </c>
      <c r="DY130" s="1085">
        <v>0.108</v>
      </c>
      <c r="DZ130" s="1082">
        <f>DZ128-DZ129</f>
        <v>0.186091997008227</v>
      </c>
      <c r="EA130" s="1082">
        <f>EA128-EA129</f>
        <v>0.0991768940692493</v>
      </c>
      <c r="EB130" s="1082">
        <f>EB128-EB129</f>
        <v>0.136696422182469</v>
      </c>
      <c r="EC130" s="1082">
        <f>EC128-EC129</f>
        <v>0.12739907727797</v>
      </c>
      <c r="ED130" s="1082">
        <v>0.14</v>
      </c>
      <c r="EE130" s="1082">
        <f>EE128-EE129</f>
        <v>0.112155525238745</v>
      </c>
      <c r="EF130" s="1082">
        <f>EF128-EF129</f>
        <v>0.12073703125</v>
      </c>
      <c r="EG130" s="1085">
        <f>EG128-EG129</f>
        <v>0.12826105087573</v>
      </c>
      <c r="EH130" s="1082">
        <f>+EH128-EH129</f>
        <v>0.138658722884204</v>
      </c>
      <c r="EI130" s="1082">
        <f>(EI98*EA95+EI103*EA100+EI108*EA105+EI113*EA110+EI118*EA115+EI123*EA120)/EA127</f>
        <v>0.0717205613577024</v>
      </c>
      <c r="EJ130" s="1082">
        <f>(EJ98*EB95+EJ103*EB100+EJ108*EB105+EJ113*EB110+EJ118*EB115+EJ123*EB120)/EB127</f>
        <v>0.105302051443901</v>
      </c>
      <c r="EK130" s="1082">
        <f>EK128-EK129</f>
        <v>0.0407926282051281</v>
      </c>
      <c r="EL130" s="1082">
        <f>EL128-EL129</f>
        <v>0.0813480805475647</v>
      </c>
      <c r="EM130" s="1082">
        <f>EM128-EM129</f>
        <v>0.00752823202715205</v>
      </c>
      <c r="EN130" s="1082">
        <f>EN128-EN129</f>
        <v>0.0283577195379326</v>
      </c>
      <c r="EO130" s="1085">
        <f>EO128-EO129</f>
        <v>0.0637775576071455</v>
      </c>
      <c r="EP130" s="1082">
        <f t="shared" ref="EP130:EW130" si="679">(EH95*EP98+EH100*EP103+EH105*EP108+EH110*EP113+EH115*EP118+EH120*EP123)/EH127</f>
        <v>0.00202327405857741</v>
      </c>
      <c r="EQ130" s="1082">
        <f t="shared" si="679"/>
        <v>0.00226073357975548</v>
      </c>
      <c r="ER130" s="1082">
        <f t="shared" si="679"/>
        <v>0.00184920310584389</v>
      </c>
      <c r="ES130" s="1082">
        <f t="shared" si="679"/>
        <v>5.65540378624484e-5</v>
      </c>
      <c r="ET130" s="1082">
        <f t="shared" si="679"/>
        <v>0.00138301198540907</v>
      </c>
      <c r="EU130" s="1082">
        <f t="shared" si="679"/>
        <v>0.125235975066785</v>
      </c>
      <c r="EV130" s="1082">
        <f t="shared" si="679"/>
        <v>0.0559740121983559</v>
      </c>
      <c r="EW130" s="1085">
        <f t="shared" si="679"/>
        <v>0.0294190687361419</v>
      </c>
      <c r="EX130" s="1082">
        <f t="shared" ref="EX130:FF130" si="680">(EP95*EX98+EP100*EX103+EP105*EX108+EP110*EX113+EP115*EX118+EP120*EX123)/EP127</f>
        <v>0.0101906158357771</v>
      </c>
      <c r="EY130" s="1082">
        <f t="shared" si="680"/>
        <v>0.101650310375406</v>
      </c>
      <c r="EZ130" s="1082">
        <f t="shared" si="680"/>
        <v>0.0535615363050182</v>
      </c>
      <c r="FA130" s="1082">
        <f t="shared" si="680"/>
        <v>0.090825470482083</v>
      </c>
      <c r="FB130" s="1082">
        <f t="shared" si="680"/>
        <v>0.0666866430582039</v>
      </c>
      <c r="FC130" s="1082">
        <f t="shared" si="680"/>
        <v>0.0583774073009486</v>
      </c>
      <c r="FD130" s="1082">
        <f t="shared" si="680"/>
        <v>0.0754834194074477</v>
      </c>
      <c r="FE130" s="1085">
        <f t="shared" si="680"/>
        <v>0.0646918989787469</v>
      </c>
      <c r="FF130" s="1082">
        <f t="shared" si="680"/>
        <v>0.0503448275862069</v>
      </c>
      <c r="FG130" s="1082">
        <f t="shared" ref="FG130:FM130" si="681">(EY95*FG98+EY100*FG103+EY105*FG108+EY110*FG113+EY115*FG118+EY120*FG123)/EY127</f>
        <v>0.0261247069167644</v>
      </c>
      <c r="FH130" s="1082">
        <f t="shared" si="681"/>
        <v>0.0383542513058619</v>
      </c>
      <c r="FI130" s="1082">
        <f t="shared" si="681"/>
        <v>0.0447343173431734</v>
      </c>
      <c r="FJ130" s="1082">
        <f t="shared" si="681"/>
        <v>0.0407212284384412</v>
      </c>
      <c r="FK130" s="1082">
        <f t="shared" si="681"/>
        <v>0.180823990245832</v>
      </c>
      <c r="FL130" s="1082">
        <f t="shared" si="681"/>
        <v>0.107739510562376</v>
      </c>
      <c r="FM130" s="1085">
        <f t="shared" si="681"/>
        <v>0.0746719152623054</v>
      </c>
      <c r="FN130" s="1082"/>
      <c r="FO130" s="1082"/>
      <c r="FP130" s="1082"/>
      <c r="FQ130" s="1082"/>
      <c r="FR130" s="1082"/>
      <c r="FS130" s="1082"/>
      <c r="FT130" s="1082"/>
      <c r="FU130" s="1082"/>
      <c r="FV130" s="1109"/>
      <c r="FW130" s="1082"/>
      <c r="FX130" s="1082"/>
      <c r="FY130" s="1082"/>
      <c r="FZ130" s="1082"/>
      <c r="GA130" s="1082"/>
      <c r="GB130" s="1082"/>
      <c r="GC130" s="1085"/>
      <c r="GD130" s="1082"/>
      <c r="GE130" s="1082"/>
      <c r="GF130" s="1082"/>
      <c r="GG130" s="1082"/>
      <c r="GH130" s="1082"/>
      <c r="GI130" s="1082"/>
      <c r="GJ130" s="1082"/>
      <c r="GK130" s="1085"/>
      <c r="GL130" s="1082"/>
      <c r="GM130" s="1082"/>
      <c r="GN130" s="1082"/>
      <c r="GO130" s="1082"/>
      <c r="GP130" s="1082"/>
      <c r="GQ130" s="1082"/>
      <c r="GR130" s="1082"/>
      <c r="GS130" s="1085"/>
      <c r="GT130" s="1082"/>
      <c r="GU130" s="1082"/>
      <c r="GV130" s="1082"/>
      <c r="GW130" s="1082"/>
      <c r="GX130" s="1082"/>
      <c r="GY130" s="1082"/>
      <c r="GZ130" s="1082"/>
      <c r="HA130" s="1085"/>
      <c r="HB130" s="1082"/>
      <c r="HC130" s="1082"/>
      <c r="HD130" s="1082"/>
      <c r="HE130" s="1082"/>
      <c r="HF130" s="1082"/>
      <c r="HG130" s="1082"/>
      <c r="HH130" s="1082"/>
      <c r="HI130" s="1085"/>
      <c r="HJ130" s="1082"/>
      <c r="HK130" s="1082"/>
      <c r="HL130" s="1082"/>
      <c r="HM130" s="1082"/>
      <c r="HN130" s="1082"/>
      <c r="HO130" s="1082"/>
      <c r="HP130" s="1082"/>
      <c r="HQ130" s="1085"/>
      <c r="HR130" s="1082"/>
      <c r="HS130" s="1082"/>
      <c r="HT130" s="1082"/>
      <c r="HU130" s="1082"/>
      <c r="HV130" s="1082"/>
      <c r="HW130" s="1082"/>
      <c r="HX130" s="1082"/>
      <c r="HY130" s="1082"/>
      <c r="HZ130" s="1082"/>
      <c r="IA130" s="1082"/>
      <c r="IB130" s="1082"/>
      <c r="IC130" s="1082"/>
      <c r="ID130" s="1082"/>
      <c r="IE130" s="1082"/>
      <c r="IF130" s="1082"/>
      <c r="IG130" s="1085"/>
      <c r="IH130" s="1082"/>
      <c r="II130" s="1082"/>
      <c r="IJ130" s="1082"/>
      <c r="IK130" s="1082"/>
      <c r="IL130" s="1082"/>
      <c r="IM130" s="1082"/>
      <c r="IN130" s="1082"/>
      <c r="IO130" s="1085"/>
      <c r="IP130" s="1082"/>
      <c r="IQ130" s="1082"/>
      <c r="IR130" s="1082"/>
      <c r="IS130" s="1082"/>
      <c r="IT130" s="1082"/>
      <c r="IU130" s="1082"/>
      <c r="IV130" s="1082"/>
      <c r="IW130" s="1082"/>
      <c r="IX130" s="1094"/>
      <c r="IY130" s="1104"/>
      <c r="IZ130" s="1183"/>
      <c r="JA130" s="1183"/>
      <c r="JB130" s="790"/>
      <c r="JC130" s="790"/>
      <c r="JD130" s="790"/>
      <c r="JE130" s="790"/>
      <c r="JF130" s="790"/>
      <c r="JG130" s="790"/>
      <c r="JH130" s="790"/>
      <c r="JI130" s="790"/>
      <c r="JJ130" s="790"/>
      <c r="JK130" s="790"/>
      <c r="JL130" s="790"/>
      <c r="JM130" s="765"/>
      <c r="JN130" s="765"/>
      <c r="JO130" s="765"/>
      <c r="JP130" s="765"/>
      <c r="JQ130" s="1035"/>
      <c r="JR130" s="1035"/>
      <c r="JS130" s="1035"/>
      <c r="JT130" s="1035"/>
      <c r="JU130" s="1035"/>
      <c r="JV130" s="1035"/>
      <c r="JW130" s="1035"/>
      <c r="JX130" s="1035"/>
      <c r="JY130" s="1035"/>
      <c r="KP130" s="1117"/>
      <c r="LV130" s="967"/>
    </row>
    <row r="131" hidden="1" outlineLevel="1" spans="1:334">
      <c r="A131" s="1035" t="s">
        <v>72</v>
      </c>
      <c r="AX131" s="1059"/>
      <c r="BE131" s="1060"/>
      <c r="BN131" s="1059"/>
      <c r="BU131" s="1060"/>
      <c r="BV131" s="1059"/>
      <c r="CC131" s="1060"/>
      <c r="CD131" s="1059"/>
      <c r="CJ131" s="1061"/>
      <c r="CK131" s="1060"/>
      <c r="CL131" s="1059"/>
      <c r="CS131" s="1060"/>
      <c r="CT131" s="1059"/>
      <c r="CW131" s="1062"/>
      <c r="CX131" s="1062"/>
      <c r="DB131" s="1181"/>
      <c r="DC131" s="1181"/>
      <c r="DD131" s="1181"/>
      <c r="DE131" s="1194"/>
      <c r="DF131" s="1194"/>
      <c r="DG131" s="1181"/>
      <c r="DH131" s="1181"/>
      <c r="DI131" s="1182"/>
      <c r="DJ131" s="1181"/>
      <c r="DK131" s="1181"/>
      <c r="DL131" s="1181"/>
      <c r="DM131" s="1181"/>
      <c r="DN131" s="1181"/>
      <c r="DO131" s="1181"/>
      <c r="DP131" s="1181"/>
      <c r="DQ131" s="1182"/>
      <c r="DR131" s="1037">
        <f t="shared" ref="DR131:DY131" si="682">SUM(DR125,DR120,DR115,DR110,DR105,DR100,DR95)</f>
        <v>2681</v>
      </c>
      <c r="DS131" s="1037">
        <f t="shared" si="682"/>
        <v>2919</v>
      </c>
      <c r="DT131" s="1037">
        <f t="shared" si="682"/>
        <v>5600</v>
      </c>
      <c r="DU131" s="1037">
        <f t="shared" si="682"/>
        <v>3470</v>
      </c>
      <c r="DV131" s="1037">
        <f t="shared" si="682"/>
        <v>9070</v>
      </c>
      <c r="DW131" s="1037">
        <f t="shared" si="682"/>
        <v>2936</v>
      </c>
      <c r="DX131" s="1037">
        <f t="shared" si="682"/>
        <v>6406</v>
      </c>
      <c r="DY131" s="1038">
        <f t="shared" si="682"/>
        <v>12006</v>
      </c>
      <c r="DZ131" s="1037">
        <f>SUM(DZ120,DZ115,DZ110,DZ105,DZ100,DZ95)</f>
        <v>3273</v>
      </c>
      <c r="EA131" s="1037">
        <f>SUM(EA120,EA115,EA110,EA105,EA100,EA95)</f>
        <v>3062.8</v>
      </c>
      <c r="EB131" s="1037">
        <f>SUM(EB125,EB120,EB115,EB110,EB105,EB100,EB95)</f>
        <v>6338.2</v>
      </c>
      <c r="EC131" s="1037">
        <f>SUM(EC120,EC115,EC110,EC105,EC100,EC95)</f>
        <v>3743</v>
      </c>
      <c r="ED131" s="1037">
        <f>SUM(ED125,ED120,ED115,ED110,ED105,ED100,ED95)</f>
        <v>10081</v>
      </c>
      <c r="EE131" s="1037">
        <f>SUM(EE120,EE115,EE110,EE105,EE100,EE95)</f>
        <v>3242</v>
      </c>
      <c r="EF131" s="1037">
        <f>SUM(EF125,EF120,EF115,EF110,EF105,EF100,EF95)</f>
        <v>6984.8</v>
      </c>
      <c r="EG131" s="1038">
        <f>SUM(EG120,EG115,EG110,EG105,EG100,EG95)</f>
        <v>13322</v>
      </c>
      <c r="EH131" s="1037">
        <f>SUM(EH120,EH115,EH110,EH105,EH100,EH95)</f>
        <v>3824</v>
      </c>
      <c r="EI131" s="1037">
        <f>SUM(EI120,EI115,EI110,EI105,EI100,EI95)</f>
        <v>3517</v>
      </c>
      <c r="EJ131" s="1037">
        <f>SUM(EJ125,EJ120,EJ115,EJ110,EJ105,EJ100,EJ95)</f>
        <v>7341</v>
      </c>
      <c r="EK131" s="1037">
        <f>SUM(EK120,EK115,EK110,EK105,EK100,EK95)</f>
        <v>4173</v>
      </c>
      <c r="EL131" s="1037">
        <f>SUM(EL125,EL120,EL115,EL110,EL105,EL100,EL95)</f>
        <v>11514</v>
      </c>
      <c r="EM131" s="1037">
        <f>SUM(EM120,EM115,EM110,EM105,EM100,EM95)</f>
        <v>3369</v>
      </c>
      <c r="EN131" s="1037">
        <f>SUM(EN125,EN120,EN115,EN110,EN105,EN100,EN95)</f>
        <v>7542</v>
      </c>
      <c r="EO131" s="1038">
        <f>SUM(EO120,EO115,EO110,EO105,EO100,EO95)</f>
        <v>14883</v>
      </c>
      <c r="EW131" s="1038"/>
      <c r="EX131" s="1037"/>
      <c r="EY131" s="1037"/>
      <c r="EZ131" s="1037"/>
      <c r="FA131" s="1037"/>
      <c r="FB131" s="1037"/>
      <c r="FC131" s="1037"/>
      <c r="FD131" s="1037"/>
      <c r="FE131" s="1038"/>
      <c r="FF131" s="1037"/>
      <c r="FG131" s="1037"/>
      <c r="FH131" s="1037"/>
      <c r="FI131" s="1037"/>
      <c r="FJ131" s="1037"/>
      <c r="FK131" s="1037"/>
      <c r="FL131" s="1037"/>
      <c r="FM131" s="1038"/>
      <c r="FN131" s="1037"/>
      <c r="FO131" s="1037"/>
      <c r="FP131" s="1037"/>
      <c r="FQ131" s="1037"/>
      <c r="FR131" s="1037"/>
      <c r="FS131" s="1037"/>
      <c r="FT131" s="1037"/>
      <c r="FU131" s="1037"/>
      <c r="FV131" s="1063"/>
      <c r="FW131" s="1037"/>
      <c r="FX131" s="1037"/>
      <c r="FY131" s="1037"/>
      <c r="FZ131" s="1037"/>
      <c r="GA131" s="1037"/>
      <c r="GB131" s="1037"/>
      <c r="GC131" s="1038"/>
      <c r="GD131" s="1037"/>
      <c r="GE131" s="1037"/>
      <c r="GF131" s="1037"/>
      <c r="GG131" s="1037"/>
      <c r="GH131" s="1037"/>
      <c r="GI131" s="1037"/>
      <c r="GJ131" s="1037"/>
      <c r="GK131" s="1038"/>
      <c r="GL131" s="1037"/>
      <c r="GM131" s="1037"/>
      <c r="GN131" s="1037"/>
      <c r="GO131" s="1037"/>
      <c r="GP131" s="1037"/>
      <c r="GQ131" s="1037"/>
      <c r="GR131" s="1037"/>
      <c r="GS131" s="1038"/>
      <c r="GT131" s="1037"/>
      <c r="GU131" s="1037"/>
      <c r="GV131" s="1037"/>
      <c r="GW131" s="1037"/>
      <c r="GX131" s="1037"/>
      <c r="GY131" s="1037"/>
      <c r="GZ131" s="1037"/>
      <c r="HA131" s="1038"/>
      <c r="HB131" s="1037"/>
      <c r="HC131" s="1037"/>
      <c r="HD131" s="1037"/>
      <c r="HE131" s="1037"/>
      <c r="HF131" s="1037"/>
      <c r="HG131" s="1037"/>
      <c r="HH131" s="1037"/>
      <c r="HI131" s="1038"/>
      <c r="HJ131" s="1037"/>
      <c r="HK131" s="1037"/>
      <c r="HL131" s="1037"/>
      <c r="HM131" s="1037"/>
      <c r="HN131" s="1037"/>
      <c r="HO131" s="1037"/>
      <c r="HP131" s="1037"/>
      <c r="HQ131" s="1038"/>
      <c r="HR131" s="1037"/>
      <c r="HS131" s="1037"/>
      <c r="HT131" s="1037"/>
      <c r="HU131" s="1037"/>
      <c r="HV131" s="1037"/>
      <c r="HW131" s="1037"/>
      <c r="HX131" s="1037"/>
      <c r="HY131" s="1037"/>
      <c r="HZ131" s="1037"/>
      <c r="IA131" s="1037"/>
      <c r="IB131" s="1037"/>
      <c r="IC131" s="1037"/>
      <c r="ID131" s="1037"/>
      <c r="IE131" s="1037"/>
      <c r="IF131" s="1037"/>
      <c r="IG131" s="1038"/>
      <c r="IH131" s="1037"/>
      <c r="II131" s="1037"/>
      <c r="IJ131" s="1037"/>
      <c r="IK131" s="1037"/>
      <c r="IL131" s="1037"/>
      <c r="IM131" s="1037"/>
      <c r="IN131" s="1037"/>
      <c r="IO131" s="1038"/>
      <c r="IP131" s="1037"/>
      <c r="IQ131" s="1037"/>
      <c r="IR131" s="1037"/>
      <c r="IS131" s="1037"/>
      <c r="IT131" s="1037"/>
      <c r="IU131" s="1037"/>
      <c r="IV131" s="1037"/>
      <c r="IW131" s="1037"/>
      <c r="IX131" s="1049"/>
      <c r="IY131" s="1049"/>
      <c r="JO131" s="891"/>
      <c r="JP131" s="891"/>
      <c r="JQ131" s="1035"/>
      <c r="JR131" s="1035"/>
      <c r="JS131" s="1035"/>
      <c r="JT131" s="1035"/>
      <c r="JU131" s="1035"/>
      <c r="JV131" s="1035"/>
      <c r="JW131" s="1035"/>
      <c r="JX131" s="1035"/>
      <c r="JY131" s="1035"/>
      <c r="KP131" s="1117"/>
      <c r="LV131" s="967"/>
    </row>
    <row r="132" collapsed="1" spans="1:334">
      <c r="A132" s="969"/>
      <c r="AX132" s="1059"/>
      <c r="BE132" s="1060"/>
      <c r="BN132" s="1059"/>
      <c r="BU132" s="1060"/>
      <c r="BV132" s="1059"/>
      <c r="CC132" s="1060"/>
      <c r="CD132" s="1059"/>
      <c r="CJ132" s="1061"/>
      <c r="CK132" s="1060"/>
      <c r="CL132" s="1059"/>
      <c r="CS132" s="1060"/>
      <c r="CT132" s="1059"/>
      <c r="CW132" s="1062"/>
      <c r="CX132" s="1062"/>
      <c r="DB132" s="1181"/>
      <c r="DC132" s="1181"/>
      <c r="DD132" s="1181"/>
      <c r="DE132" s="1194"/>
      <c r="DF132" s="1194"/>
      <c r="DG132" s="1181"/>
      <c r="DH132" s="1181"/>
      <c r="DI132" s="1182"/>
      <c r="DJ132" s="1181"/>
      <c r="DK132" s="1181"/>
      <c r="DL132" s="1181"/>
      <c r="DM132" s="1181"/>
      <c r="DN132" s="1181"/>
      <c r="DO132" s="1181"/>
      <c r="DP132" s="1181"/>
      <c r="DQ132" s="1182"/>
      <c r="DR132" s="1080"/>
      <c r="DS132" s="1080"/>
      <c r="DT132" s="1080"/>
      <c r="DU132" s="1080"/>
      <c r="DV132" s="1080"/>
      <c r="DW132" s="1080"/>
      <c r="DX132" s="1080"/>
      <c r="DY132" s="1081"/>
      <c r="DZ132" s="1080"/>
      <c r="EA132" s="1080"/>
      <c r="EB132" s="1080"/>
      <c r="EC132" s="1080"/>
      <c r="ED132" s="1080"/>
      <c r="EE132" s="1080"/>
      <c r="EF132" s="1080"/>
      <c r="EG132" s="1081"/>
      <c r="EH132" s="1080"/>
      <c r="EI132" s="1080"/>
      <c r="EJ132" s="1080"/>
      <c r="EK132" s="1080"/>
      <c r="EL132" s="1080"/>
      <c r="EM132" s="1080"/>
      <c r="EN132" s="1080"/>
      <c r="EO132" s="1081"/>
      <c r="EP132" s="1111"/>
      <c r="EQ132" s="1080"/>
      <c r="ER132" s="1080"/>
      <c r="ES132" s="1195"/>
      <c r="ET132" s="1195"/>
      <c r="EU132" s="1196"/>
      <c r="EV132" s="1080"/>
      <c r="EW132" s="1081"/>
      <c r="EX132" s="1080"/>
      <c r="EY132" s="1080"/>
      <c r="EZ132" s="1071"/>
      <c r="FA132" s="1071"/>
      <c r="FB132" s="1082"/>
      <c r="FC132" s="1080"/>
      <c r="FD132" s="1080"/>
      <c r="FE132" s="1081"/>
      <c r="FF132" s="1080"/>
      <c r="FG132" s="1080"/>
      <c r="FH132" s="1080"/>
      <c r="FI132" s="1080"/>
      <c r="FJ132" s="1080"/>
      <c r="FK132" s="1080"/>
      <c r="FL132" s="1080"/>
      <c r="FM132" s="1081"/>
      <c r="FN132" s="1080"/>
      <c r="FO132" s="1080"/>
      <c r="FP132" s="1080"/>
      <c r="FQ132" s="1080"/>
      <c r="FR132" s="1080"/>
      <c r="FS132" s="1080"/>
      <c r="FT132" s="1080"/>
      <c r="FU132" s="1080"/>
      <c r="FV132" s="1150"/>
      <c r="FW132" s="1080"/>
      <c r="FX132" s="1080"/>
      <c r="FY132" s="1080"/>
      <c r="FZ132" s="1080"/>
      <c r="GA132" s="1080"/>
      <c r="GB132" s="1080"/>
      <c r="GC132" s="1081"/>
      <c r="GD132" s="1080"/>
      <c r="GE132" s="1080"/>
      <c r="GF132" s="1080"/>
      <c r="GG132" s="1080"/>
      <c r="GH132" s="1080"/>
      <c r="GI132" s="1080"/>
      <c r="GJ132" s="1080"/>
      <c r="GK132" s="1081"/>
      <c r="GL132" s="1080"/>
      <c r="GM132" s="1080"/>
      <c r="GN132" s="1080"/>
      <c r="GO132" s="1080"/>
      <c r="GP132" s="1080"/>
      <c r="GQ132" s="1080"/>
      <c r="GR132" s="1080"/>
      <c r="GS132" s="1081"/>
      <c r="GT132" s="1080"/>
      <c r="GU132" s="1080"/>
      <c r="GV132" s="1080"/>
      <c r="GW132" s="1080"/>
      <c r="GX132" s="1080"/>
      <c r="GY132" s="1080"/>
      <c r="GZ132" s="1080"/>
      <c r="HA132" s="1081"/>
      <c r="HB132" s="1080"/>
      <c r="HC132" s="1080"/>
      <c r="HD132" s="1080"/>
      <c r="HE132" s="1080"/>
      <c r="HF132" s="1080"/>
      <c r="HG132" s="1080"/>
      <c r="HH132" s="1080"/>
      <c r="HI132" s="1081"/>
      <c r="HJ132" s="1080"/>
      <c r="HK132" s="1080"/>
      <c r="HL132" s="1080"/>
      <c r="HM132" s="1080"/>
      <c r="HN132" s="1080"/>
      <c r="HO132" s="1080"/>
      <c r="HP132" s="1080"/>
      <c r="HQ132" s="1081"/>
      <c r="HR132" s="1080"/>
      <c r="HS132" s="1080"/>
      <c r="HT132" s="1080"/>
      <c r="HU132" s="1080"/>
      <c r="HV132" s="1080"/>
      <c r="HW132" s="1080"/>
      <c r="HX132" s="1080"/>
      <c r="HY132" s="1080"/>
      <c r="HZ132" s="1080"/>
      <c r="IA132" s="1080"/>
      <c r="IB132" s="1080"/>
      <c r="IC132" s="1080"/>
      <c r="ID132" s="1080"/>
      <c r="IE132" s="1080"/>
      <c r="IF132" s="1080"/>
      <c r="IG132" s="1081"/>
      <c r="IH132" s="1080"/>
      <c r="II132" s="1080"/>
      <c r="IJ132" s="1080"/>
      <c r="IK132" s="1080"/>
      <c r="IL132" s="1080"/>
      <c r="IM132" s="1080"/>
      <c r="IN132" s="1080"/>
      <c r="IO132" s="1081"/>
      <c r="IP132" s="1080"/>
      <c r="IQ132" s="1080"/>
      <c r="IR132" s="1080"/>
      <c r="IS132" s="1080"/>
      <c r="IT132" s="1080"/>
      <c r="IU132" s="1080"/>
      <c r="IV132" s="1080"/>
      <c r="IW132" s="1080"/>
      <c r="IX132" s="1049"/>
      <c r="IY132" s="1049"/>
      <c r="JO132" s="891"/>
      <c r="JP132" s="891"/>
      <c r="JQ132" s="1035"/>
      <c r="JR132" s="1035"/>
      <c r="JS132" s="1035"/>
      <c r="JT132" s="1035"/>
      <c r="JU132" s="1035"/>
      <c r="JV132" s="1035"/>
      <c r="JW132" s="1035"/>
      <c r="JX132" s="1035"/>
      <c r="JY132" s="1035"/>
      <c r="KP132" s="1117"/>
      <c r="LV132" s="967"/>
    </row>
    <row r="133" s="1024" customFormat="1" spans="1:334">
      <c r="A133" s="1051" t="s">
        <v>526</v>
      </c>
      <c r="B133" s="1197" t="s">
        <v>259</v>
      </c>
      <c r="C133" s="1197" t="s">
        <v>260</v>
      </c>
      <c r="D133" s="1197" t="s">
        <v>261</v>
      </c>
      <c r="E133" s="1197" t="s">
        <v>262</v>
      </c>
      <c r="F133" s="1197" t="s">
        <v>263</v>
      </c>
      <c r="G133" s="1197" t="s">
        <v>264</v>
      </c>
      <c r="H133" s="1197">
        <f>H507</f>
        <v>0</v>
      </c>
      <c r="I133" s="1197" t="s">
        <v>14</v>
      </c>
      <c r="J133" s="1197" t="s">
        <v>266</v>
      </c>
      <c r="K133" s="1197" t="s">
        <v>267</v>
      </c>
      <c r="L133" s="1197" t="s">
        <v>268</v>
      </c>
      <c r="M133" s="1197" t="s">
        <v>269</v>
      </c>
      <c r="N133" s="1197" t="s">
        <v>270</v>
      </c>
      <c r="O133" s="1197" t="s">
        <v>271</v>
      </c>
      <c r="P133" s="1197">
        <f>P507</f>
        <v>0</v>
      </c>
      <c r="Q133" s="1197" t="s">
        <v>15</v>
      </c>
      <c r="R133" s="1197" t="s">
        <v>273</v>
      </c>
      <c r="S133" s="1197" t="s">
        <v>274</v>
      </c>
      <c r="T133" s="1197" t="s">
        <v>275</v>
      </c>
      <c r="U133" s="1197" t="s">
        <v>276</v>
      </c>
      <c r="V133" s="1197" t="s">
        <v>277</v>
      </c>
      <c r="W133" s="1197" t="s">
        <v>278</v>
      </c>
      <c r="X133" s="1197" t="str">
        <f>X515</f>
        <v>H2 97</v>
      </c>
      <c r="Y133" s="1197" t="s">
        <v>16</v>
      </c>
      <c r="Z133" s="1197" t="s">
        <v>280</v>
      </c>
      <c r="AA133" s="1197" t="s">
        <v>281</v>
      </c>
      <c r="AB133" s="1197" t="s">
        <v>282</v>
      </c>
      <c r="AC133" s="1197" t="s">
        <v>283</v>
      </c>
      <c r="AD133" s="1197" t="s">
        <v>277</v>
      </c>
      <c r="AE133" s="1197" t="s">
        <v>284</v>
      </c>
      <c r="AF133" s="1197" t="str">
        <f>AF515</f>
        <v>H2 98</v>
      </c>
      <c r="AG133" s="1197" t="s">
        <v>17</v>
      </c>
      <c r="AH133" s="1197" t="s">
        <v>286</v>
      </c>
      <c r="AI133" s="1197" t="s">
        <v>287</v>
      </c>
      <c r="AJ133" s="1197" t="s">
        <v>288</v>
      </c>
      <c r="AK133" s="1197" t="s">
        <v>289</v>
      </c>
      <c r="AL133" s="1197" t="s">
        <v>290</v>
      </c>
      <c r="AM133" s="1197" t="s">
        <v>291</v>
      </c>
      <c r="AN133" s="1197" t="str">
        <f>AN515</f>
        <v>H2 99</v>
      </c>
      <c r="AO133" s="1197" t="s">
        <v>18</v>
      </c>
      <c r="AP133" s="1197" t="s">
        <v>293</v>
      </c>
      <c r="AQ133" s="1197" t="s">
        <v>294</v>
      </c>
      <c r="AR133" s="1197" t="s">
        <v>295</v>
      </c>
      <c r="AS133" s="1197" t="s">
        <v>296</v>
      </c>
      <c r="AT133" s="1197" t="s">
        <v>297</v>
      </c>
      <c r="AU133" s="1197" t="s">
        <v>298</v>
      </c>
      <c r="AV133" s="1197">
        <f>AV507</f>
        <v>0</v>
      </c>
      <c r="AW133" s="1197" t="s">
        <v>19</v>
      </c>
      <c r="AX133" s="1198" t="s">
        <v>300</v>
      </c>
      <c r="AY133" s="1197" t="s">
        <v>301</v>
      </c>
      <c r="AZ133" s="1197" t="s">
        <v>302</v>
      </c>
      <c r="BA133" s="1197" t="s">
        <v>303</v>
      </c>
      <c r="BB133" s="1197" t="s">
        <v>304</v>
      </c>
      <c r="BC133" s="1197" t="s">
        <v>305</v>
      </c>
      <c r="BD133" s="1197">
        <f>BD507</f>
        <v>0</v>
      </c>
      <c r="BE133" s="1199" t="s">
        <v>20</v>
      </c>
      <c r="BF133" s="1197" t="s">
        <v>307</v>
      </c>
      <c r="BG133" s="1197" t="s">
        <v>308</v>
      </c>
      <c r="BH133" s="1197" t="s">
        <v>309</v>
      </c>
      <c r="BI133" s="1197" t="s">
        <v>310</v>
      </c>
      <c r="BJ133" s="1197" t="s">
        <v>311</v>
      </c>
      <c r="BK133" s="1197" t="s">
        <v>312</v>
      </c>
      <c r="BL133" s="1197">
        <f>BL507</f>
        <v>0</v>
      </c>
      <c r="BM133" s="1197" t="s">
        <v>21</v>
      </c>
      <c r="BN133" s="1198" t="s">
        <v>314</v>
      </c>
      <c r="BO133" s="1197" t="s">
        <v>315</v>
      </c>
      <c r="BP133" s="1197" t="s">
        <v>316</v>
      </c>
      <c r="BQ133" s="1197" t="s">
        <v>317</v>
      </c>
      <c r="BR133" s="1197" t="s">
        <v>318</v>
      </c>
      <c r="BS133" s="1197" t="s">
        <v>319</v>
      </c>
      <c r="BT133" s="1197">
        <f>BT507</f>
        <v>0</v>
      </c>
      <c r="BU133" s="1199" t="s">
        <v>22</v>
      </c>
      <c r="BV133" s="1198" t="s">
        <v>321</v>
      </c>
      <c r="BW133" s="1197" t="s">
        <v>322</v>
      </c>
      <c r="BX133" s="1197" t="s">
        <v>323</v>
      </c>
      <c r="BY133" s="1197" t="s">
        <v>324</v>
      </c>
      <c r="BZ133" s="1197" t="s">
        <v>325</v>
      </c>
      <c r="CA133" s="1197" t="s">
        <v>326</v>
      </c>
      <c r="CB133" s="1197" t="e">
        <f>CB507</f>
        <v>#DIV/0!</v>
      </c>
      <c r="CC133" s="1199" t="s">
        <v>23</v>
      </c>
      <c r="CD133" s="1198" t="s">
        <v>328</v>
      </c>
      <c r="CE133" s="1197" t="s">
        <v>329</v>
      </c>
      <c r="CF133" s="1197" t="s">
        <v>330</v>
      </c>
      <c r="CG133" s="1197" t="s">
        <v>331</v>
      </c>
      <c r="CH133" s="1197" t="s">
        <v>332</v>
      </c>
      <c r="CI133" s="1197" t="s">
        <v>333</v>
      </c>
      <c r="CJ133" s="1197" t="s">
        <v>334</v>
      </c>
      <c r="CK133" s="1199" t="s">
        <v>24</v>
      </c>
      <c r="CL133" s="1198" t="s">
        <v>335</v>
      </c>
      <c r="CM133" s="1197" t="s">
        <v>336</v>
      </c>
      <c r="CN133" s="1197" t="s">
        <v>337</v>
      </c>
      <c r="CO133" s="1197" t="s">
        <v>338</v>
      </c>
      <c r="CP133" s="1197" t="str">
        <f t="shared" ref="CP133:EG133" si="683">CP2</f>
        <v>9M 06</v>
      </c>
      <c r="CQ133" s="1197" t="str">
        <f t="shared" si="683"/>
        <v>Q4 06</v>
      </c>
      <c r="CR133" s="1197" t="str">
        <f t="shared" si="683"/>
        <v>H2 06</v>
      </c>
      <c r="CS133" s="1199" t="str">
        <f t="shared" si="683"/>
        <v>FY 06</v>
      </c>
      <c r="CT133" s="1198" t="str">
        <f t="shared" si="683"/>
        <v>Q1 07</v>
      </c>
      <c r="CU133" s="1197" t="str">
        <f t="shared" si="683"/>
        <v>Q2 07</v>
      </c>
      <c r="CV133" s="1197" t="str">
        <f t="shared" si="683"/>
        <v>H1 07</v>
      </c>
      <c r="CW133" s="1197" t="str">
        <f t="shared" si="683"/>
        <v>Q3 07</v>
      </c>
      <c r="CX133" s="1197" t="str">
        <f t="shared" si="683"/>
        <v>9M 07</v>
      </c>
      <c r="CY133" s="1197" t="str">
        <f t="shared" si="683"/>
        <v>Q4 07</v>
      </c>
      <c r="CZ133" s="1197" t="str">
        <f t="shared" si="683"/>
        <v>H2 07</v>
      </c>
      <c r="DA133" s="1199" t="str">
        <f t="shared" si="683"/>
        <v>FY 07</v>
      </c>
      <c r="DB133" s="1200" t="str">
        <f t="shared" si="683"/>
        <v>Q1 08</v>
      </c>
      <c r="DC133" s="1201" t="str">
        <f t="shared" si="683"/>
        <v>Q2 08</v>
      </c>
      <c r="DD133" s="1201" t="str">
        <f t="shared" si="683"/>
        <v>H1 08</v>
      </c>
      <c r="DE133" s="1201" t="str">
        <f t="shared" si="683"/>
        <v>Q3 08</v>
      </c>
      <c r="DF133" s="1201" t="str">
        <f t="shared" si="683"/>
        <v>9M 08</v>
      </c>
      <c r="DG133" s="1201" t="str">
        <f t="shared" si="683"/>
        <v>Q4 08</v>
      </c>
      <c r="DH133" s="1201" t="str">
        <f t="shared" si="683"/>
        <v>H2 08</v>
      </c>
      <c r="DI133" s="1202" t="str">
        <f t="shared" si="683"/>
        <v>FY 08</v>
      </c>
      <c r="DJ133" s="1201" t="str">
        <f t="shared" si="683"/>
        <v>Q1 09</v>
      </c>
      <c r="DK133" s="1201" t="str">
        <f t="shared" si="683"/>
        <v>Q2 09</v>
      </c>
      <c r="DL133" s="1201" t="str">
        <f t="shared" si="683"/>
        <v>H1 09</v>
      </c>
      <c r="DM133" s="1201" t="str">
        <f t="shared" si="683"/>
        <v>Q3 09</v>
      </c>
      <c r="DN133" s="1201" t="str">
        <f t="shared" si="683"/>
        <v>9M 09</v>
      </c>
      <c r="DO133" s="1201" t="str">
        <f t="shared" si="683"/>
        <v>Q4 09</v>
      </c>
      <c r="DP133" s="1201" t="str">
        <f t="shared" si="683"/>
        <v>H2 09</v>
      </c>
      <c r="DQ133" s="1202" t="str">
        <f t="shared" si="683"/>
        <v>FY 09</v>
      </c>
      <c r="DR133" s="1201" t="str">
        <f t="shared" si="683"/>
        <v>Q1 10</v>
      </c>
      <c r="DS133" s="1201" t="str">
        <f t="shared" si="683"/>
        <v>Q2 10</v>
      </c>
      <c r="DT133" s="1201" t="str">
        <f t="shared" si="683"/>
        <v>H1 10</v>
      </c>
      <c r="DU133" s="1201" t="str">
        <f t="shared" si="683"/>
        <v>Q3 10</v>
      </c>
      <c r="DV133" s="1201" t="str">
        <f t="shared" si="683"/>
        <v>9M 10</v>
      </c>
      <c r="DW133" s="1201" t="str">
        <f t="shared" si="683"/>
        <v>Q4 10</v>
      </c>
      <c r="DX133" s="1201" t="str">
        <f t="shared" si="683"/>
        <v>H2 10</v>
      </c>
      <c r="DY133" s="1202" t="str">
        <f t="shared" si="683"/>
        <v>FY 10</v>
      </c>
      <c r="DZ133" s="1201" t="str">
        <f t="shared" si="683"/>
        <v>Q1 11</v>
      </c>
      <c r="EA133" s="1201" t="str">
        <f t="shared" si="683"/>
        <v>Q2 11</v>
      </c>
      <c r="EB133" s="1201" t="str">
        <f t="shared" si="683"/>
        <v>H1 11</v>
      </c>
      <c r="EC133" s="1201" t="str">
        <f t="shared" si="683"/>
        <v>Q3 11</v>
      </c>
      <c r="ED133" s="1201" t="str">
        <f t="shared" si="683"/>
        <v>9M 11</v>
      </c>
      <c r="EE133" s="1201" t="str">
        <f t="shared" si="683"/>
        <v>Q4 11</v>
      </c>
      <c r="EF133" s="1201" t="str">
        <f t="shared" si="683"/>
        <v>H2 11</v>
      </c>
      <c r="EG133" s="1202" t="str">
        <f t="shared" si="683"/>
        <v>FY 11</v>
      </c>
      <c r="EH133" s="1201" t="str">
        <f t="shared" ref="EH133:FX133" si="684">EH$2</f>
        <v>Q1 12</v>
      </c>
      <c r="EI133" s="1047" t="str">
        <f t="shared" si="684"/>
        <v>Q2 12</v>
      </c>
      <c r="EJ133" s="1047" t="str">
        <f t="shared" si="684"/>
        <v>H1 12</v>
      </c>
      <c r="EK133" s="1047" t="str">
        <f t="shared" si="684"/>
        <v>Q3 12</v>
      </c>
      <c r="EL133" s="1047" t="str">
        <f t="shared" si="684"/>
        <v>9M 12</v>
      </c>
      <c r="EM133" s="1047" t="str">
        <f t="shared" si="684"/>
        <v>Q4 12</v>
      </c>
      <c r="EN133" s="1047" t="str">
        <f t="shared" si="684"/>
        <v>H2 12</v>
      </c>
      <c r="EO133" s="1048" t="str">
        <f t="shared" si="684"/>
        <v>FY 12</v>
      </c>
      <c r="EP133" s="1047" t="str">
        <f t="shared" si="684"/>
        <v>1Q13</v>
      </c>
      <c r="EQ133" s="1047" t="str">
        <f t="shared" si="684"/>
        <v>2Q13</v>
      </c>
      <c r="ER133" s="1047" t="str">
        <f t="shared" si="684"/>
        <v>1H13</v>
      </c>
      <c r="ES133" s="1047" t="str">
        <f t="shared" si="684"/>
        <v>3Q13</v>
      </c>
      <c r="ET133" s="1047" t="str">
        <f t="shared" si="684"/>
        <v>9M13</v>
      </c>
      <c r="EU133" s="1047" t="str">
        <f t="shared" si="684"/>
        <v>4Q13</v>
      </c>
      <c r="EV133" s="1047" t="str">
        <f t="shared" si="684"/>
        <v>2H13</v>
      </c>
      <c r="EW133" s="1048" t="str">
        <f t="shared" si="684"/>
        <v>FY13</v>
      </c>
      <c r="EX133" s="1047" t="str">
        <f t="shared" si="684"/>
        <v>1Q14</v>
      </c>
      <c r="EY133" s="1047" t="str">
        <f t="shared" si="684"/>
        <v>2Q14</v>
      </c>
      <c r="EZ133" s="1047" t="str">
        <f t="shared" si="684"/>
        <v>1H14</v>
      </c>
      <c r="FA133" s="1047" t="str">
        <f t="shared" si="684"/>
        <v>3Q14</v>
      </c>
      <c r="FB133" s="1047" t="str">
        <f t="shared" si="684"/>
        <v>9M14</v>
      </c>
      <c r="FC133" s="1047" t="str">
        <f t="shared" si="684"/>
        <v>4Q14</v>
      </c>
      <c r="FD133" s="1047" t="str">
        <f t="shared" si="684"/>
        <v>2H14</v>
      </c>
      <c r="FE133" s="1048" t="str">
        <f t="shared" si="684"/>
        <v>FY14</v>
      </c>
      <c r="FF133" s="1047" t="str">
        <f t="shared" si="684"/>
        <v>1Q15</v>
      </c>
      <c r="FG133" s="1047" t="str">
        <f t="shared" si="684"/>
        <v>2Q15</v>
      </c>
      <c r="FH133" s="1047" t="str">
        <f t="shared" si="684"/>
        <v>1H15</v>
      </c>
      <c r="FI133" s="1047" t="str">
        <f t="shared" si="684"/>
        <v>3Q15</v>
      </c>
      <c r="FJ133" s="1047" t="str">
        <f t="shared" si="684"/>
        <v>9M15</v>
      </c>
      <c r="FK133" s="1047" t="str">
        <f t="shared" si="684"/>
        <v>4Q15</v>
      </c>
      <c r="FL133" s="1047" t="str">
        <f t="shared" si="684"/>
        <v>2H15</v>
      </c>
      <c r="FM133" s="1048" t="str">
        <f t="shared" si="684"/>
        <v>FY15</v>
      </c>
      <c r="FN133" s="1047" t="str">
        <f t="shared" si="684"/>
        <v>1Q16</v>
      </c>
      <c r="FO133" s="1047" t="str">
        <f t="shared" si="684"/>
        <v>2Q16</v>
      </c>
      <c r="FP133" s="1047" t="str">
        <f t="shared" si="684"/>
        <v>1H16</v>
      </c>
      <c r="FQ133" s="1047" t="str">
        <f t="shared" si="684"/>
        <v>3Q16</v>
      </c>
      <c r="FR133" s="1047" t="str">
        <f t="shared" si="684"/>
        <v>9M16</v>
      </c>
      <c r="FS133" s="1047" t="str">
        <f t="shared" si="684"/>
        <v>4Q16</v>
      </c>
      <c r="FT133" s="1047" t="str">
        <f t="shared" si="684"/>
        <v>2H16</v>
      </c>
      <c r="FU133" s="1047" t="str">
        <f t="shared" si="684"/>
        <v>FY16</v>
      </c>
      <c r="FV133" s="1055" t="str">
        <f t="shared" si="684"/>
        <v>1Q17</v>
      </c>
      <c r="FW133" s="1047" t="str">
        <f t="shared" si="684"/>
        <v>2Q17</v>
      </c>
      <c r="FX133" s="1047" t="str">
        <f t="shared" si="684"/>
        <v>1H17</v>
      </c>
      <c r="FY133" s="1047" t="str">
        <f t="shared" ref="FY133:GC133" si="685">FY$2</f>
        <v>3Q17</v>
      </c>
      <c r="FZ133" s="1047" t="str">
        <f t="shared" si="685"/>
        <v>9M17</v>
      </c>
      <c r="GA133" s="1047" t="str">
        <f t="shared" si="685"/>
        <v>4Q17</v>
      </c>
      <c r="GB133" s="1047" t="str">
        <f t="shared" si="685"/>
        <v>2H17</v>
      </c>
      <c r="GC133" s="1048" t="str">
        <f t="shared" si="685"/>
        <v>FY17</v>
      </c>
      <c r="GD133" s="1055" t="str">
        <f t="shared" ref="GD133:GG133" si="686">GD$2</f>
        <v>1Q18</v>
      </c>
      <c r="GE133" s="1047" t="str">
        <f t="shared" si="686"/>
        <v>2Q18</v>
      </c>
      <c r="GF133" s="1047" t="str">
        <f t="shared" si="686"/>
        <v>1H18</v>
      </c>
      <c r="GG133" s="1047" t="str">
        <f t="shared" si="686"/>
        <v>3Q18</v>
      </c>
      <c r="GH133" s="1047" t="str">
        <f t="shared" ref="GH133:GK133" si="687">GH$2</f>
        <v>9M18</v>
      </c>
      <c r="GI133" s="1047" t="str">
        <f t="shared" si="687"/>
        <v>4Q18</v>
      </c>
      <c r="GJ133" s="1047" t="str">
        <f t="shared" si="687"/>
        <v>2H18</v>
      </c>
      <c r="GK133" s="1048" t="str">
        <f t="shared" si="687"/>
        <v>FY18</v>
      </c>
      <c r="GL133" s="1047"/>
      <c r="GM133" s="1047"/>
      <c r="GN133" s="1047"/>
      <c r="GO133" s="1047"/>
      <c r="GP133" s="1047"/>
      <c r="GQ133" s="1047"/>
      <c r="GR133" s="1047"/>
      <c r="GS133" s="1048"/>
      <c r="GT133" s="1047" t="s">
        <v>440</v>
      </c>
      <c r="GU133" s="1047" t="s">
        <v>441</v>
      </c>
      <c r="GV133" s="1047" t="s">
        <v>442</v>
      </c>
      <c r="GW133" s="1047" t="s">
        <v>443</v>
      </c>
      <c r="GX133" s="1047" t="s">
        <v>444</v>
      </c>
      <c r="GY133" s="1047" t="s">
        <v>445</v>
      </c>
      <c r="GZ133" s="1047" t="s">
        <v>446</v>
      </c>
      <c r="HA133" s="1048" t="s">
        <v>447</v>
      </c>
      <c r="HB133" s="1047" t="s">
        <v>448</v>
      </c>
      <c r="HC133" s="1047" t="s">
        <v>449</v>
      </c>
      <c r="HD133" s="1047" t="s">
        <v>450</v>
      </c>
      <c r="HE133" s="1047" t="s">
        <v>451</v>
      </c>
      <c r="HF133" s="1047" t="s">
        <v>452</v>
      </c>
      <c r="HG133" s="1047" t="s">
        <v>453</v>
      </c>
      <c r="HH133" s="1047" t="s">
        <v>454</v>
      </c>
      <c r="HI133" s="1048" t="s">
        <v>455</v>
      </c>
      <c r="HJ133" s="1047" t="s">
        <v>456</v>
      </c>
      <c r="HK133" s="1047" t="s">
        <v>457</v>
      </c>
      <c r="HL133" s="1047" t="s">
        <v>458</v>
      </c>
      <c r="HM133" s="1047" t="s">
        <v>459</v>
      </c>
      <c r="HN133" s="1047" t="s">
        <v>460</v>
      </c>
      <c r="HO133" s="1047" t="s">
        <v>461</v>
      </c>
      <c r="HP133" s="1047" t="s">
        <v>462</v>
      </c>
      <c r="HQ133" s="1048" t="s">
        <v>463</v>
      </c>
      <c r="HR133" s="1047" t="str">
        <f>HR94</f>
        <v>1Q23</v>
      </c>
      <c r="HS133" s="1047" t="s">
        <v>465</v>
      </c>
      <c r="HT133" s="1047" t="s">
        <v>466</v>
      </c>
      <c r="HU133" s="1047" t="s">
        <v>467</v>
      </c>
      <c r="HV133" s="1047" t="s">
        <v>468</v>
      </c>
      <c r="HW133" s="1047" t="s">
        <v>469</v>
      </c>
      <c r="HX133" s="1047" t="s">
        <v>470</v>
      </c>
      <c r="HY133" s="1048" t="s">
        <v>471</v>
      </c>
      <c r="HZ133" s="1047" t="s">
        <v>472</v>
      </c>
      <c r="IA133" s="1047" t="s">
        <v>473</v>
      </c>
      <c r="IB133" s="1047" t="s">
        <v>474</v>
      </c>
      <c r="IC133" s="1047" t="s">
        <v>475</v>
      </c>
      <c r="ID133" s="1047" t="s">
        <v>476</v>
      </c>
      <c r="IE133" s="1047" t="s">
        <v>477</v>
      </c>
      <c r="IF133" s="1047" t="s">
        <v>478</v>
      </c>
      <c r="IG133" s="1048" t="s">
        <v>479</v>
      </c>
      <c r="IH133" s="1047" t="s">
        <v>480</v>
      </c>
      <c r="II133" s="1047" t="s">
        <v>481</v>
      </c>
      <c r="IJ133" s="1047" t="s">
        <v>490</v>
      </c>
      <c r="IK133" s="1047" t="s">
        <v>483</v>
      </c>
      <c r="IL133" s="1047" t="s">
        <v>484</v>
      </c>
      <c r="IM133" s="1047" t="s">
        <v>521</v>
      </c>
      <c r="IN133" s="1047" t="s">
        <v>486</v>
      </c>
      <c r="IO133" s="1048" t="s">
        <v>522</v>
      </c>
      <c r="IP133" s="1047" t="s">
        <v>480</v>
      </c>
      <c r="IQ133" s="1047" t="str">
        <f>IQ2</f>
        <v>2Q26</v>
      </c>
      <c r="IR133" s="1047"/>
      <c r="IS133" s="1047"/>
      <c r="IT133" s="1047"/>
      <c r="IU133" s="1047"/>
      <c r="IV133" s="1047"/>
      <c r="IW133" s="1047"/>
      <c r="IX133" s="1178"/>
      <c r="IY133" s="1178"/>
      <c r="IZ133" s="1073"/>
      <c r="JA133" s="1073"/>
      <c r="JB133" s="1073"/>
      <c r="JC133" s="1073"/>
      <c r="JD133" s="1073"/>
      <c r="JE133" s="1073"/>
      <c r="JF133" s="1119"/>
      <c r="JG133" s="1119"/>
      <c r="JH133" s="1119"/>
      <c r="KP133" s="1203"/>
      <c r="LV133" s="1127"/>
    </row>
    <row r="134" s="1024" customFormat="1" hidden="1" outlineLevel="1" spans="1:334">
      <c r="A134" s="1204" t="s">
        <v>527</v>
      </c>
      <c r="B134" s="1121"/>
      <c r="C134" s="1121"/>
      <c r="D134" s="1121"/>
      <c r="E134" s="1121"/>
      <c r="F134" s="1121"/>
      <c r="G134" s="1121"/>
      <c r="H134" s="1121"/>
      <c r="I134" s="1121"/>
      <c r="J134" s="1121"/>
      <c r="K134" s="1121"/>
      <c r="L134" s="1121"/>
      <c r="M134" s="1121"/>
      <c r="N134" s="1121"/>
      <c r="O134" s="1121"/>
      <c r="P134" s="1121"/>
      <c r="Q134" s="1121"/>
      <c r="R134" s="1121"/>
      <c r="S134" s="1121"/>
      <c r="T134" s="1121"/>
      <c r="U134" s="1121"/>
      <c r="V134" s="1121"/>
      <c r="W134" s="1121"/>
      <c r="X134" s="1121"/>
      <c r="Y134" s="1121"/>
      <c r="Z134" s="1121"/>
      <c r="AA134" s="1121"/>
      <c r="AB134" s="1121"/>
      <c r="AC134" s="1121"/>
      <c r="AD134" s="1121"/>
      <c r="AE134" s="1121"/>
      <c r="AF134" s="1121"/>
      <c r="AG134" s="1121"/>
      <c r="AH134" s="1121"/>
      <c r="AI134" s="1121"/>
      <c r="AJ134" s="1121"/>
      <c r="AK134" s="1121"/>
      <c r="AL134" s="1121"/>
      <c r="AM134" s="1121"/>
      <c r="AN134" s="1121"/>
      <c r="AO134" s="1121"/>
      <c r="AP134" s="1121"/>
      <c r="AQ134" s="1121"/>
      <c r="AR134" s="1121"/>
      <c r="AS134" s="1121"/>
      <c r="AT134" s="1121"/>
      <c r="AU134" s="1121"/>
      <c r="AV134" s="1121"/>
      <c r="AW134" s="1121"/>
      <c r="AX134" s="1122"/>
      <c r="AY134" s="1121"/>
      <c r="AZ134" s="1121"/>
      <c r="BA134" s="1121"/>
      <c r="BB134" s="1121"/>
      <c r="BC134" s="1121"/>
      <c r="BD134" s="1121"/>
      <c r="BE134" s="1123"/>
      <c r="BF134" s="1121"/>
      <c r="BG134" s="1121"/>
      <c r="BH134" s="1121"/>
      <c r="BI134" s="1121"/>
      <c r="BJ134" s="1121"/>
      <c r="BK134" s="1121"/>
      <c r="BL134" s="1121"/>
      <c r="BM134" s="1121"/>
      <c r="BN134" s="1122"/>
      <c r="BO134" s="1121"/>
      <c r="BP134" s="1121"/>
      <c r="BQ134" s="1121"/>
      <c r="BR134" s="1121"/>
      <c r="BS134" s="1121"/>
      <c r="BT134" s="1121"/>
      <c r="BU134" s="1123"/>
      <c r="BV134" s="1122"/>
      <c r="BW134" s="1121"/>
      <c r="BX134" s="1121"/>
      <c r="BY134" s="1121"/>
      <c r="BZ134" s="1121"/>
      <c r="CA134" s="1121"/>
      <c r="CB134" s="1121"/>
      <c r="CC134" s="1123"/>
      <c r="CD134" s="1122"/>
      <c r="CE134" s="1121"/>
      <c r="CF134" s="1121"/>
      <c r="CG134" s="1121"/>
      <c r="CH134" s="1121"/>
      <c r="CI134" s="1121"/>
      <c r="CJ134" s="917"/>
      <c r="CK134" s="1123"/>
      <c r="CL134" s="1122"/>
      <c r="CM134" s="1121"/>
      <c r="CN134" s="1121"/>
      <c r="CO134" s="1121"/>
      <c r="CP134" s="1121"/>
      <c r="CQ134" s="1121"/>
      <c r="CR134" s="1121"/>
      <c r="CS134" s="1123"/>
      <c r="CT134" s="1122"/>
      <c r="CU134" s="1121"/>
      <c r="CV134" s="1121"/>
      <c r="CW134" s="1205"/>
      <c r="CX134" s="1205"/>
      <c r="CY134" s="1121"/>
      <c r="CZ134" s="1121"/>
      <c r="DA134" s="1121"/>
      <c r="DB134" s="1114"/>
      <c r="DC134" s="1114"/>
      <c r="DD134" s="1114"/>
      <c r="DE134" s="1206"/>
      <c r="DF134" s="1206"/>
      <c r="DG134" s="1114"/>
      <c r="DH134" s="1114"/>
      <c r="DI134" s="1207"/>
      <c r="DJ134" s="1114"/>
      <c r="DK134" s="1114"/>
      <c r="DL134" s="1114"/>
      <c r="DM134" s="1114"/>
      <c r="DN134" s="1114"/>
      <c r="DO134" s="1114"/>
      <c r="DP134" s="1114"/>
      <c r="DQ134" s="1207"/>
      <c r="DR134" s="1208"/>
      <c r="DS134" s="1208"/>
      <c r="DT134" s="1208"/>
      <c r="DU134" s="1208"/>
      <c r="DV134" s="1208"/>
      <c r="DW134" s="1208"/>
      <c r="DX134" s="1208"/>
      <c r="DY134" s="1209">
        <v>1712</v>
      </c>
      <c r="DZ134" s="1210">
        <v>1730</v>
      </c>
      <c r="EA134" s="1210">
        <f>EB134</f>
        <v>1759</v>
      </c>
      <c r="EB134" s="1210">
        <v>1759</v>
      </c>
      <c r="EC134" s="1210">
        <f>ED134</f>
        <v>1775</v>
      </c>
      <c r="ED134" s="1210">
        <v>1775</v>
      </c>
      <c r="EE134" s="1211">
        <f>EF134</f>
        <v>1290</v>
      </c>
      <c r="EF134" s="1211">
        <f>EG134</f>
        <v>1290</v>
      </c>
      <c r="EG134" s="1212">
        <v>1290</v>
      </c>
      <c r="EH134" s="1210">
        <v>1818</v>
      </c>
      <c r="EI134" s="1210">
        <v>1842</v>
      </c>
      <c r="EJ134" s="1210">
        <f>+EI134</f>
        <v>1842</v>
      </c>
      <c r="EK134" s="1210">
        <v>1874</v>
      </c>
      <c r="EL134" s="1210">
        <f>+EK134</f>
        <v>1874</v>
      </c>
      <c r="EM134" s="1208">
        <f>EN134</f>
        <v>1353</v>
      </c>
      <c r="EN134" s="1208">
        <f>EO134</f>
        <v>1353</v>
      </c>
      <c r="EO134" s="1212">
        <v>1353</v>
      </c>
      <c r="EP134" s="1208">
        <v>1372</v>
      </c>
      <c r="EQ134" s="1208">
        <v>1437</v>
      </c>
      <c r="ER134" s="1208">
        <f>EQ134</f>
        <v>1437</v>
      </c>
      <c r="ES134" s="1208">
        <v>1483</v>
      </c>
      <c r="ET134" s="1208">
        <f>ES134</f>
        <v>1483</v>
      </c>
      <c r="EU134" s="1208">
        <f>EV134</f>
        <v>1557</v>
      </c>
      <c r="EV134" s="1208">
        <f>EW134</f>
        <v>1557</v>
      </c>
      <c r="EW134" s="1212">
        <v>1557</v>
      </c>
      <c r="EX134" s="1211">
        <v>1558</v>
      </c>
      <c r="EY134" s="1211">
        <f>EZ134</f>
        <v>1590</v>
      </c>
      <c r="EZ134" s="1211">
        <v>1590</v>
      </c>
      <c r="FA134" s="1211">
        <v>1569</v>
      </c>
      <c r="FB134" s="1211">
        <f>FA134</f>
        <v>1569</v>
      </c>
      <c r="FC134" s="1211">
        <f>FD134</f>
        <v>1616</v>
      </c>
      <c r="FD134" s="1211">
        <f>FE134</f>
        <v>1616</v>
      </c>
      <c r="FE134" s="1213">
        <v>1616</v>
      </c>
      <c r="FF134" s="1211">
        <v>1604</v>
      </c>
      <c r="FG134" s="1211">
        <f>FH134</f>
        <v>1582</v>
      </c>
      <c r="FH134" s="1211">
        <v>1582</v>
      </c>
      <c r="FI134" s="1211">
        <f>FJ134</f>
        <v>1466</v>
      </c>
      <c r="FJ134" s="1211">
        <v>1466</v>
      </c>
      <c r="FK134" s="1211">
        <f>FL134</f>
        <v>1484</v>
      </c>
      <c r="FL134" s="1211">
        <f>FM134</f>
        <v>1484</v>
      </c>
      <c r="FM134" s="1213">
        <v>1484</v>
      </c>
      <c r="FN134" s="1211">
        <v>1478</v>
      </c>
      <c r="FO134" s="1211">
        <f>FP134</f>
        <v>1499</v>
      </c>
      <c r="FP134" s="1211">
        <v>1499</v>
      </c>
      <c r="FQ134" s="1211">
        <f>FR134</f>
        <v>1510</v>
      </c>
      <c r="FR134" s="1211">
        <v>1510</v>
      </c>
      <c r="FS134" s="1211">
        <f>FT134</f>
        <v>1531</v>
      </c>
      <c r="FT134" s="1211">
        <f>FU134</f>
        <v>1531</v>
      </c>
      <c r="FU134" s="1211">
        <v>1531</v>
      </c>
      <c r="FV134" s="1214">
        <v>1451</v>
      </c>
      <c r="FW134" s="1211">
        <f>FX134</f>
        <v>1433</v>
      </c>
      <c r="FX134" s="1211">
        <v>1433</v>
      </c>
      <c r="FY134" s="1211">
        <f>FZ134</f>
        <v>1416</v>
      </c>
      <c r="FZ134" s="1211">
        <v>1416</v>
      </c>
      <c r="GA134" s="1211">
        <f>GC134</f>
        <v>1380</v>
      </c>
      <c r="GB134" s="1211">
        <f>GC134</f>
        <v>1380</v>
      </c>
      <c r="GC134" s="1213">
        <v>1380</v>
      </c>
      <c r="GD134" s="1214">
        <v>1301</v>
      </c>
      <c r="GE134" s="1211">
        <v>1265</v>
      </c>
      <c r="GF134" s="1211">
        <f>GE134</f>
        <v>1265</v>
      </c>
      <c r="GG134" s="1211">
        <v>1231</v>
      </c>
      <c r="GH134" s="1211">
        <f>GG134</f>
        <v>1231</v>
      </c>
      <c r="GI134" s="1211">
        <f>GK134</f>
        <v>1206</v>
      </c>
      <c r="GJ134" s="1211">
        <f>GK134</f>
        <v>1206</v>
      </c>
      <c r="GK134" s="1213">
        <v>1206</v>
      </c>
      <c r="GL134" s="1211">
        <v>1190</v>
      </c>
      <c r="GM134" s="1211">
        <v>1192</v>
      </c>
      <c r="GN134" s="1211">
        <f>GM134</f>
        <v>1192</v>
      </c>
      <c r="GO134" s="1211">
        <v>1194</v>
      </c>
      <c r="GP134" s="1211">
        <f>GO134</f>
        <v>1194</v>
      </c>
      <c r="GQ134" s="1211">
        <f>GS134</f>
        <v>1190</v>
      </c>
      <c r="GR134" s="1211">
        <f>GS134</f>
        <v>1190</v>
      </c>
      <c r="GS134" s="1213">
        <v>1190</v>
      </c>
      <c r="GT134" s="1211">
        <v>1175</v>
      </c>
      <c r="GU134" s="1211">
        <v>1178</v>
      </c>
      <c r="GV134" s="1211">
        <f>GU134</f>
        <v>1178</v>
      </c>
      <c r="GW134" s="1211">
        <v>1161</v>
      </c>
      <c r="GX134" s="1211"/>
      <c r="GY134" s="1211">
        <v>1097</v>
      </c>
      <c r="GZ134" s="1211">
        <f>HA134</f>
        <v>1097</v>
      </c>
      <c r="HA134" s="1213">
        <f>GY134</f>
        <v>1097</v>
      </c>
      <c r="HB134" s="1211">
        <f>1010+110</f>
        <v>1120</v>
      </c>
      <c r="HC134" s="1211">
        <f>1002+108</f>
        <v>1110</v>
      </c>
      <c r="HD134" s="1211"/>
      <c r="HE134" s="1211">
        <f>993+111</f>
        <v>1104</v>
      </c>
      <c r="HF134" s="1211"/>
      <c r="HG134" s="1211">
        <f>987+111</f>
        <v>1098</v>
      </c>
      <c r="HH134" s="1211">
        <f>HG134</f>
        <v>1098</v>
      </c>
      <c r="HI134" s="1213">
        <f>HH134</f>
        <v>1098</v>
      </c>
      <c r="HJ134" s="1211"/>
      <c r="HK134" s="1211"/>
      <c r="HL134" s="1211"/>
      <c r="HM134" s="1211"/>
      <c r="HN134" s="1211"/>
      <c r="HO134" s="1211"/>
      <c r="HP134" s="1211"/>
      <c r="HQ134" s="1213"/>
      <c r="HR134" s="1211"/>
      <c r="HS134" s="1211"/>
      <c r="HT134" s="1211"/>
      <c r="HU134" s="1211"/>
      <c r="HV134" s="1211"/>
      <c r="HW134" s="1211"/>
      <c r="HX134" s="1211"/>
      <c r="HY134" s="1211"/>
      <c r="HZ134" s="1211"/>
      <c r="IA134" s="1211"/>
      <c r="IB134" s="1211"/>
      <c r="IC134" s="1211"/>
      <c r="ID134" s="1211"/>
      <c r="IE134" s="1211"/>
      <c r="IF134" s="1211"/>
      <c r="IG134" s="1213"/>
      <c r="IH134" s="1211"/>
      <c r="II134" s="1211"/>
      <c r="IJ134" s="1211"/>
      <c r="IK134" s="1211"/>
      <c r="IL134" s="1211"/>
      <c r="IM134" s="1211"/>
      <c r="IN134" s="1211"/>
      <c r="IO134" s="1213"/>
      <c r="IP134" s="1211"/>
      <c r="IQ134" s="1211"/>
      <c r="IR134" s="1211"/>
      <c r="IS134" s="1211"/>
      <c r="IT134" s="1211"/>
      <c r="IU134" s="1211"/>
      <c r="IV134" s="1211"/>
      <c r="IW134" s="1211"/>
      <c r="IX134" s="1178"/>
      <c r="IY134" s="1178"/>
      <c r="IZ134" s="1119"/>
      <c r="JA134" s="1119"/>
      <c r="JB134" s="1073"/>
      <c r="JC134" s="1119"/>
      <c r="JD134" s="1119"/>
      <c r="JE134" s="1073"/>
      <c r="JF134" s="1119"/>
      <c r="JG134" s="1119"/>
      <c r="JH134" s="1073"/>
      <c r="KP134" s="1203"/>
      <c r="LV134" s="1127"/>
    </row>
    <row r="135" s="1024" customFormat="1" hidden="1" outlineLevel="1" spans="1:334">
      <c r="A135" s="1024" t="s">
        <v>528</v>
      </c>
      <c r="B135" s="1121"/>
      <c r="C135" s="1121"/>
      <c r="D135" s="1121"/>
      <c r="E135" s="1121"/>
      <c r="F135" s="1121"/>
      <c r="G135" s="1121"/>
      <c r="H135" s="1121"/>
      <c r="I135" s="1121"/>
      <c r="J135" s="1121"/>
      <c r="K135" s="1121"/>
      <c r="L135" s="1121"/>
      <c r="M135" s="1121"/>
      <c r="N135" s="1121"/>
      <c r="O135" s="1121"/>
      <c r="P135" s="1121"/>
      <c r="Q135" s="1121"/>
      <c r="R135" s="1121"/>
      <c r="S135" s="1121"/>
      <c r="T135" s="1121"/>
      <c r="U135" s="1121"/>
      <c r="V135" s="1121"/>
      <c r="W135" s="1121"/>
      <c r="X135" s="1121"/>
      <c r="Y135" s="1121"/>
      <c r="Z135" s="1121"/>
      <c r="AA135" s="1121"/>
      <c r="AB135" s="1121"/>
      <c r="AC135" s="1121"/>
      <c r="AD135" s="1121"/>
      <c r="AE135" s="1121"/>
      <c r="AF135" s="1121"/>
      <c r="AG135" s="1121"/>
      <c r="AH135" s="1121"/>
      <c r="AI135" s="1121"/>
      <c r="AJ135" s="1121"/>
      <c r="AK135" s="1121"/>
      <c r="AL135" s="1121"/>
      <c r="AM135" s="1121"/>
      <c r="AN135" s="1121"/>
      <c r="AO135" s="1121"/>
      <c r="AP135" s="1121"/>
      <c r="AQ135" s="1121"/>
      <c r="AR135" s="1121"/>
      <c r="AS135" s="1121"/>
      <c r="AT135" s="1121"/>
      <c r="AU135" s="1121"/>
      <c r="AV135" s="1121"/>
      <c r="AW135" s="1121"/>
      <c r="AX135" s="1122"/>
      <c r="AY135" s="1121"/>
      <c r="AZ135" s="1121"/>
      <c r="BA135" s="1121"/>
      <c r="BB135" s="1121"/>
      <c r="BC135" s="1121"/>
      <c r="BD135" s="1121"/>
      <c r="BE135" s="1123"/>
      <c r="BF135" s="1121"/>
      <c r="BG135" s="1121"/>
      <c r="BH135" s="1121"/>
      <c r="BI135" s="1121"/>
      <c r="BJ135" s="1121"/>
      <c r="BK135" s="1121"/>
      <c r="BL135" s="1121"/>
      <c r="BM135" s="1121"/>
      <c r="BN135" s="1122"/>
      <c r="BO135" s="1121"/>
      <c r="BP135" s="1121"/>
      <c r="BQ135" s="1121"/>
      <c r="BR135" s="1121"/>
      <c r="BS135" s="1121"/>
      <c r="BT135" s="1121"/>
      <c r="BU135" s="1123"/>
      <c r="BV135" s="1122"/>
      <c r="BW135" s="1121"/>
      <c r="BX135" s="1121"/>
      <c r="BY135" s="1121"/>
      <c r="BZ135" s="1121"/>
      <c r="CA135" s="1121"/>
      <c r="CB135" s="1121"/>
      <c r="CC135" s="1123"/>
      <c r="CD135" s="1122"/>
      <c r="CE135" s="1121"/>
      <c r="CF135" s="1121"/>
      <c r="CG135" s="1121"/>
      <c r="CH135" s="1121"/>
      <c r="CI135" s="1121"/>
      <c r="CJ135" s="917"/>
      <c r="CK135" s="1123"/>
      <c r="CL135" s="1122"/>
      <c r="CM135" s="1121"/>
      <c r="CN135" s="1121"/>
      <c r="CO135" s="1121"/>
      <c r="CP135" s="1121"/>
      <c r="CQ135" s="1121"/>
      <c r="CR135" s="1121"/>
      <c r="CS135" s="1123"/>
      <c r="CT135" s="1122"/>
      <c r="CU135" s="1121"/>
      <c r="CV135" s="1121"/>
      <c r="CW135" s="1205"/>
      <c r="CX135" s="1205"/>
      <c r="CY135" s="1121"/>
      <c r="CZ135" s="1121"/>
      <c r="DA135" s="1121"/>
      <c r="DB135" s="1114"/>
      <c r="DC135" s="1114"/>
      <c r="DD135" s="1114"/>
      <c r="DE135" s="1206"/>
      <c r="DF135" s="1206"/>
      <c r="DG135" s="1114"/>
      <c r="DH135" s="1114"/>
      <c r="DI135" s="1207"/>
      <c r="DJ135" s="1114"/>
      <c r="DK135" s="1114"/>
      <c r="DL135" s="1114"/>
      <c r="DM135" s="1114"/>
      <c r="DN135" s="1114"/>
      <c r="DO135" s="1114"/>
      <c r="DP135" s="1114"/>
      <c r="DQ135" s="1207"/>
      <c r="DR135" s="1208"/>
      <c r="DS135" s="1208"/>
      <c r="DT135" s="1208"/>
      <c r="DU135" s="1208"/>
      <c r="DV135" s="1208"/>
      <c r="DW135" s="1208"/>
      <c r="DX135" s="1208"/>
      <c r="DY135" s="1209"/>
      <c r="DZ135" s="1210">
        <f>+DZ134-DY134</f>
        <v>18</v>
      </c>
      <c r="EA135" s="1210">
        <f>+EA134-DZ134</f>
        <v>29</v>
      </c>
      <c r="EB135" s="1210">
        <f>+EA135+DZ135</f>
        <v>47</v>
      </c>
      <c r="EC135" s="1210">
        <f>+EC134-EA134</f>
        <v>16</v>
      </c>
      <c r="ED135" s="1210">
        <f>+ED134-DY134</f>
        <v>63</v>
      </c>
      <c r="EE135" s="1211">
        <f>+EE134-ED134</f>
        <v>-485</v>
      </c>
      <c r="EF135" s="1211">
        <f>+EF134-EB134</f>
        <v>-469</v>
      </c>
      <c r="EG135" s="1212">
        <f>+EG134-DY134</f>
        <v>-422</v>
      </c>
      <c r="EH135" s="1210">
        <f>+EH134-EG134</f>
        <v>528</v>
      </c>
      <c r="EI135" s="1210">
        <f>+EI134-EH134</f>
        <v>24</v>
      </c>
      <c r="EJ135" s="1210">
        <f>+EI135+EH135</f>
        <v>552</v>
      </c>
      <c r="EK135" s="1210">
        <f>+EK134-EJ134</f>
        <v>32</v>
      </c>
      <c r="EL135" s="1210">
        <f>+EK135+EJ135</f>
        <v>584</v>
      </c>
      <c r="EM135" s="1208"/>
      <c r="EN135" s="1208"/>
      <c r="EO135" s="1212"/>
      <c r="EP135" s="1208">
        <f>EP134-EO134</f>
        <v>19</v>
      </c>
      <c r="EQ135" s="1208">
        <f>EQ134-EP134</f>
        <v>65</v>
      </c>
      <c r="ER135" s="1208">
        <f>EP135+EQ135</f>
        <v>84</v>
      </c>
      <c r="ES135" s="1208">
        <f>ES134-ER134</f>
        <v>46</v>
      </c>
      <c r="ET135" s="1208">
        <f>ER135+ES135</f>
        <v>130</v>
      </c>
      <c r="EU135" s="1208">
        <f>EU134-ES134</f>
        <v>74</v>
      </c>
      <c r="EV135" s="1208">
        <f>ES135+EU135</f>
        <v>120</v>
      </c>
      <c r="EW135" s="1212">
        <f>EW134-EO134</f>
        <v>204</v>
      </c>
      <c r="EX135" s="1211">
        <f>EX134-EW134</f>
        <v>1</v>
      </c>
      <c r="EY135" s="1211">
        <f>EY134-EX134</f>
        <v>32</v>
      </c>
      <c r="EZ135" s="1211">
        <f>EX135+EY135</f>
        <v>33</v>
      </c>
      <c r="FA135" s="1211">
        <f>FA134-EZ134</f>
        <v>-21</v>
      </c>
      <c r="FB135" s="1208">
        <f>EZ135+FA135</f>
        <v>12</v>
      </c>
      <c r="FC135" s="1211">
        <f>FC134-FB134</f>
        <v>47</v>
      </c>
      <c r="FD135" s="1211">
        <f>FA135+FC135</f>
        <v>26</v>
      </c>
      <c r="FE135" s="1213">
        <f>FE134-EW134</f>
        <v>59</v>
      </c>
      <c r="FF135" s="1211">
        <f>FF134-FE134</f>
        <v>-12</v>
      </c>
      <c r="FG135" s="1211">
        <f>FG134-FF134</f>
        <v>-22</v>
      </c>
      <c r="FH135" s="1211">
        <f>FF135+FG135</f>
        <v>-34</v>
      </c>
      <c r="FI135" s="1211">
        <f>FI134-FH134</f>
        <v>-116</v>
      </c>
      <c r="FJ135" s="1211">
        <f>FH135+FI135</f>
        <v>-150</v>
      </c>
      <c r="FK135" s="1211">
        <f>FK134-FJ134</f>
        <v>18</v>
      </c>
      <c r="FL135" s="1211">
        <f>FI135+FK135</f>
        <v>-98</v>
      </c>
      <c r="FM135" s="1213">
        <f>FM134-FE134</f>
        <v>-132</v>
      </c>
      <c r="FN135" s="1211">
        <f>FN134-FM134</f>
        <v>-6</v>
      </c>
      <c r="FO135" s="1211">
        <f>FO134-FN134</f>
        <v>21</v>
      </c>
      <c r="FP135" s="1211">
        <f>FN135+FO135</f>
        <v>15</v>
      </c>
      <c r="FQ135" s="1211">
        <f>FQ134-FP134</f>
        <v>11</v>
      </c>
      <c r="FR135" s="1211">
        <f>FP135+FQ135</f>
        <v>26</v>
      </c>
      <c r="FS135" s="1211">
        <f>FS134-FR134</f>
        <v>21</v>
      </c>
      <c r="FT135" s="1211">
        <f>FQ135+FS135</f>
        <v>32</v>
      </c>
      <c r="FU135" s="1211">
        <f>FU134-FM134</f>
        <v>47</v>
      </c>
      <c r="FV135" s="1214">
        <f>FV134-FU134</f>
        <v>-80</v>
      </c>
      <c r="FW135" s="1211">
        <f>FW134-FV134</f>
        <v>-18</v>
      </c>
      <c r="FX135" s="1211">
        <f>FV135+FW135</f>
        <v>-98</v>
      </c>
      <c r="FY135" s="1211">
        <f>FY134-FX134</f>
        <v>-17</v>
      </c>
      <c r="FZ135" s="1211">
        <f>FX135+FY135</f>
        <v>-115</v>
      </c>
      <c r="GA135" s="1211">
        <f>GA134-FZ134</f>
        <v>-36</v>
      </c>
      <c r="GB135" s="1211">
        <f>FY135+GA135</f>
        <v>-53</v>
      </c>
      <c r="GC135" s="1213">
        <f>GC134-FU134</f>
        <v>-151</v>
      </c>
      <c r="GD135" s="1214">
        <f>GD134-GC134</f>
        <v>-79</v>
      </c>
      <c r="GE135" s="1211">
        <f>GE134-GD134</f>
        <v>-36</v>
      </c>
      <c r="GF135" s="1211">
        <f>GE135+GD135</f>
        <v>-115</v>
      </c>
      <c r="GG135" s="1211">
        <f>GG134-GE134</f>
        <v>-34</v>
      </c>
      <c r="GH135" s="1211">
        <f>GG135+GF135</f>
        <v>-149</v>
      </c>
      <c r="GI135" s="1211">
        <f>GI134-GH134</f>
        <v>-25</v>
      </c>
      <c r="GJ135" s="1211">
        <f>GG135+GI135</f>
        <v>-59</v>
      </c>
      <c r="GK135" s="1213">
        <f>GK134-GC134</f>
        <v>-174</v>
      </c>
      <c r="GL135" s="1211">
        <f>GL134-GK134</f>
        <v>-16</v>
      </c>
      <c r="GM135" s="1211">
        <f>GM134-GL134</f>
        <v>2</v>
      </c>
      <c r="GN135" s="1211">
        <f>GM135+GL135</f>
        <v>-14</v>
      </c>
      <c r="GO135" s="1211">
        <f>GO134-GM134</f>
        <v>2</v>
      </c>
      <c r="GP135" s="1211">
        <f>GO135+GN135</f>
        <v>-12</v>
      </c>
      <c r="GQ135" s="1211">
        <f>GQ134-GP134</f>
        <v>-4</v>
      </c>
      <c r="GR135" s="1211">
        <f>GO135+GQ135</f>
        <v>-2</v>
      </c>
      <c r="GS135" s="1213">
        <f>GS134-GK134</f>
        <v>-16</v>
      </c>
      <c r="GT135" s="1211">
        <f>GT134-GS134</f>
        <v>-15</v>
      </c>
      <c r="GU135" s="1211">
        <f>GU134-GT134</f>
        <v>3</v>
      </c>
      <c r="GV135" s="1211">
        <f>GU135+GT135</f>
        <v>-12</v>
      </c>
      <c r="GW135" s="1211">
        <f>GW134-GU134</f>
        <v>-17</v>
      </c>
      <c r="GX135" s="1211"/>
      <c r="GY135" s="1211">
        <f>GY134-GW134</f>
        <v>-64</v>
      </c>
      <c r="GZ135" s="1211">
        <f>GW135+GY135</f>
        <v>-81</v>
      </c>
      <c r="HA135" s="1213">
        <f>HA134-1190</f>
        <v>-93</v>
      </c>
      <c r="HB135" s="1211">
        <f>HB134-HA134</f>
        <v>23</v>
      </c>
      <c r="HC135" s="1211">
        <f>HC134-HB134</f>
        <v>-10</v>
      </c>
      <c r="HD135" s="1211"/>
      <c r="HE135" s="1211">
        <f>HE134-HC134</f>
        <v>-6</v>
      </c>
      <c r="HF135" s="1211"/>
      <c r="HG135" s="1211">
        <f>HG134-HE134</f>
        <v>-6</v>
      </c>
      <c r="HH135" s="1211">
        <f>HE135+HG135</f>
        <v>-12</v>
      </c>
      <c r="HI135" s="1213">
        <f>HI134-1190</f>
        <v>-92</v>
      </c>
      <c r="HJ135" s="1211"/>
      <c r="HK135" s="1211"/>
      <c r="HL135" s="1211"/>
      <c r="HM135" s="1211"/>
      <c r="HN135" s="1211"/>
      <c r="HO135" s="1211"/>
      <c r="HP135" s="1211"/>
      <c r="HQ135" s="1213"/>
      <c r="HR135" s="1211"/>
      <c r="HS135" s="1211"/>
      <c r="HT135" s="1211"/>
      <c r="HU135" s="1211"/>
      <c r="HV135" s="1211"/>
      <c r="HW135" s="1211"/>
      <c r="HX135" s="1211"/>
      <c r="HY135" s="1211"/>
      <c r="HZ135" s="1211"/>
      <c r="IA135" s="1211"/>
      <c r="IB135" s="1211"/>
      <c r="IC135" s="1211"/>
      <c r="ID135" s="1211"/>
      <c r="IE135" s="1211"/>
      <c r="IF135" s="1211"/>
      <c r="IG135" s="1213"/>
      <c r="IH135" s="1211"/>
      <c r="II135" s="1211"/>
      <c r="IJ135" s="1211"/>
      <c r="IK135" s="1211"/>
      <c r="IL135" s="1211"/>
      <c r="IM135" s="1211"/>
      <c r="IN135" s="1211"/>
      <c r="IO135" s="1213"/>
      <c r="IP135" s="1211"/>
      <c r="IQ135" s="1211"/>
      <c r="IR135" s="1211"/>
      <c r="IS135" s="1211"/>
      <c r="IT135" s="1211"/>
      <c r="IU135" s="1211"/>
      <c r="IV135" s="1211"/>
      <c r="IW135" s="1211"/>
      <c r="IX135" s="1178"/>
      <c r="IY135" s="1178"/>
      <c r="IZ135" s="1215"/>
      <c r="JA135" s="1215"/>
      <c r="JB135" s="1215"/>
      <c r="JC135" s="1215"/>
      <c r="JD135" s="1215"/>
      <c r="JE135" s="1215"/>
      <c r="JF135" s="1083"/>
      <c r="JG135" s="1083"/>
      <c r="JH135" s="1083"/>
      <c r="JI135" s="859"/>
      <c r="JJ135" s="859"/>
      <c r="JK135" s="859"/>
      <c r="JL135" s="859"/>
      <c r="JM135" s="859"/>
      <c r="JN135" s="859"/>
      <c r="JO135" s="859"/>
      <c r="JP135" s="859"/>
      <c r="KP135" s="1203"/>
      <c r="LV135" s="1127"/>
    </row>
    <row r="136" s="1024" customFormat="1" hidden="1" outlineLevel="1" spans="1:334">
      <c r="A136" s="1024" t="s">
        <v>529</v>
      </c>
      <c r="B136" s="1121"/>
      <c r="C136" s="1121"/>
      <c r="D136" s="1121"/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1"/>
      <c r="O136" s="1121"/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1"/>
      <c r="Z136" s="1121"/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1"/>
      <c r="AK136" s="1121"/>
      <c r="AL136" s="1121"/>
      <c r="AM136" s="1121"/>
      <c r="AN136" s="1121"/>
      <c r="AO136" s="1121"/>
      <c r="AP136" s="1121"/>
      <c r="AQ136" s="1121"/>
      <c r="AR136" s="1121"/>
      <c r="AS136" s="1121"/>
      <c r="AT136" s="1121"/>
      <c r="AU136" s="1121"/>
      <c r="AV136" s="1121"/>
      <c r="AW136" s="1121"/>
      <c r="AX136" s="1122"/>
      <c r="AY136" s="1121"/>
      <c r="AZ136" s="1121"/>
      <c r="BA136" s="1121"/>
      <c r="BB136" s="1121"/>
      <c r="BC136" s="1121"/>
      <c r="BD136" s="1121"/>
      <c r="BE136" s="1123"/>
      <c r="BF136" s="1121"/>
      <c r="BG136" s="1121"/>
      <c r="BH136" s="1121"/>
      <c r="BI136" s="1121"/>
      <c r="BJ136" s="1121"/>
      <c r="BK136" s="1121"/>
      <c r="BL136" s="1121"/>
      <c r="BM136" s="1121"/>
      <c r="BN136" s="1122"/>
      <c r="BO136" s="1121"/>
      <c r="BP136" s="1121"/>
      <c r="BQ136" s="1121"/>
      <c r="BR136" s="1121"/>
      <c r="BS136" s="1121"/>
      <c r="BT136" s="1121"/>
      <c r="BU136" s="1123"/>
      <c r="BV136" s="1122"/>
      <c r="BW136" s="1121"/>
      <c r="BX136" s="1121"/>
      <c r="BY136" s="1121"/>
      <c r="BZ136" s="1121"/>
      <c r="CA136" s="1121"/>
      <c r="CB136" s="1121"/>
      <c r="CC136" s="1123"/>
      <c r="CD136" s="1122"/>
      <c r="CE136" s="1121"/>
      <c r="CF136" s="1121"/>
      <c r="CG136" s="1121"/>
      <c r="CH136" s="1121"/>
      <c r="CI136" s="1121"/>
      <c r="CJ136" s="917"/>
      <c r="CK136" s="1123"/>
      <c r="CL136" s="1122"/>
      <c r="CM136" s="1121"/>
      <c r="CN136" s="1121"/>
      <c r="CO136" s="1121"/>
      <c r="CP136" s="1121"/>
      <c r="CQ136" s="1121"/>
      <c r="CR136" s="1121"/>
      <c r="CS136" s="1123"/>
      <c r="CT136" s="1122"/>
      <c r="CU136" s="1121"/>
      <c r="CV136" s="1121"/>
      <c r="CW136" s="1205"/>
      <c r="CX136" s="1205"/>
      <c r="CY136" s="1121"/>
      <c r="CZ136" s="1121"/>
      <c r="DA136" s="1121"/>
      <c r="DB136" s="1114"/>
      <c r="DC136" s="1114"/>
      <c r="DD136" s="1114"/>
      <c r="DE136" s="1206"/>
      <c r="DF136" s="1206"/>
      <c r="DG136" s="1114"/>
      <c r="DH136" s="1114"/>
      <c r="DI136" s="1207"/>
      <c r="DJ136" s="1114"/>
      <c r="DK136" s="1114"/>
      <c r="DL136" s="1114"/>
      <c r="DM136" s="1114"/>
      <c r="DN136" s="1114"/>
      <c r="DO136" s="1114"/>
      <c r="DP136" s="1114"/>
      <c r="DQ136" s="1207"/>
      <c r="DR136" s="1114"/>
      <c r="DS136" s="1114"/>
      <c r="DT136" s="1114"/>
      <c r="DU136" s="1114"/>
      <c r="DV136" s="1114"/>
      <c r="DW136" s="1114"/>
      <c r="DX136" s="1114"/>
      <c r="DY136" s="1216"/>
      <c r="DZ136" s="1217">
        <f t="shared" ref="DZ136:EG136" si="688">+DZ134/$DY134-1</f>
        <v>0.0105140186915889</v>
      </c>
      <c r="EA136" s="1217">
        <f t="shared" si="688"/>
        <v>0.0274532710280373</v>
      </c>
      <c r="EB136" s="1217">
        <f t="shared" si="688"/>
        <v>0.0274532710280373</v>
      </c>
      <c r="EC136" s="1217">
        <f t="shared" si="688"/>
        <v>0.0367990654205608</v>
      </c>
      <c r="ED136" s="1217">
        <f t="shared" si="688"/>
        <v>0.0367990654205608</v>
      </c>
      <c r="EE136" s="1218">
        <f t="shared" si="688"/>
        <v>-0.246495327102804</v>
      </c>
      <c r="EF136" s="1218">
        <f t="shared" si="688"/>
        <v>-0.246495327102804</v>
      </c>
      <c r="EG136" s="1207">
        <f t="shared" si="688"/>
        <v>-0.246495327102804</v>
      </c>
      <c r="EH136" s="1217">
        <f>+EH134/DZ134-1</f>
        <v>0.0508670520231214</v>
      </c>
      <c r="EI136" s="1217">
        <f>+EI134/EA134-1</f>
        <v>0.0471859010801592</v>
      </c>
      <c r="EJ136" s="1217">
        <f>+EJ134/EB134-1</f>
        <v>0.0471859010801592</v>
      </c>
      <c r="EK136" s="1217">
        <f>+EK134/EC134-1</f>
        <v>0.055774647887324</v>
      </c>
      <c r="EL136" s="1217">
        <f>+EL134/ED134-1</f>
        <v>0.055774647887324</v>
      </c>
      <c r="EM136" s="1114">
        <f>EM134/EE134-1</f>
        <v>0.0488372093023255</v>
      </c>
      <c r="EN136" s="1114">
        <f>EN134/EF134-1</f>
        <v>0.0488372093023255</v>
      </c>
      <c r="EO136" s="1207">
        <f>EO134/EG134-1</f>
        <v>0.0488372093023255</v>
      </c>
      <c r="EP136" s="1114"/>
      <c r="EQ136" s="1114"/>
      <c r="ER136" s="1114"/>
      <c r="ES136" s="1114"/>
      <c r="ET136" s="1114"/>
      <c r="EU136" s="1114"/>
      <c r="EV136" s="1114"/>
      <c r="EW136" s="1207"/>
      <c r="EX136" s="1218"/>
      <c r="EY136" s="1218"/>
      <c r="EZ136" s="1218"/>
      <c r="FA136" s="1218"/>
      <c r="FB136" s="1114"/>
      <c r="FC136" s="1211"/>
      <c r="FD136" s="1211"/>
      <c r="FE136" s="1213"/>
      <c r="FF136" s="1211"/>
      <c r="FG136" s="1218"/>
      <c r="FH136" s="1218"/>
      <c r="FI136" s="1218"/>
      <c r="FJ136" s="1218"/>
      <c r="FK136" s="1218"/>
      <c r="FL136" s="1218"/>
      <c r="FM136" s="1219"/>
      <c r="FN136" s="1218"/>
      <c r="FO136" s="1218"/>
      <c r="FP136" s="1218"/>
      <c r="FQ136" s="1218"/>
      <c r="FR136" s="1218"/>
      <c r="FS136" s="1218"/>
      <c r="FT136" s="1218"/>
      <c r="FU136" s="1218"/>
      <c r="FV136" s="1220"/>
      <c r="FW136" s="1218"/>
      <c r="FX136" s="1218"/>
      <c r="FY136" s="1218"/>
      <c r="FZ136" s="1218"/>
      <c r="GA136" s="1218"/>
      <c r="GB136" s="1218"/>
      <c r="GC136" s="1219"/>
      <c r="GD136" s="1220"/>
      <c r="GE136" s="1218"/>
      <c r="GF136" s="1218"/>
      <c r="GG136" s="1218"/>
      <c r="GH136" s="1218"/>
      <c r="GI136" s="1218"/>
      <c r="GJ136" s="1218"/>
      <c r="GK136" s="1219"/>
      <c r="GL136" s="1218"/>
      <c r="GM136" s="1218"/>
      <c r="GN136" s="1218"/>
      <c r="GO136" s="1218"/>
      <c r="GP136" s="1218"/>
      <c r="GQ136" s="1218"/>
      <c r="GR136" s="1218"/>
      <c r="GS136" s="1219"/>
      <c r="GT136" s="1218"/>
      <c r="GU136" s="1218"/>
      <c r="GV136" s="1218"/>
      <c r="GW136" s="1218"/>
      <c r="GX136" s="1218"/>
      <c r="GY136" s="1218"/>
      <c r="GZ136" s="1218"/>
      <c r="HA136" s="1219"/>
      <c r="HB136" s="1218"/>
      <c r="HC136" s="1218"/>
      <c r="HD136" s="1218"/>
      <c r="HE136" s="1218"/>
      <c r="HF136" s="1218"/>
      <c r="HG136" s="1218"/>
      <c r="HH136" s="1218"/>
      <c r="HI136" s="1219"/>
      <c r="HJ136" s="1218"/>
      <c r="HK136" s="1218"/>
      <c r="HL136" s="1218"/>
      <c r="HM136" s="1218"/>
      <c r="HN136" s="1218"/>
      <c r="HO136" s="1218"/>
      <c r="HP136" s="1218"/>
      <c r="HQ136" s="1219"/>
      <c r="HR136" s="1218"/>
      <c r="HS136" s="1218"/>
      <c r="HT136" s="1218"/>
      <c r="HU136" s="1218"/>
      <c r="HV136" s="1218"/>
      <c r="HW136" s="1218"/>
      <c r="HX136" s="1218"/>
      <c r="HY136" s="1218"/>
      <c r="HZ136" s="1218"/>
      <c r="IA136" s="1218"/>
      <c r="IB136" s="1218"/>
      <c r="IC136" s="1218"/>
      <c r="ID136" s="1218"/>
      <c r="IE136" s="1218"/>
      <c r="IF136" s="1218"/>
      <c r="IG136" s="1219"/>
      <c r="IH136" s="1218"/>
      <c r="II136" s="1218"/>
      <c r="IJ136" s="1218"/>
      <c r="IK136" s="1218"/>
      <c r="IL136" s="1218"/>
      <c r="IM136" s="1218"/>
      <c r="IN136" s="1218"/>
      <c r="IO136" s="1219"/>
      <c r="IP136" s="1218"/>
      <c r="IQ136" s="1218"/>
      <c r="IR136" s="1218"/>
      <c r="IS136" s="1218"/>
      <c r="IT136" s="1218"/>
      <c r="IU136" s="1218"/>
      <c r="IV136" s="1218"/>
      <c r="IW136" s="1218"/>
      <c r="IX136" s="1178"/>
      <c r="IY136" s="1178"/>
      <c r="IZ136" s="1215"/>
      <c r="JA136" s="1215"/>
      <c r="JB136" s="1215"/>
      <c r="JC136" s="1215"/>
      <c r="JD136" s="1215"/>
      <c r="JE136" s="1215"/>
      <c r="JF136" s="1083"/>
      <c r="JG136" s="1083"/>
      <c r="JH136" s="1083"/>
      <c r="JI136" s="859"/>
      <c r="JJ136" s="859"/>
      <c r="JK136" s="859"/>
      <c r="JL136" s="859"/>
      <c r="JM136" s="859"/>
      <c r="JN136" s="859"/>
      <c r="JO136" s="859"/>
      <c r="JP136" s="859"/>
      <c r="KP136" s="1203"/>
      <c r="LV136" s="1127"/>
    </row>
    <row r="137" s="1024" customFormat="1" hidden="1" outlineLevel="1" spans="1:334">
      <c r="A137" s="1204" t="s">
        <v>82</v>
      </c>
      <c r="B137" s="1121"/>
      <c r="C137" s="1121"/>
      <c r="D137" s="1121"/>
      <c r="E137" s="1121"/>
      <c r="F137" s="1121"/>
      <c r="G137" s="1121"/>
      <c r="H137" s="1121"/>
      <c r="I137" s="1121"/>
      <c r="J137" s="1121"/>
      <c r="K137" s="1121"/>
      <c r="L137" s="1121"/>
      <c r="M137" s="1121"/>
      <c r="N137" s="1121"/>
      <c r="O137" s="1121"/>
      <c r="P137" s="1121"/>
      <c r="Q137" s="1121"/>
      <c r="R137" s="1121"/>
      <c r="S137" s="1121"/>
      <c r="T137" s="1121"/>
      <c r="U137" s="1121"/>
      <c r="V137" s="1121"/>
      <c r="W137" s="1121"/>
      <c r="X137" s="1121"/>
      <c r="Y137" s="1121"/>
      <c r="Z137" s="1121"/>
      <c r="AA137" s="1121"/>
      <c r="AB137" s="1121"/>
      <c r="AC137" s="1121"/>
      <c r="AD137" s="1121"/>
      <c r="AE137" s="1121"/>
      <c r="AF137" s="1121"/>
      <c r="AG137" s="1121"/>
      <c r="AH137" s="1121"/>
      <c r="AI137" s="1121"/>
      <c r="AJ137" s="1121"/>
      <c r="AK137" s="1121"/>
      <c r="AL137" s="1121"/>
      <c r="AM137" s="1121"/>
      <c r="AN137" s="1121"/>
      <c r="AO137" s="1121"/>
      <c r="AP137" s="1121"/>
      <c r="AQ137" s="1121"/>
      <c r="AR137" s="1121"/>
      <c r="AS137" s="1121"/>
      <c r="AT137" s="1121"/>
      <c r="AU137" s="1121"/>
      <c r="AV137" s="1121"/>
      <c r="AW137" s="1121"/>
      <c r="AX137" s="1122"/>
      <c r="AY137" s="1121"/>
      <c r="AZ137" s="1121"/>
      <c r="BA137" s="1121"/>
      <c r="BB137" s="1121"/>
      <c r="BC137" s="1121"/>
      <c r="BD137" s="1121"/>
      <c r="BE137" s="1123"/>
      <c r="BF137" s="1121"/>
      <c r="BG137" s="1121"/>
      <c r="BH137" s="1121"/>
      <c r="BI137" s="1121"/>
      <c r="BJ137" s="1121"/>
      <c r="BK137" s="1121"/>
      <c r="BL137" s="1121"/>
      <c r="BM137" s="1121"/>
      <c r="BN137" s="1122"/>
      <c r="BO137" s="1121"/>
      <c r="BP137" s="1121"/>
      <c r="BQ137" s="1121"/>
      <c r="BR137" s="1121"/>
      <c r="BS137" s="1121"/>
      <c r="BT137" s="1121"/>
      <c r="BU137" s="1123"/>
      <c r="BV137" s="1122"/>
      <c r="BW137" s="1121"/>
      <c r="BX137" s="1121"/>
      <c r="BY137" s="1121"/>
      <c r="BZ137" s="1121"/>
      <c r="CA137" s="1121"/>
      <c r="CB137" s="1121"/>
      <c r="CC137" s="1123"/>
      <c r="CD137" s="1122"/>
      <c r="CE137" s="1121"/>
      <c r="CF137" s="1121"/>
      <c r="CG137" s="1121"/>
      <c r="CH137" s="1121"/>
      <c r="CI137" s="1121"/>
      <c r="CJ137" s="917"/>
      <c r="CK137" s="1123"/>
      <c r="CL137" s="1122"/>
      <c r="CM137" s="1121"/>
      <c r="CN137" s="1121"/>
      <c r="CO137" s="1121"/>
      <c r="CP137" s="1121"/>
      <c r="CQ137" s="1121"/>
      <c r="CR137" s="1121"/>
      <c r="CS137" s="1123"/>
      <c r="CT137" s="1122"/>
      <c r="CU137" s="1121"/>
      <c r="CV137" s="1121"/>
      <c r="CW137" s="1205"/>
      <c r="CX137" s="1205"/>
      <c r="CY137" s="1121"/>
      <c r="CZ137" s="1121"/>
      <c r="DA137" s="1121"/>
      <c r="DB137" s="1114"/>
      <c r="DC137" s="1114"/>
      <c r="DD137" s="1114"/>
      <c r="DE137" s="1206"/>
      <c r="DF137" s="1206"/>
      <c r="DG137" s="1114"/>
      <c r="DH137" s="1114"/>
      <c r="DI137" s="1207"/>
      <c r="DJ137" s="1114"/>
      <c r="DK137" s="1114"/>
      <c r="DL137" s="1114"/>
      <c r="DM137" s="1114"/>
      <c r="DN137" s="1114"/>
      <c r="DO137" s="1114"/>
      <c r="DP137" s="1114"/>
      <c r="DQ137" s="1207"/>
      <c r="DR137" s="1208"/>
      <c r="DS137" s="1208"/>
      <c r="DT137" s="1208"/>
      <c r="DU137" s="1208"/>
      <c r="DV137" s="1208"/>
      <c r="DW137" s="1208"/>
      <c r="DX137" s="1208"/>
      <c r="DY137" s="1209">
        <v>558</v>
      </c>
      <c r="DZ137" s="1210">
        <v>567</v>
      </c>
      <c r="EA137" s="1210">
        <f>EB137</f>
        <v>576</v>
      </c>
      <c r="EB137" s="1210">
        <v>576</v>
      </c>
      <c r="EC137" s="1210">
        <f>ED137</f>
        <v>574</v>
      </c>
      <c r="ED137" s="1210">
        <v>574</v>
      </c>
      <c r="EE137" s="1211">
        <f>EF137</f>
        <v>360</v>
      </c>
      <c r="EF137" s="1211">
        <f>EG137</f>
        <v>360</v>
      </c>
      <c r="EG137" s="1212">
        <v>360</v>
      </c>
      <c r="EH137" s="1210">
        <v>604</v>
      </c>
      <c r="EI137" s="1210">
        <v>594</v>
      </c>
      <c r="EJ137" s="1210">
        <f>+EI137</f>
        <v>594</v>
      </c>
      <c r="EK137" s="1210">
        <v>592</v>
      </c>
      <c r="EL137" s="1210">
        <f>+EL138+EG137</f>
        <v>592</v>
      </c>
      <c r="EM137" s="1208">
        <f>EN137</f>
        <v>363</v>
      </c>
      <c r="EN137" s="1208">
        <f>EO137</f>
        <v>363</v>
      </c>
      <c r="EO137" s="1212">
        <v>363</v>
      </c>
      <c r="EP137" s="1208">
        <v>349</v>
      </c>
      <c r="EQ137" s="1208">
        <v>356</v>
      </c>
      <c r="ER137" s="1208">
        <f>EQ137</f>
        <v>356</v>
      </c>
      <c r="ES137" s="1208">
        <v>369</v>
      </c>
      <c r="ET137" s="1208">
        <f>ES137</f>
        <v>369</v>
      </c>
      <c r="EU137" s="1208">
        <f>EV137</f>
        <v>404</v>
      </c>
      <c r="EV137" s="1208">
        <f>EW137</f>
        <v>404</v>
      </c>
      <c r="EW137" s="1212">
        <v>404</v>
      </c>
      <c r="EX137" s="1211">
        <v>411</v>
      </c>
      <c r="EY137" s="1211">
        <f>EZ137</f>
        <v>427</v>
      </c>
      <c r="EZ137" s="1211">
        <v>427</v>
      </c>
      <c r="FA137" s="1211">
        <v>426</v>
      </c>
      <c r="FB137" s="1208">
        <f>FA137</f>
        <v>426</v>
      </c>
      <c r="FC137" s="1211">
        <f>FD137</f>
        <v>446</v>
      </c>
      <c r="FD137" s="1211">
        <f>FE137</f>
        <v>446</v>
      </c>
      <c r="FE137" s="1213">
        <v>446</v>
      </c>
      <c r="FF137" s="1211">
        <v>436</v>
      </c>
      <c r="FG137" s="1211">
        <f>FH137</f>
        <v>422</v>
      </c>
      <c r="FH137" s="1211">
        <v>422</v>
      </c>
      <c r="FI137" s="1211">
        <f>FJ137</f>
        <v>363</v>
      </c>
      <c r="FJ137" s="1211">
        <v>363</v>
      </c>
      <c r="FK137" s="1211">
        <f>FL137</f>
        <v>366</v>
      </c>
      <c r="FL137" s="1211">
        <f>FM137</f>
        <v>366</v>
      </c>
      <c r="FM137" s="1213">
        <v>366</v>
      </c>
      <c r="FN137" s="1211">
        <v>368</v>
      </c>
      <c r="FO137" s="1211">
        <f>FP137</f>
        <v>373</v>
      </c>
      <c r="FP137" s="1211">
        <v>373</v>
      </c>
      <c r="FQ137" s="1211">
        <f>FR137</f>
        <v>365</v>
      </c>
      <c r="FR137" s="1211">
        <v>365</v>
      </c>
      <c r="FS137" s="1211">
        <f>FT137</f>
        <v>378</v>
      </c>
      <c r="FT137" s="1211">
        <f>FU137</f>
        <v>378</v>
      </c>
      <c r="FU137" s="1211">
        <v>378</v>
      </c>
      <c r="FV137" s="1214">
        <v>353</v>
      </c>
      <c r="FW137" s="1211">
        <f>FX137</f>
        <v>344</v>
      </c>
      <c r="FX137" s="1211">
        <v>344</v>
      </c>
      <c r="FY137" s="1211">
        <f>FZ137</f>
        <v>325</v>
      </c>
      <c r="FZ137" s="1211">
        <v>325</v>
      </c>
      <c r="GA137" s="1211">
        <f>GB137</f>
        <v>313</v>
      </c>
      <c r="GB137" s="1211">
        <f>GC137</f>
        <v>313</v>
      </c>
      <c r="GC137" s="1213">
        <v>313</v>
      </c>
      <c r="GD137" s="1214">
        <v>280</v>
      </c>
      <c r="GE137" s="1211">
        <v>267</v>
      </c>
      <c r="GF137" s="1211">
        <f>GE137</f>
        <v>267</v>
      </c>
      <c r="GG137" s="1211">
        <v>257</v>
      </c>
      <c r="GH137" s="1211">
        <f>GG137</f>
        <v>257</v>
      </c>
      <c r="GI137" s="1211">
        <f>GJ137</f>
        <v>256</v>
      </c>
      <c r="GJ137" s="1211">
        <f>GK137</f>
        <v>256</v>
      </c>
      <c r="GK137" s="1213">
        <v>256</v>
      </c>
      <c r="GL137" s="1211">
        <v>252</v>
      </c>
      <c r="GM137" s="1211">
        <v>257</v>
      </c>
      <c r="GN137" s="1211">
        <f>GM137</f>
        <v>257</v>
      </c>
      <c r="GO137" s="1211">
        <v>258</v>
      </c>
      <c r="GP137" s="1211">
        <f>GO137</f>
        <v>258</v>
      </c>
      <c r="GQ137" s="1211">
        <f>GR137</f>
        <v>268</v>
      </c>
      <c r="GR137" s="1211">
        <f>GS137</f>
        <v>268</v>
      </c>
      <c r="GS137" s="1213">
        <v>268</v>
      </c>
      <c r="GT137" s="1211">
        <v>269</v>
      </c>
      <c r="GU137" s="1211">
        <v>264</v>
      </c>
      <c r="GV137" s="1211">
        <f>GU137</f>
        <v>264</v>
      </c>
      <c r="GW137" s="1211">
        <v>246</v>
      </c>
      <c r="GX137" s="1211"/>
      <c r="GY137" s="1211">
        <v>233</v>
      </c>
      <c r="GZ137" s="1211">
        <f>HA137</f>
        <v>233</v>
      </c>
      <c r="HA137" s="1213">
        <f>GY137</f>
        <v>233</v>
      </c>
      <c r="HB137" s="1211"/>
      <c r="HC137" s="1211"/>
      <c r="HD137" s="1211"/>
      <c r="HE137" s="1211"/>
      <c r="HF137" s="1211"/>
      <c r="HG137" s="1211"/>
      <c r="HH137" s="1211"/>
      <c r="HI137" s="1213"/>
      <c r="HJ137" s="1211"/>
      <c r="HK137" s="1211"/>
      <c r="HL137" s="1211"/>
      <c r="HM137" s="1211"/>
      <c r="HN137" s="1211"/>
      <c r="HO137" s="1211"/>
      <c r="HP137" s="1211"/>
      <c r="HQ137" s="1213"/>
      <c r="HR137" s="1211"/>
      <c r="HS137" s="1211"/>
      <c r="HT137" s="1211"/>
      <c r="HU137" s="1211"/>
      <c r="HV137" s="1211"/>
      <c r="HW137" s="1211"/>
      <c r="HX137" s="1211"/>
      <c r="HY137" s="1211"/>
      <c r="HZ137" s="1211"/>
      <c r="IA137" s="1211"/>
      <c r="IB137" s="1211"/>
      <c r="IC137" s="1211"/>
      <c r="ID137" s="1211"/>
      <c r="IE137" s="1211"/>
      <c r="IF137" s="1211"/>
      <c r="IG137" s="1213"/>
      <c r="IH137" s="1211"/>
      <c r="II137" s="1211"/>
      <c r="IJ137" s="1211"/>
      <c r="IK137" s="1211"/>
      <c r="IL137" s="1211"/>
      <c r="IM137" s="1211"/>
      <c r="IN137" s="1211"/>
      <c r="IO137" s="1213"/>
      <c r="IP137" s="1211"/>
      <c r="IQ137" s="1211"/>
      <c r="IR137" s="1211"/>
      <c r="IS137" s="1211"/>
      <c r="IT137" s="1211"/>
      <c r="IU137" s="1211"/>
      <c r="IV137" s="1211"/>
      <c r="IW137" s="1211"/>
      <c r="IX137" s="1178"/>
      <c r="IY137" s="1204"/>
      <c r="IZ137" s="1215"/>
      <c r="JA137" s="1215"/>
      <c r="JB137" s="1215"/>
      <c r="JC137" s="1215"/>
      <c r="JD137" s="1215"/>
      <c r="JE137" s="1215"/>
      <c r="JF137" s="1083"/>
      <c r="JG137" s="1083"/>
      <c r="JH137" s="1083"/>
      <c r="JI137" s="859"/>
      <c r="JJ137" s="859"/>
      <c r="JK137" s="859"/>
      <c r="JL137" s="859"/>
      <c r="JM137" s="859"/>
      <c r="JN137" s="859"/>
      <c r="JO137" s="859"/>
      <c r="JP137" s="859"/>
      <c r="KP137" s="1203"/>
      <c r="LV137" s="1127"/>
    </row>
    <row r="138" s="1024" customFormat="1" hidden="1" outlineLevel="1" spans="1:334">
      <c r="A138" s="1024" t="s">
        <v>528</v>
      </c>
      <c r="B138" s="1121"/>
      <c r="C138" s="1121"/>
      <c r="D138" s="1121"/>
      <c r="E138" s="1121"/>
      <c r="F138" s="1121"/>
      <c r="G138" s="1121"/>
      <c r="H138" s="1121"/>
      <c r="I138" s="1121"/>
      <c r="J138" s="1121"/>
      <c r="K138" s="1121"/>
      <c r="L138" s="1121"/>
      <c r="M138" s="1121"/>
      <c r="N138" s="1121"/>
      <c r="O138" s="1121"/>
      <c r="P138" s="1121"/>
      <c r="Q138" s="1121"/>
      <c r="R138" s="1121"/>
      <c r="S138" s="1121"/>
      <c r="T138" s="1121"/>
      <c r="U138" s="1121"/>
      <c r="V138" s="1121"/>
      <c r="W138" s="1121"/>
      <c r="X138" s="1121"/>
      <c r="Y138" s="1121"/>
      <c r="Z138" s="1121"/>
      <c r="AA138" s="1121"/>
      <c r="AB138" s="1121"/>
      <c r="AC138" s="1121"/>
      <c r="AD138" s="1121"/>
      <c r="AE138" s="1121"/>
      <c r="AF138" s="1121"/>
      <c r="AG138" s="1121"/>
      <c r="AH138" s="1121"/>
      <c r="AI138" s="1121"/>
      <c r="AJ138" s="1121"/>
      <c r="AK138" s="1121"/>
      <c r="AL138" s="1121"/>
      <c r="AM138" s="1121"/>
      <c r="AN138" s="1121"/>
      <c r="AO138" s="1121"/>
      <c r="AP138" s="1121"/>
      <c r="AQ138" s="1121"/>
      <c r="AR138" s="1121"/>
      <c r="AS138" s="1121"/>
      <c r="AT138" s="1121"/>
      <c r="AU138" s="1121"/>
      <c r="AV138" s="1121"/>
      <c r="AW138" s="1121"/>
      <c r="AX138" s="1122"/>
      <c r="AY138" s="1121"/>
      <c r="AZ138" s="1121"/>
      <c r="BA138" s="1121"/>
      <c r="BB138" s="1121"/>
      <c r="BC138" s="1121"/>
      <c r="BD138" s="1121"/>
      <c r="BE138" s="1123"/>
      <c r="BF138" s="1121"/>
      <c r="BG138" s="1121"/>
      <c r="BH138" s="1121"/>
      <c r="BI138" s="1121"/>
      <c r="BJ138" s="1121"/>
      <c r="BK138" s="1121"/>
      <c r="BL138" s="1121"/>
      <c r="BM138" s="1121"/>
      <c r="BN138" s="1122"/>
      <c r="BO138" s="1121"/>
      <c r="BP138" s="1121"/>
      <c r="BQ138" s="1121"/>
      <c r="BR138" s="1121"/>
      <c r="BS138" s="1121"/>
      <c r="BT138" s="1121"/>
      <c r="BU138" s="1123"/>
      <c r="BV138" s="1122"/>
      <c r="BW138" s="1121"/>
      <c r="BX138" s="1121"/>
      <c r="BY138" s="1121"/>
      <c r="BZ138" s="1121"/>
      <c r="CA138" s="1121"/>
      <c r="CB138" s="1121"/>
      <c r="CC138" s="1123"/>
      <c r="CD138" s="1122"/>
      <c r="CE138" s="1121"/>
      <c r="CF138" s="1121"/>
      <c r="CG138" s="1121"/>
      <c r="CH138" s="1121"/>
      <c r="CI138" s="1121"/>
      <c r="CJ138" s="917"/>
      <c r="CK138" s="1123"/>
      <c r="CL138" s="1122"/>
      <c r="CM138" s="1121"/>
      <c r="CN138" s="1121"/>
      <c r="CO138" s="1121"/>
      <c r="CP138" s="1121"/>
      <c r="CQ138" s="1121"/>
      <c r="CR138" s="1121"/>
      <c r="CS138" s="1123"/>
      <c r="CT138" s="1122"/>
      <c r="CU138" s="1121"/>
      <c r="CV138" s="1121"/>
      <c r="CW138" s="1205"/>
      <c r="CX138" s="1205"/>
      <c r="CY138" s="1121"/>
      <c r="CZ138" s="1121"/>
      <c r="DA138" s="1121"/>
      <c r="DB138" s="1114"/>
      <c r="DC138" s="1114"/>
      <c r="DD138" s="1114"/>
      <c r="DE138" s="1206"/>
      <c r="DF138" s="1206"/>
      <c r="DG138" s="1114"/>
      <c r="DH138" s="1114"/>
      <c r="DI138" s="1207"/>
      <c r="DJ138" s="1114"/>
      <c r="DK138" s="1114"/>
      <c r="DL138" s="1114"/>
      <c r="DM138" s="1114"/>
      <c r="DN138" s="1114"/>
      <c r="DO138" s="1114"/>
      <c r="DP138" s="1114"/>
      <c r="DQ138" s="1207"/>
      <c r="DR138" s="1208"/>
      <c r="DS138" s="1208"/>
      <c r="DT138" s="1208"/>
      <c r="DU138" s="1208"/>
      <c r="DV138" s="1208"/>
      <c r="DW138" s="1208"/>
      <c r="DX138" s="1208"/>
      <c r="DY138" s="1209"/>
      <c r="DZ138" s="1210">
        <f>+DZ137-DY137</f>
        <v>9</v>
      </c>
      <c r="EA138" s="1210">
        <f>+EA137-DZ137</f>
        <v>9</v>
      </c>
      <c r="EB138" s="1210">
        <f>+EA138+DZ138</f>
        <v>18</v>
      </c>
      <c r="EC138" s="1210">
        <f>+EC137-EA137</f>
        <v>-2</v>
      </c>
      <c r="ED138" s="1210">
        <f>+ED137-DY137</f>
        <v>16</v>
      </c>
      <c r="EE138" s="1211">
        <f>+EE137-ED137</f>
        <v>-214</v>
      </c>
      <c r="EF138" s="1211">
        <f>+EF137-EB137</f>
        <v>-216</v>
      </c>
      <c r="EG138" s="1212">
        <f>+EG137-DY137</f>
        <v>-198</v>
      </c>
      <c r="EH138" s="1210">
        <f>+EH137-EG137</f>
        <v>244</v>
      </c>
      <c r="EI138" s="1210">
        <f>+EI137-EH137</f>
        <v>-10</v>
      </c>
      <c r="EJ138" s="1210">
        <f>+EI138+EH138</f>
        <v>234</v>
      </c>
      <c r="EK138" s="1210">
        <f>+EK137-EJ137</f>
        <v>-2</v>
      </c>
      <c r="EL138" s="1210">
        <f>+EK138+EJ138</f>
        <v>232</v>
      </c>
      <c r="EM138" s="1208"/>
      <c r="EN138" s="1208"/>
      <c r="EO138" s="1212"/>
      <c r="EP138" s="1208">
        <f>EP137-EO137</f>
        <v>-14</v>
      </c>
      <c r="EQ138" s="1208">
        <f>EQ137-EP137</f>
        <v>7</v>
      </c>
      <c r="ER138" s="1208">
        <f>EP138+EQ138</f>
        <v>-7</v>
      </c>
      <c r="ES138" s="1208">
        <f>ES137-ER137</f>
        <v>13</v>
      </c>
      <c r="ET138" s="1208">
        <f>ER138+ES138</f>
        <v>6</v>
      </c>
      <c r="EU138" s="1208">
        <f>EU137-ES137</f>
        <v>35</v>
      </c>
      <c r="EV138" s="1208">
        <f>ES138+EU138</f>
        <v>48</v>
      </c>
      <c r="EW138" s="1212">
        <f>EW137-EO137</f>
        <v>41</v>
      </c>
      <c r="EX138" s="1211">
        <f>EX137-EW137</f>
        <v>7</v>
      </c>
      <c r="EY138" s="1211">
        <f>EY137-EX137</f>
        <v>16</v>
      </c>
      <c r="EZ138" s="1211">
        <f>EX138+EY138</f>
        <v>23</v>
      </c>
      <c r="FA138" s="1211">
        <f>FA137-EZ137</f>
        <v>-1</v>
      </c>
      <c r="FB138" s="1208">
        <f>EZ138+FA138</f>
        <v>22</v>
      </c>
      <c r="FC138" s="1211">
        <f>FC137-FB137</f>
        <v>20</v>
      </c>
      <c r="FD138" s="1211">
        <f>FA138+FC138</f>
        <v>19</v>
      </c>
      <c r="FE138" s="1213">
        <f>FE137-EW137</f>
        <v>42</v>
      </c>
      <c r="FF138" s="1211">
        <f>FF137-FE137</f>
        <v>-10</v>
      </c>
      <c r="FG138" s="1211">
        <f>FG137-FF137</f>
        <v>-14</v>
      </c>
      <c r="FH138" s="1211">
        <f>FF138+FG138</f>
        <v>-24</v>
      </c>
      <c r="FI138" s="1211">
        <f>FI137-FH137</f>
        <v>-59</v>
      </c>
      <c r="FJ138" s="1211">
        <f>FH138+FI138</f>
        <v>-83</v>
      </c>
      <c r="FK138" s="1211">
        <f>FK137-FJ137</f>
        <v>3</v>
      </c>
      <c r="FL138" s="1211">
        <f>FI138+FK138</f>
        <v>-56</v>
      </c>
      <c r="FM138" s="1213">
        <f>FM137-FE137</f>
        <v>-80</v>
      </c>
      <c r="FN138" s="1211">
        <f>FN137-FM137</f>
        <v>2</v>
      </c>
      <c r="FO138" s="1211">
        <f>FO137-FN137</f>
        <v>5</v>
      </c>
      <c r="FP138" s="1211">
        <f>FN138+FO138</f>
        <v>7</v>
      </c>
      <c r="FQ138" s="1211">
        <f>FQ137-FP137</f>
        <v>-8</v>
      </c>
      <c r="FR138" s="1211">
        <f>FP138+FQ138</f>
        <v>-1</v>
      </c>
      <c r="FS138" s="1211">
        <f>FS137-FR137</f>
        <v>13</v>
      </c>
      <c r="FT138" s="1211">
        <f>FQ138+FS138</f>
        <v>5</v>
      </c>
      <c r="FU138" s="1211">
        <f>FU137-FM137</f>
        <v>12</v>
      </c>
      <c r="FV138" s="1214">
        <f>FV137-FU137</f>
        <v>-25</v>
      </c>
      <c r="FW138" s="1211">
        <f>FW137-FV137</f>
        <v>-9</v>
      </c>
      <c r="FX138" s="1211">
        <f>FV138+FW138</f>
        <v>-34</v>
      </c>
      <c r="FY138" s="1211">
        <f>FY137-FX137</f>
        <v>-19</v>
      </c>
      <c r="FZ138" s="1211">
        <f>FX138+FY138</f>
        <v>-53</v>
      </c>
      <c r="GA138" s="1211">
        <f>GA137-FZ137</f>
        <v>-12</v>
      </c>
      <c r="GB138" s="1211">
        <f>FY138+GA138</f>
        <v>-31</v>
      </c>
      <c r="GC138" s="1213">
        <f>GC137-FU137</f>
        <v>-65</v>
      </c>
      <c r="GD138" s="1214">
        <f>GD137-GC137</f>
        <v>-33</v>
      </c>
      <c r="GE138" s="1211">
        <f>GE137-GD137</f>
        <v>-13</v>
      </c>
      <c r="GF138" s="1211">
        <f>GE138+GD138</f>
        <v>-46</v>
      </c>
      <c r="GG138" s="1211">
        <f>GG137-GE137</f>
        <v>-10</v>
      </c>
      <c r="GH138" s="1211">
        <f>GG138+GF138</f>
        <v>-56</v>
      </c>
      <c r="GI138" s="1211">
        <f>GI137-GH137</f>
        <v>-1</v>
      </c>
      <c r="GJ138" s="1211">
        <f>GG138+GI138</f>
        <v>-11</v>
      </c>
      <c r="GK138" s="1213">
        <f>GK137-GC137</f>
        <v>-57</v>
      </c>
      <c r="GL138" s="1211">
        <f>GL137-GK137</f>
        <v>-4</v>
      </c>
      <c r="GM138" s="1211">
        <f>GM137-GL137</f>
        <v>5</v>
      </c>
      <c r="GN138" s="1211">
        <f>GM138+GL138</f>
        <v>1</v>
      </c>
      <c r="GO138" s="1211">
        <f>GO137-GM137</f>
        <v>1</v>
      </c>
      <c r="GP138" s="1211">
        <f>GO138+GN138</f>
        <v>2</v>
      </c>
      <c r="GQ138" s="1211">
        <f>GQ137-GP137</f>
        <v>10</v>
      </c>
      <c r="GR138" s="1211">
        <f>GO138+GQ138</f>
        <v>11</v>
      </c>
      <c r="GS138" s="1213">
        <f>GS137-GK137</f>
        <v>12</v>
      </c>
      <c r="GT138" s="1211">
        <f>GT137-GS137</f>
        <v>1</v>
      </c>
      <c r="GU138" s="1211">
        <f>GU137-GT137</f>
        <v>-5</v>
      </c>
      <c r="GV138" s="1211">
        <f>GU138+GT138</f>
        <v>-4</v>
      </c>
      <c r="GW138" s="1211">
        <f>GW137-GU137</f>
        <v>-18</v>
      </c>
      <c r="GX138" s="1211"/>
      <c r="GY138" s="1211">
        <f>GY137-GW137</f>
        <v>-13</v>
      </c>
      <c r="GZ138" s="1211">
        <f>GW138+GY138</f>
        <v>-31</v>
      </c>
      <c r="HA138" s="1213">
        <f>HA137-GS137</f>
        <v>-35</v>
      </c>
      <c r="HB138" s="1211"/>
      <c r="HC138" s="1211"/>
      <c r="HD138" s="1211"/>
      <c r="HE138" s="1211"/>
      <c r="HF138" s="1211"/>
      <c r="HG138" s="1211"/>
      <c r="HH138" s="1211"/>
      <c r="HI138" s="1213"/>
      <c r="HJ138" s="1211"/>
      <c r="HK138" s="1211"/>
      <c r="HL138" s="1211"/>
      <c r="HM138" s="1211"/>
      <c r="HN138" s="1211"/>
      <c r="HO138" s="1211"/>
      <c r="HP138" s="1211"/>
      <c r="HQ138" s="1213"/>
      <c r="HR138" s="1211"/>
      <c r="HS138" s="1211"/>
      <c r="HT138" s="1211"/>
      <c r="HU138" s="1211"/>
      <c r="HV138" s="1211"/>
      <c r="HW138" s="1211"/>
      <c r="HX138" s="1211"/>
      <c r="HY138" s="1211"/>
      <c r="HZ138" s="1211"/>
      <c r="IA138" s="1211"/>
      <c r="IB138" s="1211"/>
      <c r="IC138" s="1211"/>
      <c r="ID138" s="1211"/>
      <c r="IE138" s="1211"/>
      <c r="IF138" s="1211"/>
      <c r="IG138" s="1213"/>
      <c r="IH138" s="1211"/>
      <c r="II138" s="1211"/>
      <c r="IJ138" s="1211"/>
      <c r="IK138" s="1211"/>
      <c r="IL138" s="1211"/>
      <c r="IM138" s="1211"/>
      <c r="IN138" s="1211"/>
      <c r="IO138" s="1213"/>
      <c r="IP138" s="1211"/>
      <c r="IQ138" s="1211"/>
      <c r="IR138" s="1211"/>
      <c r="IS138" s="1211"/>
      <c r="IT138" s="1211"/>
      <c r="IU138" s="1211"/>
      <c r="IV138" s="1211"/>
      <c r="IW138" s="1211"/>
      <c r="IX138" s="1178"/>
      <c r="IY138" s="1178"/>
      <c r="IZ138" s="1215"/>
      <c r="JA138" s="1215"/>
      <c r="JB138" s="1215"/>
      <c r="JC138" s="1215"/>
      <c r="JD138" s="1215"/>
      <c r="JE138" s="1215"/>
      <c r="JF138" s="1083"/>
      <c r="JG138" s="1083"/>
      <c r="JH138" s="1083"/>
      <c r="JI138" s="859"/>
      <c r="JJ138" s="859"/>
      <c r="JK138" s="859"/>
      <c r="JL138" s="859"/>
      <c r="JM138" s="859"/>
      <c r="JN138" s="859"/>
      <c r="JO138" s="859"/>
      <c r="JP138" s="859"/>
      <c r="JS138" s="1221"/>
      <c r="JT138" s="1221"/>
      <c r="JU138" s="1221"/>
      <c r="KP138" s="1203"/>
      <c r="LV138" s="1127"/>
    </row>
    <row r="139" s="1024" customFormat="1" hidden="1" outlineLevel="1" spans="1:334">
      <c r="A139" s="1024" t="s">
        <v>529</v>
      </c>
      <c r="B139" s="1121"/>
      <c r="C139" s="1121"/>
      <c r="D139" s="1121"/>
      <c r="E139" s="1121"/>
      <c r="F139" s="1121"/>
      <c r="G139" s="1121"/>
      <c r="H139" s="1121"/>
      <c r="I139" s="1121"/>
      <c r="J139" s="1121"/>
      <c r="K139" s="1121"/>
      <c r="L139" s="1121"/>
      <c r="M139" s="1121"/>
      <c r="N139" s="1121"/>
      <c r="O139" s="1121"/>
      <c r="P139" s="1121"/>
      <c r="Q139" s="1121"/>
      <c r="R139" s="1121"/>
      <c r="S139" s="1121"/>
      <c r="T139" s="1121"/>
      <c r="U139" s="1121"/>
      <c r="V139" s="1121"/>
      <c r="W139" s="1121"/>
      <c r="X139" s="1121"/>
      <c r="Y139" s="1121"/>
      <c r="Z139" s="1121"/>
      <c r="AA139" s="1121"/>
      <c r="AB139" s="1121"/>
      <c r="AC139" s="1121"/>
      <c r="AD139" s="1121"/>
      <c r="AE139" s="1121"/>
      <c r="AF139" s="1121"/>
      <c r="AG139" s="1121"/>
      <c r="AH139" s="1121"/>
      <c r="AI139" s="1121"/>
      <c r="AJ139" s="1121"/>
      <c r="AK139" s="1121"/>
      <c r="AL139" s="1121"/>
      <c r="AM139" s="1121"/>
      <c r="AN139" s="1121"/>
      <c r="AO139" s="1121"/>
      <c r="AP139" s="1121"/>
      <c r="AQ139" s="1121"/>
      <c r="AR139" s="1121"/>
      <c r="AS139" s="1121"/>
      <c r="AT139" s="1121"/>
      <c r="AU139" s="1121"/>
      <c r="AV139" s="1121"/>
      <c r="AW139" s="1121"/>
      <c r="AX139" s="1122"/>
      <c r="AY139" s="1121"/>
      <c r="AZ139" s="1121"/>
      <c r="BA139" s="1121"/>
      <c r="BB139" s="1121"/>
      <c r="BC139" s="1121"/>
      <c r="BD139" s="1121"/>
      <c r="BE139" s="1123"/>
      <c r="BF139" s="1121"/>
      <c r="BG139" s="1121"/>
      <c r="BH139" s="1121"/>
      <c r="BI139" s="1121"/>
      <c r="BJ139" s="1121"/>
      <c r="BK139" s="1121"/>
      <c r="BL139" s="1121"/>
      <c r="BM139" s="1121"/>
      <c r="BN139" s="1122"/>
      <c r="BO139" s="1121"/>
      <c r="BP139" s="1121"/>
      <c r="BQ139" s="1121"/>
      <c r="BR139" s="1121"/>
      <c r="BS139" s="1121"/>
      <c r="BT139" s="1121"/>
      <c r="BU139" s="1123"/>
      <c r="BV139" s="1122"/>
      <c r="BW139" s="1121"/>
      <c r="BX139" s="1121"/>
      <c r="BY139" s="1121"/>
      <c r="BZ139" s="1121"/>
      <c r="CA139" s="1121"/>
      <c r="CB139" s="1121"/>
      <c r="CC139" s="1123"/>
      <c r="CD139" s="1122"/>
      <c r="CE139" s="1121"/>
      <c r="CF139" s="1121"/>
      <c r="CG139" s="1121"/>
      <c r="CH139" s="1121"/>
      <c r="CI139" s="1121"/>
      <c r="CJ139" s="917"/>
      <c r="CK139" s="1123"/>
      <c r="CL139" s="1122"/>
      <c r="CM139" s="1121"/>
      <c r="CN139" s="1121"/>
      <c r="CO139" s="1121"/>
      <c r="CP139" s="1121"/>
      <c r="CQ139" s="1121"/>
      <c r="CR139" s="1121"/>
      <c r="CS139" s="1123"/>
      <c r="CT139" s="1122"/>
      <c r="CU139" s="1121"/>
      <c r="CV139" s="1121"/>
      <c r="CW139" s="1205"/>
      <c r="CX139" s="1205"/>
      <c r="CY139" s="1121"/>
      <c r="CZ139" s="1121"/>
      <c r="DA139" s="1121"/>
      <c r="DB139" s="1114"/>
      <c r="DC139" s="1114"/>
      <c r="DD139" s="1114"/>
      <c r="DE139" s="1206"/>
      <c r="DF139" s="1206"/>
      <c r="DG139" s="1114"/>
      <c r="DH139" s="1114"/>
      <c r="DI139" s="1207"/>
      <c r="DJ139" s="1114"/>
      <c r="DK139" s="1114"/>
      <c r="DL139" s="1114"/>
      <c r="DM139" s="1114"/>
      <c r="DN139" s="1114"/>
      <c r="DO139" s="1114"/>
      <c r="DP139" s="1114"/>
      <c r="DQ139" s="1207"/>
      <c r="DR139" s="1114"/>
      <c r="DS139" s="1114"/>
      <c r="DT139" s="1114"/>
      <c r="DU139" s="1114"/>
      <c r="DV139" s="1114"/>
      <c r="DW139" s="1114"/>
      <c r="DX139" s="1114"/>
      <c r="DY139" s="1216"/>
      <c r="DZ139" s="1217">
        <f t="shared" ref="DZ139:EG139" si="689">+DZ137/$DY137-1</f>
        <v>0.0161290322580645</v>
      </c>
      <c r="EA139" s="1217">
        <f t="shared" si="689"/>
        <v>0.032258064516129</v>
      </c>
      <c r="EB139" s="1217">
        <f t="shared" si="689"/>
        <v>0.032258064516129</v>
      </c>
      <c r="EC139" s="1217">
        <f t="shared" si="689"/>
        <v>0.0286738351254481</v>
      </c>
      <c r="ED139" s="1217">
        <f t="shared" si="689"/>
        <v>0.0286738351254481</v>
      </c>
      <c r="EE139" s="1218">
        <f t="shared" si="689"/>
        <v>-0.354838709677419</v>
      </c>
      <c r="EF139" s="1218">
        <f t="shared" si="689"/>
        <v>-0.354838709677419</v>
      </c>
      <c r="EG139" s="1207">
        <f t="shared" si="689"/>
        <v>-0.354838709677419</v>
      </c>
      <c r="EH139" s="1217">
        <f>+EH137/DZ137-1</f>
        <v>0.0652557319223985</v>
      </c>
      <c r="EI139" s="1217">
        <f>+EI137/EA137-1</f>
        <v>0.03125</v>
      </c>
      <c r="EJ139" s="1217">
        <f>+EJ137/EB137-1</f>
        <v>0.03125</v>
      </c>
      <c r="EK139" s="1217">
        <f>+EK137/EC137-1</f>
        <v>0.0313588850174216</v>
      </c>
      <c r="EL139" s="1217">
        <f>+EL137/ED137-1</f>
        <v>0.0313588850174216</v>
      </c>
      <c r="EM139" s="1114">
        <f>EM137/EE137-1</f>
        <v>0.0083333333333333</v>
      </c>
      <c r="EN139" s="1114">
        <f>EN137/EF137-1</f>
        <v>0.0083333333333333</v>
      </c>
      <c r="EO139" s="1207">
        <f>EO137/EG137-1</f>
        <v>0.0083333333333333</v>
      </c>
      <c r="EP139" s="1114"/>
      <c r="EQ139" s="1114"/>
      <c r="ER139" s="1114"/>
      <c r="ES139" s="1114"/>
      <c r="ET139" s="1114"/>
      <c r="EU139" s="1114"/>
      <c r="EV139" s="1114"/>
      <c r="EW139" s="1207"/>
      <c r="EX139" s="1218"/>
      <c r="EY139" s="1218"/>
      <c r="EZ139" s="1218"/>
      <c r="FA139" s="1218"/>
      <c r="FB139" s="1114"/>
      <c r="FC139" s="1211"/>
      <c r="FD139" s="1211"/>
      <c r="FE139" s="1213"/>
      <c r="FF139" s="1211"/>
      <c r="FG139" s="1218"/>
      <c r="FH139" s="1218"/>
      <c r="FI139" s="1218"/>
      <c r="FJ139" s="1218"/>
      <c r="FK139" s="1218"/>
      <c r="FL139" s="1218"/>
      <c r="FM139" s="1219"/>
      <c r="FN139" s="1218"/>
      <c r="FO139" s="1218"/>
      <c r="FP139" s="1218"/>
      <c r="FQ139" s="1218"/>
      <c r="FR139" s="1218"/>
      <c r="FS139" s="1218"/>
      <c r="FT139" s="1218"/>
      <c r="FU139" s="1218"/>
      <c r="FV139" s="1220"/>
      <c r="FW139" s="1218"/>
      <c r="FX139" s="1218"/>
      <c r="FY139" s="1218"/>
      <c r="FZ139" s="1218"/>
      <c r="GA139" s="1218"/>
      <c r="GB139" s="1218"/>
      <c r="GC139" s="1219"/>
      <c r="GD139" s="1220"/>
      <c r="GE139" s="1218"/>
      <c r="GF139" s="1218"/>
      <c r="GG139" s="1218"/>
      <c r="GH139" s="1218"/>
      <c r="GI139" s="1218"/>
      <c r="GJ139" s="1218"/>
      <c r="GK139" s="1219"/>
      <c r="GL139" s="1218"/>
      <c r="GM139" s="1218"/>
      <c r="GN139" s="1218"/>
      <c r="GO139" s="1218"/>
      <c r="GP139" s="1218"/>
      <c r="GQ139" s="1218"/>
      <c r="GR139" s="1218"/>
      <c r="GS139" s="1219"/>
      <c r="GT139" s="1218"/>
      <c r="GU139" s="1218"/>
      <c r="GV139" s="1218"/>
      <c r="GW139" s="1218"/>
      <c r="GX139" s="1218"/>
      <c r="GY139" s="1218"/>
      <c r="GZ139" s="1218"/>
      <c r="HA139" s="1219"/>
      <c r="HB139" s="1218"/>
      <c r="HC139" s="1218"/>
      <c r="HD139" s="1218"/>
      <c r="HE139" s="1218"/>
      <c r="HF139" s="1218"/>
      <c r="HG139" s="1218"/>
      <c r="HH139" s="1218"/>
      <c r="HI139" s="1219"/>
      <c r="HJ139" s="1218"/>
      <c r="HK139" s="1218"/>
      <c r="HL139" s="1218"/>
      <c r="HM139" s="1218"/>
      <c r="HN139" s="1218"/>
      <c r="HO139" s="1218"/>
      <c r="HP139" s="1218"/>
      <c r="HQ139" s="1219"/>
      <c r="HR139" s="1218"/>
      <c r="HS139" s="1218"/>
      <c r="HT139" s="1218"/>
      <c r="HU139" s="1218"/>
      <c r="HV139" s="1218"/>
      <c r="HW139" s="1218"/>
      <c r="HX139" s="1218"/>
      <c r="HY139" s="1218"/>
      <c r="HZ139" s="1218"/>
      <c r="IA139" s="1218"/>
      <c r="IB139" s="1218"/>
      <c r="IC139" s="1218"/>
      <c r="ID139" s="1218"/>
      <c r="IE139" s="1218"/>
      <c r="IF139" s="1218"/>
      <c r="IG139" s="1219"/>
      <c r="IH139" s="1218"/>
      <c r="II139" s="1218"/>
      <c r="IJ139" s="1218"/>
      <c r="IK139" s="1218"/>
      <c r="IL139" s="1218"/>
      <c r="IM139" s="1218"/>
      <c r="IN139" s="1218"/>
      <c r="IO139" s="1219"/>
      <c r="IP139" s="1218"/>
      <c r="IQ139" s="1218"/>
      <c r="IR139" s="1218"/>
      <c r="IS139" s="1218"/>
      <c r="IT139" s="1218"/>
      <c r="IU139" s="1218"/>
      <c r="IV139" s="1218"/>
      <c r="IW139" s="1218"/>
      <c r="IX139" s="1178"/>
      <c r="IY139" s="1178"/>
      <c r="IZ139" s="1215"/>
      <c r="JA139" s="1215"/>
      <c r="JB139" s="1215"/>
      <c r="JC139" s="1215"/>
      <c r="JD139" s="1215"/>
      <c r="JE139" s="1215"/>
      <c r="JF139" s="1083"/>
      <c r="JG139" s="1083"/>
      <c r="JH139" s="1083"/>
      <c r="JI139" s="859"/>
      <c r="JJ139" s="859"/>
      <c r="JK139" s="859"/>
      <c r="JL139" s="859"/>
      <c r="JM139" s="859"/>
      <c r="JN139" s="859"/>
      <c r="JO139" s="859"/>
      <c r="JP139" s="859"/>
      <c r="KP139" s="1203"/>
      <c r="LV139" s="1127"/>
    </row>
    <row r="140" s="1024" customFormat="1" hidden="1" outlineLevel="1" spans="1:334">
      <c r="A140" s="1204" t="s">
        <v>530</v>
      </c>
      <c r="B140" s="1121"/>
      <c r="C140" s="1121"/>
      <c r="D140" s="1121"/>
      <c r="E140" s="1121"/>
      <c r="F140" s="1121"/>
      <c r="G140" s="1121"/>
      <c r="H140" s="1121"/>
      <c r="I140" s="1121"/>
      <c r="J140" s="1121"/>
      <c r="K140" s="1121"/>
      <c r="L140" s="1121"/>
      <c r="M140" s="1121"/>
      <c r="N140" s="1121"/>
      <c r="O140" s="1121"/>
      <c r="P140" s="1121"/>
      <c r="Q140" s="1121"/>
      <c r="R140" s="1121"/>
      <c r="S140" s="1121"/>
      <c r="T140" s="1121"/>
      <c r="U140" s="1121"/>
      <c r="V140" s="1121"/>
      <c r="W140" s="1121"/>
      <c r="X140" s="1121"/>
      <c r="Y140" s="1121"/>
      <c r="Z140" s="1121"/>
      <c r="AA140" s="1121"/>
      <c r="AB140" s="1121"/>
      <c r="AC140" s="1121"/>
      <c r="AD140" s="1121"/>
      <c r="AE140" s="1121"/>
      <c r="AF140" s="1121"/>
      <c r="AG140" s="1121"/>
      <c r="AH140" s="1121"/>
      <c r="AI140" s="1121"/>
      <c r="AJ140" s="1121"/>
      <c r="AK140" s="1121"/>
      <c r="AL140" s="1121"/>
      <c r="AM140" s="1121"/>
      <c r="AN140" s="1121"/>
      <c r="AO140" s="1121"/>
      <c r="AP140" s="1121"/>
      <c r="AQ140" s="1121"/>
      <c r="AR140" s="1121"/>
      <c r="AS140" s="1121"/>
      <c r="AT140" s="1121"/>
      <c r="AU140" s="1121"/>
      <c r="AV140" s="1121"/>
      <c r="AW140" s="1121"/>
      <c r="AX140" s="1122"/>
      <c r="AY140" s="1121"/>
      <c r="AZ140" s="1121"/>
      <c r="BA140" s="1121"/>
      <c r="BB140" s="1121"/>
      <c r="BC140" s="1121"/>
      <c r="BD140" s="1121"/>
      <c r="BE140" s="1123"/>
      <c r="BF140" s="1121"/>
      <c r="BG140" s="1121"/>
      <c r="BH140" s="1121"/>
      <c r="BI140" s="1121"/>
      <c r="BJ140" s="1121"/>
      <c r="BK140" s="1121"/>
      <c r="BL140" s="1121"/>
      <c r="BM140" s="1121"/>
      <c r="BN140" s="1122"/>
      <c r="BO140" s="1121"/>
      <c r="BP140" s="1121"/>
      <c r="BQ140" s="1121"/>
      <c r="BR140" s="1121"/>
      <c r="BS140" s="1121"/>
      <c r="BT140" s="1121"/>
      <c r="BU140" s="1123"/>
      <c r="BV140" s="1122"/>
      <c r="BW140" s="1121"/>
      <c r="BX140" s="1121"/>
      <c r="BY140" s="1121"/>
      <c r="BZ140" s="1121"/>
      <c r="CA140" s="1121"/>
      <c r="CB140" s="1121"/>
      <c r="CC140" s="1123"/>
      <c r="CD140" s="1122"/>
      <c r="CE140" s="1121"/>
      <c r="CF140" s="1121"/>
      <c r="CG140" s="1121"/>
      <c r="CH140" s="1121"/>
      <c r="CI140" s="1121"/>
      <c r="CJ140" s="917"/>
      <c r="CK140" s="1123"/>
      <c r="CL140" s="1122"/>
      <c r="CM140" s="1121"/>
      <c r="CN140" s="1121"/>
      <c r="CO140" s="1121"/>
      <c r="CP140" s="1121"/>
      <c r="CQ140" s="1121"/>
      <c r="CR140" s="1121"/>
      <c r="CS140" s="1123"/>
      <c r="CT140" s="1122"/>
      <c r="CU140" s="1121"/>
      <c r="CV140" s="1121"/>
      <c r="CW140" s="1205"/>
      <c r="CX140" s="1205"/>
      <c r="CY140" s="1121"/>
      <c r="CZ140" s="1121"/>
      <c r="DA140" s="1121"/>
      <c r="DB140" s="1114"/>
      <c r="DC140" s="1114"/>
      <c r="DD140" s="1114"/>
      <c r="DE140" s="1206"/>
      <c r="DF140" s="1206"/>
      <c r="DG140" s="1114"/>
      <c r="DH140" s="1114"/>
      <c r="DI140" s="1207"/>
      <c r="DJ140" s="1114"/>
      <c r="DK140" s="1114"/>
      <c r="DL140" s="1114"/>
      <c r="DM140" s="1114"/>
      <c r="DN140" s="1114"/>
      <c r="DO140" s="1114"/>
      <c r="DP140" s="1114"/>
      <c r="DQ140" s="1207"/>
      <c r="DR140" s="1114"/>
      <c r="DS140" s="1114"/>
      <c r="DT140" s="1114"/>
      <c r="DU140" s="1114"/>
      <c r="DV140" s="1114"/>
      <c r="DW140" s="1114"/>
      <c r="DX140" s="1114"/>
      <c r="DY140" s="1216"/>
      <c r="DZ140" s="1217"/>
      <c r="EA140" s="1217"/>
      <c r="EB140" s="1217"/>
      <c r="EC140" s="1217"/>
      <c r="ED140" s="1217"/>
      <c r="EE140" s="1211">
        <f>EF140</f>
        <v>734</v>
      </c>
      <c r="EF140" s="1211">
        <f>EG140</f>
        <v>734</v>
      </c>
      <c r="EG140" s="1212">
        <v>734</v>
      </c>
      <c r="EH140" s="1210"/>
      <c r="EI140" s="1210"/>
      <c r="EJ140" s="1210"/>
      <c r="EK140" s="1210"/>
      <c r="EL140" s="1210"/>
      <c r="EM140" s="1208">
        <f>EN140</f>
        <v>730</v>
      </c>
      <c r="EN140" s="1208">
        <f>EO140</f>
        <v>730</v>
      </c>
      <c r="EO140" s="1212">
        <v>730</v>
      </c>
      <c r="EP140" s="1208">
        <v>737</v>
      </c>
      <c r="EQ140" s="1208">
        <v>749</v>
      </c>
      <c r="ER140" s="1208">
        <f>EQ140</f>
        <v>749</v>
      </c>
      <c r="ES140" s="1208">
        <v>759</v>
      </c>
      <c r="ET140" s="1208">
        <f>ES140</f>
        <v>759</v>
      </c>
      <c r="EU140" s="1208">
        <f>EV140</f>
        <v>779</v>
      </c>
      <c r="EV140" s="1208">
        <f>EW140</f>
        <v>779</v>
      </c>
      <c r="EW140" s="1212">
        <f>EW143-EW137-EW134</f>
        <v>779</v>
      </c>
      <c r="EX140" s="1211">
        <f>EX143-EX134-EX137</f>
        <v>772</v>
      </c>
      <c r="EY140" s="1211">
        <f>EZ140</f>
        <v>808</v>
      </c>
      <c r="EZ140" s="1211">
        <v>808</v>
      </c>
      <c r="FA140" s="1211">
        <v>827</v>
      </c>
      <c r="FB140" s="1208">
        <f>FA140</f>
        <v>827</v>
      </c>
      <c r="FC140" s="1211">
        <f>FD140</f>
        <v>851</v>
      </c>
      <c r="FD140" s="1211">
        <f>FE140</f>
        <v>851</v>
      </c>
      <c r="FE140" s="1213">
        <v>851</v>
      </c>
      <c r="FF140" s="1211">
        <f>FF143-FF134-FF137</f>
        <v>855</v>
      </c>
      <c r="FG140" s="1211">
        <f>FH140</f>
        <v>842</v>
      </c>
      <c r="FH140" s="1211">
        <v>842</v>
      </c>
      <c r="FI140" s="1211">
        <f>FJ140</f>
        <v>850</v>
      </c>
      <c r="FJ140" s="1211">
        <v>850</v>
      </c>
      <c r="FK140" s="1211">
        <f>FL140</f>
        <v>872</v>
      </c>
      <c r="FL140" s="1211">
        <f>FM140</f>
        <v>872</v>
      </c>
      <c r="FM140" s="1213">
        <v>872</v>
      </c>
      <c r="FN140" s="1211">
        <v>861</v>
      </c>
      <c r="FO140" s="1211">
        <f>FP140</f>
        <v>872</v>
      </c>
      <c r="FP140" s="1211">
        <v>872</v>
      </c>
      <c r="FQ140" s="1211">
        <f>FR140</f>
        <v>876</v>
      </c>
      <c r="FR140" s="1211">
        <v>876</v>
      </c>
      <c r="FS140" s="1211">
        <f>FT140</f>
        <v>902</v>
      </c>
      <c r="FT140" s="1211">
        <f>FU140</f>
        <v>902</v>
      </c>
      <c r="FU140" s="1211">
        <v>902</v>
      </c>
      <c r="FV140" s="1214">
        <v>882</v>
      </c>
      <c r="FW140" s="1211">
        <f>FX140</f>
        <v>881</v>
      </c>
      <c r="FX140" s="1211">
        <v>881</v>
      </c>
      <c r="FY140" s="1211">
        <f>FZ140</f>
        <v>893</v>
      </c>
      <c r="FZ140" s="1211">
        <v>893</v>
      </c>
      <c r="GA140" s="1211">
        <f>GB140</f>
        <v>895</v>
      </c>
      <c r="GB140" s="1211">
        <f>GC140</f>
        <v>895</v>
      </c>
      <c r="GC140" s="1213">
        <v>895</v>
      </c>
      <c r="GD140" s="1214">
        <v>883</v>
      </c>
      <c r="GE140" s="1211">
        <v>898</v>
      </c>
      <c r="GF140" s="1211">
        <f>GE140</f>
        <v>898</v>
      </c>
      <c r="GG140" s="1211">
        <v>910</v>
      </c>
      <c r="GH140" s="1211">
        <f>GG140</f>
        <v>910</v>
      </c>
      <c r="GI140" s="1211">
        <f>GJ140</f>
        <v>933</v>
      </c>
      <c r="GJ140" s="1211">
        <f>GK140</f>
        <v>933</v>
      </c>
      <c r="GK140" s="1213">
        <v>933</v>
      </c>
      <c r="GL140" s="1211">
        <v>946</v>
      </c>
      <c r="GM140" s="1211">
        <v>970</v>
      </c>
      <c r="GN140" s="1211">
        <f>GM140</f>
        <v>970</v>
      </c>
      <c r="GO140" s="1211">
        <v>1025</v>
      </c>
      <c r="GP140" s="1211">
        <f>GO140</f>
        <v>1025</v>
      </c>
      <c r="GQ140" s="1211">
        <f>GR140</f>
        <v>1075</v>
      </c>
      <c r="GR140" s="1211">
        <f>GS140</f>
        <v>1075</v>
      </c>
      <c r="GS140" s="1213">
        <v>1075</v>
      </c>
      <c r="GT140" s="1211">
        <v>1083</v>
      </c>
      <c r="GU140" s="1211">
        <v>1104</v>
      </c>
      <c r="GV140" s="1211">
        <f>GU140</f>
        <v>1104</v>
      </c>
      <c r="GW140" s="1211">
        <v>1130</v>
      </c>
      <c r="GX140" s="1211"/>
      <c r="GY140" s="1211">
        <v>1126</v>
      </c>
      <c r="GZ140" s="1211">
        <f>HA140</f>
        <v>1126</v>
      </c>
      <c r="HA140" s="1213">
        <f>GY140</f>
        <v>1126</v>
      </c>
      <c r="HB140" s="1211">
        <v>1054</v>
      </c>
      <c r="HC140" s="1211">
        <v>1071</v>
      </c>
      <c r="HD140" s="1211">
        <f>HC140</f>
        <v>1071</v>
      </c>
      <c r="HE140" s="1211">
        <v>1064</v>
      </c>
      <c r="HF140" s="1211">
        <f>HE140</f>
        <v>1064</v>
      </c>
      <c r="HG140" s="1211">
        <v>1086</v>
      </c>
      <c r="HH140" s="1211">
        <f>HG140</f>
        <v>1086</v>
      </c>
      <c r="HI140" s="1213">
        <v>1086</v>
      </c>
      <c r="HJ140" s="1211"/>
      <c r="HK140" s="1211"/>
      <c r="HL140" s="1211"/>
      <c r="HM140" s="1211"/>
      <c r="HN140" s="1211"/>
      <c r="HO140" s="1211"/>
      <c r="HP140" s="1211"/>
      <c r="HQ140" s="1213"/>
      <c r="HR140" s="1211"/>
      <c r="HS140" s="1211"/>
      <c r="HT140" s="1211"/>
      <c r="HU140" s="1211"/>
      <c r="HV140" s="1211"/>
      <c r="HW140" s="1211"/>
      <c r="HX140" s="1211"/>
      <c r="HY140" s="1211"/>
      <c r="HZ140" s="1211"/>
      <c r="IA140" s="1211"/>
      <c r="IB140" s="1211"/>
      <c r="IC140" s="1211"/>
      <c r="ID140" s="1211"/>
      <c r="IE140" s="1211"/>
      <c r="IF140" s="1211"/>
      <c r="IG140" s="1213"/>
      <c r="IH140" s="1211"/>
      <c r="II140" s="1211"/>
      <c r="IJ140" s="1211"/>
      <c r="IK140" s="1211"/>
      <c r="IL140" s="1211"/>
      <c r="IM140" s="1211"/>
      <c r="IN140" s="1211"/>
      <c r="IO140" s="1213"/>
      <c r="IP140" s="1211"/>
      <c r="IQ140" s="1211"/>
      <c r="IR140" s="1211"/>
      <c r="IS140" s="1211"/>
      <c r="IT140" s="1211"/>
      <c r="IU140" s="1211"/>
      <c r="IV140" s="1211"/>
      <c r="IW140" s="1211"/>
      <c r="IX140" s="1178"/>
      <c r="IY140" s="1178"/>
      <c r="IZ140" s="1178"/>
      <c r="JA140" s="1178"/>
      <c r="JB140" s="1178"/>
      <c r="JC140" s="1178"/>
      <c r="JD140" s="1125"/>
      <c r="JE140" s="1126"/>
      <c r="JF140" s="1126"/>
      <c r="JG140" s="1126"/>
      <c r="JH140" s="1126"/>
      <c r="JI140" s="1222"/>
      <c r="JJ140" s="1222"/>
      <c r="JK140" s="1222"/>
      <c r="JL140" s="1222"/>
      <c r="JM140" s="1222"/>
      <c r="JN140" s="1222"/>
      <c r="JO140" s="1222"/>
      <c r="JP140" s="1222"/>
      <c r="KP140" s="1203"/>
      <c r="LV140" s="1127"/>
    </row>
    <row r="141" s="1024" customFormat="1" hidden="1" outlineLevel="1" spans="1:334">
      <c r="A141" s="1024" t="s">
        <v>528</v>
      </c>
      <c r="B141" s="1121"/>
      <c r="C141" s="1121"/>
      <c r="D141" s="1121"/>
      <c r="E141" s="1121"/>
      <c r="F141" s="1121"/>
      <c r="G141" s="1121"/>
      <c r="H141" s="1121"/>
      <c r="I141" s="1121"/>
      <c r="J141" s="1121"/>
      <c r="K141" s="1121"/>
      <c r="L141" s="1121"/>
      <c r="M141" s="1121"/>
      <c r="N141" s="1121"/>
      <c r="O141" s="1121"/>
      <c r="P141" s="1121"/>
      <c r="Q141" s="1121"/>
      <c r="R141" s="1121"/>
      <c r="S141" s="1121"/>
      <c r="T141" s="1121"/>
      <c r="U141" s="1121"/>
      <c r="V141" s="1121"/>
      <c r="W141" s="1121"/>
      <c r="X141" s="1121"/>
      <c r="Y141" s="1121"/>
      <c r="Z141" s="1121"/>
      <c r="AA141" s="1121"/>
      <c r="AB141" s="1121"/>
      <c r="AC141" s="1121"/>
      <c r="AD141" s="1121"/>
      <c r="AE141" s="1121"/>
      <c r="AF141" s="1121"/>
      <c r="AG141" s="1121"/>
      <c r="AH141" s="1121"/>
      <c r="AI141" s="1121"/>
      <c r="AJ141" s="1121"/>
      <c r="AK141" s="1121"/>
      <c r="AL141" s="1121"/>
      <c r="AM141" s="1121"/>
      <c r="AN141" s="1121"/>
      <c r="AO141" s="1121"/>
      <c r="AP141" s="1121"/>
      <c r="AQ141" s="1121"/>
      <c r="AR141" s="1121"/>
      <c r="AS141" s="1121"/>
      <c r="AT141" s="1121"/>
      <c r="AU141" s="1121"/>
      <c r="AV141" s="1121"/>
      <c r="AW141" s="1121"/>
      <c r="AX141" s="1122"/>
      <c r="AY141" s="1121"/>
      <c r="AZ141" s="1121"/>
      <c r="BA141" s="1121"/>
      <c r="BB141" s="1121"/>
      <c r="BC141" s="1121"/>
      <c r="BD141" s="1121"/>
      <c r="BE141" s="1123"/>
      <c r="BF141" s="1121"/>
      <c r="BG141" s="1121"/>
      <c r="BH141" s="1121"/>
      <c r="BI141" s="1121"/>
      <c r="BJ141" s="1121"/>
      <c r="BK141" s="1121"/>
      <c r="BL141" s="1121"/>
      <c r="BM141" s="1121"/>
      <c r="BN141" s="1122"/>
      <c r="BO141" s="1121"/>
      <c r="BP141" s="1121"/>
      <c r="BQ141" s="1121"/>
      <c r="BR141" s="1121"/>
      <c r="BS141" s="1121"/>
      <c r="BT141" s="1121"/>
      <c r="BU141" s="1123"/>
      <c r="BV141" s="1122"/>
      <c r="BW141" s="1121"/>
      <c r="BX141" s="1121"/>
      <c r="BY141" s="1121"/>
      <c r="BZ141" s="1121"/>
      <c r="CA141" s="1121"/>
      <c r="CB141" s="1121"/>
      <c r="CC141" s="1123"/>
      <c r="CD141" s="1122"/>
      <c r="CE141" s="1121"/>
      <c r="CF141" s="1121"/>
      <c r="CG141" s="1121"/>
      <c r="CH141" s="1121"/>
      <c r="CI141" s="1121"/>
      <c r="CJ141" s="917"/>
      <c r="CK141" s="1123"/>
      <c r="CL141" s="1122"/>
      <c r="CM141" s="1121"/>
      <c r="CN141" s="1121"/>
      <c r="CO141" s="1121"/>
      <c r="CP141" s="1121"/>
      <c r="CQ141" s="1121"/>
      <c r="CR141" s="1121"/>
      <c r="CS141" s="1123"/>
      <c r="CT141" s="1122"/>
      <c r="CU141" s="1121"/>
      <c r="CV141" s="1121"/>
      <c r="CW141" s="1205"/>
      <c r="CX141" s="1205"/>
      <c r="CY141" s="1121"/>
      <c r="CZ141" s="1121"/>
      <c r="DA141" s="1121"/>
      <c r="DB141" s="1114"/>
      <c r="DC141" s="1114"/>
      <c r="DD141" s="1114"/>
      <c r="DE141" s="1206"/>
      <c r="DF141" s="1206"/>
      <c r="DG141" s="1114"/>
      <c r="DH141" s="1114"/>
      <c r="DI141" s="1207"/>
      <c r="DJ141" s="1114"/>
      <c r="DK141" s="1114"/>
      <c r="DL141" s="1114"/>
      <c r="DM141" s="1114"/>
      <c r="DN141" s="1114"/>
      <c r="DO141" s="1114"/>
      <c r="DP141" s="1114"/>
      <c r="DQ141" s="1207"/>
      <c r="DR141" s="1114"/>
      <c r="DS141" s="1114"/>
      <c r="DT141" s="1114"/>
      <c r="DU141" s="1114"/>
      <c r="DV141" s="1114"/>
      <c r="DW141" s="1114"/>
      <c r="DX141" s="1114"/>
      <c r="DY141" s="1216"/>
      <c r="DZ141" s="1217"/>
      <c r="EA141" s="1217"/>
      <c r="EB141" s="1217"/>
      <c r="EC141" s="1217"/>
      <c r="ED141" s="1217"/>
      <c r="EE141" s="1218"/>
      <c r="EF141" s="1218"/>
      <c r="EG141" s="1212"/>
      <c r="EH141" s="1210"/>
      <c r="EI141" s="1210"/>
      <c r="EJ141" s="1210"/>
      <c r="EK141" s="1210"/>
      <c r="EL141" s="1210"/>
      <c r="EM141" s="1208"/>
      <c r="EN141" s="1208"/>
      <c r="EO141" s="1212"/>
      <c r="EP141" s="1208">
        <f>EP140-EO140</f>
        <v>7</v>
      </c>
      <c r="EQ141" s="1208">
        <f>EQ140-EP140</f>
        <v>12</v>
      </c>
      <c r="ER141" s="1208">
        <f>EP141+EQ141</f>
        <v>19</v>
      </c>
      <c r="ES141" s="1208">
        <f>ES140-ER140</f>
        <v>10</v>
      </c>
      <c r="ET141" s="1208">
        <f>ER141+ES141</f>
        <v>29</v>
      </c>
      <c r="EU141" s="1208">
        <f>EU140-ES140</f>
        <v>20</v>
      </c>
      <c r="EV141" s="1208">
        <f>ES141+EU141</f>
        <v>30</v>
      </c>
      <c r="EW141" s="1212">
        <f>EW140-EO140</f>
        <v>49</v>
      </c>
      <c r="EX141" s="1211">
        <f>EX140-EW140</f>
        <v>-7</v>
      </c>
      <c r="EY141" s="1211">
        <f>EY140-EX140</f>
        <v>36</v>
      </c>
      <c r="EZ141" s="1211">
        <f>EX141+EY141</f>
        <v>29</v>
      </c>
      <c r="FA141" s="1211">
        <f>FA140-EZ140</f>
        <v>19</v>
      </c>
      <c r="FB141" s="1208">
        <f>EZ141+FA141</f>
        <v>48</v>
      </c>
      <c r="FC141" s="1211">
        <f>FC140-FB140</f>
        <v>24</v>
      </c>
      <c r="FD141" s="1211">
        <f>FA141+FC141</f>
        <v>43</v>
      </c>
      <c r="FE141" s="1213">
        <f>FE140-EW140</f>
        <v>72</v>
      </c>
      <c r="FF141" s="1211">
        <f>FF140-FE140</f>
        <v>4</v>
      </c>
      <c r="FG141" s="1211">
        <f>FG140-FF140</f>
        <v>-13</v>
      </c>
      <c r="FH141" s="1211">
        <f>FF141+FG141</f>
        <v>-9</v>
      </c>
      <c r="FI141" s="1211">
        <f>FI140-FH140</f>
        <v>8</v>
      </c>
      <c r="FJ141" s="1211">
        <f>FH141+FI141</f>
        <v>-1</v>
      </c>
      <c r="FK141" s="1211">
        <f>FK140-FJ140</f>
        <v>22</v>
      </c>
      <c r="FL141" s="1211">
        <f>FI141+FK141</f>
        <v>30</v>
      </c>
      <c r="FM141" s="1213">
        <f>FM140-FE140</f>
        <v>21</v>
      </c>
      <c r="FN141" s="1211">
        <f>FN140-FM140</f>
        <v>-11</v>
      </c>
      <c r="FO141" s="1211">
        <f>FO140-FN140</f>
        <v>11</v>
      </c>
      <c r="FP141" s="1211">
        <f>FN141+FO141</f>
        <v>0</v>
      </c>
      <c r="FQ141" s="1211">
        <f>FQ140-FP140</f>
        <v>4</v>
      </c>
      <c r="FR141" s="1211">
        <f>FP141+FQ141</f>
        <v>4</v>
      </c>
      <c r="FS141" s="1211">
        <f>FS140-FR140</f>
        <v>26</v>
      </c>
      <c r="FT141" s="1211">
        <f>FQ141+FS141</f>
        <v>30</v>
      </c>
      <c r="FU141" s="1211">
        <f>FU140-FM140</f>
        <v>30</v>
      </c>
      <c r="FV141" s="1214">
        <f>FV140-FU140</f>
        <v>-20</v>
      </c>
      <c r="FW141" s="1211">
        <f>FW140-FV140</f>
        <v>-1</v>
      </c>
      <c r="FX141" s="1211">
        <f>FV141+FW141</f>
        <v>-21</v>
      </c>
      <c r="FY141" s="1211">
        <f>FY140-FX140</f>
        <v>12</v>
      </c>
      <c r="FZ141" s="1211">
        <f>FX141+FY141</f>
        <v>-9</v>
      </c>
      <c r="GA141" s="1211">
        <f>GA140-FZ140</f>
        <v>2</v>
      </c>
      <c r="GB141" s="1211">
        <f>FY141+GA141</f>
        <v>14</v>
      </c>
      <c r="GC141" s="1213">
        <f>GC140-FU140</f>
        <v>-7</v>
      </c>
      <c r="GD141" s="1214">
        <f>GD140-GC140</f>
        <v>-12</v>
      </c>
      <c r="GE141" s="1211">
        <f>GE140-GD140</f>
        <v>15</v>
      </c>
      <c r="GF141" s="1211">
        <f>GE141+GD141</f>
        <v>3</v>
      </c>
      <c r="GG141" s="1211">
        <f>GG140-GE140</f>
        <v>12</v>
      </c>
      <c r="GH141" s="1211">
        <f>GF141+GG141</f>
        <v>15</v>
      </c>
      <c r="GI141" s="1211">
        <f>GI140-GH140</f>
        <v>23</v>
      </c>
      <c r="GJ141" s="1211">
        <f>GG141+GI141</f>
        <v>35</v>
      </c>
      <c r="GK141" s="1213">
        <f>GK140-GC140</f>
        <v>38</v>
      </c>
      <c r="GL141" s="1211">
        <f>GL140-GK140</f>
        <v>13</v>
      </c>
      <c r="GM141" s="1211">
        <f>GM140-GL140</f>
        <v>24</v>
      </c>
      <c r="GN141" s="1211">
        <f>GM141+GL141</f>
        <v>37</v>
      </c>
      <c r="GO141" s="1211">
        <f>GO140-GM140</f>
        <v>55</v>
      </c>
      <c r="GP141" s="1211">
        <f>GN141+GO141</f>
        <v>92</v>
      </c>
      <c r="GQ141" s="1211">
        <f>GQ140-GP140</f>
        <v>50</v>
      </c>
      <c r="GR141" s="1211">
        <f>GO141+GQ141</f>
        <v>105</v>
      </c>
      <c r="GS141" s="1213">
        <f>GS140-GK140</f>
        <v>142</v>
      </c>
      <c r="GT141" s="1211">
        <f>GT140-GS140</f>
        <v>8</v>
      </c>
      <c r="GU141" s="1211">
        <f>GU140-GT140</f>
        <v>21</v>
      </c>
      <c r="GV141" s="1211">
        <f>GU141+GT141</f>
        <v>29</v>
      </c>
      <c r="GW141" s="1211">
        <f>GW140-GU140</f>
        <v>26</v>
      </c>
      <c r="GX141" s="1211"/>
      <c r="GY141" s="1211">
        <f>GY140-GW140</f>
        <v>-4</v>
      </c>
      <c r="GZ141" s="1211">
        <f>GW141+GY141</f>
        <v>22</v>
      </c>
      <c r="HA141" s="1213">
        <f>HA140-GS140</f>
        <v>51</v>
      </c>
      <c r="HB141" s="1211">
        <f>HB140-HA140</f>
        <v>-72</v>
      </c>
      <c r="HC141" s="1211">
        <f>HC140-HB140</f>
        <v>17</v>
      </c>
      <c r="HD141" s="1211"/>
      <c r="HE141" s="1211">
        <f>HE140-HD140</f>
        <v>-7</v>
      </c>
      <c r="HF141" s="1211"/>
      <c r="HG141" s="1211">
        <f>HG140-HE140</f>
        <v>22</v>
      </c>
      <c r="HH141" s="1211"/>
      <c r="HI141" s="1213">
        <f>HI140-HA140</f>
        <v>-40</v>
      </c>
      <c r="HJ141" s="1211"/>
      <c r="HK141" s="1211"/>
      <c r="HL141" s="1211"/>
      <c r="HM141" s="1211"/>
      <c r="HN141" s="1211"/>
      <c r="HO141" s="1211"/>
      <c r="HP141" s="1211"/>
      <c r="HQ141" s="1213"/>
      <c r="HR141" s="1211"/>
      <c r="HS141" s="1211"/>
      <c r="HT141" s="1211"/>
      <c r="HU141" s="1211"/>
      <c r="HV141" s="1211"/>
      <c r="HW141" s="1211"/>
      <c r="HX141" s="1211"/>
      <c r="HY141" s="1211"/>
      <c r="HZ141" s="1211"/>
      <c r="IA141" s="1211"/>
      <c r="IB141" s="1211"/>
      <c r="IC141" s="1211"/>
      <c r="ID141" s="1211"/>
      <c r="IE141" s="1211"/>
      <c r="IF141" s="1211"/>
      <c r="IG141" s="1213"/>
      <c r="IH141" s="1211"/>
      <c r="II141" s="1211"/>
      <c r="IJ141" s="1211"/>
      <c r="IK141" s="1211"/>
      <c r="IL141" s="1211"/>
      <c r="IM141" s="1211"/>
      <c r="IN141" s="1211"/>
      <c r="IO141" s="1213"/>
      <c r="IP141" s="1211"/>
      <c r="IQ141" s="1211"/>
      <c r="IR141" s="1211"/>
      <c r="IS141" s="1211"/>
      <c r="IT141" s="1211"/>
      <c r="IU141" s="1211"/>
      <c r="IV141" s="1211"/>
      <c r="IW141" s="1211"/>
      <c r="IX141" s="1178"/>
      <c r="IY141" s="1178"/>
      <c r="IZ141" s="1178"/>
      <c r="JA141" s="1178"/>
      <c r="JB141" s="1178"/>
      <c r="JC141" s="1178"/>
      <c r="JD141" s="1125"/>
      <c r="JE141" s="1126"/>
      <c r="JF141" s="1126"/>
      <c r="JG141" s="1126"/>
      <c r="JH141" s="1126"/>
      <c r="KP141" s="1203"/>
      <c r="LV141" s="1127"/>
    </row>
    <row r="142" s="1024" customFormat="1" hidden="1" outlineLevel="1" spans="1:334">
      <c r="A142" s="1024" t="s">
        <v>529</v>
      </c>
      <c r="B142" s="1121"/>
      <c r="C142" s="1121"/>
      <c r="D142" s="1121"/>
      <c r="E142" s="1121"/>
      <c r="F142" s="1121"/>
      <c r="G142" s="1121"/>
      <c r="H142" s="1121"/>
      <c r="I142" s="1121"/>
      <c r="J142" s="1121"/>
      <c r="K142" s="1121"/>
      <c r="L142" s="1121"/>
      <c r="M142" s="1121"/>
      <c r="N142" s="1121"/>
      <c r="O142" s="1121"/>
      <c r="P142" s="1121"/>
      <c r="Q142" s="1121"/>
      <c r="R142" s="1121"/>
      <c r="S142" s="1121"/>
      <c r="T142" s="1121"/>
      <c r="U142" s="1121"/>
      <c r="V142" s="1121"/>
      <c r="W142" s="1121"/>
      <c r="X142" s="1121"/>
      <c r="Y142" s="1121"/>
      <c r="Z142" s="1121"/>
      <c r="AA142" s="1121"/>
      <c r="AB142" s="1121"/>
      <c r="AC142" s="1121"/>
      <c r="AD142" s="1121"/>
      <c r="AE142" s="1121"/>
      <c r="AF142" s="1121"/>
      <c r="AG142" s="1121"/>
      <c r="AH142" s="1121"/>
      <c r="AI142" s="1121"/>
      <c r="AJ142" s="1121"/>
      <c r="AK142" s="1121"/>
      <c r="AL142" s="1121"/>
      <c r="AM142" s="1121"/>
      <c r="AN142" s="1121"/>
      <c r="AO142" s="1121"/>
      <c r="AP142" s="1121"/>
      <c r="AQ142" s="1121"/>
      <c r="AR142" s="1121"/>
      <c r="AS142" s="1121"/>
      <c r="AT142" s="1121"/>
      <c r="AU142" s="1121"/>
      <c r="AV142" s="1121"/>
      <c r="AW142" s="1121"/>
      <c r="AX142" s="1122"/>
      <c r="AY142" s="1121"/>
      <c r="AZ142" s="1121"/>
      <c r="BA142" s="1121"/>
      <c r="BB142" s="1121"/>
      <c r="BC142" s="1121"/>
      <c r="BD142" s="1121"/>
      <c r="BE142" s="1123"/>
      <c r="BF142" s="1121"/>
      <c r="BG142" s="1121"/>
      <c r="BH142" s="1121"/>
      <c r="BI142" s="1121"/>
      <c r="BJ142" s="1121"/>
      <c r="BK142" s="1121"/>
      <c r="BL142" s="1121"/>
      <c r="BM142" s="1121"/>
      <c r="BN142" s="1122"/>
      <c r="BO142" s="1121"/>
      <c r="BP142" s="1121"/>
      <c r="BQ142" s="1121"/>
      <c r="BR142" s="1121"/>
      <c r="BS142" s="1121"/>
      <c r="BT142" s="1121"/>
      <c r="BU142" s="1123"/>
      <c r="BV142" s="1122"/>
      <c r="BW142" s="1121"/>
      <c r="BX142" s="1121"/>
      <c r="BY142" s="1121"/>
      <c r="BZ142" s="1121"/>
      <c r="CA142" s="1121"/>
      <c r="CB142" s="1121"/>
      <c r="CC142" s="1123"/>
      <c r="CD142" s="1122"/>
      <c r="CE142" s="1121"/>
      <c r="CF142" s="1121"/>
      <c r="CG142" s="1121"/>
      <c r="CH142" s="1121"/>
      <c r="CI142" s="1121"/>
      <c r="CJ142" s="917"/>
      <c r="CK142" s="1123"/>
      <c r="CL142" s="1122"/>
      <c r="CM142" s="1121"/>
      <c r="CN142" s="1121"/>
      <c r="CO142" s="1121"/>
      <c r="CP142" s="1121"/>
      <c r="CQ142" s="1121"/>
      <c r="CR142" s="1121"/>
      <c r="CS142" s="1123"/>
      <c r="CT142" s="1122"/>
      <c r="CU142" s="1121"/>
      <c r="CV142" s="1121"/>
      <c r="CW142" s="1205"/>
      <c r="CX142" s="1205"/>
      <c r="CY142" s="1121"/>
      <c r="CZ142" s="1121"/>
      <c r="DA142" s="1121"/>
      <c r="DB142" s="1114"/>
      <c r="DC142" s="1114"/>
      <c r="DD142" s="1114"/>
      <c r="DE142" s="1206"/>
      <c r="DF142" s="1206"/>
      <c r="DG142" s="1114"/>
      <c r="DH142" s="1114"/>
      <c r="DI142" s="1207"/>
      <c r="DJ142" s="1114"/>
      <c r="DK142" s="1114"/>
      <c r="DL142" s="1114"/>
      <c r="DM142" s="1114"/>
      <c r="DN142" s="1114"/>
      <c r="DO142" s="1114"/>
      <c r="DP142" s="1114"/>
      <c r="DQ142" s="1207"/>
      <c r="DR142" s="1114"/>
      <c r="DS142" s="1114"/>
      <c r="DT142" s="1114"/>
      <c r="DU142" s="1114"/>
      <c r="DV142" s="1114"/>
      <c r="DW142" s="1114"/>
      <c r="DX142" s="1114"/>
      <c r="DY142" s="1216"/>
      <c r="DZ142" s="1217"/>
      <c r="EA142" s="1217"/>
      <c r="EB142" s="1217"/>
      <c r="EC142" s="1217"/>
      <c r="ED142" s="1217"/>
      <c r="EE142" s="1218"/>
      <c r="EF142" s="1218"/>
      <c r="EG142" s="1207"/>
      <c r="EH142" s="1217"/>
      <c r="EI142" s="1217"/>
      <c r="EJ142" s="1217"/>
      <c r="EK142" s="1217"/>
      <c r="EL142" s="1217"/>
      <c r="EM142" s="1114">
        <f>EM140/EE140-1</f>
        <v>-0.00544959128065392</v>
      </c>
      <c r="EN142" s="1114">
        <f>EN140/EF140-1</f>
        <v>-0.00544959128065392</v>
      </c>
      <c r="EO142" s="1207">
        <f>EO140/EG140-1</f>
        <v>-0.00544959128065392</v>
      </c>
      <c r="EP142" s="1114"/>
      <c r="EQ142" s="1114"/>
      <c r="ER142" s="1114"/>
      <c r="ES142" s="1114"/>
      <c r="ET142" s="1114"/>
      <c r="EU142" s="1114"/>
      <c r="EV142" s="1114"/>
      <c r="EW142" s="1207"/>
      <c r="EX142" s="1218"/>
      <c r="EY142" s="1218"/>
      <c r="EZ142" s="1218"/>
      <c r="FA142" s="1218"/>
      <c r="FB142" s="1114"/>
      <c r="FC142" s="1211"/>
      <c r="FD142" s="1211"/>
      <c r="FE142" s="1213"/>
      <c r="FF142" s="1211"/>
      <c r="FG142" s="1218"/>
      <c r="FH142" s="1218"/>
      <c r="FI142" s="1218"/>
      <c r="FJ142" s="1218"/>
      <c r="FK142" s="1218"/>
      <c r="FL142" s="1218"/>
      <c r="FM142" s="1219"/>
      <c r="FN142" s="1218"/>
      <c r="FO142" s="1218"/>
      <c r="FP142" s="1218"/>
      <c r="FQ142" s="1218"/>
      <c r="FR142" s="1218"/>
      <c r="FS142" s="1218"/>
      <c r="FT142" s="1218"/>
      <c r="FU142" s="1218"/>
      <c r="FV142" s="1220"/>
      <c r="FW142" s="1218"/>
      <c r="FX142" s="1218"/>
      <c r="FY142" s="1218"/>
      <c r="FZ142" s="1218"/>
      <c r="GA142" s="1218"/>
      <c r="GB142" s="1218"/>
      <c r="GC142" s="1219"/>
      <c r="GD142" s="1220"/>
      <c r="GE142" s="1218"/>
      <c r="GF142" s="1218"/>
      <c r="GG142" s="1218"/>
      <c r="GH142" s="1218"/>
      <c r="GI142" s="1218"/>
      <c r="GJ142" s="1218"/>
      <c r="GK142" s="1219"/>
      <c r="GL142" s="1218"/>
      <c r="GM142" s="1218"/>
      <c r="GN142" s="1218"/>
      <c r="GO142" s="1218"/>
      <c r="GP142" s="1218"/>
      <c r="GQ142" s="1218"/>
      <c r="GR142" s="1218"/>
      <c r="GS142" s="1219"/>
      <c r="GT142" s="1218"/>
      <c r="GU142" s="1218"/>
      <c r="GV142" s="1218"/>
      <c r="GW142" s="1218"/>
      <c r="GX142" s="1218"/>
      <c r="GY142" s="1218"/>
      <c r="GZ142" s="1218"/>
      <c r="HA142" s="1219"/>
      <c r="HB142" s="1218"/>
      <c r="HC142" s="1218"/>
      <c r="HD142" s="1218"/>
      <c r="HE142" s="1218"/>
      <c r="HF142" s="1218"/>
      <c r="HG142" s="1218"/>
      <c r="HH142" s="1218"/>
      <c r="HI142" s="1219"/>
      <c r="HJ142" s="1218"/>
      <c r="HK142" s="1218"/>
      <c r="HL142" s="1218"/>
      <c r="HM142" s="1218"/>
      <c r="HN142" s="1218"/>
      <c r="HO142" s="1218"/>
      <c r="HP142" s="1218"/>
      <c r="HQ142" s="1219"/>
      <c r="HR142" s="1218"/>
      <c r="HS142" s="1218"/>
      <c r="HT142" s="1218"/>
      <c r="HU142" s="1218"/>
      <c r="HV142" s="1218"/>
      <c r="HW142" s="1218"/>
      <c r="HX142" s="1218"/>
      <c r="HY142" s="1218"/>
      <c r="HZ142" s="1218"/>
      <c r="IA142" s="1218"/>
      <c r="IB142" s="1218"/>
      <c r="IC142" s="1218"/>
      <c r="ID142" s="1218"/>
      <c r="IE142" s="1218"/>
      <c r="IF142" s="1218"/>
      <c r="IG142" s="1219"/>
      <c r="IH142" s="1218"/>
      <c r="II142" s="1218"/>
      <c r="IJ142" s="1218"/>
      <c r="IK142" s="1218"/>
      <c r="IL142" s="1218"/>
      <c r="IM142" s="1218"/>
      <c r="IN142" s="1218"/>
      <c r="IO142" s="1219"/>
      <c r="IP142" s="1218"/>
      <c r="IQ142" s="1218"/>
      <c r="IR142" s="1218"/>
      <c r="IS142" s="1218"/>
      <c r="IT142" s="1218"/>
      <c r="IU142" s="1218"/>
      <c r="IV142" s="1218"/>
      <c r="IW142" s="1218"/>
      <c r="IX142" s="1178"/>
      <c r="IY142" s="1178"/>
      <c r="IZ142" s="1178"/>
      <c r="JA142" s="1178"/>
      <c r="JB142" s="1178"/>
      <c r="JC142" s="1178"/>
      <c r="JD142" s="1125"/>
      <c r="JE142" s="1126"/>
      <c r="JF142" s="1126"/>
      <c r="JG142" s="1126"/>
      <c r="JH142" s="1126"/>
      <c r="KP142" s="1203"/>
      <c r="LV142" s="1127"/>
    </row>
    <row r="143" s="1024" customFormat="1" hidden="1" outlineLevel="1" spans="1:334">
      <c r="A143" s="1204" t="s">
        <v>75</v>
      </c>
      <c r="B143" s="1121"/>
      <c r="C143" s="1121"/>
      <c r="D143" s="1121"/>
      <c r="E143" s="1121"/>
      <c r="F143" s="1121"/>
      <c r="G143" s="1121"/>
      <c r="H143" s="1121"/>
      <c r="I143" s="1121"/>
      <c r="J143" s="1121"/>
      <c r="K143" s="1121"/>
      <c r="L143" s="1121"/>
      <c r="M143" s="1121"/>
      <c r="N143" s="1121"/>
      <c r="O143" s="1121"/>
      <c r="P143" s="1121"/>
      <c r="Q143" s="1121"/>
      <c r="R143" s="1121"/>
      <c r="S143" s="1121"/>
      <c r="T143" s="1121"/>
      <c r="U143" s="1121"/>
      <c r="V143" s="1121"/>
      <c r="W143" s="1121"/>
      <c r="X143" s="1121"/>
      <c r="Y143" s="1121"/>
      <c r="Z143" s="1121"/>
      <c r="AA143" s="1121"/>
      <c r="AB143" s="1121"/>
      <c r="AC143" s="1121"/>
      <c r="AD143" s="1121"/>
      <c r="AE143" s="1121"/>
      <c r="AF143" s="1121"/>
      <c r="AG143" s="1121"/>
      <c r="AH143" s="1121"/>
      <c r="AI143" s="1121"/>
      <c r="AJ143" s="1121"/>
      <c r="AK143" s="1121"/>
      <c r="AL143" s="1121"/>
      <c r="AM143" s="1121"/>
      <c r="AN143" s="1121"/>
      <c r="AO143" s="1121"/>
      <c r="AP143" s="1121"/>
      <c r="AQ143" s="1121"/>
      <c r="AR143" s="1121"/>
      <c r="AS143" s="1121"/>
      <c r="AT143" s="1121"/>
      <c r="AU143" s="1121"/>
      <c r="AV143" s="1121"/>
      <c r="AW143" s="1121"/>
      <c r="AX143" s="1122"/>
      <c r="AY143" s="1121"/>
      <c r="AZ143" s="1121"/>
      <c r="BA143" s="1121"/>
      <c r="BB143" s="1121"/>
      <c r="BC143" s="1121"/>
      <c r="BD143" s="1121"/>
      <c r="BE143" s="1123"/>
      <c r="BF143" s="1121"/>
      <c r="BG143" s="1121"/>
      <c r="BH143" s="1121"/>
      <c r="BI143" s="1121"/>
      <c r="BJ143" s="1121"/>
      <c r="BK143" s="1121"/>
      <c r="BL143" s="1121"/>
      <c r="BM143" s="1121"/>
      <c r="BN143" s="1122"/>
      <c r="BO143" s="1121"/>
      <c r="BP143" s="1121"/>
      <c r="BQ143" s="1121"/>
      <c r="BR143" s="1121"/>
      <c r="BS143" s="1121"/>
      <c r="BT143" s="1121"/>
      <c r="BU143" s="1123"/>
      <c r="BV143" s="1122"/>
      <c r="BW143" s="1121"/>
      <c r="BX143" s="1121"/>
      <c r="BY143" s="1121"/>
      <c r="BZ143" s="1121"/>
      <c r="CA143" s="1121"/>
      <c r="CB143" s="1121"/>
      <c r="CC143" s="1123"/>
      <c r="CD143" s="1122"/>
      <c r="CE143" s="1121"/>
      <c r="CF143" s="1121"/>
      <c r="CG143" s="1121"/>
      <c r="CH143" s="1121"/>
      <c r="CI143" s="1121"/>
      <c r="CJ143" s="917"/>
      <c r="CK143" s="1123"/>
      <c r="CL143" s="1122"/>
      <c r="CM143" s="1121"/>
      <c r="CN143" s="1121"/>
      <c r="CO143" s="1121"/>
      <c r="CP143" s="1121"/>
      <c r="CQ143" s="1121"/>
      <c r="CR143" s="1121"/>
      <c r="CS143" s="1123"/>
      <c r="CT143" s="1122"/>
      <c r="CU143" s="1121"/>
      <c r="CV143" s="1121"/>
      <c r="CW143" s="1205"/>
      <c r="CX143" s="1205"/>
      <c r="CY143" s="1121"/>
      <c r="CZ143" s="1121"/>
      <c r="DA143" s="1121"/>
      <c r="DB143" s="1114"/>
      <c r="DC143" s="1114"/>
      <c r="DD143" s="1114"/>
      <c r="DE143" s="1206"/>
      <c r="DF143" s="1206"/>
      <c r="DG143" s="1114"/>
      <c r="DH143" s="1114"/>
      <c r="DI143" s="1207"/>
      <c r="DJ143" s="1114"/>
      <c r="DK143" s="1114"/>
      <c r="DL143" s="1114"/>
      <c r="DM143" s="1114"/>
      <c r="DN143" s="1114"/>
      <c r="DO143" s="1114"/>
      <c r="DP143" s="1114"/>
      <c r="DQ143" s="1207"/>
      <c r="DR143" s="1208"/>
      <c r="DS143" s="1208"/>
      <c r="DT143" s="1208"/>
      <c r="DU143" s="1208"/>
      <c r="DV143" s="1208"/>
      <c r="DW143" s="1208"/>
      <c r="DX143" s="1208"/>
      <c r="DY143" s="1209">
        <f t="shared" ref="DY143:EL143" si="690">+DY137+DY134</f>
        <v>2270</v>
      </c>
      <c r="DZ143" s="1210">
        <f t="shared" si="690"/>
        <v>2297</v>
      </c>
      <c r="EA143" s="1210">
        <f t="shared" si="690"/>
        <v>2335</v>
      </c>
      <c r="EB143" s="1210">
        <f t="shared" si="690"/>
        <v>2335</v>
      </c>
      <c r="EC143" s="1210">
        <f t="shared" si="690"/>
        <v>2349</v>
      </c>
      <c r="ED143" s="1210">
        <f t="shared" si="690"/>
        <v>2349</v>
      </c>
      <c r="EE143" s="1211">
        <f t="shared" si="690"/>
        <v>1650</v>
      </c>
      <c r="EF143" s="1211">
        <f t="shared" si="690"/>
        <v>1650</v>
      </c>
      <c r="EG143" s="1212">
        <f>+EG137+EG134+EG140</f>
        <v>2384</v>
      </c>
      <c r="EH143" s="1210">
        <f>+EH137+EH134</f>
        <v>2422</v>
      </c>
      <c r="EI143" s="1210">
        <f t="shared" si="690"/>
        <v>2436</v>
      </c>
      <c r="EJ143" s="1210">
        <f t="shared" si="690"/>
        <v>2436</v>
      </c>
      <c r="EK143" s="1210">
        <f t="shared" si="690"/>
        <v>2466</v>
      </c>
      <c r="EL143" s="1210">
        <f t="shared" si="690"/>
        <v>2466</v>
      </c>
      <c r="EM143" s="1208">
        <f>EN143</f>
        <v>2446</v>
      </c>
      <c r="EN143" s="1208">
        <f>EO143</f>
        <v>2446</v>
      </c>
      <c r="EO143" s="1212">
        <f t="shared" ref="EO143:ET143" si="691">EO140+EO137+EO134</f>
        <v>2446</v>
      </c>
      <c r="EP143" s="1208">
        <f t="shared" si="691"/>
        <v>2458</v>
      </c>
      <c r="EQ143" s="1208">
        <f t="shared" si="691"/>
        <v>2542</v>
      </c>
      <c r="ER143" s="1208">
        <f t="shared" si="691"/>
        <v>2542</v>
      </c>
      <c r="ES143" s="1208">
        <f t="shared" si="691"/>
        <v>2611</v>
      </c>
      <c r="ET143" s="1208">
        <f t="shared" si="691"/>
        <v>2611</v>
      </c>
      <c r="EU143" s="1208">
        <f>EV143</f>
        <v>2740</v>
      </c>
      <c r="EV143" s="1208">
        <f>EW143</f>
        <v>2740</v>
      </c>
      <c r="EW143" s="1212">
        <v>2740</v>
      </c>
      <c r="EX143" s="1211">
        <v>2741</v>
      </c>
      <c r="EY143" s="1211">
        <f>EY134+EY137+EY140</f>
        <v>2825</v>
      </c>
      <c r="EZ143" s="1211">
        <f>EZ134+EZ137+EZ140</f>
        <v>2825</v>
      </c>
      <c r="FA143" s="1211">
        <f>FA134+FA137+FA140</f>
        <v>2822</v>
      </c>
      <c r="FB143" s="1208">
        <f>FB140+FB137+FB134</f>
        <v>2822</v>
      </c>
      <c r="FC143" s="1208">
        <f>FC140+FC137+FC134</f>
        <v>2913</v>
      </c>
      <c r="FD143" s="1208">
        <f>FD140+FD137+FD134</f>
        <v>2913</v>
      </c>
      <c r="FE143" s="1213">
        <f>FE140+FE137+FE134</f>
        <v>2913</v>
      </c>
      <c r="FF143" s="1211">
        <v>2895</v>
      </c>
      <c r="FG143" s="1211">
        <f>FH143</f>
        <v>2846</v>
      </c>
      <c r="FH143" s="1208">
        <f>FH140+FH137+FH134</f>
        <v>2846</v>
      </c>
      <c r="FI143" s="1211">
        <f>FJ143</f>
        <v>2679</v>
      </c>
      <c r="FJ143" s="1208">
        <f>FJ140+FJ137+FJ134</f>
        <v>2679</v>
      </c>
      <c r="FK143" s="1208">
        <f>FK140+FK137+FK134</f>
        <v>2722</v>
      </c>
      <c r="FL143" s="1211">
        <f>FL140+FL137+FL134</f>
        <v>2722</v>
      </c>
      <c r="FM143" s="1213">
        <f>FM140+FM137+FM134</f>
        <v>2722</v>
      </c>
      <c r="FN143" s="1211">
        <f>SUM(FN134,FN137,FN140)</f>
        <v>2707</v>
      </c>
      <c r="FO143" s="1211">
        <f>FP143</f>
        <v>2744</v>
      </c>
      <c r="FP143" s="1211">
        <f>FP140+FP137+FP134</f>
        <v>2744</v>
      </c>
      <c r="FQ143" s="1211">
        <f>FR143</f>
        <v>2751</v>
      </c>
      <c r="FR143" s="1211">
        <f>FR140+FR137+FR134</f>
        <v>2751</v>
      </c>
      <c r="FS143" s="1211">
        <f>FS140+FS137+FS134</f>
        <v>2811</v>
      </c>
      <c r="FT143" s="1211">
        <f>FT140+FT137+FT134</f>
        <v>2811</v>
      </c>
      <c r="FU143" s="1211">
        <f>FU140+FU137+FU134</f>
        <v>2811</v>
      </c>
      <c r="FV143" s="1214">
        <f>FV140+FV137+FV134</f>
        <v>2686</v>
      </c>
      <c r="FW143" s="1211">
        <f>FX143</f>
        <v>2658</v>
      </c>
      <c r="FX143" s="1211">
        <f>FX140+FX137+FX134</f>
        <v>2658</v>
      </c>
      <c r="FY143" s="1211">
        <f>FZ143</f>
        <v>2634</v>
      </c>
      <c r="FZ143" s="1211">
        <f>FZ140+FZ137+FZ134</f>
        <v>2634</v>
      </c>
      <c r="GA143" s="1211">
        <f>GA140+GA137+GA134</f>
        <v>2588</v>
      </c>
      <c r="GB143" s="1211">
        <f>GB140+GB137+GB134</f>
        <v>2588</v>
      </c>
      <c r="GC143" s="1213">
        <f>GC140+GC137+GC134</f>
        <v>2588</v>
      </c>
      <c r="GD143" s="1214">
        <f>GD140+GD137+GD134</f>
        <v>2464</v>
      </c>
      <c r="GE143" s="1211">
        <f t="shared" ref="GE143:GL143" si="692">GE140+GE137+GE134</f>
        <v>2430</v>
      </c>
      <c r="GF143" s="1211">
        <f t="shared" si="692"/>
        <v>2430</v>
      </c>
      <c r="GG143" s="1211">
        <f t="shared" si="692"/>
        <v>2398</v>
      </c>
      <c r="GH143" s="1211">
        <f t="shared" si="692"/>
        <v>2398</v>
      </c>
      <c r="GI143" s="1211">
        <f t="shared" si="692"/>
        <v>2395</v>
      </c>
      <c r="GJ143" s="1211">
        <f t="shared" si="692"/>
        <v>2395</v>
      </c>
      <c r="GK143" s="1213">
        <f t="shared" si="692"/>
        <v>2395</v>
      </c>
      <c r="GL143" s="1211">
        <f t="shared" si="692"/>
        <v>2388</v>
      </c>
      <c r="GM143" s="1211">
        <f t="shared" ref="GM143:GN143" si="693">GM140+GM137+GM134</f>
        <v>2419</v>
      </c>
      <c r="GN143" s="1211">
        <f t="shared" si="693"/>
        <v>2419</v>
      </c>
      <c r="GO143" s="1211">
        <f t="shared" ref="GO143:GT143" si="694">GO140+GO137+GO134</f>
        <v>2477</v>
      </c>
      <c r="GP143" s="1211">
        <f t="shared" si="694"/>
        <v>2477</v>
      </c>
      <c r="GQ143" s="1211">
        <f t="shared" si="694"/>
        <v>2533</v>
      </c>
      <c r="GR143" s="1211">
        <f t="shared" si="694"/>
        <v>2533</v>
      </c>
      <c r="GS143" s="1213">
        <f t="shared" si="694"/>
        <v>2533</v>
      </c>
      <c r="GT143" s="1211">
        <f t="shared" si="694"/>
        <v>2527</v>
      </c>
      <c r="GU143" s="1211">
        <f t="shared" ref="GU143:HC143" si="695">GU140+GU137+GU134</f>
        <v>2546</v>
      </c>
      <c r="GV143" s="1211">
        <f t="shared" si="695"/>
        <v>2546</v>
      </c>
      <c r="GW143" s="1211">
        <f t="shared" si="695"/>
        <v>2537</v>
      </c>
      <c r="GX143" s="1211"/>
      <c r="GY143" s="1211">
        <f t="shared" si="695"/>
        <v>2456</v>
      </c>
      <c r="GZ143" s="1211">
        <f t="shared" si="695"/>
        <v>2456</v>
      </c>
      <c r="HA143" s="1213">
        <f t="shared" si="695"/>
        <v>2456</v>
      </c>
      <c r="HB143" s="1211">
        <f t="shared" si="695"/>
        <v>2174</v>
      </c>
      <c r="HC143" s="1211">
        <f t="shared" si="695"/>
        <v>2181</v>
      </c>
      <c r="HD143" s="1211"/>
      <c r="HE143" s="1211">
        <f t="shared" ref="HE143" si="696">HE140+HE137+HE134</f>
        <v>2168</v>
      </c>
      <c r="HF143" s="1211"/>
      <c r="HG143" s="1211">
        <f t="shared" ref="HG143:HH143" si="697">HG140+HG137+HG134</f>
        <v>2184</v>
      </c>
      <c r="HH143" s="1211">
        <f t="shared" si="697"/>
        <v>2184</v>
      </c>
      <c r="HI143" s="1213">
        <f t="shared" ref="HI143" si="698">HI140+HI137+HI134</f>
        <v>2184</v>
      </c>
      <c r="HJ143" s="1211"/>
      <c r="HK143" s="1211"/>
      <c r="HL143" s="1211"/>
      <c r="HM143" s="1211"/>
      <c r="HN143" s="1211"/>
      <c r="HO143" s="1211"/>
      <c r="HP143" s="1211"/>
      <c r="HQ143" s="1213"/>
      <c r="HR143" s="1211"/>
      <c r="HS143" s="1211"/>
      <c r="HT143" s="1211"/>
      <c r="HU143" s="1211"/>
      <c r="HV143" s="1211"/>
      <c r="HW143" s="1211"/>
      <c r="HX143" s="1211"/>
      <c r="HY143" s="1211"/>
      <c r="HZ143" s="1211"/>
      <c r="IA143" s="1211"/>
      <c r="IB143" s="1211"/>
      <c r="IC143" s="1211"/>
      <c r="ID143" s="1211"/>
      <c r="IE143" s="1211"/>
      <c r="IF143" s="1211"/>
      <c r="IG143" s="1213"/>
      <c r="IH143" s="1211"/>
      <c r="II143" s="1211"/>
      <c r="IJ143" s="1211"/>
      <c r="IK143" s="1211"/>
      <c r="IL143" s="1211"/>
      <c r="IM143" s="1211"/>
      <c r="IN143" s="1211"/>
      <c r="IO143" s="1213"/>
      <c r="IP143" s="1211"/>
      <c r="IQ143" s="1211"/>
      <c r="IR143" s="1211"/>
      <c r="IS143" s="1211"/>
      <c r="IT143" s="1211"/>
      <c r="IU143" s="1211"/>
      <c r="IV143" s="1211"/>
      <c r="IW143" s="1211"/>
      <c r="IX143" s="1178"/>
      <c r="IY143" s="1178"/>
      <c r="IZ143" s="1178"/>
      <c r="JA143" s="1178"/>
      <c r="JB143" s="1178"/>
      <c r="JC143" s="1178"/>
      <c r="JD143" s="1125"/>
      <c r="JE143" s="1126"/>
      <c r="JF143" s="1126"/>
      <c r="JG143" s="1126"/>
      <c r="JH143" s="1126"/>
      <c r="JS143" s="1221"/>
      <c r="JT143" s="1221"/>
      <c r="JU143" s="1221"/>
      <c r="KP143" s="1203"/>
      <c r="LV143" s="1127"/>
    </row>
    <row r="144" s="1024" customFormat="1" hidden="1" outlineLevel="1" spans="1:334">
      <c r="A144" s="1204"/>
      <c r="B144" s="1121"/>
      <c r="C144" s="1121"/>
      <c r="D144" s="1121"/>
      <c r="E144" s="1121"/>
      <c r="F144" s="1121"/>
      <c r="G144" s="1121"/>
      <c r="H144" s="1121"/>
      <c r="I144" s="1121"/>
      <c r="J144" s="1121"/>
      <c r="K144" s="1121"/>
      <c r="L144" s="1121"/>
      <c r="M144" s="1121"/>
      <c r="N144" s="1121"/>
      <c r="O144" s="1121"/>
      <c r="P144" s="1121"/>
      <c r="Q144" s="1121"/>
      <c r="R144" s="1121"/>
      <c r="S144" s="1121"/>
      <c r="T144" s="1121"/>
      <c r="U144" s="1121"/>
      <c r="V144" s="1121"/>
      <c r="W144" s="1121"/>
      <c r="X144" s="1121"/>
      <c r="Y144" s="1121"/>
      <c r="Z144" s="1121"/>
      <c r="AA144" s="1121"/>
      <c r="AB144" s="1121"/>
      <c r="AC144" s="1121"/>
      <c r="AD144" s="1121"/>
      <c r="AE144" s="1121"/>
      <c r="AF144" s="1121"/>
      <c r="AG144" s="1121"/>
      <c r="AH144" s="1121"/>
      <c r="AI144" s="1121"/>
      <c r="AJ144" s="1121"/>
      <c r="AK144" s="1121"/>
      <c r="AL144" s="1121"/>
      <c r="AM144" s="1121"/>
      <c r="AN144" s="1121"/>
      <c r="AO144" s="1121"/>
      <c r="AP144" s="1121"/>
      <c r="AQ144" s="1121"/>
      <c r="AR144" s="1121"/>
      <c r="AS144" s="1121"/>
      <c r="AT144" s="1121"/>
      <c r="AU144" s="1121"/>
      <c r="AV144" s="1121"/>
      <c r="AW144" s="1121"/>
      <c r="AX144" s="1122"/>
      <c r="AY144" s="1121"/>
      <c r="AZ144" s="1121"/>
      <c r="BA144" s="1121"/>
      <c r="BB144" s="1121"/>
      <c r="BC144" s="1121"/>
      <c r="BD144" s="1121"/>
      <c r="BE144" s="1123"/>
      <c r="BF144" s="1121"/>
      <c r="BG144" s="1121"/>
      <c r="BH144" s="1121"/>
      <c r="BI144" s="1121"/>
      <c r="BJ144" s="1121"/>
      <c r="BK144" s="1121"/>
      <c r="BL144" s="1121"/>
      <c r="BM144" s="1121"/>
      <c r="BN144" s="1122"/>
      <c r="BO144" s="1121"/>
      <c r="BP144" s="1121"/>
      <c r="BQ144" s="1121"/>
      <c r="BR144" s="1121"/>
      <c r="BS144" s="1121"/>
      <c r="BT144" s="1121"/>
      <c r="BU144" s="1123"/>
      <c r="BV144" s="1122"/>
      <c r="BW144" s="1121"/>
      <c r="BX144" s="1121"/>
      <c r="BY144" s="1121"/>
      <c r="BZ144" s="1121"/>
      <c r="CA144" s="1121"/>
      <c r="CB144" s="1121"/>
      <c r="CC144" s="1123"/>
      <c r="CD144" s="1122"/>
      <c r="CE144" s="1121"/>
      <c r="CF144" s="1121"/>
      <c r="CG144" s="1121"/>
      <c r="CH144" s="1121"/>
      <c r="CI144" s="1121"/>
      <c r="CJ144" s="917"/>
      <c r="CK144" s="1123"/>
      <c r="CL144" s="1122"/>
      <c r="CM144" s="1121"/>
      <c r="CN144" s="1121"/>
      <c r="CO144" s="1121"/>
      <c r="CP144" s="1121"/>
      <c r="CQ144" s="1121"/>
      <c r="CR144" s="1121"/>
      <c r="CS144" s="1123"/>
      <c r="CT144" s="1122"/>
      <c r="CU144" s="1121"/>
      <c r="CV144" s="1121"/>
      <c r="CW144" s="1205"/>
      <c r="CX144" s="1205"/>
      <c r="CY144" s="1121"/>
      <c r="CZ144" s="1121"/>
      <c r="DA144" s="1121"/>
      <c r="DB144" s="1114"/>
      <c r="DC144" s="1114"/>
      <c r="DD144" s="1114"/>
      <c r="DE144" s="1206"/>
      <c r="DF144" s="1206"/>
      <c r="DG144" s="1114"/>
      <c r="DH144" s="1114"/>
      <c r="DI144" s="1207"/>
      <c r="DJ144" s="1114"/>
      <c r="DK144" s="1114"/>
      <c r="DL144" s="1114"/>
      <c r="DM144" s="1114"/>
      <c r="DN144" s="1114"/>
      <c r="DO144" s="1114"/>
      <c r="DP144" s="1114"/>
      <c r="DQ144" s="1207"/>
      <c r="DR144" s="1208"/>
      <c r="DS144" s="1208"/>
      <c r="DT144" s="1208"/>
      <c r="DU144" s="1208"/>
      <c r="DV144" s="1208"/>
      <c r="DW144" s="1208"/>
      <c r="DX144" s="1208"/>
      <c r="DY144" s="1209"/>
      <c r="DZ144" s="1210">
        <f>+DZ143-DY143</f>
        <v>27</v>
      </c>
      <c r="EA144" s="1210">
        <f>+EA138+EA135</f>
        <v>38</v>
      </c>
      <c r="EB144" s="1210">
        <f>+EA144+DZ144</f>
        <v>65</v>
      </c>
      <c r="EC144" s="1210">
        <f>+EC138+EC135</f>
        <v>14</v>
      </c>
      <c r="ED144" s="1210">
        <f>+ED143-DY143</f>
        <v>79</v>
      </c>
      <c r="EE144" s="1211">
        <f>+EE143-ED143</f>
        <v>-699</v>
      </c>
      <c r="EF144" s="1211">
        <f>+EF143-EB143</f>
        <v>-685</v>
      </c>
      <c r="EG144" s="1212">
        <f>+EG143-DY143</f>
        <v>114</v>
      </c>
      <c r="EH144" s="1210">
        <f>+EH143-EG143</f>
        <v>38</v>
      </c>
      <c r="EI144" s="1210">
        <f>+EI143-EH143</f>
        <v>14</v>
      </c>
      <c r="EJ144" s="1210">
        <f>+EI144+EH144</f>
        <v>52</v>
      </c>
      <c r="EK144" s="1210">
        <f>+EK143-EJ143</f>
        <v>30</v>
      </c>
      <c r="EL144" s="1210">
        <f>+EK144+EJ144</f>
        <v>82</v>
      </c>
      <c r="EM144" s="1208"/>
      <c r="EN144" s="1208"/>
      <c r="EO144" s="1212"/>
      <c r="EP144" s="1208">
        <f>EP143-EO143</f>
        <v>12</v>
      </c>
      <c r="EQ144" s="1208">
        <f>EQ143-EP143</f>
        <v>84</v>
      </c>
      <c r="ER144" s="1208">
        <f>EP144+EQ144</f>
        <v>96</v>
      </c>
      <c r="ES144" s="1208">
        <f>ES143-ER143</f>
        <v>69</v>
      </c>
      <c r="ET144" s="1208">
        <f>ER144+ES144</f>
        <v>165</v>
      </c>
      <c r="EU144" s="1208">
        <f>EU143-ES143</f>
        <v>129</v>
      </c>
      <c r="EV144" s="1208">
        <f>ES144+EU144</f>
        <v>198</v>
      </c>
      <c r="EW144" s="1212">
        <f>EW143-EO143</f>
        <v>294</v>
      </c>
      <c r="EX144" s="1211">
        <f>EX143-EW143</f>
        <v>1</v>
      </c>
      <c r="EY144" s="1211">
        <f>EY143-EX143</f>
        <v>84</v>
      </c>
      <c r="EZ144" s="1211">
        <f>EX144+EY144</f>
        <v>85</v>
      </c>
      <c r="FA144" s="1208">
        <f>FA143-EZ143</f>
        <v>-3</v>
      </c>
      <c r="FB144" s="1208">
        <f>EZ144+FA144</f>
        <v>82</v>
      </c>
      <c r="FC144" s="1211">
        <f>FC143-FB143</f>
        <v>91</v>
      </c>
      <c r="FD144" s="1211">
        <f>FA144+FC144</f>
        <v>88</v>
      </c>
      <c r="FE144" s="1213">
        <f>FE143-EW143</f>
        <v>173</v>
      </c>
      <c r="FF144" s="1211">
        <f>FF143-FE143</f>
        <v>-18</v>
      </c>
      <c r="FG144" s="1211">
        <f>FG143-FF143</f>
        <v>-49</v>
      </c>
      <c r="FH144" s="1211">
        <f>FF144+FG144</f>
        <v>-67</v>
      </c>
      <c r="FI144" s="1211">
        <f>FI143-FH143</f>
        <v>-167</v>
      </c>
      <c r="FJ144" s="1211">
        <f>FH144+FI144</f>
        <v>-234</v>
      </c>
      <c r="FK144" s="1211">
        <f>FK143-FJ143</f>
        <v>43</v>
      </c>
      <c r="FL144" s="1211">
        <f>FI144+FK144</f>
        <v>-124</v>
      </c>
      <c r="FM144" s="1213">
        <f>FM143-FE143</f>
        <v>-191</v>
      </c>
      <c r="FN144" s="1211">
        <f>FN143-FM143</f>
        <v>-15</v>
      </c>
      <c r="FO144" s="1211">
        <f>FO143-FN143</f>
        <v>37</v>
      </c>
      <c r="FP144" s="1211">
        <f>FN144+FO144</f>
        <v>22</v>
      </c>
      <c r="FQ144" s="1211">
        <f>FQ143-FP143</f>
        <v>7</v>
      </c>
      <c r="FR144" s="1211">
        <f>FP144+FQ144</f>
        <v>29</v>
      </c>
      <c r="FS144" s="1211">
        <f>FS143-FR143</f>
        <v>60</v>
      </c>
      <c r="FT144" s="1211">
        <f>FQ144+FS144</f>
        <v>67</v>
      </c>
      <c r="FU144" s="1211">
        <f>FU143-FM143</f>
        <v>89</v>
      </c>
      <c r="FV144" s="1214">
        <f>FV143-FU143</f>
        <v>-125</v>
      </c>
      <c r="FW144" s="1211">
        <f>FW143-FV143</f>
        <v>-28</v>
      </c>
      <c r="FX144" s="1211">
        <f>FV144+FW144</f>
        <v>-153</v>
      </c>
      <c r="FY144" s="1211">
        <f>FY143-FX143</f>
        <v>-24</v>
      </c>
      <c r="FZ144" s="1211">
        <f>FX144+FY144</f>
        <v>-177</v>
      </c>
      <c r="GA144" s="1211">
        <f>GA143-FZ143</f>
        <v>-46</v>
      </c>
      <c r="GB144" s="1211">
        <f>FY144+GA144</f>
        <v>-70</v>
      </c>
      <c r="GC144" s="1213">
        <f>GC143-FU143</f>
        <v>-223</v>
      </c>
      <c r="GD144" s="1214">
        <f>GD143-GC143</f>
        <v>-124</v>
      </c>
      <c r="GE144" s="1211">
        <f>GE143-GD143</f>
        <v>-34</v>
      </c>
      <c r="GF144" s="1211">
        <f>GE144+GD144</f>
        <v>-158</v>
      </c>
      <c r="GG144" s="1211">
        <f>GG143-GE143</f>
        <v>-32</v>
      </c>
      <c r="GH144" s="1211">
        <f>GF144+GG144</f>
        <v>-190</v>
      </c>
      <c r="GI144" s="1211">
        <f>GI143-GH143</f>
        <v>-3</v>
      </c>
      <c r="GJ144" s="1211">
        <f>GG144+GI144</f>
        <v>-35</v>
      </c>
      <c r="GK144" s="1213">
        <f>GK143-GC143</f>
        <v>-193</v>
      </c>
      <c r="GL144" s="1211">
        <f>GL143-GK143</f>
        <v>-7</v>
      </c>
      <c r="GM144" s="1211">
        <f>GM143-GL143</f>
        <v>31</v>
      </c>
      <c r="GN144" s="1211">
        <f>GM144+GL144</f>
        <v>24</v>
      </c>
      <c r="GO144" s="1211">
        <f>GO143-GM143</f>
        <v>58</v>
      </c>
      <c r="GP144" s="1211">
        <f>GN144+GO144</f>
        <v>82</v>
      </c>
      <c r="GQ144" s="1211">
        <f>GQ143-GP143</f>
        <v>56</v>
      </c>
      <c r="GR144" s="1211">
        <f>GO144+GQ144</f>
        <v>114</v>
      </c>
      <c r="GS144" s="1213">
        <f>GS143-GK143</f>
        <v>138</v>
      </c>
      <c r="GT144" s="1211">
        <f>GT143-GS143</f>
        <v>-6</v>
      </c>
      <c r="GU144" s="1211">
        <f>GU143-GT143</f>
        <v>19</v>
      </c>
      <c r="GV144" s="1211">
        <f>GU144+GT144</f>
        <v>13</v>
      </c>
      <c r="GW144" s="1211">
        <f>GW143-GU143</f>
        <v>-9</v>
      </c>
      <c r="GX144" s="1211"/>
      <c r="GY144" s="1211">
        <f>GY143-GW143</f>
        <v>-81</v>
      </c>
      <c r="GZ144" s="1211">
        <f>GW144+GY144</f>
        <v>-90</v>
      </c>
      <c r="HA144" s="1213">
        <f>HA143-GS143</f>
        <v>-77</v>
      </c>
      <c r="HB144" s="1211">
        <f>HB143-HA143</f>
        <v>-282</v>
      </c>
      <c r="HC144" s="1211">
        <f>HC143-HB143</f>
        <v>7</v>
      </c>
      <c r="HD144" s="1211"/>
      <c r="HE144" s="1211">
        <f>HE143-HC143</f>
        <v>-13</v>
      </c>
      <c r="HF144" s="1211"/>
      <c r="HG144" s="1211">
        <f>HG143-HE143</f>
        <v>16</v>
      </c>
      <c r="HH144" s="1211">
        <f>HE144+HG144</f>
        <v>3</v>
      </c>
      <c r="HI144" s="1213">
        <f>HI143-HA143</f>
        <v>-272</v>
      </c>
      <c r="HJ144" s="1211"/>
      <c r="HK144" s="1211"/>
      <c r="HL144" s="1211"/>
      <c r="HM144" s="1211"/>
      <c r="HN144" s="1211"/>
      <c r="HO144" s="1211"/>
      <c r="HP144" s="1211"/>
      <c r="HQ144" s="1213"/>
      <c r="HR144" s="1211"/>
      <c r="HS144" s="1211"/>
      <c r="HT144" s="1211"/>
      <c r="HU144" s="1211"/>
      <c r="HV144" s="1211"/>
      <c r="HW144" s="1211"/>
      <c r="HX144" s="1211"/>
      <c r="HY144" s="1211"/>
      <c r="HZ144" s="1211"/>
      <c r="IA144" s="1211"/>
      <c r="IB144" s="1211"/>
      <c r="IC144" s="1211"/>
      <c r="ID144" s="1211"/>
      <c r="IE144" s="1211"/>
      <c r="IF144" s="1211"/>
      <c r="IG144" s="1213"/>
      <c r="IH144" s="1211"/>
      <c r="II144" s="1211"/>
      <c r="IJ144" s="1211"/>
      <c r="IK144" s="1211"/>
      <c r="IL144" s="1211"/>
      <c r="IM144" s="1211"/>
      <c r="IN144" s="1211"/>
      <c r="IO144" s="1213"/>
      <c r="IP144" s="1211"/>
      <c r="IQ144" s="1211"/>
      <c r="IR144" s="1211"/>
      <c r="IS144" s="1211"/>
      <c r="IT144" s="1211"/>
      <c r="IU144" s="1211"/>
      <c r="IV144" s="1211"/>
      <c r="IW144" s="1211"/>
      <c r="IX144" s="1178"/>
      <c r="IY144" s="1178"/>
      <c r="IZ144" s="1178"/>
      <c r="JA144" s="1178"/>
      <c r="JB144" s="1178"/>
      <c r="JC144" s="1178"/>
      <c r="JD144" s="1125"/>
      <c r="JE144" s="1126"/>
      <c r="JF144" s="1126"/>
      <c r="JG144" s="1126"/>
      <c r="JH144" s="1126"/>
      <c r="KP144" s="1203"/>
      <c r="LV144" s="1127"/>
    </row>
    <row r="145" s="1024" customFormat="1" collapsed="1" spans="1:334">
      <c r="A145" s="1204"/>
      <c r="B145" s="1121"/>
      <c r="C145" s="1121"/>
      <c r="D145" s="1121"/>
      <c r="E145" s="1121"/>
      <c r="F145" s="1121"/>
      <c r="G145" s="1121"/>
      <c r="H145" s="1121"/>
      <c r="I145" s="1121"/>
      <c r="J145" s="1121"/>
      <c r="K145" s="1121"/>
      <c r="L145" s="1121"/>
      <c r="M145" s="1121"/>
      <c r="N145" s="1121"/>
      <c r="O145" s="1121"/>
      <c r="P145" s="1121"/>
      <c r="Q145" s="1121"/>
      <c r="R145" s="1121"/>
      <c r="S145" s="1121"/>
      <c r="T145" s="1121"/>
      <c r="U145" s="1121"/>
      <c r="V145" s="1121"/>
      <c r="W145" s="1121"/>
      <c r="X145" s="1121"/>
      <c r="Y145" s="1121"/>
      <c r="Z145" s="1121"/>
      <c r="AA145" s="1121"/>
      <c r="AB145" s="1121"/>
      <c r="AC145" s="1121"/>
      <c r="AD145" s="1121"/>
      <c r="AE145" s="1121"/>
      <c r="AF145" s="1121"/>
      <c r="AG145" s="1121"/>
      <c r="AH145" s="1121"/>
      <c r="AI145" s="1121"/>
      <c r="AJ145" s="1121"/>
      <c r="AK145" s="1121"/>
      <c r="AL145" s="1121"/>
      <c r="AM145" s="1121"/>
      <c r="AN145" s="1121"/>
      <c r="AO145" s="1121"/>
      <c r="AP145" s="1121"/>
      <c r="AQ145" s="1121"/>
      <c r="AR145" s="1121"/>
      <c r="AS145" s="1121"/>
      <c r="AT145" s="1121"/>
      <c r="AU145" s="1121"/>
      <c r="AV145" s="1121"/>
      <c r="AW145" s="1121"/>
      <c r="AX145" s="1122"/>
      <c r="AY145" s="1121"/>
      <c r="AZ145" s="1121"/>
      <c r="BA145" s="1121"/>
      <c r="BB145" s="1121"/>
      <c r="BC145" s="1121"/>
      <c r="BD145" s="1121"/>
      <c r="BE145" s="1123"/>
      <c r="BF145" s="1121"/>
      <c r="BG145" s="1121"/>
      <c r="BH145" s="1121"/>
      <c r="BI145" s="1121"/>
      <c r="BJ145" s="1121"/>
      <c r="BK145" s="1121"/>
      <c r="BL145" s="1121"/>
      <c r="BM145" s="1121"/>
      <c r="BN145" s="1122"/>
      <c r="BO145" s="1121"/>
      <c r="BP145" s="1121"/>
      <c r="BQ145" s="1121"/>
      <c r="BR145" s="1121"/>
      <c r="BS145" s="1121"/>
      <c r="BT145" s="1121"/>
      <c r="BU145" s="1123"/>
      <c r="BV145" s="1122"/>
      <c r="BW145" s="1121"/>
      <c r="BX145" s="1121"/>
      <c r="BY145" s="1121"/>
      <c r="BZ145" s="1121"/>
      <c r="CA145" s="1121"/>
      <c r="CB145" s="1121"/>
      <c r="CC145" s="1123"/>
      <c r="CD145" s="1122"/>
      <c r="CE145" s="1121"/>
      <c r="CF145" s="1121"/>
      <c r="CG145" s="1121"/>
      <c r="CH145" s="1121"/>
      <c r="CI145" s="1121"/>
      <c r="CJ145" s="917"/>
      <c r="CK145" s="1123"/>
      <c r="CL145" s="1122"/>
      <c r="CM145" s="1121"/>
      <c r="CN145" s="1121"/>
      <c r="CO145" s="1121"/>
      <c r="CP145" s="1121"/>
      <c r="CQ145" s="1121"/>
      <c r="CR145" s="1121"/>
      <c r="CS145" s="1123"/>
      <c r="CT145" s="1122"/>
      <c r="CU145" s="1121"/>
      <c r="CV145" s="1121"/>
      <c r="CW145" s="1205"/>
      <c r="CX145" s="1205"/>
      <c r="CY145" s="1121"/>
      <c r="CZ145" s="1121"/>
      <c r="DA145" s="1121"/>
      <c r="DB145" s="1114"/>
      <c r="DC145" s="1114"/>
      <c r="DD145" s="1114"/>
      <c r="DE145" s="1206"/>
      <c r="DF145" s="1206"/>
      <c r="DG145" s="1114"/>
      <c r="DH145" s="1114"/>
      <c r="DI145" s="1207"/>
      <c r="DJ145" s="1114"/>
      <c r="DK145" s="1114"/>
      <c r="DL145" s="1114"/>
      <c r="DM145" s="1114"/>
      <c r="DN145" s="1114"/>
      <c r="DO145" s="1114"/>
      <c r="DP145" s="1114"/>
      <c r="DQ145" s="1207"/>
      <c r="DR145" s="1114"/>
      <c r="DS145" s="1114"/>
      <c r="DT145" s="1114"/>
      <c r="DU145" s="1114"/>
      <c r="DV145" s="1114"/>
      <c r="DW145" s="1114"/>
      <c r="DX145" s="1114"/>
      <c r="DY145" s="1216"/>
      <c r="DZ145" s="1217">
        <f t="shared" ref="DZ145:EG145" si="699">+DZ143/$DY143-1</f>
        <v>0.0118942731277534</v>
      </c>
      <c r="EA145" s="1217">
        <f t="shared" si="699"/>
        <v>0.0286343612334801</v>
      </c>
      <c r="EB145" s="1217">
        <f t="shared" si="699"/>
        <v>0.0286343612334801</v>
      </c>
      <c r="EC145" s="1217">
        <f t="shared" si="699"/>
        <v>0.0348017621145373</v>
      </c>
      <c r="ED145" s="1217">
        <f t="shared" si="699"/>
        <v>0.0348017621145373</v>
      </c>
      <c r="EE145" s="1218">
        <f t="shared" si="699"/>
        <v>-0.273127753303965</v>
      </c>
      <c r="EF145" s="1218">
        <f t="shared" si="699"/>
        <v>-0.273127753303965</v>
      </c>
      <c r="EG145" s="1207">
        <f t="shared" si="699"/>
        <v>0.0502202643171805</v>
      </c>
      <c r="EH145" s="1217">
        <f>+EH143/DZ143-1</f>
        <v>0.0544188071397476</v>
      </c>
      <c r="EI145" s="1217">
        <f>+EI143/EA143-1</f>
        <v>0.0432548179871521</v>
      </c>
      <c r="EJ145" s="1217">
        <f>+EJ143/EB143-1</f>
        <v>0.0432548179871521</v>
      </c>
      <c r="EK145" s="1217">
        <f>+EK143/EC143-1</f>
        <v>0.0498084291187739</v>
      </c>
      <c r="EL145" s="1217">
        <f>+EL143/ED143-1</f>
        <v>0.0498084291187739</v>
      </c>
      <c r="EM145" s="1114">
        <f t="shared" ref="EM145:ER145" si="700">EM143/EE143-1</f>
        <v>0.482424242424242</v>
      </c>
      <c r="EN145" s="1114">
        <f t="shared" si="700"/>
        <v>0.482424242424242</v>
      </c>
      <c r="EO145" s="1207">
        <f t="shared" si="700"/>
        <v>0.026006711409396</v>
      </c>
      <c r="EP145" s="1114">
        <f t="shared" si="700"/>
        <v>0.0148637489677952</v>
      </c>
      <c r="EQ145" s="1114">
        <f t="shared" si="700"/>
        <v>0.0435139573070606</v>
      </c>
      <c r="ER145" s="1114">
        <f t="shared" si="700"/>
        <v>0.0435139573070606</v>
      </c>
      <c r="ES145" s="1114">
        <f t="shared" ref="ES145:FB145" si="701">ES143/EK143-1</f>
        <v>0.0587996755879967</v>
      </c>
      <c r="ET145" s="1114">
        <f t="shared" si="701"/>
        <v>0.0587996755879967</v>
      </c>
      <c r="EU145" s="1114">
        <f t="shared" si="701"/>
        <v>0.120196238757154</v>
      </c>
      <c r="EV145" s="1114">
        <f t="shared" si="701"/>
        <v>0.120196238757154</v>
      </c>
      <c r="EW145" s="1207">
        <f t="shared" si="701"/>
        <v>0.120196238757154</v>
      </c>
      <c r="EX145" s="1114">
        <f t="shared" si="701"/>
        <v>0.11513425549227</v>
      </c>
      <c r="EY145" s="1218">
        <f t="shared" si="701"/>
        <v>0.111329661683714</v>
      </c>
      <c r="EZ145" s="1218">
        <f t="shared" si="701"/>
        <v>0.111329661683714</v>
      </c>
      <c r="FA145" s="1218">
        <f t="shared" si="701"/>
        <v>0.0808119494446573</v>
      </c>
      <c r="FB145" s="1114">
        <f t="shared" si="701"/>
        <v>0.0808119494446573</v>
      </c>
      <c r="FC145" s="1114">
        <f t="shared" ref="FC145:FM145" si="702">FC143/EU143-1</f>
        <v>0.063138686131387</v>
      </c>
      <c r="FD145" s="1114">
        <f t="shared" si="702"/>
        <v>0.063138686131387</v>
      </c>
      <c r="FE145" s="1207">
        <f t="shared" si="702"/>
        <v>0.063138686131387</v>
      </c>
      <c r="FF145" s="1114">
        <f t="shared" si="702"/>
        <v>0.0561838744983583</v>
      </c>
      <c r="FG145" s="1114">
        <f t="shared" si="702"/>
        <v>0.00743362831858407</v>
      </c>
      <c r="FH145" s="1114">
        <f t="shared" si="702"/>
        <v>0.00743362831858407</v>
      </c>
      <c r="FI145" s="1114">
        <f t="shared" si="702"/>
        <v>-0.0506732813607371</v>
      </c>
      <c r="FJ145" s="1114">
        <f t="shared" si="702"/>
        <v>-0.0506732813607371</v>
      </c>
      <c r="FK145" s="1114">
        <f t="shared" si="702"/>
        <v>-0.0655681428081016</v>
      </c>
      <c r="FL145" s="1218">
        <f t="shared" si="702"/>
        <v>-0.0655681428081016</v>
      </c>
      <c r="FM145" s="1219">
        <f t="shared" si="702"/>
        <v>-0.0655681428081016</v>
      </c>
      <c r="FN145" s="1218">
        <f t="shared" ref="FN145:FU145" si="703">FN143/FF143-1</f>
        <v>-0.0649395509499137</v>
      </c>
      <c r="FO145" s="1218">
        <f t="shared" si="703"/>
        <v>-0.0358397751229796</v>
      </c>
      <c r="FP145" s="1218">
        <f t="shared" si="703"/>
        <v>-0.0358397751229796</v>
      </c>
      <c r="FQ145" s="1218">
        <f t="shared" si="703"/>
        <v>0.026875699888018</v>
      </c>
      <c r="FR145" s="1218">
        <f t="shared" si="703"/>
        <v>0.026875699888018</v>
      </c>
      <c r="FS145" s="1218">
        <f t="shared" si="703"/>
        <v>0.0326965466568701</v>
      </c>
      <c r="FT145" s="1218">
        <f t="shared" si="703"/>
        <v>0.0326965466568701</v>
      </c>
      <c r="FU145" s="1218">
        <f t="shared" si="703"/>
        <v>0.0326965466568701</v>
      </c>
      <c r="FV145" s="1220"/>
      <c r="FW145" s="1218"/>
      <c r="FX145" s="1218"/>
      <c r="FY145" s="1218">
        <f t="shared" ref="FY145" si="704">FY143/FQ143-1</f>
        <v>-0.0425299890948746</v>
      </c>
      <c r="FZ145" s="1218">
        <f t="shared" ref="FZ145" si="705">FZ143/FR143-1</f>
        <v>-0.0425299890948746</v>
      </c>
      <c r="GA145" s="1218">
        <f t="shared" ref="GA145" si="706">GA143/FS143-1</f>
        <v>-0.0793311988616151</v>
      </c>
      <c r="GB145" s="1218">
        <f t="shared" ref="GB145:GC145" si="707">GB143/FT143-1</f>
        <v>-0.0793311988616151</v>
      </c>
      <c r="GC145" s="1219">
        <f t="shared" si="707"/>
        <v>-0.0793311988616151</v>
      </c>
      <c r="GD145" s="1218"/>
      <c r="GE145" s="1218"/>
      <c r="GF145" s="1218"/>
      <c r="GG145" s="1218"/>
      <c r="GH145" s="1218">
        <f>GH143/FZ143-1</f>
        <v>-0.0895975702353834</v>
      </c>
      <c r="GI145" s="1218">
        <f t="shared" ref="GI145" si="708">GI143/GA143-1</f>
        <v>-0.0745749613601236</v>
      </c>
      <c r="GJ145" s="1218">
        <f t="shared" ref="GJ145" si="709">GJ143/GB143-1</f>
        <v>-0.0745749613601236</v>
      </c>
      <c r="GK145" s="1219">
        <f t="shared" ref="GK145" si="710">GK143/GC143-1</f>
        <v>-0.0745749613601236</v>
      </c>
      <c r="GL145" s="1218"/>
      <c r="GM145" s="1218"/>
      <c r="GN145" s="1218"/>
      <c r="GO145" s="1218"/>
      <c r="GP145" s="1218">
        <f>GP143/GH143-1</f>
        <v>0.0329441201000833</v>
      </c>
      <c r="GQ145" s="1218">
        <f t="shared" ref="GQ145" si="711">GQ143/GI143-1</f>
        <v>0.0576200417536534</v>
      </c>
      <c r="GR145" s="1218">
        <f t="shared" ref="GR145" si="712">GR143/GJ143-1</f>
        <v>0.0576200417536534</v>
      </c>
      <c r="GS145" s="1219">
        <f t="shared" ref="GS145" si="713">GS143/GK143-1</f>
        <v>0.0576200417536534</v>
      </c>
      <c r="GT145" s="1218"/>
      <c r="GU145" s="1218"/>
      <c r="GV145" s="1218"/>
      <c r="GW145" s="1218"/>
      <c r="GX145" s="1218"/>
      <c r="GY145" s="1218"/>
      <c r="GZ145" s="1218"/>
      <c r="HA145" s="1219"/>
      <c r="HB145" s="1218"/>
      <c r="HC145" s="1218"/>
      <c r="HD145" s="1218"/>
      <c r="HE145" s="1218"/>
      <c r="HF145" s="1218"/>
      <c r="HG145" s="1218"/>
      <c r="HH145" s="1218"/>
      <c r="HI145" s="1219"/>
      <c r="HJ145" s="1218"/>
      <c r="HK145" s="1218"/>
      <c r="HL145" s="1218"/>
      <c r="HM145" s="1218"/>
      <c r="HN145" s="1218"/>
      <c r="HO145" s="1218"/>
      <c r="HP145" s="1218"/>
      <c r="HQ145" s="1219"/>
      <c r="HR145" s="1218"/>
      <c r="HS145" s="1218"/>
      <c r="HT145" s="1218"/>
      <c r="HU145" s="1218"/>
      <c r="HV145" s="1218"/>
      <c r="HW145" s="1218"/>
      <c r="HX145" s="1218"/>
      <c r="HY145" s="1218"/>
      <c r="HZ145" s="1218"/>
      <c r="IA145" s="1218"/>
      <c r="IB145" s="1218"/>
      <c r="IC145" s="1218"/>
      <c r="ID145" s="1218"/>
      <c r="IE145" s="1218"/>
      <c r="IF145" s="1218"/>
      <c r="IG145" s="1219"/>
      <c r="IH145" s="1218"/>
      <c r="II145" s="1218"/>
      <c r="IJ145" s="1218"/>
      <c r="IK145" s="1218"/>
      <c r="IL145" s="1218"/>
      <c r="IM145" s="1218"/>
      <c r="IN145" s="1218"/>
      <c r="IO145" s="1219"/>
      <c r="IP145" s="1218"/>
      <c r="IQ145" s="1218"/>
      <c r="IR145" s="1218"/>
      <c r="IS145" s="1218"/>
      <c r="IT145" s="1218"/>
      <c r="IU145" s="1218"/>
      <c r="IV145" s="1218"/>
      <c r="IW145" s="1218"/>
      <c r="IX145" s="1178"/>
      <c r="IY145" s="1178"/>
      <c r="IZ145" s="1178"/>
      <c r="JA145" s="1178"/>
      <c r="JB145" s="1178"/>
      <c r="JC145" s="1178"/>
      <c r="JD145" s="1125"/>
      <c r="JE145" s="1126"/>
      <c r="JF145" s="1126"/>
      <c r="JG145" s="1126"/>
      <c r="JH145" s="1126"/>
      <c r="KP145" s="1203"/>
      <c r="LV145" s="1127"/>
    </row>
    <row r="146" s="1024" customFormat="1" spans="1:334">
      <c r="A146" s="1051" t="s">
        <v>531</v>
      </c>
      <c r="B146" s="1197" t="s">
        <v>259</v>
      </c>
      <c r="C146" s="1197" t="s">
        <v>260</v>
      </c>
      <c r="D146" s="1197" t="s">
        <v>261</v>
      </c>
      <c r="E146" s="1197" t="s">
        <v>262</v>
      </c>
      <c r="F146" s="1197" t="s">
        <v>263</v>
      </c>
      <c r="G146" s="1197" t="s">
        <v>264</v>
      </c>
      <c r="H146" s="1197" t="str">
        <f>H517</f>
        <v>na</v>
      </c>
      <c r="I146" s="1197" t="s">
        <v>14</v>
      </c>
      <c r="J146" s="1197" t="s">
        <v>266</v>
      </c>
      <c r="K146" s="1197" t="s">
        <v>267</v>
      </c>
      <c r="L146" s="1197" t="s">
        <v>268</v>
      </c>
      <c r="M146" s="1197" t="s">
        <v>269</v>
      </c>
      <c r="N146" s="1197" t="s">
        <v>270</v>
      </c>
      <c r="O146" s="1197" t="s">
        <v>271</v>
      </c>
      <c r="P146" s="1197">
        <f>P517</f>
        <v>0.345762711864407</v>
      </c>
      <c r="Q146" s="1197" t="s">
        <v>15</v>
      </c>
      <c r="R146" s="1197" t="s">
        <v>273</v>
      </c>
      <c r="S146" s="1197" t="s">
        <v>274</v>
      </c>
      <c r="T146" s="1197" t="s">
        <v>275</v>
      </c>
      <c r="U146" s="1197" t="s">
        <v>276</v>
      </c>
      <c r="V146" s="1197" t="s">
        <v>277</v>
      </c>
      <c r="W146" s="1197" t="s">
        <v>278</v>
      </c>
      <c r="X146" s="1197">
        <f>X525</f>
        <v>0.27318718381113</v>
      </c>
      <c r="Y146" s="1197" t="s">
        <v>16</v>
      </c>
      <c r="Z146" s="1197" t="s">
        <v>280</v>
      </c>
      <c r="AA146" s="1197" t="s">
        <v>281</v>
      </c>
      <c r="AB146" s="1197" t="s">
        <v>282</v>
      </c>
      <c r="AC146" s="1197" t="s">
        <v>283</v>
      </c>
      <c r="AD146" s="1197" t="s">
        <v>277</v>
      </c>
      <c r="AE146" s="1197" t="s">
        <v>284</v>
      </c>
      <c r="AF146" s="1197">
        <f>AF525</f>
        <v>0.368014465289769</v>
      </c>
      <c r="AG146" s="1197" t="s">
        <v>17</v>
      </c>
      <c r="AH146" s="1197" t="s">
        <v>286</v>
      </c>
      <c r="AI146" s="1197" t="s">
        <v>287</v>
      </c>
      <c r="AJ146" s="1197" t="s">
        <v>288</v>
      </c>
      <c r="AK146" s="1197" t="s">
        <v>289</v>
      </c>
      <c r="AL146" s="1197" t="s">
        <v>290</v>
      </c>
      <c r="AM146" s="1197" t="s">
        <v>291</v>
      </c>
      <c r="AN146" s="1197">
        <f>AN525</f>
        <v>0.32034632034632</v>
      </c>
      <c r="AO146" s="1197" t="s">
        <v>18</v>
      </c>
      <c r="AP146" s="1197" t="s">
        <v>293</v>
      </c>
      <c r="AQ146" s="1197" t="s">
        <v>294</v>
      </c>
      <c r="AR146" s="1197" t="s">
        <v>295</v>
      </c>
      <c r="AS146" s="1197" t="s">
        <v>296</v>
      </c>
      <c r="AT146" s="1197" t="s">
        <v>297</v>
      </c>
      <c r="AU146" s="1197" t="s">
        <v>298</v>
      </c>
      <c r="AV146" s="1197">
        <f>AV517</f>
        <v>0.0318922749822821</v>
      </c>
      <c r="AW146" s="1197" t="s">
        <v>19</v>
      </c>
      <c r="AX146" s="1198" t="s">
        <v>300</v>
      </c>
      <c r="AY146" s="1197" t="s">
        <v>301</v>
      </c>
      <c r="AZ146" s="1197" t="s">
        <v>302</v>
      </c>
      <c r="BA146" s="1197" t="s">
        <v>303</v>
      </c>
      <c r="BB146" s="1197" t="s">
        <v>304</v>
      </c>
      <c r="BC146" s="1197" t="s">
        <v>305</v>
      </c>
      <c r="BD146" s="1197">
        <f>BD517</f>
        <v>0.0666208791208791</v>
      </c>
      <c r="BE146" s="1199" t="s">
        <v>20</v>
      </c>
      <c r="BF146" s="1197" t="s">
        <v>307</v>
      </c>
      <c r="BG146" s="1197" t="s">
        <v>308</v>
      </c>
      <c r="BH146" s="1197" t="s">
        <v>309</v>
      </c>
      <c r="BI146" s="1197" t="s">
        <v>310</v>
      </c>
      <c r="BJ146" s="1197" t="s">
        <v>311</v>
      </c>
      <c r="BK146" s="1197" t="s">
        <v>312</v>
      </c>
      <c r="BL146" s="1197">
        <f>BL517</f>
        <v>0.0611719253058596</v>
      </c>
      <c r="BM146" s="1197" t="s">
        <v>21</v>
      </c>
      <c r="BN146" s="1198" t="s">
        <v>314</v>
      </c>
      <c r="BO146" s="1197" t="s">
        <v>315</v>
      </c>
      <c r="BP146" s="1197" t="s">
        <v>316</v>
      </c>
      <c r="BQ146" s="1197" t="s">
        <v>317</v>
      </c>
      <c r="BR146" s="1197" t="s">
        <v>318</v>
      </c>
      <c r="BS146" s="1197" t="s">
        <v>319</v>
      </c>
      <c r="BT146" s="1197">
        <f>BT517</f>
        <v>0.0364077669902914</v>
      </c>
      <c r="BU146" s="1199" t="s">
        <v>22</v>
      </c>
      <c r="BV146" s="1198" t="s">
        <v>321</v>
      </c>
      <c r="BW146" s="1197" t="s">
        <v>322</v>
      </c>
      <c r="BX146" s="1197" t="s">
        <v>323</v>
      </c>
      <c r="BY146" s="1197" t="s">
        <v>324</v>
      </c>
      <c r="BZ146" s="1197" t="s">
        <v>325</v>
      </c>
      <c r="CA146" s="1197" t="s">
        <v>326</v>
      </c>
      <c r="CB146" s="1197">
        <f>CB517</f>
        <v>0.0421545667447307</v>
      </c>
      <c r="CC146" s="1199" t="s">
        <v>23</v>
      </c>
      <c r="CD146" s="1198" t="s">
        <v>328</v>
      </c>
      <c r="CE146" s="1197" t="s">
        <v>329</v>
      </c>
      <c r="CF146" s="1197" t="s">
        <v>330</v>
      </c>
      <c r="CG146" s="1197" t="s">
        <v>331</v>
      </c>
      <c r="CH146" s="1197" t="s">
        <v>332</v>
      </c>
      <c r="CI146" s="1197" t="s">
        <v>333</v>
      </c>
      <c r="CJ146" s="1197" t="s">
        <v>334</v>
      </c>
      <c r="CK146" s="1199" t="s">
        <v>24</v>
      </c>
      <c r="CL146" s="1198" t="s">
        <v>335</v>
      </c>
      <c r="CM146" s="1197" t="s">
        <v>336</v>
      </c>
      <c r="CN146" s="1197" t="s">
        <v>337</v>
      </c>
      <c r="CO146" s="1197" t="s">
        <v>338</v>
      </c>
      <c r="CP146" s="1197">
        <f>CP12</f>
        <v>0</v>
      </c>
      <c r="CQ146" s="1197">
        <f>CQ12</f>
        <v>0</v>
      </c>
      <c r="CR146" s="1197">
        <f>CR12</f>
        <v>0</v>
      </c>
      <c r="CS146" s="1199">
        <f>CS12</f>
        <v>0</v>
      </c>
      <c r="CT146" s="1201" t="str">
        <f t="shared" ref="CT146:DY146" si="714">CT$2</f>
        <v>Q1 07</v>
      </c>
      <c r="CU146" s="1047" t="str">
        <f t="shared" si="714"/>
        <v>Q2 07</v>
      </c>
      <c r="CV146" s="1047" t="str">
        <f t="shared" si="714"/>
        <v>H1 07</v>
      </c>
      <c r="CW146" s="1047" t="str">
        <f t="shared" si="714"/>
        <v>Q3 07</v>
      </c>
      <c r="CX146" s="1047" t="str">
        <f t="shared" si="714"/>
        <v>9M 07</v>
      </c>
      <c r="CY146" s="1047" t="str">
        <f t="shared" si="714"/>
        <v>Q4 07</v>
      </c>
      <c r="CZ146" s="1047" t="str">
        <f t="shared" si="714"/>
        <v>H2 07</v>
      </c>
      <c r="DA146" s="1048" t="str">
        <f t="shared" si="714"/>
        <v>FY 07</v>
      </c>
      <c r="DB146" s="1201" t="str">
        <f t="shared" si="714"/>
        <v>Q1 08</v>
      </c>
      <c r="DC146" s="1047" t="str">
        <f t="shared" si="714"/>
        <v>Q2 08</v>
      </c>
      <c r="DD146" s="1047" t="str">
        <f t="shared" si="714"/>
        <v>H1 08</v>
      </c>
      <c r="DE146" s="1047" t="str">
        <f t="shared" si="714"/>
        <v>Q3 08</v>
      </c>
      <c r="DF146" s="1047" t="str">
        <f t="shared" si="714"/>
        <v>9M 08</v>
      </c>
      <c r="DG146" s="1047" t="str">
        <f t="shared" si="714"/>
        <v>Q4 08</v>
      </c>
      <c r="DH146" s="1047" t="str">
        <f t="shared" si="714"/>
        <v>H2 08</v>
      </c>
      <c r="DI146" s="1048" t="str">
        <f t="shared" si="714"/>
        <v>FY 08</v>
      </c>
      <c r="DJ146" s="1201" t="str">
        <f t="shared" si="714"/>
        <v>Q1 09</v>
      </c>
      <c r="DK146" s="1047" t="str">
        <f t="shared" si="714"/>
        <v>Q2 09</v>
      </c>
      <c r="DL146" s="1047" t="str">
        <f t="shared" si="714"/>
        <v>H1 09</v>
      </c>
      <c r="DM146" s="1047" t="str">
        <f t="shared" si="714"/>
        <v>Q3 09</v>
      </c>
      <c r="DN146" s="1047" t="str">
        <f t="shared" si="714"/>
        <v>9M 09</v>
      </c>
      <c r="DO146" s="1047" t="str">
        <f t="shared" si="714"/>
        <v>Q4 09</v>
      </c>
      <c r="DP146" s="1047" t="str">
        <f t="shared" si="714"/>
        <v>H2 09</v>
      </c>
      <c r="DQ146" s="1048" t="str">
        <f t="shared" si="714"/>
        <v>FY 09</v>
      </c>
      <c r="DR146" s="1201" t="str">
        <f t="shared" si="714"/>
        <v>Q1 10</v>
      </c>
      <c r="DS146" s="1047" t="str">
        <f t="shared" si="714"/>
        <v>Q2 10</v>
      </c>
      <c r="DT146" s="1047" t="str">
        <f t="shared" si="714"/>
        <v>H1 10</v>
      </c>
      <c r="DU146" s="1047" t="str">
        <f t="shared" si="714"/>
        <v>Q3 10</v>
      </c>
      <c r="DV146" s="1047" t="str">
        <f t="shared" si="714"/>
        <v>9M 10</v>
      </c>
      <c r="DW146" s="1047" t="str">
        <f t="shared" si="714"/>
        <v>Q4 10</v>
      </c>
      <c r="DX146" s="1047" t="str">
        <f t="shared" si="714"/>
        <v>H2 10</v>
      </c>
      <c r="DY146" s="1048" t="str">
        <f t="shared" si="714"/>
        <v>FY 10</v>
      </c>
      <c r="DZ146" s="1201" t="str">
        <f t="shared" ref="DZ146:FJ146" si="715">DZ$2</f>
        <v>Q1 11</v>
      </c>
      <c r="EA146" s="1047" t="str">
        <f t="shared" si="715"/>
        <v>Q2 11</v>
      </c>
      <c r="EB146" s="1047" t="str">
        <f t="shared" si="715"/>
        <v>H1 11</v>
      </c>
      <c r="EC146" s="1047" t="str">
        <f t="shared" si="715"/>
        <v>Q3 11</v>
      </c>
      <c r="ED146" s="1047" t="str">
        <f t="shared" si="715"/>
        <v>9M 11</v>
      </c>
      <c r="EE146" s="1047" t="str">
        <f t="shared" si="715"/>
        <v>Q4 11</v>
      </c>
      <c r="EF146" s="1047" t="str">
        <f t="shared" si="715"/>
        <v>H2 11</v>
      </c>
      <c r="EG146" s="1048" t="str">
        <f t="shared" si="715"/>
        <v>FY 11</v>
      </c>
      <c r="EH146" s="1201" t="str">
        <f t="shared" si="715"/>
        <v>Q1 12</v>
      </c>
      <c r="EI146" s="1047" t="str">
        <f t="shared" si="715"/>
        <v>Q2 12</v>
      </c>
      <c r="EJ146" s="1047" t="str">
        <f t="shared" si="715"/>
        <v>H1 12</v>
      </c>
      <c r="EK146" s="1047" t="str">
        <f t="shared" si="715"/>
        <v>Q3 12</v>
      </c>
      <c r="EL146" s="1047" t="str">
        <f t="shared" si="715"/>
        <v>9M 12</v>
      </c>
      <c r="EM146" s="1047" t="str">
        <f t="shared" si="715"/>
        <v>Q4 12</v>
      </c>
      <c r="EN146" s="1047" t="str">
        <f t="shared" si="715"/>
        <v>H2 12</v>
      </c>
      <c r="EO146" s="1048" t="str">
        <f t="shared" si="715"/>
        <v>FY 12</v>
      </c>
      <c r="EP146" s="1047" t="str">
        <f t="shared" si="715"/>
        <v>1Q13</v>
      </c>
      <c r="EQ146" s="1047" t="str">
        <f t="shared" si="715"/>
        <v>2Q13</v>
      </c>
      <c r="ER146" s="1047" t="str">
        <f t="shared" si="715"/>
        <v>1H13</v>
      </c>
      <c r="ES146" s="1047" t="str">
        <f t="shared" si="715"/>
        <v>3Q13</v>
      </c>
      <c r="ET146" s="1047" t="str">
        <f t="shared" si="715"/>
        <v>9M13</v>
      </c>
      <c r="EU146" s="1047" t="str">
        <f t="shared" si="715"/>
        <v>4Q13</v>
      </c>
      <c r="EV146" s="1047" t="str">
        <f t="shared" si="715"/>
        <v>2H13</v>
      </c>
      <c r="EW146" s="1048" t="str">
        <f t="shared" si="715"/>
        <v>FY13</v>
      </c>
      <c r="EX146" s="1047" t="str">
        <f t="shared" si="715"/>
        <v>1Q14</v>
      </c>
      <c r="EY146" s="1047" t="str">
        <f t="shared" si="715"/>
        <v>2Q14</v>
      </c>
      <c r="EZ146" s="1047" t="str">
        <f t="shared" si="715"/>
        <v>1H14</v>
      </c>
      <c r="FA146" s="1047" t="str">
        <f t="shared" si="715"/>
        <v>3Q14</v>
      </c>
      <c r="FB146" s="1047" t="str">
        <f t="shared" si="715"/>
        <v>9M14</v>
      </c>
      <c r="FC146" s="1047" t="str">
        <f t="shared" si="715"/>
        <v>4Q14</v>
      </c>
      <c r="FD146" s="1047" t="str">
        <f t="shared" si="715"/>
        <v>2H14</v>
      </c>
      <c r="FE146" s="1048" t="str">
        <f t="shared" si="715"/>
        <v>FY14</v>
      </c>
      <c r="FF146" s="1047" t="str">
        <f t="shared" si="715"/>
        <v>1Q15</v>
      </c>
      <c r="FG146" s="1047" t="str">
        <f t="shared" si="715"/>
        <v>2Q15</v>
      </c>
      <c r="FH146" s="1047" t="str">
        <f t="shared" si="715"/>
        <v>1H15</v>
      </c>
      <c r="FI146" s="1047" t="str">
        <f t="shared" si="715"/>
        <v>3Q15</v>
      </c>
      <c r="FJ146" s="1047" t="str">
        <f t="shared" si="715"/>
        <v>9M15</v>
      </c>
      <c r="FK146" s="1047" t="str">
        <f t="shared" ref="FK146:FX146" si="716">FK$2</f>
        <v>4Q15</v>
      </c>
      <c r="FL146" s="1047" t="str">
        <f t="shared" si="716"/>
        <v>2H15</v>
      </c>
      <c r="FM146" s="1048" t="str">
        <f t="shared" si="716"/>
        <v>FY15</v>
      </c>
      <c r="FN146" s="1047" t="str">
        <f t="shared" si="716"/>
        <v>1Q16</v>
      </c>
      <c r="FO146" s="1047" t="str">
        <f t="shared" si="716"/>
        <v>2Q16</v>
      </c>
      <c r="FP146" s="1047" t="str">
        <f t="shared" si="716"/>
        <v>1H16</v>
      </c>
      <c r="FQ146" s="1047" t="str">
        <f t="shared" si="716"/>
        <v>3Q16</v>
      </c>
      <c r="FR146" s="1047" t="str">
        <f t="shared" si="716"/>
        <v>9M16</v>
      </c>
      <c r="FS146" s="1047" t="str">
        <f t="shared" si="716"/>
        <v>4Q16</v>
      </c>
      <c r="FT146" s="1047" t="str">
        <f t="shared" si="716"/>
        <v>2H16</v>
      </c>
      <c r="FU146" s="1047" t="str">
        <f t="shared" si="716"/>
        <v>FY16</v>
      </c>
      <c r="FV146" s="1055" t="str">
        <f t="shared" si="716"/>
        <v>1Q17</v>
      </c>
      <c r="FW146" s="1047" t="str">
        <f t="shared" si="716"/>
        <v>2Q17</v>
      </c>
      <c r="FX146" s="1047" t="str">
        <f t="shared" si="716"/>
        <v>1H17</v>
      </c>
      <c r="FY146" s="1047" t="str">
        <f t="shared" ref="FY146:GF146" si="717">FY$2</f>
        <v>3Q17</v>
      </c>
      <c r="FZ146" s="1047" t="str">
        <f t="shared" si="717"/>
        <v>9M17</v>
      </c>
      <c r="GA146" s="1047" t="str">
        <f t="shared" si="717"/>
        <v>4Q17</v>
      </c>
      <c r="GB146" s="1047" t="str">
        <f t="shared" si="717"/>
        <v>2H17</v>
      </c>
      <c r="GC146" s="1048" t="str">
        <f t="shared" si="717"/>
        <v>FY17</v>
      </c>
      <c r="GD146" s="1055" t="str">
        <f t="shared" si="717"/>
        <v>1Q18</v>
      </c>
      <c r="GE146" s="1047" t="str">
        <f t="shared" si="717"/>
        <v>2Q18</v>
      </c>
      <c r="GF146" s="1047" t="str">
        <f t="shared" si="717"/>
        <v>1H18</v>
      </c>
      <c r="GG146" s="1047" t="str">
        <f t="shared" ref="GG146:GK146" si="718">GG$2</f>
        <v>3Q18</v>
      </c>
      <c r="GH146" s="1047" t="str">
        <f t="shared" si="718"/>
        <v>9M18</v>
      </c>
      <c r="GI146" s="1047" t="str">
        <f t="shared" si="718"/>
        <v>4Q18</v>
      </c>
      <c r="GJ146" s="1047" t="str">
        <f t="shared" si="718"/>
        <v>2H18</v>
      </c>
      <c r="GK146" s="1048" t="str">
        <f t="shared" si="718"/>
        <v>FY18</v>
      </c>
      <c r="GL146" s="1047" t="str">
        <f>GL2</f>
        <v>1Q19</v>
      </c>
      <c r="GM146" s="1047" t="str">
        <f t="shared" ref="GM146:GS146" si="719">GM2</f>
        <v>2Q19</v>
      </c>
      <c r="GN146" s="1047" t="str">
        <f t="shared" si="719"/>
        <v>1H19</v>
      </c>
      <c r="GO146" s="1047" t="str">
        <f t="shared" si="719"/>
        <v>3Q19</v>
      </c>
      <c r="GP146" s="1047" t="str">
        <f t="shared" si="719"/>
        <v>9M19</v>
      </c>
      <c r="GQ146" s="1047" t="str">
        <f t="shared" si="719"/>
        <v>4Q19</v>
      </c>
      <c r="GR146" s="1047" t="str">
        <f t="shared" si="719"/>
        <v>2H19</v>
      </c>
      <c r="GS146" s="1048" t="str">
        <f t="shared" si="719"/>
        <v>FY19</v>
      </c>
      <c r="GT146" s="1047" t="s">
        <v>440</v>
      </c>
      <c r="GU146" s="1047" t="s">
        <v>441</v>
      </c>
      <c r="GV146" s="1047" t="s">
        <v>442</v>
      </c>
      <c r="GW146" s="1047" t="s">
        <v>443</v>
      </c>
      <c r="GX146" s="1047" t="s">
        <v>444</v>
      </c>
      <c r="GY146" s="1047" t="s">
        <v>445</v>
      </c>
      <c r="GZ146" s="1047" t="s">
        <v>446</v>
      </c>
      <c r="HA146" s="1048" t="s">
        <v>447</v>
      </c>
      <c r="HB146" s="1047" t="s">
        <v>448</v>
      </c>
      <c r="HC146" s="1047" t="s">
        <v>449</v>
      </c>
      <c r="HD146" s="1047" t="s">
        <v>442</v>
      </c>
      <c r="HE146" s="1047" t="s">
        <v>451</v>
      </c>
      <c r="HF146" s="1047" t="s">
        <v>532</v>
      </c>
      <c r="HG146" s="1047" t="s">
        <v>453</v>
      </c>
      <c r="HH146" s="1047" t="s">
        <v>454</v>
      </c>
      <c r="HI146" s="1048" t="s">
        <v>455</v>
      </c>
      <c r="HJ146" s="1047" t="s">
        <v>456</v>
      </c>
      <c r="HK146" s="1047" t="s">
        <v>457</v>
      </c>
      <c r="HL146" s="1047" t="s">
        <v>458</v>
      </c>
      <c r="HM146" s="1047" t="s">
        <v>459</v>
      </c>
      <c r="HN146" s="1047" t="s">
        <v>460</v>
      </c>
      <c r="HO146" s="1047" t="s">
        <v>461</v>
      </c>
      <c r="HP146" s="1047" t="s">
        <v>462</v>
      </c>
      <c r="HQ146" s="1048" t="s">
        <v>463</v>
      </c>
      <c r="HR146" s="1047" t="str">
        <f>HR133</f>
        <v>1Q23</v>
      </c>
      <c r="HS146" s="1047" t="s">
        <v>465</v>
      </c>
      <c r="HT146" s="1047" t="s">
        <v>466</v>
      </c>
      <c r="HU146" s="1047" t="s">
        <v>467</v>
      </c>
      <c r="HV146" s="1047" t="s">
        <v>468</v>
      </c>
      <c r="HW146" s="1047" t="s">
        <v>469</v>
      </c>
      <c r="HX146" s="1047" t="s">
        <v>470</v>
      </c>
      <c r="HY146" s="1048" t="s">
        <v>471</v>
      </c>
      <c r="HZ146" s="1047" t="s">
        <v>472</v>
      </c>
      <c r="IA146" s="1047" t="s">
        <v>473</v>
      </c>
      <c r="IB146" s="1047" t="s">
        <v>474</v>
      </c>
      <c r="IC146" s="1047" t="s">
        <v>475</v>
      </c>
      <c r="ID146" s="1047" t="s">
        <v>476</v>
      </c>
      <c r="IE146" s="1047" t="s">
        <v>477</v>
      </c>
      <c r="IF146" s="1047" t="s">
        <v>478</v>
      </c>
      <c r="IG146" s="1048" t="s">
        <v>479</v>
      </c>
      <c r="IH146" s="1047" t="s">
        <v>480</v>
      </c>
      <c r="II146" s="1047" t="s">
        <v>481</v>
      </c>
      <c r="IJ146" s="1047" t="s">
        <v>490</v>
      </c>
      <c r="IK146" s="1047" t="s">
        <v>483</v>
      </c>
      <c r="IL146" s="1047" t="s">
        <v>484</v>
      </c>
      <c r="IM146" s="1047" t="s">
        <v>485</v>
      </c>
      <c r="IN146" s="1047" t="s">
        <v>486</v>
      </c>
      <c r="IO146" s="1048" t="s">
        <v>487</v>
      </c>
      <c r="IP146" s="1047" t="s">
        <v>480</v>
      </c>
      <c r="IQ146" s="1047" t="str">
        <f>IQ2</f>
        <v>2Q26</v>
      </c>
      <c r="IR146" s="1047"/>
      <c r="IS146" s="1047"/>
      <c r="IT146" s="1047"/>
      <c r="IU146" s="1047"/>
      <c r="IV146" s="1047"/>
      <c r="IW146" s="1047"/>
      <c r="IX146" s="1178"/>
      <c r="IY146" s="1178"/>
      <c r="IZ146" s="1178"/>
      <c r="JA146" s="1178"/>
      <c r="JB146" s="1178"/>
      <c r="JC146" s="1178"/>
      <c r="JD146" s="1125"/>
      <c r="JE146" s="1126"/>
      <c r="JF146" s="1126"/>
      <c r="JG146" s="1126"/>
      <c r="JH146" s="1126"/>
      <c r="KP146" s="1203"/>
      <c r="LV146" s="1127"/>
    </row>
    <row r="147" s="1024" customFormat="1" spans="1:334">
      <c r="A147" s="1204" t="s">
        <v>533</v>
      </c>
      <c r="B147" s="1121"/>
      <c r="C147" s="1121"/>
      <c r="D147" s="1121"/>
      <c r="E147" s="1121"/>
      <c r="F147" s="1121"/>
      <c r="G147" s="1121"/>
      <c r="H147" s="1121"/>
      <c r="I147" s="1121"/>
      <c r="J147" s="1121"/>
      <c r="K147" s="1121"/>
      <c r="L147" s="1121"/>
      <c r="M147" s="1121"/>
      <c r="N147" s="1121"/>
      <c r="O147" s="1121"/>
      <c r="P147" s="1121"/>
      <c r="Q147" s="1121"/>
      <c r="R147" s="1121"/>
      <c r="S147" s="1121"/>
      <c r="T147" s="1121"/>
      <c r="U147" s="1121"/>
      <c r="V147" s="1121"/>
      <c r="W147" s="1121"/>
      <c r="X147" s="1121"/>
      <c r="Y147" s="1121"/>
      <c r="Z147" s="1121"/>
      <c r="AA147" s="1121"/>
      <c r="AB147" s="1121"/>
      <c r="AC147" s="1121"/>
      <c r="AD147" s="1121"/>
      <c r="AE147" s="1121"/>
      <c r="AF147" s="1121"/>
      <c r="AG147" s="1121"/>
      <c r="AH147" s="1121"/>
      <c r="AI147" s="1121"/>
      <c r="AJ147" s="1121"/>
      <c r="AK147" s="1121"/>
      <c r="AL147" s="1121"/>
      <c r="AM147" s="1121"/>
      <c r="AN147" s="1121"/>
      <c r="AO147" s="1121"/>
      <c r="AP147" s="1121"/>
      <c r="AQ147" s="1121"/>
      <c r="AR147" s="1121"/>
      <c r="AS147" s="1121"/>
      <c r="AT147" s="1121"/>
      <c r="AU147" s="1121"/>
      <c r="AV147" s="1121"/>
      <c r="AW147" s="1121"/>
      <c r="AX147" s="1122"/>
      <c r="AY147" s="1121"/>
      <c r="AZ147" s="1121"/>
      <c r="BA147" s="1121"/>
      <c r="BB147" s="1121"/>
      <c r="BC147" s="1121"/>
      <c r="BD147" s="1121"/>
      <c r="BE147" s="1123"/>
      <c r="BF147" s="1121"/>
      <c r="BG147" s="1121"/>
      <c r="BH147" s="1121"/>
      <c r="BI147" s="1121"/>
      <c r="BJ147" s="1121"/>
      <c r="BK147" s="1121"/>
      <c r="BL147" s="1121"/>
      <c r="BM147" s="1121"/>
      <c r="BN147" s="1122"/>
      <c r="BO147" s="1121"/>
      <c r="BP147" s="1121"/>
      <c r="BQ147" s="1121"/>
      <c r="BR147" s="1121"/>
      <c r="BS147" s="1121"/>
      <c r="BT147" s="1121"/>
      <c r="BU147" s="1123"/>
      <c r="BV147" s="1122"/>
      <c r="BW147" s="1121"/>
      <c r="BX147" s="1121"/>
      <c r="BY147" s="1121"/>
      <c r="BZ147" s="1121"/>
      <c r="CA147" s="1121"/>
      <c r="CB147" s="1121"/>
      <c r="CC147" s="1123"/>
      <c r="CD147" s="1122"/>
      <c r="CE147" s="1121"/>
      <c r="CF147" s="1121"/>
      <c r="CG147" s="1121"/>
      <c r="CH147" s="1121"/>
      <c r="CI147" s="1121"/>
      <c r="CJ147" s="917"/>
      <c r="CK147" s="1123"/>
      <c r="CL147" s="1122"/>
      <c r="CM147" s="1121"/>
      <c r="CN147" s="1121"/>
      <c r="CO147" s="1121"/>
      <c r="CP147" s="1121"/>
      <c r="CQ147" s="1121"/>
      <c r="CR147" s="1121"/>
      <c r="CS147" s="1123"/>
      <c r="CT147" s="1122"/>
      <c r="CU147" s="1121"/>
      <c r="CV147" s="1121"/>
      <c r="CW147" s="1205"/>
      <c r="CX147" s="1205"/>
      <c r="CY147" s="1121"/>
      <c r="CZ147" s="1121"/>
      <c r="DA147" s="1121"/>
      <c r="DB147" s="1114"/>
      <c r="DC147" s="1114"/>
      <c r="DD147" s="1114"/>
      <c r="DE147" s="1206"/>
      <c r="DF147" s="1206"/>
      <c r="DG147" s="1114"/>
      <c r="DH147" s="1114"/>
      <c r="DI147" s="1207"/>
      <c r="DJ147" s="1208"/>
      <c r="DK147" s="1208"/>
      <c r="DL147" s="1208"/>
      <c r="DM147" s="1208"/>
      <c r="DN147" s="1208"/>
      <c r="DO147" s="1208"/>
      <c r="DP147" s="1208"/>
      <c r="DQ147" s="1212">
        <v>4919</v>
      </c>
      <c r="DR147" s="1208">
        <v>1272</v>
      </c>
      <c r="DS147" s="1208">
        <f>DT147-DR147</f>
        <v>1301</v>
      </c>
      <c r="DT147" s="1208">
        <v>2573</v>
      </c>
      <c r="DU147" s="1208">
        <f>DV147-DT147</f>
        <v>1604</v>
      </c>
      <c r="DV147" s="1208">
        <v>4177</v>
      </c>
      <c r="DW147" s="1208">
        <f>DY147-DV147</f>
        <v>1212</v>
      </c>
      <c r="DX147" s="1208">
        <f>DU147+DW147</f>
        <v>2816</v>
      </c>
      <c r="DY147" s="1212">
        <v>5389</v>
      </c>
      <c r="DZ147" s="1208">
        <v>1619</v>
      </c>
      <c r="EA147" s="1208">
        <f>EB147-DZ147</f>
        <v>1457</v>
      </c>
      <c r="EB147" s="1208">
        <v>3076</v>
      </c>
      <c r="EC147" s="1208">
        <f>ED147-EB147</f>
        <v>1773</v>
      </c>
      <c r="ED147" s="1208">
        <v>4849</v>
      </c>
      <c r="EE147" s="1208">
        <f>EG147-ED147</f>
        <v>1393</v>
      </c>
      <c r="EF147" s="1208">
        <f>EC147+EE147</f>
        <v>3166</v>
      </c>
      <c r="EG147" s="1212">
        <v>6242</v>
      </c>
      <c r="EH147" s="1208">
        <v>1848</v>
      </c>
      <c r="EI147" s="1208">
        <f>EJ147-EH147</f>
        <v>1574</v>
      </c>
      <c r="EJ147" s="1208">
        <v>3422</v>
      </c>
      <c r="EK147" s="1208">
        <f>EL147-EJ147</f>
        <v>2001</v>
      </c>
      <c r="EL147" s="1208">
        <v>5423</v>
      </c>
      <c r="EM147" s="1208">
        <f>EO147-EL147</f>
        <v>1499</v>
      </c>
      <c r="EN147" s="1208">
        <f>EK147+EM147</f>
        <v>3500</v>
      </c>
      <c r="EO147" s="1212">
        <v>6922</v>
      </c>
      <c r="EP147" s="1208">
        <v>1874</v>
      </c>
      <c r="EQ147" s="1208">
        <f>ER147-EP147</f>
        <v>1629</v>
      </c>
      <c r="ER147" s="1208">
        <v>3503</v>
      </c>
      <c r="ES147" s="1208">
        <f>ET147-ER147</f>
        <v>1851</v>
      </c>
      <c r="ET147" s="1208">
        <v>5354</v>
      </c>
      <c r="EU147" s="1208">
        <f>EW147-ET147</f>
        <v>1233</v>
      </c>
      <c r="EV147" s="1208">
        <f>ES147+EU147</f>
        <v>3084</v>
      </c>
      <c r="EW147" s="1212">
        <f>'Sales &amp; stores'!P24</f>
        <v>6587</v>
      </c>
      <c r="EX147" s="1208">
        <v>1694</v>
      </c>
      <c r="EY147" s="1208">
        <f>EZ147-EX147</f>
        <v>1599</v>
      </c>
      <c r="EZ147" s="1208">
        <v>3293</v>
      </c>
      <c r="FA147" s="1208">
        <f>FB147-EZ147</f>
        <v>1990</v>
      </c>
      <c r="FB147" s="1208">
        <v>5283</v>
      </c>
      <c r="FC147" s="1208">
        <f>FE147-FB147</f>
        <v>1375</v>
      </c>
      <c r="FD147" s="1208">
        <f>FA147+FC147</f>
        <v>3365</v>
      </c>
      <c r="FE147" s="1212">
        <f>'Sales &amp; stores'!Q24</f>
        <v>6658</v>
      </c>
      <c r="FF147" s="1208">
        <v>2087</v>
      </c>
      <c r="FG147" s="1208">
        <f>FH147-FF147</f>
        <v>1962</v>
      </c>
      <c r="FH147" s="1208">
        <v>4049</v>
      </c>
      <c r="FI147" s="1208">
        <f>FJ147-FH147</f>
        <v>2356</v>
      </c>
      <c r="FJ147" s="1208">
        <v>6405</v>
      </c>
      <c r="FK147" s="1208">
        <f>FM147-FJ147</f>
        <v>1955</v>
      </c>
      <c r="FL147" s="1208">
        <f>FI147+FK147</f>
        <v>4311</v>
      </c>
      <c r="FM147" s="1212">
        <f>'Sales &amp; stores'!R24</f>
        <v>8360</v>
      </c>
      <c r="FN147" s="1208">
        <v>2569</v>
      </c>
      <c r="FO147" s="1208">
        <f>FP147-FN147</f>
        <v>2291</v>
      </c>
      <c r="FP147" s="1208">
        <v>4860</v>
      </c>
      <c r="FQ147" s="1208">
        <f>FR147-FP147</f>
        <v>2859</v>
      </c>
      <c r="FR147" s="1208">
        <v>7719</v>
      </c>
      <c r="FS147" s="1208">
        <f>FU147-FR147</f>
        <v>2416</v>
      </c>
      <c r="FT147" s="1208">
        <f>FQ147+FS147</f>
        <v>5275</v>
      </c>
      <c r="FU147" s="1208">
        <v>10135</v>
      </c>
      <c r="FV147" s="1214">
        <f>FX147-FW147</f>
        <v>3301</v>
      </c>
      <c r="FW147" s="1211">
        <v>3028</v>
      </c>
      <c r="FX147" s="1223">
        <v>6329</v>
      </c>
      <c r="FY147" s="1208">
        <f>FZ147-FX147</f>
        <v>3266</v>
      </c>
      <c r="FZ147" s="1208">
        <v>9595</v>
      </c>
      <c r="GA147" s="1208">
        <f>GC147-FZ147</f>
        <v>2832</v>
      </c>
      <c r="GB147" s="1208">
        <f>FY147+GA147</f>
        <v>6098</v>
      </c>
      <c r="GC147" s="1212">
        <v>12427</v>
      </c>
      <c r="GD147" s="1208">
        <v>3204</v>
      </c>
      <c r="GE147" s="1211">
        <v>3102</v>
      </c>
      <c r="GF147" s="1211">
        <f>GE147+GD147</f>
        <v>6306</v>
      </c>
      <c r="GG147" s="1208">
        <v>3363</v>
      </c>
      <c r="GH147" s="1208">
        <f>GG147+GF147</f>
        <v>9669</v>
      </c>
      <c r="GI147" s="1208">
        <f>GK147-GH147</f>
        <v>3113</v>
      </c>
      <c r="GJ147" s="1208">
        <f>GG147+GI147</f>
        <v>6476</v>
      </c>
      <c r="GK147" s="1212">
        <v>12782</v>
      </c>
      <c r="GL147" s="1208">
        <v>3456</v>
      </c>
      <c r="GM147" s="1211">
        <v>3283</v>
      </c>
      <c r="GN147" s="1211">
        <f>GM147+GL147</f>
        <v>6739</v>
      </c>
      <c r="GO147" s="1208">
        <v>3490</v>
      </c>
      <c r="GP147" s="1208">
        <f>GO147+GN147</f>
        <v>10229</v>
      </c>
      <c r="GQ147" s="1208">
        <f>GS147-GP147</f>
        <v>3292</v>
      </c>
      <c r="GR147" s="1208">
        <f>GO147+GQ147</f>
        <v>6782</v>
      </c>
      <c r="GS147" s="1212">
        <v>13521</v>
      </c>
      <c r="GT147" s="1208">
        <v>2648</v>
      </c>
      <c r="GU147" s="1211">
        <v>2278</v>
      </c>
      <c r="GV147" s="1211">
        <f>GU147+GT147</f>
        <v>4926</v>
      </c>
      <c r="GW147" s="1208">
        <v>3246</v>
      </c>
      <c r="GX147" s="1208"/>
      <c r="GY147" s="1208">
        <f>HA147-GX147</f>
        <v>11128</v>
      </c>
      <c r="GZ147" s="1208">
        <f>GW147+GY147</f>
        <v>14374</v>
      </c>
      <c r="HA147" s="1212">
        <v>11128</v>
      </c>
      <c r="HB147" s="1208">
        <v>2936</v>
      </c>
      <c r="HC147" s="1211">
        <v>2829</v>
      </c>
      <c r="HD147" s="1211">
        <f>HC147+HB147</f>
        <v>5765</v>
      </c>
      <c r="HE147" s="1208">
        <v>3018</v>
      </c>
      <c r="HF147" s="1208"/>
      <c r="HG147" s="1208">
        <v>2552</v>
      </c>
      <c r="HH147" s="1208"/>
      <c r="HI147" s="1212">
        <v>11336</v>
      </c>
      <c r="HJ147" s="1208">
        <v>3002</v>
      </c>
      <c r="HK147" s="1211">
        <v>3237</v>
      </c>
      <c r="HL147" s="1208"/>
      <c r="HM147" s="1208"/>
      <c r="HN147" s="1208"/>
      <c r="HO147" s="1208"/>
      <c r="HP147" s="1208"/>
      <c r="HQ147" s="1212"/>
      <c r="HR147" s="1208"/>
      <c r="HS147" s="1208"/>
      <c r="HT147" s="1208"/>
      <c r="HU147" s="1208"/>
      <c r="HV147" s="1208"/>
      <c r="HW147" s="1208"/>
      <c r="HX147" s="1208"/>
      <c r="HY147" s="1208"/>
      <c r="HZ147" s="1208">
        <v>3240</v>
      </c>
      <c r="IA147" s="1208">
        <v>3573</v>
      </c>
      <c r="IB147" s="1208"/>
      <c r="IC147" s="1208">
        <v>3773</v>
      </c>
      <c r="ID147" s="1208"/>
      <c r="IE147" s="1208">
        <v>3391</v>
      </c>
      <c r="IF147" s="1208"/>
      <c r="IG147" s="1212">
        <f>IE147+IC147+IA147+HZ147</f>
        <v>13977</v>
      </c>
      <c r="IH147" s="1208">
        <v>3760</v>
      </c>
      <c r="II147" s="1208">
        <v>3476</v>
      </c>
      <c r="IJ147" s="1208"/>
      <c r="IK147" s="1208">
        <v>3750</v>
      </c>
      <c r="IL147" s="1208"/>
      <c r="IM147" s="1208">
        <v>3245</v>
      </c>
      <c r="IN147" s="1208"/>
      <c r="IO147" s="1212">
        <f>IM147+IK147+II147+IH147</f>
        <v>14231</v>
      </c>
      <c r="IP147" s="1208">
        <v>3699</v>
      </c>
      <c r="IQ147" s="1208">
        <v>3492</v>
      </c>
      <c r="IR147" s="1181"/>
      <c r="IS147" s="1181"/>
      <c r="IT147" s="1181"/>
      <c r="IU147" s="1181"/>
      <c r="IV147" s="1181"/>
      <c r="IW147" s="1181"/>
      <c r="IX147" s="1178"/>
      <c r="IY147" s="1178"/>
      <c r="IZ147" s="1178"/>
      <c r="JA147" s="1178"/>
      <c r="JB147" s="1178"/>
      <c r="JC147" s="1178"/>
      <c r="JD147" s="1125"/>
      <c r="JE147" s="1126"/>
      <c r="JF147" s="1126"/>
      <c r="JG147" s="1126"/>
      <c r="JH147" s="1126"/>
      <c r="KP147" s="1203"/>
      <c r="LV147" s="1127"/>
    </row>
    <row r="148" s="1024" customFormat="1" spans="1:334">
      <c r="A148" s="967" t="s">
        <v>61</v>
      </c>
      <c r="B148" s="1121"/>
      <c r="C148" s="1121"/>
      <c r="D148" s="1121"/>
      <c r="E148" s="1121"/>
      <c r="F148" s="1121"/>
      <c r="G148" s="1121"/>
      <c r="H148" s="1121"/>
      <c r="I148" s="1121"/>
      <c r="J148" s="1121"/>
      <c r="K148" s="1121"/>
      <c r="L148" s="1121"/>
      <c r="M148" s="1121"/>
      <c r="N148" s="1121"/>
      <c r="O148" s="1121"/>
      <c r="P148" s="1121"/>
      <c r="Q148" s="1121"/>
      <c r="R148" s="1121"/>
      <c r="S148" s="1121"/>
      <c r="T148" s="1121"/>
      <c r="U148" s="1121"/>
      <c r="V148" s="1121"/>
      <c r="W148" s="1121"/>
      <c r="X148" s="1121"/>
      <c r="Y148" s="1121"/>
      <c r="Z148" s="1121"/>
      <c r="AA148" s="1121"/>
      <c r="AB148" s="1121"/>
      <c r="AC148" s="1121"/>
      <c r="AD148" s="1121"/>
      <c r="AE148" s="1121"/>
      <c r="AF148" s="1121"/>
      <c r="AG148" s="1121"/>
      <c r="AH148" s="1121"/>
      <c r="AI148" s="1121"/>
      <c r="AJ148" s="1121"/>
      <c r="AK148" s="1121"/>
      <c r="AL148" s="1121"/>
      <c r="AM148" s="1121"/>
      <c r="AN148" s="1121"/>
      <c r="AO148" s="1121"/>
      <c r="AP148" s="1121"/>
      <c r="AQ148" s="1121"/>
      <c r="AR148" s="1121"/>
      <c r="AS148" s="1121"/>
      <c r="AT148" s="1121"/>
      <c r="AU148" s="1121"/>
      <c r="AV148" s="1121"/>
      <c r="AW148" s="1121"/>
      <c r="AX148" s="1122"/>
      <c r="AY148" s="1121"/>
      <c r="AZ148" s="1121"/>
      <c r="BA148" s="1121"/>
      <c r="BB148" s="1121"/>
      <c r="BC148" s="1121"/>
      <c r="BD148" s="1121"/>
      <c r="BE148" s="1123"/>
      <c r="BF148" s="1121"/>
      <c r="BG148" s="1121"/>
      <c r="BH148" s="1121"/>
      <c r="BI148" s="1121"/>
      <c r="BJ148" s="1121"/>
      <c r="BK148" s="1121"/>
      <c r="BL148" s="1121"/>
      <c r="BM148" s="1121"/>
      <c r="BN148" s="1122"/>
      <c r="BO148" s="1121"/>
      <c r="BP148" s="1121"/>
      <c r="BQ148" s="1121"/>
      <c r="BR148" s="1121"/>
      <c r="BS148" s="1121"/>
      <c r="BT148" s="1121"/>
      <c r="BU148" s="1123"/>
      <c r="BV148" s="1122"/>
      <c r="BW148" s="1121"/>
      <c r="BX148" s="1121"/>
      <c r="BY148" s="1121"/>
      <c r="BZ148" s="1121"/>
      <c r="CA148" s="1121"/>
      <c r="CB148" s="1121"/>
      <c r="CC148" s="1123"/>
      <c r="CD148" s="1122"/>
      <c r="CE148" s="1121"/>
      <c r="CF148" s="1121"/>
      <c r="CG148" s="1121"/>
      <c r="CH148" s="1121"/>
      <c r="CI148" s="1121"/>
      <c r="CJ148" s="917"/>
      <c r="CK148" s="1123"/>
      <c r="CL148" s="1122"/>
      <c r="CM148" s="1121"/>
      <c r="CN148" s="1121"/>
      <c r="CO148" s="1121"/>
      <c r="CP148" s="1121"/>
      <c r="CQ148" s="1121"/>
      <c r="CR148" s="1121"/>
      <c r="CS148" s="1123"/>
      <c r="CT148" s="1122"/>
      <c r="CU148" s="1121"/>
      <c r="CV148" s="1121"/>
      <c r="CW148" s="1205"/>
      <c r="CX148" s="1205"/>
      <c r="CY148" s="1121"/>
      <c r="CZ148" s="1121"/>
      <c r="DA148" s="1121"/>
      <c r="DB148" s="1114"/>
      <c r="DC148" s="1114"/>
      <c r="DD148" s="1114"/>
      <c r="DE148" s="1206"/>
      <c r="DF148" s="1206"/>
      <c r="DG148" s="1114"/>
      <c r="DH148" s="1114"/>
      <c r="DI148" s="1207"/>
      <c r="DJ148" s="1083"/>
      <c r="DK148" s="1083"/>
      <c r="DL148" s="1083"/>
      <c r="DM148" s="1083"/>
      <c r="DN148" s="1083"/>
      <c r="DO148" s="1083"/>
      <c r="DP148" s="1083"/>
      <c r="DQ148" s="1084"/>
      <c r="DR148" s="1083"/>
      <c r="DS148" s="1083"/>
      <c r="DT148" s="1083"/>
      <c r="DU148" s="1083"/>
      <c r="DV148" s="1083"/>
      <c r="DW148" s="1083"/>
      <c r="DX148" s="1083"/>
      <c r="DY148" s="1084">
        <f t="shared" ref="DY148:EH148" si="720">DY147/DQ147-1</f>
        <v>0.0955478755844683</v>
      </c>
      <c r="DZ148" s="1083">
        <f t="shared" si="720"/>
        <v>0.272798742138365</v>
      </c>
      <c r="EA148" s="1083">
        <f t="shared" si="720"/>
        <v>0.119907763259032</v>
      </c>
      <c r="EB148" s="1083">
        <f t="shared" si="720"/>
        <v>0.195491643995336</v>
      </c>
      <c r="EC148" s="1083">
        <f t="shared" si="720"/>
        <v>0.105361596009975</v>
      </c>
      <c r="ED148" s="1083">
        <f t="shared" si="720"/>
        <v>0.160881015082595</v>
      </c>
      <c r="EE148" s="1083">
        <f t="shared" si="720"/>
        <v>0.149339933993399</v>
      </c>
      <c r="EF148" s="1083">
        <f t="shared" si="720"/>
        <v>0.124289772727273</v>
      </c>
      <c r="EG148" s="1084">
        <f t="shared" si="720"/>
        <v>0.158285396177398</v>
      </c>
      <c r="EH148" s="1083">
        <f t="shared" si="720"/>
        <v>0.141445336627548</v>
      </c>
      <c r="EI148" s="1083">
        <f t="shared" ref="EI148:EO148" si="721">EI147/EA147-1</f>
        <v>0.0803019903912148</v>
      </c>
      <c r="EJ148" s="1083">
        <f t="shared" si="721"/>
        <v>0.112483745123537</v>
      </c>
      <c r="EK148" s="1083">
        <f t="shared" si="721"/>
        <v>0.128595600676819</v>
      </c>
      <c r="EL148" s="1083">
        <f t="shared" si="721"/>
        <v>0.118374922664467</v>
      </c>
      <c r="EM148" s="1083">
        <f t="shared" si="721"/>
        <v>0.0760947595118449</v>
      </c>
      <c r="EN148" s="1083">
        <f t="shared" si="721"/>
        <v>0.105495893872394</v>
      </c>
      <c r="EO148" s="1084">
        <f t="shared" si="721"/>
        <v>0.108939442486383</v>
      </c>
      <c r="EP148" s="1083">
        <f t="shared" ref="EP148:EZ148" si="722">EP147/EH147-1</f>
        <v>0.0140692640692641</v>
      </c>
      <c r="EQ148" s="1083">
        <f t="shared" si="722"/>
        <v>0.0349428208386278</v>
      </c>
      <c r="ER148" s="1083">
        <f t="shared" si="722"/>
        <v>0.0236703682057275</v>
      </c>
      <c r="ES148" s="1083">
        <f t="shared" si="722"/>
        <v>-0.0749625187406296</v>
      </c>
      <c r="ET148" s="1083">
        <f t="shared" si="722"/>
        <v>-0.0127235847316983</v>
      </c>
      <c r="EU148" s="1083">
        <f t="shared" si="722"/>
        <v>-0.177451634422949</v>
      </c>
      <c r="EV148" s="1083">
        <f t="shared" si="722"/>
        <v>-0.118857142857143</v>
      </c>
      <c r="EW148" s="1084">
        <f t="shared" si="722"/>
        <v>-0.0483964172204565</v>
      </c>
      <c r="EX148" s="1083">
        <f t="shared" si="722"/>
        <v>-0.0960512273212379</v>
      </c>
      <c r="EY148" s="1083">
        <f t="shared" si="722"/>
        <v>-0.0184162062615101</v>
      </c>
      <c r="EZ148" s="1083">
        <f t="shared" si="722"/>
        <v>-0.0599486154724522</v>
      </c>
      <c r="FA148" s="1083">
        <f t="shared" ref="FA148:FL148" si="723">FA147/ES147-1</f>
        <v>0.0750945434900054</v>
      </c>
      <c r="FB148" s="1083">
        <f t="shared" si="723"/>
        <v>-0.0132611131864027</v>
      </c>
      <c r="FC148" s="1083">
        <f t="shared" si="723"/>
        <v>0.115166261151663</v>
      </c>
      <c r="FD148" s="1083">
        <f t="shared" si="723"/>
        <v>0.0911154345006484</v>
      </c>
      <c r="FE148" s="1084">
        <f t="shared" si="723"/>
        <v>0.0107788067405497</v>
      </c>
      <c r="FF148" s="1083">
        <f t="shared" si="723"/>
        <v>0.231995277449823</v>
      </c>
      <c r="FG148" s="1083">
        <f t="shared" si="723"/>
        <v>0.227016885553471</v>
      </c>
      <c r="FH148" s="1083">
        <f t="shared" si="723"/>
        <v>0.229577892499241</v>
      </c>
      <c r="FI148" s="1083">
        <f t="shared" si="723"/>
        <v>0.18391959798995</v>
      </c>
      <c r="FJ148" s="1083">
        <f t="shared" si="723"/>
        <v>0.212379329926178</v>
      </c>
      <c r="FK148" s="1083">
        <f t="shared" si="723"/>
        <v>0.421818181818182</v>
      </c>
      <c r="FL148" s="1083">
        <f t="shared" si="723"/>
        <v>0.28112927191679</v>
      </c>
      <c r="FM148" s="1084">
        <f t="shared" ref="FM148:FR148" si="724">FM147/FE147-1</f>
        <v>0.255632322018624</v>
      </c>
      <c r="FN148" s="1083">
        <f t="shared" si="724"/>
        <v>0.230953521801629</v>
      </c>
      <c r="FO148" s="1083">
        <f t="shared" si="724"/>
        <v>0.167686034658512</v>
      </c>
      <c r="FP148" s="1083">
        <f t="shared" si="724"/>
        <v>0.200296369473944</v>
      </c>
      <c r="FQ148" s="1083">
        <f t="shared" si="724"/>
        <v>0.213497453310696</v>
      </c>
      <c r="FR148" s="1083">
        <f t="shared" si="724"/>
        <v>0.205152224824356</v>
      </c>
      <c r="FS148" s="1083">
        <f t="shared" ref="FS148:FX148" si="725">FS147/FK147-1</f>
        <v>0.235805626598465</v>
      </c>
      <c r="FT148" s="1083">
        <f t="shared" si="725"/>
        <v>0.223614010670378</v>
      </c>
      <c r="FU148" s="1083">
        <f t="shared" si="725"/>
        <v>0.212320574162679</v>
      </c>
      <c r="FV148" s="1086">
        <f t="shared" si="725"/>
        <v>0.284935772674192</v>
      </c>
      <c r="FW148" s="1087">
        <f t="shared" si="725"/>
        <v>0.321693583587953</v>
      </c>
      <c r="FX148" s="1087">
        <f t="shared" si="725"/>
        <v>0.302263374485597</v>
      </c>
      <c r="FY148" s="1083">
        <f t="shared" ref="FY148" si="726">FY147/FQ147-1</f>
        <v>0.14235746764603</v>
      </c>
      <c r="FZ148" s="1083">
        <f t="shared" ref="FZ148" si="727">FZ147/FR147-1</f>
        <v>0.243036662780153</v>
      </c>
      <c r="GA148" s="1083">
        <f t="shared" ref="GA148" si="728">GA147/FS147-1</f>
        <v>0.172185430463576</v>
      </c>
      <c r="GB148" s="1083">
        <f t="shared" ref="GB148:GH148" si="729">GB147/FT147-1</f>
        <v>0.156018957345972</v>
      </c>
      <c r="GC148" s="1084">
        <f t="shared" si="729"/>
        <v>0.226147015293537</v>
      </c>
      <c r="GD148" s="1086">
        <f t="shared" si="729"/>
        <v>-0.0293850348379279</v>
      </c>
      <c r="GE148" s="1087">
        <f t="shared" si="729"/>
        <v>0.02443857331572</v>
      </c>
      <c r="GF148" s="1087">
        <f t="shared" si="729"/>
        <v>-0.00363406541317746</v>
      </c>
      <c r="GG148" s="1087">
        <f t="shared" si="729"/>
        <v>0.0296999387630128</v>
      </c>
      <c r="GH148" s="1083">
        <f t="shared" si="729"/>
        <v>0.00771235018238658</v>
      </c>
      <c r="GI148" s="1083">
        <f t="shared" ref="GI148" si="730">GI147/GA147-1</f>
        <v>0.099223163841808</v>
      </c>
      <c r="GJ148" s="1083">
        <f t="shared" ref="GJ148" si="731">GJ147/GB147-1</f>
        <v>0.0619875368973435</v>
      </c>
      <c r="GK148" s="1084">
        <f t="shared" ref="GK148:GP148" si="732">GK147/GC147-1</f>
        <v>0.0285668302888871</v>
      </c>
      <c r="GL148" s="1087">
        <f t="shared" si="732"/>
        <v>0.0786516853932584</v>
      </c>
      <c r="GM148" s="1087">
        <f t="shared" si="732"/>
        <v>0.0583494519664733</v>
      </c>
      <c r="GN148" s="1087">
        <f t="shared" si="732"/>
        <v>0.0686647637170947</v>
      </c>
      <c r="GO148" s="1087">
        <f t="shared" si="732"/>
        <v>0.0377639012786202</v>
      </c>
      <c r="GP148" s="1083">
        <f t="shared" si="732"/>
        <v>0.0579170545040852</v>
      </c>
      <c r="GQ148" s="1083">
        <f t="shared" ref="GQ148" si="733">GQ147/GI147-1</f>
        <v>0.057500803083842</v>
      </c>
      <c r="GR148" s="1083">
        <f t="shared" ref="GR148" si="734">GR147/GJ147-1</f>
        <v>0.0472513897467572</v>
      </c>
      <c r="GS148" s="1084">
        <f t="shared" ref="GS148:GW148" si="735">GS147/GK147-1</f>
        <v>0.057815678297606</v>
      </c>
      <c r="GT148" s="1087">
        <f t="shared" si="735"/>
        <v>-0.233796296296296</v>
      </c>
      <c r="GU148" s="1087">
        <f t="shared" si="735"/>
        <v>-0.306122448979592</v>
      </c>
      <c r="GV148" s="1087">
        <f t="shared" si="735"/>
        <v>-0.269031013503487</v>
      </c>
      <c r="GW148" s="1087">
        <f t="shared" si="735"/>
        <v>-0.0699140401146132</v>
      </c>
      <c r="GX148" s="1083"/>
      <c r="GY148" s="1083">
        <f t="shared" ref="GY148" si="736">GY147/GQ147-1</f>
        <v>2.38031591737546</v>
      </c>
      <c r="GZ148" s="1083">
        <f t="shared" ref="GZ148" si="737">GZ147/GR147-1</f>
        <v>1.11943379534061</v>
      </c>
      <c r="HA148" s="1084">
        <f t="shared" ref="HA148" si="738">HA147/GS147-1</f>
        <v>-0.176983950891206</v>
      </c>
      <c r="HB148" s="1087">
        <f>HB147/2385-1</f>
        <v>0.231027253668763</v>
      </c>
      <c r="HC148" s="1087">
        <f>HC147/GU147-1</f>
        <v>0.241878841088674</v>
      </c>
      <c r="HD148" s="1087">
        <f>HD147/GV147-1</f>
        <v>0.170320747056435</v>
      </c>
      <c r="HE148" s="1087">
        <f>HE147/GW147-1</f>
        <v>-0.0702402957486137</v>
      </c>
      <c r="HF148" s="1083"/>
      <c r="HG148" s="1083">
        <f t="shared" ref="HG148" si="739">HG147/GY147-1</f>
        <v>-0.770668583752696</v>
      </c>
      <c r="HH148" s="1083"/>
      <c r="HI148" s="1084">
        <f t="shared" ref="HI148:HK148" si="740">HI147/HA147-1</f>
        <v>0.0186915887850467</v>
      </c>
      <c r="HJ148" s="1087">
        <f t="shared" si="740"/>
        <v>0.0224795640326976</v>
      </c>
      <c r="HK148" s="1087">
        <f t="shared" si="740"/>
        <v>0.144220572640509</v>
      </c>
      <c r="HL148" s="1083"/>
      <c r="HM148" s="1083"/>
      <c r="HN148" s="1083"/>
      <c r="HO148" s="1083"/>
      <c r="HP148" s="1083"/>
      <c r="HQ148" s="1084"/>
      <c r="HR148" s="1083"/>
      <c r="HS148" s="1083"/>
      <c r="HT148" s="1083"/>
      <c r="HU148" s="1083"/>
      <c r="HV148" s="1083"/>
      <c r="HW148" s="1083"/>
      <c r="HX148" s="1083"/>
      <c r="HY148" s="1083"/>
      <c r="HZ148" s="1083"/>
      <c r="IA148" s="1083"/>
      <c r="IB148" s="1083"/>
      <c r="IC148" s="1083"/>
      <c r="ID148" s="1083"/>
      <c r="IE148" s="1083"/>
      <c r="IF148" s="1083"/>
      <c r="IG148" s="1084"/>
      <c r="IH148" s="1083">
        <f>IH147/HZ147-1</f>
        <v>0.160493827160494</v>
      </c>
      <c r="II148" s="1083">
        <f>II147/IA147-1</f>
        <v>-0.0271480548558635</v>
      </c>
      <c r="IJ148" s="1083"/>
      <c r="IK148" s="1083">
        <f>IK147/IC147-1</f>
        <v>-0.00609594487145504</v>
      </c>
      <c r="IL148" s="1083"/>
      <c r="IM148" s="1083">
        <f t="shared" ref="IM148:IQ148" si="741">IM147/IE147-1</f>
        <v>-0.0430551459746388</v>
      </c>
      <c r="IN148" s="1083" t="e">
        <f t="shared" si="741"/>
        <v>#DIV/0!</v>
      </c>
      <c r="IO148" s="1084">
        <f t="shared" si="741"/>
        <v>0.0181727123130857</v>
      </c>
      <c r="IP148" s="1083">
        <f t="shared" si="741"/>
        <v>-0.0162234042553191</v>
      </c>
      <c r="IQ148" s="1083">
        <f t="shared" si="741"/>
        <v>0.0046029919447641</v>
      </c>
      <c r="IR148" s="1181"/>
      <c r="IS148" s="1181"/>
      <c r="IT148" s="1181"/>
      <c r="IU148" s="1181"/>
      <c r="IV148" s="1181"/>
      <c r="IW148" s="1181"/>
      <c r="IX148" s="1178"/>
      <c r="IY148" s="1178"/>
      <c r="IZ148" s="1178"/>
      <c r="JA148" s="1178"/>
      <c r="JB148" s="1073" t="s">
        <v>384</v>
      </c>
      <c r="JC148" s="1073" t="s">
        <v>385</v>
      </c>
      <c r="JD148" s="1119" t="s">
        <v>387</v>
      </c>
      <c r="JE148" s="1119" t="s">
        <v>389</v>
      </c>
      <c r="JF148" s="1119"/>
      <c r="JG148" s="1119" t="s">
        <v>392</v>
      </c>
      <c r="JH148" s="1119"/>
      <c r="JI148" s="1119" t="s">
        <v>393</v>
      </c>
      <c r="JJ148" s="1119"/>
      <c r="JK148" s="1119" t="s">
        <v>395</v>
      </c>
      <c r="JL148" s="1119" t="s">
        <v>397</v>
      </c>
      <c r="JM148" s="1126"/>
      <c r="JN148" s="1119" t="s">
        <v>400</v>
      </c>
      <c r="JO148" s="1119"/>
      <c r="JP148" s="1119" t="s">
        <v>401</v>
      </c>
      <c r="JQ148" s="1119" t="s">
        <v>403</v>
      </c>
      <c r="JR148" s="1119" t="s">
        <v>405</v>
      </c>
      <c r="JS148" s="1119" t="s">
        <v>408</v>
      </c>
      <c r="JT148" s="1119" t="s">
        <v>409</v>
      </c>
      <c r="JU148" s="1119" t="s">
        <v>411</v>
      </c>
      <c r="JV148" s="1119" t="s">
        <v>413</v>
      </c>
      <c r="KP148" s="1203"/>
      <c r="LV148" s="1127"/>
    </row>
    <row r="149" s="1024" customFormat="1" spans="1:334">
      <c r="A149" s="967" t="s">
        <v>63</v>
      </c>
      <c r="B149" s="1121"/>
      <c r="C149" s="1121"/>
      <c r="D149" s="1121"/>
      <c r="E149" s="1121"/>
      <c r="F149" s="1121"/>
      <c r="G149" s="1121"/>
      <c r="H149" s="1121"/>
      <c r="I149" s="1121"/>
      <c r="J149" s="1121"/>
      <c r="K149" s="1121"/>
      <c r="L149" s="1121"/>
      <c r="M149" s="1121"/>
      <c r="N149" s="1121"/>
      <c r="O149" s="1121"/>
      <c r="P149" s="1121"/>
      <c r="Q149" s="1121"/>
      <c r="R149" s="1121"/>
      <c r="S149" s="1121"/>
      <c r="T149" s="1121"/>
      <c r="U149" s="1121"/>
      <c r="V149" s="1121"/>
      <c r="W149" s="1121"/>
      <c r="X149" s="1121"/>
      <c r="Y149" s="1121"/>
      <c r="Z149" s="1121"/>
      <c r="AA149" s="1121"/>
      <c r="AB149" s="1121"/>
      <c r="AC149" s="1121"/>
      <c r="AD149" s="1121"/>
      <c r="AE149" s="1121"/>
      <c r="AF149" s="1121"/>
      <c r="AG149" s="1121"/>
      <c r="AH149" s="1121"/>
      <c r="AI149" s="1121"/>
      <c r="AJ149" s="1121"/>
      <c r="AK149" s="1121"/>
      <c r="AL149" s="1121"/>
      <c r="AM149" s="1121"/>
      <c r="AN149" s="1121"/>
      <c r="AO149" s="1121"/>
      <c r="AP149" s="1121"/>
      <c r="AQ149" s="1121"/>
      <c r="AR149" s="1121"/>
      <c r="AS149" s="1121"/>
      <c r="AT149" s="1121"/>
      <c r="AU149" s="1121"/>
      <c r="AV149" s="1121"/>
      <c r="AW149" s="1121"/>
      <c r="AX149" s="1122"/>
      <c r="AY149" s="1121"/>
      <c r="AZ149" s="1121"/>
      <c r="BA149" s="1121"/>
      <c r="BB149" s="1121"/>
      <c r="BC149" s="1121"/>
      <c r="BD149" s="1121"/>
      <c r="BE149" s="1123"/>
      <c r="BF149" s="1121"/>
      <c r="BG149" s="1121"/>
      <c r="BH149" s="1121"/>
      <c r="BI149" s="1121"/>
      <c r="BJ149" s="1121"/>
      <c r="BK149" s="1121"/>
      <c r="BL149" s="1121"/>
      <c r="BM149" s="1121"/>
      <c r="BN149" s="1122"/>
      <c r="BO149" s="1121"/>
      <c r="BP149" s="1121"/>
      <c r="BQ149" s="1121"/>
      <c r="BR149" s="1121"/>
      <c r="BS149" s="1121"/>
      <c r="BT149" s="1121"/>
      <c r="BU149" s="1123"/>
      <c r="BV149" s="1122"/>
      <c r="BW149" s="1121"/>
      <c r="BX149" s="1121"/>
      <c r="BY149" s="1121"/>
      <c r="BZ149" s="1121"/>
      <c r="CA149" s="1121"/>
      <c r="CB149" s="1121"/>
      <c r="CC149" s="1123"/>
      <c r="CD149" s="1122"/>
      <c r="CE149" s="1121"/>
      <c r="CF149" s="1121"/>
      <c r="CG149" s="1121"/>
      <c r="CH149" s="1121"/>
      <c r="CI149" s="1121"/>
      <c r="CJ149" s="917"/>
      <c r="CK149" s="1123"/>
      <c r="CL149" s="1122"/>
      <c r="CM149" s="1121"/>
      <c r="CN149" s="1121"/>
      <c r="CO149" s="1121"/>
      <c r="CP149" s="1121"/>
      <c r="CQ149" s="1121"/>
      <c r="CR149" s="1121"/>
      <c r="CS149" s="1123"/>
      <c r="CT149" s="1122"/>
      <c r="CU149" s="1121"/>
      <c r="CV149" s="1121"/>
      <c r="CW149" s="1205"/>
      <c r="CX149" s="1205"/>
      <c r="CY149" s="1121"/>
      <c r="CZ149" s="1121"/>
      <c r="DA149" s="1121"/>
      <c r="DB149" s="1114"/>
      <c r="DC149" s="1114"/>
      <c r="DD149" s="1114"/>
      <c r="DE149" s="1206"/>
      <c r="DF149" s="1206"/>
      <c r="DG149" s="1114"/>
      <c r="DH149" s="1114"/>
      <c r="DI149" s="1207"/>
      <c r="DJ149" s="1083"/>
      <c r="DK149" s="1083"/>
      <c r="DL149" s="1083"/>
      <c r="DM149" s="1083"/>
      <c r="DN149" s="1083"/>
      <c r="DO149" s="1083"/>
      <c r="DP149" s="1083"/>
      <c r="DQ149" s="1084"/>
      <c r="DR149" s="1083"/>
      <c r="DS149" s="1083"/>
      <c r="DT149" s="1083"/>
      <c r="DU149" s="1083"/>
      <c r="DV149" s="1083"/>
      <c r="DW149" s="1083"/>
      <c r="DX149" s="1083"/>
      <c r="DY149" s="1084">
        <f t="shared" ref="DY149:EH149" si="742">DY148-DY150</f>
        <v>0.00554787558446831</v>
      </c>
      <c r="DZ149" s="1083">
        <f t="shared" si="742"/>
        <v>0.0427987421383648</v>
      </c>
      <c r="EA149" s="1083">
        <f t="shared" si="742"/>
        <v>-0.0705380476556494</v>
      </c>
      <c r="EB149" s="1083">
        <f t="shared" si="742"/>
        <v>-0.0145083560046637</v>
      </c>
      <c r="EC149" s="1083">
        <f t="shared" si="742"/>
        <v>-0.0525561097256859</v>
      </c>
      <c r="ED149" s="1083">
        <f t="shared" si="742"/>
        <v>-0.0291189849174048</v>
      </c>
      <c r="EE149" s="1083">
        <f t="shared" si="742"/>
        <v>0.00380363036303633</v>
      </c>
      <c r="EF149" s="1083">
        <f t="shared" si="742"/>
        <v>-0.0282990056818182</v>
      </c>
      <c r="EG149" s="1084">
        <f t="shared" si="742"/>
        <v>-0.0217146038226015</v>
      </c>
      <c r="EH149" s="1083">
        <f t="shared" si="742"/>
        <v>0.0214453366275479</v>
      </c>
      <c r="EI149" s="1083">
        <f t="shared" ref="EI149:EO149" si="743">EI148-EI150</f>
        <v>0.0658613589567604</v>
      </c>
      <c r="EJ149" s="1083">
        <f t="shared" si="743"/>
        <v>0.042483745123537</v>
      </c>
      <c r="EK149" s="1083">
        <f t="shared" si="743"/>
        <v>0.0859447264523407</v>
      </c>
      <c r="EL149" s="1083">
        <f t="shared" si="743"/>
        <v>0.0583749226644668</v>
      </c>
      <c r="EM149" s="1083">
        <f t="shared" si="743"/>
        <v>0.0160947595118449</v>
      </c>
      <c r="EN149" s="1083">
        <f t="shared" si="743"/>
        <v>0.0552116234996842</v>
      </c>
      <c r="EO149" s="1084">
        <f t="shared" si="743"/>
        <v>0.0489394424863825</v>
      </c>
      <c r="EP149" s="1083">
        <f t="shared" ref="EP149:EX149" si="744">EP148-EP150</f>
        <v>-0.0159307359307359</v>
      </c>
      <c r="EQ149" s="1083">
        <f t="shared" si="744"/>
        <v>-0.0385387547649301</v>
      </c>
      <c r="ER149" s="1083">
        <f t="shared" si="744"/>
        <v>-0.0263296317942725</v>
      </c>
      <c r="ES149" s="1083">
        <f t="shared" si="744"/>
        <v>-0.070759620189905</v>
      </c>
      <c r="ET149" s="1083">
        <f t="shared" si="744"/>
        <v>-0.0427235847316983</v>
      </c>
      <c r="EU149" s="1083">
        <f t="shared" si="744"/>
        <v>-0.253629086057372</v>
      </c>
      <c r="EV149" s="1083">
        <f t="shared" si="744"/>
        <v>-0.14908</v>
      </c>
      <c r="EW149" s="1084">
        <f t="shared" si="744"/>
        <v>-0.0883964172204565</v>
      </c>
      <c r="EX149" s="1083">
        <f t="shared" si="744"/>
        <v>-0.0660512273212379</v>
      </c>
      <c r="EY149" s="1083">
        <f t="shared" ref="EY149:FJ149" si="745">EY148-EY150</f>
        <v>-0.0744321669736034</v>
      </c>
      <c r="EZ149" s="1083">
        <f t="shared" si="745"/>
        <v>-0.0699486154724522</v>
      </c>
      <c r="FA149" s="1083">
        <f t="shared" si="745"/>
        <v>-0.0216801728795245</v>
      </c>
      <c r="FB149" s="1083">
        <f t="shared" si="745"/>
        <v>-0.0532611131864027</v>
      </c>
      <c r="FC149" s="1083">
        <f t="shared" si="745"/>
        <v>0.0217437145174371</v>
      </c>
      <c r="FD149" s="1083">
        <f t="shared" si="745"/>
        <v>-0.00431906614786004</v>
      </c>
      <c r="FE149" s="1084">
        <f t="shared" si="745"/>
        <v>-0.0392211932594504</v>
      </c>
      <c r="FF149" s="1083">
        <f t="shared" si="745"/>
        <v>0.0519952774498229</v>
      </c>
      <c r="FG149" s="1083">
        <f t="shared" si="745"/>
        <v>0.0531951219512195</v>
      </c>
      <c r="FH149" s="1083">
        <f t="shared" si="745"/>
        <v>0.0525778924992409</v>
      </c>
      <c r="FI149" s="1083">
        <f t="shared" si="745"/>
        <v>0.00426482412060303</v>
      </c>
      <c r="FJ149" s="1083">
        <f t="shared" si="745"/>
        <v>0.0343793299261783</v>
      </c>
      <c r="FK149" s="1083">
        <f t="shared" ref="FK149:FR149" si="746">FK148-FK150</f>
        <v>0.185712</v>
      </c>
      <c r="FL149" s="1083">
        <f t="shared" si="746"/>
        <v>0.0784074294205051</v>
      </c>
      <c r="FM149" s="1084">
        <f t="shared" si="746"/>
        <v>0.0656323220186243</v>
      </c>
      <c r="FN149" s="1083">
        <f t="shared" si="746"/>
        <v>-0.0590464781983708</v>
      </c>
      <c r="FO149" s="1083">
        <f t="shared" si="746"/>
        <v>-0.0810397553516821</v>
      </c>
      <c r="FP149" s="1083">
        <f t="shared" si="746"/>
        <v>-0.0697036305260559</v>
      </c>
      <c r="FQ149" s="1083">
        <f t="shared" si="746"/>
        <v>-0.0465025466893039</v>
      </c>
      <c r="FR149" s="1083">
        <f t="shared" si="746"/>
        <v>-0.0611693989071038</v>
      </c>
      <c r="FS149" s="1083">
        <f t="shared" ref="FS149:FZ149" si="747">FS148-FS150</f>
        <v>-0.00348337595907935</v>
      </c>
      <c r="FT149" s="1083">
        <f t="shared" si="747"/>
        <v>-0.0269937369519833</v>
      </c>
      <c r="FU149" s="1083">
        <f t="shared" si="747"/>
        <v>-0.0476794258373205</v>
      </c>
      <c r="FV149" s="1086">
        <f t="shared" si="747"/>
        <v>0.0316893732970027</v>
      </c>
      <c r="FW149" s="1087">
        <f t="shared" si="747"/>
        <v>0.0116935835879529</v>
      </c>
      <c r="FX149" s="1087">
        <f t="shared" si="747"/>
        <v>0.0222633744855967</v>
      </c>
      <c r="FY149" s="1083">
        <f t="shared" si="747"/>
        <v>-0.0376425323539698</v>
      </c>
      <c r="FZ149" s="1083">
        <f t="shared" si="747"/>
        <v>7.51392667442952e-5</v>
      </c>
      <c r="GA149" s="1083">
        <f t="shared" ref="GA149:GC149" si="748">GA148-GA150</f>
        <v>-0.0583526490066225</v>
      </c>
      <c r="GB149" s="1083">
        <f t="shared" si="748"/>
        <v>-0.047127962085308</v>
      </c>
      <c r="GC149" s="1084">
        <f t="shared" si="748"/>
        <v>-0.0138529847064628</v>
      </c>
      <c r="GD149" s="1086">
        <f t="shared" ref="GD149:GF149" si="749">GD148-GD150</f>
        <v>-0.0793850348379279</v>
      </c>
      <c r="GE149" s="1087">
        <f t="shared" si="749"/>
        <v>-0.06556142668428</v>
      </c>
      <c r="GF149" s="1087">
        <f t="shared" si="749"/>
        <v>-0.0727713698846579</v>
      </c>
      <c r="GG149" s="1087">
        <f t="shared" ref="GG149:GN149" si="750">GG148-GG150</f>
        <v>-0.0503000612369872</v>
      </c>
      <c r="GH149" s="1083">
        <f t="shared" si="750"/>
        <v>-0.0651224596143826</v>
      </c>
      <c r="GI149" s="1083">
        <f t="shared" si="750"/>
        <v>0.029223163841808</v>
      </c>
      <c r="GJ149" s="1083">
        <f t="shared" si="750"/>
        <v>-0.0133683174811413</v>
      </c>
      <c r="GK149" s="1084">
        <f t="shared" si="750"/>
        <v>-0.0514331697111129</v>
      </c>
      <c r="GL149" s="1087">
        <f t="shared" si="750"/>
        <v>0.0486516853932584</v>
      </c>
      <c r="GM149" s="1087">
        <f t="shared" si="750"/>
        <v>0.00834945196647334</v>
      </c>
      <c r="GN149" s="1087">
        <f t="shared" si="750"/>
        <v>0.0288265144307008</v>
      </c>
      <c r="GO149" s="1087">
        <f t="shared" ref="GO149:GS149" si="751">GO148-GO150</f>
        <v>0.0277639012786202</v>
      </c>
      <c r="GP149" s="1083">
        <f t="shared" si="751"/>
        <v>0.0284569241907126</v>
      </c>
      <c r="GQ149" s="1083">
        <f t="shared" si="751"/>
        <v>-0.022499196916158</v>
      </c>
      <c r="GR149" s="1083">
        <f t="shared" si="751"/>
        <v>0.00360253242742432</v>
      </c>
      <c r="GS149" s="1084">
        <f t="shared" si="751"/>
        <v>0.017815678297606</v>
      </c>
      <c r="GT149" s="1087">
        <f t="shared" ref="GT149:GW149" si="752">GT148-GT150</f>
        <v>0.00620370370370371</v>
      </c>
      <c r="GU149" s="1087">
        <f t="shared" si="752"/>
        <v>-0.0161224489795919</v>
      </c>
      <c r="GV149" s="1087">
        <f t="shared" si="752"/>
        <v>-0.00467280011871196</v>
      </c>
      <c r="GW149" s="1087">
        <f t="shared" si="752"/>
        <v>-0.0499140401146132</v>
      </c>
      <c r="GX149" s="1083"/>
      <c r="GY149" s="1083">
        <f t="shared" ref="GY149:HA149" si="753">GY148-GY150</f>
        <v>2.30031591737546</v>
      </c>
      <c r="GZ149" s="1083">
        <f t="shared" si="753"/>
        <v>1.0908935417281</v>
      </c>
      <c r="HA149" s="1084">
        <f t="shared" si="753"/>
        <v>-0.0269839508912062</v>
      </c>
      <c r="HB149" s="1087">
        <f t="shared" ref="HB149:HE149" si="754">HB148-HB150</f>
        <v>-0.0789727463312368</v>
      </c>
      <c r="HC149" s="1087">
        <f t="shared" si="754"/>
        <v>-0.138121158911326</v>
      </c>
      <c r="HD149" s="1087">
        <f t="shared" si="754"/>
        <v>-0.172050345107592</v>
      </c>
      <c r="HE149" s="1087">
        <f t="shared" si="754"/>
        <v>-0.0902402957486137</v>
      </c>
      <c r="HF149" s="1083"/>
      <c r="HG149" s="1083">
        <f t="shared" ref="HG149" si="755">HG148-HG150</f>
        <v>-0.690668583752696</v>
      </c>
      <c r="HH149" s="1083"/>
      <c r="HI149" s="1084">
        <f t="shared" ref="HI149:HK149" si="756">HI148-HI150</f>
        <v>-0.111308411214953</v>
      </c>
      <c r="HJ149" s="1087">
        <f t="shared" si="756"/>
        <v>0.0424795640326976</v>
      </c>
      <c r="HK149" s="1087">
        <f t="shared" si="756"/>
        <v>0.074220572640509</v>
      </c>
      <c r="HL149" s="1083"/>
      <c r="HM149" s="1083"/>
      <c r="HN149" s="1083"/>
      <c r="HO149" s="1083"/>
      <c r="HP149" s="1083"/>
      <c r="HQ149" s="1084"/>
      <c r="HR149" s="1083"/>
      <c r="HS149" s="1083"/>
      <c r="HT149" s="1083"/>
      <c r="HU149" s="1083"/>
      <c r="HV149" s="1083"/>
      <c r="HW149" s="1083"/>
      <c r="HX149" s="1083"/>
      <c r="HY149" s="1083"/>
      <c r="HZ149" s="1083"/>
      <c r="IA149" s="1083"/>
      <c r="IB149" s="1083"/>
      <c r="IC149" s="1083"/>
      <c r="ID149" s="1083"/>
      <c r="IE149" s="1083"/>
      <c r="IF149" s="1083"/>
      <c r="IG149" s="1084"/>
      <c r="IH149" s="1083"/>
      <c r="II149" s="1083"/>
      <c r="IJ149" s="1083"/>
      <c r="IK149" s="1083"/>
      <c r="IL149" s="1083"/>
      <c r="IM149" s="1083"/>
      <c r="IN149" s="1083"/>
      <c r="IO149" s="1084"/>
      <c r="IP149" s="1083"/>
      <c r="IQ149" s="1083"/>
      <c r="IR149" s="1181"/>
      <c r="IS149" s="1181"/>
      <c r="IT149" s="1181"/>
      <c r="IU149" s="1181"/>
      <c r="IV149" s="1181"/>
      <c r="IW149" s="1181"/>
      <c r="IX149" s="1178"/>
      <c r="IY149" s="1178"/>
      <c r="IZ149" s="1178"/>
      <c r="JA149" s="1178" t="s">
        <v>534</v>
      </c>
      <c r="JB149" s="1083">
        <f>1*(1+EH150)*(1+EP150)-1</f>
        <v>0.1536</v>
      </c>
      <c r="JC149" s="1083">
        <f>1*(1+EI150)*(1+EQ150)-1</f>
        <v>0.0889833273885261</v>
      </c>
      <c r="JD149" s="1083">
        <f>1*(1+EK150)*(1+ES150)-1</f>
        <v>0.0382687183762884</v>
      </c>
      <c r="JE149" s="1083">
        <f>1*(1+EM150)*(1+EU150)-1</f>
        <v>0.140748098732488</v>
      </c>
      <c r="JF149" s="1126"/>
      <c r="JG149" s="1083">
        <f>1*(1+EP150)*(1+EX150)-1</f>
        <v>-0.000900000000000012</v>
      </c>
      <c r="JH149" s="1126"/>
      <c r="JI149" s="1083">
        <f>1*(1+EQ150)*(1+EY150)-1</f>
        <v>0.133613677367723</v>
      </c>
      <c r="JJ149" s="1126"/>
      <c r="JK149" s="1083">
        <f>1*(1+ES150)*(1+FA150)-1</f>
        <v>0.0921650835036292</v>
      </c>
      <c r="JL149" s="1083">
        <f>1*(1+EU150)*(1+FC150)-1</f>
        <v>0.176716689796442</v>
      </c>
      <c r="JM149" s="1126"/>
      <c r="JN149" s="1083">
        <f>1*(1+EX150)*(1+FF150)-1</f>
        <v>0.1446</v>
      </c>
      <c r="JO149" s="1126"/>
      <c r="JP149" s="1083">
        <f>1*(1+EY150)*(1+FG150)-1</f>
        <v>0.239574517395195</v>
      </c>
      <c r="JQ149" s="1083">
        <f>1*(1+FA150)*(1+FI150)-1</f>
        <v>0.293815530024515</v>
      </c>
      <c r="JR149" s="1083">
        <f>1*(1+FC150)*(1+FK150)-1</f>
        <v>0.351586369233945</v>
      </c>
      <c r="JS149" s="1083">
        <f>1*(1+FF150)*(1+FN150)-1</f>
        <v>0.5222</v>
      </c>
      <c r="JT149" s="1083">
        <f>1*(1+FG150)*(1+FO150)-1</f>
        <v>0.46578150908538</v>
      </c>
      <c r="JU149" s="1083">
        <f>1*(1+FI150)*(1+FQ150)-1</f>
        <v>0.486365015075377</v>
      </c>
      <c r="JV149" s="1083">
        <f>1*(1+FK150)*(1+FS150)-1</f>
        <v>0.53189279712067</v>
      </c>
      <c r="KP149" s="1203"/>
      <c r="LV149" s="1127"/>
    </row>
    <row r="150" s="1024" customFormat="1" spans="1:334">
      <c r="A150" s="967" t="s">
        <v>65</v>
      </c>
      <c r="B150" s="1121"/>
      <c r="C150" s="1121"/>
      <c r="D150" s="1121"/>
      <c r="E150" s="1121"/>
      <c r="F150" s="1121"/>
      <c r="G150" s="1121"/>
      <c r="H150" s="1121"/>
      <c r="I150" s="1121"/>
      <c r="J150" s="1121"/>
      <c r="K150" s="1121"/>
      <c r="L150" s="1121"/>
      <c r="M150" s="1121"/>
      <c r="N150" s="1121"/>
      <c r="O150" s="1121"/>
      <c r="P150" s="1121"/>
      <c r="Q150" s="1121"/>
      <c r="R150" s="1121"/>
      <c r="S150" s="1121"/>
      <c r="T150" s="1121"/>
      <c r="U150" s="1121"/>
      <c r="V150" s="1121"/>
      <c r="W150" s="1121"/>
      <c r="X150" s="1121"/>
      <c r="Y150" s="1121"/>
      <c r="Z150" s="1121"/>
      <c r="AA150" s="1121"/>
      <c r="AB150" s="1121"/>
      <c r="AC150" s="1121"/>
      <c r="AD150" s="1121"/>
      <c r="AE150" s="1121"/>
      <c r="AF150" s="1121"/>
      <c r="AG150" s="1121"/>
      <c r="AH150" s="1121"/>
      <c r="AI150" s="1121"/>
      <c r="AJ150" s="1121"/>
      <c r="AK150" s="1121"/>
      <c r="AL150" s="1121"/>
      <c r="AM150" s="1121"/>
      <c r="AN150" s="1121"/>
      <c r="AO150" s="1121"/>
      <c r="AP150" s="1121"/>
      <c r="AQ150" s="1121"/>
      <c r="AR150" s="1121"/>
      <c r="AS150" s="1121"/>
      <c r="AT150" s="1121"/>
      <c r="AU150" s="1121"/>
      <c r="AV150" s="1121"/>
      <c r="AW150" s="1121"/>
      <c r="AX150" s="1122"/>
      <c r="AY150" s="1121"/>
      <c r="AZ150" s="1121"/>
      <c r="BA150" s="1121"/>
      <c r="BB150" s="1121"/>
      <c r="BC150" s="1121"/>
      <c r="BD150" s="1121"/>
      <c r="BE150" s="1123"/>
      <c r="BF150" s="1121"/>
      <c r="BG150" s="1121"/>
      <c r="BH150" s="1121"/>
      <c r="BI150" s="1121"/>
      <c r="BJ150" s="1121"/>
      <c r="BK150" s="1121"/>
      <c r="BL150" s="1121"/>
      <c r="BM150" s="1121"/>
      <c r="BN150" s="1122"/>
      <c r="BO150" s="1121"/>
      <c r="BP150" s="1121"/>
      <c r="BQ150" s="1121"/>
      <c r="BR150" s="1121"/>
      <c r="BS150" s="1121"/>
      <c r="BT150" s="1121"/>
      <c r="BU150" s="1123"/>
      <c r="BV150" s="1122"/>
      <c r="BW150" s="1121"/>
      <c r="BX150" s="1121"/>
      <c r="BY150" s="1121"/>
      <c r="BZ150" s="1121"/>
      <c r="CA150" s="1121"/>
      <c r="CB150" s="1121"/>
      <c r="CC150" s="1123"/>
      <c r="CD150" s="1122"/>
      <c r="CE150" s="1121"/>
      <c r="CF150" s="1121"/>
      <c r="CG150" s="1121"/>
      <c r="CH150" s="1121"/>
      <c r="CI150" s="1121"/>
      <c r="CJ150" s="917"/>
      <c r="CK150" s="1123"/>
      <c r="CL150" s="1122"/>
      <c r="CM150" s="1121"/>
      <c r="CN150" s="1121"/>
      <c r="CO150" s="1121"/>
      <c r="CP150" s="1121"/>
      <c r="CQ150" s="1121"/>
      <c r="CR150" s="1121"/>
      <c r="CS150" s="1123"/>
      <c r="CT150" s="1122"/>
      <c r="CU150" s="1121"/>
      <c r="CV150" s="1121"/>
      <c r="CW150" s="1205"/>
      <c r="CX150" s="1205"/>
      <c r="CY150" s="1121"/>
      <c r="CZ150" s="1121"/>
      <c r="DA150" s="1121"/>
      <c r="DB150" s="1114"/>
      <c r="DC150" s="1114"/>
      <c r="DD150" s="1114"/>
      <c r="DE150" s="1206"/>
      <c r="DF150" s="1206"/>
      <c r="DG150" s="1114"/>
      <c r="DH150" s="1114"/>
      <c r="DI150" s="1207"/>
      <c r="DJ150" s="1083"/>
      <c r="DK150" s="1083"/>
      <c r="DL150" s="1083"/>
      <c r="DM150" s="1083"/>
      <c r="DN150" s="1083"/>
      <c r="DO150" s="1083"/>
      <c r="DP150" s="1083"/>
      <c r="DQ150" s="1084">
        <v>-0.07</v>
      </c>
      <c r="DR150" s="1083"/>
      <c r="DS150" s="1083"/>
      <c r="DT150" s="1083"/>
      <c r="DU150" s="1083"/>
      <c r="DV150" s="1083"/>
      <c r="DW150" s="1083"/>
      <c r="DX150" s="1083"/>
      <c r="DY150" s="1084">
        <v>0.09</v>
      </c>
      <c r="DZ150" s="1083">
        <v>0.23</v>
      </c>
      <c r="EA150" s="1083">
        <f>(DT147*EB150-DR147*DZ150)/DS147</f>
        <v>0.190445810914681</v>
      </c>
      <c r="EB150" s="1083">
        <v>0.21</v>
      </c>
      <c r="EC150" s="1083">
        <f>(DV147*ED150-DR147*DZ150-DS147*EA150)/DU147</f>
        <v>0.157917705735661</v>
      </c>
      <c r="ED150" s="1083">
        <v>0.19</v>
      </c>
      <c r="EE150" s="1083">
        <f>(DY147*EG150-DR147*DZ150-DS147*EA150-DU147*EC150)/DW147</f>
        <v>0.145536303630363</v>
      </c>
      <c r="EF150" s="1083">
        <f>(DY147*EG150-DT147*EB150)/DX147</f>
        <v>0.152588778409091</v>
      </c>
      <c r="EG150" s="1084">
        <v>0.18</v>
      </c>
      <c r="EH150" s="1083">
        <v>0.12</v>
      </c>
      <c r="EI150" s="1083">
        <f>(EB147*EJ150-DZ147*EH150)/EA147</f>
        <v>0.0144406314344544</v>
      </c>
      <c r="EJ150" s="1083">
        <v>0.07</v>
      </c>
      <c r="EK150" s="1083">
        <f>(ED147*EL150-DZ147*EH150-EA147*EI150)/EC147</f>
        <v>0.0426508742244783</v>
      </c>
      <c r="EL150" s="1083">
        <v>0.06</v>
      </c>
      <c r="EM150" s="1083">
        <f>(EG147*EO150-DZ147*EH150-EA147*EI150-EC147*EK150)/EE147</f>
        <v>0.06</v>
      </c>
      <c r="EN150" s="1083">
        <f>(EG147*EO150-EB147*EJ150)/EF147</f>
        <v>0.05028427037271</v>
      </c>
      <c r="EO150" s="1084">
        <v>0.06</v>
      </c>
      <c r="EP150" s="1083">
        <v>0.03</v>
      </c>
      <c r="EQ150" s="1083">
        <f>(EJ147*ER150-EH147*EP150)/EI147</f>
        <v>0.0734815756035578</v>
      </c>
      <c r="ER150" s="1083">
        <v>0.05</v>
      </c>
      <c r="ES150" s="1083">
        <f>(EL147*ET150-EH147*EP150-EI147*EQ150)/EK147</f>
        <v>-0.00420289855072466</v>
      </c>
      <c r="ET150" s="1083">
        <v>0.03</v>
      </c>
      <c r="EU150" s="1083">
        <f>(EO147*EW150-EH147*EP150-EI147*EQ150-EK147*ES150)/EM147</f>
        <v>0.076177451634423</v>
      </c>
      <c r="EV150" s="1083">
        <f>(EO147*EW150-EJ147*ER150)/EN147</f>
        <v>0.0302228571428571</v>
      </c>
      <c r="EW150" s="1084">
        <f>'Sales &amp; stores'!P246</f>
        <v>0.04</v>
      </c>
      <c r="EX150" s="1083">
        <v>-0.03</v>
      </c>
      <c r="EY150" s="1083">
        <f>(ER147*EZ150-EP147*EX150)/EQ147</f>
        <v>0.0560159607120933</v>
      </c>
      <c r="EZ150" s="1083">
        <v>0.01</v>
      </c>
      <c r="FA150" s="1083">
        <f>(ET147*FB150-EP147*EX150-EQ147*EY150)/ES147</f>
        <v>0.09677471636953</v>
      </c>
      <c r="FB150" s="1083">
        <v>0.04</v>
      </c>
      <c r="FC150" s="1083">
        <f>(EW147*FE150-EP147*EX150-EQ147*EY150-ES147*FA150)/EU147</f>
        <v>0.0934225466342255</v>
      </c>
      <c r="FD150" s="1083">
        <f>(EW147*FE150-ER147*EZ150)/EV147</f>
        <v>0.0954345006485084</v>
      </c>
      <c r="FE150" s="1084">
        <f>'Sales &amp; stores'!Q246</f>
        <v>0.05</v>
      </c>
      <c r="FF150" s="1083">
        <v>0.18</v>
      </c>
      <c r="FG150" s="1083">
        <f>(EZ147*FH150-EX147*FF150)/EY147</f>
        <v>0.173821763602251</v>
      </c>
      <c r="FH150" s="1083">
        <v>0.177</v>
      </c>
      <c r="FI150" s="1083">
        <f>(FB147*FJ150-EZ147*FH150)/FA147</f>
        <v>0.179654773869347</v>
      </c>
      <c r="FJ150" s="1083">
        <v>0.178</v>
      </c>
      <c r="FK150" s="1083">
        <f>(FE147*FM150-FB147*FJ150)/FC147</f>
        <v>0.236106181818182</v>
      </c>
      <c r="FL150" s="1083">
        <f>(FA147*FI150+FC147*FK150)/FD147</f>
        <v>0.202721842496285</v>
      </c>
      <c r="FM150" s="1084">
        <v>0.19</v>
      </c>
      <c r="FN150" s="1083">
        <v>0.29</v>
      </c>
      <c r="FO150" s="1083">
        <f>(FH147*FP150-FF147*FN150)/FG147</f>
        <v>0.248725790010194</v>
      </c>
      <c r="FP150" s="1083">
        <v>0.27</v>
      </c>
      <c r="FQ150" s="1083">
        <v>0.26</v>
      </c>
      <c r="FR150" s="1083">
        <f>(FF147*FN150+FG147*FO150+FI147*FQ150)/FJ147</f>
        <v>0.26632162373146</v>
      </c>
      <c r="FS150" s="1083">
        <f>(FM147*FU150-FJ147*FR150)/FK147</f>
        <v>0.239289002557545</v>
      </c>
      <c r="FT150" s="1083">
        <f>(FI147*FQ150+FK147*FS150)/FL147</f>
        <v>0.250607747622361</v>
      </c>
      <c r="FU150" s="1083">
        <v>0.26</v>
      </c>
      <c r="FV150" s="1086">
        <f>(FX150*FP147-FW150*FO147)/FN147</f>
        <v>0.25324639937719</v>
      </c>
      <c r="FW150" s="1087">
        <v>0.31</v>
      </c>
      <c r="FX150" s="1087">
        <v>0.28</v>
      </c>
      <c r="FY150" s="1083">
        <v>0.18</v>
      </c>
      <c r="FZ150" s="1083">
        <f>(FN147*FV150+FO147*FW150+FQ147*FY150)/FR147</f>
        <v>0.242961523513408</v>
      </c>
      <c r="GA150" s="1083">
        <f>(FU147*GC150-FR147*FZ150)/FS147</f>
        <v>0.230538079470199</v>
      </c>
      <c r="GB150" s="1083">
        <f>(FQ147*FY150+FS147*GA150)/FT147</f>
        <v>0.20314691943128</v>
      </c>
      <c r="GC150" s="1084">
        <v>0.24</v>
      </c>
      <c r="GD150" s="1086">
        <v>0.05</v>
      </c>
      <c r="GE150" s="1087">
        <v>0.09</v>
      </c>
      <c r="GF150" s="1087">
        <f>((GD150*FV147)+(GE150*FW147))/FX147</f>
        <v>0.0691373044714805</v>
      </c>
      <c r="GG150" s="1087">
        <v>0.08</v>
      </c>
      <c r="GH150" s="1083">
        <f>(FV147*GD150+FW147*GE150+FY147*GG150)/FZ147</f>
        <v>0.0728348097967692</v>
      </c>
      <c r="GI150" s="1083">
        <v>0.07</v>
      </c>
      <c r="GJ150" s="1083">
        <f>(FY147*GG150+GA147*GI150)/GB147</f>
        <v>0.0753558543784848</v>
      </c>
      <c r="GK150" s="1084">
        <v>0.08</v>
      </c>
      <c r="GL150" s="1087">
        <v>0.03</v>
      </c>
      <c r="GM150" s="1087">
        <v>0.05</v>
      </c>
      <c r="GN150" s="1087">
        <f>((GL150*GD147)+(GM150*GE147))/GF147</f>
        <v>0.0398382492863939</v>
      </c>
      <c r="GO150" s="1087">
        <v>0.01</v>
      </c>
      <c r="GP150" s="1083">
        <f>(GD147*GL150+GE147*GM150+GG147*GO150)/GH147</f>
        <v>0.0294601303133726</v>
      </c>
      <c r="GQ150" s="1083">
        <v>0.08</v>
      </c>
      <c r="GR150" s="1083">
        <f>(GG147*GO150+GI147*GQ150)/GJ147</f>
        <v>0.0436488573193329</v>
      </c>
      <c r="GS150" s="1084">
        <v>0.04</v>
      </c>
      <c r="GT150" s="1087">
        <v>-0.24</v>
      </c>
      <c r="GU150" s="1087">
        <v>-0.29</v>
      </c>
      <c r="GV150" s="1087">
        <f>((GT150*GL147)+(GU150*GM147))/GN147</f>
        <v>-0.264358213384775</v>
      </c>
      <c r="GW150" s="1087">
        <v>-0.02</v>
      </c>
      <c r="GX150" s="1083"/>
      <c r="GY150" s="1083">
        <v>0.08</v>
      </c>
      <c r="GZ150" s="1083">
        <f>(GO147*GW150+GQ147*GY150)/GR147</f>
        <v>0.0285402536125037</v>
      </c>
      <c r="HA150" s="1084">
        <v>-0.15</v>
      </c>
      <c r="HB150" s="1087">
        <v>0.31</v>
      </c>
      <c r="HC150" s="1087">
        <v>0.38</v>
      </c>
      <c r="HD150" s="1087">
        <f>((HB150*GT147)+(HC150*GU147))/GV147</f>
        <v>0.342371092164028</v>
      </c>
      <c r="HE150" s="1087">
        <v>0.02</v>
      </c>
      <c r="HF150" s="1083"/>
      <c r="HG150" s="1083">
        <v>-0.08</v>
      </c>
      <c r="HH150" s="1083"/>
      <c r="HI150" s="1084">
        <v>0.13</v>
      </c>
      <c r="HJ150" s="1087">
        <v>-0.02</v>
      </c>
      <c r="HK150" s="1087">
        <v>0.07</v>
      </c>
      <c r="HL150" s="1083"/>
      <c r="HM150" s="1083"/>
      <c r="HN150" s="1083"/>
      <c r="HO150" s="1083"/>
      <c r="HP150" s="1083"/>
      <c r="HQ150" s="1084"/>
      <c r="HR150" s="1083"/>
      <c r="HS150" s="1083"/>
      <c r="HT150" s="1083"/>
      <c r="HU150" s="1083"/>
      <c r="HV150" s="1083"/>
      <c r="HW150" s="1083"/>
      <c r="HX150" s="1083"/>
      <c r="HY150" s="1083"/>
      <c r="HZ150" s="1083">
        <v>0.13</v>
      </c>
      <c r="IA150" s="1083">
        <v>0.17</v>
      </c>
      <c r="IB150" s="1083"/>
      <c r="IC150" s="1083">
        <v>0.14</v>
      </c>
      <c r="ID150" s="1083"/>
      <c r="IE150" s="1083">
        <v>0.26</v>
      </c>
      <c r="IF150" s="1083"/>
      <c r="IG150" s="1084">
        <v>0.17</v>
      </c>
      <c r="IH150" s="1083">
        <v>0.17</v>
      </c>
      <c r="II150" s="1083">
        <v>0.09</v>
      </c>
      <c r="IJ150" s="1083"/>
      <c r="IK150" s="1083">
        <v>0.11</v>
      </c>
      <c r="IL150" s="1083"/>
      <c r="IM150" s="1083">
        <v>0.05</v>
      </c>
      <c r="IN150" s="1083"/>
      <c r="IO150" s="1084">
        <v>0.17</v>
      </c>
      <c r="IP150" s="1083">
        <v>0.04</v>
      </c>
      <c r="IQ150" s="1083">
        <v>0.01</v>
      </c>
      <c r="IR150" s="1181"/>
      <c r="IS150" s="1181"/>
      <c r="IT150" s="1181"/>
      <c r="IU150" s="1181"/>
      <c r="IV150" s="1181"/>
      <c r="IW150" s="1181"/>
      <c r="IX150" s="1178"/>
      <c r="IY150" s="1178"/>
      <c r="IZ150" s="1178"/>
      <c r="JA150" s="1178" t="s">
        <v>535</v>
      </c>
      <c r="JB150" s="1083">
        <f>1*(1+DZ150)*(1+EH150)*(1+EP150)-1</f>
        <v>0.418928</v>
      </c>
      <c r="JC150" s="1083">
        <f>1*(1+EA150)*(1+EI150)*(1+EQ150)-1</f>
        <v>0.296375640245601</v>
      </c>
      <c r="JD150" s="1083">
        <f>1*(1+EC150)*(1+EK150)*(1+ES150)-1</f>
        <v>0.202229732319377</v>
      </c>
      <c r="JE150" s="1083">
        <f>1*(1+EE150)*(1+EM150)*(1+EU150)-1</f>
        <v>0.306768360395379</v>
      </c>
      <c r="JF150" s="1126"/>
      <c r="JG150" s="1083">
        <f>1*(1+EH150)*(1+EP150)*(1+EX150)-1</f>
        <v>0.118992</v>
      </c>
      <c r="JH150" s="1126"/>
      <c r="JI150" s="1083">
        <f>1*(1+EI150)*(1+EQ150)*(1+EY150)-1</f>
        <v>0.149983774671647</v>
      </c>
      <c r="JJ150" s="1126"/>
      <c r="JK150" s="1083">
        <f>1*(1+EK150)*(1+ES150)*(1+FA150)-1</f>
        <v>0.138746879112509</v>
      </c>
      <c r="JL150" s="1083">
        <f>1*(1+EM150)*(1+EU150)*(1+FC150)-1</f>
        <v>0.247319691184228</v>
      </c>
      <c r="JM150" s="1126"/>
      <c r="JN150" s="1083">
        <f>1*(1+EP150)*(1+EX150)*(1+FF150)-1</f>
        <v>0.178938</v>
      </c>
      <c r="JO150" s="1126"/>
      <c r="JP150" s="1083">
        <f>1*(1+EQ150)*(1+EY150)*(1+FG150)-1</f>
        <v>0.330660406011414</v>
      </c>
      <c r="JQ150" s="1083">
        <f>1*(1+ES150)*(1+FA150)*(1+FI150)-1</f>
        <v>0.28837775460847</v>
      </c>
      <c r="JR150" s="1083">
        <f>1*(1+EU150)*(1+FC150)*(1+FK150)-1</f>
        <v>0.454546774506009</v>
      </c>
      <c r="JS150" s="1083">
        <f>1*(1+EX150)*(1+FF150)*(1+FN150)-1</f>
        <v>0.476534</v>
      </c>
      <c r="JT150" s="1083">
        <f>1*(1+EY150)*(1+FG150)*(1+FO150)-1</f>
        <v>0.54788866851082</v>
      </c>
      <c r="JU150" s="1083">
        <f>1*(1+FA150)*(1+FI150)*(1+FQ150)-1</f>
        <v>0.630207567830888</v>
      </c>
      <c r="JV150" s="1083">
        <f>1*(1+FC150)*(1+FK150)*(1+FS150)-1</f>
        <v>0.67500612339831</v>
      </c>
      <c r="KP150" s="1203"/>
      <c r="LV150" s="1127"/>
    </row>
    <row r="151" s="1024" customFormat="1" spans="1:334">
      <c r="A151" s="967" t="s">
        <v>66</v>
      </c>
      <c r="B151" s="1121"/>
      <c r="C151" s="1121"/>
      <c r="D151" s="1121"/>
      <c r="E151" s="1121"/>
      <c r="F151" s="1121"/>
      <c r="G151" s="1121"/>
      <c r="H151" s="1121"/>
      <c r="I151" s="1121"/>
      <c r="J151" s="1121"/>
      <c r="K151" s="1121"/>
      <c r="L151" s="1121"/>
      <c r="M151" s="1121"/>
      <c r="N151" s="1121"/>
      <c r="O151" s="1121"/>
      <c r="P151" s="1121"/>
      <c r="Q151" s="1121"/>
      <c r="R151" s="1121"/>
      <c r="S151" s="1121"/>
      <c r="T151" s="1121"/>
      <c r="U151" s="1121"/>
      <c r="V151" s="1121"/>
      <c r="W151" s="1121"/>
      <c r="X151" s="1121"/>
      <c r="Y151" s="1121"/>
      <c r="Z151" s="1121"/>
      <c r="AA151" s="1121"/>
      <c r="AB151" s="1121"/>
      <c r="AC151" s="1121"/>
      <c r="AD151" s="1121"/>
      <c r="AE151" s="1121"/>
      <c r="AF151" s="1121"/>
      <c r="AG151" s="1121"/>
      <c r="AH151" s="1121"/>
      <c r="AI151" s="1121"/>
      <c r="AJ151" s="1121"/>
      <c r="AK151" s="1121"/>
      <c r="AL151" s="1121"/>
      <c r="AM151" s="1121"/>
      <c r="AN151" s="1121"/>
      <c r="AO151" s="1121"/>
      <c r="AP151" s="1121"/>
      <c r="AQ151" s="1121"/>
      <c r="AR151" s="1121"/>
      <c r="AS151" s="1121"/>
      <c r="AT151" s="1121"/>
      <c r="AU151" s="1121"/>
      <c r="AV151" s="1121"/>
      <c r="AW151" s="1121"/>
      <c r="AX151" s="1122"/>
      <c r="AY151" s="1121"/>
      <c r="AZ151" s="1121"/>
      <c r="BA151" s="1121"/>
      <c r="BB151" s="1121"/>
      <c r="BC151" s="1121"/>
      <c r="BD151" s="1121"/>
      <c r="BE151" s="1123"/>
      <c r="BF151" s="1121"/>
      <c r="BG151" s="1121"/>
      <c r="BH151" s="1121"/>
      <c r="BI151" s="1121"/>
      <c r="BJ151" s="1121"/>
      <c r="BK151" s="1121"/>
      <c r="BL151" s="1121"/>
      <c r="BM151" s="1121"/>
      <c r="BN151" s="1122"/>
      <c r="BO151" s="1121"/>
      <c r="BP151" s="1121"/>
      <c r="BQ151" s="1121"/>
      <c r="BR151" s="1121"/>
      <c r="BS151" s="1121"/>
      <c r="BT151" s="1121"/>
      <c r="BU151" s="1123"/>
      <c r="BV151" s="1122"/>
      <c r="BW151" s="1121"/>
      <c r="BX151" s="1121"/>
      <c r="BY151" s="1121"/>
      <c r="BZ151" s="1121"/>
      <c r="CA151" s="1121"/>
      <c r="CB151" s="1121"/>
      <c r="CC151" s="1123"/>
      <c r="CD151" s="1122"/>
      <c r="CE151" s="1121"/>
      <c r="CF151" s="1121"/>
      <c r="CG151" s="1121"/>
      <c r="CH151" s="1121"/>
      <c r="CI151" s="1121"/>
      <c r="CJ151" s="917"/>
      <c r="CK151" s="1123"/>
      <c r="CL151" s="1122"/>
      <c r="CM151" s="1121"/>
      <c r="CN151" s="1121"/>
      <c r="CO151" s="1121"/>
      <c r="CP151" s="1121"/>
      <c r="CQ151" s="1121"/>
      <c r="CR151" s="1121"/>
      <c r="CS151" s="1123"/>
      <c r="CT151" s="1122"/>
      <c r="CU151" s="1121"/>
      <c r="CV151" s="1121"/>
      <c r="CW151" s="1205"/>
      <c r="CX151" s="1205"/>
      <c r="CY151" s="1121"/>
      <c r="CZ151" s="1121"/>
      <c r="DA151" s="1121"/>
      <c r="DB151" s="1114"/>
      <c r="DC151" s="1114"/>
      <c r="DD151" s="1114"/>
      <c r="DE151" s="1206"/>
      <c r="DF151" s="1206"/>
      <c r="DG151" s="1114"/>
      <c r="DH151" s="1114"/>
      <c r="DI151" s="1207"/>
      <c r="DJ151" s="1083"/>
      <c r="DK151" s="1083"/>
      <c r="DL151" s="1083"/>
      <c r="DM151" s="1083"/>
      <c r="DN151" s="1083"/>
      <c r="DO151" s="1083"/>
      <c r="DP151" s="1083"/>
      <c r="DQ151" s="1084">
        <f>DQ147/DQ$162</f>
        <v>0.473846450245641</v>
      </c>
      <c r="DR151" s="1083">
        <f t="shared" ref="DR151:DY151" si="757">DR147/DR$162</f>
        <v>0.475691847419596</v>
      </c>
      <c r="DS151" s="1083">
        <f t="shared" si="757"/>
        <v>0.446159122085048</v>
      </c>
      <c r="DT151" s="1083">
        <f t="shared" si="757"/>
        <v>0.460286225402504</v>
      </c>
      <c r="DU151" s="1083">
        <f t="shared" si="757"/>
        <v>0.462381089651196</v>
      </c>
      <c r="DV151" s="1083">
        <f t="shared" si="757"/>
        <v>0.461088420355448</v>
      </c>
      <c r="DW151" s="1083">
        <f t="shared" si="757"/>
        <v>0.413510747185261</v>
      </c>
      <c r="DX151" s="1083">
        <f t="shared" si="757"/>
        <v>0.44</v>
      </c>
      <c r="DY151" s="1084">
        <f t="shared" si="757"/>
        <v>0.449457881567973</v>
      </c>
      <c r="DZ151" s="1083">
        <f t="shared" ref="DZ151:EH151" si="758">DZ147/DZ$162</f>
        <v>0.494653223342499</v>
      </c>
      <c r="EA151" s="1083">
        <f t="shared" si="758"/>
        <v>0.47536704730832</v>
      </c>
      <c r="EB151" s="1083">
        <f t="shared" si="758"/>
        <v>0.485326601451562</v>
      </c>
      <c r="EC151" s="1083">
        <f t="shared" si="758"/>
        <v>0.473684210526316</v>
      </c>
      <c r="ED151" s="1083">
        <f t="shared" si="758"/>
        <v>0.481003868663823</v>
      </c>
      <c r="EE151" s="1083">
        <f t="shared" si="758"/>
        <v>0.429805615550756</v>
      </c>
      <c r="EF151" s="1083">
        <f t="shared" si="758"/>
        <v>0.453321878579611</v>
      </c>
      <c r="EG151" s="1084">
        <f t="shared" si="758"/>
        <v>0.468548266026122</v>
      </c>
      <c r="EH151" s="1083">
        <f t="shared" si="758"/>
        <v>0.48326359832636</v>
      </c>
      <c r="EI151" s="1083">
        <f t="shared" ref="EI151:EO151" si="759">EI147/EI$162</f>
        <v>0.447413303013076</v>
      </c>
      <c r="EJ151" s="1083">
        <f t="shared" si="759"/>
        <v>0.466085535276491</v>
      </c>
      <c r="EK151" s="1083">
        <f t="shared" si="759"/>
        <v>0.479741069287941</v>
      </c>
      <c r="EL151" s="1083">
        <f t="shared" si="759"/>
        <v>0.47103274559194</v>
      </c>
      <c r="EM151" s="1083">
        <f t="shared" si="759"/>
        <v>0.444807121661721</v>
      </c>
      <c r="EN151" s="1083">
        <f t="shared" si="759"/>
        <v>0.464129425805596</v>
      </c>
      <c r="EO151" s="1084">
        <f t="shared" si="759"/>
        <v>0.465094403010146</v>
      </c>
      <c r="EP151" s="1083">
        <f t="shared" ref="EP151:EZ151" si="760">EP147/EP$162</f>
        <v>0.49960010663823</v>
      </c>
      <c r="EQ151" s="1083">
        <f t="shared" si="760"/>
        <v>0.481525273425953</v>
      </c>
      <c r="ER151" s="1083">
        <f t="shared" si="760"/>
        <v>0.491028875805999</v>
      </c>
      <c r="ES151" s="1083">
        <f t="shared" si="760"/>
        <v>0.477184841453983</v>
      </c>
      <c r="ET151" s="1083">
        <f t="shared" si="760"/>
        <v>0.48615272859348</v>
      </c>
      <c r="EU151" s="1083">
        <f t="shared" si="760"/>
        <v>0.386399247884676</v>
      </c>
      <c r="EV151" s="1083">
        <f t="shared" si="760"/>
        <v>0.436209335219236</v>
      </c>
      <c r="EW151" s="1084">
        <f t="shared" si="760"/>
        <v>0.463742607716136</v>
      </c>
      <c r="EX151" s="1083">
        <f t="shared" si="760"/>
        <v>0.47947919615058</v>
      </c>
      <c r="EY151" s="1083">
        <f t="shared" si="760"/>
        <v>0.461471861471861</v>
      </c>
      <c r="EZ151" s="1083">
        <f t="shared" si="760"/>
        <v>0.470563018005144</v>
      </c>
      <c r="FA151" s="1083">
        <f t="shared" ref="FA151:FL151" si="761">FA147/FA$162</f>
        <v>0.483126972566157</v>
      </c>
      <c r="FB151" s="1083">
        <f t="shared" si="761"/>
        <v>0.475218134388774</v>
      </c>
      <c r="FC151" s="1083">
        <f t="shared" si="761"/>
        <v>0.4023997658765</v>
      </c>
      <c r="FD151" s="1083">
        <f t="shared" si="761"/>
        <v>0.446523354564756</v>
      </c>
      <c r="FE151" s="1084">
        <f t="shared" si="761"/>
        <v>0.458098252373744</v>
      </c>
      <c r="FF151" s="1083">
        <f t="shared" si="761"/>
        <v>0.511268985791279</v>
      </c>
      <c r="FG151" s="1083">
        <f t="shared" si="761"/>
        <v>0.502175582288201</v>
      </c>
      <c r="FH151" s="1083">
        <f t="shared" si="761"/>
        <v>0.506821880085117</v>
      </c>
      <c r="FI151" s="1083">
        <f t="shared" si="761"/>
        <v>0.495061987812566</v>
      </c>
      <c r="FJ151" s="1083">
        <f t="shared" si="761"/>
        <v>0.502431754000628</v>
      </c>
      <c r="FK151" s="1083">
        <f t="shared" si="761"/>
        <v>0.46916246700264</v>
      </c>
      <c r="FL151" s="1083">
        <f t="shared" si="761"/>
        <v>0.482971095675555</v>
      </c>
      <c r="FM151" s="1084">
        <f t="shared" ref="FM151:FW151" si="762">FM147/FM$162</f>
        <v>0.494235885308897</v>
      </c>
      <c r="FN151" s="1083">
        <f t="shared" si="762"/>
        <v>0.538687355839799</v>
      </c>
      <c r="FO151" s="1083">
        <f t="shared" si="762"/>
        <v>0.518091361374943</v>
      </c>
      <c r="FP151" s="1083">
        <f t="shared" si="762"/>
        <v>0.528778152540529</v>
      </c>
      <c r="FQ151" s="1083">
        <f t="shared" si="762"/>
        <v>0.528270509977827</v>
      </c>
      <c r="FR151" s="1083">
        <f t="shared" si="762"/>
        <v>0.528590015750188</v>
      </c>
      <c r="FS151" s="1083">
        <f t="shared" si="762"/>
        <v>0.515248453828108</v>
      </c>
      <c r="FT151" s="1083">
        <f t="shared" si="762"/>
        <v>0.522225522225522</v>
      </c>
      <c r="FU151" s="1083">
        <f t="shared" si="762"/>
        <v>0.525347294215219</v>
      </c>
      <c r="FV151" s="1086">
        <f t="shared" si="762"/>
        <v>0.6060216633009</v>
      </c>
      <c r="FW151" s="1087">
        <f t="shared" si="762"/>
        <v>0.601032155617308</v>
      </c>
      <c r="FX151" s="1087">
        <f>FX147/FX$216</f>
        <v>0.603681800839374</v>
      </c>
      <c r="FY151" s="1083">
        <f t="shared" ref="FY151:GE151" si="763">FY147/FY$162</f>
        <v>0.575303857671305</v>
      </c>
      <c r="FZ151" s="1083">
        <f t="shared" si="763"/>
        <v>0.593676525182527</v>
      </c>
      <c r="GA151" s="1083">
        <f t="shared" si="763"/>
        <v>0.560126582278481</v>
      </c>
      <c r="GB151" s="1083">
        <f t="shared" si="763"/>
        <v>0.568154290505916</v>
      </c>
      <c r="GC151" s="1084">
        <f t="shared" si="763"/>
        <v>0.585681968140258</v>
      </c>
      <c r="GD151" s="1086">
        <f t="shared" si="763"/>
        <v>0.577609518658734</v>
      </c>
      <c r="GE151" s="1087">
        <f t="shared" si="763"/>
        <v>0.589621744915415</v>
      </c>
      <c r="GF151" s="1087">
        <f>GF147/GF$216</f>
        <v>0.583402719955593</v>
      </c>
      <c r="GG151" s="1087">
        <f>GG147/GG$162</f>
        <v>0.572620466541801</v>
      </c>
      <c r="GH151" s="1083">
        <f t="shared" ref="GH151:GM151" si="764">GH147/GH$162</f>
        <v>0.57964150830286</v>
      </c>
      <c r="GI151" s="1083">
        <f t="shared" si="764"/>
        <v>0.594764998089415</v>
      </c>
      <c r="GJ151" s="1083">
        <f t="shared" si="764"/>
        <v>0.58305573062033</v>
      </c>
      <c r="GK151" s="1084">
        <f t="shared" si="764"/>
        <v>0.583253479352042</v>
      </c>
      <c r="GL151" s="1087">
        <f t="shared" si="764"/>
        <v>0.587355540448674</v>
      </c>
      <c r="GM151" s="1087">
        <f t="shared" si="764"/>
        <v>0.595933926302414</v>
      </c>
      <c r="GN151" s="1087">
        <f>GN147/GN$216</f>
        <v>0.59155547752809</v>
      </c>
      <c r="GO151" s="1087">
        <f>GO147/GO$162</f>
        <v>0.544461778471139</v>
      </c>
      <c r="GP151" s="1083">
        <f t="shared" ref="GP151:GU151" si="765">GP147/GP$162</f>
        <v>0.574566084367803</v>
      </c>
      <c r="GQ151" s="1083">
        <f t="shared" si="765"/>
        <v>0.563988350179887</v>
      </c>
      <c r="GR151" s="1083">
        <f t="shared" si="765"/>
        <v>0.553768269780354</v>
      </c>
      <c r="GS151" s="1084">
        <f t="shared" si="765"/>
        <v>0.571954314720812</v>
      </c>
      <c r="GT151" s="1087">
        <f t="shared" si="765"/>
        <v>0.557121817799285</v>
      </c>
      <c r="GU151" s="1087">
        <f t="shared" si="765"/>
        <v>0.636490639843532</v>
      </c>
      <c r="GV151" s="1087">
        <f>GV147/GV$216</f>
        <v>0.591239643254209</v>
      </c>
      <c r="GW151" s="1087">
        <f>GW147/GW$162</f>
        <v>0.5441743503772</v>
      </c>
      <c r="GX151" s="1083"/>
      <c r="GY151" s="1083">
        <f t="shared" ref="GY151:HC151" si="766">GY147/GY$162</f>
        <v>0.560802298039611</v>
      </c>
      <c r="GZ151" s="1083">
        <f t="shared" si="766"/>
        <v>0.556959082455053</v>
      </c>
      <c r="HA151" s="1084">
        <f t="shared" si="766"/>
        <v>0.560802298039611</v>
      </c>
      <c r="HB151" s="1087">
        <f t="shared" si="766"/>
        <v>0.557327258921792</v>
      </c>
      <c r="HC151" s="1087">
        <f t="shared" si="766"/>
        <v>0.557218830017727</v>
      </c>
      <c r="HD151" s="1087">
        <f>HD147/HD$216</f>
        <v>0.557274045432576</v>
      </c>
      <c r="HE151" s="1087">
        <f>HE147/HE$162</f>
        <v>0.524778299426187</v>
      </c>
      <c r="HF151" s="1083"/>
      <c r="HG151" s="1083">
        <f t="shared" ref="HG151" si="767">HG147/HG$162</f>
        <v>0.49678800856531</v>
      </c>
      <c r="HH151" s="1083"/>
      <c r="HI151" s="1084">
        <f>HI147/HI$162</f>
        <v>0.533885932275232</v>
      </c>
      <c r="HJ151" s="1087">
        <f>HJ147/HJ$162</f>
        <v>0.566201433421351</v>
      </c>
      <c r="HK151" s="1087">
        <f>HK147/HK$162</f>
        <v>0.578552278820375</v>
      </c>
      <c r="HL151" s="1083"/>
      <c r="HM151" s="1083"/>
      <c r="HN151" s="1083"/>
      <c r="HO151" s="1083"/>
      <c r="HP151" s="1083"/>
      <c r="HQ151" s="1084"/>
      <c r="HR151" s="1083"/>
      <c r="HS151" s="1083"/>
      <c r="HT151" s="1083"/>
      <c r="HU151" s="1083"/>
      <c r="HV151" s="1083"/>
      <c r="HW151" s="1083"/>
      <c r="HX151" s="1083"/>
      <c r="HY151" s="1083"/>
      <c r="HZ151" s="1083"/>
      <c r="IA151" s="1083"/>
      <c r="IB151" s="1083"/>
      <c r="IC151" s="1083"/>
      <c r="ID151" s="1083"/>
      <c r="IE151" s="1083"/>
      <c r="IF151" s="1083"/>
      <c r="IG151" s="1084">
        <f>IG147/$IG$162</f>
        <v>0.606824990231407</v>
      </c>
      <c r="IH151" s="1083"/>
      <c r="II151" s="1083"/>
      <c r="IJ151" s="1083"/>
      <c r="IK151" s="1083"/>
      <c r="IL151" s="1083"/>
      <c r="IM151" s="1083"/>
      <c r="IN151" s="1083"/>
      <c r="IO151" s="1084">
        <f>IO147/$IG$162</f>
        <v>0.617852646203274</v>
      </c>
      <c r="IP151" s="1083"/>
      <c r="IQ151" s="1083"/>
      <c r="IR151" s="1181"/>
      <c r="IS151" s="1181"/>
      <c r="IT151" s="1181"/>
      <c r="IU151" s="1181"/>
      <c r="IV151" s="1181"/>
      <c r="IW151" s="1181"/>
      <c r="IX151" s="1178"/>
      <c r="IY151" s="1178"/>
      <c r="IZ151" s="1178"/>
      <c r="JA151" s="1178"/>
      <c r="JD151" s="1083"/>
      <c r="JF151" s="1126"/>
      <c r="JG151" s="1126"/>
      <c r="JH151" s="1126"/>
      <c r="KP151" s="1203"/>
      <c r="LV151" s="1127"/>
    </row>
    <row r="152" s="1024" customFormat="1" spans="1:334">
      <c r="A152" s="1204" t="s">
        <v>536</v>
      </c>
      <c r="B152" s="1121"/>
      <c r="C152" s="1121"/>
      <c r="D152" s="1121"/>
      <c r="E152" s="1121"/>
      <c r="F152" s="1121"/>
      <c r="G152" s="1121"/>
      <c r="H152" s="1121"/>
      <c r="I152" s="1121"/>
      <c r="J152" s="1121"/>
      <c r="K152" s="1121"/>
      <c r="L152" s="1121"/>
      <c r="M152" s="1121"/>
      <c r="N152" s="1121"/>
      <c r="O152" s="1121"/>
      <c r="P152" s="1121"/>
      <c r="Q152" s="1121"/>
      <c r="R152" s="1121"/>
      <c r="S152" s="1121"/>
      <c r="T152" s="1121"/>
      <c r="U152" s="1121"/>
      <c r="V152" s="1121"/>
      <c r="W152" s="1121"/>
      <c r="X152" s="1121"/>
      <c r="Y152" s="1121"/>
      <c r="Z152" s="1121"/>
      <c r="AA152" s="1121"/>
      <c r="AB152" s="1121"/>
      <c r="AC152" s="1121"/>
      <c r="AD152" s="1121"/>
      <c r="AE152" s="1121"/>
      <c r="AF152" s="1121"/>
      <c r="AG152" s="1121"/>
      <c r="AH152" s="1121"/>
      <c r="AI152" s="1121"/>
      <c r="AJ152" s="1121"/>
      <c r="AK152" s="1121"/>
      <c r="AL152" s="1121"/>
      <c r="AM152" s="1121"/>
      <c r="AN152" s="1121"/>
      <c r="AO152" s="1121"/>
      <c r="AP152" s="1121"/>
      <c r="AQ152" s="1121"/>
      <c r="AR152" s="1121"/>
      <c r="AS152" s="1121"/>
      <c r="AT152" s="1121"/>
      <c r="AU152" s="1121"/>
      <c r="AV152" s="1121"/>
      <c r="AW152" s="1121"/>
      <c r="AX152" s="1122"/>
      <c r="AY152" s="1121"/>
      <c r="AZ152" s="1121"/>
      <c r="BA152" s="1121"/>
      <c r="BB152" s="1121"/>
      <c r="BC152" s="1121"/>
      <c r="BD152" s="1121"/>
      <c r="BE152" s="1123"/>
      <c r="BF152" s="1121"/>
      <c r="BG152" s="1121"/>
      <c r="BH152" s="1121"/>
      <c r="BI152" s="1121"/>
      <c r="BJ152" s="1121"/>
      <c r="BK152" s="1121"/>
      <c r="BL152" s="1121"/>
      <c r="BM152" s="1121"/>
      <c r="BN152" s="1122"/>
      <c r="BO152" s="1121"/>
      <c r="BP152" s="1121"/>
      <c r="BQ152" s="1121"/>
      <c r="BR152" s="1121"/>
      <c r="BS152" s="1121"/>
      <c r="BT152" s="1121"/>
      <c r="BU152" s="1123"/>
      <c r="BV152" s="1122"/>
      <c r="BW152" s="1121"/>
      <c r="BX152" s="1121"/>
      <c r="BY152" s="1121"/>
      <c r="BZ152" s="1121"/>
      <c r="CA152" s="1121"/>
      <c r="CB152" s="1121"/>
      <c r="CC152" s="1123"/>
      <c r="CD152" s="1122"/>
      <c r="CE152" s="1121"/>
      <c r="CF152" s="1121"/>
      <c r="CG152" s="1121"/>
      <c r="CH152" s="1121"/>
      <c r="CI152" s="1121"/>
      <c r="CJ152" s="917"/>
      <c r="CK152" s="1123"/>
      <c r="CL152" s="1122"/>
      <c r="CM152" s="1121"/>
      <c r="CN152" s="1121"/>
      <c r="CO152" s="1121"/>
      <c r="CP152" s="1121"/>
      <c r="CQ152" s="1121"/>
      <c r="CR152" s="1121"/>
      <c r="CS152" s="1123"/>
      <c r="CT152" s="1122"/>
      <c r="CU152" s="1121"/>
      <c r="CV152" s="1121"/>
      <c r="CW152" s="1205"/>
      <c r="CX152" s="1205"/>
      <c r="CY152" s="1121"/>
      <c r="CZ152" s="1121"/>
      <c r="DA152" s="1121"/>
      <c r="DB152" s="1114"/>
      <c r="DC152" s="1114"/>
      <c r="DD152" s="1114"/>
      <c r="DE152" s="1206"/>
      <c r="DF152" s="1206"/>
      <c r="DG152" s="1114"/>
      <c r="DH152" s="1114"/>
      <c r="DI152" s="1207"/>
      <c r="DJ152" s="1208"/>
      <c r="DK152" s="1208"/>
      <c r="DL152" s="1208"/>
      <c r="DM152" s="1208"/>
      <c r="DN152" s="1208"/>
      <c r="DO152" s="1208"/>
      <c r="DP152" s="1208"/>
      <c r="DQ152" s="1212">
        <v>4775</v>
      </c>
      <c r="DR152" s="1208">
        <v>1130</v>
      </c>
      <c r="DS152" s="1208">
        <f>DT152-DR152</f>
        <v>1262</v>
      </c>
      <c r="DT152" s="1208">
        <v>2392</v>
      </c>
      <c r="DU152" s="1208">
        <f>DV152-DT152</f>
        <v>1545</v>
      </c>
      <c r="DV152" s="1208">
        <v>3937</v>
      </c>
      <c r="DW152" s="1208">
        <f>DY152-DV152</f>
        <v>1443</v>
      </c>
      <c r="DX152" s="1208">
        <f>DU152+DW152</f>
        <v>2988</v>
      </c>
      <c r="DY152" s="1212">
        <v>5380</v>
      </c>
      <c r="DZ152" s="1208">
        <v>1323</v>
      </c>
      <c r="EA152" s="1208">
        <f>EB152-DZ152</f>
        <v>1256</v>
      </c>
      <c r="EB152" s="1208">
        <v>2579</v>
      </c>
      <c r="EC152" s="1208">
        <f>ED152-EB152</f>
        <v>1620</v>
      </c>
      <c r="ED152" s="1208">
        <v>4199</v>
      </c>
      <c r="EE152" s="1208">
        <f>EG152-ED152</f>
        <v>1534</v>
      </c>
      <c r="EF152" s="1208">
        <f>EC152+EE152</f>
        <v>3154</v>
      </c>
      <c r="EG152" s="1212">
        <v>5733</v>
      </c>
      <c r="EH152" s="1208">
        <v>1527</v>
      </c>
      <c r="EI152" s="1208">
        <f>EJ152-EH152</f>
        <v>1448</v>
      </c>
      <c r="EJ152" s="1208">
        <v>2975</v>
      </c>
      <c r="EK152" s="1208">
        <f>EL152-EJ152</f>
        <v>1786</v>
      </c>
      <c r="EL152" s="1208">
        <v>4761</v>
      </c>
      <c r="EM152" s="1208">
        <f>EO152-EL152</f>
        <v>1529</v>
      </c>
      <c r="EN152" s="1208">
        <f>EK152+EM152</f>
        <v>3315</v>
      </c>
      <c r="EO152" s="1212">
        <v>6290</v>
      </c>
      <c r="EP152" s="1208">
        <v>1382</v>
      </c>
      <c r="EQ152" s="1208">
        <f>ER152-EP152</f>
        <v>1270</v>
      </c>
      <c r="ER152" s="1208">
        <v>2652</v>
      </c>
      <c r="ES152" s="1208">
        <f>ET152-ER152</f>
        <v>1632</v>
      </c>
      <c r="ET152" s="1208">
        <v>4284</v>
      </c>
      <c r="EU152" s="1208">
        <f>EW152-ET152</f>
        <v>1527</v>
      </c>
      <c r="EV152" s="1208">
        <f>ES152+EU152</f>
        <v>3159</v>
      </c>
      <c r="EW152" s="1212">
        <f>'Sales &amp; stores'!P25</f>
        <v>5811</v>
      </c>
      <c r="EX152" s="1208">
        <v>1434</v>
      </c>
      <c r="EY152" s="1208">
        <f>EZ152-EX152</f>
        <v>1426</v>
      </c>
      <c r="EZ152" s="1208">
        <v>2860</v>
      </c>
      <c r="FA152" s="1208">
        <f>FB152-EZ152</f>
        <v>1763</v>
      </c>
      <c r="FB152" s="1208">
        <v>4623</v>
      </c>
      <c r="FC152" s="1208">
        <f>FE152-FB152</f>
        <v>1656</v>
      </c>
      <c r="FD152" s="1208">
        <f>FA152+FC152</f>
        <v>3419</v>
      </c>
      <c r="FE152" s="1212">
        <f>'Sales &amp; stores'!Q25</f>
        <v>6279</v>
      </c>
      <c r="FF152" s="1208">
        <v>1595</v>
      </c>
      <c r="FG152" s="1208">
        <f>FH152-FF152</f>
        <v>1530</v>
      </c>
      <c r="FH152" s="1208">
        <v>3125</v>
      </c>
      <c r="FI152" s="1208">
        <f>FJ152-FH152</f>
        <v>1986</v>
      </c>
      <c r="FJ152" s="1208">
        <v>5111</v>
      </c>
      <c r="FK152" s="1208">
        <f>FM152-FJ152</f>
        <v>1859</v>
      </c>
      <c r="FL152" s="1208">
        <f>FI152+FK152</f>
        <v>3845</v>
      </c>
      <c r="FM152" s="1212">
        <f>'Sales &amp; stores'!R25</f>
        <v>6970</v>
      </c>
      <c r="FN152" s="1208">
        <v>1770</v>
      </c>
      <c r="FO152" s="1208">
        <f>FP152-FN152</f>
        <v>1674</v>
      </c>
      <c r="FP152" s="1208">
        <v>3444</v>
      </c>
      <c r="FQ152" s="1208">
        <f>FR152-FP152</f>
        <v>2124</v>
      </c>
      <c r="FR152" s="1208">
        <v>5568</v>
      </c>
      <c r="FS152" s="1208">
        <f>FU152-FR152</f>
        <v>1908</v>
      </c>
      <c r="FT152" s="1208">
        <f>FQ152+FS152</f>
        <v>4032</v>
      </c>
      <c r="FU152" s="1208">
        <v>7476</v>
      </c>
      <c r="FV152" s="1214">
        <f>FX152-FW152</f>
        <v>1895</v>
      </c>
      <c r="FW152" s="1211">
        <v>1748</v>
      </c>
      <c r="FX152" s="1076">
        <v>3643</v>
      </c>
      <c r="FY152" s="1208">
        <f>FZ152-FX152</f>
        <v>2144</v>
      </c>
      <c r="FZ152" s="1208">
        <v>5787</v>
      </c>
      <c r="GA152" s="1208">
        <f>GC152-FZ152</f>
        <v>1960</v>
      </c>
      <c r="GB152" s="1208">
        <f>FY152+GA152</f>
        <v>4104</v>
      </c>
      <c r="GC152" s="1212">
        <v>7747</v>
      </c>
      <c r="GD152" s="1214">
        <v>2019</v>
      </c>
      <c r="GE152" s="1211">
        <v>1895</v>
      </c>
      <c r="GF152" s="1076">
        <f>GE152+GD152</f>
        <v>3914</v>
      </c>
      <c r="GG152" s="1208">
        <v>2249</v>
      </c>
      <c r="GH152" s="1208">
        <f>GG152+GF152</f>
        <v>6163</v>
      </c>
      <c r="GI152" s="1208">
        <f>GK152-GH152</f>
        <v>2060</v>
      </c>
      <c r="GJ152" s="1208">
        <f>GG152+GI152</f>
        <v>4309</v>
      </c>
      <c r="GK152" s="1212">
        <v>8223</v>
      </c>
      <c r="GL152" s="1211">
        <v>2170</v>
      </c>
      <c r="GM152" s="1211">
        <v>1927</v>
      </c>
      <c r="GN152" s="1076">
        <f>GM152+GL152</f>
        <v>4097</v>
      </c>
      <c r="GO152" s="1208">
        <v>2625</v>
      </c>
      <c r="GP152" s="1208">
        <f>GO152+GN152</f>
        <v>6722</v>
      </c>
      <c r="GQ152" s="1208">
        <f>GS152-GP152</f>
        <v>2241</v>
      </c>
      <c r="GR152" s="1208">
        <f>GO152+GQ152</f>
        <v>4866</v>
      </c>
      <c r="GS152" s="1212">
        <v>8963</v>
      </c>
      <c r="GT152" s="1211">
        <v>1808</v>
      </c>
      <c r="GU152" s="1211">
        <v>1158</v>
      </c>
      <c r="GV152" s="1076">
        <f>GU152+GT152</f>
        <v>2966</v>
      </c>
      <c r="GW152" s="1208">
        <v>2400</v>
      </c>
      <c r="GX152" s="1208"/>
      <c r="GY152" s="1208">
        <f>HA152-GX152</f>
        <v>7687</v>
      </c>
      <c r="GZ152" s="1208">
        <f>GW152+GY152</f>
        <v>10087</v>
      </c>
      <c r="HA152" s="1212">
        <v>7687</v>
      </c>
      <c r="HB152" s="1211">
        <v>2081</v>
      </c>
      <c r="HC152" s="1211">
        <v>1957</v>
      </c>
      <c r="HD152" s="1076">
        <f>HC152+HB152</f>
        <v>4038</v>
      </c>
      <c r="HE152" s="1208">
        <v>2391</v>
      </c>
      <c r="HF152" s="1208"/>
      <c r="HG152" s="1208">
        <v>2282</v>
      </c>
      <c r="HH152" s="1208"/>
      <c r="HI152" s="1212">
        <v>8710</v>
      </c>
      <c r="HJ152" s="1211">
        <v>1987</v>
      </c>
      <c r="HK152" s="1211">
        <v>1970</v>
      </c>
      <c r="HL152" s="1208"/>
      <c r="HM152" s="1208"/>
      <c r="HN152" s="1208"/>
      <c r="HO152" s="1208"/>
      <c r="HP152" s="1208"/>
      <c r="HQ152" s="1212"/>
      <c r="HR152" s="1208"/>
      <c r="HS152" s="1208"/>
      <c r="HT152" s="1208"/>
      <c r="HU152" s="1208"/>
      <c r="HV152" s="1208"/>
      <c r="HW152" s="1208"/>
      <c r="HX152" s="1208"/>
      <c r="HY152" s="1208"/>
      <c r="HZ152" s="1208">
        <v>1829</v>
      </c>
      <c r="IA152" s="1208">
        <v>1826</v>
      </c>
      <c r="IB152" s="1208"/>
      <c r="IC152" s="1208">
        <v>2156</v>
      </c>
      <c r="ID152" s="1208"/>
      <c r="IE152" s="1208">
        <v>2126</v>
      </c>
      <c r="IF152" s="1208"/>
      <c r="IG152" s="1212">
        <f>IE152+IC152+IA152+HZ152</f>
        <v>7937</v>
      </c>
      <c r="IH152" s="1208">
        <v>1968</v>
      </c>
      <c r="II152" s="1208">
        <v>2029</v>
      </c>
      <c r="IJ152" s="1208"/>
      <c r="IK152" s="1208">
        <v>2383</v>
      </c>
      <c r="IL152" s="1208"/>
      <c r="IM152" s="1208">
        <v>2384</v>
      </c>
      <c r="IN152" s="1208"/>
      <c r="IO152" s="1212">
        <f>IM152+IK152+II152+IH152</f>
        <v>8764</v>
      </c>
      <c r="IP152" s="1208">
        <v>2442</v>
      </c>
      <c r="IQ152" s="1208">
        <v>2721</v>
      </c>
      <c r="IR152" s="1181"/>
      <c r="IS152" s="1181"/>
      <c r="IT152" s="1181"/>
      <c r="IU152" s="1181"/>
      <c r="IV152" s="1181"/>
      <c r="IW152" s="1181"/>
      <c r="IX152" s="1178"/>
      <c r="IY152" s="1178"/>
      <c r="IZ152" s="1178"/>
      <c r="JA152" s="1178"/>
      <c r="JD152" s="1083"/>
      <c r="JF152" s="1126"/>
      <c r="JG152" s="1126"/>
      <c r="JH152" s="1126"/>
      <c r="KP152" s="1203"/>
      <c r="LV152" s="1127"/>
    </row>
    <row r="153" s="1024" customFormat="1" spans="1:334">
      <c r="A153" s="967" t="s">
        <v>61</v>
      </c>
      <c r="B153" s="1121"/>
      <c r="C153" s="1121"/>
      <c r="D153" s="1121"/>
      <c r="E153" s="1121"/>
      <c r="F153" s="1121"/>
      <c r="G153" s="1121"/>
      <c r="H153" s="1121"/>
      <c r="I153" s="1121"/>
      <c r="J153" s="1121"/>
      <c r="K153" s="1121"/>
      <c r="L153" s="1121"/>
      <c r="M153" s="1121"/>
      <c r="N153" s="1121"/>
      <c r="O153" s="1121"/>
      <c r="P153" s="1121"/>
      <c r="Q153" s="1121"/>
      <c r="R153" s="1121"/>
      <c r="S153" s="1121"/>
      <c r="T153" s="1121"/>
      <c r="U153" s="1121"/>
      <c r="V153" s="1121"/>
      <c r="W153" s="1121"/>
      <c r="X153" s="1121"/>
      <c r="Y153" s="1121"/>
      <c r="Z153" s="1121"/>
      <c r="AA153" s="1121"/>
      <c r="AB153" s="1121"/>
      <c r="AC153" s="1121"/>
      <c r="AD153" s="1121"/>
      <c r="AE153" s="1121"/>
      <c r="AF153" s="1121"/>
      <c r="AG153" s="1121"/>
      <c r="AH153" s="1121"/>
      <c r="AI153" s="1121"/>
      <c r="AJ153" s="1121"/>
      <c r="AK153" s="1121"/>
      <c r="AL153" s="1121"/>
      <c r="AM153" s="1121"/>
      <c r="AN153" s="1121"/>
      <c r="AO153" s="1121"/>
      <c r="AP153" s="1121"/>
      <c r="AQ153" s="1121"/>
      <c r="AR153" s="1121"/>
      <c r="AS153" s="1121"/>
      <c r="AT153" s="1121"/>
      <c r="AU153" s="1121"/>
      <c r="AV153" s="1121"/>
      <c r="AW153" s="1121"/>
      <c r="AX153" s="1122"/>
      <c r="AY153" s="1121"/>
      <c r="AZ153" s="1121"/>
      <c r="BA153" s="1121"/>
      <c r="BB153" s="1121"/>
      <c r="BC153" s="1121"/>
      <c r="BD153" s="1121"/>
      <c r="BE153" s="1123"/>
      <c r="BF153" s="1121"/>
      <c r="BG153" s="1121"/>
      <c r="BH153" s="1121"/>
      <c r="BI153" s="1121"/>
      <c r="BJ153" s="1121"/>
      <c r="BK153" s="1121"/>
      <c r="BL153" s="1121"/>
      <c r="BM153" s="1121"/>
      <c r="BN153" s="1122"/>
      <c r="BO153" s="1121"/>
      <c r="BP153" s="1121"/>
      <c r="BQ153" s="1121"/>
      <c r="BR153" s="1121"/>
      <c r="BS153" s="1121"/>
      <c r="BT153" s="1121"/>
      <c r="BU153" s="1123"/>
      <c r="BV153" s="1122"/>
      <c r="BW153" s="1121"/>
      <c r="BX153" s="1121"/>
      <c r="BY153" s="1121"/>
      <c r="BZ153" s="1121"/>
      <c r="CA153" s="1121"/>
      <c r="CB153" s="1121"/>
      <c r="CC153" s="1123"/>
      <c r="CD153" s="1122"/>
      <c r="CE153" s="1121"/>
      <c r="CF153" s="1121"/>
      <c r="CG153" s="1121"/>
      <c r="CH153" s="1121"/>
      <c r="CI153" s="1121"/>
      <c r="CJ153" s="917"/>
      <c r="CK153" s="1123"/>
      <c r="CL153" s="1122"/>
      <c r="CM153" s="1121"/>
      <c r="CN153" s="1121"/>
      <c r="CO153" s="1121"/>
      <c r="CP153" s="1121"/>
      <c r="CQ153" s="1121"/>
      <c r="CR153" s="1121"/>
      <c r="CS153" s="1123"/>
      <c r="CT153" s="1122"/>
      <c r="CU153" s="1121"/>
      <c r="CV153" s="1121"/>
      <c r="CW153" s="1205"/>
      <c r="CX153" s="1205"/>
      <c r="CY153" s="1121"/>
      <c r="CZ153" s="1121"/>
      <c r="DA153" s="1121"/>
      <c r="DB153" s="1114"/>
      <c r="DC153" s="1114"/>
      <c r="DD153" s="1114"/>
      <c r="DE153" s="1206"/>
      <c r="DF153" s="1206"/>
      <c r="DG153" s="1114"/>
      <c r="DH153" s="1114"/>
      <c r="DI153" s="1207"/>
      <c r="DJ153" s="1083"/>
      <c r="DK153" s="1083"/>
      <c r="DL153" s="1083"/>
      <c r="DM153" s="1083"/>
      <c r="DN153" s="1083"/>
      <c r="DO153" s="1083"/>
      <c r="DP153" s="1083"/>
      <c r="DQ153" s="1084"/>
      <c r="DR153" s="1083"/>
      <c r="DS153" s="1083"/>
      <c r="DT153" s="1083"/>
      <c r="DU153" s="1083"/>
      <c r="DV153" s="1083"/>
      <c r="DW153" s="1083"/>
      <c r="DX153" s="1083"/>
      <c r="DY153" s="1084">
        <f t="shared" ref="DY153:EO153" si="768">DY152/DQ152-1</f>
        <v>0.126701570680628</v>
      </c>
      <c r="DZ153" s="1083">
        <f t="shared" si="768"/>
        <v>0.170796460176991</v>
      </c>
      <c r="EA153" s="1083">
        <f t="shared" si="768"/>
        <v>-0.00475435816164815</v>
      </c>
      <c r="EB153" s="1083">
        <f t="shared" si="768"/>
        <v>0.0781772575250836</v>
      </c>
      <c r="EC153" s="1083">
        <f t="shared" si="768"/>
        <v>0.0485436893203883</v>
      </c>
      <c r="ED153" s="1083">
        <f t="shared" si="768"/>
        <v>0.0665481330962663</v>
      </c>
      <c r="EE153" s="1083">
        <f t="shared" si="768"/>
        <v>0.0630630630630631</v>
      </c>
      <c r="EF153" s="1083">
        <f t="shared" si="768"/>
        <v>0.0555555555555556</v>
      </c>
      <c r="EG153" s="1084">
        <f t="shared" si="768"/>
        <v>0.0656133828996281</v>
      </c>
      <c r="EH153" s="1083">
        <f t="shared" si="768"/>
        <v>0.154195011337869</v>
      </c>
      <c r="EI153" s="1083">
        <f t="shared" si="768"/>
        <v>0.152866242038217</v>
      </c>
      <c r="EJ153" s="1083">
        <f t="shared" si="768"/>
        <v>0.153547886777821</v>
      </c>
      <c r="EK153" s="1083">
        <f t="shared" si="768"/>
        <v>0.102469135802469</v>
      </c>
      <c r="EL153" s="1083">
        <f t="shared" si="768"/>
        <v>0.133841390807335</v>
      </c>
      <c r="EM153" s="1083">
        <f t="shared" si="768"/>
        <v>-0.00325945241199477</v>
      </c>
      <c r="EN153" s="1083">
        <f t="shared" si="768"/>
        <v>0.0510462904248574</v>
      </c>
      <c r="EO153" s="1084">
        <f t="shared" si="768"/>
        <v>0.0971568114425256</v>
      </c>
      <c r="EP153" s="1083">
        <f t="shared" ref="EP153:EX153" si="769">EP152/EH152-1</f>
        <v>-0.0949574328749181</v>
      </c>
      <c r="EQ153" s="1083">
        <f t="shared" si="769"/>
        <v>-0.12292817679558</v>
      </c>
      <c r="ER153" s="1083">
        <f t="shared" si="769"/>
        <v>-0.108571428571429</v>
      </c>
      <c r="ES153" s="1083">
        <f t="shared" si="769"/>
        <v>-0.0862262038073908</v>
      </c>
      <c r="ET153" s="1083">
        <f t="shared" si="769"/>
        <v>-0.100189035916824</v>
      </c>
      <c r="EU153" s="1083">
        <f t="shared" si="769"/>
        <v>-0.00130804447351207</v>
      </c>
      <c r="EV153" s="1083">
        <f t="shared" si="769"/>
        <v>-0.0470588235294118</v>
      </c>
      <c r="EW153" s="1084">
        <f t="shared" si="769"/>
        <v>-0.0761526232114468</v>
      </c>
      <c r="EX153" s="1083">
        <f t="shared" si="769"/>
        <v>0.0376266280752533</v>
      </c>
      <c r="EY153" s="1083">
        <f t="shared" ref="EY153:FJ153" si="770">EY152/EQ152-1</f>
        <v>0.122834645669291</v>
      </c>
      <c r="EZ153" s="1083">
        <f t="shared" si="770"/>
        <v>0.0784313725490196</v>
      </c>
      <c r="FA153" s="1083">
        <f t="shared" si="770"/>
        <v>0.0802696078431373</v>
      </c>
      <c r="FB153" s="1083">
        <f t="shared" si="770"/>
        <v>0.0791316526610644</v>
      </c>
      <c r="FC153" s="1083">
        <f t="shared" si="770"/>
        <v>0.0844793713163066</v>
      </c>
      <c r="FD153" s="1083">
        <f t="shared" si="770"/>
        <v>0.0823045267489713</v>
      </c>
      <c r="FE153" s="1084">
        <f t="shared" si="770"/>
        <v>0.080536912751678</v>
      </c>
      <c r="FF153" s="1083">
        <f t="shared" si="770"/>
        <v>0.112273361227336</v>
      </c>
      <c r="FG153" s="1083">
        <f t="shared" si="770"/>
        <v>0.0729312762973353</v>
      </c>
      <c r="FH153" s="1083">
        <f t="shared" si="770"/>
        <v>0.0926573426573427</v>
      </c>
      <c r="FI153" s="1083">
        <f t="shared" si="770"/>
        <v>0.126488939307998</v>
      </c>
      <c r="FJ153" s="1083">
        <f t="shared" si="770"/>
        <v>0.105559160718148</v>
      </c>
      <c r="FK153" s="1083">
        <f t="shared" ref="FK153:FR153" si="771">FK152/FC152-1</f>
        <v>0.122584541062802</v>
      </c>
      <c r="FL153" s="1083">
        <f t="shared" si="771"/>
        <v>0.124597835624452</v>
      </c>
      <c r="FM153" s="1084">
        <f t="shared" si="771"/>
        <v>0.110049370918936</v>
      </c>
      <c r="FN153" s="1083">
        <f t="shared" si="771"/>
        <v>0.109717868338558</v>
      </c>
      <c r="FO153" s="1083">
        <f t="shared" si="771"/>
        <v>0.0941176470588236</v>
      </c>
      <c r="FP153" s="1083">
        <f t="shared" si="771"/>
        <v>0.10208</v>
      </c>
      <c r="FQ153" s="1083">
        <f t="shared" si="771"/>
        <v>0.0694864048338368</v>
      </c>
      <c r="FR153" s="1083">
        <f t="shared" si="771"/>
        <v>0.0894149872823322</v>
      </c>
      <c r="FS153" s="1083">
        <f t="shared" ref="FS153:FX153" si="772">FS152/FK152-1</f>
        <v>0.0263582571274878</v>
      </c>
      <c r="FT153" s="1083">
        <f t="shared" si="772"/>
        <v>0.048634590377113</v>
      </c>
      <c r="FU153" s="1083">
        <f t="shared" si="772"/>
        <v>0.0725968436154949</v>
      </c>
      <c r="FV153" s="1086">
        <f t="shared" si="772"/>
        <v>0.0706214689265536</v>
      </c>
      <c r="FW153" s="1087">
        <f t="shared" si="772"/>
        <v>0.0442054958183991</v>
      </c>
      <c r="FX153" s="1087">
        <f t="shared" si="772"/>
        <v>0.0577816492450638</v>
      </c>
      <c r="FY153" s="1083">
        <f t="shared" ref="FY153" si="773">FY152/FQ152-1</f>
        <v>0.00941619585687392</v>
      </c>
      <c r="FZ153" s="1083">
        <f t="shared" ref="FZ153" si="774">FZ152/FR152-1</f>
        <v>0.0393318965517242</v>
      </c>
      <c r="GA153" s="1083">
        <f t="shared" ref="GA153" si="775">GA152/FS152-1</f>
        <v>0.0272536687631026</v>
      </c>
      <c r="GB153" s="1083">
        <f t="shared" ref="GB153:GH153" si="776">GB152/FT152-1</f>
        <v>0.0178571428571428</v>
      </c>
      <c r="GC153" s="1084">
        <f t="shared" si="776"/>
        <v>0.0362493311931513</v>
      </c>
      <c r="GD153" s="1086">
        <f t="shared" si="776"/>
        <v>0.0654353562005276</v>
      </c>
      <c r="GE153" s="1087">
        <f t="shared" si="776"/>
        <v>0.084096109839817</v>
      </c>
      <c r="GF153" s="1087">
        <f t="shared" si="776"/>
        <v>0.0743892396376613</v>
      </c>
      <c r="GG153" s="1087">
        <f t="shared" si="776"/>
        <v>0.048973880597015</v>
      </c>
      <c r="GH153" s="1083">
        <f t="shared" si="776"/>
        <v>0.0649732158285814</v>
      </c>
      <c r="GI153" s="1083">
        <f t="shared" ref="GI153" si="777">GI152/GA152-1</f>
        <v>0.0510204081632653</v>
      </c>
      <c r="GJ153" s="1083">
        <f t="shared" ref="GJ153" si="778">GJ152/GB152-1</f>
        <v>0.0499512670565303</v>
      </c>
      <c r="GK153" s="1084">
        <f t="shared" ref="GK153:GP153" si="779">GK152/GC152-1</f>
        <v>0.0614431392797212</v>
      </c>
      <c r="GL153" s="1087">
        <f t="shared" si="779"/>
        <v>0.0747894997523526</v>
      </c>
      <c r="GM153" s="1087">
        <f t="shared" si="779"/>
        <v>0.01688654353562</v>
      </c>
      <c r="GN153" s="1087">
        <f t="shared" si="779"/>
        <v>0.0467552376085845</v>
      </c>
      <c r="GO153" s="1087">
        <f t="shared" si="779"/>
        <v>0.167185415740329</v>
      </c>
      <c r="GP153" s="1083">
        <f t="shared" si="779"/>
        <v>0.0907025799123804</v>
      </c>
      <c r="GQ153" s="1083">
        <f t="shared" ref="GQ153" si="780">GQ152/GI152-1</f>
        <v>0.0878640776699029</v>
      </c>
      <c r="GR153" s="1083">
        <f t="shared" ref="GR153" si="781">GR152/GJ152-1</f>
        <v>0.129264330471107</v>
      </c>
      <c r="GS153" s="1084">
        <f t="shared" ref="GS153:GW153" si="782">GS152/GK152-1</f>
        <v>0.0899914872917427</v>
      </c>
      <c r="GT153" s="1087">
        <f t="shared" si="782"/>
        <v>-0.166820276497696</v>
      </c>
      <c r="GU153" s="1087">
        <f t="shared" si="782"/>
        <v>-0.399065905552673</v>
      </c>
      <c r="GV153" s="1087">
        <f t="shared" si="782"/>
        <v>-0.276055650475958</v>
      </c>
      <c r="GW153" s="1087">
        <f t="shared" si="782"/>
        <v>-0.0857142857142857</v>
      </c>
      <c r="GX153" s="1083"/>
      <c r="GY153" s="1083">
        <f t="shared" ref="GY153" si="783">GY152/GQ152-1</f>
        <v>2.4301651048639</v>
      </c>
      <c r="GZ153" s="1083">
        <f t="shared" ref="GZ153" si="784">GZ152/GR152-1</f>
        <v>1.07295519934238</v>
      </c>
      <c r="HA153" s="1084">
        <f t="shared" ref="HA153" si="785">HA152/GS152-1</f>
        <v>-0.142363048086578</v>
      </c>
      <c r="HB153" s="1087">
        <f>HB152/1709-1</f>
        <v>0.217671152720889</v>
      </c>
      <c r="HC153" s="1087">
        <f>HC152/GU152-1</f>
        <v>0.689982728842832</v>
      </c>
      <c r="HD153" s="1087">
        <f>HD152/GV152-1</f>
        <v>0.361429534726905</v>
      </c>
      <c r="HE153" s="1087">
        <f>HE152/GW152-1</f>
        <v>-0.00375000000000003</v>
      </c>
      <c r="HF153" s="1083"/>
      <c r="HG153" s="1083">
        <f t="shared" ref="HG153" si="786">HG152/GY152-1</f>
        <v>-0.703135163262651</v>
      </c>
      <c r="HH153" s="1083"/>
      <c r="HI153" s="1084">
        <f t="shared" ref="HI153:HK153" si="787">HI152/HA152-1</f>
        <v>0.133081826460258</v>
      </c>
      <c r="HJ153" s="1087">
        <f t="shared" si="787"/>
        <v>-0.0451705910619894</v>
      </c>
      <c r="HK153" s="1087">
        <f t="shared" si="787"/>
        <v>0.0066428206438427</v>
      </c>
      <c r="HL153" s="1083"/>
      <c r="HM153" s="1083"/>
      <c r="HN153" s="1083"/>
      <c r="HO153" s="1083"/>
      <c r="HP153" s="1083"/>
      <c r="HQ153" s="1084"/>
      <c r="HR153" s="1083"/>
      <c r="HS153" s="1083"/>
      <c r="HT153" s="1083"/>
      <c r="HU153" s="1083"/>
      <c r="HV153" s="1083"/>
      <c r="HW153" s="1083"/>
      <c r="HX153" s="1083"/>
      <c r="HY153" s="1083"/>
      <c r="HZ153" s="1083"/>
      <c r="IA153" s="1083"/>
      <c r="IB153" s="1083"/>
      <c r="IC153" s="1083"/>
      <c r="ID153" s="1083"/>
      <c r="IE153" s="1083"/>
      <c r="IF153" s="1083"/>
      <c r="IG153" s="1084"/>
      <c r="IH153" s="1083">
        <f>IH152/HZ152-1</f>
        <v>0.0759978130125751</v>
      </c>
      <c r="II153" s="1083">
        <f>II152/IA152-1</f>
        <v>0.111171960569551</v>
      </c>
      <c r="IJ153" s="1083"/>
      <c r="IK153" s="1083">
        <f>IK152/IC152-1</f>
        <v>0.105287569573284</v>
      </c>
      <c r="IL153" s="1083"/>
      <c r="IM153" s="1083">
        <f t="shared" ref="IM153:IQ153" si="788">IM152/IE152-1</f>
        <v>0.121354656632173</v>
      </c>
      <c r="IN153" s="1083" t="e">
        <f t="shared" si="788"/>
        <v>#DIV/0!</v>
      </c>
      <c r="IO153" s="1084">
        <f t="shared" si="788"/>
        <v>0.104195539876528</v>
      </c>
      <c r="IP153" s="1083">
        <f t="shared" si="788"/>
        <v>0.240853658536585</v>
      </c>
      <c r="IQ153" s="1083">
        <f t="shared" si="788"/>
        <v>0.341054706752095</v>
      </c>
      <c r="IR153" s="1181"/>
      <c r="IS153" s="1181"/>
      <c r="IT153" s="1181"/>
      <c r="IU153" s="1181"/>
      <c r="IV153" s="1181"/>
      <c r="IW153" s="1181"/>
      <c r="IX153" s="1178"/>
      <c r="IY153" s="1178"/>
      <c r="IZ153" s="1178"/>
      <c r="JA153" s="1178"/>
      <c r="JB153" s="1178"/>
      <c r="JC153" s="1178"/>
      <c r="JD153" s="1125"/>
      <c r="JE153" s="1126"/>
      <c r="JF153" s="1126"/>
      <c r="JG153" s="1126"/>
      <c r="JH153" s="1126"/>
      <c r="KP153" s="1203"/>
      <c r="LV153" s="1127"/>
    </row>
    <row r="154" s="1024" customFormat="1" spans="1:334">
      <c r="A154" s="967" t="s">
        <v>63</v>
      </c>
      <c r="B154" s="1121"/>
      <c r="C154" s="1121"/>
      <c r="D154" s="1121"/>
      <c r="E154" s="1121"/>
      <c r="F154" s="1121"/>
      <c r="G154" s="1121"/>
      <c r="H154" s="1121"/>
      <c r="I154" s="1121"/>
      <c r="J154" s="1121"/>
      <c r="K154" s="1121"/>
      <c r="L154" s="1121"/>
      <c r="M154" s="1121"/>
      <c r="N154" s="1121"/>
      <c r="O154" s="1121"/>
      <c r="P154" s="1121"/>
      <c r="Q154" s="1121"/>
      <c r="R154" s="1121"/>
      <c r="S154" s="1121"/>
      <c r="T154" s="1121"/>
      <c r="U154" s="1121"/>
      <c r="V154" s="1121"/>
      <c r="W154" s="1121"/>
      <c r="X154" s="1121"/>
      <c r="Y154" s="1121"/>
      <c r="Z154" s="1121"/>
      <c r="AA154" s="1121"/>
      <c r="AB154" s="1121"/>
      <c r="AC154" s="1121"/>
      <c r="AD154" s="1121"/>
      <c r="AE154" s="1121"/>
      <c r="AF154" s="1121"/>
      <c r="AG154" s="1121"/>
      <c r="AH154" s="1121"/>
      <c r="AI154" s="1121"/>
      <c r="AJ154" s="1121"/>
      <c r="AK154" s="1121"/>
      <c r="AL154" s="1121"/>
      <c r="AM154" s="1121"/>
      <c r="AN154" s="1121"/>
      <c r="AO154" s="1121"/>
      <c r="AP154" s="1121"/>
      <c r="AQ154" s="1121"/>
      <c r="AR154" s="1121"/>
      <c r="AS154" s="1121"/>
      <c r="AT154" s="1121"/>
      <c r="AU154" s="1121"/>
      <c r="AV154" s="1121"/>
      <c r="AW154" s="1121"/>
      <c r="AX154" s="1122"/>
      <c r="AY154" s="1121"/>
      <c r="AZ154" s="1121"/>
      <c r="BA154" s="1121"/>
      <c r="BB154" s="1121"/>
      <c r="BC154" s="1121"/>
      <c r="BD154" s="1121"/>
      <c r="BE154" s="1123"/>
      <c r="BF154" s="1121"/>
      <c r="BG154" s="1121"/>
      <c r="BH154" s="1121"/>
      <c r="BI154" s="1121"/>
      <c r="BJ154" s="1121"/>
      <c r="BK154" s="1121"/>
      <c r="BL154" s="1121"/>
      <c r="BM154" s="1121"/>
      <c r="BN154" s="1122"/>
      <c r="BO154" s="1121"/>
      <c r="BP154" s="1121"/>
      <c r="BQ154" s="1121"/>
      <c r="BR154" s="1121"/>
      <c r="BS154" s="1121"/>
      <c r="BT154" s="1121"/>
      <c r="BU154" s="1123"/>
      <c r="BV154" s="1122"/>
      <c r="BW154" s="1121"/>
      <c r="BX154" s="1121"/>
      <c r="BY154" s="1121"/>
      <c r="BZ154" s="1121"/>
      <c r="CA154" s="1121"/>
      <c r="CB154" s="1121"/>
      <c r="CC154" s="1123"/>
      <c r="CD154" s="1122"/>
      <c r="CE154" s="1121"/>
      <c r="CF154" s="1121"/>
      <c r="CG154" s="1121"/>
      <c r="CH154" s="1121"/>
      <c r="CI154" s="1121"/>
      <c r="CJ154" s="917"/>
      <c r="CK154" s="1123"/>
      <c r="CL154" s="1122"/>
      <c r="CM154" s="1121"/>
      <c r="CN154" s="1121"/>
      <c r="CO154" s="1121"/>
      <c r="CP154" s="1121"/>
      <c r="CQ154" s="1121"/>
      <c r="CR154" s="1121"/>
      <c r="CS154" s="1123"/>
      <c r="CT154" s="1122"/>
      <c r="CU154" s="1121"/>
      <c r="CV154" s="1121"/>
      <c r="CW154" s="1205"/>
      <c r="CX154" s="1205"/>
      <c r="CY154" s="1121"/>
      <c r="CZ154" s="1121"/>
      <c r="DA154" s="1121"/>
      <c r="DB154" s="1114"/>
      <c r="DC154" s="1114"/>
      <c r="DD154" s="1114"/>
      <c r="DE154" s="1206"/>
      <c r="DF154" s="1206"/>
      <c r="DG154" s="1114"/>
      <c r="DH154" s="1114"/>
      <c r="DI154" s="1207"/>
      <c r="DJ154" s="1083"/>
      <c r="DK154" s="1083"/>
      <c r="DL154" s="1083"/>
      <c r="DM154" s="1083"/>
      <c r="DN154" s="1083"/>
      <c r="DO154" s="1083"/>
      <c r="DP154" s="1083"/>
      <c r="DQ154" s="1084"/>
      <c r="DR154" s="1083"/>
      <c r="DS154" s="1083"/>
      <c r="DT154" s="1083"/>
      <c r="DU154" s="1083"/>
      <c r="DV154" s="1083"/>
      <c r="DW154" s="1083"/>
      <c r="DX154" s="1083"/>
      <c r="DY154" s="1084">
        <f t="shared" ref="DY154:EO154" si="789">DY153-DY155</f>
        <v>0.0367015706806283</v>
      </c>
      <c r="DZ154" s="1083">
        <f t="shared" si="789"/>
        <v>0.0407964601769911</v>
      </c>
      <c r="EA154" s="1083">
        <f t="shared" si="789"/>
        <v>-0.0399841521394612</v>
      </c>
      <c r="EB154" s="1083">
        <f t="shared" si="789"/>
        <v>-0.00182274247491636</v>
      </c>
      <c r="EC154" s="1083">
        <f t="shared" si="789"/>
        <v>-0.0569385113268608</v>
      </c>
      <c r="ED154" s="1083">
        <f t="shared" si="789"/>
        <v>-0.0234518669037337</v>
      </c>
      <c r="EE154" s="1083">
        <f t="shared" si="789"/>
        <v>0.0103465003465004</v>
      </c>
      <c r="EF154" s="1083">
        <f t="shared" si="789"/>
        <v>-0.0244444444444444</v>
      </c>
      <c r="EG154" s="1084">
        <f t="shared" si="789"/>
        <v>-0.0143866171003719</v>
      </c>
      <c r="EH154" s="1083">
        <f t="shared" si="789"/>
        <v>0.0341950113378685</v>
      </c>
      <c r="EI154" s="1083">
        <f t="shared" si="789"/>
        <v>0.0739331210191082</v>
      </c>
      <c r="EJ154" s="1083">
        <f t="shared" si="789"/>
        <v>0.0535478867778208</v>
      </c>
      <c r="EK154" s="1083">
        <f t="shared" si="789"/>
        <v>0.0802283950617285</v>
      </c>
      <c r="EL154" s="1083">
        <f t="shared" si="789"/>
        <v>0.063841390807335</v>
      </c>
      <c r="EM154" s="1083">
        <f t="shared" si="789"/>
        <v>0.0388591916558019</v>
      </c>
      <c r="EN154" s="1083">
        <f t="shared" si="789"/>
        <v>0.0601077996195309</v>
      </c>
      <c r="EO154" s="1084">
        <f t="shared" si="789"/>
        <v>0.0571568114425256</v>
      </c>
      <c r="EP154" s="1083">
        <f t="shared" ref="EP154:EX154" si="790">EP153-EP155</f>
        <v>-0.0149574328749181</v>
      </c>
      <c r="EQ154" s="1083">
        <f t="shared" si="790"/>
        <v>-0.0429281767955801</v>
      </c>
      <c r="ER154" s="1083">
        <f t="shared" si="790"/>
        <v>-0.0285714285714285</v>
      </c>
      <c r="ES154" s="1083">
        <f t="shared" si="790"/>
        <v>-0.0595408734602463</v>
      </c>
      <c r="ET154" s="1083">
        <f t="shared" si="790"/>
        <v>-0.0401890359168242</v>
      </c>
      <c r="EU154" s="1083">
        <f t="shared" si="790"/>
        <v>-0.311550032701112</v>
      </c>
      <c r="EV154" s="1083">
        <f t="shared" si="790"/>
        <v>-0.175776772247361</v>
      </c>
      <c r="EW154" s="1084">
        <f t="shared" si="790"/>
        <v>-0.106152623211447</v>
      </c>
      <c r="EX154" s="1083">
        <f t="shared" si="790"/>
        <v>-0.0723733719247467</v>
      </c>
      <c r="EY154" s="1083">
        <f t="shared" ref="EY154:FL154" si="791">EY153-EY155</f>
        <v>-0.0706929133858269</v>
      </c>
      <c r="EZ154" s="1083">
        <f t="shared" si="791"/>
        <v>-0.0715686274509804</v>
      </c>
      <c r="FA154" s="1083">
        <f t="shared" si="791"/>
        <v>-0.0434803921568628</v>
      </c>
      <c r="FB154" s="1083">
        <f t="shared" si="791"/>
        <v>-0.0608683473389356</v>
      </c>
      <c r="FC154" s="1083">
        <f t="shared" si="791"/>
        <v>0.0205893909626721</v>
      </c>
      <c r="FD154" s="1083">
        <f t="shared" si="791"/>
        <v>-0.0125102880658435</v>
      </c>
      <c r="FE154" s="1084">
        <f t="shared" si="791"/>
        <v>-0.039463087248322</v>
      </c>
      <c r="FF154" s="1083">
        <f t="shared" si="791"/>
        <v>0.0722733612273361</v>
      </c>
      <c r="FG154" s="1083">
        <f t="shared" si="791"/>
        <v>0.0810659186535765</v>
      </c>
      <c r="FH154" s="1083">
        <f t="shared" si="791"/>
        <v>0.0766573426573427</v>
      </c>
      <c r="FI154" s="1083">
        <f t="shared" si="791"/>
        <v>0.0501775382870108</v>
      </c>
      <c r="FJ154" s="1083">
        <f t="shared" si="791"/>
        <v>0.0665591607181483</v>
      </c>
      <c r="FK154" s="1083">
        <f t="shared" si="791"/>
        <v>0.0418762077294686</v>
      </c>
      <c r="FL154" s="1083">
        <f t="shared" si="791"/>
        <v>0.0461567709856684</v>
      </c>
      <c r="FM154" s="1084">
        <f t="shared" ref="FM154:FX154" si="792">FM153-FM155</f>
        <v>0.0600493709189361</v>
      </c>
      <c r="FN154" s="1083">
        <f t="shared" si="792"/>
        <v>-0.040282131661442</v>
      </c>
      <c r="FO154" s="1083">
        <f t="shared" si="792"/>
        <v>-0.0763071895424836</v>
      </c>
      <c r="FP154" s="1083">
        <f t="shared" si="792"/>
        <v>-0.0579200000000001</v>
      </c>
      <c r="FQ154" s="1083">
        <f t="shared" si="792"/>
        <v>-0.0305135951661632</v>
      </c>
      <c r="FR154" s="1083">
        <f t="shared" si="792"/>
        <v>-0.0472705928389748</v>
      </c>
      <c r="FS154" s="1083">
        <f t="shared" si="792"/>
        <v>-0.0102743410435719</v>
      </c>
      <c r="FT154" s="1083">
        <f t="shared" si="792"/>
        <v>-0.0207282184655398</v>
      </c>
      <c r="FU154" s="1083">
        <f t="shared" si="792"/>
        <v>-0.0374031563845051</v>
      </c>
      <c r="FV154" s="1086">
        <f t="shared" si="792"/>
        <v>0.0111638418079096</v>
      </c>
      <c r="FW154" s="1087">
        <f t="shared" si="792"/>
        <v>0.00420549581839905</v>
      </c>
      <c r="FX154" s="1087">
        <f t="shared" si="792"/>
        <v>0.00778164924506379</v>
      </c>
      <c r="FY154" s="1083">
        <f t="shared" ref="FY154:GA154" si="793">FY153-FY155</f>
        <v>-0.0505838041431261</v>
      </c>
      <c r="FZ154" s="1083">
        <f t="shared" si="793"/>
        <v>-0.0144827586206896</v>
      </c>
      <c r="GA154" s="1083">
        <f t="shared" si="793"/>
        <v>-0.0899790356394131</v>
      </c>
      <c r="GB154" s="1083">
        <f t="shared" ref="GB154:GG154" si="794">GB153-GB155</f>
        <v>-0.0692261904761906</v>
      </c>
      <c r="GC154" s="1084">
        <f t="shared" si="794"/>
        <v>-0.0337506688068487</v>
      </c>
      <c r="GD154" s="1086">
        <f t="shared" si="794"/>
        <v>-0.0845646437994723</v>
      </c>
      <c r="GE154" s="1087">
        <f t="shared" si="794"/>
        <v>-0.055903890160183</v>
      </c>
      <c r="GF154" s="1087">
        <f t="shared" si="794"/>
        <v>-0.0708125171561899</v>
      </c>
      <c r="GG154" s="1087">
        <f t="shared" si="794"/>
        <v>-0.041026119402985</v>
      </c>
      <c r="GH154" s="1083">
        <f t="shared" ref="GH154:GI154" si="795">GH153-GH155</f>
        <v>-0.059777086573354</v>
      </c>
      <c r="GI154" s="1083">
        <f t="shared" si="795"/>
        <v>-0.0189795918367348</v>
      </c>
      <c r="GJ154" s="1083">
        <f t="shared" ref="GJ154:GO154" si="796">GJ153-GJ155</f>
        <v>-0.0304970760233917</v>
      </c>
      <c r="GK154" s="1084">
        <f t="shared" si="796"/>
        <v>-0.0485568607202788</v>
      </c>
      <c r="GL154" s="1087">
        <f t="shared" si="796"/>
        <v>0.0147894997523526</v>
      </c>
      <c r="GM154" s="1087">
        <f t="shared" si="796"/>
        <v>0.00688654353562002</v>
      </c>
      <c r="GN154" s="1087">
        <f t="shared" si="796"/>
        <v>0.0109632089933571</v>
      </c>
      <c r="GO154" s="1087">
        <f t="shared" si="796"/>
        <v>0.037185415740329</v>
      </c>
      <c r="GP154" s="1083">
        <f t="shared" ref="GP154:GQ154" si="797">GP153-GP155</f>
        <v>0.0205322083400942</v>
      </c>
      <c r="GQ154" s="1083">
        <f t="shared" si="797"/>
        <v>0.0178640776699029</v>
      </c>
      <c r="GR154" s="1083">
        <f t="shared" ref="GR154:GW154" si="798">GR153-GR155</f>
        <v>0.0279484799257368</v>
      </c>
      <c r="GS154" s="1084">
        <f t="shared" si="798"/>
        <v>0.0199914872917427</v>
      </c>
      <c r="GT154" s="1087">
        <f t="shared" si="798"/>
        <v>0.00317972350230419</v>
      </c>
      <c r="GU154" s="1087">
        <f t="shared" si="798"/>
        <v>-0.0090659055526725</v>
      </c>
      <c r="GV154" s="1087">
        <f t="shared" si="798"/>
        <v>-0.0025799365389309</v>
      </c>
      <c r="GW154" s="1087">
        <f t="shared" si="798"/>
        <v>-0.0357142857142857</v>
      </c>
      <c r="GX154" s="1083"/>
      <c r="GY154" s="1083">
        <f>GY153-GY155</f>
        <v>2.3601651048639</v>
      </c>
      <c r="GZ154" s="1083">
        <f t="shared" ref="GZ154:HE154" si="799">GZ153-GZ155</f>
        <v>1.0676900945335</v>
      </c>
      <c r="HA154" s="1084">
        <f t="shared" si="799"/>
        <v>-0.0223630480865782</v>
      </c>
      <c r="HB154" s="1087">
        <f t="shared" si="799"/>
        <v>-0.0623288472791106</v>
      </c>
      <c r="HC154" s="1087">
        <f t="shared" si="799"/>
        <v>-0.130017271157168</v>
      </c>
      <c r="HD154" s="1087">
        <f t="shared" si="799"/>
        <v>-0.129399865138233</v>
      </c>
      <c r="HE154" s="1087">
        <f t="shared" si="799"/>
        <v>-0.04375</v>
      </c>
      <c r="HF154" s="1083"/>
      <c r="HG154" s="1083">
        <f>HG153-HG155</f>
        <v>-0.713135163262651</v>
      </c>
      <c r="HH154" s="1083"/>
      <c r="HI154" s="1084">
        <f>HI153-HI155</f>
        <v>-0.0669181735397424</v>
      </c>
      <c r="HJ154" s="1087">
        <f>HJ153-HJ155</f>
        <v>0.0448294089380106</v>
      </c>
      <c r="HK154" s="1087">
        <f>HK153-HK155</f>
        <v>0.0566428206438427</v>
      </c>
      <c r="HL154" s="1083"/>
      <c r="HM154" s="1083"/>
      <c r="HN154" s="1083"/>
      <c r="HO154" s="1083"/>
      <c r="HP154" s="1083"/>
      <c r="HQ154" s="1084"/>
      <c r="HR154" s="1083"/>
      <c r="HS154" s="1083"/>
      <c r="HT154" s="1083"/>
      <c r="HU154" s="1083"/>
      <c r="HV154" s="1083"/>
      <c r="HW154" s="1083"/>
      <c r="HX154" s="1083"/>
      <c r="HY154" s="1083"/>
      <c r="HZ154" s="1083"/>
      <c r="IA154" s="1083"/>
      <c r="IB154" s="1083"/>
      <c r="IC154" s="1083"/>
      <c r="ID154" s="1083"/>
      <c r="IE154" s="1083"/>
      <c r="IF154" s="1083"/>
      <c r="IG154" s="1084"/>
      <c r="IH154" s="1083"/>
      <c r="II154" s="1083"/>
      <c r="IJ154" s="1083"/>
      <c r="IK154" s="1083"/>
      <c r="IL154" s="1083"/>
      <c r="IM154" s="1083"/>
      <c r="IN154" s="1083"/>
      <c r="IO154" s="1084"/>
      <c r="IP154" s="1083"/>
      <c r="IQ154" s="1083"/>
      <c r="IR154" s="1181"/>
      <c r="IS154" s="1181"/>
      <c r="IT154" s="1181"/>
      <c r="IU154" s="1181"/>
      <c r="IV154" s="1181"/>
      <c r="IW154" s="1181"/>
      <c r="IX154" s="1178"/>
      <c r="IY154" s="1178"/>
      <c r="IZ154" s="1178"/>
      <c r="JA154" s="1178" t="s">
        <v>534</v>
      </c>
      <c r="JB154" s="1083">
        <f>1*(1+EH155)*(1+EP155)-1</f>
        <v>0.0304000000000002</v>
      </c>
      <c r="JC154" s="1083">
        <f>1*(1+EI155)*(1+EQ155)-1</f>
        <v>-0.00738152866242037</v>
      </c>
      <c r="JD154" s="1083">
        <f>1*(1+EK155)*(1+ES155)-1</f>
        <v>-0.00503809112023557</v>
      </c>
      <c r="JE154" s="1083">
        <f>1*(1+EM155)*(1+EU155)-1</f>
        <v>0.255056372282759</v>
      </c>
      <c r="JF154" s="1126"/>
      <c r="JG154" s="1083">
        <f>1*(1+EP155)*(1+EX155)-1</f>
        <v>0.0212000000000001</v>
      </c>
      <c r="JH154" s="1126"/>
      <c r="JI154" s="1083">
        <f>1*(1+EQ155)*(1+EY155)-1</f>
        <v>0.0980453543307087</v>
      </c>
      <c r="JJ154" s="1126"/>
      <c r="JK154" s="1083">
        <f>1*(1+ES155)*(1+FA155)-1</f>
        <v>0.0937623600223965</v>
      </c>
      <c r="JL154" s="1083">
        <f>1*(1+EU155)*(1+FC155)-1</f>
        <v>0.393953323113968</v>
      </c>
      <c r="JM154" s="1126"/>
      <c r="JN154" s="1083">
        <f>1*(1+EX155)*(1+FF155)-1</f>
        <v>0.1544</v>
      </c>
      <c r="JO154" s="1126"/>
      <c r="JP154" s="1083">
        <f>1*(1+EY155)*(1+FG155)-1</f>
        <v>0.183818639219887</v>
      </c>
      <c r="JQ154" s="1083">
        <f>1*(1+FA155)*(1+FI155)-1</f>
        <v>0.209504936897334</v>
      </c>
      <c r="JR154" s="1083">
        <f>1*(1+FC155)*(1+FK155)-1</f>
        <v>0.149754767518009</v>
      </c>
      <c r="JS154" s="1083">
        <f>1*(1+FF155)*(1+FN155)-1</f>
        <v>0.196</v>
      </c>
      <c r="JT154" s="1083">
        <f>1*(1+FG155)*(1+FO155)-1</f>
        <v>0.160903849150694</v>
      </c>
      <c r="JU154" s="1083">
        <f>1*(1+FI155)*(1+FQ155)-1</f>
        <v>0.183942541123086</v>
      </c>
      <c r="JV154" s="1083">
        <f>1*(1+FK155)*(1+FS155)-1</f>
        <v>0.120297487448449</v>
      </c>
      <c r="KP154" s="1203"/>
      <c r="LV154" s="1127"/>
    </row>
    <row r="155" s="1024" customFormat="1" spans="1:334">
      <c r="A155" s="967" t="s">
        <v>65</v>
      </c>
      <c r="B155" s="1121"/>
      <c r="C155" s="1121"/>
      <c r="D155" s="1121"/>
      <c r="E155" s="1121"/>
      <c r="F155" s="1121"/>
      <c r="G155" s="1121"/>
      <c r="H155" s="1121"/>
      <c r="I155" s="1121"/>
      <c r="J155" s="1121"/>
      <c r="K155" s="1121"/>
      <c r="L155" s="1121"/>
      <c r="M155" s="1121"/>
      <c r="N155" s="1121"/>
      <c r="O155" s="1121"/>
      <c r="P155" s="1121"/>
      <c r="Q155" s="1121"/>
      <c r="R155" s="1121"/>
      <c r="S155" s="1121"/>
      <c r="T155" s="1121"/>
      <c r="U155" s="1121"/>
      <c r="V155" s="1121"/>
      <c r="W155" s="1121"/>
      <c r="X155" s="1121"/>
      <c r="Y155" s="1121"/>
      <c r="Z155" s="1121"/>
      <c r="AA155" s="1121"/>
      <c r="AB155" s="1121"/>
      <c r="AC155" s="1121"/>
      <c r="AD155" s="1121"/>
      <c r="AE155" s="1121"/>
      <c r="AF155" s="1121"/>
      <c r="AG155" s="1121"/>
      <c r="AH155" s="1121"/>
      <c r="AI155" s="1121"/>
      <c r="AJ155" s="1121"/>
      <c r="AK155" s="1121"/>
      <c r="AL155" s="1121"/>
      <c r="AM155" s="1121"/>
      <c r="AN155" s="1121"/>
      <c r="AO155" s="1121"/>
      <c r="AP155" s="1121"/>
      <c r="AQ155" s="1121"/>
      <c r="AR155" s="1121"/>
      <c r="AS155" s="1121"/>
      <c r="AT155" s="1121"/>
      <c r="AU155" s="1121"/>
      <c r="AV155" s="1121"/>
      <c r="AW155" s="1121"/>
      <c r="AX155" s="1122"/>
      <c r="AY155" s="1121"/>
      <c r="AZ155" s="1121"/>
      <c r="BA155" s="1121"/>
      <c r="BB155" s="1121"/>
      <c r="BC155" s="1121"/>
      <c r="BD155" s="1121"/>
      <c r="BE155" s="1123"/>
      <c r="BF155" s="1121"/>
      <c r="BG155" s="1121"/>
      <c r="BH155" s="1121"/>
      <c r="BI155" s="1121"/>
      <c r="BJ155" s="1121"/>
      <c r="BK155" s="1121"/>
      <c r="BL155" s="1121"/>
      <c r="BM155" s="1121"/>
      <c r="BN155" s="1122"/>
      <c r="BO155" s="1121"/>
      <c r="BP155" s="1121"/>
      <c r="BQ155" s="1121"/>
      <c r="BR155" s="1121"/>
      <c r="BS155" s="1121"/>
      <c r="BT155" s="1121"/>
      <c r="BU155" s="1123"/>
      <c r="BV155" s="1122"/>
      <c r="BW155" s="1121"/>
      <c r="BX155" s="1121"/>
      <c r="BY155" s="1121"/>
      <c r="BZ155" s="1121"/>
      <c r="CA155" s="1121"/>
      <c r="CB155" s="1121"/>
      <c r="CC155" s="1123"/>
      <c r="CD155" s="1122"/>
      <c r="CE155" s="1121"/>
      <c r="CF155" s="1121"/>
      <c r="CG155" s="1121"/>
      <c r="CH155" s="1121"/>
      <c r="CI155" s="1121"/>
      <c r="CJ155" s="917"/>
      <c r="CK155" s="1123"/>
      <c r="CL155" s="1122"/>
      <c r="CM155" s="1121"/>
      <c r="CN155" s="1121"/>
      <c r="CO155" s="1121"/>
      <c r="CP155" s="1121"/>
      <c r="CQ155" s="1121"/>
      <c r="CR155" s="1121"/>
      <c r="CS155" s="1123"/>
      <c r="CT155" s="1122"/>
      <c r="CU155" s="1121"/>
      <c r="CV155" s="1121"/>
      <c r="CW155" s="1205"/>
      <c r="CX155" s="1205"/>
      <c r="CY155" s="1121"/>
      <c r="CZ155" s="1121"/>
      <c r="DA155" s="1121"/>
      <c r="DB155" s="1114"/>
      <c r="DC155" s="1114"/>
      <c r="DD155" s="1114"/>
      <c r="DE155" s="1206"/>
      <c r="DF155" s="1206"/>
      <c r="DG155" s="1114"/>
      <c r="DH155" s="1114"/>
      <c r="DI155" s="1207"/>
      <c r="DJ155" s="1083"/>
      <c r="DK155" s="1083"/>
      <c r="DL155" s="1083"/>
      <c r="DM155" s="1083"/>
      <c r="DN155" s="1083"/>
      <c r="DO155" s="1083"/>
      <c r="DP155" s="1083"/>
      <c r="DQ155" s="1084">
        <v>-0.04</v>
      </c>
      <c r="DR155" s="1083"/>
      <c r="DS155" s="1083"/>
      <c r="DT155" s="1083"/>
      <c r="DU155" s="1083"/>
      <c r="DV155" s="1083"/>
      <c r="DW155" s="1083"/>
      <c r="DX155" s="1083"/>
      <c r="DY155" s="1084">
        <v>0.09</v>
      </c>
      <c r="DZ155" s="1083">
        <v>0.13</v>
      </c>
      <c r="EA155" s="1083">
        <f>(DT152*EB155-DR152*DZ155)/DS152</f>
        <v>0.035229793977813</v>
      </c>
      <c r="EB155" s="1083">
        <v>0.08</v>
      </c>
      <c r="EC155" s="1083">
        <f>(DV152*ED155-DR152*DZ155-DS152*EA155)/DU152</f>
        <v>0.105482200647249</v>
      </c>
      <c r="ED155" s="1083">
        <v>0.09</v>
      </c>
      <c r="EE155" s="1083">
        <f>(DY152*EG155-DR152*DZ155-DS152*EA155-DU152*EC155)/DW152</f>
        <v>0.0527165627165627</v>
      </c>
      <c r="EF155" s="1083">
        <f>(DY152*EG155-DT152*EB155)/DX152</f>
        <v>0.08</v>
      </c>
      <c r="EG155" s="1084">
        <v>0.08</v>
      </c>
      <c r="EH155" s="1083">
        <v>0.12</v>
      </c>
      <c r="EI155" s="1083">
        <f>(EB152*EJ155-DZ152*EH155)/EA152</f>
        <v>0.0789331210191083</v>
      </c>
      <c r="EJ155" s="1083">
        <v>0.1</v>
      </c>
      <c r="EK155" s="1083">
        <f>(ED152*EL155-DZ152*EH155-EA152*EI155)/EC152</f>
        <v>0.0222407407407407</v>
      </c>
      <c r="EL155" s="1083">
        <v>0.07</v>
      </c>
      <c r="EM155" s="1083">
        <f>(EG152*EO155-DZ152*EH155-EA152*EI155-EC152*EK155)/EE152</f>
        <v>-0.0421186440677966</v>
      </c>
      <c r="EN155" s="1083">
        <f>(EG152*EO155-EB152*EJ155)/EF152</f>
        <v>-0.00906150919467344</v>
      </c>
      <c r="EO155" s="1084">
        <v>0.04</v>
      </c>
      <c r="EP155" s="1083">
        <v>-0.08</v>
      </c>
      <c r="EQ155" s="1083">
        <f>(EJ152*ER155-EH152*EP155)/EI152</f>
        <v>-0.08</v>
      </c>
      <c r="ER155" s="1083">
        <v>-0.08</v>
      </c>
      <c r="ES155" s="1083">
        <f>(EL152*ET155-EH152*EP155-EI152*EQ155)/EK152</f>
        <v>-0.0266853303471444</v>
      </c>
      <c r="ET155" s="1083">
        <v>-0.06</v>
      </c>
      <c r="EU155" s="1083">
        <f>(EO152*EW155-EH152*EP155-EI152*EQ155-EK152*ES155)/EM152</f>
        <v>0.3102419882276</v>
      </c>
      <c r="EV155" s="1083">
        <f>(EO152*EW155-EJ152*ER155)/EN152</f>
        <v>0.128717948717949</v>
      </c>
      <c r="EW155" s="1084">
        <f>'Sales &amp; stores'!P247</f>
        <v>0.03</v>
      </c>
      <c r="EX155" s="1083">
        <v>0.11</v>
      </c>
      <c r="EY155" s="1083">
        <f>(ER152*EZ155-EP152*EX155)/EQ152</f>
        <v>0.193527559055118</v>
      </c>
      <c r="EZ155" s="1083">
        <v>0.15</v>
      </c>
      <c r="FA155" s="1083">
        <f>(ET152*FB155-EP152*EX155-EQ152*EY155)/ES152</f>
        <v>0.12375</v>
      </c>
      <c r="FB155" s="1083">
        <v>0.14</v>
      </c>
      <c r="FC155" s="1083">
        <f>(EW152*FE155-EP152*EX155-EQ152*EY155-ES152*FA155)/EU152</f>
        <v>0.0638899803536345</v>
      </c>
      <c r="FD155" s="1083">
        <f>(EW152*FE155-ER152*EZ155)/EV152</f>
        <v>0.0948148148148148</v>
      </c>
      <c r="FE155" s="1084">
        <f>'Sales &amp; stores'!Q247</f>
        <v>0.12</v>
      </c>
      <c r="FF155" s="1083">
        <v>0.04</v>
      </c>
      <c r="FG155" s="1083">
        <f>(EZ152*FH155-EX152*FF155)/EY152</f>
        <v>-0.00813464235624124</v>
      </c>
      <c r="FH155" s="1083">
        <v>0.016</v>
      </c>
      <c r="FI155" s="1083">
        <f>(FB152*FJ155-EZ152*FH155)/FA152</f>
        <v>0.076311401020987</v>
      </c>
      <c r="FJ155" s="1083">
        <v>0.039</v>
      </c>
      <c r="FK155" s="1083">
        <f>(FE152*FM155-FB152*FJ155)/FC152</f>
        <v>0.0807083333333334</v>
      </c>
      <c r="FL155" s="1083">
        <f>(FA152*FI155+FC152*FK155)/FD152</f>
        <v>0.0784410646387833</v>
      </c>
      <c r="FM155" s="1084">
        <v>0.05</v>
      </c>
      <c r="FN155" s="1083">
        <v>0.15</v>
      </c>
      <c r="FO155" s="1083">
        <f>(FH152*FP155-FF152*FN155)/FG152</f>
        <v>0.170424836601307</v>
      </c>
      <c r="FP155" s="1083">
        <v>0.16</v>
      </c>
      <c r="FQ155" s="1083">
        <v>0.1</v>
      </c>
      <c r="FR155" s="1083">
        <f>(FF152*FN155+FG152*FO155+FI152*FQ155)/FJ152</f>
        <v>0.136685580121307</v>
      </c>
      <c r="FS155" s="1083">
        <f>(FM152*FU155-FJ152*FR155)/FK152</f>
        <v>0.0366325981710597</v>
      </c>
      <c r="FT155" s="1083">
        <f>(FI152*FQ155+FK152*FS155)/FL152</f>
        <v>0.0693628088426528</v>
      </c>
      <c r="FU155" s="1083">
        <v>0.11</v>
      </c>
      <c r="FV155" s="1086">
        <f>(FX155*FP152-FW155*FO152)/FN152</f>
        <v>0.0594576271186441</v>
      </c>
      <c r="FW155" s="1087">
        <v>0.04</v>
      </c>
      <c r="FX155" s="1087">
        <v>0.05</v>
      </c>
      <c r="FY155" s="1083">
        <v>0.06</v>
      </c>
      <c r="FZ155" s="1083">
        <f>(FN152*FV155+FO152*FW155+FQ152*FY155)/FR152</f>
        <v>0.0538146551724138</v>
      </c>
      <c r="GA155" s="1083">
        <f>(FU152*GC155-FR152*FZ155)/FS152</f>
        <v>0.117232704402516</v>
      </c>
      <c r="GB155" s="1083">
        <f>(FQ152*FY155+FS152*GA155)/FT152</f>
        <v>0.0870833333333333</v>
      </c>
      <c r="GC155" s="1084">
        <v>0.07</v>
      </c>
      <c r="GD155" s="1086">
        <v>0.15</v>
      </c>
      <c r="GE155" s="1087">
        <v>0.14</v>
      </c>
      <c r="GF155" s="1087">
        <f>((GD155*FV152)+(GE155*FW152))/FX152</f>
        <v>0.145201756793851</v>
      </c>
      <c r="GG155" s="1087">
        <v>0.09</v>
      </c>
      <c r="GH155" s="1083">
        <f>(FV152*GD155+FW152*GE155+FY152*GG155)/FZ152</f>
        <v>0.124750302401935</v>
      </c>
      <c r="GI155" s="1083">
        <v>0.07</v>
      </c>
      <c r="GJ155" s="1083">
        <f>(FY152*GG155+GA152*GI155)/GB152</f>
        <v>0.080448343079922</v>
      </c>
      <c r="GK155" s="1084">
        <v>0.11</v>
      </c>
      <c r="GL155" s="1087">
        <v>0.06</v>
      </c>
      <c r="GM155" s="1087">
        <v>0.01</v>
      </c>
      <c r="GN155" s="1087">
        <f>((GL155*GD152)+(GM155*GE152))/GF152</f>
        <v>0.0357920286152274</v>
      </c>
      <c r="GO155" s="1087">
        <v>0.13</v>
      </c>
      <c r="GP155" s="1083">
        <f>(GD152*GL155+GE152*GM155+GG152*GO155)/GH152</f>
        <v>0.0701703715722862</v>
      </c>
      <c r="GQ155" s="1083">
        <v>0.07</v>
      </c>
      <c r="GR155" s="1083">
        <f>(GG152*GO155+GI152*GQ155)/GJ152</f>
        <v>0.10131585054537</v>
      </c>
      <c r="GS155" s="1084">
        <v>0.07</v>
      </c>
      <c r="GT155" s="1087">
        <v>-0.17</v>
      </c>
      <c r="GU155" s="1087">
        <v>-0.39</v>
      </c>
      <c r="GV155" s="1087">
        <f>((GT155*GL152)+(GU155*GM152))/GN152</f>
        <v>-0.273475713937027</v>
      </c>
      <c r="GW155" s="1087">
        <v>-0.05</v>
      </c>
      <c r="GX155" s="1083"/>
      <c r="GY155" s="1083">
        <v>0.07</v>
      </c>
      <c r="GZ155" s="1083">
        <f>(GO152*GW155+GQ152*GY155)/GR152</f>
        <v>0.00526510480887793</v>
      </c>
      <c r="HA155" s="1084">
        <v>-0.12</v>
      </c>
      <c r="HB155" s="1087">
        <v>0.28</v>
      </c>
      <c r="HC155" s="1087">
        <v>0.82</v>
      </c>
      <c r="HD155" s="1087">
        <f>((HB155*GT152)+(HC155*GU152))/GV152</f>
        <v>0.490829399865138</v>
      </c>
      <c r="HE155" s="1087">
        <v>0.04</v>
      </c>
      <c r="HF155" s="1083"/>
      <c r="HG155" s="1083">
        <v>0.01</v>
      </c>
      <c r="HH155" s="1083"/>
      <c r="HI155" s="1084">
        <v>0.2</v>
      </c>
      <c r="HJ155" s="1087">
        <v>-0.09</v>
      </c>
      <c r="HK155" s="1087">
        <v>-0.05</v>
      </c>
      <c r="HL155" s="1083"/>
      <c r="HM155" s="1083"/>
      <c r="HN155" s="1083"/>
      <c r="HO155" s="1083"/>
      <c r="HP155" s="1083"/>
      <c r="HQ155" s="1084"/>
      <c r="HR155" s="1083"/>
      <c r="HS155" s="1083"/>
      <c r="HT155" s="1083"/>
      <c r="HU155" s="1083"/>
      <c r="HV155" s="1083"/>
      <c r="HW155" s="1083"/>
      <c r="HX155" s="1083"/>
      <c r="HY155" s="1083"/>
      <c r="HZ155" s="1083">
        <v>0.02</v>
      </c>
      <c r="IA155" s="1083">
        <v>0.06</v>
      </c>
      <c r="IB155" s="1083"/>
      <c r="IC155" s="1083">
        <v>0.05</v>
      </c>
      <c r="ID155" s="1083"/>
      <c r="IE155" s="1083">
        <v>0.11</v>
      </c>
      <c r="IF155" s="1083"/>
      <c r="IG155" s="1084">
        <v>0.06</v>
      </c>
      <c r="IH155" s="1083">
        <v>0.08</v>
      </c>
      <c r="II155" s="1083">
        <v>0.17</v>
      </c>
      <c r="IJ155" s="1083"/>
      <c r="IK155" s="1083">
        <v>0.16</v>
      </c>
      <c r="IL155" s="1083"/>
      <c r="IM155" s="1083">
        <v>0.2</v>
      </c>
      <c r="IN155" s="1083"/>
      <c r="IO155" s="1084">
        <v>0.06</v>
      </c>
      <c r="IP155" s="1083">
        <v>0.31</v>
      </c>
      <c r="IQ155" s="1083">
        <v>0.35</v>
      </c>
      <c r="IR155" s="1181"/>
      <c r="IS155" s="1181"/>
      <c r="IT155" s="1181"/>
      <c r="IU155" s="1181"/>
      <c r="IV155" s="1181"/>
      <c r="IW155" s="1181"/>
      <c r="IX155" s="1178"/>
      <c r="IY155" s="1178"/>
      <c r="IZ155" s="1178"/>
      <c r="JA155" s="1178" t="s">
        <v>535</v>
      </c>
      <c r="JB155" s="1083">
        <f>1*(1+DZ155)*(1+EH155)*(1+EP155)-1</f>
        <v>0.164352</v>
      </c>
      <c r="JC155" s="1083">
        <f>1*(1+EA155)*(1+EI155)*(1+EQ155)-1</f>
        <v>0.0275882155813743</v>
      </c>
      <c r="JD155" s="1083">
        <f>1*(1+EC155)*(1+EK155)*(1+ES155)-1</f>
        <v>0.0999126805885897</v>
      </c>
      <c r="JE155" s="1083">
        <f>1*(1+EE155)*(1+EM155)*(1+EU155)-1</f>
        <v>0.321218630245025</v>
      </c>
      <c r="JF155" s="1126"/>
      <c r="JG155" s="1083">
        <f>1*(1+EH155)*(1+EP155)*(1+EX155)-1</f>
        <v>0.143744</v>
      </c>
      <c r="JH155" s="1126"/>
      <c r="JI155" s="1083">
        <f>1*(1+EI155)*(1+EQ155)*(1+EY155)-1</f>
        <v>0.184717501168564</v>
      </c>
      <c r="JJ155" s="1126"/>
      <c r="JK155" s="1083">
        <f>1*(1+EK155)*(1+ES155)*(1+FA155)-1</f>
        <v>0.118088445103635</v>
      </c>
      <c r="JL155" s="1083">
        <f>1*(1+EM155)*(1+EU155)*(1+FC155)-1</f>
        <v>0.335241899250609</v>
      </c>
      <c r="JM155" s="1126"/>
      <c r="JN155" s="1083">
        <f>1*(1+EP155)*(1+EX155)*(1+FF155)-1</f>
        <v>0.0620480000000001</v>
      </c>
      <c r="JO155" s="1126"/>
      <c r="JP155" s="1083">
        <f>1*(1+EQ155)*(1+EY155)*(1+FG155)-1</f>
        <v>0.0891131480822962</v>
      </c>
      <c r="JQ155" s="1083">
        <f>1*(1+ES155)*(1+FA155)*(1+FI155)-1</f>
        <v>0.177228898099727</v>
      </c>
      <c r="JR155" s="1083">
        <f>1*(1+EU155)*(1+FC155)*(1+FK155)-1</f>
        <v>0.506456972566958</v>
      </c>
      <c r="JS155" s="1083">
        <f>1*(1+EX155)*(1+FF155)*(1+FN155)-1</f>
        <v>0.32756</v>
      </c>
      <c r="JT155" s="1083">
        <f>1*(1+EY155)*(1+FG155)*(1+FO155)-1</f>
        <v>0.385570737374518</v>
      </c>
      <c r="JU155" s="1083">
        <f>1*(1+FA155)*(1+FI155)*(1+FQ155)-1</f>
        <v>0.330455430587068</v>
      </c>
      <c r="JV155" s="1083">
        <f>1*(1+FC155)*(1+FK155)*(1+FS155)-1</f>
        <v>0.191873271911757</v>
      </c>
      <c r="KP155" s="1203"/>
      <c r="LV155" s="1127"/>
    </row>
    <row r="156" s="1024" customFormat="1" spans="1:334">
      <c r="A156" s="967" t="s">
        <v>66</v>
      </c>
      <c r="B156" s="1121"/>
      <c r="C156" s="1121"/>
      <c r="D156" s="1121"/>
      <c r="E156" s="1121"/>
      <c r="F156" s="1121"/>
      <c r="G156" s="1121"/>
      <c r="H156" s="1121"/>
      <c r="I156" s="1121"/>
      <c r="J156" s="1121"/>
      <c r="K156" s="1121"/>
      <c r="L156" s="1121"/>
      <c r="M156" s="1121"/>
      <c r="N156" s="1121"/>
      <c r="O156" s="1121"/>
      <c r="P156" s="1121"/>
      <c r="Q156" s="1121"/>
      <c r="R156" s="1121"/>
      <c r="S156" s="1121"/>
      <c r="T156" s="1121"/>
      <c r="U156" s="1121"/>
      <c r="V156" s="1121"/>
      <c r="W156" s="1121"/>
      <c r="X156" s="1121"/>
      <c r="Y156" s="1121"/>
      <c r="Z156" s="1121"/>
      <c r="AA156" s="1121"/>
      <c r="AB156" s="1121"/>
      <c r="AC156" s="1121"/>
      <c r="AD156" s="1121"/>
      <c r="AE156" s="1121"/>
      <c r="AF156" s="1121"/>
      <c r="AG156" s="1121"/>
      <c r="AH156" s="1121"/>
      <c r="AI156" s="1121"/>
      <c r="AJ156" s="1121"/>
      <c r="AK156" s="1121"/>
      <c r="AL156" s="1121"/>
      <c r="AM156" s="1121"/>
      <c r="AN156" s="1121"/>
      <c r="AO156" s="1121"/>
      <c r="AP156" s="1121"/>
      <c r="AQ156" s="1121"/>
      <c r="AR156" s="1121"/>
      <c r="AS156" s="1121"/>
      <c r="AT156" s="1121"/>
      <c r="AU156" s="1121"/>
      <c r="AV156" s="1121"/>
      <c r="AW156" s="1121"/>
      <c r="AX156" s="1122"/>
      <c r="AY156" s="1121"/>
      <c r="AZ156" s="1121"/>
      <c r="BA156" s="1121"/>
      <c r="BB156" s="1121"/>
      <c r="BC156" s="1121"/>
      <c r="BD156" s="1121"/>
      <c r="BE156" s="1123"/>
      <c r="BF156" s="1121"/>
      <c r="BG156" s="1121"/>
      <c r="BH156" s="1121"/>
      <c r="BI156" s="1121"/>
      <c r="BJ156" s="1121"/>
      <c r="BK156" s="1121"/>
      <c r="BL156" s="1121"/>
      <c r="BM156" s="1121"/>
      <c r="BN156" s="1122"/>
      <c r="BO156" s="1121"/>
      <c r="BP156" s="1121"/>
      <c r="BQ156" s="1121"/>
      <c r="BR156" s="1121"/>
      <c r="BS156" s="1121"/>
      <c r="BT156" s="1121"/>
      <c r="BU156" s="1123"/>
      <c r="BV156" s="1122"/>
      <c r="BW156" s="1121"/>
      <c r="BX156" s="1121"/>
      <c r="BY156" s="1121"/>
      <c r="BZ156" s="1121"/>
      <c r="CA156" s="1121"/>
      <c r="CB156" s="1121"/>
      <c r="CC156" s="1123"/>
      <c r="CD156" s="1122"/>
      <c r="CE156" s="1121"/>
      <c r="CF156" s="1121"/>
      <c r="CG156" s="1121"/>
      <c r="CH156" s="1121"/>
      <c r="CI156" s="1121"/>
      <c r="CJ156" s="917"/>
      <c r="CK156" s="1123"/>
      <c r="CL156" s="1122"/>
      <c r="CM156" s="1121"/>
      <c r="CN156" s="1121"/>
      <c r="CO156" s="1121"/>
      <c r="CP156" s="1121"/>
      <c r="CQ156" s="1121"/>
      <c r="CR156" s="1121"/>
      <c r="CS156" s="1123"/>
      <c r="CT156" s="1122"/>
      <c r="CU156" s="1121"/>
      <c r="CV156" s="1121"/>
      <c r="CW156" s="1205"/>
      <c r="CX156" s="1205"/>
      <c r="CY156" s="1121"/>
      <c r="CZ156" s="1121"/>
      <c r="DA156" s="1121"/>
      <c r="DB156" s="1114"/>
      <c r="DC156" s="1114"/>
      <c r="DD156" s="1114"/>
      <c r="DE156" s="1206"/>
      <c r="DF156" s="1206"/>
      <c r="DG156" s="1114"/>
      <c r="DH156" s="1114"/>
      <c r="DI156" s="1207"/>
      <c r="DJ156" s="1083"/>
      <c r="DK156" s="1083"/>
      <c r="DL156" s="1083"/>
      <c r="DM156" s="1083"/>
      <c r="DN156" s="1083"/>
      <c r="DO156" s="1083"/>
      <c r="DP156" s="1083"/>
      <c r="DQ156" s="1084">
        <f>DQ152/DQ$162</f>
        <v>0.459974954243329</v>
      </c>
      <c r="DR156" s="1083">
        <f t="shared" ref="DR156:DY156" si="800">DR152/DR$162</f>
        <v>0.422587883320868</v>
      </c>
      <c r="DS156" s="1083">
        <f t="shared" si="800"/>
        <v>0.43278463648834</v>
      </c>
      <c r="DT156" s="1083">
        <f t="shared" si="800"/>
        <v>0.427906976744186</v>
      </c>
      <c r="DU156" s="1083">
        <f t="shared" si="800"/>
        <v>0.445373306428366</v>
      </c>
      <c r="DV156" s="1083">
        <f t="shared" si="800"/>
        <v>0.434595429959157</v>
      </c>
      <c r="DW156" s="1083">
        <f t="shared" si="800"/>
        <v>0.492323439099283</v>
      </c>
      <c r="DX156" s="1083">
        <f t="shared" si="800"/>
        <v>0.466875</v>
      </c>
      <c r="DY156" s="1084">
        <f t="shared" si="800"/>
        <v>0.448707256046706</v>
      </c>
      <c r="DZ156" s="1083">
        <f t="shared" ref="DZ156:EH156" si="801">DZ152/DZ$162</f>
        <v>0.404216315307058</v>
      </c>
      <c r="EA156" s="1083">
        <f t="shared" si="801"/>
        <v>0.40978792822186</v>
      </c>
      <c r="EB156" s="1083">
        <f t="shared" si="801"/>
        <v>0.406910697380877</v>
      </c>
      <c r="EC156" s="1083">
        <f t="shared" si="801"/>
        <v>0.432807908095111</v>
      </c>
      <c r="ED156" s="1083">
        <f t="shared" si="801"/>
        <v>0.416526138279933</v>
      </c>
      <c r="EE156" s="1083">
        <f t="shared" si="801"/>
        <v>0.473310706572046</v>
      </c>
      <c r="EF156" s="1083">
        <f t="shared" si="801"/>
        <v>0.451603665521191</v>
      </c>
      <c r="EG156" s="1084">
        <f t="shared" si="801"/>
        <v>0.430340789671221</v>
      </c>
      <c r="EH156" s="1083">
        <f t="shared" si="801"/>
        <v>0.399320083682008</v>
      </c>
      <c r="EI156" s="1083">
        <f t="shared" ref="EI156:EO156" si="802">EI152/EI$162</f>
        <v>0.411597498578738</v>
      </c>
      <c r="EJ156" s="1083">
        <f t="shared" si="802"/>
        <v>0.405202941977663</v>
      </c>
      <c r="EK156" s="1083">
        <f t="shared" si="802"/>
        <v>0.428194677535363</v>
      </c>
      <c r="EL156" s="1083">
        <f t="shared" si="802"/>
        <v>0.413532528446104</v>
      </c>
      <c r="EM156" s="1083">
        <f t="shared" si="802"/>
        <v>0.453709198813056</v>
      </c>
      <c r="EN156" s="1083">
        <f t="shared" si="802"/>
        <v>0.439596870441586</v>
      </c>
      <c r="EO156" s="1084">
        <f t="shared" si="802"/>
        <v>0.422629846133172</v>
      </c>
      <c r="EP156" s="1083">
        <f t="shared" ref="EP156:EZ156" si="803">EP152/EP$162</f>
        <v>0.368435083977606</v>
      </c>
      <c r="EQ156" s="1083">
        <f t="shared" si="803"/>
        <v>0.375406443984629</v>
      </c>
      <c r="ER156" s="1083">
        <f t="shared" si="803"/>
        <v>0.371740958788898</v>
      </c>
      <c r="ES156" s="1083">
        <f t="shared" si="803"/>
        <v>0.420726991492653</v>
      </c>
      <c r="ET156" s="1083">
        <f t="shared" si="803"/>
        <v>0.388994824298556</v>
      </c>
      <c r="EU156" s="1083">
        <f t="shared" si="803"/>
        <v>0.478533375117518</v>
      </c>
      <c r="EV156" s="1083">
        <f t="shared" si="803"/>
        <v>0.446817538896747</v>
      </c>
      <c r="EW156" s="1084">
        <f t="shared" si="803"/>
        <v>0.409110109828217</v>
      </c>
      <c r="EX156" s="1083">
        <f t="shared" si="803"/>
        <v>0.405887347863006</v>
      </c>
      <c r="EY156" s="1083">
        <f t="shared" si="803"/>
        <v>0.411544011544012</v>
      </c>
      <c r="EZ156" s="1083">
        <f t="shared" si="803"/>
        <v>0.408688196627608</v>
      </c>
      <c r="FA156" s="1083">
        <f t="shared" ref="FA156:FL156" si="804">FA152/FA$162</f>
        <v>0.428016508861374</v>
      </c>
      <c r="FB156" s="1083">
        <f t="shared" si="804"/>
        <v>0.415849599712153</v>
      </c>
      <c r="FC156" s="1083">
        <f t="shared" si="804"/>
        <v>0.484635645302897</v>
      </c>
      <c r="FD156" s="1083">
        <f t="shared" si="804"/>
        <v>0.453688959660297</v>
      </c>
      <c r="FE156" s="1084">
        <f t="shared" si="804"/>
        <v>0.432021466905188</v>
      </c>
      <c r="FF156" s="1083">
        <f t="shared" si="804"/>
        <v>0.390739833414993</v>
      </c>
      <c r="FG156" s="1083">
        <f t="shared" si="804"/>
        <v>0.39160481187612</v>
      </c>
      <c r="FH156" s="1083">
        <f t="shared" si="804"/>
        <v>0.391162848917261</v>
      </c>
      <c r="FI156" s="1083">
        <f t="shared" si="804"/>
        <v>0.417314561882748</v>
      </c>
      <c r="FJ156" s="1083">
        <f t="shared" si="804"/>
        <v>0.400925635393787</v>
      </c>
      <c r="FK156" s="1083">
        <f t="shared" si="804"/>
        <v>0.446124310055196</v>
      </c>
      <c r="FL156" s="1083">
        <f t="shared" si="804"/>
        <v>0.430764060049294</v>
      </c>
      <c r="FM156" s="1084">
        <f t="shared" ref="FM156:FW156" si="805">FM152/FM$162</f>
        <v>0.412060301507538</v>
      </c>
      <c r="FN156" s="1083">
        <f t="shared" si="805"/>
        <v>0.371146990983435</v>
      </c>
      <c r="FO156" s="1083">
        <f t="shared" si="805"/>
        <v>0.378561736770692</v>
      </c>
      <c r="FP156" s="1083">
        <f t="shared" si="805"/>
        <v>0.374714394516375</v>
      </c>
      <c r="FQ156" s="1083">
        <f t="shared" si="805"/>
        <v>0.392461197339246</v>
      </c>
      <c r="FR156" s="1083">
        <f t="shared" si="805"/>
        <v>0.381291515442032</v>
      </c>
      <c r="FS156" s="1083">
        <f t="shared" si="805"/>
        <v>0.406909788867562</v>
      </c>
      <c r="FT156" s="1083">
        <f t="shared" si="805"/>
        <v>0.399168399168399</v>
      </c>
      <c r="FU156" s="1083">
        <f t="shared" si="805"/>
        <v>0.387518142235123</v>
      </c>
      <c r="FV156" s="1086">
        <f t="shared" si="805"/>
        <v>0.347897925463558</v>
      </c>
      <c r="FW156" s="1087">
        <f t="shared" si="805"/>
        <v>0.346963080587535</v>
      </c>
      <c r="FX156" s="1087">
        <f>FX152/FX$216</f>
        <v>0.347481877146127</v>
      </c>
      <c r="FY156" s="1083">
        <f t="shared" ref="FY156:GE156" si="806">FY152/FY$162</f>
        <v>0.37766425929188</v>
      </c>
      <c r="FZ156" s="1083">
        <f t="shared" si="806"/>
        <v>0.358062121024626</v>
      </c>
      <c r="GA156" s="1083">
        <f t="shared" si="806"/>
        <v>0.387658227848101</v>
      </c>
      <c r="GB156" s="1083">
        <f t="shared" si="806"/>
        <v>0.382372123357868</v>
      </c>
      <c r="GC156" s="1084">
        <f t="shared" si="806"/>
        <v>0.36511452540296</v>
      </c>
      <c r="GD156" s="1086">
        <f t="shared" si="806"/>
        <v>0.363980530016225</v>
      </c>
      <c r="GE156" s="1087">
        <f t="shared" si="806"/>
        <v>0.36019768104923</v>
      </c>
      <c r="GF156" s="1087">
        <f>GF152/GF$216</f>
        <v>0.362105652696827</v>
      </c>
      <c r="GG156" s="1087">
        <f>GG152/GG$162</f>
        <v>0.382938872807764</v>
      </c>
      <c r="GH156" s="1083">
        <f t="shared" ref="GH156:GM156" si="807">GH152/GH$162</f>
        <v>0.369462262454289</v>
      </c>
      <c r="GI156" s="1083">
        <f t="shared" si="807"/>
        <v>0.393580435613298</v>
      </c>
      <c r="GJ156" s="1083">
        <f t="shared" si="807"/>
        <v>0.38795354281084</v>
      </c>
      <c r="GK156" s="1084">
        <f t="shared" si="807"/>
        <v>0.375222450376454</v>
      </c>
      <c r="GL156" s="1087">
        <f t="shared" si="807"/>
        <v>0.368796736913664</v>
      </c>
      <c r="GM156" s="1087">
        <f t="shared" si="807"/>
        <v>0.349791250680704</v>
      </c>
      <c r="GN156" s="1087">
        <f>GN152/GN$216</f>
        <v>0.359638342696629</v>
      </c>
      <c r="GO156" s="1087">
        <f>GO152/GO$162</f>
        <v>0.409516380655226</v>
      </c>
      <c r="GP156" s="1083">
        <f t="shared" ref="GP156:GU156" si="808">GP152/GP$162</f>
        <v>0.377576812896703</v>
      </c>
      <c r="GQ156" s="1083">
        <f t="shared" si="808"/>
        <v>0.383930101079322</v>
      </c>
      <c r="GR156" s="1083">
        <f t="shared" si="808"/>
        <v>0.397321793092186</v>
      </c>
      <c r="GS156" s="1084">
        <f t="shared" si="808"/>
        <v>0.37914551607445</v>
      </c>
      <c r="GT156" s="1087">
        <f t="shared" si="808"/>
        <v>0.380391331790448</v>
      </c>
      <c r="GU156" s="1087">
        <f t="shared" si="808"/>
        <v>0.323554065381391</v>
      </c>
      <c r="GV156" s="1087">
        <f>GV152/GV$216</f>
        <v>0.355992038548921</v>
      </c>
      <c r="GW156" s="1087">
        <f>GW152/GW$162</f>
        <v>0.402347024308466</v>
      </c>
      <c r="GX156" s="1083"/>
      <c r="GY156" s="1083">
        <f t="shared" ref="GY156:HC156" si="809">GY152/GY$162</f>
        <v>0.387391019503099</v>
      </c>
      <c r="GZ156" s="1083">
        <f t="shared" si="809"/>
        <v>0.390847799132052</v>
      </c>
      <c r="HA156" s="1084">
        <f t="shared" si="809"/>
        <v>0.387391019503099</v>
      </c>
      <c r="HB156" s="1087">
        <f t="shared" si="809"/>
        <v>0.395026575550494</v>
      </c>
      <c r="HC156" s="1087">
        <f t="shared" si="809"/>
        <v>0.385463856608233</v>
      </c>
      <c r="HD156" s="1087">
        <f>HD152/HD$216</f>
        <v>0.390333494441759</v>
      </c>
      <c r="HE156" s="1087">
        <f>HE152/HE$162</f>
        <v>0.415753781950965</v>
      </c>
      <c r="HF156" s="1083"/>
      <c r="HG156" s="1083">
        <f t="shared" ref="HG156" si="810">HG152/HG$162</f>
        <v>0.444228148724937</v>
      </c>
      <c r="HH156" s="1083"/>
      <c r="HI156" s="1084">
        <f>HI152/HI$162</f>
        <v>0.410210521358263</v>
      </c>
      <c r="HJ156" s="1087">
        <f>HJ152/HJ$162</f>
        <v>0.374764239909468</v>
      </c>
      <c r="HK156" s="1087">
        <f>HK152/HK$162</f>
        <v>0.352100089365505</v>
      </c>
      <c r="HL156" s="1083"/>
      <c r="HM156" s="1083"/>
      <c r="HN156" s="1083"/>
      <c r="HO156" s="1083"/>
      <c r="HP156" s="1083"/>
      <c r="HQ156" s="1084"/>
      <c r="HR156" s="1083"/>
      <c r="HS156" s="1083"/>
      <c r="HT156" s="1083"/>
      <c r="HU156" s="1083"/>
      <c r="HV156" s="1083"/>
      <c r="HW156" s="1083"/>
      <c r="HX156" s="1083"/>
      <c r="HY156" s="1083"/>
      <c r="HZ156" s="1083"/>
      <c r="IA156" s="1083"/>
      <c r="IB156" s="1083"/>
      <c r="IC156" s="1083"/>
      <c r="ID156" s="1083"/>
      <c r="IE156" s="1083"/>
      <c r="IF156" s="1083"/>
      <c r="IG156" s="1084">
        <f>IG152/$IG$162</f>
        <v>0.34459254113663</v>
      </c>
      <c r="IH156" s="1083"/>
      <c r="II156" s="1083"/>
      <c r="IJ156" s="1083"/>
      <c r="IK156" s="1083"/>
      <c r="IL156" s="1083"/>
      <c r="IM156" s="1083"/>
      <c r="IN156" s="1083"/>
      <c r="IO156" s="1084">
        <f>IO152/$IG$162</f>
        <v>0.380497546997786</v>
      </c>
      <c r="IP156" s="1083"/>
      <c r="IQ156" s="1083"/>
      <c r="IR156" s="1181"/>
      <c r="IS156" s="1181"/>
      <c r="IT156" s="1181"/>
      <c r="IU156" s="1181"/>
      <c r="IV156" s="1181"/>
      <c r="IW156" s="1181"/>
      <c r="IX156" s="1178"/>
      <c r="IY156" s="1178"/>
      <c r="IZ156" s="1178"/>
      <c r="JA156" s="1178"/>
      <c r="JB156" s="1178"/>
      <c r="JC156" s="1178"/>
      <c r="JD156" s="1125"/>
      <c r="JE156" s="1126"/>
      <c r="JF156" s="1126"/>
      <c r="JG156" s="1126"/>
      <c r="JH156" s="1126"/>
      <c r="KP156" s="1203"/>
      <c r="LV156" s="1127"/>
    </row>
    <row r="157" s="1024" customFormat="1" spans="1:334">
      <c r="A157" s="1204" t="s">
        <v>537</v>
      </c>
      <c r="B157" s="1121"/>
      <c r="C157" s="1121"/>
      <c r="D157" s="1121"/>
      <c r="E157" s="1121"/>
      <c r="F157" s="1121"/>
      <c r="G157" s="1121"/>
      <c r="H157" s="1121"/>
      <c r="I157" s="1121"/>
      <c r="J157" s="1121"/>
      <c r="K157" s="1121"/>
      <c r="L157" s="1121"/>
      <c r="M157" s="1121"/>
      <c r="N157" s="1121"/>
      <c r="O157" s="1121"/>
      <c r="P157" s="1121"/>
      <c r="Q157" s="1121"/>
      <c r="R157" s="1121"/>
      <c r="S157" s="1121"/>
      <c r="T157" s="1121"/>
      <c r="U157" s="1121"/>
      <c r="V157" s="1121"/>
      <c r="W157" s="1121"/>
      <c r="X157" s="1121"/>
      <c r="Y157" s="1121"/>
      <c r="Z157" s="1121"/>
      <c r="AA157" s="1121"/>
      <c r="AB157" s="1121"/>
      <c r="AC157" s="1121"/>
      <c r="AD157" s="1121"/>
      <c r="AE157" s="1121"/>
      <c r="AF157" s="1121"/>
      <c r="AG157" s="1121"/>
      <c r="AH157" s="1121"/>
      <c r="AI157" s="1121"/>
      <c r="AJ157" s="1121"/>
      <c r="AK157" s="1121"/>
      <c r="AL157" s="1121"/>
      <c r="AM157" s="1121"/>
      <c r="AN157" s="1121"/>
      <c r="AO157" s="1121"/>
      <c r="AP157" s="1121"/>
      <c r="AQ157" s="1121"/>
      <c r="AR157" s="1121"/>
      <c r="AS157" s="1121"/>
      <c r="AT157" s="1121"/>
      <c r="AU157" s="1121"/>
      <c r="AV157" s="1121"/>
      <c r="AW157" s="1121"/>
      <c r="AX157" s="1122"/>
      <c r="AY157" s="1121"/>
      <c r="AZ157" s="1121"/>
      <c r="BA157" s="1121"/>
      <c r="BB157" s="1121"/>
      <c r="BC157" s="1121"/>
      <c r="BD157" s="1121"/>
      <c r="BE157" s="1123"/>
      <c r="BF157" s="1121"/>
      <c r="BG157" s="1121"/>
      <c r="BH157" s="1121"/>
      <c r="BI157" s="1121"/>
      <c r="BJ157" s="1121"/>
      <c r="BK157" s="1121"/>
      <c r="BL157" s="1121"/>
      <c r="BM157" s="1121"/>
      <c r="BN157" s="1122"/>
      <c r="BO157" s="1121"/>
      <c r="BP157" s="1121"/>
      <c r="BQ157" s="1121"/>
      <c r="BR157" s="1121"/>
      <c r="BS157" s="1121"/>
      <c r="BT157" s="1121"/>
      <c r="BU157" s="1123"/>
      <c r="BV157" s="1122"/>
      <c r="BW157" s="1121"/>
      <c r="BX157" s="1121"/>
      <c r="BY157" s="1121"/>
      <c r="BZ157" s="1121"/>
      <c r="CA157" s="1121"/>
      <c r="CB157" s="1121"/>
      <c r="CC157" s="1123"/>
      <c r="CD157" s="1122"/>
      <c r="CE157" s="1121"/>
      <c r="CF157" s="1121"/>
      <c r="CG157" s="1121"/>
      <c r="CH157" s="1121"/>
      <c r="CI157" s="1121"/>
      <c r="CJ157" s="917"/>
      <c r="CK157" s="1123"/>
      <c r="CL157" s="1122"/>
      <c r="CM157" s="1121"/>
      <c r="CN157" s="1121"/>
      <c r="CO157" s="1121"/>
      <c r="CP157" s="1121"/>
      <c r="CQ157" s="1121"/>
      <c r="CR157" s="1121"/>
      <c r="CS157" s="1123"/>
      <c r="CT157" s="1122"/>
      <c r="CU157" s="1121"/>
      <c r="CV157" s="1121"/>
      <c r="CW157" s="1205"/>
      <c r="CX157" s="1205"/>
      <c r="CY157" s="1121"/>
      <c r="CZ157" s="1121"/>
      <c r="DA157" s="1121"/>
      <c r="DB157" s="1114"/>
      <c r="DC157" s="1114"/>
      <c r="DD157" s="1114"/>
      <c r="DE157" s="1206"/>
      <c r="DF157" s="1206"/>
      <c r="DG157" s="1114"/>
      <c r="DH157" s="1114"/>
      <c r="DI157" s="1207"/>
      <c r="DJ157" s="1208"/>
      <c r="DK157" s="1208"/>
      <c r="DL157" s="1208"/>
      <c r="DM157" s="1208"/>
      <c r="DN157" s="1208"/>
      <c r="DO157" s="1208"/>
      <c r="DP157" s="1208"/>
      <c r="DQ157" s="1212">
        <v>1105</v>
      </c>
      <c r="DR157" s="1208">
        <v>272</v>
      </c>
      <c r="DS157" s="1208">
        <f>DT157-DR157</f>
        <v>353</v>
      </c>
      <c r="DT157" s="1208">
        <v>625</v>
      </c>
      <c r="DU157" s="1208">
        <f>DV157-DT157</f>
        <v>320</v>
      </c>
      <c r="DV157" s="1208">
        <v>945</v>
      </c>
      <c r="DW157" s="1208">
        <f>DY157-DV157</f>
        <v>276</v>
      </c>
      <c r="DX157" s="1208">
        <f>DU157+DW157</f>
        <v>596</v>
      </c>
      <c r="DY157" s="1212">
        <v>1221</v>
      </c>
      <c r="DZ157" s="1208">
        <v>331</v>
      </c>
      <c r="EA157" s="1208">
        <f>EB157-DZ157</f>
        <v>352</v>
      </c>
      <c r="EB157" s="1208">
        <v>683</v>
      </c>
      <c r="EC157" s="1208">
        <f>ED157-EB157</f>
        <v>350</v>
      </c>
      <c r="ED157" s="1208">
        <v>1033</v>
      </c>
      <c r="EE157" s="1208">
        <f>EG157-ED157</f>
        <v>314</v>
      </c>
      <c r="EF157" s="1208">
        <f>EC157+EE157</f>
        <v>664</v>
      </c>
      <c r="EG157" s="1212">
        <v>1347</v>
      </c>
      <c r="EH157" s="1208">
        <v>449</v>
      </c>
      <c r="EI157" s="1208">
        <f>EJ157-EH157</f>
        <v>496</v>
      </c>
      <c r="EJ157" s="1208">
        <v>945</v>
      </c>
      <c r="EK157" s="1208">
        <f>EL157-EJ157</f>
        <v>384</v>
      </c>
      <c r="EL157" s="1208">
        <v>1329</v>
      </c>
      <c r="EM157" s="1208">
        <f>EO157-EL157</f>
        <v>342</v>
      </c>
      <c r="EN157" s="1208">
        <f>EK157+EM157</f>
        <v>726</v>
      </c>
      <c r="EO157" s="1212">
        <v>1671</v>
      </c>
      <c r="EP157" s="1208">
        <v>495</v>
      </c>
      <c r="EQ157" s="1208">
        <f>ER157-EP157</f>
        <v>484</v>
      </c>
      <c r="ER157" s="1208">
        <v>979</v>
      </c>
      <c r="ES157" s="1208">
        <f>ET157-ER157</f>
        <v>396</v>
      </c>
      <c r="ET157" s="1208">
        <v>1375</v>
      </c>
      <c r="EU157" s="1208">
        <f>EW157-ET157</f>
        <v>431</v>
      </c>
      <c r="EV157" s="1208">
        <f>ES157+EU157</f>
        <v>827</v>
      </c>
      <c r="EW157" s="1212">
        <f>'Sales &amp; stores'!P26</f>
        <v>1806</v>
      </c>
      <c r="EX157" s="1208">
        <v>405</v>
      </c>
      <c r="EY157" s="1208">
        <f>EZ157-EX157</f>
        <v>440</v>
      </c>
      <c r="EZ157" s="1208">
        <v>845</v>
      </c>
      <c r="FA157" s="1208">
        <f>FB157-EZ157</f>
        <v>366</v>
      </c>
      <c r="FB157" s="1208">
        <v>1211</v>
      </c>
      <c r="FC157" s="1208">
        <f>FE157-FB157</f>
        <v>386</v>
      </c>
      <c r="FD157" s="1208">
        <f>FA157+FC157</f>
        <v>752</v>
      </c>
      <c r="FE157" s="1212">
        <f>'Sales &amp; stores'!Q26</f>
        <v>1597</v>
      </c>
      <c r="FF157" s="1208">
        <v>400</v>
      </c>
      <c r="FG157" s="1208">
        <f>FH157-FF157</f>
        <v>415</v>
      </c>
      <c r="FH157" s="1208">
        <v>815</v>
      </c>
      <c r="FI157" s="1208">
        <f>FJ157-FH157</f>
        <v>417</v>
      </c>
      <c r="FJ157" s="1208">
        <v>1232</v>
      </c>
      <c r="FK157" s="1208">
        <f>FM157-FJ157</f>
        <v>353</v>
      </c>
      <c r="FL157" s="1208">
        <f>FI157+FK157</f>
        <v>770</v>
      </c>
      <c r="FM157" s="1212">
        <f>'Sales &amp; stores'!R26</f>
        <v>1585</v>
      </c>
      <c r="FN157" s="1208">
        <v>430</v>
      </c>
      <c r="FO157" s="1208">
        <f>FP157-FN157</f>
        <v>457</v>
      </c>
      <c r="FP157" s="1208">
        <v>887</v>
      </c>
      <c r="FQ157" s="1208">
        <f>FR157-FP157</f>
        <v>429</v>
      </c>
      <c r="FR157" s="1208">
        <v>1316</v>
      </c>
      <c r="FS157" s="1208">
        <f>FU157-FR157</f>
        <v>365</v>
      </c>
      <c r="FT157" s="1208">
        <f>FQ157+FS157</f>
        <v>794</v>
      </c>
      <c r="FU157" s="1208">
        <v>1681</v>
      </c>
      <c r="FV157" s="1214">
        <f>FX157-FW157</f>
        <v>251</v>
      </c>
      <c r="FW157" s="1211">
        <v>262</v>
      </c>
      <c r="FX157" s="1076">
        <v>513</v>
      </c>
      <c r="FY157" s="1208">
        <f>FZ157-FX157</f>
        <v>267</v>
      </c>
      <c r="FZ157" s="1208">
        <v>780</v>
      </c>
      <c r="GA157" s="1208">
        <f>GC157-FZ157</f>
        <v>264</v>
      </c>
      <c r="GB157" s="1208">
        <f>FY157+GA157</f>
        <v>531</v>
      </c>
      <c r="GC157" s="1212">
        <v>1044</v>
      </c>
      <c r="GD157" s="1214">
        <v>324</v>
      </c>
      <c r="GE157" s="1211">
        <v>264</v>
      </c>
      <c r="GF157" s="1076">
        <f>GE157+GD157</f>
        <v>588</v>
      </c>
      <c r="GG157" s="1208">
        <v>261</v>
      </c>
      <c r="GH157" s="1208">
        <f>GG157+GF157</f>
        <v>849</v>
      </c>
      <c r="GI157" s="1208">
        <f>GK157-GH157</f>
        <v>61</v>
      </c>
      <c r="GJ157" s="1208">
        <f>GG157+GI157</f>
        <v>322</v>
      </c>
      <c r="GK157" s="1212">
        <v>910</v>
      </c>
      <c r="GL157" s="1211">
        <v>258</v>
      </c>
      <c r="GM157" s="1211">
        <v>299</v>
      </c>
      <c r="GN157" s="1076">
        <f>GM157+GL157</f>
        <v>557</v>
      </c>
      <c r="GO157" s="1208">
        <v>295</v>
      </c>
      <c r="GP157" s="1208">
        <f>GO157+GN157</f>
        <v>852</v>
      </c>
      <c r="GQ157" s="1208">
        <f>GS157-GP157</f>
        <v>304</v>
      </c>
      <c r="GR157" s="1208">
        <f>GO157+GQ157</f>
        <v>599</v>
      </c>
      <c r="GS157" s="1212">
        <v>1156</v>
      </c>
      <c r="GT157" s="1211">
        <v>297</v>
      </c>
      <c r="GU157" s="1211">
        <v>143</v>
      </c>
      <c r="GV157" s="1076">
        <f>GU157+GT157</f>
        <v>440</v>
      </c>
      <c r="GW157" s="1208">
        <v>319</v>
      </c>
      <c r="GX157" s="1208"/>
      <c r="GY157" s="1208">
        <f>HA157-GX157</f>
        <v>1028</v>
      </c>
      <c r="GZ157" s="1208">
        <f>GW157+GY157</f>
        <v>1347</v>
      </c>
      <c r="HA157" s="1212">
        <v>1028</v>
      </c>
      <c r="HB157" s="1211">
        <v>251</v>
      </c>
      <c r="HC157" s="1211">
        <v>291</v>
      </c>
      <c r="HD157" s="1076">
        <f>HC157+HB157</f>
        <v>542</v>
      </c>
      <c r="HE157" s="1208">
        <v>342</v>
      </c>
      <c r="HF157" s="1208"/>
      <c r="HG157" s="1208">
        <v>303</v>
      </c>
      <c r="HH157" s="1208"/>
      <c r="HI157" s="1212">
        <v>1187</v>
      </c>
      <c r="HJ157" s="1211">
        <f>HJ162-HJ152-HJ147</f>
        <v>312.999999999999</v>
      </c>
      <c r="HK157" s="1211">
        <v>388</v>
      </c>
      <c r="HL157" s="1208"/>
      <c r="HM157" s="1208"/>
      <c r="HN157" s="1208"/>
      <c r="HO157" s="1208"/>
      <c r="HP157" s="1208"/>
      <c r="HQ157" s="1212"/>
      <c r="HR157" s="1208"/>
      <c r="HS157" s="1208"/>
      <c r="HT157" s="1208"/>
      <c r="HU157" s="1208"/>
      <c r="HV157" s="1208"/>
      <c r="HW157" s="1208"/>
      <c r="HX157" s="1208"/>
      <c r="HY157" s="1208"/>
      <c r="HZ157" s="1208">
        <f>HZ162-HZ152-HZ147</f>
        <v>239</v>
      </c>
      <c r="IA157" s="1208">
        <f>IA162-IA152-IA147</f>
        <v>223</v>
      </c>
      <c r="IB157" s="1208"/>
      <c r="IC157" s="1208">
        <f t="shared" ref="IC157:IE157" si="811">IC162-IC152-IC147</f>
        <v>308.999999999997</v>
      </c>
      <c r="ID157" s="1208">
        <f t="shared" si="811"/>
        <v>0</v>
      </c>
      <c r="IE157" s="1208">
        <f t="shared" si="811"/>
        <v>348.000000000005</v>
      </c>
      <c r="IF157" s="1208"/>
      <c r="IG157" s="1212">
        <f>IE157+IC157+IA157+HZ157</f>
        <v>1119</v>
      </c>
      <c r="IH157" s="1208">
        <f t="shared" ref="IH157:II157" si="812">IH162-IH152-IH147</f>
        <v>425</v>
      </c>
      <c r="II157" s="1208">
        <f t="shared" si="812"/>
        <v>447</v>
      </c>
      <c r="IJ157" s="1208"/>
      <c r="IK157" s="1208">
        <f t="shared" ref="IK157" si="813">IK162-IK152-IK147</f>
        <v>497</v>
      </c>
      <c r="IL157" s="1208"/>
      <c r="IM157" s="1208">
        <f t="shared" ref="IM157" si="814">IM162-IM152-IM147</f>
        <v>446.999999999999</v>
      </c>
      <c r="IN157" s="1208"/>
      <c r="IO157" s="1212">
        <f>IM157+IK157+II157+IH157</f>
        <v>1816</v>
      </c>
      <c r="IP157" s="1208">
        <f t="shared" ref="IP157:IQ157" si="815">IP162-IP152-IP147</f>
        <v>450.999999999999</v>
      </c>
      <c r="IQ157" s="1208">
        <f t="shared" si="815"/>
        <v>529.999999999999</v>
      </c>
      <c r="IR157" s="1181"/>
      <c r="IS157" s="1181"/>
      <c r="IT157" s="1181"/>
      <c r="IU157" s="1181"/>
      <c r="IV157" s="1181"/>
      <c r="IW157" s="1181"/>
      <c r="IX157" s="1178"/>
      <c r="IY157" s="1178"/>
      <c r="IZ157" s="1178"/>
      <c r="JA157" s="1178"/>
      <c r="JB157" s="1178"/>
      <c r="JC157" s="1178"/>
      <c r="JD157" s="1125"/>
      <c r="JE157" s="1126"/>
      <c r="JF157" s="1126"/>
      <c r="JG157" s="1126"/>
      <c r="JH157" s="1126"/>
      <c r="KP157" s="1203"/>
      <c r="LV157" s="1127"/>
    </row>
    <row r="158" s="1024" customFormat="1" spans="1:334">
      <c r="A158" s="967" t="s">
        <v>61</v>
      </c>
      <c r="B158" s="1121"/>
      <c r="C158" s="1121"/>
      <c r="D158" s="1121"/>
      <c r="E158" s="1121"/>
      <c r="F158" s="1121"/>
      <c r="G158" s="1121"/>
      <c r="H158" s="1121"/>
      <c r="I158" s="1121"/>
      <c r="J158" s="1121"/>
      <c r="K158" s="1121"/>
      <c r="L158" s="1121"/>
      <c r="M158" s="1121"/>
      <c r="N158" s="1121"/>
      <c r="O158" s="1121"/>
      <c r="P158" s="1121"/>
      <c r="Q158" s="1121"/>
      <c r="R158" s="1121"/>
      <c r="S158" s="1121"/>
      <c r="T158" s="1121"/>
      <c r="U158" s="1121"/>
      <c r="V158" s="1121"/>
      <c r="W158" s="1121"/>
      <c r="X158" s="1121"/>
      <c r="Y158" s="1121"/>
      <c r="Z158" s="1121"/>
      <c r="AA158" s="1121"/>
      <c r="AB158" s="1121"/>
      <c r="AC158" s="1121"/>
      <c r="AD158" s="1121"/>
      <c r="AE158" s="1121"/>
      <c r="AF158" s="1121"/>
      <c r="AG158" s="1121"/>
      <c r="AH158" s="1121"/>
      <c r="AI158" s="1121"/>
      <c r="AJ158" s="1121"/>
      <c r="AK158" s="1121"/>
      <c r="AL158" s="1121"/>
      <c r="AM158" s="1121"/>
      <c r="AN158" s="1121"/>
      <c r="AO158" s="1121"/>
      <c r="AP158" s="1121"/>
      <c r="AQ158" s="1121"/>
      <c r="AR158" s="1121"/>
      <c r="AS158" s="1121"/>
      <c r="AT158" s="1121"/>
      <c r="AU158" s="1121"/>
      <c r="AV158" s="1121"/>
      <c r="AW158" s="1121"/>
      <c r="AX158" s="1122"/>
      <c r="AY158" s="1121"/>
      <c r="AZ158" s="1121"/>
      <c r="BA158" s="1121"/>
      <c r="BB158" s="1121"/>
      <c r="BC158" s="1121"/>
      <c r="BD158" s="1121"/>
      <c r="BE158" s="1123"/>
      <c r="BF158" s="1121"/>
      <c r="BG158" s="1121"/>
      <c r="BH158" s="1121"/>
      <c r="BI158" s="1121"/>
      <c r="BJ158" s="1121"/>
      <c r="BK158" s="1121"/>
      <c r="BL158" s="1121"/>
      <c r="BM158" s="1121"/>
      <c r="BN158" s="1122"/>
      <c r="BO158" s="1121"/>
      <c r="BP158" s="1121"/>
      <c r="BQ158" s="1121"/>
      <c r="BR158" s="1121"/>
      <c r="BS158" s="1121"/>
      <c r="BT158" s="1121"/>
      <c r="BU158" s="1123"/>
      <c r="BV158" s="1122"/>
      <c r="BW158" s="1121"/>
      <c r="BX158" s="1121"/>
      <c r="BY158" s="1121"/>
      <c r="BZ158" s="1121"/>
      <c r="CA158" s="1121"/>
      <c r="CB158" s="1121"/>
      <c r="CC158" s="1123"/>
      <c r="CD158" s="1122"/>
      <c r="CE158" s="1121"/>
      <c r="CF158" s="1121"/>
      <c r="CG158" s="1121"/>
      <c r="CH158" s="1121"/>
      <c r="CI158" s="1121"/>
      <c r="CJ158" s="917"/>
      <c r="CK158" s="1123"/>
      <c r="CL158" s="1122"/>
      <c r="CM158" s="1121"/>
      <c r="CN158" s="1121"/>
      <c r="CO158" s="1121"/>
      <c r="CP158" s="1121"/>
      <c r="CQ158" s="1121"/>
      <c r="CR158" s="1121"/>
      <c r="CS158" s="1123"/>
      <c r="CT158" s="1122"/>
      <c r="CU158" s="1121"/>
      <c r="CV158" s="1121"/>
      <c r="CW158" s="1205"/>
      <c r="CX158" s="1205"/>
      <c r="CY158" s="1121"/>
      <c r="CZ158" s="1121"/>
      <c r="DA158" s="1121"/>
      <c r="DB158" s="1114"/>
      <c r="DC158" s="1114"/>
      <c r="DD158" s="1114"/>
      <c r="DE158" s="1206"/>
      <c r="DF158" s="1206"/>
      <c r="DG158" s="1114"/>
      <c r="DH158" s="1114"/>
      <c r="DI158" s="1207"/>
      <c r="DJ158" s="1083"/>
      <c r="DK158" s="1083"/>
      <c r="DL158" s="1083"/>
      <c r="DM158" s="1083"/>
      <c r="DN158" s="1083"/>
      <c r="DO158" s="1083"/>
      <c r="DP158" s="1083"/>
      <c r="DQ158" s="1084"/>
      <c r="DR158" s="1083"/>
      <c r="DS158" s="1083"/>
      <c r="DT158" s="1083"/>
      <c r="DU158" s="1083"/>
      <c r="DV158" s="1083"/>
      <c r="DW158" s="1083"/>
      <c r="DX158" s="1083"/>
      <c r="DY158" s="1084">
        <f t="shared" ref="DY158:EO158" si="816">DY157/DQ157-1</f>
        <v>0.104977375565611</v>
      </c>
      <c r="DZ158" s="1083">
        <f t="shared" si="816"/>
        <v>0.216911764705882</v>
      </c>
      <c r="EA158" s="1083">
        <f t="shared" si="816"/>
        <v>-0.00283286118980175</v>
      </c>
      <c r="EB158" s="1083">
        <f t="shared" si="816"/>
        <v>0.0928</v>
      </c>
      <c r="EC158" s="1083">
        <f t="shared" si="816"/>
        <v>0.09375</v>
      </c>
      <c r="ED158" s="1083">
        <f t="shared" si="816"/>
        <v>0.0931216931216932</v>
      </c>
      <c r="EE158" s="1083">
        <f t="shared" si="816"/>
        <v>0.13768115942029</v>
      </c>
      <c r="EF158" s="1083">
        <f t="shared" si="816"/>
        <v>0.114093959731544</v>
      </c>
      <c r="EG158" s="1084">
        <f t="shared" si="816"/>
        <v>0.103194103194103</v>
      </c>
      <c r="EH158" s="1083">
        <f t="shared" si="816"/>
        <v>0.356495468277946</v>
      </c>
      <c r="EI158" s="1083">
        <f t="shared" si="816"/>
        <v>0.409090909090909</v>
      </c>
      <c r="EJ158" s="1083">
        <f t="shared" si="816"/>
        <v>0.383601756954612</v>
      </c>
      <c r="EK158" s="1083">
        <f t="shared" si="816"/>
        <v>0.0971428571428572</v>
      </c>
      <c r="EL158" s="1083">
        <f t="shared" si="816"/>
        <v>0.286544046466602</v>
      </c>
      <c r="EM158" s="1083">
        <f t="shared" si="816"/>
        <v>0.089171974522293</v>
      </c>
      <c r="EN158" s="1083">
        <f t="shared" si="816"/>
        <v>0.0933734939759037</v>
      </c>
      <c r="EO158" s="1084">
        <f t="shared" si="816"/>
        <v>0.240534521158129</v>
      </c>
      <c r="EP158" s="1083">
        <f t="shared" ref="EP158:EX158" si="817">EP157/EH157-1</f>
        <v>0.102449888641425</v>
      </c>
      <c r="EQ158" s="1083">
        <f t="shared" si="817"/>
        <v>-0.0241935483870968</v>
      </c>
      <c r="ER158" s="1083">
        <f t="shared" si="817"/>
        <v>0.035978835978836</v>
      </c>
      <c r="ES158" s="1083">
        <f t="shared" si="817"/>
        <v>0.03125</v>
      </c>
      <c r="ET158" s="1083">
        <f t="shared" si="817"/>
        <v>0.0346124905944318</v>
      </c>
      <c r="EU158" s="1083">
        <f t="shared" si="817"/>
        <v>0.260233918128655</v>
      </c>
      <c r="EV158" s="1083">
        <f t="shared" si="817"/>
        <v>0.139118457300275</v>
      </c>
      <c r="EW158" s="1084">
        <f t="shared" si="817"/>
        <v>0.0807899461400359</v>
      </c>
      <c r="EX158" s="1083">
        <f t="shared" si="817"/>
        <v>-0.181818181818182</v>
      </c>
      <c r="EY158" s="1083">
        <f t="shared" ref="EY158:FJ158" si="818">EY157/EQ157-1</f>
        <v>-0.0909090909090909</v>
      </c>
      <c r="EZ158" s="1083">
        <f t="shared" si="818"/>
        <v>-0.136874361593463</v>
      </c>
      <c r="FA158" s="1083">
        <f t="shared" si="818"/>
        <v>-0.0757575757575758</v>
      </c>
      <c r="FB158" s="1083">
        <f t="shared" si="818"/>
        <v>-0.119272727272727</v>
      </c>
      <c r="FC158" s="1083">
        <f t="shared" si="818"/>
        <v>-0.104408352668213</v>
      </c>
      <c r="FD158" s="1083">
        <f t="shared" si="818"/>
        <v>-0.090689238210399</v>
      </c>
      <c r="FE158" s="1084">
        <f t="shared" si="818"/>
        <v>-0.115725359911406</v>
      </c>
      <c r="FF158" s="1083">
        <f t="shared" si="818"/>
        <v>-0.0123456790123457</v>
      </c>
      <c r="FG158" s="1083">
        <f t="shared" si="818"/>
        <v>-0.0568181818181818</v>
      </c>
      <c r="FH158" s="1083">
        <f t="shared" si="818"/>
        <v>-0.0355029585798816</v>
      </c>
      <c r="FI158" s="1083">
        <f t="shared" si="818"/>
        <v>0.139344262295082</v>
      </c>
      <c r="FJ158" s="1083">
        <f t="shared" si="818"/>
        <v>0.0173410404624277</v>
      </c>
      <c r="FK158" s="1083">
        <f t="shared" ref="FK158:FR158" si="819">FK157/FC157-1</f>
        <v>-0.0854922279792746</v>
      </c>
      <c r="FL158" s="1083">
        <f t="shared" si="819"/>
        <v>0.0239361702127661</v>
      </c>
      <c r="FM158" s="1084">
        <f t="shared" si="819"/>
        <v>-0.0075140889167189</v>
      </c>
      <c r="FN158" s="1083">
        <f t="shared" si="819"/>
        <v>0.075</v>
      </c>
      <c r="FO158" s="1083">
        <f t="shared" si="819"/>
        <v>0.101204819277108</v>
      </c>
      <c r="FP158" s="1083">
        <f t="shared" si="819"/>
        <v>0.0883435582822085</v>
      </c>
      <c r="FQ158" s="1083">
        <f t="shared" si="819"/>
        <v>0.0287769784172662</v>
      </c>
      <c r="FR158" s="1083">
        <f t="shared" si="819"/>
        <v>0.0681818181818181</v>
      </c>
      <c r="FS158" s="1083">
        <f t="shared" ref="FS158:FX158" si="820">FS157/FK157-1</f>
        <v>0.0339943342776203</v>
      </c>
      <c r="FT158" s="1083">
        <f t="shared" si="820"/>
        <v>0.0311688311688312</v>
      </c>
      <c r="FU158" s="1083">
        <f t="shared" si="820"/>
        <v>0.0605678233438485</v>
      </c>
      <c r="FV158" s="1086">
        <f t="shared" si="820"/>
        <v>-0.416279069767442</v>
      </c>
      <c r="FW158" s="1087">
        <f t="shared" si="820"/>
        <v>-0.426695842450766</v>
      </c>
      <c r="FX158" s="1087">
        <f t="shared" si="820"/>
        <v>-0.421645997745209</v>
      </c>
      <c r="FY158" s="1083">
        <f t="shared" ref="FY158" si="821">FY157/FQ157-1</f>
        <v>-0.377622377622378</v>
      </c>
      <c r="FZ158" s="1083">
        <f t="shared" ref="FZ158" si="822">FZ157/FR157-1</f>
        <v>-0.407294832826748</v>
      </c>
      <c r="GA158" s="1083">
        <f t="shared" ref="GA158" si="823">GA157/FS157-1</f>
        <v>-0.276712328767123</v>
      </c>
      <c r="GB158" s="1083">
        <f t="shared" ref="GB158:GH158" si="824">GB157/FT157-1</f>
        <v>-0.331234256926952</v>
      </c>
      <c r="GC158" s="1084">
        <f t="shared" si="824"/>
        <v>-0.378941106484236</v>
      </c>
      <c r="GD158" s="1086">
        <f t="shared" si="824"/>
        <v>0.290836653386454</v>
      </c>
      <c r="GE158" s="1087">
        <f t="shared" si="824"/>
        <v>0.00763358778625944</v>
      </c>
      <c r="GF158" s="1087">
        <f t="shared" si="824"/>
        <v>0.146198830409357</v>
      </c>
      <c r="GG158" s="1087">
        <f t="shared" si="824"/>
        <v>-0.0224719101123596</v>
      </c>
      <c r="GH158" s="1083">
        <f t="shared" si="824"/>
        <v>0.0884615384615384</v>
      </c>
      <c r="GI158" s="1083">
        <f t="shared" ref="GI158" si="825">GI157/GA157-1</f>
        <v>-0.768939393939394</v>
      </c>
      <c r="GJ158" s="1083">
        <f t="shared" ref="GJ158" si="826">GJ157/GB157-1</f>
        <v>-0.393596986817326</v>
      </c>
      <c r="GK158" s="1084">
        <f t="shared" ref="GK158" si="827">GK157/GC157-1</f>
        <v>-0.128352490421456</v>
      </c>
      <c r="GL158" s="1087">
        <v>0.13</v>
      </c>
      <c r="GM158" s="1087">
        <f>GM157/GE157-1</f>
        <v>0.132575757575758</v>
      </c>
      <c r="GN158" s="1087">
        <f>GN157/GF157-1</f>
        <v>-0.0527210884353742</v>
      </c>
      <c r="GO158" s="1087">
        <f>GO157/GG157-1</f>
        <v>0.130268199233716</v>
      </c>
      <c r="GP158" s="1083">
        <f>GP157/GH157-1</f>
        <v>0.00353356890459366</v>
      </c>
      <c r="GQ158" s="1083">
        <f t="shared" ref="GQ158" si="828">GQ157/GI157-1</f>
        <v>3.98360655737705</v>
      </c>
      <c r="GR158" s="1083">
        <f t="shared" ref="GR158" si="829">GR157/GJ157-1</f>
        <v>0.860248447204969</v>
      </c>
      <c r="GS158" s="1084">
        <f t="shared" ref="GS158" si="830">GS157/GK157-1</f>
        <v>0.27032967032967</v>
      </c>
      <c r="GT158" s="1087">
        <v>0.13</v>
      </c>
      <c r="GU158" s="1087">
        <f>GU157/GM157-1</f>
        <v>-0.521739130434783</v>
      </c>
      <c r="GV158" s="1087">
        <f>GV157/GN157-1</f>
        <v>-0.210053859964093</v>
      </c>
      <c r="GW158" s="1087">
        <f>GW157/GO157-1</f>
        <v>0.0813559322033899</v>
      </c>
      <c r="GX158" s="1083"/>
      <c r="GY158" s="1083">
        <f t="shared" ref="GY158" si="831">GY157/GQ157-1</f>
        <v>2.38157894736842</v>
      </c>
      <c r="GZ158" s="1083">
        <f t="shared" ref="GZ158" si="832">GZ157/GR157-1</f>
        <v>1.24874791318865</v>
      </c>
      <c r="HA158" s="1084">
        <f t="shared" ref="HA158" si="833">HA157/GS157-1</f>
        <v>-0.110726643598616</v>
      </c>
      <c r="HB158" s="1087">
        <f>HB157/287-1</f>
        <v>-0.125435540069686</v>
      </c>
      <c r="HC158" s="1087">
        <f>HC157/GU157-1</f>
        <v>1.03496503496504</v>
      </c>
      <c r="HD158" s="1087">
        <f>HD157/GV157-1</f>
        <v>0.231818181818182</v>
      </c>
      <c r="HE158" s="1087">
        <f>HE157/GW157-1</f>
        <v>0.0721003134796239</v>
      </c>
      <c r="HF158" s="1083"/>
      <c r="HG158" s="1083">
        <f t="shared" ref="HG158" si="834">HG157/GY157-1</f>
        <v>-0.705252918287938</v>
      </c>
      <c r="HH158" s="1083"/>
      <c r="HI158" s="1084">
        <f t="shared" ref="HI158:HK158" si="835">HI157/HA157-1</f>
        <v>0.154669260700389</v>
      </c>
      <c r="HJ158" s="1087">
        <f t="shared" si="835"/>
        <v>0.247011952191232</v>
      </c>
      <c r="HK158" s="1087">
        <f t="shared" si="835"/>
        <v>0.333333333333333</v>
      </c>
      <c r="HL158" s="1083"/>
      <c r="HM158" s="1083"/>
      <c r="HN158" s="1083"/>
      <c r="HO158" s="1083"/>
      <c r="HP158" s="1083"/>
      <c r="HQ158" s="1084"/>
      <c r="HR158" s="1083"/>
      <c r="HS158" s="1083"/>
      <c r="HT158" s="1083"/>
      <c r="HU158" s="1083"/>
      <c r="HV158" s="1083"/>
      <c r="HW158" s="1083"/>
      <c r="HX158" s="1083"/>
      <c r="HY158" s="1083"/>
      <c r="HZ158" s="1083"/>
      <c r="IA158" s="1083"/>
      <c r="IB158" s="1083"/>
      <c r="IC158" s="1083"/>
      <c r="ID158" s="1083"/>
      <c r="IE158" s="1083"/>
      <c r="IF158" s="1083"/>
      <c r="IG158" s="1084"/>
      <c r="IH158" s="1083">
        <f>IH157/HZ157-1</f>
        <v>0.778242677824268</v>
      </c>
      <c r="II158" s="1083">
        <f>II157/IA157-1</f>
        <v>1.00448430493274</v>
      </c>
      <c r="IJ158" s="1083"/>
      <c r="IK158" s="1083">
        <f>IK157/IC157-1</f>
        <v>0.608414239482215</v>
      </c>
      <c r="IL158" s="1083"/>
      <c r="IM158" s="1083">
        <f t="shared" ref="IM158:IQ158" si="836">IM157/IE157-1</f>
        <v>0.284482758620667</v>
      </c>
      <c r="IN158" s="1083" t="e">
        <f t="shared" si="836"/>
        <v>#DIV/0!</v>
      </c>
      <c r="IO158" s="1084">
        <f t="shared" si="836"/>
        <v>0.622877569258262</v>
      </c>
      <c r="IP158" s="1083">
        <f t="shared" si="836"/>
        <v>0.0611764705882332</v>
      </c>
      <c r="IQ158" s="1083">
        <f t="shared" si="836"/>
        <v>0.185682326621922</v>
      </c>
      <c r="IR158" s="1181"/>
      <c r="IS158" s="1181"/>
      <c r="IT158" s="1181"/>
      <c r="IU158" s="1181"/>
      <c r="IV158" s="1181"/>
      <c r="IW158" s="1181"/>
      <c r="IX158" s="1178"/>
      <c r="IY158" s="1178"/>
      <c r="IZ158" s="1178"/>
      <c r="JA158" s="1178"/>
      <c r="JB158" s="1178"/>
      <c r="JC158" s="1178"/>
      <c r="JD158" s="1125"/>
      <c r="JE158" s="1126"/>
      <c r="JF158" s="1126"/>
      <c r="JG158" s="1126"/>
      <c r="JH158" s="1126"/>
      <c r="KP158" s="1203"/>
      <c r="LV158" s="1127"/>
    </row>
    <row r="159" s="1024" customFormat="1" spans="1:334">
      <c r="A159" s="967" t="s">
        <v>63</v>
      </c>
      <c r="B159" s="1121"/>
      <c r="C159" s="1121"/>
      <c r="D159" s="1121"/>
      <c r="E159" s="1121"/>
      <c r="F159" s="1121"/>
      <c r="G159" s="1121"/>
      <c r="H159" s="1121"/>
      <c r="I159" s="1121"/>
      <c r="J159" s="1121"/>
      <c r="K159" s="1121"/>
      <c r="L159" s="1121"/>
      <c r="M159" s="1121"/>
      <c r="N159" s="1121"/>
      <c r="O159" s="1121"/>
      <c r="P159" s="1121"/>
      <c r="Q159" s="1121"/>
      <c r="R159" s="1121"/>
      <c r="S159" s="1121"/>
      <c r="T159" s="1121"/>
      <c r="U159" s="1121"/>
      <c r="V159" s="1121"/>
      <c r="W159" s="1121"/>
      <c r="X159" s="1121"/>
      <c r="Y159" s="1121"/>
      <c r="Z159" s="1121"/>
      <c r="AA159" s="1121"/>
      <c r="AB159" s="1121"/>
      <c r="AC159" s="1121"/>
      <c r="AD159" s="1121"/>
      <c r="AE159" s="1121"/>
      <c r="AF159" s="1121"/>
      <c r="AG159" s="1121"/>
      <c r="AH159" s="1121"/>
      <c r="AI159" s="1121"/>
      <c r="AJ159" s="1121"/>
      <c r="AK159" s="1121"/>
      <c r="AL159" s="1121"/>
      <c r="AM159" s="1121"/>
      <c r="AN159" s="1121"/>
      <c r="AO159" s="1121"/>
      <c r="AP159" s="1121"/>
      <c r="AQ159" s="1121"/>
      <c r="AR159" s="1121"/>
      <c r="AS159" s="1121"/>
      <c r="AT159" s="1121"/>
      <c r="AU159" s="1121"/>
      <c r="AV159" s="1121"/>
      <c r="AW159" s="1121"/>
      <c r="AX159" s="1122"/>
      <c r="AY159" s="1121"/>
      <c r="AZ159" s="1121"/>
      <c r="BA159" s="1121"/>
      <c r="BB159" s="1121"/>
      <c r="BC159" s="1121"/>
      <c r="BD159" s="1121"/>
      <c r="BE159" s="1123"/>
      <c r="BF159" s="1121"/>
      <c r="BG159" s="1121"/>
      <c r="BH159" s="1121"/>
      <c r="BI159" s="1121"/>
      <c r="BJ159" s="1121"/>
      <c r="BK159" s="1121"/>
      <c r="BL159" s="1121"/>
      <c r="BM159" s="1121"/>
      <c r="BN159" s="1122"/>
      <c r="BO159" s="1121"/>
      <c r="BP159" s="1121"/>
      <c r="BQ159" s="1121"/>
      <c r="BR159" s="1121"/>
      <c r="BS159" s="1121"/>
      <c r="BT159" s="1121"/>
      <c r="BU159" s="1123"/>
      <c r="BV159" s="1122"/>
      <c r="BW159" s="1121"/>
      <c r="BX159" s="1121"/>
      <c r="BY159" s="1121"/>
      <c r="BZ159" s="1121"/>
      <c r="CA159" s="1121"/>
      <c r="CB159" s="1121"/>
      <c r="CC159" s="1123"/>
      <c r="CD159" s="1122"/>
      <c r="CE159" s="1121"/>
      <c r="CF159" s="1121"/>
      <c r="CG159" s="1121"/>
      <c r="CH159" s="1121"/>
      <c r="CI159" s="1121"/>
      <c r="CJ159" s="917"/>
      <c r="CK159" s="1123"/>
      <c r="CL159" s="1122"/>
      <c r="CM159" s="1121"/>
      <c r="CN159" s="1121"/>
      <c r="CO159" s="1121"/>
      <c r="CP159" s="1121"/>
      <c r="CQ159" s="1121"/>
      <c r="CR159" s="1121"/>
      <c r="CS159" s="1123"/>
      <c r="CT159" s="1122"/>
      <c r="CU159" s="1121"/>
      <c r="CV159" s="1121"/>
      <c r="CW159" s="1205"/>
      <c r="CX159" s="1205"/>
      <c r="CY159" s="1121"/>
      <c r="CZ159" s="1121"/>
      <c r="DA159" s="1121"/>
      <c r="DB159" s="1114"/>
      <c r="DC159" s="1114"/>
      <c r="DD159" s="1114"/>
      <c r="DE159" s="1206"/>
      <c r="DF159" s="1206"/>
      <c r="DG159" s="1114"/>
      <c r="DH159" s="1114"/>
      <c r="DI159" s="1207"/>
      <c r="DJ159" s="1083"/>
      <c r="DK159" s="1083"/>
      <c r="DL159" s="1083"/>
      <c r="DM159" s="1083"/>
      <c r="DN159" s="1083"/>
      <c r="DO159" s="1083"/>
      <c r="DP159" s="1083"/>
      <c r="DQ159" s="1084"/>
      <c r="DR159" s="1083"/>
      <c r="DS159" s="1083"/>
      <c r="DT159" s="1083"/>
      <c r="DU159" s="1083"/>
      <c r="DV159" s="1083"/>
      <c r="DW159" s="1083"/>
      <c r="DX159" s="1083"/>
      <c r="DY159" s="1084">
        <f t="shared" ref="DY159:EO159" si="837">DY158-DY160</f>
        <v>0.0549773755656109</v>
      </c>
      <c r="DZ159" s="1083">
        <f t="shared" si="837"/>
        <v>0.0469117647058822</v>
      </c>
      <c r="EA159" s="1083">
        <f t="shared" si="837"/>
        <v>-0.0311898016997168</v>
      </c>
      <c r="EB159" s="1083">
        <f t="shared" si="837"/>
        <v>0.0028</v>
      </c>
      <c r="EC159" s="1083">
        <f t="shared" si="837"/>
        <v>-0.0553125</v>
      </c>
      <c r="ED159" s="1083">
        <f t="shared" si="837"/>
        <v>-0.0168783068783068</v>
      </c>
      <c r="EE159" s="1083">
        <f t="shared" si="837"/>
        <v>0.0719202898550723</v>
      </c>
      <c r="EF159" s="1083">
        <f t="shared" si="837"/>
        <v>0.00360738255033551</v>
      </c>
      <c r="EG159" s="1084">
        <f t="shared" si="837"/>
        <v>0.00319410319410326</v>
      </c>
      <c r="EH159" s="1083">
        <f t="shared" si="837"/>
        <v>0.0464954682779455</v>
      </c>
      <c r="EI159" s="1083">
        <f t="shared" si="837"/>
        <v>0.118494318181818</v>
      </c>
      <c r="EJ159" s="1083">
        <f t="shared" si="837"/>
        <v>0.083601756954612</v>
      </c>
      <c r="EK159" s="1083">
        <f t="shared" si="837"/>
        <v>0.0922857142857142</v>
      </c>
      <c r="EL159" s="1083">
        <f t="shared" si="837"/>
        <v>0.086544046466602</v>
      </c>
      <c r="EM159" s="1083">
        <f t="shared" si="837"/>
        <v>0.0178662420382166</v>
      </c>
      <c r="EN159" s="1083">
        <f t="shared" si="837"/>
        <v>0.0570933734939759</v>
      </c>
      <c r="EO159" s="1084">
        <f t="shared" si="837"/>
        <v>0.0705345211581291</v>
      </c>
      <c r="EP159" s="1083">
        <f t="shared" ref="EP159:EX159" si="838">EP158-EP160</f>
        <v>-0.0275501113585747</v>
      </c>
      <c r="EQ159" s="1083">
        <f t="shared" si="838"/>
        <v>-0.0398790322580645</v>
      </c>
      <c r="ER159" s="1083">
        <f t="shared" si="838"/>
        <v>-0.034021164021164</v>
      </c>
      <c r="ES159" s="1083">
        <f t="shared" si="838"/>
        <v>-0.10796875</v>
      </c>
      <c r="ET159" s="1083">
        <f t="shared" si="838"/>
        <v>-0.0553875094055682</v>
      </c>
      <c r="EU159" s="1083">
        <f t="shared" si="838"/>
        <v>-0.122923976608187</v>
      </c>
      <c r="EV159" s="1083">
        <f t="shared" si="838"/>
        <v>-0.115013774104683</v>
      </c>
      <c r="EW159" s="1084">
        <f t="shared" si="838"/>
        <v>-0.0692100538599641</v>
      </c>
      <c r="EX159" s="1083">
        <f t="shared" si="838"/>
        <v>-0.0518181818181818</v>
      </c>
      <c r="EY159" s="1083">
        <f t="shared" ref="EY159:FL159" si="839">EY158-EY160</f>
        <v>-0.0620454545454546</v>
      </c>
      <c r="EZ159" s="1083">
        <f t="shared" si="839"/>
        <v>-0.0568743615934627</v>
      </c>
      <c r="FA159" s="1083">
        <f t="shared" si="839"/>
        <v>0.00424242424242419</v>
      </c>
      <c r="FB159" s="1083">
        <f t="shared" si="839"/>
        <v>-0.0392727272727273</v>
      </c>
      <c r="FC159" s="1083">
        <f t="shared" si="839"/>
        <v>0.0174941995359628</v>
      </c>
      <c r="FD159" s="1083">
        <f t="shared" si="839"/>
        <v>0.0111487303506651</v>
      </c>
      <c r="FE159" s="1084">
        <f t="shared" si="839"/>
        <v>-0.0257253599114064</v>
      </c>
      <c r="FF159" s="1083">
        <f t="shared" si="839"/>
        <v>0.0876543209876543</v>
      </c>
      <c r="FG159" s="1083">
        <f t="shared" si="839"/>
        <v>0.102715909090909</v>
      </c>
      <c r="FH159" s="1083">
        <f t="shared" si="839"/>
        <v>0.0954970414201184</v>
      </c>
      <c r="FI159" s="1083">
        <f t="shared" si="839"/>
        <v>0.0486584699453552</v>
      </c>
      <c r="FJ159" s="1083">
        <f t="shared" si="839"/>
        <v>0.0813410404624277</v>
      </c>
      <c r="FK159" s="1083">
        <f t="shared" si="839"/>
        <v>0.0447046632124353</v>
      </c>
      <c r="FL159" s="1083">
        <f t="shared" si="839"/>
        <v>0.0466289893617022</v>
      </c>
      <c r="FM159" s="1084">
        <f t="shared" ref="FM159:FX159" si="840">FM158-FM160</f>
        <v>0.0724859110832811</v>
      </c>
      <c r="FN159" s="1083">
        <f t="shared" si="840"/>
        <v>-0.035</v>
      </c>
      <c r="FO159" s="1083">
        <f t="shared" si="840"/>
        <v>-0.0480722891566265</v>
      </c>
      <c r="FP159" s="1083">
        <f t="shared" si="840"/>
        <v>-0.0416564417177915</v>
      </c>
      <c r="FQ159" s="1083">
        <f t="shared" si="840"/>
        <v>-0.0212230215827338</v>
      </c>
      <c r="FR159" s="1083">
        <f t="shared" si="840"/>
        <v>-0.0347402597402598</v>
      </c>
      <c r="FS159" s="1083">
        <f t="shared" si="840"/>
        <v>-0.0109065155807366</v>
      </c>
      <c r="FT159" s="1083">
        <f t="shared" si="840"/>
        <v>-0.0164935064935065</v>
      </c>
      <c r="FU159" s="1083">
        <f t="shared" si="840"/>
        <v>-0.0294321766561515</v>
      </c>
      <c r="FV159" s="1086">
        <f t="shared" si="840"/>
        <v>-0.405023255813954</v>
      </c>
      <c r="FW159" s="1087">
        <f t="shared" si="840"/>
        <v>-0.456695842450766</v>
      </c>
      <c r="FX159" s="1087">
        <f t="shared" si="840"/>
        <v>-0.431645997745209</v>
      </c>
      <c r="FY159" s="1083">
        <f t="shared" ref="FY159:GA159" si="841">FY158-FY160</f>
        <v>-0.387622377622378</v>
      </c>
      <c r="FZ159" s="1083">
        <f t="shared" si="841"/>
        <v>-0.417294832826748</v>
      </c>
      <c r="GA159" s="1083">
        <f t="shared" si="841"/>
        <v>-0.516986301369863</v>
      </c>
      <c r="GB159" s="1083">
        <f t="shared" ref="GB159:GG159" si="842">GB158-GB160</f>
        <v>-0.447090680100756</v>
      </c>
      <c r="GC159" s="1084">
        <f t="shared" si="842"/>
        <v>-0.438941106484236</v>
      </c>
      <c r="GD159" s="1086">
        <f t="shared" si="842"/>
        <v>-0.0991633466135459</v>
      </c>
      <c r="GE159" s="1087">
        <f t="shared" si="842"/>
        <v>-0.0523664122137406</v>
      </c>
      <c r="GF159" s="1087">
        <f t="shared" si="842"/>
        <v>-0.0752631578947369</v>
      </c>
      <c r="GG159" s="1087">
        <f t="shared" si="842"/>
        <v>-0.0524719101123596</v>
      </c>
      <c r="GH159" s="1083">
        <f t="shared" ref="GH159:GI159" si="843">GH158-GH160</f>
        <v>-0.0674615384615386</v>
      </c>
      <c r="GI159" s="1083">
        <f t="shared" si="843"/>
        <v>-0.378939393939394</v>
      </c>
      <c r="GJ159" s="1083">
        <f t="shared" ref="GJ159:GO159" si="844">GJ158-GJ160</f>
        <v>-0.214783427495292</v>
      </c>
      <c r="GK159" s="1084">
        <f t="shared" si="844"/>
        <v>-0.0383524904214559</v>
      </c>
      <c r="GL159" s="1087">
        <f t="shared" si="844"/>
        <v>0</v>
      </c>
      <c r="GM159" s="1087">
        <f t="shared" si="844"/>
        <v>0.0125757575757576</v>
      </c>
      <c r="GN159" s="1087">
        <f t="shared" si="844"/>
        <v>-0.178231292517007</v>
      </c>
      <c r="GO159" s="1087">
        <f t="shared" si="844"/>
        <v>0.0302681992337165</v>
      </c>
      <c r="GP159" s="1083">
        <f t="shared" ref="GP159:GQ159" si="845">GP158-GP160</f>
        <v>-0.114134275618375</v>
      </c>
      <c r="GQ159" s="1083">
        <f t="shared" si="845"/>
        <v>3.08360655737705</v>
      </c>
      <c r="GR159" s="1083">
        <f t="shared" ref="GR159:GW159" si="846">GR158-GR160</f>
        <v>0.608695652173913</v>
      </c>
      <c r="GS159" s="1084">
        <f t="shared" si="846"/>
        <v>0.0203296703296703</v>
      </c>
      <c r="GT159" s="1087">
        <f t="shared" si="846"/>
        <v>-0.02</v>
      </c>
      <c r="GU159" s="1087">
        <f t="shared" si="846"/>
        <v>-0.0217391304347826</v>
      </c>
      <c r="GV159" s="1087">
        <f t="shared" si="846"/>
        <v>-0.0111310592459604</v>
      </c>
      <c r="GW159" s="1087">
        <f t="shared" si="846"/>
        <v>-0.0386440677966101</v>
      </c>
      <c r="GX159" s="1083"/>
      <c r="GY159" s="1083">
        <f>GY158-GY160</f>
        <v>1.48157894736842</v>
      </c>
      <c r="GZ159" s="1083">
        <f t="shared" ref="GZ159:HE159" si="847">GZ158-GZ160</f>
        <v>0.732888146911519</v>
      </c>
      <c r="HA159" s="1084">
        <f t="shared" si="847"/>
        <v>-0.0307266435986159</v>
      </c>
      <c r="HB159" s="1087">
        <f t="shared" si="847"/>
        <v>-0.0554355400696864</v>
      </c>
      <c r="HC159" s="1087">
        <f t="shared" si="847"/>
        <v>-0.115034965034965</v>
      </c>
      <c r="HD159" s="1087">
        <f t="shared" si="847"/>
        <v>-0.0946818181818181</v>
      </c>
      <c r="HE159" s="1087">
        <f t="shared" si="847"/>
        <v>-0.0478996865203761</v>
      </c>
      <c r="HF159" s="1083"/>
      <c r="HG159" s="1083">
        <f>HG158-HG160</f>
        <v>-0.855252918287938</v>
      </c>
      <c r="HH159" s="1083"/>
      <c r="HI159" s="1084">
        <f>HI158-HI160</f>
        <v>-0.065330739299611</v>
      </c>
      <c r="HJ159" s="1087">
        <f>HJ158-HJ160</f>
        <v>0.0470119521912315</v>
      </c>
      <c r="HK159" s="1087">
        <f>HK158-HK160</f>
        <v>0.0833333333333333</v>
      </c>
      <c r="HL159" s="1083"/>
      <c r="HM159" s="1083"/>
      <c r="HN159" s="1083"/>
      <c r="HO159" s="1083"/>
      <c r="HP159" s="1083"/>
      <c r="HQ159" s="1084"/>
      <c r="HR159" s="1083"/>
      <c r="HS159" s="1083"/>
      <c r="HT159" s="1083"/>
      <c r="HU159" s="1083"/>
      <c r="HV159" s="1083"/>
      <c r="HW159" s="1083"/>
      <c r="HX159" s="1083"/>
      <c r="HY159" s="1083"/>
      <c r="HZ159" s="1083"/>
      <c r="IA159" s="1083"/>
      <c r="IB159" s="1083"/>
      <c r="IC159" s="1083"/>
      <c r="ID159" s="1083"/>
      <c r="IE159" s="1083"/>
      <c r="IF159" s="1083"/>
      <c r="IG159" s="1084"/>
      <c r="IH159" s="1083"/>
      <c r="II159" s="1083"/>
      <c r="IJ159" s="1083"/>
      <c r="IK159" s="1083"/>
      <c r="IL159" s="1083"/>
      <c r="IM159" s="1083"/>
      <c r="IN159" s="1083"/>
      <c r="IO159" s="1084"/>
      <c r="IP159" s="1083"/>
      <c r="IQ159" s="1083"/>
      <c r="IR159" s="1181"/>
      <c r="IS159" s="1181"/>
      <c r="IT159" s="1181"/>
      <c r="IU159" s="1181"/>
      <c r="IV159" s="1181"/>
      <c r="IW159" s="1181"/>
      <c r="IX159" s="1178"/>
      <c r="IY159" s="1178"/>
      <c r="IZ159" s="1178"/>
      <c r="JA159" s="1178" t="s">
        <v>534</v>
      </c>
      <c r="JB159" s="1083">
        <f>1*(1+EH160)*(1+EP160)-1</f>
        <v>0.4803</v>
      </c>
      <c r="JC159" s="1083">
        <f>1*(1+EI160)*(1+EQ160)-1</f>
        <v>0.310840222919721</v>
      </c>
      <c r="JD159" s="1083">
        <f>1*(1+EK160)*(1+ES160)-1</f>
        <v>0.144752098214286</v>
      </c>
      <c r="JE159" s="1083">
        <f>1*(1+EM160)*(1+EU160)-1</f>
        <v>0.481784981562186</v>
      </c>
      <c r="JF159" s="1126"/>
      <c r="JG159" s="1083">
        <f>1*(1+EP160)*(1+EX160)-1</f>
        <v>-0.0169000000000001</v>
      </c>
      <c r="JH159" s="1126"/>
      <c r="JI159" s="1083">
        <f>1*(1+EQ160)*(1+EY160)-1</f>
        <v>-0.0136308925953079</v>
      </c>
      <c r="JJ159" s="1126"/>
      <c r="JK159" s="1083">
        <f>1*(1+ES160)*(1+FA160)-1</f>
        <v>0.0480812500000001</v>
      </c>
      <c r="JL159" s="1083">
        <f>1*(1+EU160)*(1+FC160)-1</f>
        <v>0.214547417267065</v>
      </c>
      <c r="JM159" s="1126"/>
      <c r="JN159" s="1083">
        <f>1*(1+EX160)*(1+FF160)-1</f>
        <v>-0.217</v>
      </c>
      <c r="JO159" s="1126"/>
      <c r="JP159" s="1083">
        <f>1*(1+EY160)*(1+FG160)-1</f>
        <v>-0.183792993285124</v>
      </c>
      <c r="JQ159" s="1083">
        <f>1*(1+FA160)*(1+FI160)-1</f>
        <v>0.00343092896174868</v>
      </c>
      <c r="JR159" s="1083">
        <f>1*(1+FC160)*(1+FK160)-1</f>
        <v>-0.236228110070567</v>
      </c>
      <c r="JS159" s="1083">
        <f>1*(1+FF160)*(1+FN160)-1</f>
        <v>-0.00099999999999989</v>
      </c>
      <c r="JT159" s="1083">
        <f>1*(1+FG160)*(1+FO160)-1</f>
        <v>-0.0340717702628697</v>
      </c>
      <c r="JU159" s="1083">
        <f>1*(1+FI160)*(1+FQ160)-1</f>
        <v>0.145220081967213</v>
      </c>
      <c r="JV159" s="1083">
        <f>1*(1+FK160)*(1+FS160)-1</f>
        <v>-0.0911419923967767</v>
      </c>
      <c r="KP159" s="1203"/>
      <c r="LV159" s="1127"/>
    </row>
    <row r="160" s="1024" customFormat="1" spans="1:334">
      <c r="A160" s="967" t="s">
        <v>65</v>
      </c>
      <c r="B160" s="1121"/>
      <c r="C160" s="1121"/>
      <c r="D160" s="1121"/>
      <c r="E160" s="1121"/>
      <c r="F160" s="1121"/>
      <c r="G160" s="1121"/>
      <c r="H160" s="1121"/>
      <c r="I160" s="1121"/>
      <c r="J160" s="1121"/>
      <c r="K160" s="1121"/>
      <c r="L160" s="1121"/>
      <c r="M160" s="1121"/>
      <c r="N160" s="1121"/>
      <c r="O160" s="1121"/>
      <c r="P160" s="1121"/>
      <c r="Q160" s="1121"/>
      <c r="R160" s="1121"/>
      <c r="S160" s="1121"/>
      <c r="T160" s="1121"/>
      <c r="U160" s="1121"/>
      <c r="V160" s="1121"/>
      <c r="W160" s="1121"/>
      <c r="X160" s="1121"/>
      <c r="Y160" s="1121"/>
      <c r="Z160" s="1121"/>
      <c r="AA160" s="1121"/>
      <c r="AB160" s="1121"/>
      <c r="AC160" s="1121"/>
      <c r="AD160" s="1121"/>
      <c r="AE160" s="1121"/>
      <c r="AF160" s="1121"/>
      <c r="AG160" s="1121"/>
      <c r="AH160" s="1121"/>
      <c r="AI160" s="1121"/>
      <c r="AJ160" s="1121"/>
      <c r="AK160" s="1121"/>
      <c r="AL160" s="1121"/>
      <c r="AM160" s="1121"/>
      <c r="AN160" s="1121"/>
      <c r="AO160" s="1121"/>
      <c r="AP160" s="1121"/>
      <c r="AQ160" s="1121"/>
      <c r="AR160" s="1121"/>
      <c r="AS160" s="1121"/>
      <c r="AT160" s="1121"/>
      <c r="AU160" s="1121"/>
      <c r="AV160" s="1121"/>
      <c r="AW160" s="1121"/>
      <c r="AX160" s="1122"/>
      <c r="AY160" s="1121"/>
      <c r="AZ160" s="1121"/>
      <c r="BA160" s="1121"/>
      <c r="BB160" s="1121"/>
      <c r="BC160" s="1121"/>
      <c r="BD160" s="1121"/>
      <c r="BE160" s="1123"/>
      <c r="BF160" s="1121"/>
      <c r="BG160" s="1121"/>
      <c r="BH160" s="1121"/>
      <c r="BI160" s="1121"/>
      <c r="BJ160" s="1121"/>
      <c r="BK160" s="1121"/>
      <c r="BL160" s="1121"/>
      <c r="BM160" s="1121"/>
      <c r="BN160" s="1122"/>
      <c r="BO160" s="1121"/>
      <c r="BP160" s="1121"/>
      <c r="BQ160" s="1121"/>
      <c r="BR160" s="1121"/>
      <c r="BS160" s="1121"/>
      <c r="BT160" s="1121"/>
      <c r="BU160" s="1123"/>
      <c r="BV160" s="1122"/>
      <c r="BW160" s="1121"/>
      <c r="BX160" s="1121"/>
      <c r="BY160" s="1121"/>
      <c r="BZ160" s="1121"/>
      <c r="CA160" s="1121"/>
      <c r="CB160" s="1121"/>
      <c r="CC160" s="1123"/>
      <c r="CD160" s="1122"/>
      <c r="CE160" s="1121"/>
      <c r="CF160" s="1121"/>
      <c r="CG160" s="1121"/>
      <c r="CH160" s="1121"/>
      <c r="CI160" s="1121"/>
      <c r="CJ160" s="917"/>
      <c r="CK160" s="1123"/>
      <c r="CL160" s="1122"/>
      <c r="CM160" s="1121"/>
      <c r="CN160" s="1121"/>
      <c r="CO160" s="1121"/>
      <c r="CP160" s="1121"/>
      <c r="CQ160" s="1121"/>
      <c r="CR160" s="1121"/>
      <c r="CS160" s="1123"/>
      <c r="CT160" s="1122"/>
      <c r="CU160" s="1121"/>
      <c r="CV160" s="1121"/>
      <c r="CW160" s="1205"/>
      <c r="CX160" s="1205"/>
      <c r="CY160" s="1121"/>
      <c r="CZ160" s="1121"/>
      <c r="DA160" s="1121"/>
      <c r="DB160" s="1114"/>
      <c r="DC160" s="1114"/>
      <c r="DD160" s="1114"/>
      <c r="DE160" s="1206"/>
      <c r="DF160" s="1206"/>
      <c r="DG160" s="1114"/>
      <c r="DH160" s="1114"/>
      <c r="DI160" s="1207"/>
      <c r="DJ160" s="1083"/>
      <c r="DK160" s="1083"/>
      <c r="DL160" s="1083"/>
      <c r="DM160" s="1083"/>
      <c r="DN160" s="1083"/>
      <c r="DO160" s="1083"/>
      <c r="DP160" s="1083"/>
      <c r="DQ160" s="1084">
        <v>-0.06</v>
      </c>
      <c r="DR160" s="1083"/>
      <c r="DS160" s="1083"/>
      <c r="DT160" s="1083"/>
      <c r="DU160" s="1083"/>
      <c r="DV160" s="1083"/>
      <c r="DW160" s="1083"/>
      <c r="DX160" s="1083"/>
      <c r="DY160" s="1084">
        <v>0.05</v>
      </c>
      <c r="DZ160" s="1083">
        <v>0.17</v>
      </c>
      <c r="EA160" s="1083">
        <f>(DT157*EB160-DR157*DZ160)/DS157</f>
        <v>0.028356940509915</v>
      </c>
      <c r="EB160" s="1083">
        <v>0.09</v>
      </c>
      <c r="EC160" s="1083">
        <f>(DV157*ED160-DR157*DZ160-DS157*EA160)/DU157</f>
        <v>0.1490625</v>
      </c>
      <c r="ED160" s="1083">
        <v>0.11</v>
      </c>
      <c r="EE160" s="1083">
        <f>(DY157*EG160-DR157*DZ160-DS157*EA160-DU157*EC160)/DW157</f>
        <v>0.0657608695652175</v>
      </c>
      <c r="EF160" s="1083">
        <f>(DY157*EG160-DT157*EB160)/DX157</f>
        <v>0.110486577181208</v>
      </c>
      <c r="EG160" s="1084">
        <v>0.1</v>
      </c>
      <c r="EH160" s="1083">
        <v>0.31</v>
      </c>
      <c r="EI160" s="1083">
        <f>(EB157*EJ160-DZ157*EH160)/EA157</f>
        <v>0.290596590909091</v>
      </c>
      <c r="EJ160" s="1083">
        <v>0.3</v>
      </c>
      <c r="EK160" s="1083">
        <f>(ED157*EL160-DZ157*EH160-EA157*EI160)/EC157</f>
        <v>0.00485714285714295</v>
      </c>
      <c r="EL160" s="1083">
        <v>0.2</v>
      </c>
      <c r="EM160" s="1083">
        <f>(EG157*EO160-DZ157*EH160-EA157*EI160-EC157*EK160)/EE157</f>
        <v>0.0713057324840764</v>
      </c>
      <c r="EN160" s="1083">
        <f>(EG157*EO160-EB157*EJ160)/EF157</f>
        <v>0.0362801204819277</v>
      </c>
      <c r="EO160" s="1084">
        <v>0.17</v>
      </c>
      <c r="EP160" s="1083">
        <v>0.13</v>
      </c>
      <c r="EQ160" s="1083">
        <f>(EJ157*ER160-EH157*EP160)/EI157</f>
        <v>0.0156854838709677</v>
      </c>
      <c r="ER160" s="1083">
        <v>0.07</v>
      </c>
      <c r="ES160" s="1083">
        <f>(EL157*ET160-EH157*EP160-EI157*EQ160)/EK157</f>
        <v>0.13921875</v>
      </c>
      <c r="ET160" s="1083">
        <v>0.09</v>
      </c>
      <c r="EU160" s="1083">
        <f>(EO157*EW160-EH157*EP160-EI157*EQ160-EK157*ES160)/EM157</f>
        <v>0.383157894736842</v>
      </c>
      <c r="EV160" s="1083">
        <f>(EO157*EW160-EJ157*ER160)/EN157</f>
        <v>0.254132231404959</v>
      </c>
      <c r="EW160" s="1084">
        <f>'Sales &amp; stores'!P248</f>
        <v>0.15</v>
      </c>
      <c r="EX160" s="1083">
        <v>-0.13</v>
      </c>
      <c r="EY160" s="1083">
        <f>(ER157*EZ160-EP157*EX160)/EQ157</f>
        <v>-0.0288636363636364</v>
      </c>
      <c r="EZ160" s="1083">
        <v>-0.08</v>
      </c>
      <c r="FA160" s="1083">
        <f>(ET157*FB160-EP157*EX160-EQ157*EY160)/ES157</f>
        <v>-0.08</v>
      </c>
      <c r="FB160" s="1083">
        <v>-0.08</v>
      </c>
      <c r="FC160" s="1083">
        <f>(EW157*FE160-EP157*EX160-EQ157*EY160-ES157*FA160)/EU157</f>
        <v>-0.121902552204176</v>
      </c>
      <c r="FD160" s="1083">
        <f>(EW157*FE160-ER157*EZ160)/EV157</f>
        <v>-0.101837968561064</v>
      </c>
      <c r="FE160" s="1084">
        <f>'Sales &amp; stores'!Q248</f>
        <v>-0.09</v>
      </c>
      <c r="FF160" s="1083">
        <v>-0.1</v>
      </c>
      <c r="FG160" s="1083">
        <f>(EZ157*FH160-EX157*FF160)/EY157</f>
        <v>-0.159534090909091</v>
      </c>
      <c r="FH160" s="1083">
        <v>-0.131</v>
      </c>
      <c r="FI160" s="1083">
        <f>(FB157*FJ160-EZ157*FH160)/FA157</f>
        <v>0.0906857923497268</v>
      </c>
      <c r="FJ160" s="1083">
        <v>-0.064</v>
      </c>
      <c r="FK160" s="1083">
        <f>(FE157*FM160-FB157*FJ160)/FC157</f>
        <v>-0.13019689119171</v>
      </c>
      <c r="FL160" s="1083">
        <f>(FA157*FI160+FC157*FK160)/FD157</f>
        <v>-0.0226928191489362</v>
      </c>
      <c r="FM160" s="1084">
        <v>-0.08</v>
      </c>
      <c r="FN160" s="1083">
        <v>0.11</v>
      </c>
      <c r="FO160" s="1083">
        <f>(FH157*FP160-FF157*FN160)/FG157</f>
        <v>0.149277108433735</v>
      </c>
      <c r="FP160" s="1083">
        <v>0.13</v>
      </c>
      <c r="FQ160" s="1083">
        <v>0.05</v>
      </c>
      <c r="FR160" s="1083">
        <f>(FF157*FN160+FG157*FO160+FI157*FQ160)/FJ157</f>
        <v>0.102922077922078</v>
      </c>
      <c r="FS160" s="1083">
        <f>(FM157*FU160-FJ157*FR160)/FK157</f>
        <v>0.0449008498583569</v>
      </c>
      <c r="FT160" s="1083">
        <f>(FI157*FQ160+FK157*FS160)/FL157</f>
        <v>0.0476623376623377</v>
      </c>
      <c r="FU160" s="1083">
        <v>0.09</v>
      </c>
      <c r="FV160" s="1086">
        <f>(FX160*FP157-FW160*FO157)/FN157</f>
        <v>-0.0112558139534884</v>
      </c>
      <c r="FW160" s="1087">
        <v>0.03</v>
      </c>
      <c r="FX160" s="1087">
        <v>0.01</v>
      </c>
      <c r="FY160" s="1083">
        <v>0.01</v>
      </c>
      <c r="FZ160" s="1083">
        <f>(FN157*FV160+FO157*FW160+FQ157*FY160)/FR157</f>
        <v>0.01</v>
      </c>
      <c r="GA160" s="1083">
        <f>(FU157*GC160-FR157*FZ160)/FS157</f>
        <v>0.24027397260274</v>
      </c>
      <c r="GB160" s="1083">
        <f>(FQ157*FY160+FS157*GA160)/FT157</f>
        <v>0.115856423173804</v>
      </c>
      <c r="GC160" s="1084">
        <v>0.06</v>
      </c>
      <c r="GD160" s="1086">
        <v>0.39</v>
      </c>
      <c r="GE160" s="1087">
        <v>0.06</v>
      </c>
      <c r="GF160" s="1087">
        <f>((GD160*FV157)+(GE160*FW157))/FX157</f>
        <v>0.221461988304094</v>
      </c>
      <c r="GG160" s="1087">
        <v>0.03</v>
      </c>
      <c r="GH160" s="1083">
        <f>(FV157*GD160+FW157*GE160+FY157*GG160)/FZ157</f>
        <v>0.155923076923077</v>
      </c>
      <c r="GI160" s="1083">
        <v>-0.39</v>
      </c>
      <c r="GJ160" s="1083">
        <f>(FY157*GG160+GA157*GI160)/GB157</f>
        <v>-0.178813559322034</v>
      </c>
      <c r="GK160" s="1084">
        <v>-0.09</v>
      </c>
      <c r="GL160" s="1087">
        <v>0.13</v>
      </c>
      <c r="GM160" s="1087">
        <v>0.12</v>
      </c>
      <c r="GN160" s="1087">
        <f>((GL160*GD157)+(GM160*GE157))/GF157</f>
        <v>0.125510204081633</v>
      </c>
      <c r="GO160" s="1087">
        <v>0.1</v>
      </c>
      <c r="GP160" s="1083">
        <f>(GD157*GL160+GE157*GM160+GG157*GO160)/GH157</f>
        <v>0.117667844522968</v>
      </c>
      <c r="GQ160" s="1083">
        <v>0.9</v>
      </c>
      <c r="GR160" s="1083">
        <f>(GG157*GO160+GI157*GQ160)/GJ157</f>
        <v>0.251552795031056</v>
      </c>
      <c r="GS160" s="1084">
        <v>0.25</v>
      </c>
      <c r="GT160" s="1087">
        <v>0.15</v>
      </c>
      <c r="GU160" s="1087">
        <v>-0.5</v>
      </c>
      <c r="GV160" s="1087">
        <f>((GT160*GL157)+(GU160*GM157))/GN157</f>
        <v>-0.198922800718133</v>
      </c>
      <c r="GW160" s="1087">
        <v>0.12</v>
      </c>
      <c r="GX160" s="1083"/>
      <c r="GY160" s="1083">
        <v>0.9</v>
      </c>
      <c r="GZ160" s="1083">
        <f>(GO157*GW160+GQ157*GY160)/GR157</f>
        <v>0.515859766277129</v>
      </c>
      <c r="HA160" s="1084">
        <v>-0.08</v>
      </c>
      <c r="HB160" s="1087">
        <v>-0.07</v>
      </c>
      <c r="HC160" s="1087">
        <v>1.15</v>
      </c>
      <c r="HD160" s="1087">
        <f>((HB160*GT157)+(HC160*GU157))/GV157</f>
        <v>0.3265</v>
      </c>
      <c r="HE160" s="1087">
        <v>0.12</v>
      </c>
      <c r="HF160" s="1083"/>
      <c r="HG160" s="1083">
        <v>0.15</v>
      </c>
      <c r="HH160" s="1083"/>
      <c r="HI160" s="1084">
        <v>0.22</v>
      </c>
      <c r="HJ160" s="1087">
        <v>0.2</v>
      </c>
      <c r="HK160" s="1087">
        <v>0.25</v>
      </c>
      <c r="HL160" s="1083"/>
      <c r="HM160" s="1083"/>
      <c r="HN160" s="1083"/>
      <c r="HO160" s="1083"/>
      <c r="HP160" s="1083"/>
      <c r="HQ160" s="1084"/>
      <c r="HR160" s="1083"/>
      <c r="HS160" s="1083"/>
      <c r="HT160" s="1083"/>
      <c r="HU160" s="1083"/>
      <c r="HV160" s="1083"/>
      <c r="HW160" s="1083"/>
      <c r="HX160" s="1083"/>
      <c r="HY160" s="1083"/>
      <c r="HZ160" s="1083">
        <v>-0.01</v>
      </c>
      <c r="IA160" s="1083">
        <v>-0.08</v>
      </c>
      <c r="IB160" s="1083"/>
      <c r="IC160" s="1083">
        <v>0.1</v>
      </c>
      <c r="ID160" s="1083"/>
      <c r="IE160" s="1083">
        <v>0.07</v>
      </c>
      <c r="IF160" s="1083"/>
      <c r="IG160" s="1084">
        <v>0.02</v>
      </c>
      <c r="IH160" s="1083">
        <v>0.1</v>
      </c>
      <c r="II160" s="1083">
        <v>0.07</v>
      </c>
      <c r="IJ160" s="1083"/>
      <c r="IK160" s="1083">
        <v>0.01</v>
      </c>
      <c r="IL160" s="1083"/>
      <c r="IM160" s="1083">
        <v>0.07</v>
      </c>
      <c r="IN160" s="1083"/>
      <c r="IO160" s="1084">
        <v>0.02</v>
      </c>
      <c r="IP160" s="1083">
        <v>0.13</v>
      </c>
      <c r="IQ160" s="1083">
        <v>0.2</v>
      </c>
      <c r="IR160" s="1181"/>
      <c r="IS160" s="1181"/>
      <c r="IT160" s="1181"/>
      <c r="IU160" s="1181"/>
      <c r="IV160" s="1181"/>
      <c r="IW160" s="1181"/>
      <c r="IX160" s="1178"/>
      <c r="IY160" s="1178"/>
      <c r="IZ160" s="1178"/>
      <c r="JA160" s="1178" t="s">
        <v>535</v>
      </c>
      <c r="JB160" s="1083">
        <f>1*(1+DZ160)*(1+EH160)*(1+EP160)-1</f>
        <v>0.731951</v>
      </c>
      <c r="JC160" s="1083">
        <f>1*(1+EA160)*(1+EI160)*(1+EQ160)-1</f>
        <v>0.34801164113906</v>
      </c>
      <c r="JD160" s="1083">
        <f>1*(1+EC160)*(1+EK160)*(1+ES160)-1</f>
        <v>0.315391707854353</v>
      </c>
      <c r="JE160" s="1083">
        <f>1*(1+EE160)*(1+EM160)*(1+EU160)-1</f>
        <v>0.579228450458395</v>
      </c>
      <c r="JF160" s="1126"/>
      <c r="JG160" s="1083">
        <f>1*(1+EH160)*(1+EP160)*(1+EX160)-1</f>
        <v>0.287861</v>
      </c>
      <c r="JH160" s="1126"/>
      <c r="JI160" s="1083">
        <f>1*(1+EI160)*(1+EQ160)*(1+EY160)-1</f>
        <v>0.273004607394538</v>
      </c>
      <c r="JJ160" s="1126"/>
      <c r="JK160" s="1083">
        <f>1*(1+EK160)*(1+ES160)*(1+FA160)-1</f>
        <v>0.053171930357143</v>
      </c>
      <c r="JL160" s="1083">
        <f>1*(1+EM160)*(1+EU160)*(1+FC160)-1</f>
        <v>0.301151610491937</v>
      </c>
      <c r="JM160" s="1126"/>
      <c r="JN160" s="1083">
        <f>1*(1+EP160)*(1+EX160)*(1+FF160)-1</f>
        <v>-0.11521</v>
      </c>
      <c r="JO160" s="1126"/>
      <c r="JP160" s="1083">
        <f>1*(1+EQ160)*(1+EY160)*(1+FG160)-1</f>
        <v>-0.170990391445927</v>
      </c>
      <c r="JQ160" s="1083">
        <f>1*(1+ES160)*(1+FA160)*(1+FI160)-1</f>
        <v>0.143127328603142</v>
      </c>
      <c r="JR160" s="1083">
        <f>1*(1+EU160)*(1+FC160)*(1+FK160)-1</f>
        <v>0.0564171193339731</v>
      </c>
      <c r="JS160" s="1083">
        <f>1*(1+EX160)*(1+FF160)*(1+FN160)-1</f>
        <v>-0.13087</v>
      </c>
      <c r="JT160" s="1083">
        <f>1*(1+EY160)*(1+FG160)*(1+FO160)-1</f>
        <v>-0.0619519714393731</v>
      </c>
      <c r="JU160" s="1083">
        <f>1*(1+FA160)*(1+FI160)*(1+FQ160)-1</f>
        <v>0.0536024754098361</v>
      </c>
      <c r="JV160" s="1083">
        <f>1*(1+FC160)*(1+FK160)*(1+FS160)-1</f>
        <v>-0.201934103114812</v>
      </c>
      <c r="KP160" s="1203"/>
      <c r="LV160" s="1127"/>
    </row>
    <row r="161" s="1024" customFormat="1" spans="1:334">
      <c r="A161" s="967" t="s">
        <v>66</v>
      </c>
      <c r="B161" s="1121"/>
      <c r="C161" s="1121"/>
      <c r="D161" s="1121"/>
      <c r="E161" s="1121"/>
      <c r="F161" s="1121"/>
      <c r="G161" s="1121"/>
      <c r="H161" s="1121"/>
      <c r="I161" s="1121"/>
      <c r="J161" s="1121"/>
      <c r="K161" s="1121"/>
      <c r="L161" s="1121"/>
      <c r="M161" s="1121"/>
      <c r="N161" s="1121"/>
      <c r="O161" s="1121"/>
      <c r="P161" s="1121"/>
      <c r="Q161" s="1121"/>
      <c r="R161" s="1121"/>
      <c r="S161" s="1121"/>
      <c r="T161" s="1121"/>
      <c r="U161" s="1121"/>
      <c r="V161" s="1121"/>
      <c r="W161" s="1121"/>
      <c r="X161" s="1121"/>
      <c r="Y161" s="1121"/>
      <c r="Z161" s="1121"/>
      <c r="AA161" s="1121"/>
      <c r="AB161" s="1121"/>
      <c r="AC161" s="1121"/>
      <c r="AD161" s="1121"/>
      <c r="AE161" s="1121"/>
      <c r="AF161" s="1121"/>
      <c r="AG161" s="1121"/>
      <c r="AH161" s="1121"/>
      <c r="AI161" s="1121"/>
      <c r="AJ161" s="1121"/>
      <c r="AK161" s="1121"/>
      <c r="AL161" s="1121"/>
      <c r="AM161" s="1121"/>
      <c r="AN161" s="1121"/>
      <c r="AO161" s="1121"/>
      <c r="AP161" s="1121"/>
      <c r="AQ161" s="1121"/>
      <c r="AR161" s="1121"/>
      <c r="AS161" s="1121"/>
      <c r="AT161" s="1121"/>
      <c r="AU161" s="1121"/>
      <c r="AV161" s="1121"/>
      <c r="AW161" s="1121"/>
      <c r="AX161" s="1122"/>
      <c r="AY161" s="1121"/>
      <c r="AZ161" s="1121"/>
      <c r="BA161" s="1121"/>
      <c r="BB161" s="1121"/>
      <c r="BC161" s="1121"/>
      <c r="BD161" s="1121"/>
      <c r="BE161" s="1123"/>
      <c r="BF161" s="1121"/>
      <c r="BG161" s="1121"/>
      <c r="BH161" s="1121"/>
      <c r="BI161" s="1121"/>
      <c r="BJ161" s="1121"/>
      <c r="BK161" s="1121"/>
      <c r="BL161" s="1121"/>
      <c r="BM161" s="1121"/>
      <c r="BN161" s="1122"/>
      <c r="BO161" s="1121"/>
      <c r="BP161" s="1121"/>
      <c r="BQ161" s="1121"/>
      <c r="BR161" s="1121"/>
      <c r="BS161" s="1121"/>
      <c r="BT161" s="1121"/>
      <c r="BU161" s="1123"/>
      <c r="BV161" s="1122"/>
      <c r="BW161" s="1121"/>
      <c r="BX161" s="1121"/>
      <c r="BY161" s="1121"/>
      <c r="BZ161" s="1121"/>
      <c r="CA161" s="1121"/>
      <c r="CB161" s="1121"/>
      <c r="CC161" s="1123"/>
      <c r="CD161" s="1122"/>
      <c r="CE161" s="1121"/>
      <c r="CF161" s="1121"/>
      <c r="CG161" s="1121"/>
      <c r="CH161" s="1121"/>
      <c r="CI161" s="1121"/>
      <c r="CJ161" s="917"/>
      <c r="CK161" s="1123"/>
      <c r="CL161" s="1122"/>
      <c r="CM161" s="1121"/>
      <c r="CN161" s="1121"/>
      <c r="CO161" s="1121"/>
      <c r="CP161" s="1121"/>
      <c r="CQ161" s="1121"/>
      <c r="CR161" s="1121"/>
      <c r="CS161" s="1123"/>
      <c r="CT161" s="1122"/>
      <c r="CU161" s="1121"/>
      <c r="CV161" s="1121"/>
      <c r="CW161" s="1205"/>
      <c r="CX161" s="1205"/>
      <c r="CY161" s="1121"/>
      <c r="CZ161" s="1121"/>
      <c r="DA161" s="1121"/>
      <c r="DB161" s="1114"/>
      <c r="DC161" s="1114"/>
      <c r="DD161" s="1114"/>
      <c r="DE161" s="1206"/>
      <c r="DF161" s="1206"/>
      <c r="DG161" s="1114"/>
      <c r="DH161" s="1114"/>
      <c r="DI161" s="1207"/>
      <c r="DJ161" s="1083"/>
      <c r="DK161" s="1083"/>
      <c r="DL161" s="1083"/>
      <c r="DM161" s="1083"/>
      <c r="DN161" s="1083"/>
      <c r="DO161" s="1083"/>
      <c r="DP161" s="1083"/>
      <c r="DQ161" s="1084">
        <f>DQ157/DQ$162</f>
        <v>0.106444465851074</v>
      </c>
      <c r="DR161" s="1083">
        <f t="shared" ref="DR161:DY161" si="848">DR157/DR$162</f>
        <v>0.101720269259536</v>
      </c>
      <c r="DS161" s="1083">
        <f t="shared" si="848"/>
        <v>0.121056241426612</v>
      </c>
      <c r="DT161" s="1083">
        <f t="shared" si="848"/>
        <v>0.111806797853309</v>
      </c>
      <c r="DU161" s="1083">
        <f t="shared" si="848"/>
        <v>0.0922456039204382</v>
      </c>
      <c r="DV161" s="1083">
        <f t="shared" si="848"/>
        <v>0.104316149685396</v>
      </c>
      <c r="DW161" s="1083">
        <f t="shared" si="848"/>
        <v>0.0941658137154555</v>
      </c>
      <c r="DX161" s="1083">
        <f t="shared" si="848"/>
        <v>0.093125</v>
      </c>
      <c r="DY161" s="1084">
        <f t="shared" si="848"/>
        <v>0.101834862385321</v>
      </c>
      <c r="DZ161" s="1083">
        <f t="shared" ref="DZ161:EH161" si="849">DZ157/DZ$162</f>
        <v>0.101130461350443</v>
      </c>
      <c r="EA161" s="1083">
        <f t="shared" si="849"/>
        <v>0.114845024469821</v>
      </c>
      <c r="EB161" s="1083">
        <f t="shared" si="849"/>
        <v>0.107762701167561</v>
      </c>
      <c r="EC161" s="1083">
        <f t="shared" si="849"/>
        <v>0.0935078813785733</v>
      </c>
      <c r="ED161" s="1083">
        <f t="shared" si="849"/>
        <v>0.102469993056244</v>
      </c>
      <c r="EE161" s="1083">
        <f t="shared" si="849"/>
        <v>0.0968836778771984</v>
      </c>
      <c r="EF161" s="1083">
        <f t="shared" si="849"/>
        <v>0.0950744558991982</v>
      </c>
      <c r="EG161" s="1084">
        <f t="shared" si="849"/>
        <v>0.101110944302657</v>
      </c>
      <c r="EH161" s="1083">
        <f t="shared" si="849"/>
        <v>0.117416317991632</v>
      </c>
      <c r="EI161" s="1083">
        <f t="shared" ref="EI161:EO161" si="850">EI157/EI$162</f>
        <v>0.140989198408186</v>
      </c>
      <c r="EJ161" s="1083">
        <f t="shared" si="850"/>
        <v>0.128711522745846</v>
      </c>
      <c r="EK161" s="1083">
        <f t="shared" si="850"/>
        <v>0.0920642531766962</v>
      </c>
      <c r="EL161" s="1083">
        <f t="shared" si="850"/>
        <v>0.115434725961956</v>
      </c>
      <c r="EM161" s="1083">
        <f t="shared" si="850"/>
        <v>0.101483679525223</v>
      </c>
      <c r="EN161" s="1083">
        <f t="shared" si="850"/>
        <v>0.0962737037528179</v>
      </c>
      <c r="EO161" s="1084">
        <f t="shared" si="850"/>
        <v>0.112275750856682</v>
      </c>
      <c r="EP161" s="1083">
        <f t="shared" ref="EP161:EZ161" si="851">EP157/EP$162</f>
        <v>0.131964809384164</v>
      </c>
      <c r="EQ161" s="1083">
        <f t="shared" si="851"/>
        <v>0.143068282589418</v>
      </c>
      <c r="ER161" s="1083">
        <f t="shared" si="851"/>
        <v>0.137230165405102</v>
      </c>
      <c r="ES161" s="1083">
        <f t="shared" si="851"/>
        <v>0.102088167053364</v>
      </c>
      <c r="ET161" s="1083">
        <f t="shared" si="851"/>
        <v>0.124852447107963</v>
      </c>
      <c r="EU161" s="1083">
        <f t="shared" si="851"/>
        <v>0.135067376997806</v>
      </c>
      <c r="EV161" s="1083">
        <f t="shared" si="851"/>
        <v>0.116973125884017</v>
      </c>
      <c r="EW161" s="1084">
        <f t="shared" si="851"/>
        <v>0.127147282455646</v>
      </c>
      <c r="EX161" s="1083">
        <f t="shared" si="851"/>
        <v>0.114633455986414</v>
      </c>
      <c r="EY161" s="1083">
        <f t="shared" si="851"/>
        <v>0.126984126984127</v>
      </c>
      <c r="EZ161" s="1083">
        <f t="shared" si="851"/>
        <v>0.120748785367248</v>
      </c>
      <c r="FA161" s="1083">
        <f t="shared" ref="FA161:FL161" si="852">FA157/FA$162</f>
        <v>0.088856518572469</v>
      </c>
      <c r="FB161" s="1083">
        <f t="shared" si="852"/>
        <v>0.108932265899073</v>
      </c>
      <c r="FC161" s="1083">
        <f t="shared" si="852"/>
        <v>0.112964588820603</v>
      </c>
      <c r="FD161" s="1083">
        <f t="shared" si="852"/>
        <v>0.0997876857749469</v>
      </c>
      <c r="FE161" s="1084">
        <f t="shared" si="852"/>
        <v>0.109880280721068</v>
      </c>
      <c r="FF161" s="1083">
        <f t="shared" si="852"/>
        <v>0.0979911807937286</v>
      </c>
      <c r="FG161" s="1083">
        <f t="shared" si="852"/>
        <v>0.10621960583568</v>
      </c>
      <c r="FH161" s="1083">
        <f t="shared" si="852"/>
        <v>0.102015270997622</v>
      </c>
      <c r="FI161" s="1083">
        <f t="shared" si="852"/>
        <v>0.0876234503046859</v>
      </c>
      <c r="FJ161" s="1083">
        <f t="shared" si="852"/>
        <v>0.0966426106055852</v>
      </c>
      <c r="FK161" s="1083">
        <f t="shared" si="852"/>
        <v>0.0847132229421646</v>
      </c>
      <c r="FL161" s="1083">
        <f t="shared" si="852"/>
        <v>0.0862648442751512</v>
      </c>
      <c r="FM161" s="1084">
        <f t="shared" ref="FM161:FW161" si="853">FM157/FM$162</f>
        <v>0.0937038131835649</v>
      </c>
      <c r="FN161" s="1083">
        <f t="shared" si="853"/>
        <v>0.0901656531767666</v>
      </c>
      <c r="FO161" s="1083">
        <f t="shared" si="853"/>
        <v>0.103346901854365</v>
      </c>
      <c r="FP161" s="1083">
        <f t="shared" si="853"/>
        <v>0.0965074529430965</v>
      </c>
      <c r="FQ161" s="1083">
        <f t="shared" si="853"/>
        <v>0.0792682926829268</v>
      </c>
      <c r="FR161" s="1083">
        <f t="shared" si="853"/>
        <v>0.0901184688077792</v>
      </c>
      <c r="FS161" s="1083">
        <f t="shared" si="853"/>
        <v>0.0778417573043293</v>
      </c>
      <c r="FT161" s="1083">
        <f t="shared" si="853"/>
        <v>0.0786060786060786</v>
      </c>
      <c r="FU161" s="1083">
        <f t="shared" si="853"/>
        <v>0.0871345635496579</v>
      </c>
      <c r="FV161" s="1086">
        <f t="shared" si="853"/>
        <v>0.0460804112355425</v>
      </c>
      <c r="FW161" s="1087">
        <f t="shared" si="853"/>
        <v>0.0520047637951568</v>
      </c>
      <c r="FX161" s="1087">
        <f>FX157/FX$216</f>
        <v>0.0489317054559329</v>
      </c>
      <c r="FY161" s="1083">
        <f t="shared" ref="FY161:GE161" si="854">FY157/FY$162</f>
        <v>0.0470318830368152</v>
      </c>
      <c r="FZ161" s="1083">
        <f t="shared" si="854"/>
        <v>0.0482613537928474</v>
      </c>
      <c r="GA161" s="1083">
        <f t="shared" si="854"/>
        <v>0.0522151898734177</v>
      </c>
      <c r="GB161" s="1083">
        <f t="shared" si="854"/>
        <v>0.0494735861362154</v>
      </c>
      <c r="GC161" s="1084">
        <f t="shared" si="854"/>
        <v>0.049203506456782</v>
      </c>
      <c r="GD161" s="1086">
        <f t="shared" si="854"/>
        <v>0.0584099513250406</v>
      </c>
      <c r="GE161" s="1087">
        <f t="shared" si="854"/>
        <v>0.0501805740353545</v>
      </c>
      <c r="GF161" s="1087">
        <f>GF157/GF$216</f>
        <v>0.0543991118512351</v>
      </c>
      <c r="GG161" s="1087">
        <f>GG157/GG$162</f>
        <v>0.0444406606504342</v>
      </c>
      <c r="GH161" s="1083">
        <f t="shared" ref="GH161:GM161" si="855">GH157/GH$162</f>
        <v>0.0508962292428512</v>
      </c>
      <c r="GI161" s="1083">
        <f t="shared" si="855"/>
        <v>0.011654566297287</v>
      </c>
      <c r="GJ161" s="1083">
        <f t="shared" si="855"/>
        <v>0.0289907265688305</v>
      </c>
      <c r="GK161" s="1084">
        <f t="shared" si="855"/>
        <v>0.0415240702715035</v>
      </c>
      <c r="GL161" s="1087">
        <f t="shared" si="855"/>
        <v>0.0438477226376615</v>
      </c>
      <c r="GM161" s="1087">
        <f t="shared" si="855"/>
        <v>0.0542748230168815</v>
      </c>
      <c r="GN161" s="1087">
        <f>GN157/GN$216</f>
        <v>0.0488939606741573</v>
      </c>
      <c r="GO161" s="1087">
        <f>GO157/GO$162</f>
        <v>0.0460218408736349</v>
      </c>
      <c r="GP161" s="1083">
        <f t="shared" ref="GP161:GU161" si="856">GP157/GP$162</f>
        <v>0.047857102735494</v>
      </c>
      <c r="GQ161" s="1083">
        <f t="shared" si="856"/>
        <v>0.0520815487407915</v>
      </c>
      <c r="GR161" s="1083">
        <f t="shared" si="856"/>
        <v>0.0489099371274598</v>
      </c>
      <c r="GS161" s="1084">
        <f t="shared" si="856"/>
        <v>0.0489001692047377</v>
      </c>
      <c r="GT161" s="1087">
        <f t="shared" si="856"/>
        <v>0.0624868504102672</v>
      </c>
      <c r="GU161" s="1087">
        <f t="shared" si="856"/>
        <v>0.0399552947750768</v>
      </c>
      <c r="GV161" s="1087">
        <f>GV157/GV$216</f>
        <v>0.0528106867705749</v>
      </c>
      <c r="GW161" s="1087">
        <f>GW157/GW$162</f>
        <v>0.0534786253143336</v>
      </c>
      <c r="GX161" s="1083"/>
      <c r="GY161" s="1083">
        <f t="shared" ref="GY161:HC161" si="857">GY157/GY$162</f>
        <v>0.0518066824572897</v>
      </c>
      <c r="GZ161" s="1083">
        <f t="shared" si="857"/>
        <v>0.0521931184128952</v>
      </c>
      <c r="HA161" s="1084">
        <f t="shared" si="857"/>
        <v>0.0518066824572897</v>
      </c>
      <c r="HB161" s="1087">
        <f t="shared" si="857"/>
        <v>0.0476461655277145</v>
      </c>
      <c r="HC161" s="1087">
        <f t="shared" si="857"/>
        <v>0.0573173133740398</v>
      </c>
      <c r="HD161" s="1087">
        <f>HD157/HD$216</f>
        <v>0.0523924601256646</v>
      </c>
      <c r="HE161" s="1087">
        <f>HE157/HE$162</f>
        <v>0.0594679186228482</v>
      </c>
      <c r="HF161" s="1083"/>
      <c r="HG161" s="1083">
        <f t="shared" ref="HG161" si="858">HG157/HG$162</f>
        <v>0.0589838427097528</v>
      </c>
      <c r="HH161" s="1083"/>
      <c r="HI161" s="1084">
        <f>HI157/HI$162</f>
        <v>0.055903546366505</v>
      </c>
      <c r="HJ161" s="1087">
        <f>HJ157/HJ$162</f>
        <v>0.0590343266691813</v>
      </c>
      <c r="HK161" s="1087">
        <f>HK157/HK$162</f>
        <v>0.0693476318141198</v>
      </c>
      <c r="HL161" s="1083"/>
      <c r="HM161" s="1083"/>
      <c r="HN161" s="1083"/>
      <c r="HO161" s="1083"/>
      <c r="HP161" s="1083"/>
      <c r="HQ161" s="1084"/>
      <c r="HR161" s="1083"/>
      <c r="HS161" s="1083"/>
      <c r="HT161" s="1083"/>
      <c r="HU161" s="1083"/>
      <c r="HV161" s="1083"/>
      <c r="HW161" s="1083"/>
      <c r="HX161" s="1083"/>
      <c r="HY161" s="1083"/>
      <c r="HZ161" s="1083"/>
      <c r="IA161" s="1083"/>
      <c r="IB161" s="1083"/>
      <c r="IC161" s="1083"/>
      <c r="ID161" s="1083"/>
      <c r="IE161" s="1083"/>
      <c r="IF161" s="1083"/>
      <c r="IG161" s="1084">
        <f>IG157/$IG$162</f>
        <v>0.0485824686319629</v>
      </c>
      <c r="IH161" s="1083"/>
      <c r="II161" s="1083"/>
      <c r="IJ161" s="1083"/>
      <c r="IK161" s="1083"/>
      <c r="IL161" s="1083"/>
      <c r="IM161" s="1083"/>
      <c r="IN161" s="1083"/>
      <c r="IO161" s="1084">
        <f>IO157/$IG$162</f>
        <v>0.0788433986020058</v>
      </c>
      <c r="IP161" s="1083"/>
      <c r="IQ161" s="1083"/>
      <c r="IR161" s="1181"/>
      <c r="IS161" s="1181"/>
      <c r="IT161" s="1181"/>
      <c r="IU161" s="1181"/>
      <c r="IV161" s="1181"/>
      <c r="IW161" s="1181"/>
      <c r="IX161" s="1178"/>
      <c r="IY161" s="1178"/>
      <c r="IZ161" s="1178"/>
      <c r="JA161" s="1178"/>
      <c r="JB161" s="1178"/>
      <c r="JC161" s="1178"/>
      <c r="JD161" s="1125"/>
      <c r="JE161" s="1126"/>
      <c r="JF161" s="1126"/>
      <c r="JG161" s="1126"/>
      <c r="JH161" s="1126"/>
      <c r="KP161" s="1203"/>
      <c r="LV161" s="1127"/>
    </row>
    <row r="162" s="1024" customFormat="1" spans="1:334">
      <c r="A162" s="1204" t="s">
        <v>212</v>
      </c>
      <c r="B162" s="1121"/>
      <c r="C162" s="1121"/>
      <c r="D162" s="1121"/>
      <c r="E162" s="1121"/>
      <c r="F162" s="1121"/>
      <c r="G162" s="1121"/>
      <c r="H162" s="1121"/>
      <c r="I162" s="1121"/>
      <c r="J162" s="1121"/>
      <c r="K162" s="1121"/>
      <c r="L162" s="1121"/>
      <c r="M162" s="1121"/>
      <c r="N162" s="1121"/>
      <c r="O162" s="1121"/>
      <c r="P162" s="1121"/>
      <c r="Q162" s="1121"/>
      <c r="R162" s="1121"/>
      <c r="S162" s="1121"/>
      <c r="T162" s="1121"/>
      <c r="U162" s="1121"/>
      <c r="V162" s="1121"/>
      <c r="W162" s="1121"/>
      <c r="X162" s="1121"/>
      <c r="Y162" s="1121"/>
      <c r="Z162" s="1121"/>
      <c r="AA162" s="1121"/>
      <c r="AB162" s="1121"/>
      <c r="AC162" s="1121"/>
      <c r="AD162" s="1121"/>
      <c r="AE162" s="1121"/>
      <c r="AF162" s="1121"/>
      <c r="AG162" s="1121"/>
      <c r="AH162" s="1121"/>
      <c r="AI162" s="1121"/>
      <c r="AJ162" s="1121"/>
      <c r="AK162" s="1121"/>
      <c r="AL162" s="1121"/>
      <c r="AM162" s="1121"/>
      <c r="AN162" s="1121"/>
      <c r="AO162" s="1121"/>
      <c r="AP162" s="1121"/>
      <c r="AQ162" s="1121"/>
      <c r="AR162" s="1121"/>
      <c r="AS162" s="1121"/>
      <c r="AT162" s="1121"/>
      <c r="AU162" s="1121"/>
      <c r="AV162" s="1121"/>
      <c r="AW162" s="1121"/>
      <c r="AX162" s="1122"/>
      <c r="AY162" s="1121"/>
      <c r="AZ162" s="1121"/>
      <c r="BA162" s="1121"/>
      <c r="BB162" s="1121"/>
      <c r="BC162" s="1121"/>
      <c r="BD162" s="1121"/>
      <c r="BE162" s="1123"/>
      <c r="BF162" s="1121"/>
      <c r="BG162" s="1121"/>
      <c r="BH162" s="1121"/>
      <c r="BI162" s="1121"/>
      <c r="BJ162" s="1121"/>
      <c r="BK162" s="1121"/>
      <c r="BL162" s="1121"/>
      <c r="BM162" s="1121"/>
      <c r="BN162" s="1122"/>
      <c r="BO162" s="1121"/>
      <c r="BP162" s="1121"/>
      <c r="BQ162" s="1121"/>
      <c r="BR162" s="1121"/>
      <c r="BS162" s="1121"/>
      <c r="BT162" s="1121"/>
      <c r="BU162" s="1123"/>
      <c r="BV162" s="1122"/>
      <c r="BW162" s="1121"/>
      <c r="BX162" s="1121"/>
      <c r="BY162" s="1121"/>
      <c r="BZ162" s="1121"/>
      <c r="CA162" s="1121"/>
      <c r="CB162" s="1121"/>
      <c r="CC162" s="1123"/>
      <c r="CD162" s="1122"/>
      <c r="CE162" s="1121"/>
      <c r="CF162" s="1121"/>
      <c r="CG162" s="1121"/>
      <c r="CH162" s="1121"/>
      <c r="CI162" s="1121"/>
      <c r="CJ162" s="917"/>
      <c r="CK162" s="1123"/>
      <c r="CL162" s="1122"/>
      <c r="CM162" s="1121"/>
      <c r="CN162" s="1121"/>
      <c r="CO162" s="1121"/>
      <c r="CP162" s="1121"/>
      <c r="CQ162" s="1121"/>
      <c r="CR162" s="1121"/>
      <c r="CS162" s="1123"/>
      <c r="CT162" s="1122"/>
      <c r="CU162" s="1121"/>
      <c r="CV162" s="1121"/>
      <c r="CW162" s="1205"/>
      <c r="CX162" s="1205"/>
      <c r="CY162" s="1121"/>
      <c r="CZ162" s="1121"/>
      <c r="DA162" s="1121"/>
      <c r="DB162" s="1114"/>
      <c r="DC162" s="1114"/>
      <c r="DD162" s="1114"/>
      <c r="DE162" s="1206"/>
      <c r="DF162" s="1206"/>
      <c r="DG162" s="1114"/>
      <c r="DH162" s="1114"/>
      <c r="DI162" s="1207"/>
      <c r="DJ162" s="1208"/>
      <c r="DK162" s="1208"/>
      <c r="DL162" s="1208"/>
      <c r="DM162" s="1208"/>
      <c r="DN162" s="1208"/>
      <c r="DO162" s="1208"/>
      <c r="DP162" s="1208"/>
      <c r="DQ162" s="1212">
        <f>DQ127</f>
        <v>10381</v>
      </c>
      <c r="DR162" s="1208">
        <f t="shared" ref="DR162:EP162" si="859">DR147+DR152+DR157</f>
        <v>2674</v>
      </c>
      <c r="DS162" s="1208">
        <f t="shared" si="859"/>
        <v>2916</v>
      </c>
      <c r="DT162" s="1208">
        <f t="shared" si="859"/>
        <v>5590</v>
      </c>
      <c r="DU162" s="1208">
        <f t="shared" si="859"/>
        <v>3469</v>
      </c>
      <c r="DV162" s="1208">
        <f t="shared" si="859"/>
        <v>9059</v>
      </c>
      <c r="DW162" s="1208">
        <f t="shared" si="859"/>
        <v>2931</v>
      </c>
      <c r="DX162" s="1208">
        <f t="shared" si="859"/>
        <v>6400</v>
      </c>
      <c r="DY162" s="1212">
        <f t="shared" si="859"/>
        <v>11990</v>
      </c>
      <c r="DZ162" s="1208">
        <f t="shared" si="859"/>
        <v>3273</v>
      </c>
      <c r="EA162" s="1208">
        <f t="shared" si="859"/>
        <v>3065</v>
      </c>
      <c r="EB162" s="1208">
        <f t="shared" si="859"/>
        <v>6338</v>
      </c>
      <c r="EC162" s="1208">
        <f t="shared" si="859"/>
        <v>3743</v>
      </c>
      <c r="ED162" s="1208">
        <f t="shared" si="859"/>
        <v>10081</v>
      </c>
      <c r="EE162" s="1208">
        <f t="shared" si="859"/>
        <v>3241</v>
      </c>
      <c r="EF162" s="1208">
        <f t="shared" si="859"/>
        <v>6984</v>
      </c>
      <c r="EG162" s="1212">
        <f t="shared" si="859"/>
        <v>13322</v>
      </c>
      <c r="EH162" s="1208">
        <f t="shared" si="859"/>
        <v>3824</v>
      </c>
      <c r="EI162" s="1208">
        <f t="shared" si="859"/>
        <v>3518</v>
      </c>
      <c r="EJ162" s="1208">
        <f t="shared" si="859"/>
        <v>7342</v>
      </c>
      <c r="EK162" s="1208">
        <f t="shared" si="859"/>
        <v>4171</v>
      </c>
      <c r="EL162" s="1208">
        <f t="shared" si="859"/>
        <v>11513</v>
      </c>
      <c r="EM162" s="1208">
        <f t="shared" si="859"/>
        <v>3370</v>
      </c>
      <c r="EN162" s="1208">
        <f t="shared" si="859"/>
        <v>7541</v>
      </c>
      <c r="EO162" s="1212">
        <f t="shared" si="859"/>
        <v>14883</v>
      </c>
      <c r="EP162" s="1208">
        <f t="shared" si="859"/>
        <v>3751</v>
      </c>
      <c r="EQ162" s="1208">
        <f>ER162-EP162</f>
        <v>3383</v>
      </c>
      <c r="ER162" s="1208">
        <f t="shared" ref="ER162:EX162" si="860">ER147+ER152+ER157</f>
        <v>7134</v>
      </c>
      <c r="ES162" s="1208">
        <f t="shared" si="860"/>
        <v>3879</v>
      </c>
      <c r="ET162" s="1208">
        <f t="shared" si="860"/>
        <v>11013</v>
      </c>
      <c r="EU162" s="1208">
        <f t="shared" si="860"/>
        <v>3191</v>
      </c>
      <c r="EV162" s="1208">
        <f t="shared" si="860"/>
        <v>7070</v>
      </c>
      <c r="EW162" s="1212">
        <f t="shared" si="860"/>
        <v>14204</v>
      </c>
      <c r="EX162" s="1208">
        <f t="shared" si="860"/>
        <v>3533</v>
      </c>
      <c r="EY162" s="1208">
        <f t="shared" ref="EY162:FL162" si="861">EY147+EY152+EY157</f>
        <v>3465</v>
      </c>
      <c r="EZ162" s="1208">
        <f t="shared" si="861"/>
        <v>6998</v>
      </c>
      <c r="FA162" s="1208">
        <f t="shared" si="861"/>
        <v>4119</v>
      </c>
      <c r="FB162" s="1208">
        <f t="shared" si="861"/>
        <v>11117</v>
      </c>
      <c r="FC162" s="1208">
        <f t="shared" si="861"/>
        <v>3417</v>
      </c>
      <c r="FD162" s="1208">
        <f t="shared" si="861"/>
        <v>7536</v>
      </c>
      <c r="FE162" s="1212">
        <f t="shared" si="861"/>
        <v>14534</v>
      </c>
      <c r="FF162" s="1208">
        <f t="shared" si="861"/>
        <v>4082</v>
      </c>
      <c r="FG162" s="1208">
        <f t="shared" si="861"/>
        <v>3907</v>
      </c>
      <c r="FH162" s="1208">
        <f t="shared" si="861"/>
        <v>7989</v>
      </c>
      <c r="FI162" s="1208">
        <f t="shared" si="861"/>
        <v>4759</v>
      </c>
      <c r="FJ162" s="1208">
        <f t="shared" si="861"/>
        <v>12748</v>
      </c>
      <c r="FK162" s="1208">
        <f t="shared" si="861"/>
        <v>4167</v>
      </c>
      <c r="FL162" s="1208">
        <f t="shared" si="861"/>
        <v>8926</v>
      </c>
      <c r="FM162" s="1212">
        <f t="shared" ref="FM162:FR162" si="862">FM147+FM152+FM157</f>
        <v>16915</v>
      </c>
      <c r="FN162" s="1208">
        <f t="shared" si="862"/>
        <v>4769</v>
      </c>
      <c r="FO162" s="1208">
        <f t="shared" si="862"/>
        <v>4422</v>
      </c>
      <c r="FP162" s="1208">
        <f t="shared" si="862"/>
        <v>9191</v>
      </c>
      <c r="FQ162" s="1208">
        <f t="shared" si="862"/>
        <v>5412</v>
      </c>
      <c r="FR162" s="1208">
        <f t="shared" si="862"/>
        <v>14603</v>
      </c>
      <c r="FS162" s="1208">
        <f t="shared" ref="FS162:FZ162" si="863">FS147+FS152+FS157</f>
        <v>4689</v>
      </c>
      <c r="FT162" s="1208">
        <f t="shared" si="863"/>
        <v>10101</v>
      </c>
      <c r="FU162" s="1208">
        <f t="shared" si="863"/>
        <v>19292</v>
      </c>
      <c r="FV162" s="1214">
        <f t="shared" si="863"/>
        <v>5447</v>
      </c>
      <c r="FW162" s="1211">
        <f t="shared" si="863"/>
        <v>5038</v>
      </c>
      <c r="FX162" s="1211">
        <f t="shared" si="863"/>
        <v>10485</v>
      </c>
      <c r="FY162" s="1208">
        <f t="shared" si="863"/>
        <v>5677</v>
      </c>
      <c r="FZ162" s="1208">
        <f t="shared" si="863"/>
        <v>16162</v>
      </c>
      <c r="GA162" s="1208">
        <f t="shared" ref="GA162:GC162" si="864">GA147+GA152+GA157</f>
        <v>5056</v>
      </c>
      <c r="GB162" s="1208">
        <f t="shared" si="864"/>
        <v>10733</v>
      </c>
      <c r="GC162" s="1212">
        <f t="shared" si="864"/>
        <v>21218</v>
      </c>
      <c r="GD162" s="1214">
        <f t="shared" ref="GD162:GK162" si="865">GD147+GD152+GD157</f>
        <v>5547</v>
      </c>
      <c r="GE162" s="1211">
        <f t="shared" si="865"/>
        <v>5261</v>
      </c>
      <c r="GF162" s="1211">
        <f t="shared" si="865"/>
        <v>10808</v>
      </c>
      <c r="GG162" s="1211">
        <f t="shared" si="865"/>
        <v>5873</v>
      </c>
      <c r="GH162" s="1208">
        <f t="shared" si="865"/>
        <v>16681</v>
      </c>
      <c r="GI162" s="1208">
        <f t="shared" si="865"/>
        <v>5234</v>
      </c>
      <c r="GJ162" s="1208">
        <f t="shared" si="865"/>
        <v>11107</v>
      </c>
      <c r="GK162" s="1212">
        <f t="shared" si="865"/>
        <v>21915</v>
      </c>
      <c r="GL162" s="1211">
        <f t="shared" ref="GL162:GS162" si="866">GL147+GL152+GL157</f>
        <v>5884</v>
      </c>
      <c r="GM162" s="1211">
        <f t="shared" si="866"/>
        <v>5509</v>
      </c>
      <c r="GN162" s="1211">
        <f t="shared" si="866"/>
        <v>11393</v>
      </c>
      <c r="GO162" s="1211">
        <f t="shared" si="866"/>
        <v>6410</v>
      </c>
      <c r="GP162" s="1208">
        <f t="shared" si="866"/>
        <v>17803</v>
      </c>
      <c r="GQ162" s="1208">
        <f t="shared" si="866"/>
        <v>5837</v>
      </c>
      <c r="GR162" s="1208">
        <f t="shared" si="866"/>
        <v>12247</v>
      </c>
      <c r="GS162" s="1212">
        <f t="shared" si="866"/>
        <v>23640</v>
      </c>
      <c r="GT162" s="1211">
        <f t="shared" ref="GT162:GW162" si="867">GT147+GT152+GT157</f>
        <v>4753</v>
      </c>
      <c r="GU162" s="1211">
        <f t="shared" si="867"/>
        <v>3579</v>
      </c>
      <c r="GV162" s="1211">
        <f t="shared" si="867"/>
        <v>8332</v>
      </c>
      <c r="GW162" s="1211">
        <f t="shared" si="867"/>
        <v>5965</v>
      </c>
      <c r="GX162" s="1208"/>
      <c r="GY162" s="1208">
        <f t="shared" ref="GY162:HA162" si="868">GY147+GY152+GY157</f>
        <v>19843</v>
      </c>
      <c r="GZ162" s="1208">
        <f t="shared" si="868"/>
        <v>25808</v>
      </c>
      <c r="HA162" s="1212">
        <f t="shared" si="868"/>
        <v>19843</v>
      </c>
      <c r="HB162" s="1211">
        <f t="shared" ref="HB162:HG162" si="869">HB147+HB152+HB157</f>
        <v>5268</v>
      </c>
      <c r="HC162" s="1211">
        <f t="shared" si="869"/>
        <v>5077</v>
      </c>
      <c r="HD162" s="1211">
        <f t="shared" si="869"/>
        <v>10345</v>
      </c>
      <c r="HE162" s="1211">
        <f t="shared" si="869"/>
        <v>5751</v>
      </c>
      <c r="HF162" s="1208"/>
      <c r="HG162" s="1211">
        <f t="shared" si="869"/>
        <v>5137</v>
      </c>
      <c r="HH162" s="1208"/>
      <c r="HI162" s="1212">
        <f t="shared" ref="HI162" si="870">HI147+HI152+HI157</f>
        <v>21233</v>
      </c>
      <c r="HJ162" s="1211">
        <f>HJ216</f>
        <v>5302</v>
      </c>
      <c r="HK162" s="1211">
        <f t="shared" ref="HK162" si="871">HK147+HK152+HK157</f>
        <v>5595</v>
      </c>
      <c r="HL162" s="1208"/>
      <c r="HM162" s="1208"/>
      <c r="HN162" s="1208"/>
      <c r="HO162" s="1208"/>
      <c r="HP162" s="1208"/>
      <c r="HQ162" s="1212"/>
      <c r="HR162" s="1208"/>
      <c r="HS162" s="1208"/>
      <c r="HT162" s="1208"/>
      <c r="HU162" s="1208"/>
      <c r="HV162" s="1208"/>
      <c r="HW162" s="1208"/>
      <c r="HX162" s="1208"/>
      <c r="HY162" s="1208"/>
      <c r="HZ162" s="1208">
        <f>HZ26</f>
        <v>5308</v>
      </c>
      <c r="IA162" s="1208">
        <f>IA26</f>
        <v>5622</v>
      </c>
      <c r="IB162" s="1208"/>
      <c r="IC162" s="1208">
        <f>IC26</f>
        <v>6238</v>
      </c>
      <c r="ID162" s="1208"/>
      <c r="IE162" s="1208">
        <f>IE26</f>
        <v>5865.00000000001</v>
      </c>
      <c r="IF162" s="1208"/>
      <c r="IG162" s="1212">
        <f>IE162+IC162+IA162+HZ162</f>
        <v>23033</v>
      </c>
      <c r="IH162" s="1208">
        <f>IH26</f>
        <v>6153</v>
      </c>
      <c r="II162" s="1208">
        <f>II26</f>
        <v>5952</v>
      </c>
      <c r="IJ162" s="1208"/>
      <c r="IK162" s="1208">
        <f>IK26</f>
        <v>6630</v>
      </c>
      <c r="IL162" s="1208"/>
      <c r="IM162" s="1208">
        <f>IM26</f>
        <v>6076</v>
      </c>
      <c r="IN162" s="1208"/>
      <c r="IO162" s="1212">
        <f>IM162+IK162+II162+IH162</f>
        <v>24811</v>
      </c>
      <c r="IP162" s="1208">
        <f>IP26</f>
        <v>6592</v>
      </c>
      <c r="IQ162" s="1208">
        <f>IQ26</f>
        <v>6743</v>
      </c>
      <c r="IR162" s="1181"/>
      <c r="IS162" s="1181"/>
      <c r="IT162" s="1181"/>
      <c r="IU162" s="1181"/>
      <c r="IV162" s="1181"/>
      <c r="IW162" s="1181"/>
      <c r="IX162" s="1178"/>
      <c r="IY162" s="1178"/>
      <c r="IZ162" s="1178"/>
      <c r="JA162" s="1178"/>
      <c r="JB162" s="1178"/>
      <c r="JC162" s="1178"/>
      <c r="JD162" s="1125"/>
      <c r="JE162" s="1126"/>
      <c r="JF162" s="1126"/>
      <c r="JG162" s="1126"/>
      <c r="JH162" s="1126"/>
      <c r="KP162" s="1203"/>
      <c r="LV162" s="1127"/>
    </row>
    <row r="163" s="1024" customFormat="1" spans="1:334">
      <c r="A163" s="967" t="s">
        <v>61</v>
      </c>
      <c r="B163" s="1121"/>
      <c r="C163" s="1121"/>
      <c r="D163" s="1121"/>
      <c r="E163" s="1121"/>
      <c r="F163" s="1121"/>
      <c r="G163" s="1121"/>
      <c r="H163" s="1121"/>
      <c r="I163" s="1121"/>
      <c r="J163" s="1121"/>
      <c r="K163" s="1121"/>
      <c r="L163" s="1121"/>
      <c r="M163" s="1121"/>
      <c r="N163" s="1121"/>
      <c r="O163" s="1121"/>
      <c r="P163" s="1121"/>
      <c r="Q163" s="1121"/>
      <c r="R163" s="1121"/>
      <c r="S163" s="1121"/>
      <c r="T163" s="1121"/>
      <c r="U163" s="1121"/>
      <c r="V163" s="1121"/>
      <c r="W163" s="1121"/>
      <c r="X163" s="1121"/>
      <c r="Y163" s="1121"/>
      <c r="Z163" s="1121"/>
      <c r="AA163" s="1121"/>
      <c r="AB163" s="1121"/>
      <c r="AC163" s="1121"/>
      <c r="AD163" s="1121"/>
      <c r="AE163" s="1121"/>
      <c r="AF163" s="1121"/>
      <c r="AG163" s="1121"/>
      <c r="AH163" s="1121"/>
      <c r="AI163" s="1121"/>
      <c r="AJ163" s="1121"/>
      <c r="AK163" s="1121"/>
      <c r="AL163" s="1121"/>
      <c r="AM163" s="1121"/>
      <c r="AN163" s="1121"/>
      <c r="AO163" s="1121"/>
      <c r="AP163" s="1121"/>
      <c r="AQ163" s="1121"/>
      <c r="AR163" s="1121"/>
      <c r="AS163" s="1121"/>
      <c r="AT163" s="1121"/>
      <c r="AU163" s="1121"/>
      <c r="AV163" s="1121"/>
      <c r="AW163" s="1121"/>
      <c r="AX163" s="1122"/>
      <c r="AY163" s="1121"/>
      <c r="AZ163" s="1121"/>
      <c r="BA163" s="1121"/>
      <c r="BB163" s="1121"/>
      <c r="BC163" s="1121"/>
      <c r="BD163" s="1121"/>
      <c r="BE163" s="1123"/>
      <c r="BF163" s="1121"/>
      <c r="BG163" s="1121"/>
      <c r="BH163" s="1121"/>
      <c r="BI163" s="1121"/>
      <c r="BJ163" s="1121"/>
      <c r="BK163" s="1121"/>
      <c r="BL163" s="1121"/>
      <c r="BM163" s="1121"/>
      <c r="BN163" s="1122"/>
      <c r="BO163" s="1121"/>
      <c r="BP163" s="1121"/>
      <c r="BQ163" s="1121"/>
      <c r="BR163" s="1121"/>
      <c r="BS163" s="1121"/>
      <c r="BT163" s="1121"/>
      <c r="BU163" s="1123"/>
      <c r="BV163" s="1122"/>
      <c r="BW163" s="1121"/>
      <c r="BX163" s="1121"/>
      <c r="BY163" s="1121"/>
      <c r="BZ163" s="1121"/>
      <c r="CA163" s="1121"/>
      <c r="CB163" s="1121"/>
      <c r="CC163" s="1123"/>
      <c r="CD163" s="1122"/>
      <c r="CE163" s="1121"/>
      <c r="CF163" s="1121"/>
      <c r="CG163" s="1121"/>
      <c r="CH163" s="1121"/>
      <c r="CI163" s="1121"/>
      <c r="CJ163" s="917"/>
      <c r="CK163" s="1123"/>
      <c r="CL163" s="1122"/>
      <c r="CM163" s="1121"/>
      <c r="CN163" s="1121"/>
      <c r="CO163" s="1121"/>
      <c r="CP163" s="1121"/>
      <c r="CQ163" s="1121"/>
      <c r="CR163" s="1121"/>
      <c r="CS163" s="1123"/>
      <c r="CT163" s="1122"/>
      <c r="CU163" s="1121"/>
      <c r="CV163" s="1121"/>
      <c r="CW163" s="1205"/>
      <c r="CX163" s="1205"/>
      <c r="CY163" s="1121"/>
      <c r="CZ163" s="1121"/>
      <c r="DA163" s="1121"/>
      <c r="DB163" s="1114"/>
      <c r="DC163" s="1114"/>
      <c r="DD163" s="1114"/>
      <c r="DE163" s="1206"/>
      <c r="DF163" s="1206"/>
      <c r="DG163" s="1114"/>
      <c r="DH163" s="1114"/>
      <c r="DI163" s="1207"/>
      <c r="DJ163" s="1083"/>
      <c r="DK163" s="1083"/>
      <c r="DL163" s="1083"/>
      <c r="DM163" s="1083"/>
      <c r="DN163" s="1083"/>
      <c r="DO163" s="1083"/>
      <c r="DP163" s="1083"/>
      <c r="DQ163" s="1084"/>
      <c r="DR163" s="1083"/>
      <c r="DS163" s="1083"/>
      <c r="DT163" s="1083"/>
      <c r="DU163" s="1083"/>
      <c r="DV163" s="1083"/>
      <c r="DW163" s="1083"/>
      <c r="DX163" s="1083"/>
      <c r="DY163" s="1084">
        <f t="shared" ref="DY163:EH163" si="872">DY162/DQ162-1</f>
        <v>0.154994701859166</v>
      </c>
      <c r="DZ163" s="1083">
        <f t="shared" si="872"/>
        <v>0.224008975317876</v>
      </c>
      <c r="EA163" s="1083">
        <f t="shared" si="872"/>
        <v>0.0510973936899863</v>
      </c>
      <c r="EB163" s="1083">
        <f t="shared" si="872"/>
        <v>0.133810375670841</v>
      </c>
      <c r="EC163" s="1083">
        <f t="shared" si="872"/>
        <v>0.0789852983568753</v>
      </c>
      <c r="ED163" s="1083">
        <f t="shared" si="872"/>
        <v>0.112815984104206</v>
      </c>
      <c r="EE163" s="1083">
        <f t="shared" si="872"/>
        <v>0.105765950187649</v>
      </c>
      <c r="EF163" s="1083">
        <f t="shared" si="872"/>
        <v>0.0912500000000001</v>
      </c>
      <c r="EG163" s="1084">
        <f t="shared" si="872"/>
        <v>0.111092577147623</v>
      </c>
      <c r="EH163" s="1083">
        <f t="shared" si="872"/>
        <v>0.168347082187595</v>
      </c>
      <c r="EI163" s="1083">
        <f t="shared" ref="EI163:EO163" si="873">EI162/EA162-1</f>
        <v>0.147797716150082</v>
      </c>
      <c r="EJ163" s="1083">
        <f t="shared" si="873"/>
        <v>0.158409592931524</v>
      </c>
      <c r="EK163" s="1083">
        <f t="shared" si="873"/>
        <v>0.114346780657227</v>
      </c>
      <c r="EL163" s="1083">
        <f t="shared" si="873"/>
        <v>0.142049399861125</v>
      </c>
      <c r="EM163" s="1083">
        <f t="shared" si="873"/>
        <v>0.0398025300833076</v>
      </c>
      <c r="EN163" s="1083">
        <f t="shared" si="873"/>
        <v>0.0797537227949598</v>
      </c>
      <c r="EO163" s="1084">
        <f t="shared" si="873"/>
        <v>0.117174598408647</v>
      </c>
      <c r="EP163" s="1083">
        <f t="shared" ref="EP163:EZ163" si="874">EP162/EH162-1</f>
        <v>-0.0190899581589958</v>
      </c>
      <c r="EQ163" s="1083">
        <f t="shared" si="874"/>
        <v>-0.0383740761796475</v>
      </c>
      <c r="ER163" s="1083">
        <f t="shared" si="874"/>
        <v>-0.0283301552710433</v>
      </c>
      <c r="ES163" s="1083">
        <f t="shared" si="874"/>
        <v>-0.0700071925197794</v>
      </c>
      <c r="ET163" s="1083">
        <f t="shared" si="874"/>
        <v>-0.0434291670285764</v>
      </c>
      <c r="EU163" s="1083">
        <f t="shared" si="874"/>
        <v>-0.0531157270029674</v>
      </c>
      <c r="EV163" s="1083">
        <f t="shared" si="874"/>
        <v>-0.0624585598726959</v>
      </c>
      <c r="EW163" s="1084">
        <f t="shared" si="874"/>
        <v>-0.0456225223409259</v>
      </c>
      <c r="EX163" s="1083">
        <f t="shared" si="874"/>
        <v>-0.058117835243935</v>
      </c>
      <c r="EY163" s="1083">
        <f t="shared" si="874"/>
        <v>0.0242388412651493</v>
      </c>
      <c r="EZ163" s="1083">
        <f t="shared" si="874"/>
        <v>-0.0190636389122512</v>
      </c>
      <c r="FA163" s="1083">
        <f t="shared" ref="FA163:FJ163" si="875">FA162/ES162-1</f>
        <v>0.0618716163959783</v>
      </c>
      <c r="FB163" s="1083">
        <f t="shared" si="875"/>
        <v>0.0094433850903477</v>
      </c>
      <c r="FC163" s="1083">
        <f t="shared" si="875"/>
        <v>0.0708241930429332</v>
      </c>
      <c r="FD163" s="1083">
        <f t="shared" si="875"/>
        <v>0.0659123055162658</v>
      </c>
      <c r="FE163" s="1084">
        <f t="shared" si="875"/>
        <v>0.0232328921430582</v>
      </c>
      <c r="FF163" s="1083">
        <f t="shared" si="875"/>
        <v>0.155392018114916</v>
      </c>
      <c r="FG163" s="1083">
        <f t="shared" si="875"/>
        <v>0.127561327561328</v>
      </c>
      <c r="FH163" s="1083">
        <f t="shared" si="875"/>
        <v>0.141611889111175</v>
      </c>
      <c r="FI163" s="1083">
        <f t="shared" si="875"/>
        <v>0.155377518815246</v>
      </c>
      <c r="FJ163" s="1083">
        <f t="shared" si="875"/>
        <v>0.146712242511469</v>
      </c>
      <c r="FK163" s="1083">
        <f t="shared" ref="FK163:FR163" si="876">FK162/FC162-1</f>
        <v>0.219490781387182</v>
      </c>
      <c r="FL163" s="1083">
        <f t="shared" si="876"/>
        <v>0.184447983014862</v>
      </c>
      <c r="FM163" s="1084">
        <f t="shared" si="876"/>
        <v>0.163822760423834</v>
      </c>
      <c r="FN163" s="1083">
        <f t="shared" si="876"/>
        <v>0.168299853013229</v>
      </c>
      <c r="FO163" s="1083">
        <f t="shared" si="876"/>
        <v>0.131814691579217</v>
      </c>
      <c r="FP163" s="1083">
        <f t="shared" si="876"/>
        <v>0.150456878207535</v>
      </c>
      <c r="FQ163" s="1083">
        <f t="shared" si="876"/>
        <v>0.137213700357218</v>
      </c>
      <c r="FR163" s="1083">
        <f t="shared" si="876"/>
        <v>0.145513021650455</v>
      </c>
      <c r="FS163" s="1083">
        <f t="shared" ref="FS163:FX163" si="877">FS162/FK162-1</f>
        <v>0.125269978401728</v>
      </c>
      <c r="FT163" s="1083">
        <f t="shared" si="877"/>
        <v>0.131637911718575</v>
      </c>
      <c r="FU163" s="1083">
        <f t="shared" si="877"/>
        <v>0.140526160212829</v>
      </c>
      <c r="FV163" s="1086">
        <f t="shared" si="877"/>
        <v>0.142168169427553</v>
      </c>
      <c r="FW163" s="1087">
        <f t="shared" si="877"/>
        <v>0.139303482587065</v>
      </c>
      <c r="FX163" s="1087">
        <f t="shared" si="877"/>
        <v>0.140789903166141</v>
      </c>
      <c r="FY163" s="1083">
        <f t="shared" ref="FY163" si="878">FY162/FQ162-1</f>
        <v>0.0489652623798966</v>
      </c>
      <c r="FZ163" s="1083">
        <f t="shared" ref="FZ163" si="879">FZ162/FR162-1</f>
        <v>0.106758885160583</v>
      </c>
      <c r="GA163" s="1083">
        <f t="shared" ref="GA163" si="880">GA162/FS162-1</f>
        <v>0.0782682874813394</v>
      </c>
      <c r="GB163" s="1083">
        <f t="shared" ref="GB163:GH163" si="881">GB162/FT162-1</f>
        <v>0.0625680625680625</v>
      </c>
      <c r="GC163" s="1084">
        <f t="shared" si="881"/>
        <v>0.0998341281360149</v>
      </c>
      <c r="GD163" s="1086">
        <f t="shared" si="881"/>
        <v>0.0183587295759133</v>
      </c>
      <c r="GE163" s="1087">
        <f t="shared" si="881"/>
        <v>0.0442635966653433</v>
      </c>
      <c r="GF163" s="1087">
        <f t="shared" si="881"/>
        <v>0.0308059132093468</v>
      </c>
      <c r="GG163" s="1087">
        <f t="shared" si="881"/>
        <v>0.0345252774352651</v>
      </c>
      <c r="GH163" s="1083">
        <f t="shared" si="881"/>
        <v>0.0321123623313946</v>
      </c>
      <c r="GI163" s="1083">
        <f t="shared" ref="GI163" si="882">GI162/GA162-1</f>
        <v>0.0352056962025316</v>
      </c>
      <c r="GJ163" s="1083">
        <f t="shared" ref="GJ163" si="883">GJ162/GB162-1</f>
        <v>0.034845802664679</v>
      </c>
      <c r="GK163" s="1084">
        <f t="shared" ref="GK163:GP163" si="884">GK162/GC162-1</f>
        <v>0.0328494674333113</v>
      </c>
      <c r="GL163" s="1087">
        <f t="shared" si="884"/>
        <v>0.060753560483144</v>
      </c>
      <c r="GM163" s="1087">
        <f t="shared" si="884"/>
        <v>0.0471393271241209</v>
      </c>
      <c r="GN163" s="1087">
        <f t="shared" si="884"/>
        <v>0.0541265729089564</v>
      </c>
      <c r="GO163" s="1087">
        <f t="shared" si="884"/>
        <v>0.0914353822577898</v>
      </c>
      <c r="GP163" s="1083">
        <f t="shared" si="884"/>
        <v>0.0672621545470895</v>
      </c>
      <c r="GQ163" s="1083">
        <f t="shared" ref="GQ163" si="885">GQ162/GI162-1</f>
        <v>0.11520825372564</v>
      </c>
      <c r="GR163" s="1083">
        <f t="shared" ref="GR163" si="886">GR162/GJ162-1</f>
        <v>0.102637976051139</v>
      </c>
      <c r="GS163" s="1084">
        <f t="shared" ref="GS163:GW163" si="887">GS162/GK162-1</f>
        <v>0.0787132101300478</v>
      </c>
      <c r="GT163" s="1087">
        <f t="shared" si="887"/>
        <v>-0.192216179469748</v>
      </c>
      <c r="GU163" s="1087">
        <f t="shared" si="887"/>
        <v>-0.350335814122345</v>
      </c>
      <c r="GV163" s="1087">
        <f t="shared" si="887"/>
        <v>-0.268673747037655</v>
      </c>
      <c r="GW163" s="1087">
        <f t="shared" si="887"/>
        <v>-0.0694227769110765</v>
      </c>
      <c r="GX163" s="1083"/>
      <c r="GY163" s="1083">
        <f t="shared" ref="GY163" si="888">GY162/GQ162-1</f>
        <v>2.39952030152476</v>
      </c>
      <c r="GZ163" s="1083">
        <f t="shared" ref="GZ163" si="889">GZ162/GR162-1</f>
        <v>1.10729158161182</v>
      </c>
      <c r="HA163" s="1084">
        <f t="shared" ref="HA163:HE163" si="890">HA162/GS162-1</f>
        <v>-0.160617597292724</v>
      </c>
      <c r="HB163" s="1087">
        <f t="shared" si="890"/>
        <v>0.108352619398275</v>
      </c>
      <c r="HC163" s="1087">
        <f t="shared" si="890"/>
        <v>0.418552668343113</v>
      </c>
      <c r="HD163" s="1087">
        <f t="shared" si="890"/>
        <v>0.241598655784926</v>
      </c>
      <c r="HE163" s="1087">
        <f t="shared" si="890"/>
        <v>-0.0358759430008382</v>
      </c>
      <c r="HF163" s="1083"/>
      <c r="HG163" s="1083">
        <f t="shared" ref="HG163" si="891">HG162/GY162-1</f>
        <v>-0.741117774530061</v>
      </c>
      <c r="HH163" s="1083"/>
      <c r="HI163" s="1084">
        <f t="shared" ref="HI163:HK163" si="892">HI162/HA162-1</f>
        <v>0.0700498916494481</v>
      </c>
      <c r="HJ163" s="1087">
        <f t="shared" si="892"/>
        <v>0.00645406226271805</v>
      </c>
      <c r="HK163" s="1087">
        <f t="shared" si="892"/>
        <v>0.102028757140043</v>
      </c>
      <c r="HL163" s="1083"/>
      <c r="HM163" s="1083"/>
      <c r="HN163" s="1083"/>
      <c r="HO163" s="1083"/>
      <c r="HP163" s="1083"/>
      <c r="HQ163" s="1084"/>
      <c r="HR163" s="1083"/>
      <c r="HS163" s="1083"/>
      <c r="HT163" s="1083"/>
      <c r="HU163" s="1083"/>
      <c r="HV163" s="1083"/>
      <c r="HW163" s="1083"/>
      <c r="HX163" s="1083"/>
      <c r="HY163" s="1083"/>
      <c r="HZ163" s="1083"/>
      <c r="IA163" s="1083"/>
      <c r="IB163" s="1083"/>
      <c r="IC163" s="1083"/>
      <c r="ID163" s="1083"/>
      <c r="IE163" s="1083"/>
      <c r="IF163" s="1083"/>
      <c r="IG163" s="1084"/>
      <c r="IH163" s="1083">
        <f>IH162/HZ162-1</f>
        <v>0.159193669932178</v>
      </c>
      <c r="II163" s="1083">
        <f>II162/IA162-1</f>
        <v>0.0586979722518677</v>
      </c>
      <c r="IJ163" s="1083"/>
      <c r="IK163" s="1083">
        <f>IK162/IC162-1</f>
        <v>0.0628406540557875</v>
      </c>
      <c r="IL163" s="1083"/>
      <c r="IM163" s="1083">
        <f t="shared" ref="IM163:IQ163" si="893">IM162/IE162-1</f>
        <v>0.0359761295822665</v>
      </c>
      <c r="IN163" s="1083" t="e">
        <f t="shared" si="893"/>
        <v>#DIV/0!</v>
      </c>
      <c r="IO163" s="1084">
        <f t="shared" si="893"/>
        <v>0.0771935918030651</v>
      </c>
      <c r="IP163" s="1083">
        <f t="shared" si="893"/>
        <v>0.0713473102551598</v>
      </c>
      <c r="IQ163" s="1083">
        <f t="shared" si="893"/>
        <v>0.132896505376344</v>
      </c>
      <c r="IR163" s="1181"/>
      <c r="IS163" s="1181"/>
      <c r="IT163" s="1181"/>
      <c r="IU163" s="1181"/>
      <c r="IV163" s="1181"/>
      <c r="IW163" s="1181"/>
      <c r="IX163" s="1178"/>
      <c r="IY163" s="1178"/>
      <c r="IZ163" s="1178"/>
      <c r="JA163" s="1178"/>
      <c r="JB163" s="1178"/>
      <c r="JC163" s="1178"/>
      <c r="JD163" s="1125"/>
      <c r="JE163" s="1126"/>
      <c r="JF163" s="1126"/>
      <c r="JG163" s="1126"/>
      <c r="JH163" s="1126"/>
      <c r="KP163" s="1203"/>
      <c r="LV163" s="1127"/>
    </row>
    <row r="164" s="1024" customFormat="1" spans="1:334">
      <c r="A164" s="967" t="s">
        <v>63</v>
      </c>
      <c r="B164" s="1121"/>
      <c r="C164" s="1121"/>
      <c r="D164" s="1121"/>
      <c r="E164" s="1121"/>
      <c r="F164" s="1121"/>
      <c r="G164" s="1121"/>
      <c r="H164" s="1121"/>
      <c r="I164" s="1121"/>
      <c r="J164" s="1121"/>
      <c r="K164" s="1121"/>
      <c r="L164" s="1121"/>
      <c r="M164" s="1121"/>
      <c r="N164" s="1121"/>
      <c r="O164" s="1121"/>
      <c r="P164" s="1121"/>
      <c r="Q164" s="1121"/>
      <c r="R164" s="1121"/>
      <c r="S164" s="1121"/>
      <c r="T164" s="1121"/>
      <c r="U164" s="1121"/>
      <c r="V164" s="1121"/>
      <c r="W164" s="1121"/>
      <c r="X164" s="1121"/>
      <c r="Y164" s="1121"/>
      <c r="Z164" s="1121"/>
      <c r="AA164" s="1121"/>
      <c r="AB164" s="1121"/>
      <c r="AC164" s="1121"/>
      <c r="AD164" s="1121"/>
      <c r="AE164" s="1121"/>
      <c r="AF164" s="1121"/>
      <c r="AG164" s="1121"/>
      <c r="AH164" s="1121"/>
      <c r="AI164" s="1121"/>
      <c r="AJ164" s="1121"/>
      <c r="AK164" s="1121"/>
      <c r="AL164" s="1121"/>
      <c r="AM164" s="1121"/>
      <c r="AN164" s="1121"/>
      <c r="AO164" s="1121"/>
      <c r="AP164" s="1121"/>
      <c r="AQ164" s="1121"/>
      <c r="AR164" s="1121"/>
      <c r="AS164" s="1121"/>
      <c r="AT164" s="1121"/>
      <c r="AU164" s="1121"/>
      <c r="AV164" s="1121"/>
      <c r="AW164" s="1121"/>
      <c r="AX164" s="1122"/>
      <c r="AY164" s="1121"/>
      <c r="AZ164" s="1121"/>
      <c r="BA164" s="1121"/>
      <c r="BB164" s="1121"/>
      <c r="BC164" s="1121"/>
      <c r="BD164" s="1121"/>
      <c r="BE164" s="1123"/>
      <c r="BF164" s="1121"/>
      <c r="BG164" s="1121"/>
      <c r="BH164" s="1121"/>
      <c r="BI164" s="1121"/>
      <c r="BJ164" s="1121"/>
      <c r="BK164" s="1121"/>
      <c r="BL164" s="1121"/>
      <c r="BM164" s="1121"/>
      <c r="BN164" s="1122"/>
      <c r="BO164" s="1121"/>
      <c r="BP164" s="1121"/>
      <c r="BQ164" s="1121"/>
      <c r="BR164" s="1121"/>
      <c r="BS164" s="1121"/>
      <c r="BT164" s="1121"/>
      <c r="BU164" s="1123"/>
      <c r="BV164" s="1122"/>
      <c r="BW164" s="1121"/>
      <c r="BX164" s="1121"/>
      <c r="BY164" s="1121"/>
      <c r="BZ164" s="1121"/>
      <c r="CA164" s="1121"/>
      <c r="CB164" s="1121"/>
      <c r="CC164" s="1123"/>
      <c r="CD164" s="1122"/>
      <c r="CE164" s="1121"/>
      <c r="CF164" s="1121"/>
      <c r="CG164" s="1121"/>
      <c r="CH164" s="1121"/>
      <c r="CI164" s="1121"/>
      <c r="CJ164" s="917"/>
      <c r="CK164" s="1123"/>
      <c r="CL164" s="1122"/>
      <c r="CM164" s="1121"/>
      <c r="CN164" s="1121"/>
      <c r="CO164" s="1121"/>
      <c r="CP164" s="1121"/>
      <c r="CQ164" s="1121"/>
      <c r="CR164" s="1121"/>
      <c r="CS164" s="1123"/>
      <c r="CT164" s="1122"/>
      <c r="CU164" s="1121"/>
      <c r="CV164" s="1121"/>
      <c r="CW164" s="1205"/>
      <c r="CX164" s="1205"/>
      <c r="CY164" s="1121"/>
      <c r="CZ164" s="1121"/>
      <c r="DA164" s="1121"/>
      <c r="DB164" s="1114"/>
      <c r="DC164" s="1114"/>
      <c r="DD164" s="1114"/>
      <c r="DE164" s="1206"/>
      <c r="DF164" s="1206"/>
      <c r="DG164" s="1114"/>
      <c r="DH164" s="1114"/>
      <c r="DI164" s="1207"/>
      <c r="DJ164" s="1083"/>
      <c r="DK164" s="1083"/>
      <c r="DL164" s="1083"/>
      <c r="DM164" s="1083"/>
      <c r="DN164" s="1083"/>
      <c r="DO164" s="1083"/>
      <c r="DP164" s="1083"/>
      <c r="DQ164" s="1084"/>
      <c r="DR164" s="1083"/>
      <c r="DS164" s="1083"/>
      <c r="DT164" s="1083"/>
      <c r="DU164" s="1083"/>
      <c r="DV164" s="1083"/>
      <c r="DW164" s="1083"/>
      <c r="DX164" s="1083"/>
      <c r="DY164" s="1084">
        <f t="shared" ref="DY164:EH164" si="894">DY163-DY165</f>
        <v>0.0469947018591658</v>
      </c>
      <c r="DZ164" s="1083">
        <f t="shared" si="894"/>
        <v>0.0379169783096485</v>
      </c>
      <c r="EA164" s="1083">
        <f t="shared" si="894"/>
        <v>-0.0480795003792629</v>
      </c>
      <c r="EB164" s="1083">
        <f t="shared" si="894"/>
        <v>-0.0028860465116278</v>
      </c>
      <c r="EC164" s="1083">
        <f t="shared" si="894"/>
        <v>-0.0484137789210948</v>
      </c>
      <c r="ED164" s="1083">
        <f t="shared" si="894"/>
        <v>-0.0271840158957942</v>
      </c>
      <c r="EE164" s="1083">
        <f t="shared" si="894"/>
        <v>-0.00638957505109547</v>
      </c>
      <c r="EF164" s="1083">
        <f t="shared" si="894"/>
        <v>-0.0294870312499999</v>
      </c>
      <c r="EG164" s="1084">
        <f t="shared" si="894"/>
        <v>-0.0171684737281067</v>
      </c>
      <c r="EH164" s="1083">
        <f t="shared" si="894"/>
        <v>0.0296883593033914</v>
      </c>
      <c r="EI164" s="1083">
        <f t="shared" ref="EI164:EQ164" si="895">EI163-EI165</f>
        <v>0.0760771547923793</v>
      </c>
      <c r="EJ164" s="1083">
        <f t="shared" si="895"/>
        <v>0.0531075414876232</v>
      </c>
      <c r="EK164" s="1083">
        <f t="shared" si="895"/>
        <v>0.0735541524520988</v>
      </c>
      <c r="EL164" s="1083">
        <f t="shared" si="895"/>
        <v>0.0607013193135603</v>
      </c>
      <c r="EM164" s="1083">
        <f t="shared" si="895"/>
        <v>0.0322742980561555</v>
      </c>
      <c r="EN164" s="1083">
        <f t="shared" si="895"/>
        <v>0.0513960032570273</v>
      </c>
      <c r="EO164" s="1084">
        <f t="shared" si="895"/>
        <v>0.0533970408015019</v>
      </c>
      <c r="EP164" s="1083">
        <f t="shared" si="895"/>
        <v>-0.0211132322175732</v>
      </c>
      <c r="EQ164" s="1083">
        <f t="shared" si="895"/>
        <v>-0.0405343945423536</v>
      </c>
      <c r="ER164" s="1083">
        <f>ER165-ER163</f>
        <v>0.0282280032688641</v>
      </c>
      <c r="ES164" s="1083">
        <f t="shared" ref="ES164:EX164" si="896">ES163-ES165</f>
        <v>-0.0700637465576418</v>
      </c>
      <c r="ET164" s="1083">
        <f t="shared" si="896"/>
        <v>-0.0431373230261443</v>
      </c>
      <c r="EU164" s="1083">
        <f t="shared" si="896"/>
        <v>-0.178351702069753</v>
      </c>
      <c r="EV164" s="1083">
        <f t="shared" si="896"/>
        <v>-0.118432572071052</v>
      </c>
      <c r="EW164" s="1084">
        <f t="shared" si="896"/>
        <v>-0.0750415910770678</v>
      </c>
      <c r="EX164" s="1083">
        <f t="shared" si="896"/>
        <v>-0.0683084510797121</v>
      </c>
      <c r="EY164" s="1083">
        <f t="shared" ref="EY164:FD164" si="897">EY163-EY165</f>
        <v>-0.0774114691102571</v>
      </c>
      <c r="EZ164" s="1083">
        <f t="shared" si="897"/>
        <v>-0.0726251752172694</v>
      </c>
      <c r="FA164" s="1083">
        <f t="shared" si="897"/>
        <v>-0.0289538540861047</v>
      </c>
      <c r="FB164" s="1083">
        <f t="shared" si="897"/>
        <v>-0.0572432579678562</v>
      </c>
      <c r="FC164" s="1083">
        <f t="shared" si="897"/>
        <v>0.0124467857419846</v>
      </c>
      <c r="FD164" s="1083">
        <f t="shared" si="897"/>
        <v>-0.00957111389118187</v>
      </c>
      <c r="FE164" s="1084">
        <f t="shared" ref="FE164:FJ164" si="898">FE163-FE165</f>
        <v>-0.0414590068356887</v>
      </c>
      <c r="FF164" s="1083">
        <f t="shared" si="898"/>
        <v>0.0680843479052066</v>
      </c>
      <c r="FG164" s="1083">
        <f t="shared" si="898"/>
        <v>0.0786446118462011</v>
      </c>
      <c r="FH164" s="1083">
        <f t="shared" si="898"/>
        <v>0.0732680891402486</v>
      </c>
      <c r="FI164" s="1083">
        <f t="shared" si="898"/>
        <v>0.0294878056599547</v>
      </c>
      <c r="FJ164" s="1083">
        <f t="shared" si="898"/>
        <v>0.0570633365332577</v>
      </c>
      <c r="FK164" s="1083">
        <f t="shared" ref="FK164:FR164" si="899">FK163-FK165</f>
        <v>0.102900753686351</v>
      </c>
      <c r="FL164" s="1083">
        <f t="shared" si="899"/>
        <v>0.0629444554475769</v>
      </c>
      <c r="FM164" s="1084">
        <f t="shared" si="899"/>
        <v>0.0674816746191135</v>
      </c>
      <c r="FN164" s="1083">
        <f t="shared" si="899"/>
        <v>-0.0450391134330116</v>
      </c>
      <c r="FO164" s="1083">
        <f t="shared" si="899"/>
        <v>-0.0756846685436396</v>
      </c>
      <c r="FP164" s="1083">
        <f t="shared" si="899"/>
        <v>-0.058847001642277</v>
      </c>
      <c r="FQ164" s="1083">
        <f t="shared" si="899"/>
        <v>-0.0347608634434969</v>
      </c>
      <c r="FR164" s="1083">
        <f t="shared" si="899"/>
        <v>-0.0498600857473641</v>
      </c>
      <c r="FS164" s="1083">
        <f t="shared" ref="FS164:FZ164" si="900">FS163-FS165</f>
        <v>-0.0142048296596924</v>
      </c>
      <c r="FT164" s="1083">
        <f t="shared" si="900"/>
        <v>-0.025159175116159</v>
      </c>
      <c r="FU164" s="1083">
        <f t="shared" si="900"/>
        <v>-0.0410731303576706</v>
      </c>
      <c r="FV164" s="1086">
        <f t="shared" si="900"/>
        <v>-0.0214194949525208</v>
      </c>
      <c r="FW164" s="1087">
        <f t="shared" si="900"/>
        <v>-0.0555158707929941</v>
      </c>
      <c r="FX164" s="1087">
        <f t="shared" si="900"/>
        <v>-0.0371166460070533</v>
      </c>
      <c r="FY164" s="1083">
        <f t="shared" si="900"/>
        <v>-0.0746141419835181</v>
      </c>
      <c r="FZ164" s="1083">
        <f t="shared" si="900"/>
        <v>-0.0514612810845119</v>
      </c>
      <c r="GA164" s="1083">
        <f t="shared" ref="GA164:GF164" si="901">GA163-GA165</f>
        <v>-0.0872694846057284</v>
      </c>
      <c r="GB164" s="1083">
        <f t="shared" si="901"/>
        <v>-0.0804822183207076</v>
      </c>
      <c r="GC164" s="1084">
        <f t="shared" si="901"/>
        <v>-0.0601636586884212</v>
      </c>
      <c r="GD164" s="1115">
        <f t="shared" si="901"/>
        <v>-0.0832369369683393</v>
      </c>
      <c r="GE164" s="1087">
        <f t="shared" si="901"/>
        <v>-0.0608066693132196</v>
      </c>
      <c r="GF164" s="1087">
        <f t="shared" si="901"/>
        <v>-0.0724594435247242</v>
      </c>
      <c r="GG164" s="1083">
        <f t="shared" ref="GG164" si="902">GG218</f>
        <v>-0.0482620641070798</v>
      </c>
      <c r="GH164" s="1083">
        <f t="shared" ref="GH164:GN164" si="903">GH163-GH165</f>
        <v>-0.0638946912510829</v>
      </c>
      <c r="GI164" s="1083">
        <f t="shared" si="903"/>
        <v>-0.0112836234177216</v>
      </c>
      <c r="GJ164" s="1083">
        <f t="shared" si="903"/>
        <v>-0.0307478250603073</v>
      </c>
      <c r="GK164" s="1084">
        <f t="shared" si="903"/>
        <v>-0.05135809218588</v>
      </c>
      <c r="GL164" s="1083">
        <f t="shared" si="903"/>
        <v>0.0164132576713201</v>
      </c>
      <c r="GM164" s="1087">
        <f t="shared" si="903"/>
        <v>0.009544687321802</v>
      </c>
      <c r="GN164" s="1087">
        <f t="shared" si="903"/>
        <v>0.0130695463570091</v>
      </c>
      <c r="GO164" s="1083">
        <f t="shared" ref="GO164" si="904">GO218</f>
        <v>0.0317859696918099</v>
      </c>
      <c r="GP164" s="1083">
        <f t="shared" ref="GP164:GS164" si="905">GP163-GP165</f>
        <v>0.0196595649295377</v>
      </c>
      <c r="GQ164" s="1083">
        <f t="shared" si="905"/>
        <v>0.0135113303547247</v>
      </c>
      <c r="GR164" s="1083">
        <f t="shared" si="905"/>
        <v>0.0231763336956554</v>
      </c>
      <c r="GS164" s="1084">
        <f t="shared" si="905"/>
        <v>0.0181936390600046</v>
      </c>
      <c r="GT164" s="1083">
        <f t="shared" ref="GT164:GV164" si="906">GT163-GT165</f>
        <v>0.0019300044500204</v>
      </c>
      <c r="GU164" s="1087">
        <f t="shared" si="906"/>
        <v>-0.00813335995643488</v>
      </c>
      <c r="GV164" s="1087">
        <f t="shared" si="906"/>
        <v>-0.00292977582978954</v>
      </c>
      <c r="GW164" s="1083">
        <f t="shared" ref="GW164" si="907">GW218</f>
        <v>-0.0434006240249608</v>
      </c>
      <c r="GX164" s="1083"/>
      <c r="GY164" s="1083">
        <f t="shared" ref="GY164:HA164" si="908">GY163-GY165</f>
        <v>2.39686971411996</v>
      </c>
      <c r="GZ164" s="1083">
        <f t="shared" si="908"/>
        <v>1.11970102076142</v>
      </c>
      <c r="HA164" s="1084">
        <f t="shared" si="908"/>
        <v>-0.0206175972927242</v>
      </c>
      <c r="HB164" s="1083">
        <f t="shared" ref="HB164:HD164" si="909">HB163-HB165</f>
        <v>-0.157750325134937</v>
      </c>
      <c r="HC164" s="1087">
        <f t="shared" si="909"/>
        <v>-0.138871556000563</v>
      </c>
      <c r="HD164" s="1087">
        <f t="shared" si="909"/>
        <v>-0.149633932866655</v>
      </c>
      <c r="HE164" s="1083">
        <f t="shared" ref="HE164" si="910">HE218</f>
        <v>-0.00422111673468392</v>
      </c>
      <c r="HF164" s="1083"/>
      <c r="HG164" s="1083">
        <f t="shared" ref="HG164" si="911">HG163-HG165</f>
        <v>-0.71644644041882</v>
      </c>
      <c r="HH164" s="1083"/>
      <c r="HI164" s="1084">
        <f t="shared" ref="HI164:HK164" si="912">HI163-HI165</f>
        <v>0.210049891649448</v>
      </c>
      <c r="HJ164" s="1083">
        <f t="shared" si="912"/>
        <v>0.0370892179195142</v>
      </c>
      <c r="HK164" s="1087">
        <f t="shared" si="912"/>
        <v>0.0663695095528856</v>
      </c>
      <c r="HL164" s="1083"/>
      <c r="HM164" s="1083"/>
      <c r="HN164" s="1083"/>
      <c r="HO164" s="1083"/>
      <c r="HP164" s="1083"/>
      <c r="HQ164" s="1084"/>
      <c r="HR164" s="1083"/>
      <c r="HS164" s="1083"/>
      <c r="HT164" s="1083"/>
      <c r="HU164" s="1083"/>
      <c r="HV164" s="1083"/>
      <c r="HW164" s="1083"/>
      <c r="HX164" s="1083"/>
      <c r="HY164" s="1083"/>
      <c r="HZ164" s="1083"/>
      <c r="IA164" s="1083"/>
      <c r="IB164" s="1083"/>
      <c r="IC164" s="1083"/>
      <c r="ID164" s="1083"/>
      <c r="IE164" s="1083"/>
      <c r="IF164" s="1083"/>
      <c r="IG164" s="1084"/>
      <c r="IH164" s="1083"/>
      <c r="II164" s="1083"/>
      <c r="IJ164" s="1083"/>
      <c r="IK164" s="1083"/>
      <c r="IL164" s="1083"/>
      <c r="IM164" s="1083"/>
      <c r="IN164" s="1083"/>
      <c r="IO164" s="1084"/>
      <c r="IP164" s="1083"/>
      <c r="IQ164" s="1083"/>
      <c r="IR164" s="1181"/>
      <c r="IS164" s="1181"/>
      <c r="IT164" s="1181"/>
      <c r="IU164" s="1181"/>
      <c r="IV164" s="1181"/>
      <c r="IW164" s="1181"/>
      <c r="IX164" s="1178"/>
      <c r="IY164" s="1178"/>
      <c r="IZ164" s="1178"/>
      <c r="JA164" s="1178"/>
      <c r="JB164" s="1178"/>
      <c r="JC164" s="1178"/>
      <c r="JD164" s="1125"/>
      <c r="JE164" s="1126"/>
      <c r="JF164" s="1126"/>
      <c r="JG164" s="1126"/>
      <c r="JH164" s="1126"/>
      <c r="KP164" s="1203"/>
      <c r="LV164" s="1127"/>
    </row>
    <row r="165" s="1024" customFormat="1" spans="1:334">
      <c r="A165" s="967" t="s">
        <v>65</v>
      </c>
      <c r="B165" s="1121"/>
      <c r="C165" s="1121"/>
      <c r="D165" s="1121"/>
      <c r="E165" s="1121"/>
      <c r="F165" s="1121"/>
      <c r="G165" s="1121"/>
      <c r="H165" s="1121"/>
      <c r="I165" s="1121"/>
      <c r="J165" s="1121"/>
      <c r="K165" s="1121"/>
      <c r="L165" s="1121"/>
      <c r="M165" s="1121"/>
      <c r="N165" s="1121"/>
      <c r="O165" s="1121"/>
      <c r="P165" s="1121"/>
      <c r="Q165" s="1121"/>
      <c r="R165" s="1121"/>
      <c r="S165" s="1121"/>
      <c r="T165" s="1121"/>
      <c r="U165" s="1121"/>
      <c r="V165" s="1121"/>
      <c r="W165" s="1121"/>
      <c r="X165" s="1121"/>
      <c r="Y165" s="1121"/>
      <c r="Z165" s="1121"/>
      <c r="AA165" s="1121"/>
      <c r="AB165" s="1121"/>
      <c r="AC165" s="1121"/>
      <c r="AD165" s="1121"/>
      <c r="AE165" s="1121"/>
      <c r="AF165" s="1121"/>
      <c r="AG165" s="1121"/>
      <c r="AH165" s="1121"/>
      <c r="AI165" s="1121"/>
      <c r="AJ165" s="1121"/>
      <c r="AK165" s="1121"/>
      <c r="AL165" s="1121"/>
      <c r="AM165" s="1121"/>
      <c r="AN165" s="1121"/>
      <c r="AO165" s="1121"/>
      <c r="AP165" s="1121"/>
      <c r="AQ165" s="1121"/>
      <c r="AR165" s="1121"/>
      <c r="AS165" s="1121"/>
      <c r="AT165" s="1121"/>
      <c r="AU165" s="1121"/>
      <c r="AV165" s="1121"/>
      <c r="AW165" s="1121"/>
      <c r="AX165" s="1122"/>
      <c r="AY165" s="1121"/>
      <c r="AZ165" s="1121"/>
      <c r="BA165" s="1121"/>
      <c r="BB165" s="1121"/>
      <c r="BC165" s="1121"/>
      <c r="BD165" s="1121"/>
      <c r="BE165" s="1123"/>
      <c r="BF165" s="1121"/>
      <c r="BG165" s="1121"/>
      <c r="BH165" s="1121"/>
      <c r="BI165" s="1121"/>
      <c r="BJ165" s="1121"/>
      <c r="BK165" s="1121"/>
      <c r="BL165" s="1121"/>
      <c r="BM165" s="1121"/>
      <c r="BN165" s="1122"/>
      <c r="BO165" s="1121"/>
      <c r="BP165" s="1121"/>
      <c r="BQ165" s="1121"/>
      <c r="BR165" s="1121"/>
      <c r="BS165" s="1121"/>
      <c r="BT165" s="1121"/>
      <c r="BU165" s="1123"/>
      <c r="BV165" s="1122"/>
      <c r="BW165" s="1121"/>
      <c r="BX165" s="1121"/>
      <c r="BY165" s="1121"/>
      <c r="BZ165" s="1121"/>
      <c r="CA165" s="1121"/>
      <c r="CB165" s="1121"/>
      <c r="CC165" s="1123"/>
      <c r="CD165" s="1122"/>
      <c r="CE165" s="1121"/>
      <c r="CF165" s="1121"/>
      <c r="CG165" s="1121"/>
      <c r="CH165" s="1121"/>
      <c r="CI165" s="1121"/>
      <c r="CJ165" s="917"/>
      <c r="CK165" s="1123"/>
      <c r="CL165" s="1122"/>
      <c r="CM165" s="1121"/>
      <c r="CN165" s="1121"/>
      <c r="CO165" s="1121"/>
      <c r="CP165" s="1121"/>
      <c r="CQ165" s="1121"/>
      <c r="CR165" s="1121"/>
      <c r="CS165" s="1123"/>
      <c r="CT165" s="1122"/>
      <c r="CU165" s="1121"/>
      <c r="CV165" s="1121"/>
      <c r="CW165" s="1205"/>
      <c r="CX165" s="1205"/>
      <c r="CY165" s="1121"/>
      <c r="CZ165" s="1121"/>
      <c r="DA165" s="1121"/>
      <c r="DB165" s="1114"/>
      <c r="DC165" s="1114"/>
      <c r="DD165" s="1114"/>
      <c r="DE165" s="1206"/>
      <c r="DF165" s="1206"/>
      <c r="DG165" s="1114"/>
      <c r="DH165" s="1114"/>
      <c r="DI165" s="1207"/>
      <c r="DJ165" s="1083"/>
      <c r="DK165" s="1083"/>
      <c r="DL165" s="1083"/>
      <c r="DM165" s="1083"/>
      <c r="DN165" s="1083"/>
      <c r="DO165" s="1083"/>
      <c r="DP165" s="1083"/>
      <c r="DQ165" s="1084">
        <f>DQ$130</f>
        <v>-0.0515550396380484</v>
      </c>
      <c r="DR165" s="1083">
        <f>DR$130</f>
        <v>0.099</v>
      </c>
      <c r="DS165" s="1083">
        <f t="shared" ref="DS165:DZ165" si="913">DS$130</f>
        <v>0.108</v>
      </c>
      <c r="DT165" s="1083">
        <f t="shared" si="913"/>
        <v>0.073</v>
      </c>
      <c r="DU165" s="1083">
        <f t="shared" si="913"/>
        <v>0.099</v>
      </c>
      <c r="DV165" s="1083">
        <f t="shared" si="913"/>
        <v>0.083</v>
      </c>
      <c r="DW165" s="1083">
        <f t="shared" si="913"/>
        <v>0.143</v>
      </c>
      <c r="DX165" s="1083">
        <f t="shared" si="913"/>
        <v>0.133</v>
      </c>
      <c r="DY165" s="1084">
        <f t="shared" si="913"/>
        <v>0.108</v>
      </c>
      <c r="DZ165" s="1083">
        <f t="shared" si="913"/>
        <v>0.186091997008227</v>
      </c>
      <c r="EA165" s="1083">
        <f t="shared" ref="EA165:EH165" si="914">EA$130</f>
        <v>0.0991768940692493</v>
      </c>
      <c r="EB165" s="1083">
        <f t="shared" si="914"/>
        <v>0.136696422182469</v>
      </c>
      <c r="EC165" s="1083">
        <f t="shared" si="914"/>
        <v>0.12739907727797</v>
      </c>
      <c r="ED165" s="1083">
        <f t="shared" si="914"/>
        <v>0.14</v>
      </c>
      <c r="EE165" s="1083">
        <f t="shared" si="914"/>
        <v>0.112155525238745</v>
      </c>
      <c r="EF165" s="1083">
        <f t="shared" si="914"/>
        <v>0.12073703125</v>
      </c>
      <c r="EG165" s="1084">
        <f t="shared" si="914"/>
        <v>0.12826105087573</v>
      </c>
      <c r="EH165" s="1083">
        <f t="shared" si="914"/>
        <v>0.138658722884204</v>
      </c>
      <c r="EI165" s="1083">
        <f t="shared" ref="EI165:EP165" si="915">EI$130</f>
        <v>0.0717205613577024</v>
      </c>
      <c r="EJ165" s="1083">
        <f t="shared" si="915"/>
        <v>0.105302051443901</v>
      </c>
      <c r="EK165" s="1083">
        <f t="shared" si="915"/>
        <v>0.0407926282051281</v>
      </c>
      <c r="EL165" s="1083">
        <f t="shared" si="915"/>
        <v>0.0813480805475647</v>
      </c>
      <c r="EM165" s="1083">
        <f t="shared" si="915"/>
        <v>0.00752823202715205</v>
      </c>
      <c r="EN165" s="1083">
        <f t="shared" si="915"/>
        <v>0.0283577195379326</v>
      </c>
      <c r="EO165" s="1084">
        <f t="shared" si="915"/>
        <v>0.0637775576071455</v>
      </c>
      <c r="EP165" s="1083">
        <f t="shared" si="915"/>
        <v>0.00202327405857741</v>
      </c>
      <c r="EQ165" s="1083">
        <f>(EI147*EQ150+EI152*EQ155+EI157*EQ160)/EI162</f>
        <v>0.00216031836270609</v>
      </c>
      <c r="ER165" s="1083">
        <f>(EJ147*ER150+EJ152*ER155+EJ157*ER160)/EJ162</f>
        <v>-0.000102152002179239</v>
      </c>
      <c r="ES165" s="1083">
        <f>ES$130</f>
        <v>5.65540378624484e-5</v>
      </c>
      <c r="ET165" s="1083">
        <f>(EL147*ET150+EL152*ET155+EL157*ET160)/EL162</f>
        <v>-0.000291844002432031</v>
      </c>
      <c r="EU165" s="1083">
        <f t="shared" ref="EU165:FE165" si="916">EU$130</f>
        <v>0.125235975066785</v>
      </c>
      <c r="EV165" s="1083">
        <f t="shared" si="916"/>
        <v>0.0559740121983559</v>
      </c>
      <c r="EW165" s="1084">
        <f t="shared" si="916"/>
        <v>0.0294190687361419</v>
      </c>
      <c r="EX165" s="1083">
        <f t="shared" si="916"/>
        <v>0.0101906158357771</v>
      </c>
      <c r="EY165" s="1083">
        <f t="shared" si="916"/>
        <v>0.101650310375406</v>
      </c>
      <c r="EZ165" s="1083">
        <f t="shared" si="916"/>
        <v>0.0535615363050182</v>
      </c>
      <c r="FA165" s="1083">
        <f t="shared" si="916"/>
        <v>0.090825470482083</v>
      </c>
      <c r="FB165" s="1083">
        <f t="shared" si="916"/>
        <v>0.0666866430582039</v>
      </c>
      <c r="FC165" s="1083">
        <f t="shared" si="916"/>
        <v>0.0583774073009486</v>
      </c>
      <c r="FD165" s="1083">
        <f t="shared" si="916"/>
        <v>0.0754834194074477</v>
      </c>
      <c r="FE165" s="1084">
        <f t="shared" si="916"/>
        <v>0.0646918989787469</v>
      </c>
      <c r="FF165" s="1083">
        <f t="shared" ref="FF165:FN165" si="917">FF$219</f>
        <v>0.0873076702097099</v>
      </c>
      <c r="FG165" s="1083">
        <f t="shared" si="917"/>
        <v>0.0489167157151266</v>
      </c>
      <c r="FH165" s="1083">
        <f t="shared" si="917"/>
        <v>0.068343799970926</v>
      </c>
      <c r="FI165" s="1083">
        <f t="shared" si="917"/>
        <v>0.125889713155292</v>
      </c>
      <c r="FJ165" s="1083">
        <f t="shared" si="917"/>
        <v>0.0896489059782111</v>
      </c>
      <c r="FK165" s="1083">
        <f t="shared" si="917"/>
        <v>0.116590027700831</v>
      </c>
      <c r="FL165" s="1083">
        <f t="shared" si="917"/>
        <v>0.121503527567285</v>
      </c>
      <c r="FM165" s="1084">
        <f t="shared" si="917"/>
        <v>0.0963410858047203</v>
      </c>
      <c r="FN165" s="1083">
        <f t="shared" si="917"/>
        <v>0.213338966446241</v>
      </c>
      <c r="FO165" s="1083">
        <f>(FG147*FO150+FG152*FO155+FG157*FO160)/FG162</f>
        <v>0.207499360122856</v>
      </c>
      <c r="FP165" s="1083">
        <f>FP219</f>
        <v>0.209303879849812</v>
      </c>
      <c r="FQ165" s="1083">
        <f>FQ219</f>
        <v>0.171974563800715</v>
      </c>
      <c r="FR165" s="1083">
        <f>FR219</f>
        <v>0.195373107397819</v>
      </c>
      <c r="FS165" s="1083">
        <f t="shared" ref="FS165:FX165" si="918">FS$219</f>
        <v>0.13947480806142</v>
      </c>
      <c r="FT165" s="1083">
        <f t="shared" si="918"/>
        <v>0.156797086834734</v>
      </c>
      <c r="FU165" s="1083">
        <f t="shared" si="918"/>
        <v>0.1815992905705</v>
      </c>
      <c r="FV165" s="1086">
        <f t="shared" si="918"/>
        <v>0.163587664380074</v>
      </c>
      <c r="FW165" s="1087">
        <f t="shared" si="918"/>
        <v>0.194819353380059</v>
      </c>
      <c r="FX165" s="1087">
        <f t="shared" si="918"/>
        <v>0.177906549173194</v>
      </c>
      <c r="FY165" s="1083">
        <f>FY219</f>
        <v>0.123579404363415</v>
      </c>
      <c r="FZ165" s="1083">
        <f>FZ219</f>
        <v>0.158220166245095</v>
      </c>
      <c r="GA165" s="1083">
        <f t="shared" ref="GA165:GC165" si="919">GA$219</f>
        <v>0.165537772087068</v>
      </c>
      <c r="GB165" s="1083">
        <f t="shared" si="919"/>
        <v>0.14305028088877</v>
      </c>
      <c r="GC165" s="1084">
        <f t="shared" si="919"/>
        <v>0.159997786824436</v>
      </c>
      <c r="GD165" s="1086">
        <f t="shared" ref="GD165:GG165" si="920">GD$219</f>
        <v>0.101595666544253</v>
      </c>
      <c r="GE165" s="1087">
        <f t="shared" si="920"/>
        <v>0.105070265978563</v>
      </c>
      <c r="GF165" s="1087">
        <f t="shared" si="920"/>
        <v>0.103265356734071</v>
      </c>
      <c r="GG165" s="1087">
        <f t="shared" si="920"/>
        <v>0.0826051426558651</v>
      </c>
      <c r="GH165" s="1083">
        <f>GH219</f>
        <v>0.0960070535824775</v>
      </c>
      <c r="GI165" s="1083">
        <f t="shared" ref="GI165:HG165" si="921">GI$219</f>
        <v>0.0464893196202532</v>
      </c>
      <c r="GJ165" s="1083">
        <f t="shared" si="921"/>
        <v>0.0655936277249862</v>
      </c>
      <c r="GK165" s="1084">
        <f t="shared" si="921"/>
        <v>0.0842075596191913</v>
      </c>
      <c r="GL165" s="1087">
        <f t="shared" si="921"/>
        <v>0.0443403028118238</v>
      </c>
      <c r="GM165" s="1087">
        <f t="shared" si="921"/>
        <v>0.0375946398023189</v>
      </c>
      <c r="GN165" s="1087">
        <f t="shared" si="921"/>
        <v>0.0410570265519473</v>
      </c>
      <c r="GO165" s="1087">
        <f t="shared" si="921"/>
        <v>0.0596494125659799</v>
      </c>
      <c r="GP165" s="1083">
        <f>GP219</f>
        <v>0.0476025896175518</v>
      </c>
      <c r="GQ165" s="1083">
        <f t="shared" si="921"/>
        <v>0.101696923370915</v>
      </c>
      <c r="GR165" s="1083">
        <f t="shared" si="921"/>
        <v>0.0794616423554835</v>
      </c>
      <c r="GS165" s="1084">
        <f t="shared" si="921"/>
        <v>0.0605195710700433</v>
      </c>
      <c r="GT165" s="1087">
        <f t="shared" ref="GT165" si="922">GT$219</f>
        <v>-0.194146183919769</v>
      </c>
      <c r="GU165" s="1087">
        <f t="shared" si="921"/>
        <v>-0.34220245416591</v>
      </c>
      <c r="GV165" s="1087">
        <f t="shared" si="921"/>
        <v>-0.265743971207865</v>
      </c>
      <c r="GW165" s="1087">
        <f t="shared" si="921"/>
        <v>-0.0261279251170047</v>
      </c>
      <c r="GX165" s="1083"/>
      <c r="GY165" s="1083">
        <f t="shared" si="921"/>
        <v>0.00265058740480018</v>
      </c>
      <c r="GZ165" s="1083">
        <f t="shared" si="921"/>
        <v>-0.0124094391495936</v>
      </c>
      <c r="HA165" s="1084">
        <v>-0.14</v>
      </c>
      <c r="HB165" s="1087">
        <f t="shared" ref="HB165" si="923">HB$219</f>
        <v>0.266102944533212</v>
      </c>
      <c r="HC165" s="1087">
        <f t="shared" si="921"/>
        <v>0.557424224343676</v>
      </c>
      <c r="HD165" s="1087">
        <f t="shared" si="921"/>
        <v>0.391232588651581</v>
      </c>
      <c r="HE165" s="1087">
        <f t="shared" si="921"/>
        <v>0.03856745732091</v>
      </c>
      <c r="HF165" s="1083"/>
      <c r="HG165" s="1083">
        <f t="shared" si="921"/>
        <v>-0.0246713341112408</v>
      </c>
      <c r="HH165" s="1083"/>
      <c r="HI165" s="1084">
        <v>-0.14</v>
      </c>
      <c r="HJ165" s="1087">
        <f t="shared" ref="HJ165:HK165" si="924">HJ$219</f>
        <v>-0.0306351556567961</v>
      </c>
      <c r="HK165" s="1087">
        <f t="shared" si="924"/>
        <v>0.0356592475871578</v>
      </c>
      <c r="HL165" s="1083"/>
      <c r="HM165" s="1083"/>
      <c r="HN165" s="1083"/>
      <c r="HO165" s="1083"/>
      <c r="HP165" s="1083"/>
      <c r="HQ165" s="1084"/>
      <c r="HR165" s="1224" t="s">
        <v>138</v>
      </c>
      <c r="HS165" s="1083"/>
      <c r="HT165" s="1083"/>
      <c r="HU165" s="1083"/>
      <c r="HV165" s="1083"/>
      <c r="HW165" s="1083"/>
      <c r="HX165" s="1083"/>
      <c r="HY165" s="1083"/>
      <c r="HZ165" s="1225">
        <f>HZ29</f>
        <v>0.0533170269245354</v>
      </c>
      <c r="IA165" s="1225">
        <f>IA29</f>
        <v>0.1633740643334</v>
      </c>
      <c r="IB165" s="1083"/>
      <c r="IC165" s="1225">
        <f t="shared" ref="IC165:IG165" si="925">IC29</f>
        <v>0.143005133651974</v>
      </c>
      <c r="ID165" s="1225">
        <f t="shared" si="925"/>
        <v>0</v>
      </c>
      <c r="IE165" s="1225">
        <f t="shared" si="925"/>
        <v>0.196843308395677</v>
      </c>
      <c r="IF165" s="1225"/>
      <c r="IG165" s="1225">
        <f t="shared" si="925"/>
        <v>0.13752771061031</v>
      </c>
      <c r="IH165" s="1225">
        <f t="shared" ref="IH165:II165" si="926">IH29</f>
        <v>0.169689148455162</v>
      </c>
      <c r="II165" s="1225">
        <f t="shared" si="926"/>
        <v>0.12</v>
      </c>
      <c r="IJ165" s="1083"/>
      <c r="IK165" s="1225">
        <f t="shared" ref="IK165" si="927">IK29</f>
        <v>0.118941125360693</v>
      </c>
      <c r="IL165" s="1083"/>
      <c r="IM165" s="1225">
        <f t="shared" ref="IM165" si="928">IM29</f>
        <v>0.11</v>
      </c>
      <c r="IN165" s="1225"/>
      <c r="IO165" s="1226">
        <f t="shared" ref="IO165:IQ165" si="929">IO29</f>
        <v>0.128168148743108</v>
      </c>
      <c r="IP165" s="1225">
        <f t="shared" si="929"/>
        <v>0.135164960182025</v>
      </c>
      <c r="IQ165" s="1225">
        <f t="shared" si="929"/>
        <v>0.137283266129032</v>
      </c>
      <c r="IR165" s="1181"/>
      <c r="IS165" s="1181"/>
      <c r="IT165" s="1181"/>
      <c r="IU165" s="1181"/>
      <c r="IV165" s="1181"/>
      <c r="IW165" s="1181"/>
      <c r="IX165" s="1178"/>
      <c r="IY165" s="1178"/>
      <c r="IZ165" s="1178"/>
      <c r="JA165" s="1178"/>
      <c r="JB165" s="1178"/>
      <c r="JC165" s="1178"/>
      <c r="JD165" s="1125"/>
      <c r="JE165" s="1126"/>
      <c r="JF165" s="1126"/>
      <c r="JG165" s="1126"/>
      <c r="JH165" s="1126"/>
      <c r="KP165" s="1203"/>
      <c r="LV165" s="1127"/>
    </row>
    <row r="166" spans="1:334">
      <c r="A166" s="969"/>
      <c r="AX166" s="1059"/>
      <c r="BE166" s="1060"/>
      <c r="BN166" s="1059"/>
      <c r="BU166" s="1060"/>
      <c r="BV166" s="1059"/>
      <c r="CC166" s="1060"/>
      <c r="CD166" s="1059"/>
      <c r="CJ166" s="1061"/>
      <c r="CK166" s="1060"/>
      <c r="CL166" s="1059"/>
      <c r="CS166" s="1060"/>
      <c r="CT166" s="1059"/>
      <c r="CW166" s="1062"/>
      <c r="CX166" s="1062"/>
      <c r="DE166" s="1064"/>
      <c r="DF166" s="1064"/>
      <c r="DM166" s="1064"/>
      <c r="DN166" s="1064"/>
      <c r="DU166" s="1064"/>
      <c r="DV166" s="1064"/>
      <c r="EC166" s="1064"/>
      <c r="ED166" s="1064"/>
      <c r="EK166" s="1064"/>
      <c r="EL166" s="1064"/>
      <c r="ER166" s="1065"/>
      <c r="ET166" s="1065"/>
      <c r="EU166" s="1065"/>
      <c r="EW166" s="1038"/>
      <c r="EX166" s="1037"/>
      <c r="EY166" s="1037"/>
      <c r="EZ166" s="1037"/>
      <c r="FA166" s="1037"/>
      <c r="FB166" s="1037"/>
      <c r="FC166" s="1037"/>
      <c r="FD166" s="1037"/>
      <c r="FE166" s="1038"/>
      <c r="FF166" s="1037"/>
      <c r="FG166" s="1037"/>
      <c r="FH166" s="1037"/>
      <c r="FI166" s="1037"/>
      <c r="FJ166" s="1037"/>
      <c r="FK166" s="1083"/>
      <c r="FL166" s="1083"/>
      <c r="FM166" s="1084"/>
      <c r="FN166" s="1037"/>
      <c r="FO166" s="1037"/>
      <c r="FP166" s="1037"/>
      <c r="FQ166" s="1037"/>
      <c r="FR166" s="1037"/>
      <c r="FS166" s="1037"/>
      <c r="FT166" s="1037"/>
      <c r="FU166" s="1037"/>
      <c r="FV166" s="1063"/>
      <c r="FW166" s="1037"/>
      <c r="FX166" s="1037"/>
      <c r="FY166" s="1037"/>
      <c r="FZ166" s="1037"/>
      <c r="GA166" s="1037"/>
      <c r="GB166" s="1037"/>
      <c r="GC166" s="1038"/>
      <c r="GD166" s="1037"/>
      <c r="GE166" s="1037"/>
      <c r="GF166" s="1037"/>
      <c r="GG166" s="1037"/>
      <c r="GH166" s="1037"/>
      <c r="GI166" s="1037"/>
      <c r="GJ166" s="1037"/>
      <c r="GK166" s="1038"/>
      <c r="GL166" s="1037"/>
      <c r="GM166" s="1037"/>
      <c r="GN166" s="1037"/>
      <c r="GO166" s="1037"/>
      <c r="GP166" s="1037"/>
      <c r="GQ166" s="1037"/>
      <c r="GR166" s="1037"/>
      <c r="GS166" s="1038"/>
      <c r="GT166" s="1037"/>
      <c r="GU166" s="1037"/>
      <c r="GV166" s="1037"/>
      <c r="GW166" s="1037"/>
      <c r="GX166" s="1037"/>
      <c r="GY166" s="1037"/>
      <c r="GZ166" s="1037"/>
      <c r="HA166" s="1038"/>
      <c r="HB166" s="1037"/>
      <c r="HC166" s="1037"/>
      <c r="HD166" s="1037"/>
      <c r="HE166" s="1037"/>
      <c r="HF166" s="1037"/>
      <c r="HG166" s="1037"/>
      <c r="HH166" s="1037"/>
      <c r="HI166" s="1081"/>
      <c r="HJ166" s="1037"/>
      <c r="HK166" s="1037"/>
      <c r="HL166" s="1037"/>
      <c r="HM166" s="1037"/>
      <c r="HN166" s="1037"/>
      <c r="HO166" s="1037">
        <f>HO216-300</f>
        <v>4904</v>
      </c>
      <c r="HP166" s="1037"/>
      <c r="HQ166" s="1038"/>
      <c r="HR166" s="1227" t="s">
        <v>538</v>
      </c>
      <c r="HS166" s="1037"/>
      <c r="HT166" s="1037"/>
      <c r="HU166" s="1037"/>
      <c r="HV166" s="1037"/>
      <c r="HW166" s="1082"/>
      <c r="HX166" s="1037"/>
      <c r="HY166" s="1037"/>
      <c r="HZ166" s="1224" t="s">
        <v>138</v>
      </c>
      <c r="IA166" s="1037"/>
      <c r="IB166" s="1037"/>
      <c r="IC166" s="1037"/>
      <c r="ID166" s="1037"/>
      <c r="IE166" s="1037"/>
      <c r="IF166" s="1037"/>
      <c r="IG166" s="1038"/>
      <c r="IH166" s="1037"/>
      <c r="II166" s="1037"/>
      <c r="IJ166" s="1037"/>
      <c r="IK166" s="1037"/>
      <c r="IL166" s="1037"/>
      <c r="IM166" s="1228"/>
      <c r="IN166" s="1037"/>
      <c r="IO166" s="1038"/>
      <c r="IP166" s="1228"/>
      <c r="IQ166" s="1228"/>
      <c r="IR166" s="1037"/>
      <c r="IS166" s="1037"/>
      <c r="IT166" s="1037"/>
      <c r="IU166" s="1037"/>
      <c r="IV166" s="1037"/>
      <c r="IW166" s="1037"/>
      <c r="IX166" s="1049"/>
      <c r="IY166" s="1049"/>
      <c r="IZ166" s="1049"/>
      <c r="JA166" s="1049"/>
      <c r="JB166" s="1049"/>
      <c r="JC166" s="1049"/>
      <c r="JD166" s="1041"/>
      <c r="JE166" s="1037"/>
      <c r="JF166" s="1037"/>
      <c r="JG166" s="1037"/>
      <c r="JH166" s="1037"/>
      <c r="JI166" s="1035"/>
      <c r="JJ166" s="1035"/>
      <c r="JK166" s="1035"/>
      <c r="JL166" s="1035"/>
      <c r="JM166" s="1035"/>
      <c r="JN166" s="1035"/>
      <c r="JO166" s="1035"/>
      <c r="JP166" s="1035"/>
      <c r="JQ166" s="1035"/>
      <c r="JR166" s="1035"/>
      <c r="JS166" s="1035"/>
      <c r="JT166" s="1035"/>
      <c r="JU166" s="1035"/>
      <c r="JV166" s="1035"/>
      <c r="JW166" s="1035"/>
      <c r="JX166" s="1035"/>
      <c r="JY166" s="1035"/>
      <c r="KP166" s="1117"/>
      <c r="LV166" s="967"/>
    </row>
    <row r="167" spans="1:334">
      <c r="A167" s="1051" t="s">
        <v>96</v>
      </c>
      <c r="B167" s="1197"/>
      <c r="C167" s="1197"/>
      <c r="D167" s="1197"/>
      <c r="E167" s="1197"/>
      <c r="F167" s="1197"/>
      <c r="G167" s="1197"/>
      <c r="H167" s="1197"/>
      <c r="I167" s="1197"/>
      <c r="J167" s="1197"/>
      <c r="K167" s="1197"/>
      <c r="L167" s="1197"/>
      <c r="M167" s="1197"/>
      <c r="N167" s="1197"/>
      <c r="O167" s="1197"/>
      <c r="P167" s="1197"/>
      <c r="Q167" s="1197"/>
      <c r="R167" s="1197"/>
      <c r="S167" s="1197"/>
      <c r="T167" s="1197"/>
      <c r="U167" s="1197"/>
      <c r="V167" s="1197"/>
      <c r="W167" s="1197"/>
      <c r="X167" s="1197"/>
      <c r="Y167" s="1197"/>
      <c r="Z167" s="1197"/>
      <c r="AA167" s="1197"/>
      <c r="AB167" s="1197"/>
      <c r="AC167" s="1197"/>
      <c r="AD167" s="1197"/>
      <c r="AE167" s="1197"/>
      <c r="AF167" s="1197"/>
      <c r="AG167" s="1197"/>
      <c r="AH167" s="1197"/>
      <c r="AI167" s="1197"/>
      <c r="AJ167" s="1197"/>
      <c r="AK167" s="1197"/>
      <c r="AL167" s="1197"/>
      <c r="AM167" s="1197"/>
      <c r="AN167" s="1197"/>
      <c r="AO167" s="1197"/>
      <c r="AP167" s="1197"/>
      <c r="AQ167" s="1197"/>
      <c r="AR167" s="1197"/>
      <c r="AS167" s="1197"/>
      <c r="AT167" s="1197"/>
      <c r="AU167" s="1197"/>
      <c r="AV167" s="1197"/>
      <c r="AW167" s="1197"/>
      <c r="AX167" s="1198"/>
      <c r="AY167" s="1197"/>
      <c r="AZ167" s="1197"/>
      <c r="BA167" s="1197"/>
      <c r="BB167" s="1197"/>
      <c r="BC167" s="1197"/>
      <c r="BD167" s="1197"/>
      <c r="BE167" s="1199"/>
      <c r="BF167" s="1197"/>
      <c r="BG167" s="1197"/>
      <c r="BH167" s="1197"/>
      <c r="BI167" s="1197"/>
      <c r="BJ167" s="1197"/>
      <c r="BK167" s="1197"/>
      <c r="BL167" s="1197"/>
      <c r="BM167" s="1197"/>
      <c r="BN167" s="1198"/>
      <c r="BO167" s="1197"/>
      <c r="BP167" s="1197"/>
      <c r="BQ167" s="1197"/>
      <c r="BR167" s="1197"/>
      <c r="BS167" s="1197"/>
      <c r="BT167" s="1197"/>
      <c r="BU167" s="1199"/>
      <c r="BV167" s="1198"/>
      <c r="BW167" s="1197"/>
      <c r="BX167" s="1197"/>
      <c r="BY167" s="1197"/>
      <c r="BZ167" s="1197"/>
      <c r="CA167" s="1197"/>
      <c r="CB167" s="1197"/>
      <c r="CC167" s="1199"/>
      <c r="CD167" s="1198"/>
      <c r="CE167" s="1197"/>
      <c r="CF167" s="1197"/>
      <c r="CG167" s="1197"/>
      <c r="CH167" s="1197"/>
      <c r="CI167" s="1197"/>
      <c r="CJ167" s="1197"/>
      <c r="CK167" s="1199"/>
      <c r="CL167" s="1198"/>
      <c r="CM167" s="1197"/>
      <c r="CN167" s="1197"/>
      <c r="CO167" s="1197"/>
      <c r="CP167" s="1197"/>
      <c r="CQ167" s="1197"/>
      <c r="CR167" s="1197"/>
      <c r="CS167" s="1199"/>
      <c r="CT167" s="1198"/>
      <c r="CU167" s="1197"/>
      <c r="CV167" s="1197"/>
      <c r="CW167" s="1197"/>
      <c r="CX167" s="1197"/>
      <c r="CY167" s="1197"/>
      <c r="CZ167" s="1197"/>
      <c r="DA167" s="1199"/>
      <c r="DB167" s="1200"/>
      <c r="DC167" s="1201"/>
      <c r="DD167" s="1201"/>
      <c r="DE167" s="1201"/>
      <c r="DF167" s="1201"/>
      <c r="DG167" s="1201"/>
      <c r="DH167" s="1201"/>
      <c r="DI167" s="1202"/>
      <c r="DJ167" s="1201"/>
      <c r="DK167" s="1201"/>
      <c r="DL167" s="1201"/>
      <c r="DM167" s="1201"/>
      <c r="DN167" s="1201"/>
      <c r="DO167" s="1201"/>
      <c r="DP167" s="1201"/>
      <c r="DQ167" s="1202"/>
      <c r="DR167" s="1201"/>
      <c r="DS167" s="1201"/>
      <c r="DT167" s="1201"/>
      <c r="DU167" s="1201"/>
      <c r="DV167" s="1201"/>
      <c r="DW167" s="1201"/>
      <c r="DX167" s="1201"/>
      <c r="DY167" s="1202"/>
      <c r="DZ167" s="1201"/>
      <c r="EA167" s="1201"/>
      <c r="EB167" s="1201"/>
      <c r="EC167" s="1201"/>
      <c r="ED167" s="1201"/>
      <c r="EE167" s="1201"/>
      <c r="EF167" s="1201"/>
      <c r="EG167" s="1202"/>
      <c r="EH167" s="1201"/>
      <c r="EI167" s="1201"/>
      <c r="EJ167" s="1201"/>
      <c r="EK167" s="1201"/>
      <c r="EL167" s="1201"/>
      <c r="EM167" s="1201"/>
      <c r="EN167" s="1201"/>
      <c r="EO167" s="1202"/>
      <c r="EP167" s="1047"/>
      <c r="EQ167" s="1047"/>
      <c r="ER167" s="1047"/>
      <c r="ES167" s="1047"/>
      <c r="ET167" s="1047"/>
      <c r="EU167" s="1047"/>
      <c r="EV167" s="1047"/>
      <c r="EW167" s="1048"/>
      <c r="EX167" s="1047"/>
      <c r="EY167" s="1047"/>
      <c r="EZ167" s="1047"/>
      <c r="FA167" s="1047"/>
      <c r="FB167" s="1047"/>
      <c r="FC167" s="1047"/>
      <c r="FD167" s="1047"/>
      <c r="FE167" s="1048"/>
      <c r="FF167" s="1047"/>
      <c r="FG167" s="1047"/>
      <c r="FH167" s="1047"/>
      <c r="FI167" s="1047"/>
      <c r="FJ167" s="1047"/>
      <c r="FK167" s="1047"/>
      <c r="FL167" s="1047"/>
      <c r="FM167" s="1048"/>
      <c r="FN167" s="1047"/>
      <c r="FO167" s="1047"/>
      <c r="FP167" s="1047"/>
      <c r="FQ167" s="1047"/>
      <c r="FR167" s="1047"/>
      <c r="FS167" s="1047"/>
      <c r="FT167" s="1047"/>
      <c r="FU167" s="1047"/>
      <c r="FV167" s="1044"/>
      <c r="FW167" s="1045"/>
      <c r="FX167" s="1045"/>
      <c r="FY167" s="1045"/>
      <c r="FZ167" s="1045"/>
      <c r="GA167" s="1045"/>
      <c r="GB167" s="1045"/>
      <c r="GC167" s="1045"/>
      <c r="GD167" s="1044"/>
      <c r="GE167" s="1045"/>
      <c r="GF167" s="1045"/>
      <c r="GG167" s="1045"/>
      <c r="GH167" s="1045"/>
      <c r="GI167" s="1045"/>
      <c r="GJ167" s="1045"/>
      <c r="GK167" s="1045"/>
      <c r="GL167" s="1045"/>
      <c r="GM167" s="1045"/>
      <c r="GN167" s="1045"/>
      <c r="GO167" s="1045"/>
      <c r="GP167" s="1045"/>
      <c r="GQ167" s="1045"/>
      <c r="GR167" s="1045"/>
      <c r="GS167" s="1046"/>
      <c r="GT167" s="1045"/>
      <c r="GU167" s="1045"/>
      <c r="GV167" s="1045"/>
      <c r="GW167" s="1045"/>
      <c r="GX167" s="1045"/>
      <c r="GY167" s="1045"/>
      <c r="GZ167" s="1045"/>
      <c r="HA167" s="1046"/>
      <c r="HB167" s="1045"/>
      <c r="HC167" s="1045"/>
      <c r="HD167" s="1045"/>
      <c r="HE167" s="1045"/>
      <c r="HF167" s="1045"/>
      <c r="HG167" s="1045"/>
      <c r="HH167" s="1045"/>
      <c r="HI167" s="1048"/>
      <c r="HJ167" s="1047"/>
      <c r="HK167" s="1047"/>
      <c r="HL167" s="1047"/>
      <c r="HM167" s="1047"/>
      <c r="HN167" s="1047"/>
      <c r="HO167" s="1047"/>
      <c r="HP167" s="1047"/>
      <c r="HQ167" s="1048"/>
      <c r="HR167" s="1047"/>
      <c r="HS167" s="1047"/>
      <c r="HT167" s="1047"/>
      <c r="HU167" s="1047"/>
      <c r="HV167" s="1047"/>
      <c r="HW167" s="1047"/>
      <c r="HX167" s="1047"/>
      <c r="HY167" s="1048"/>
      <c r="HZ167" s="1047"/>
      <c r="IA167" s="1047"/>
      <c r="IB167" s="1047"/>
      <c r="IC167" s="1047"/>
      <c r="ID167" s="1047"/>
      <c r="IE167" s="1047"/>
      <c r="IF167" s="1047"/>
      <c r="IG167" s="1048"/>
      <c r="IH167" s="1047"/>
      <c r="II167" s="1047"/>
      <c r="IJ167" s="1047"/>
      <c r="IK167" s="1047"/>
      <c r="IL167" s="1047"/>
      <c r="IM167" s="1047"/>
      <c r="IN167" s="1047"/>
      <c r="IO167" s="1048"/>
      <c r="IP167" s="1047"/>
      <c r="IQ167" s="1047"/>
      <c r="IR167" s="1047"/>
      <c r="IS167" s="1047"/>
      <c r="IT167" s="1047"/>
      <c r="IU167" s="1047"/>
      <c r="IV167" s="1047"/>
      <c r="IW167" s="1047"/>
      <c r="IX167" s="1049"/>
      <c r="IY167" s="1049"/>
      <c r="IZ167" s="1049"/>
      <c r="JA167" s="1049"/>
      <c r="JB167" s="1049"/>
      <c r="JC167" s="1049"/>
      <c r="JD167" s="1041"/>
      <c r="JE167" s="1037"/>
      <c r="JF167" s="1037"/>
      <c r="JG167" s="1037"/>
      <c r="JH167" s="1037"/>
      <c r="JI167" s="1035"/>
      <c r="JJ167" s="1035"/>
      <c r="JK167" s="1035"/>
      <c r="JL167" s="1035"/>
      <c r="JM167" s="1035"/>
      <c r="JN167" s="1035"/>
      <c r="JO167" s="1035"/>
      <c r="JP167" s="1035"/>
      <c r="JQ167" s="1035"/>
      <c r="JR167" s="1035"/>
      <c r="JS167" s="1035"/>
      <c r="JT167" s="1035"/>
      <c r="JU167" s="1035"/>
      <c r="JV167" s="1035"/>
      <c r="JW167" s="1035"/>
      <c r="JX167" s="1035"/>
      <c r="JY167" s="1035"/>
      <c r="KD167" s="1049"/>
      <c r="KE167" s="1049"/>
      <c r="KF167" s="1049"/>
      <c r="KG167" s="1089"/>
      <c r="KH167" s="1089"/>
      <c r="KI167" s="1037"/>
    </row>
    <row r="168" spans="1:334">
      <c r="A168" s="1051" t="s">
        <v>523</v>
      </c>
      <c r="B168" s="1197"/>
      <c r="C168" s="1197"/>
      <c r="D168" s="1197"/>
      <c r="E168" s="1197"/>
      <c r="F168" s="1197"/>
      <c r="G168" s="1197"/>
      <c r="H168" s="1197"/>
      <c r="I168" s="1197"/>
      <c r="J168" s="1197"/>
      <c r="K168" s="1197"/>
      <c r="L168" s="1197"/>
      <c r="M168" s="1197"/>
      <c r="N168" s="1197"/>
      <c r="O168" s="1197"/>
      <c r="P168" s="1197"/>
      <c r="Q168" s="1197"/>
      <c r="R168" s="1197"/>
      <c r="S168" s="1197"/>
      <c r="T168" s="1197"/>
      <c r="U168" s="1197"/>
      <c r="V168" s="1197"/>
      <c r="W168" s="1197"/>
      <c r="X168" s="1197"/>
      <c r="Y168" s="1197"/>
      <c r="Z168" s="1197"/>
      <c r="AA168" s="1197"/>
      <c r="AB168" s="1197"/>
      <c r="AC168" s="1197"/>
      <c r="AD168" s="1197"/>
      <c r="AE168" s="1197"/>
      <c r="AF168" s="1197"/>
      <c r="AG168" s="1197"/>
      <c r="AH168" s="1197"/>
      <c r="AI168" s="1197"/>
      <c r="AJ168" s="1197"/>
      <c r="AK168" s="1197"/>
      <c r="AL168" s="1197"/>
      <c r="AM168" s="1197"/>
      <c r="AN168" s="1197"/>
      <c r="AO168" s="1197"/>
      <c r="AP168" s="1197"/>
      <c r="AQ168" s="1197"/>
      <c r="AR168" s="1197"/>
      <c r="AS168" s="1197"/>
      <c r="AT168" s="1197"/>
      <c r="AU168" s="1197"/>
      <c r="AV168" s="1197"/>
      <c r="AW168" s="1197"/>
      <c r="AX168" s="1198"/>
      <c r="AY168" s="1197"/>
      <c r="AZ168" s="1197"/>
      <c r="BA168" s="1197"/>
      <c r="BB168" s="1197"/>
      <c r="BC168" s="1197"/>
      <c r="BD168" s="1197"/>
      <c r="BE168" s="1199"/>
      <c r="BF168" s="1197"/>
      <c r="BG168" s="1197"/>
      <c r="BH168" s="1197"/>
      <c r="BI168" s="1197"/>
      <c r="BJ168" s="1197"/>
      <c r="BK168" s="1197"/>
      <c r="BL168" s="1197"/>
      <c r="BM168" s="1197"/>
      <c r="BN168" s="1198"/>
      <c r="BO168" s="1197"/>
      <c r="BP168" s="1197"/>
      <c r="BQ168" s="1197"/>
      <c r="BR168" s="1197"/>
      <c r="BS168" s="1197"/>
      <c r="BT168" s="1197"/>
      <c r="BU168" s="1199"/>
      <c r="BV168" s="1198"/>
      <c r="BW168" s="1197"/>
      <c r="BX168" s="1197"/>
      <c r="BY168" s="1197"/>
      <c r="BZ168" s="1197"/>
      <c r="CA168" s="1197"/>
      <c r="CB168" s="1197"/>
      <c r="CC168" s="1199"/>
      <c r="CD168" s="1198"/>
      <c r="CE168" s="1197"/>
      <c r="CF168" s="1197"/>
      <c r="CG168" s="1197"/>
      <c r="CH168" s="1197"/>
      <c r="CI168" s="1197"/>
      <c r="CJ168" s="1197"/>
      <c r="CK168" s="1199"/>
      <c r="CL168" s="1198"/>
      <c r="CM168" s="1197"/>
      <c r="CN168" s="1197"/>
      <c r="CO168" s="1197"/>
      <c r="CP168" s="1197"/>
      <c r="CQ168" s="1197"/>
      <c r="CR168" s="1197"/>
      <c r="CS168" s="1199"/>
      <c r="CT168" s="1198"/>
      <c r="CU168" s="1197"/>
      <c r="CV168" s="1197"/>
      <c r="CW168" s="1197"/>
      <c r="CX168" s="1197"/>
      <c r="CY168" s="1197"/>
      <c r="CZ168" s="1197"/>
      <c r="DA168" s="1199"/>
      <c r="DB168" s="1200"/>
      <c r="DC168" s="1201"/>
      <c r="DD168" s="1201"/>
      <c r="DE168" s="1201"/>
      <c r="DF168" s="1201"/>
      <c r="DG168" s="1201"/>
      <c r="DH168" s="1201"/>
      <c r="DI168" s="1202"/>
      <c r="DJ168" s="1201"/>
      <c r="DK168" s="1201"/>
      <c r="DL168" s="1201"/>
      <c r="DM168" s="1201"/>
      <c r="DN168" s="1201"/>
      <c r="DO168" s="1201"/>
      <c r="DP168" s="1201"/>
      <c r="DQ168" s="1202"/>
      <c r="DR168" s="1201"/>
      <c r="DS168" s="1201"/>
      <c r="DT168" s="1201"/>
      <c r="DU168" s="1201"/>
      <c r="DV168" s="1201"/>
      <c r="DW168" s="1201"/>
      <c r="DX168" s="1201"/>
      <c r="DY168" s="1202"/>
      <c r="DZ168" s="1201"/>
      <c r="EA168" s="1201"/>
      <c r="EB168" s="1201"/>
      <c r="EC168" s="1201"/>
      <c r="ED168" s="1201"/>
      <c r="EE168" s="1201"/>
      <c r="EF168" s="1201"/>
      <c r="EG168" s="1202"/>
      <c r="EH168" s="1201"/>
      <c r="EI168" s="1201"/>
      <c r="EJ168" s="1201"/>
      <c r="EK168" s="1201"/>
      <c r="EL168" s="1201"/>
      <c r="EM168" s="1201"/>
      <c r="EN168" s="1201"/>
      <c r="EO168" s="1202"/>
      <c r="EP168" s="1047"/>
      <c r="EQ168" s="1047"/>
      <c r="ER168" s="1047"/>
      <c r="ES168" s="1047"/>
      <c r="ET168" s="1047"/>
      <c r="EU168" s="1047"/>
      <c r="EV168" s="1047"/>
      <c r="EW168" s="1048"/>
      <c r="EX168" s="1047"/>
      <c r="EY168" s="1047"/>
      <c r="EZ168" s="1047"/>
      <c r="FA168" s="1047"/>
      <c r="FB168" s="1047"/>
      <c r="FC168" s="1047"/>
      <c r="FD168" s="1047"/>
      <c r="FE168" s="1048"/>
      <c r="FF168" s="1047"/>
      <c r="FG168" s="1047"/>
      <c r="FH168" s="1047"/>
      <c r="FI168" s="1047"/>
      <c r="FJ168" s="1047"/>
      <c r="FK168" s="1047"/>
      <c r="FL168" s="1047"/>
      <c r="FM168" s="1048"/>
      <c r="FN168" s="1047"/>
      <c r="FO168" s="1047"/>
      <c r="FP168" s="1047"/>
      <c r="FQ168" s="1047"/>
      <c r="FR168" s="1047"/>
      <c r="FS168" s="1047"/>
      <c r="FT168" s="1047"/>
      <c r="FU168" s="1047"/>
      <c r="FV168" s="1055" t="s">
        <v>416</v>
      </c>
      <c r="FW168" s="1047" t="s">
        <v>417</v>
      </c>
      <c r="FX168" s="1047" t="s">
        <v>418</v>
      </c>
      <c r="FY168" s="1047" t="s">
        <v>419</v>
      </c>
      <c r="FZ168" s="1047" t="s">
        <v>420</v>
      </c>
      <c r="GA168" s="1047" t="s">
        <v>421</v>
      </c>
      <c r="GB168" s="1047" t="s">
        <v>422</v>
      </c>
      <c r="GC168" s="1048" t="s">
        <v>423</v>
      </c>
      <c r="GD168" s="1047" t="s">
        <v>424</v>
      </c>
      <c r="GE168" s="1047" t="s">
        <v>425</v>
      </c>
      <c r="GF168" s="1047" t="s">
        <v>426</v>
      </c>
      <c r="GG168" s="1047" t="s">
        <v>427</v>
      </c>
      <c r="GH168" s="1047" t="s">
        <v>539</v>
      </c>
      <c r="GI168" s="1047" t="s">
        <v>429</v>
      </c>
      <c r="GJ168" s="1047" t="s">
        <v>430</v>
      </c>
      <c r="GK168" s="1048" t="s">
        <v>431</v>
      </c>
      <c r="GL168" s="1047" t="s">
        <v>432</v>
      </c>
      <c r="GM168" s="1047" t="s">
        <v>433</v>
      </c>
      <c r="GN168" s="1047" t="s">
        <v>540</v>
      </c>
      <c r="GO168" s="1047" t="s">
        <v>435</v>
      </c>
      <c r="GP168" s="1047" t="s">
        <v>541</v>
      </c>
      <c r="GQ168" s="1047" t="s">
        <v>437</v>
      </c>
      <c r="GR168" s="1047" t="s">
        <v>542</v>
      </c>
      <c r="GS168" s="1048" t="s">
        <v>439</v>
      </c>
      <c r="GT168" s="1047" t="s">
        <v>440</v>
      </c>
      <c r="GU168" s="1047" t="s">
        <v>441</v>
      </c>
      <c r="GV168" s="1047" t="s">
        <v>442</v>
      </c>
      <c r="GW168" s="1047" t="s">
        <v>443</v>
      </c>
      <c r="GX168" s="1047" t="s">
        <v>532</v>
      </c>
      <c r="GY168" s="1047" t="s">
        <v>445</v>
      </c>
      <c r="GZ168" s="1047" t="s">
        <v>543</v>
      </c>
      <c r="HA168" s="1048" t="s">
        <v>447</v>
      </c>
      <c r="HB168" s="1047" t="s">
        <v>448</v>
      </c>
      <c r="HC168" s="1047" t="s">
        <v>449</v>
      </c>
      <c r="HD168" s="1047" t="s">
        <v>450</v>
      </c>
      <c r="HE168" s="1047" t="s">
        <v>451</v>
      </c>
      <c r="HF168" s="1047" t="s">
        <v>452</v>
      </c>
      <c r="HG168" s="1047" t="s">
        <v>453</v>
      </c>
      <c r="HH168" s="1047" t="s">
        <v>454</v>
      </c>
      <c r="HI168" s="1048" t="s">
        <v>455</v>
      </c>
      <c r="HJ168" s="1047" t="s">
        <v>456</v>
      </c>
      <c r="HK168" s="1047" t="s">
        <v>457</v>
      </c>
      <c r="HL168" s="1047" t="s">
        <v>458</v>
      </c>
      <c r="HM168" s="1047" t="s">
        <v>459</v>
      </c>
      <c r="HN168" s="1047" t="s">
        <v>460</v>
      </c>
      <c r="HO168" s="1047" t="s">
        <v>461</v>
      </c>
      <c r="HP168" s="1047" t="s">
        <v>462</v>
      </c>
      <c r="HQ168" s="1048" t="s">
        <v>463</v>
      </c>
      <c r="HR168" s="1047" t="str">
        <f>HR146</f>
        <v>1Q23</v>
      </c>
      <c r="HS168" s="1047" t="s">
        <v>465</v>
      </c>
      <c r="HT168" s="1047" t="s">
        <v>466</v>
      </c>
      <c r="HU168" s="1047" t="s">
        <v>467</v>
      </c>
      <c r="HV168" s="1047" t="s">
        <v>468</v>
      </c>
      <c r="HW168" s="1047" t="s">
        <v>469</v>
      </c>
      <c r="HX168" s="1047" t="s">
        <v>470</v>
      </c>
      <c r="HY168" s="1048" t="s">
        <v>471</v>
      </c>
      <c r="HZ168" s="1047" t="str">
        <f>HZ2</f>
        <v>1Q24</v>
      </c>
      <c r="IA168" s="1047" t="str">
        <f t="shared" ref="IA168:IH168" si="930">IA2</f>
        <v>2Q24</v>
      </c>
      <c r="IB168" s="1047" t="str">
        <f t="shared" si="930"/>
        <v>1H24</v>
      </c>
      <c r="IC168" s="1047" t="str">
        <f t="shared" si="930"/>
        <v>3Q24</v>
      </c>
      <c r="ID168" s="1047" t="str">
        <f t="shared" si="930"/>
        <v>9M24E</v>
      </c>
      <c r="IE168" s="1047" t="str">
        <f t="shared" si="930"/>
        <v>4Q24</v>
      </c>
      <c r="IF168" s="1047" t="str">
        <f t="shared" si="930"/>
        <v>2H24E</v>
      </c>
      <c r="IG168" s="1048" t="str">
        <f t="shared" si="930"/>
        <v>FY24</v>
      </c>
      <c r="IH168" s="1047" t="str">
        <f t="shared" si="930"/>
        <v>1Q25</v>
      </c>
      <c r="II168" s="1047" t="str">
        <f t="shared" ref="II168:IW168" si="931">II2</f>
        <v>2Q25</v>
      </c>
      <c r="IJ168" s="1047" t="str">
        <f t="shared" si="931"/>
        <v>1H25</v>
      </c>
      <c r="IK168" s="1047" t="str">
        <f t="shared" si="931"/>
        <v>3Q25</v>
      </c>
      <c r="IL168" s="1047" t="str">
        <f t="shared" si="931"/>
        <v>9M25E</v>
      </c>
      <c r="IM168" s="1047" t="str">
        <f t="shared" si="931"/>
        <v>4Q25</v>
      </c>
      <c r="IN168" s="1047" t="str">
        <f t="shared" si="931"/>
        <v>2H25E</v>
      </c>
      <c r="IO168" s="1048" t="str">
        <f t="shared" si="931"/>
        <v>FY25</v>
      </c>
      <c r="IP168" s="1047" t="str">
        <f t="shared" si="931"/>
        <v>1Q26</v>
      </c>
      <c r="IQ168" s="1047" t="str">
        <f t="shared" si="931"/>
        <v>2Q26</v>
      </c>
      <c r="IR168" s="1047" t="str">
        <f t="shared" si="931"/>
        <v>1H25E</v>
      </c>
      <c r="IS168" s="1047" t="str">
        <f t="shared" si="931"/>
        <v>3Q26E</v>
      </c>
      <c r="IT168" s="1047" t="str">
        <f t="shared" si="931"/>
        <v>9M25E</v>
      </c>
      <c r="IU168" s="1047" t="str">
        <f t="shared" si="931"/>
        <v>4Q26E</v>
      </c>
      <c r="IV168" s="1047" t="str">
        <f t="shared" si="931"/>
        <v>2H25E</v>
      </c>
      <c r="IW168" s="1048" t="str">
        <f t="shared" si="931"/>
        <v>FY26E</v>
      </c>
      <c r="IX168" s="1049"/>
      <c r="IY168" s="1049"/>
      <c r="IZ168" s="1049"/>
      <c r="JA168" s="1049"/>
      <c r="JB168" s="1049"/>
      <c r="JC168" s="1049"/>
      <c r="JD168" s="1041"/>
      <c r="JE168" s="1037"/>
      <c r="JF168" s="1037"/>
      <c r="JG168" s="1037"/>
      <c r="JH168" s="1037"/>
      <c r="JI168" s="1035"/>
      <c r="JJ168" s="1035"/>
      <c r="JK168" s="1035"/>
      <c r="JL168" s="1035"/>
      <c r="JM168" s="1035"/>
      <c r="JN168" s="1035"/>
      <c r="JO168" s="1035"/>
      <c r="JP168" s="1035"/>
      <c r="JQ168" s="1035"/>
      <c r="JR168" s="1035"/>
      <c r="JS168" s="1035"/>
      <c r="JT168" s="1035"/>
      <c r="JU168" s="1035"/>
      <c r="JV168" s="1035"/>
      <c r="JW168" s="1035"/>
      <c r="JX168" s="1035"/>
      <c r="JY168" s="1035"/>
      <c r="KD168" s="1049"/>
      <c r="KE168" s="1049"/>
      <c r="KF168" s="1049"/>
      <c r="KG168" s="1089"/>
      <c r="KH168" s="1089"/>
      <c r="KI168" s="1037"/>
    </row>
    <row r="169" spans="1:334">
      <c r="A169" s="969" t="s">
        <v>98</v>
      </c>
      <c r="AX169" s="1059"/>
      <c r="BE169" s="1060"/>
      <c r="BN169" s="1059"/>
      <c r="BU169" s="1060"/>
      <c r="BV169" s="1059"/>
      <c r="CC169" s="1060"/>
      <c r="CD169" s="1059"/>
      <c r="CJ169" s="1061"/>
      <c r="CK169" s="1060"/>
      <c r="CL169" s="1059"/>
      <c r="CS169" s="1060"/>
      <c r="CT169" s="1059"/>
      <c r="CW169" s="1062"/>
      <c r="CX169" s="1062"/>
      <c r="DE169" s="1064"/>
      <c r="DF169" s="1064"/>
      <c r="DM169" s="1064"/>
      <c r="DN169" s="1064"/>
      <c r="DU169" s="1064"/>
      <c r="DV169" s="1064"/>
      <c r="EC169" s="1064"/>
      <c r="ED169" s="1064"/>
      <c r="EK169" s="1064"/>
      <c r="EL169" s="1064"/>
      <c r="ER169" s="1065"/>
      <c r="ET169" s="1065"/>
      <c r="EU169" s="1065"/>
      <c r="EW169" s="1038"/>
      <c r="EX169" s="1071">
        <v>1011</v>
      </c>
      <c r="EY169" s="1071">
        <v>837</v>
      </c>
      <c r="EZ169" s="1071">
        <f>EX169+EY169</f>
        <v>1848</v>
      </c>
      <c r="FA169" s="1071">
        <v>1169</v>
      </c>
      <c r="FB169" s="1071">
        <f>EZ169+FA169</f>
        <v>3017</v>
      </c>
      <c r="FC169" s="1071">
        <v>776</v>
      </c>
      <c r="FD169" s="1071">
        <f>FA169+FC169</f>
        <v>1945</v>
      </c>
      <c r="FE169" s="1072">
        <f>EX169+EY169+FA169+FC169</f>
        <v>3793</v>
      </c>
      <c r="FF169" s="1071">
        <v>1143</v>
      </c>
      <c r="FG169" s="1071">
        <v>961</v>
      </c>
      <c r="FH169" s="1071">
        <f>FF169+FG169</f>
        <v>2104</v>
      </c>
      <c r="FI169" s="1071">
        <v>1404</v>
      </c>
      <c r="FJ169" s="1071">
        <f>FH169+FI169</f>
        <v>3508</v>
      </c>
      <c r="FK169" s="1098">
        <v>1031</v>
      </c>
      <c r="FL169" s="1071">
        <f>FI169+FK169</f>
        <v>2435</v>
      </c>
      <c r="FM169" s="1072">
        <f>FF169+FG169+FI169+FK169</f>
        <v>4539</v>
      </c>
      <c r="FN169" s="1098">
        <v>1414</v>
      </c>
      <c r="FO169" s="1071">
        <v>1214</v>
      </c>
      <c r="FP169" s="1071">
        <f>FN169+FO169</f>
        <v>2628</v>
      </c>
      <c r="FQ169" s="1071">
        <v>1557</v>
      </c>
      <c r="FR169" s="1071">
        <f>FN169+FO169+FQ169</f>
        <v>4185</v>
      </c>
      <c r="FS169" s="1071">
        <f>FU169-FN169-FO169-FQ169</f>
        <v>1106</v>
      </c>
      <c r="FT169" s="1071">
        <f>FQ169+FS169</f>
        <v>2663</v>
      </c>
      <c r="FU169" s="1071">
        <v>5291</v>
      </c>
      <c r="FV169" s="1075">
        <v>1523</v>
      </c>
      <c r="FW169" s="1098">
        <v>1421</v>
      </c>
      <c r="FX169" s="1071">
        <f>FV169+FW169</f>
        <v>2944</v>
      </c>
      <c r="FY169" s="1098">
        <f>FQ169*(1+FY170)</f>
        <v>1656</v>
      </c>
      <c r="FZ169" s="1071">
        <f>FV169+FW169+FY169</f>
        <v>4600</v>
      </c>
      <c r="GA169" s="1071">
        <f>GC169-FV169-FW169-FY169</f>
        <v>1283</v>
      </c>
      <c r="GB169" s="1071">
        <f>FY169+GA169</f>
        <v>2939</v>
      </c>
      <c r="GC169" s="1072">
        <v>5883</v>
      </c>
      <c r="GD169" s="1076">
        <f>FV169*(1+GD170)</f>
        <v>1603</v>
      </c>
      <c r="GE169" s="1076">
        <v>1420</v>
      </c>
      <c r="GF169" s="1071">
        <f>GD169+GE169</f>
        <v>3023</v>
      </c>
      <c r="GG169" s="1076">
        <f>1671*(1+GG170)</f>
        <v>1645</v>
      </c>
      <c r="GH169" s="1071">
        <f>GD169+GE169+GG169</f>
        <v>4668</v>
      </c>
      <c r="GI169" s="1076">
        <v>1216</v>
      </c>
      <c r="GJ169" s="1071">
        <f>GG169+GI169</f>
        <v>2861</v>
      </c>
      <c r="GK169" s="1072">
        <f>GJ169+GF169</f>
        <v>5884</v>
      </c>
      <c r="GL169" s="1076">
        <f>GD169*(1+GL170)</f>
        <v>1551</v>
      </c>
      <c r="GM169" s="1076">
        <f>GE169*(1+GM170)</f>
        <v>1421.42</v>
      </c>
      <c r="GN169" s="1071">
        <f>GL169+GM169</f>
        <v>2972.42</v>
      </c>
      <c r="GO169" s="1076">
        <f>GG169*(1+GO170)</f>
        <v>1698</v>
      </c>
      <c r="GP169" s="1071">
        <f>GL169+GM169+GO169</f>
        <v>4670.42</v>
      </c>
      <c r="GQ169" s="1076">
        <f>GI169*(1+GQ170)</f>
        <v>1401</v>
      </c>
      <c r="GR169" s="1071">
        <f>GO169+GQ169</f>
        <v>3099</v>
      </c>
      <c r="GS169" s="1072">
        <f>GR169+GN169</f>
        <v>6071.42</v>
      </c>
      <c r="GT169" s="1076">
        <f>GL169*(1+GT170)</f>
        <v>1426</v>
      </c>
      <c r="GU169" s="1076">
        <f>GM169*(1+GU170)</f>
        <v>844</v>
      </c>
      <c r="GV169" s="1071">
        <f>GT169+GU169</f>
        <v>2270</v>
      </c>
      <c r="GW169" s="1076">
        <f>GO169*(1+GW170)</f>
        <v>1753.185</v>
      </c>
      <c r="GX169" s="1071">
        <f>GT169+GU169+GW169</f>
        <v>4023.185</v>
      </c>
      <c r="GY169" s="1076">
        <f>GQ169*(1+GY170)</f>
        <v>1296.815</v>
      </c>
      <c r="GZ169" s="1071">
        <f>GW169+GY169</f>
        <v>3050</v>
      </c>
      <c r="HA169" s="1072">
        <f>GZ169+GV169</f>
        <v>5320</v>
      </c>
      <c r="HB169" s="1076">
        <f>1705*(1+HB170)</f>
        <v>1770</v>
      </c>
      <c r="HC169" s="1076">
        <f>965*(1+HC170)</f>
        <v>1910</v>
      </c>
      <c r="HD169" s="1071">
        <f>HB169+HC169</f>
        <v>3680</v>
      </c>
      <c r="HE169" s="1076">
        <f>2079*(1+HE170)</f>
        <v>2248</v>
      </c>
      <c r="HF169" s="1071">
        <f>HB169+HC169+HE169</f>
        <v>5928</v>
      </c>
      <c r="HG169" s="1076">
        <f>1559*(1+HG170)</f>
        <v>1832</v>
      </c>
      <c r="HH169" s="1071">
        <f>HE169+HG169</f>
        <v>4080</v>
      </c>
      <c r="HI169" s="1072">
        <f>HH169+HD169</f>
        <v>7760</v>
      </c>
      <c r="HJ169" s="1076">
        <f>HB169*(1+HJ170)</f>
        <v>1935</v>
      </c>
      <c r="HK169" s="1076">
        <f>HC169*(1+HK170)</f>
        <v>2079</v>
      </c>
      <c r="HL169" s="1071">
        <f>HJ169+HK169</f>
        <v>4014</v>
      </c>
      <c r="HM169" s="1076">
        <f>HE169*(1+HM170)</f>
        <v>2463</v>
      </c>
      <c r="HN169" s="1071">
        <f>HJ169+HK169+HM169</f>
        <v>6477</v>
      </c>
      <c r="HO169" s="1076">
        <f>HG169*(1+HO170)</f>
        <v>2073</v>
      </c>
      <c r="HP169" s="1071">
        <f>HM169+HO169</f>
        <v>4536</v>
      </c>
      <c r="HQ169" s="1072">
        <f>HP169+HL169</f>
        <v>8550</v>
      </c>
      <c r="HR169" s="1076">
        <v>1509</v>
      </c>
      <c r="HS169" s="1076">
        <v>1492</v>
      </c>
      <c r="HT169" s="1071">
        <f>HR169+HS169</f>
        <v>3001</v>
      </c>
      <c r="HU169" s="1076">
        <v>1724.5</v>
      </c>
      <c r="HV169" s="1071">
        <f>HR169+HS169+HU169</f>
        <v>4725.5</v>
      </c>
      <c r="HW169" s="1076">
        <v>1389</v>
      </c>
      <c r="HX169" s="1071">
        <f>HU169+HW169</f>
        <v>3113.5</v>
      </c>
      <c r="HY169" s="1072">
        <f>HX169+HT169</f>
        <v>6114.5</v>
      </c>
      <c r="HZ169" s="1076">
        <f>HR169*(1+HZ170)</f>
        <v>1695.5</v>
      </c>
      <c r="IA169" s="1076">
        <f>HS169*(1+IA170)</f>
        <v>1853.941</v>
      </c>
      <c r="IB169" s="1071">
        <f>HZ169+IA169</f>
        <v>3549.441</v>
      </c>
      <c r="IC169" s="1076">
        <f>HU169*(1+IC170)</f>
        <v>2086.645</v>
      </c>
      <c r="ID169" s="1071">
        <f>HZ169+IA169+IC169</f>
        <v>5636.086</v>
      </c>
      <c r="IE169" s="1076">
        <f>HW169*(1+IE170)</f>
        <v>1752.918</v>
      </c>
      <c r="IF169" s="1071">
        <f>IC169+IE169</f>
        <v>3839.563</v>
      </c>
      <c r="IG169" s="1072">
        <f>IF169+IB169</f>
        <v>7389.004</v>
      </c>
      <c r="IH169" s="1076">
        <f>HZ169*(1+IH170)</f>
        <v>1986</v>
      </c>
      <c r="II169" s="1076">
        <f>IA169*(1+II170)</f>
        <v>1997</v>
      </c>
      <c r="IJ169" s="1071">
        <f>IH169+II169</f>
        <v>3983</v>
      </c>
      <c r="IK169" s="1076">
        <f>IC169*(1+IK170)</f>
        <v>2328</v>
      </c>
      <c r="IL169" s="1071">
        <f>IH169+II169+IK169</f>
        <v>6311</v>
      </c>
      <c r="IM169" s="1076">
        <f>IE169*(1+IM170)</f>
        <v>1825</v>
      </c>
      <c r="IN169" s="1071">
        <f>IK169+IM169</f>
        <v>4153</v>
      </c>
      <c r="IO169" s="1072">
        <f>IN169+IJ169</f>
        <v>8136</v>
      </c>
      <c r="IP169" s="1076">
        <f>IH169*(1+IP170)</f>
        <v>2090</v>
      </c>
      <c r="IQ169" s="1076">
        <f>II169*(1+IQ170)</f>
        <v>2108</v>
      </c>
      <c r="IR169" s="1071">
        <f>IP169+IQ169</f>
        <v>4198</v>
      </c>
      <c r="IS169" s="1076">
        <f>IK169*(1+IS170)</f>
        <v>2467.68</v>
      </c>
      <c r="IT169" s="1071">
        <f>IP169+IQ169+IS169</f>
        <v>6665.68</v>
      </c>
      <c r="IU169" s="1076">
        <f>IM169*(1+IU170)</f>
        <v>1898</v>
      </c>
      <c r="IV169" s="1071">
        <f>IS169+IU169</f>
        <v>4365.68</v>
      </c>
      <c r="IW169" s="1072">
        <f>IV169+IR169</f>
        <v>8563.68</v>
      </c>
      <c r="IX169" s="1049"/>
      <c r="IY169" s="1049"/>
      <c r="IZ169" s="1049"/>
      <c r="JA169" s="1037"/>
      <c r="JB169" s="1037"/>
      <c r="JC169" s="1037"/>
      <c r="JD169" s="1041"/>
      <c r="JE169" s="1037"/>
      <c r="JF169" s="1037"/>
      <c r="JG169" s="1037"/>
      <c r="JH169" s="1037"/>
      <c r="JI169" s="1035"/>
      <c r="JJ169" s="1035"/>
      <c r="JK169" s="1035"/>
      <c r="JL169" s="1035"/>
      <c r="JM169" s="1035"/>
      <c r="JN169" s="1035"/>
      <c r="JO169" s="1035"/>
      <c r="JP169" s="1035"/>
      <c r="JQ169" s="1035"/>
      <c r="KA169" s="1229"/>
      <c r="KB169" s="1148" t="s">
        <v>515</v>
      </c>
      <c r="KC169" s="1148" t="s">
        <v>516</v>
      </c>
      <c r="KD169" s="1037" t="s">
        <v>517</v>
      </c>
      <c r="KE169" s="1037" t="s">
        <v>518</v>
      </c>
      <c r="KF169" s="1037"/>
      <c r="KG169" s="1037"/>
      <c r="KH169" s="1089"/>
      <c r="KI169" s="1037"/>
    </row>
    <row r="170" spans="1:334">
      <c r="A170" s="967" t="s">
        <v>61</v>
      </c>
      <c r="AX170" s="1059"/>
      <c r="BE170" s="1060"/>
      <c r="BN170" s="1059"/>
      <c r="BU170" s="1060"/>
      <c r="BV170" s="1059"/>
      <c r="CC170" s="1060"/>
      <c r="CD170" s="1059"/>
      <c r="CJ170" s="1061"/>
      <c r="CK170" s="1060"/>
      <c r="CL170" s="1059"/>
      <c r="CS170" s="1060"/>
      <c r="CT170" s="1059"/>
      <c r="CW170" s="1062"/>
      <c r="CX170" s="1062"/>
      <c r="DE170" s="1064"/>
      <c r="DF170" s="1064"/>
      <c r="DM170" s="1064"/>
      <c r="DN170" s="1064"/>
      <c r="DU170" s="1064"/>
      <c r="DV170" s="1064"/>
      <c r="EC170" s="1064"/>
      <c r="ED170" s="1064"/>
      <c r="EK170" s="1064"/>
      <c r="EL170" s="1064"/>
      <c r="ER170" s="1065"/>
      <c r="ET170" s="1065"/>
      <c r="EU170" s="1065"/>
      <c r="EW170" s="1038"/>
      <c r="EX170" s="1082"/>
      <c r="EY170" s="1082"/>
      <c r="EZ170" s="1082"/>
      <c r="FA170" s="1082"/>
      <c r="FB170" s="1082"/>
      <c r="FC170" s="1082"/>
      <c r="FD170" s="1082"/>
      <c r="FE170" s="1085"/>
      <c r="FF170" s="1091">
        <f t="shared" ref="FF170:FM170" si="932">FF169/EX169-1</f>
        <v>0.130563798219585</v>
      </c>
      <c r="FG170" s="1082">
        <f t="shared" si="932"/>
        <v>0.148148148148148</v>
      </c>
      <c r="FH170" s="1082">
        <f t="shared" si="932"/>
        <v>0.138528138528139</v>
      </c>
      <c r="FI170" s="1087">
        <f t="shared" si="932"/>
        <v>0.201026518391788</v>
      </c>
      <c r="FJ170" s="1087">
        <f t="shared" si="932"/>
        <v>0.162744448127279</v>
      </c>
      <c r="FK170" s="1091">
        <f t="shared" si="932"/>
        <v>0.32860824742268</v>
      </c>
      <c r="FL170" s="1082">
        <f t="shared" si="932"/>
        <v>0.251928020565553</v>
      </c>
      <c r="FM170" s="1085">
        <f t="shared" si="932"/>
        <v>0.19667809122067</v>
      </c>
      <c r="FN170" s="1091">
        <f t="shared" ref="FN170:FX170" si="933">FN169/FF169-1</f>
        <v>0.237095363079615</v>
      </c>
      <c r="FO170" s="1082">
        <f t="shared" si="933"/>
        <v>0.263267429760666</v>
      </c>
      <c r="FP170" s="1082">
        <f t="shared" si="933"/>
        <v>0.249049429657795</v>
      </c>
      <c r="FQ170" s="1091">
        <f t="shared" si="933"/>
        <v>0.108974358974359</v>
      </c>
      <c r="FR170" s="1082">
        <f t="shared" si="933"/>
        <v>0.192987457240593</v>
      </c>
      <c r="FS170" s="1082">
        <f t="shared" si="933"/>
        <v>0.0727449078564502</v>
      </c>
      <c r="FT170" s="1082">
        <f t="shared" si="933"/>
        <v>0.0936344969199179</v>
      </c>
      <c r="FU170" s="1082">
        <f t="shared" si="933"/>
        <v>0.165675258867592</v>
      </c>
      <c r="FV170" s="1086">
        <f t="shared" si="933"/>
        <v>0.077086280056577</v>
      </c>
      <c r="FW170" s="1082">
        <f t="shared" si="933"/>
        <v>0.170510708401977</v>
      </c>
      <c r="FX170" s="1082">
        <f t="shared" si="933"/>
        <v>0.120243531202435</v>
      </c>
      <c r="FY170" s="1082">
        <f>FY171+FY172</f>
        <v>0.0635838150289017</v>
      </c>
      <c r="FZ170" s="1082">
        <f>FZ169/FR169-1</f>
        <v>0.0991636798088411</v>
      </c>
      <c r="GA170" s="1082">
        <f t="shared" ref="GA170" si="934">GA169/FS169-1</f>
        <v>0.160036166365281</v>
      </c>
      <c r="GB170" s="1082">
        <f t="shared" ref="GB170" si="935">GB169/FT169-1</f>
        <v>0.103642508449117</v>
      </c>
      <c r="GC170" s="1085">
        <f t="shared" ref="GC170" si="936">GC169/FU169-1</f>
        <v>0.111888111888112</v>
      </c>
      <c r="GD170" s="1087">
        <f>GD171+GD172</f>
        <v>0.0525279054497701</v>
      </c>
      <c r="GE170" s="1082">
        <f>GE169/FW169-1</f>
        <v>-0.000703729767769223</v>
      </c>
      <c r="GF170" s="1082">
        <f>GF169/FX169-1</f>
        <v>0.0268342391304348</v>
      </c>
      <c r="GG170" s="1087">
        <f>GG171+GG172</f>
        <v>-0.0155595451825255</v>
      </c>
      <c r="GH170" s="1082">
        <f>GH169/FZ169-1</f>
        <v>0.0147826086956522</v>
      </c>
      <c r="GI170" s="1082">
        <v>-0.06</v>
      </c>
      <c r="GJ170" s="1082">
        <f>GJ169/GB169-1</f>
        <v>-0.0265396393331065</v>
      </c>
      <c r="GK170" s="1085">
        <f>GK169/GC169-1</f>
        <v>0.00016998130205681</v>
      </c>
      <c r="GL170" s="1087">
        <f>GL171+GL172</f>
        <v>-0.0324391765439809</v>
      </c>
      <c r="GM170" s="1082">
        <f>GM171+GM172</f>
        <v>0.001</v>
      </c>
      <c r="GN170" s="1082">
        <f>GN169/GF169-1</f>
        <v>-0.0167317234535236</v>
      </c>
      <c r="GO170" s="1087">
        <f>GO171+GO172</f>
        <v>0.0322188449848026</v>
      </c>
      <c r="GP170" s="1082">
        <f>GP169/GH169-1</f>
        <v>0.000518423307626081</v>
      </c>
      <c r="GQ170" s="1087">
        <f>GQ171+GQ172</f>
        <v>0.152138157894737</v>
      </c>
      <c r="GR170" s="1082">
        <f>GR169/GJ169-1</f>
        <v>0.083187696609577</v>
      </c>
      <c r="GS170" s="1085">
        <f>GS169/GK169-1</f>
        <v>0.0318524813052343</v>
      </c>
      <c r="GT170" s="1087">
        <f>GT171+GT172</f>
        <v>-0.0805931656995478</v>
      </c>
      <c r="GU170" s="1087">
        <f>GU171+GU172</f>
        <v>-0.40622757524166</v>
      </c>
      <c r="GV170" s="1082">
        <f>GV169/GN169-1</f>
        <v>-0.236312499579467</v>
      </c>
      <c r="GW170" s="1087">
        <f>GW171+GW172</f>
        <v>0.0325</v>
      </c>
      <c r="GX170" s="1082">
        <f>GX169/GP169-1</f>
        <v>-0.138581754959939</v>
      </c>
      <c r="GY170" s="1087">
        <f>GY171+GY172</f>
        <v>-0.0743647394718057</v>
      </c>
      <c r="GZ170" s="1082">
        <f>GZ169/GR169-1</f>
        <v>-0.0158115521135849</v>
      </c>
      <c r="HA170" s="1085">
        <f>HA169/GS169-1</f>
        <v>-0.123763468842544</v>
      </c>
      <c r="HB170" s="1087">
        <f>HB171+HB172</f>
        <v>0.038123167155425</v>
      </c>
      <c r="HC170" s="1087">
        <f>HC171+HC172</f>
        <v>0.979274611398964</v>
      </c>
      <c r="HD170" s="1082">
        <f>HD169/(1705+965)-1</f>
        <v>0.378277153558052</v>
      </c>
      <c r="HE170" s="1087">
        <f>HE171+HE172</f>
        <v>0.0812890812890812</v>
      </c>
      <c r="HF170" s="1082">
        <f>HF169/GX169-1</f>
        <v>0.473459460601489</v>
      </c>
      <c r="HG170" s="1087">
        <f>HG171+HG172</f>
        <v>0.175112251443233</v>
      </c>
      <c r="HH170" s="1082">
        <f>HH169/(2079+1559)-1</f>
        <v>0.121495327102804</v>
      </c>
      <c r="HI170" s="1085">
        <f>HI169/6308-1</f>
        <v>0.230183893468611</v>
      </c>
      <c r="HJ170" s="1087">
        <f>HJ171+HJ172</f>
        <v>0.0932203389830507</v>
      </c>
      <c r="HK170" s="1087">
        <f>HK171+HK172</f>
        <v>0.08848167539267</v>
      </c>
      <c r="HL170" s="1082">
        <f>HL169/HD169-1</f>
        <v>0.0907608695652173</v>
      </c>
      <c r="HM170" s="1087">
        <f>HM171+HM172</f>
        <v>0.0956405693950176</v>
      </c>
      <c r="HN170" s="1082">
        <f>HN169/HF169-1</f>
        <v>0.0926113360323886</v>
      </c>
      <c r="HO170" s="1087">
        <f>HO171+HO172</f>
        <v>0.131550218340611</v>
      </c>
      <c r="HP170" s="1082">
        <f>HP169/HH169-1</f>
        <v>0.111764705882353</v>
      </c>
      <c r="HQ170" s="1085">
        <f>HQ169/HI169-1</f>
        <v>0.10180412371134</v>
      </c>
      <c r="HR170" s="1087">
        <v>0.0315245478036181</v>
      </c>
      <c r="HS170" s="1087">
        <v>-0.091871091871092</v>
      </c>
      <c r="HT170" s="1082">
        <v>-0.0323866467364223</v>
      </c>
      <c r="HU170" s="1087">
        <v>-0.0613073487616727</v>
      </c>
      <c r="HV170" s="1082">
        <v>-0.0433842828469969</v>
      </c>
      <c r="HW170" s="1087">
        <v>-0.101302460202605</v>
      </c>
      <c r="HX170" s="1082">
        <v>-0.0795855379188712</v>
      </c>
      <c r="HY170" s="1085">
        <v>-0.0574269005847953</v>
      </c>
      <c r="HZ170" s="1087">
        <f>HZ171+HZ172</f>
        <v>0.123591782637509</v>
      </c>
      <c r="IA170" s="1087">
        <f>IA171+IA172</f>
        <v>0.242587801608578</v>
      </c>
      <c r="IB170" s="1082">
        <f>IB169/HT169-1</f>
        <v>0.182752749083638</v>
      </c>
      <c r="IC170" s="1087">
        <f>IC171+IC172</f>
        <v>0.21</v>
      </c>
      <c r="ID170" s="1082">
        <f>ID169/HV169-1</f>
        <v>0.192696222621945</v>
      </c>
      <c r="IE170" s="1087">
        <f>IE171+IE172</f>
        <v>0.262</v>
      </c>
      <c r="IF170" s="1082">
        <f>IF169/HX169-1</f>
        <v>0.233198329853862</v>
      </c>
      <c r="IG170" s="1085">
        <f>IG169/HY169-1</f>
        <v>0.208439610761305</v>
      </c>
      <c r="IH170" s="1087">
        <f>IH171+IH172</f>
        <v>0.171335889118254</v>
      </c>
      <c r="II170" s="1087">
        <f>II171+II172</f>
        <v>0.0771648072942998</v>
      </c>
      <c r="IJ170" s="1082">
        <f>IJ169/IB169-1</f>
        <v>0.122148529867098</v>
      </c>
      <c r="IK170" s="1087">
        <f>IK171+IK172</f>
        <v>0.115666536473622</v>
      </c>
      <c r="IL170" s="1082">
        <f>IL169/ID169-1</f>
        <v>0.119748705041052</v>
      </c>
      <c r="IM170" s="1087">
        <f>IM171+IM172</f>
        <v>0.0411211477091342</v>
      </c>
      <c r="IN170" s="1082">
        <f>IN169/IF169-1</f>
        <v>0.0816335088133731</v>
      </c>
      <c r="IO170" s="1085">
        <f>IO169/IG169-1</f>
        <v>0.101095628044051</v>
      </c>
      <c r="IP170" s="1087">
        <f>IP171+IP172</f>
        <v>0.0523665659617318</v>
      </c>
      <c r="IQ170" s="1087">
        <f>IQ171+IQ172</f>
        <v>0.0555833750625948</v>
      </c>
      <c r="IR170" s="1082">
        <f>IR169/IJ169-1</f>
        <v>0.0539794125031388</v>
      </c>
      <c r="IS170" s="1087">
        <f>IS171+IS172</f>
        <v>0.06</v>
      </c>
      <c r="IT170" s="1082">
        <f>IT169/IL169-1</f>
        <v>0.0562002852162893</v>
      </c>
      <c r="IU170" s="1087">
        <f>IU171+IU172</f>
        <v>0.04</v>
      </c>
      <c r="IV170" s="1082">
        <f>IV169/IN169-1</f>
        <v>0.0512111726462798</v>
      </c>
      <c r="IW170" s="1085">
        <f>IW169/IO169-1</f>
        <v>0.0525663716814162</v>
      </c>
      <c r="IX170" s="1049"/>
      <c r="IY170" s="1082"/>
      <c r="IZ170" s="1049"/>
      <c r="JA170" s="1037"/>
      <c r="JB170" s="1037"/>
      <c r="JC170" s="1037"/>
      <c r="JD170" s="1041"/>
      <c r="JE170" s="1037"/>
      <c r="JF170" s="1037"/>
      <c r="JG170" s="1037"/>
      <c r="JH170" s="1037"/>
      <c r="JI170" s="1035"/>
      <c r="JJ170" s="1035"/>
      <c r="JK170" s="1035"/>
      <c r="JL170" s="1035"/>
      <c r="JM170" s="1035"/>
      <c r="JN170" s="1035"/>
      <c r="JO170" s="1035"/>
      <c r="JP170" s="1035"/>
      <c r="JQ170" s="1035"/>
      <c r="KA170" s="1229" t="s">
        <v>544</v>
      </c>
      <c r="KB170" s="1148">
        <v>921</v>
      </c>
      <c r="KC170" s="1148">
        <v>777</v>
      </c>
      <c r="KD170" s="1037">
        <v>1070</v>
      </c>
      <c r="KE170" s="1037">
        <v>717</v>
      </c>
      <c r="KF170" s="1037"/>
      <c r="KG170" s="1037">
        <f>SUM(KB170:KE170)</f>
        <v>3485</v>
      </c>
      <c r="KH170" s="1089"/>
      <c r="KI170" s="1037"/>
    </row>
    <row r="171" spans="1:334">
      <c r="A171" s="967" t="s">
        <v>99</v>
      </c>
      <c r="AX171" s="1059"/>
      <c r="BE171" s="1060"/>
      <c r="BN171" s="1059"/>
      <c r="BU171" s="1060"/>
      <c r="BV171" s="1059"/>
      <c r="CC171" s="1060"/>
      <c r="CD171" s="1059"/>
      <c r="CJ171" s="1061"/>
      <c r="CK171" s="1060"/>
      <c r="CL171" s="1059"/>
      <c r="CS171" s="1060"/>
      <c r="CT171" s="1059"/>
      <c r="CW171" s="1062"/>
      <c r="CX171" s="1062"/>
      <c r="DE171" s="1064"/>
      <c r="DF171" s="1064"/>
      <c r="DM171" s="1064"/>
      <c r="DN171" s="1064"/>
      <c r="DU171" s="1064"/>
      <c r="DV171" s="1064"/>
      <c r="EC171" s="1064"/>
      <c r="ED171" s="1064"/>
      <c r="EK171" s="1064"/>
      <c r="EL171" s="1064"/>
      <c r="ER171" s="1065"/>
      <c r="ET171" s="1065"/>
      <c r="EU171" s="1065"/>
      <c r="EW171" s="1038"/>
      <c r="EX171" s="1082"/>
      <c r="EY171" s="1082"/>
      <c r="EZ171" s="1082"/>
      <c r="FA171" s="1082"/>
      <c r="FB171" s="1082"/>
      <c r="FC171" s="1082"/>
      <c r="FD171" s="1082"/>
      <c r="FE171" s="1085"/>
      <c r="FF171" s="1091">
        <f t="shared" ref="FF171:FM171" si="937">FF170-FF172</f>
        <v>0.0155637982195846</v>
      </c>
      <c r="FG171" s="1091">
        <f t="shared" si="937"/>
        <v>0.0281481481481481</v>
      </c>
      <c r="FH171" s="1082">
        <f t="shared" si="937"/>
        <v>0.0212635281385281</v>
      </c>
      <c r="FI171" s="1087">
        <f t="shared" si="937"/>
        <v>0.0210265183917879</v>
      </c>
      <c r="FJ171" s="1087">
        <f t="shared" si="937"/>
        <v>0.0211716937354989</v>
      </c>
      <c r="FK171" s="1091">
        <f t="shared" si="937"/>
        <v>0.0296082474226804</v>
      </c>
      <c r="FL171" s="1082">
        <f t="shared" si="937"/>
        <v>0.0244503856041132</v>
      </c>
      <c r="FM171" s="1085">
        <f t="shared" si="937"/>
        <v>0.0228977063010809</v>
      </c>
      <c r="FN171" s="1091">
        <f t="shared" ref="FN171:FX171" si="938">FN170-FN172</f>
        <v>-0.0099046369203849</v>
      </c>
      <c r="FO171" s="1082">
        <f t="shared" si="938"/>
        <v>-0.0287325702393339</v>
      </c>
      <c r="FP171" s="1082">
        <f t="shared" si="938"/>
        <v>-0.0185042775665398</v>
      </c>
      <c r="FQ171" s="1091">
        <f t="shared" si="938"/>
        <v>-0.036025641025641</v>
      </c>
      <c r="FR171" s="1082">
        <f t="shared" si="938"/>
        <v>-0.025516818700114</v>
      </c>
      <c r="FS171" s="1082">
        <f t="shared" si="938"/>
        <v>-0.0492550921435498</v>
      </c>
      <c r="FT171" s="1082">
        <f t="shared" si="938"/>
        <v>-0.0416271047227926</v>
      </c>
      <c r="FU171" s="1082">
        <f t="shared" si="938"/>
        <v>-0.030908790482485</v>
      </c>
      <c r="FV171" s="1086">
        <f t="shared" si="938"/>
        <v>-0.018913719943423</v>
      </c>
      <c r="FW171" s="1082">
        <f t="shared" si="938"/>
        <v>-0.022489291598023</v>
      </c>
      <c r="FX171" s="1082">
        <f t="shared" si="938"/>
        <v>-0.0205654490106545</v>
      </c>
      <c r="FY171" s="1082">
        <v>-0.01122269519255</v>
      </c>
      <c r="FZ171" s="1082">
        <f>FZ170-FZ172</f>
        <v>-0.0170895427514457</v>
      </c>
      <c r="GA171" s="1082">
        <f t="shared" ref="GA171:GC171" si="939">GA170-GA172</f>
        <v>-0.0099638336347195</v>
      </c>
      <c r="GB171" s="1082">
        <f t="shared" si="939"/>
        <v>-0.0106998634678184</v>
      </c>
      <c r="GC171" s="1085">
        <f t="shared" si="939"/>
        <v>-0.0156000257824231</v>
      </c>
      <c r="GD171" s="1087">
        <v>0.00252790544977013</v>
      </c>
      <c r="GE171" s="1087">
        <f>GE170-GE172</f>
        <v>0.000296270232230777</v>
      </c>
      <c r="GF171" s="1082">
        <f>GF170-GF172</f>
        <v>0.00145074728260872</v>
      </c>
      <c r="GG171" s="1087">
        <v>-0.002</v>
      </c>
      <c r="GH171" s="1082">
        <f>GH170-GH172</f>
        <v>0.00341861017875265</v>
      </c>
      <c r="GI171" s="1087">
        <v>0</v>
      </c>
      <c r="GJ171" s="1082">
        <f t="shared" ref="GJ171:GK171" si="940">GJ170-GJ172</f>
        <v>0.00729316326038178</v>
      </c>
      <c r="GK171" s="1085">
        <f t="shared" si="940"/>
        <v>0.00436947251780765</v>
      </c>
      <c r="GL171" s="1087">
        <v>0</v>
      </c>
      <c r="GM171" s="1087">
        <v>0</v>
      </c>
      <c r="GN171" s="1082">
        <f>GN170-GN172</f>
        <v>-1.52655665885959e-16</v>
      </c>
      <c r="GO171" s="1087">
        <v>-0.00278115501519745</v>
      </c>
      <c r="GP171" s="1082">
        <f>GP170-GP172</f>
        <v>-0.000980077120822648</v>
      </c>
      <c r="GQ171" s="1087">
        <v>0.01</v>
      </c>
      <c r="GR171" s="1082">
        <f t="shared" ref="GR171:GS171" si="941">GR170-GR172</f>
        <v>0.00265117091925897</v>
      </c>
      <c r="GS171" s="1085">
        <f t="shared" si="941"/>
        <v>0.0012890890550646</v>
      </c>
      <c r="GT171" s="1087">
        <v>0.001</v>
      </c>
      <c r="GU171" s="1087">
        <v>-0.00422757524165963</v>
      </c>
      <c r="GV171" s="1082">
        <f>GV170-GV172</f>
        <v>-0.00149984187968044</v>
      </c>
      <c r="GW171" s="1087">
        <v>-0.0075</v>
      </c>
      <c r="GX171" s="1082">
        <f>GX170-GX172</f>
        <v>-0.00368128776426946</v>
      </c>
      <c r="GY171" s="1087">
        <v>-0.01</v>
      </c>
      <c r="GZ171" s="1082">
        <f t="shared" ref="GZ171:HA171" si="942">GZ170-GZ172</f>
        <v>-0.00863020329138424</v>
      </c>
      <c r="HA171" s="1085">
        <f t="shared" si="942"/>
        <v>-0.00513935125555469</v>
      </c>
      <c r="HB171" s="1087">
        <v>-0.037876832844575</v>
      </c>
      <c r="HC171" s="1087">
        <v>-0.01</v>
      </c>
      <c r="HD171" s="1082">
        <f>HD170-HD172</f>
        <v>-0.027801498127341</v>
      </c>
      <c r="HE171" s="1087">
        <v>-0.007</v>
      </c>
      <c r="HF171" s="1082">
        <f>HF170-HF172</f>
        <v>0.200513805604136</v>
      </c>
      <c r="HG171" s="1087">
        <v>0.0231122514432331</v>
      </c>
      <c r="HH171" s="1082">
        <f t="shared" ref="HH171:HI171" si="943">HH170-HH172</f>
        <v>0.00590406816932375</v>
      </c>
      <c r="HI171" s="1085">
        <f t="shared" si="943"/>
        <v>-0.00836255548509829</v>
      </c>
      <c r="HJ171" s="1087">
        <v>0.002</v>
      </c>
      <c r="HK171" s="1087">
        <v>0.02048167539267</v>
      </c>
      <c r="HL171" s="1082">
        <f>HL170-HL172</f>
        <v>0.00793290028952393</v>
      </c>
      <c r="HM171" s="1087">
        <v>0.0216405693950176</v>
      </c>
      <c r="HN171" s="1082">
        <f>HN170-HN172</f>
        <v>0.0154028340080971</v>
      </c>
      <c r="HO171" s="1087">
        <v>0.00955021834061108</v>
      </c>
      <c r="HP171" s="1082">
        <f t="shared" ref="HP171:HQ171" si="944">HP170-HP172</f>
        <v>0.0171951621770204</v>
      </c>
      <c r="HQ171" s="1085">
        <f t="shared" si="944"/>
        <v>0.0140211340206187</v>
      </c>
      <c r="HR171" s="1087">
        <v>-0.00847545219638195</v>
      </c>
      <c r="HS171" s="1087">
        <v>-0.04</v>
      </c>
      <c r="HT171" s="1082">
        <v>-0.024803188839063</v>
      </c>
      <c r="HU171" s="1087">
        <v>0</v>
      </c>
      <c r="HV171" s="1082">
        <v>-0.0153713138798825</v>
      </c>
      <c r="HW171" s="1087">
        <v>-0.031</v>
      </c>
      <c r="HX171" s="1091">
        <v>-0.0154571046266275</v>
      </c>
      <c r="HY171" s="1085">
        <v>-0.0191605847953216</v>
      </c>
      <c r="HZ171" s="1083">
        <v>0.01</v>
      </c>
      <c r="IA171" s="1083">
        <v>0.007</v>
      </c>
      <c r="IB171" s="1082">
        <f t="shared" ref="IB171" si="945">IB170-IB172</f>
        <v>0.0085084971676109</v>
      </c>
      <c r="IC171" s="1083">
        <v>0</v>
      </c>
      <c r="ID171" s="1082">
        <f t="shared" ref="ID171" si="946">ID170-ID172</f>
        <v>0.00540344937043713</v>
      </c>
      <c r="IE171" s="1083">
        <v>0.012</v>
      </c>
      <c r="IF171" s="1082">
        <f t="shared" ref="IF171:IG171" si="947">IF170-IF172</f>
        <v>0.00605704343275176</v>
      </c>
      <c r="IG171" s="1085">
        <f t="shared" si="947"/>
        <v>0.00690195437075805</v>
      </c>
      <c r="IH171" s="1083">
        <v>0.006</v>
      </c>
      <c r="II171" s="1083">
        <v>0.00716480729429985</v>
      </c>
      <c r="IJ171" s="1082">
        <f t="shared" ref="IJ171" si="948">IJ170-IJ172</f>
        <v>0.00660840115387236</v>
      </c>
      <c r="IK171" s="1083">
        <v>-0.00433346352637821</v>
      </c>
      <c r="IL171" s="1082">
        <f t="shared" ref="IL171" si="949">IL170-IL172</f>
        <v>0.00255740065002578</v>
      </c>
      <c r="IM171" s="1083">
        <v>-0.0188788522908658</v>
      </c>
      <c r="IN171" s="1082">
        <f t="shared" ref="IN171:IO171" si="950">IN170-IN172</f>
        <v>-0.0126545615549612</v>
      </c>
      <c r="IO171" s="1085">
        <f t="shared" si="950"/>
        <v>-0.00252799294735759</v>
      </c>
      <c r="IP171" s="1083">
        <v>-0.00763343403826821</v>
      </c>
      <c r="IQ171" s="1083">
        <v>0</v>
      </c>
      <c r="IR171" s="1082">
        <f t="shared" ref="IR171" si="951">IR170-IR172</f>
        <v>-0.00380617624905852</v>
      </c>
      <c r="IS171" s="1083">
        <v>0</v>
      </c>
      <c r="IT171" s="1082">
        <f t="shared" ref="IT171" si="952">IT170-IT172</f>
        <v>-0.00240215496751706</v>
      </c>
      <c r="IU171" s="1083">
        <v>0</v>
      </c>
      <c r="IV171" s="1082">
        <f t="shared" ref="IV171:IW171" si="953">IV170-IV172</f>
        <v>-0.000218184143164914</v>
      </c>
      <c r="IW171" s="1085">
        <f t="shared" si="953"/>
        <v>-0.00186332350049159</v>
      </c>
      <c r="IX171" s="1049"/>
      <c r="IY171" s="1082"/>
      <c r="IZ171" s="1104"/>
      <c r="JA171" s="1037"/>
      <c r="JB171" s="1037"/>
      <c r="JC171" s="1037"/>
      <c r="JD171" s="1041"/>
      <c r="JE171" s="1037"/>
      <c r="JF171" s="1037"/>
      <c r="JG171" s="1037"/>
      <c r="JH171" s="1037"/>
      <c r="JI171" s="1035"/>
      <c r="JJ171" s="1035"/>
      <c r="JK171" s="1035"/>
      <c r="JL171" s="1035"/>
      <c r="JM171" s="1035"/>
      <c r="JN171" s="1035"/>
      <c r="JO171" s="1035"/>
      <c r="JP171" s="1035"/>
      <c r="JQ171" s="1035"/>
      <c r="KA171" s="1229" t="s">
        <v>545</v>
      </c>
      <c r="KB171" s="1094">
        <f>KB170/EX169</f>
        <v>0.910979228486647</v>
      </c>
      <c r="KC171" s="1094">
        <f>KC170/EY169</f>
        <v>0.92831541218638</v>
      </c>
      <c r="KD171" s="1094">
        <f>KD170/FA169</f>
        <v>0.915312232677502</v>
      </c>
      <c r="KE171" s="1094">
        <f>KE170/FC169</f>
        <v>0.923969072164949</v>
      </c>
      <c r="KF171" s="1082"/>
      <c r="KG171" s="1094">
        <f>KG170/FE169</f>
        <v>0.918797785394147</v>
      </c>
      <c r="KH171" s="1089"/>
      <c r="KI171" s="1037"/>
    </row>
    <row r="172" spans="1:334">
      <c r="A172" s="967" t="s">
        <v>100</v>
      </c>
      <c r="AX172" s="1059"/>
      <c r="BE172" s="1060"/>
      <c r="BN172" s="1059"/>
      <c r="BU172" s="1060"/>
      <c r="BV172" s="1059"/>
      <c r="CC172" s="1060"/>
      <c r="CD172" s="1059"/>
      <c r="CJ172" s="1061"/>
      <c r="CK172" s="1060"/>
      <c r="CL172" s="1059"/>
      <c r="CS172" s="1060"/>
      <c r="CT172" s="1059"/>
      <c r="CW172" s="1062"/>
      <c r="CX172" s="1062"/>
      <c r="DE172" s="1064"/>
      <c r="DF172" s="1064"/>
      <c r="DM172" s="1064"/>
      <c r="DN172" s="1064"/>
      <c r="DU172" s="1064"/>
      <c r="DV172" s="1064"/>
      <c r="EC172" s="1064"/>
      <c r="ED172" s="1064"/>
      <c r="EK172" s="1064"/>
      <c r="EL172" s="1064"/>
      <c r="ER172" s="1065"/>
      <c r="ET172" s="1065"/>
      <c r="EU172" s="1065"/>
      <c r="EW172" s="1038"/>
      <c r="EX172" s="1083"/>
      <c r="EY172" s="1083"/>
      <c r="EZ172" s="1083"/>
      <c r="FA172" s="1083"/>
      <c r="FB172" s="1083"/>
      <c r="FC172" s="1083"/>
      <c r="FD172" s="1083"/>
      <c r="FE172" s="1084"/>
      <c r="FF172" s="1095">
        <v>0.115</v>
      </c>
      <c r="FG172" s="1095">
        <v>0.12</v>
      </c>
      <c r="FH172" s="1083">
        <f>(EX169*FF172+EY169*FG172)/EZ169</f>
        <v>0.11726461038961</v>
      </c>
      <c r="FI172" s="1087">
        <v>0.18</v>
      </c>
      <c r="FJ172" s="1083">
        <f>(EZ169*FH172+FA169*FI172)/FB169</f>
        <v>0.14157275439178</v>
      </c>
      <c r="FK172" s="1095">
        <v>0.299</v>
      </c>
      <c r="FL172" s="1083">
        <f>(FA169*FI172+FC169*FK172)/FD169</f>
        <v>0.22747763496144</v>
      </c>
      <c r="FM172" s="1084">
        <f>(EX169*FF172+EY169*FG172+FA169*FI172+FC169*FK172)/FE169</f>
        <v>0.173780384919589</v>
      </c>
      <c r="FN172" s="1095">
        <v>0.247</v>
      </c>
      <c r="FO172" s="1083">
        <v>0.292</v>
      </c>
      <c r="FP172" s="1083">
        <f>(FF169*FN172+FG169*FO172)/FH169</f>
        <v>0.267553707224335</v>
      </c>
      <c r="FQ172" s="1095">
        <v>0.145</v>
      </c>
      <c r="FR172" s="1083">
        <f>(FF169*FN172+FG169*FO172+FI169*FQ172)/FJ169</f>
        <v>0.218504275940707</v>
      </c>
      <c r="FS172" s="1083">
        <v>0.122</v>
      </c>
      <c r="FT172" s="1083">
        <f>(FI169*FQ172+FK169*FS172)/FL169</f>
        <v>0.13526160164271</v>
      </c>
      <c r="FU172" s="1083">
        <f>(FF169*FN172+FG169*FO172+FI169*FQ172+FK169*FS172)/FM169</f>
        <v>0.196584049350077</v>
      </c>
      <c r="FV172" s="1086">
        <v>0.096</v>
      </c>
      <c r="FW172" s="1083">
        <v>0.193</v>
      </c>
      <c r="FX172" s="1083">
        <f>(FN169*FV172+FO169*FW172)/FP169</f>
        <v>0.14080898021309</v>
      </c>
      <c r="FY172" s="1083">
        <v>0.0748065102214517</v>
      </c>
      <c r="FZ172" s="1083">
        <f>(FN169*FV172+FO169*FW172+FQ169*FY172)/FR169</f>
        <v>0.116253222560287</v>
      </c>
      <c r="GA172" s="1083">
        <v>0.17</v>
      </c>
      <c r="GB172" s="1083">
        <f>(FQ169*FY172+FS169*GA172)/FT169</f>
        <v>0.114342371916936</v>
      </c>
      <c r="GC172" s="1084">
        <f>(FN169*FV172+FO169*FW172+FQ169*FY172+FS169*GA172)/FU169</f>
        <v>0.127488137670535</v>
      </c>
      <c r="GD172" s="1087">
        <v>0.05</v>
      </c>
      <c r="GE172" s="1087">
        <v>-0.001</v>
      </c>
      <c r="GF172" s="1083">
        <f>(FV169*GD172+FW169*GE172)/FX169</f>
        <v>0.0253834918478261</v>
      </c>
      <c r="GG172" s="1087">
        <v>-0.0135595451825255</v>
      </c>
      <c r="GH172" s="1083">
        <f>(FV169*GD172+FW169*GE172+FY169*GG172)/FZ169</f>
        <v>0.0113639985168995</v>
      </c>
      <c r="GI172" s="1087">
        <v>-0.06</v>
      </c>
      <c r="GJ172" s="1083">
        <f>(FY169*GG172+GA169*GI172)/GB169</f>
        <v>-0.0338328025934883</v>
      </c>
      <c r="GK172" s="1084">
        <f>(FV169*GD172+FW169*GE172+FY169*GG172+GA169*GI172)/GC169</f>
        <v>-0.00419949121575084</v>
      </c>
      <c r="GL172" s="1087">
        <v>-0.0324391765439809</v>
      </c>
      <c r="GM172" s="1087">
        <v>0.001</v>
      </c>
      <c r="GN172" s="1083">
        <f>(GD169*GL172+GE169*GM172)/GF169</f>
        <v>-0.0167317234535234</v>
      </c>
      <c r="GO172" s="1087">
        <v>0.035</v>
      </c>
      <c r="GP172" s="1083">
        <f>(GD169*GL172+GE169*GM172+GG169*GO172)/GH169</f>
        <v>0.00149850042844873</v>
      </c>
      <c r="GQ172" s="1087">
        <v>0.142138157894737</v>
      </c>
      <c r="GR172" s="1083">
        <f>(GG169*GO172+GI169*GQ172)/GJ169</f>
        <v>0.0805365256903181</v>
      </c>
      <c r="GS172" s="1084">
        <f>(GD169*GL172+GE169*GM172+GG169*GO172+GI169*GQ172)/GK169</f>
        <v>0.0305633922501697</v>
      </c>
      <c r="GT172" s="1087">
        <v>-0.0815931656995478</v>
      </c>
      <c r="GU172" s="1087">
        <v>-0.402</v>
      </c>
      <c r="GV172" s="1083">
        <f>(GL169*GT172+GM169*GU172)/GN169</f>
        <v>-0.234812657699786</v>
      </c>
      <c r="GW172" s="1087">
        <v>0.04</v>
      </c>
      <c r="GX172" s="1083">
        <f>(GL169*GT172+GM169*GU172+GO169*GW172)/GP169</f>
        <v>-0.13490046719567</v>
      </c>
      <c r="GY172" s="1087">
        <v>-0.0643647394718057</v>
      </c>
      <c r="GZ172" s="1083">
        <f>(GO169*GW172+GQ169*GY172)/GR169</f>
        <v>-0.00718134882220063</v>
      </c>
      <c r="HA172" s="1084">
        <f>(GL169*GT172+GM169*GU172+GO169*GW172+GQ169*GY172)/GS169</f>
        <v>-0.118624117586989</v>
      </c>
      <c r="HB172" s="1087">
        <v>0.076</v>
      </c>
      <c r="HC172" s="1087">
        <v>0.989274611398964</v>
      </c>
      <c r="HD172" s="1083">
        <f>(1705*HB172+965*HC172)/(1705+965)</f>
        <v>0.406078651685393</v>
      </c>
      <c r="HE172" s="1087">
        <v>0.0882890812890812</v>
      </c>
      <c r="HF172" s="1083">
        <f>(GT169*HB172+GU169*HC172+GW169*HE172)/GX169</f>
        <v>0.272945654997353</v>
      </c>
      <c r="HG172" s="1087">
        <v>0.152</v>
      </c>
      <c r="HH172" s="1083">
        <f>(2079*HE172+1559*HG172)/(2079+1559)</f>
        <v>0.11559125893348</v>
      </c>
      <c r="HI172" s="1084">
        <f>(1705*HB172+965*HC172+2079*HE172+1559*HG172)/6308</f>
        <v>0.23854644895371</v>
      </c>
      <c r="HJ172" s="1087">
        <v>0.0912203389830507</v>
      </c>
      <c r="HK172" s="1087">
        <v>0.068</v>
      </c>
      <c r="HL172" s="1083">
        <f>(1705*HJ172+965*HK172)/(1705+965)</f>
        <v>0.0828279692756934</v>
      </c>
      <c r="HM172" s="1087">
        <v>0.074</v>
      </c>
      <c r="HN172" s="1083">
        <f>(HB169*HJ172+HC169*HK172+HE169*HM172)/HF169</f>
        <v>0.0772085020242914</v>
      </c>
      <c r="HO172" s="1087">
        <v>0.122</v>
      </c>
      <c r="HP172" s="1083">
        <f>(2079*HM172+1559*HO172)/(2079+1559)</f>
        <v>0.0945695437053326</v>
      </c>
      <c r="HQ172" s="1084">
        <f>(HB169*HJ172+HC169*HK172+HE169*HM172+HG169*HO172)/HI169</f>
        <v>0.0877829896907216</v>
      </c>
      <c r="HR172" s="1087">
        <v>0.04</v>
      </c>
      <c r="HS172" s="1087">
        <v>-0.051871091871092</v>
      </c>
      <c r="HT172" s="1083">
        <v>-0.00758345789735934</v>
      </c>
      <c r="HU172" s="1087">
        <v>-0.0613073487616727</v>
      </c>
      <c r="HV172" s="1083">
        <v>-0.0280129689671144</v>
      </c>
      <c r="HW172" s="1087">
        <v>-0.0703024602026049</v>
      </c>
      <c r="HX172" s="1083">
        <v>-0.0651620433016434</v>
      </c>
      <c r="HY172" s="1084">
        <v>-0.0382663157894737</v>
      </c>
      <c r="HZ172" s="1087">
        <v>0.113591782637509</v>
      </c>
      <c r="IA172" s="1087">
        <v>0.235587801608578</v>
      </c>
      <c r="IB172" s="1083">
        <f>((HZ172*HR169)+(IA172*HS169))/HT169</f>
        <v>0.174244251916028</v>
      </c>
      <c r="IC172" s="1087">
        <v>0.21</v>
      </c>
      <c r="ID172" s="1083">
        <f>(HR169*HZ172+HS169*IA172+HU169*IC172)/HV169</f>
        <v>0.187292773251508</v>
      </c>
      <c r="IE172" s="1087">
        <v>0.25</v>
      </c>
      <c r="IF172" s="1083">
        <f>(2079*IC172+1559*IE172)/(2079+1559)</f>
        <v>0.22714128642111</v>
      </c>
      <c r="IG172" s="1084">
        <f>(HR169*HZ172+HS169*IA172+HU169*IC172+HW169*IE172)/HY169</f>
        <v>0.201537656390547</v>
      </c>
      <c r="IH172" s="1087">
        <v>0.165335889118254</v>
      </c>
      <c r="II172" s="1087">
        <v>0.07</v>
      </c>
      <c r="IJ172" s="1083">
        <f>((IH172*HZ169)+(II172*IA169))/IB169</f>
        <v>0.115540128713226</v>
      </c>
      <c r="IK172" s="1087">
        <v>0.12</v>
      </c>
      <c r="IL172" s="1083">
        <f>(HZ169*IH172+IA169*II172+IC169*IK172)/ID169</f>
        <v>0.117191304391026</v>
      </c>
      <c r="IM172" s="1087">
        <v>0.06</v>
      </c>
      <c r="IN172" s="1083">
        <f>(2079*IK172+1559*IM172)/(2079+1559)</f>
        <v>0.0942880703683342</v>
      </c>
      <c r="IO172" s="1084">
        <f>(HZ169*IH172+IA169*II172+IC169*IK172+IE169*IM172)/IG169</f>
        <v>0.103623620991408</v>
      </c>
      <c r="IP172" s="1087">
        <v>0.06</v>
      </c>
      <c r="IQ172" s="1087">
        <v>0.0555833750625948</v>
      </c>
      <c r="IR172" s="1083">
        <f>((IP172*IH169)+(IQ172*II169))/IJ169</f>
        <v>0.0577855887521973</v>
      </c>
      <c r="IS172" s="1087">
        <v>0.06</v>
      </c>
      <c r="IT172" s="1083">
        <f>(IH169*IP172+II169*IQ172+IK169*IS172)/IL169</f>
        <v>0.0586024401838063</v>
      </c>
      <c r="IU172" s="1087">
        <v>0.04</v>
      </c>
      <c r="IV172" s="1083">
        <f>(2079*IS172+1559*IU172)/(2079+1559)</f>
        <v>0.0514293567894447</v>
      </c>
      <c r="IW172" s="1084">
        <f>(IH169*IP172+II169*IQ172+IK169*IS172+IM169*IU172)/IO169</f>
        <v>0.0544296951819078</v>
      </c>
      <c r="IX172" s="1056"/>
      <c r="IY172" s="1082"/>
      <c r="IZ172" s="1104"/>
      <c r="JA172" s="1037" t="s">
        <v>546</v>
      </c>
      <c r="JB172" s="1037"/>
      <c r="JC172" s="1082"/>
      <c r="JD172" s="1041"/>
      <c r="JE172" s="1037"/>
      <c r="JF172" s="1037"/>
      <c r="JG172" s="1037"/>
      <c r="JH172" s="1037"/>
      <c r="JI172" s="1035"/>
      <c r="JJ172" s="1035"/>
      <c r="JK172" s="1082">
        <f t="shared" ref="JK172:JP172" si="954">(EX169*(1+FF172)*(1+FN172))/EX169-1</f>
        <v>0.390405</v>
      </c>
      <c r="JL172" s="1082">
        <f t="shared" si="954"/>
        <v>0.44704</v>
      </c>
      <c r="JM172" s="1082">
        <f t="shared" si="954"/>
        <v>0.416192898849902</v>
      </c>
      <c r="JN172" s="1082">
        <f t="shared" si="954"/>
        <v>0.3511</v>
      </c>
      <c r="JO172" s="1082">
        <f t="shared" si="954"/>
        <v>0.391011282523794</v>
      </c>
      <c r="JP172" s="1082">
        <f t="shared" si="954"/>
        <v>0.457478</v>
      </c>
      <c r="JQ172" s="1082">
        <f>(FF169*(1+FN172)*(1+FV172))/FF169-1</f>
        <v>0.366712</v>
      </c>
      <c r="JR172" s="1082">
        <f>(FG169*(1+FO172)*(1+FW172))/FG169-1</f>
        <v>0.541356</v>
      </c>
      <c r="JS172" s="1082">
        <f>(FI169*(1+FQ172)*(1+FY172))/FI169-1</f>
        <v>0.230653454203562</v>
      </c>
      <c r="JT172" s="1082">
        <f>(FK169*(1+FS172)*(1+GA172))/FK169-1</f>
        <v>0.31274</v>
      </c>
      <c r="KA172" s="1229" t="s">
        <v>547</v>
      </c>
      <c r="KB172" s="1148">
        <v>90</v>
      </c>
      <c r="KC172" s="1148">
        <v>60</v>
      </c>
      <c r="KD172" s="1037">
        <v>99</v>
      </c>
      <c r="KE172" s="1037">
        <v>59</v>
      </c>
      <c r="KF172" s="1037"/>
      <c r="KG172" s="1037">
        <f>SUM(KB172:KE172)</f>
        <v>308</v>
      </c>
      <c r="KH172" s="1089"/>
      <c r="KI172" s="1037"/>
    </row>
    <row r="173" spans="1:334">
      <c r="A173" s="967" t="s">
        <v>66</v>
      </c>
      <c r="AX173" s="1059"/>
      <c r="BE173" s="1060"/>
      <c r="BN173" s="1059"/>
      <c r="BU173" s="1060"/>
      <c r="BV173" s="1059"/>
      <c r="CC173" s="1060"/>
      <c r="CD173" s="1059"/>
      <c r="CJ173" s="1061"/>
      <c r="CK173" s="1060"/>
      <c r="CL173" s="1059"/>
      <c r="CS173" s="1060"/>
      <c r="CT173" s="1059"/>
      <c r="CW173" s="1062"/>
      <c r="CX173" s="1062"/>
      <c r="DE173" s="1064"/>
      <c r="DF173" s="1064"/>
      <c r="DM173" s="1064"/>
      <c r="DN173" s="1064"/>
      <c r="DU173" s="1064"/>
      <c r="DV173" s="1064"/>
      <c r="EC173" s="1064"/>
      <c r="ED173" s="1064"/>
      <c r="EK173" s="1064"/>
      <c r="EL173" s="1064"/>
      <c r="ER173" s="1065"/>
      <c r="ET173" s="1065"/>
      <c r="EU173" s="1065"/>
      <c r="EW173" s="1038"/>
      <c r="EX173" s="1181"/>
      <c r="EY173" s="1181"/>
      <c r="EZ173" s="1181"/>
      <c r="FA173" s="1181"/>
      <c r="FB173" s="1181"/>
      <c r="FC173" s="1181"/>
      <c r="FD173" s="1181"/>
      <c r="FE173" s="1182"/>
      <c r="FF173" s="1094">
        <f t="shared" ref="FF173:GK173" si="955">FF169/FF$216</f>
        <v>0.279941219691403</v>
      </c>
      <c r="FG173" s="1094">
        <f t="shared" si="955"/>
        <v>0.245968773995393</v>
      </c>
      <c r="FH173" s="1094">
        <f t="shared" si="955"/>
        <v>0.263329161451815</v>
      </c>
      <c r="FI173" s="1087">
        <f t="shared" si="955"/>
        <v>0.295143998318268</v>
      </c>
      <c r="FJ173" s="1087">
        <f t="shared" si="955"/>
        <v>0.275202008315682</v>
      </c>
      <c r="FK173" s="1230">
        <f t="shared" si="955"/>
        <v>0.24736084452975</v>
      </c>
      <c r="FL173" s="1094">
        <f t="shared" si="955"/>
        <v>0.272829131652661</v>
      </c>
      <c r="FM173" s="1093">
        <f t="shared" si="955"/>
        <v>0.268341708542714</v>
      </c>
      <c r="FN173" s="1230">
        <f t="shared" si="955"/>
        <v>0.296498217655693</v>
      </c>
      <c r="FO173" s="1094">
        <f t="shared" si="955"/>
        <v>0.274474338684151</v>
      </c>
      <c r="FP173" s="1094">
        <f t="shared" si="955"/>
        <v>0.285900783289817</v>
      </c>
      <c r="FQ173" s="1230">
        <f t="shared" si="955"/>
        <v>0.287694013303769</v>
      </c>
      <c r="FR173" s="1094">
        <f t="shared" si="955"/>
        <v>0.286565324568611</v>
      </c>
      <c r="FS173" s="1094">
        <f t="shared" si="955"/>
        <v>0.236022193768673</v>
      </c>
      <c r="FT173" s="1094">
        <f t="shared" si="955"/>
        <v>0.263715587244999</v>
      </c>
      <c r="FU173" s="1094">
        <f t="shared" si="955"/>
        <v>0.274287195438051</v>
      </c>
      <c r="FV173" s="1086">
        <f t="shared" si="955"/>
        <v>0.279654792508263</v>
      </c>
      <c r="FW173" s="1094">
        <f t="shared" si="955"/>
        <v>0.282056371576022</v>
      </c>
      <c r="FX173" s="1094">
        <f t="shared" si="955"/>
        <v>0.280808851583365</v>
      </c>
      <c r="FY173" s="1094">
        <f t="shared" si="955"/>
        <v>0.291651990137372</v>
      </c>
      <c r="FZ173" s="1094">
        <f t="shared" si="955"/>
        <v>0.284618240316793</v>
      </c>
      <c r="GA173" s="1094">
        <f t="shared" si="955"/>
        <v>0.253757911392405</v>
      </c>
      <c r="GB173" s="1094">
        <f t="shared" si="955"/>
        <v>0.273802869386995</v>
      </c>
      <c r="GC173" s="1093">
        <f t="shared" si="955"/>
        <v>0.277264586671694</v>
      </c>
      <c r="GD173" s="1087">
        <f t="shared" si="955"/>
        <v>0.288932948810382</v>
      </c>
      <c r="GE173" s="1094">
        <f t="shared" si="955"/>
        <v>0.269910663371982</v>
      </c>
      <c r="GF173" s="1094">
        <f t="shared" si="955"/>
        <v>0.279674345452863</v>
      </c>
      <c r="GG173" s="1230">
        <f t="shared" si="955"/>
        <v>0.280095351609058</v>
      </c>
      <c r="GH173" s="1094">
        <f t="shared" si="955"/>
        <v>0.279822563241817</v>
      </c>
      <c r="GI173" s="1094">
        <f t="shared" si="955"/>
        <v>0.232371488629849</v>
      </c>
      <c r="GJ173" s="1094">
        <f t="shared" si="955"/>
        <v>0.257608499909958</v>
      </c>
      <c r="GK173" s="1093">
        <f t="shared" si="955"/>
        <v>0.268491900524755</v>
      </c>
      <c r="GL173" s="1087">
        <f t="shared" ref="GL173:HQ173" si="956">GL169/GL$216</f>
        <v>0.263640999490056</v>
      </c>
      <c r="GM173" s="1094">
        <f t="shared" si="956"/>
        <v>0.258017789072427</v>
      </c>
      <c r="GN173" s="1094">
        <f t="shared" si="956"/>
        <v>0.260921699438202</v>
      </c>
      <c r="GO173" s="1230">
        <f t="shared" si="956"/>
        <v>0.264898595943838</v>
      </c>
      <c r="GP173" s="1094">
        <f t="shared" si="956"/>
        <v>0.262353668127177</v>
      </c>
      <c r="GQ173" s="1094">
        <f t="shared" si="956"/>
        <v>0.239938345607124</v>
      </c>
      <c r="GR173" s="1094">
        <f t="shared" si="956"/>
        <v>0.253000244917952</v>
      </c>
      <c r="GS173" s="1093">
        <f t="shared" si="956"/>
        <v>0.256817393511273</v>
      </c>
      <c r="GT173" s="1087">
        <f t="shared" si="956"/>
        <v>0.300021039343572</v>
      </c>
      <c r="GU173" s="1094">
        <f t="shared" si="956"/>
        <v>0.235843322909468</v>
      </c>
      <c r="GV173" s="1094">
        <f t="shared" si="956"/>
        <v>0.27245513402092</v>
      </c>
      <c r="GW173" s="1230">
        <f t="shared" si="956"/>
        <v>0.293945397314229</v>
      </c>
      <c r="GX173" s="1094">
        <f t="shared" si="956"/>
        <v>0.281420937608357</v>
      </c>
      <c r="GY173" s="1094">
        <f t="shared" si="956"/>
        <v>0.233743286582213</v>
      </c>
      <c r="GZ173" s="1094">
        <f t="shared" si="956"/>
        <v>0.264932807393936</v>
      </c>
      <c r="HA173" s="1093">
        <f t="shared" si="956"/>
        <v>0.268091110663173</v>
      </c>
      <c r="HB173" s="1087">
        <f t="shared" si="956"/>
        <v>0.335990888382688</v>
      </c>
      <c r="HC173" s="1094">
        <f t="shared" si="956"/>
        <v>0.376206421114832</v>
      </c>
      <c r="HD173" s="1094">
        <f t="shared" si="956"/>
        <v>0.355727404543258</v>
      </c>
      <c r="HE173" s="1230">
        <f t="shared" si="956"/>
        <v>0.390820584144645</v>
      </c>
      <c r="HF173" s="1094">
        <f t="shared" si="956"/>
        <v>0.368267379014723</v>
      </c>
      <c r="HG173" s="1094">
        <f t="shared" si="956"/>
        <v>0.356628382324314</v>
      </c>
      <c r="HH173" s="1094">
        <f t="shared" si="956"/>
        <v>0.374690054183121</v>
      </c>
      <c r="HI173" s="1093">
        <f t="shared" si="956"/>
        <v>0.365451634171612</v>
      </c>
      <c r="HJ173" s="1087">
        <f t="shared" si="956"/>
        <v>0.364956620143342</v>
      </c>
      <c r="HK173" s="1094">
        <f t="shared" si="956"/>
        <v>0.371448990530641</v>
      </c>
      <c r="HL173" s="1094">
        <f t="shared" si="956"/>
        <v>0.368290668868703</v>
      </c>
      <c r="HM173" s="1230">
        <f t="shared" si="956"/>
        <v>0.38436329588015</v>
      </c>
      <c r="HN173" s="1094">
        <f t="shared" si="956"/>
        <v>0.37424163633212</v>
      </c>
      <c r="HO173" s="1094">
        <f t="shared" si="956"/>
        <v>0.398347425057648</v>
      </c>
      <c r="HP173" s="1094">
        <f t="shared" si="956"/>
        <v>0.386733736891466</v>
      </c>
      <c r="HQ173" s="1093">
        <f t="shared" si="956"/>
        <v>0.379814313002532</v>
      </c>
      <c r="HR173" s="1087">
        <f t="shared" ref="HR173:IG173" si="957">HR169/HR$216</f>
        <v>0.286120591581342</v>
      </c>
      <c r="HS173" s="1094">
        <f t="shared" si="957"/>
        <v>0.301840987254703</v>
      </c>
      <c r="HT173" s="1094">
        <f t="shared" si="957"/>
        <v>0.29447551761358</v>
      </c>
      <c r="HU173" s="1230">
        <f t="shared" si="957"/>
        <v>0.305275269959285</v>
      </c>
      <c r="HV173" s="1094">
        <f t="shared" si="957"/>
        <v>0.298741939562524</v>
      </c>
      <c r="HW173" s="1094">
        <f t="shared" si="957"/>
        <v>0.288653366583541</v>
      </c>
      <c r="HX173" s="1094">
        <f t="shared" si="957"/>
        <v>0.297629289742854</v>
      </c>
      <c r="HY173" s="1093">
        <f t="shared" si="957"/>
        <v>0.295700744752877</v>
      </c>
      <c r="HZ173" s="1087">
        <f t="shared" si="957"/>
        <v>0.319423511680482</v>
      </c>
      <c r="IA173" s="1094">
        <f t="shared" si="957"/>
        <v>0.329765385983635</v>
      </c>
      <c r="IB173" s="1094">
        <f t="shared" si="957"/>
        <v>0.324743000914913</v>
      </c>
      <c r="IC173" s="1230">
        <f t="shared" si="957"/>
        <v>0.334505450464893</v>
      </c>
      <c r="ID173" s="1094">
        <f t="shared" si="957"/>
        <v>0.328826487747958</v>
      </c>
      <c r="IE173" s="1094">
        <f t="shared" si="957"/>
        <v>0.298877749360614</v>
      </c>
      <c r="IF173" s="1094">
        <f t="shared" si="957"/>
        <v>0.317031046156387</v>
      </c>
      <c r="IG173" s="1093">
        <f t="shared" si="957"/>
        <v>0.320800764121044</v>
      </c>
      <c r="IH173" s="1087">
        <f t="shared" ref="IH173:IO173" si="958">IH169/IH$216</f>
        <v>0.322769380789859</v>
      </c>
      <c r="II173" s="1094">
        <f t="shared" si="958"/>
        <v>0.33551747311828</v>
      </c>
      <c r="IJ173" s="1094">
        <f t="shared" si="958"/>
        <v>0.329037587773647</v>
      </c>
      <c r="IK173" s="1230">
        <f t="shared" si="958"/>
        <v>0.351131221719457</v>
      </c>
      <c r="IL173" s="1094">
        <f t="shared" si="958"/>
        <v>0.337360346394398</v>
      </c>
      <c r="IM173" s="1094">
        <f t="shared" si="958"/>
        <v>0.300362080315997</v>
      </c>
      <c r="IN173" s="1094">
        <f t="shared" si="958"/>
        <v>0.328066987913737</v>
      </c>
      <c r="IO173" s="1093">
        <f t="shared" si="958"/>
        <v>0.327919068155254</v>
      </c>
      <c r="IP173" s="1087">
        <f t="shared" ref="IP173:IW173" si="959">IP169/IP$216</f>
        <v>0.317050970873786</v>
      </c>
      <c r="IQ173" s="1094">
        <f t="shared" si="959"/>
        <v>0.312620495328489</v>
      </c>
      <c r="IR173" s="1094">
        <f t="shared" si="959"/>
        <v>0.314810648668917</v>
      </c>
      <c r="IS173" s="1230">
        <f t="shared" si="959"/>
        <v>0.338872975269238</v>
      </c>
      <c r="IT173" s="1094">
        <f t="shared" si="959"/>
        <v>0.323309566237955</v>
      </c>
      <c r="IU173" s="1094">
        <f t="shared" si="959"/>
        <v>0.291286995890734</v>
      </c>
      <c r="IV173" s="1094">
        <f t="shared" si="959"/>
        <v>0.316401056835711</v>
      </c>
      <c r="IW173" s="1093">
        <f t="shared" si="959"/>
        <v>0.315619420204489</v>
      </c>
      <c r="IX173" s="1049"/>
      <c r="IY173" s="1094"/>
      <c r="IZ173" s="1104"/>
      <c r="JA173" s="1037" t="s">
        <v>548</v>
      </c>
      <c r="JB173" s="1037"/>
      <c r="JC173" s="1037"/>
      <c r="JD173" s="1041"/>
      <c r="JE173" s="1037"/>
      <c r="JF173" s="1037"/>
      <c r="JG173" s="1037"/>
      <c r="JH173" s="1037"/>
      <c r="JI173" s="1035"/>
      <c r="JJ173" s="1035"/>
      <c r="JK173" s="1035"/>
      <c r="JL173" s="1035"/>
      <c r="JM173" s="1035"/>
      <c r="JN173" s="1035"/>
      <c r="JO173" s="1035"/>
      <c r="JP173" s="1035"/>
      <c r="JQ173" s="1082">
        <f>1*(1+FF172)*(1+FN172)*(1+FV172)-1</f>
        <v>0.52388388</v>
      </c>
      <c r="JR173" s="1082">
        <f>1*(1+FG172)*(1+FO172)*(1+FW172)-1</f>
        <v>0.72631872</v>
      </c>
      <c r="JS173" s="1082">
        <f>1*(1+FI172)*(1+FQ172)*(1+FY172)-1</f>
        <v>0.452171075960203</v>
      </c>
      <c r="JT173" s="1082">
        <f>1*(1+FK172)*(1+FS172)*(1+GA172)-1</f>
        <v>0.70524926</v>
      </c>
      <c r="KA173" s="1229" t="s">
        <v>545</v>
      </c>
      <c r="KB173" s="1094">
        <f>KB172/EX169</f>
        <v>0.0890207715133531</v>
      </c>
      <c r="KC173" s="1094">
        <f>KC172/EY169</f>
        <v>0.0716845878136201</v>
      </c>
      <c r="KD173" s="1094">
        <f>KD172/FA169</f>
        <v>0.0846877673224979</v>
      </c>
      <c r="KE173" s="1094">
        <f>KE172/FC169</f>
        <v>0.0760309278350515</v>
      </c>
      <c r="KF173" s="1037"/>
      <c r="KG173" s="1094">
        <f>KG172/FE169</f>
        <v>0.0812022146058529</v>
      </c>
      <c r="KH173" s="1089"/>
      <c r="KI173" s="1037"/>
    </row>
    <row r="174" spans="1:334">
      <c r="A174" s="1231" t="s">
        <v>101</v>
      </c>
      <c r="B174" s="1232"/>
      <c r="C174" s="1232"/>
      <c r="D174" s="1232"/>
      <c r="E174" s="1232"/>
      <c r="F174" s="1232"/>
      <c r="G174" s="1232"/>
      <c r="H174" s="1232"/>
      <c r="I174" s="1232"/>
      <c r="J174" s="1232"/>
      <c r="K174" s="1232"/>
      <c r="L174" s="1232"/>
      <c r="M174" s="1232"/>
      <c r="N174" s="1232"/>
      <c r="O174" s="1232"/>
      <c r="P174" s="1232"/>
      <c r="Q174" s="1232"/>
      <c r="R174" s="1232"/>
      <c r="S174" s="1232"/>
      <c r="T174" s="1232"/>
      <c r="U174" s="1232"/>
      <c r="V174" s="1232"/>
      <c r="W174" s="1232"/>
      <c r="X174" s="1232"/>
      <c r="Y174" s="1232"/>
      <c r="Z174" s="1232"/>
      <c r="AA174" s="1232"/>
      <c r="AB174" s="1232"/>
      <c r="AC174" s="1232"/>
      <c r="AD174" s="1232"/>
      <c r="AE174" s="1232"/>
      <c r="AF174" s="1232"/>
      <c r="AG174" s="1232"/>
      <c r="AH174" s="1232"/>
      <c r="AI174" s="1232"/>
      <c r="AJ174" s="1232"/>
      <c r="AK174" s="1232"/>
      <c r="AL174" s="1232"/>
      <c r="AM174" s="1232"/>
      <c r="AN174" s="1232"/>
      <c r="AO174" s="1232"/>
      <c r="AP174" s="1232"/>
      <c r="AQ174" s="1232"/>
      <c r="AR174" s="1232"/>
      <c r="AS174" s="1232"/>
      <c r="AT174" s="1232"/>
      <c r="AU174" s="1232"/>
      <c r="AV174" s="1232"/>
      <c r="AW174" s="1232"/>
      <c r="AX174" s="1233"/>
      <c r="AY174" s="1232"/>
      <c r="AZ174" s="1232"/>
      <c r="BA174" s="1232"/>
      <c r="BB174" s="1232"/>
      <c r="BC174" s="1232"/>
      <c r="BD174" s="1232"/>
      <c r="BE174" s="1234"/>
      <c r="BF174" s="1232"/>
      <c r="BG174" s="1232"/>
      <c r="BH174" s="1232"/>
      <c r="BI174" s="1232"/>
      <c r="BJ174" s="1232"/>
      <c r="BK174" s="1232"/>
      <c r="BL174" s="1232"/>
      <c r="BM174" s="1232"/>
      <c r="BN174" s="1233"/>
      <c r="BO174" s="1232"/>
      <c r="BP174" s="1232"/>
      <c r="BQ174" s="1232"/>
      <c r="BR174" s="1232"/>
      <c r="BS174" s="1232"/>
      <c r="BT174" s="1232"/>
      <c r="BU174" s="1234"/>
      <c r="BV174" s="1233"/>
      <c r="BW174" s="1232"/>
      <c r="BX174" s="1232"/>
      <c r="BY174" s="1232"/>
      <c r="BZ174" s="1232"/>
      <c r="CA174" s="1232"/>
      <c r="CB174" s="1232"/>
      <c r="CC174" s="1234"/>
      <c r="CD174" s="1233"/>
      <c r="CE174" s="1232"/>
      <c r="CF174" s="1232"/>
      <c r="CG174" s="1232"/>
      <c r="CH174" s="1232"/>
      <c r="CI174" s="1232"/>
      <c r="CJ174" s="1235"/>
      <c r="CK174" s="1234"/>
      <c r="CL174" s="1233"/>
      <c r="CM174" s="1232"/>
      <c r="CN174" s="1232"/>
      <c r="CO174" s="1232"/>
      <c r="CP174" s="1232"/>
      <c r="CQ174" s="1232"/>
      <c r="CR174" s="1232"/>
      <c r="CS174" s="1234"/>
      <c r="CT174" s="1233"/>
      <c r="CU174" s="1232"/>
      <c r="CV174" s="1232"/>
      <c r="CW174" s="1236"/>
      <c r="CX174" s="1236"/>
      <c r="CY174" s="1232"/>
      <c r="CZ174" s="1232"/>
      <c r="DA174" s="1232"/>
      <c r="DB174" s="1237"/>
      <c r="DC174" s="1237"/>
      <c r="DD174" s="1237"/>
      <c r="DE174" s="1238"/>
      <c r="DF174" s="1238"/>
      <c r="DG174" s="1237"/>
      <c r="DH174" s="1237"/>
      <c r="DI174" s="1239"/>
      <c r="DJ174" s="1237"/>
      <c r="DK174" s="1237"/>
      <c r="DL174" s="1237"/>
      <c r="DM174" s="1238"/>
      <c r="DN174" s="1238"/>
      <c r="DO174" s="1237"/>
      <c r="DP174" s="1237"/>
      <c r="DQ174" s="1239"/>
      <c r="DR174" s="1237"/>
      <c r="DS174" s="1237"/>
      <c r="DT174" s="1237"/>
      <c r="DU174" s="1238"/>
      <c r="DV174" s="1238"/>
      <c r="DW174" s="1237"/>
      <c r="DX174" s="1237"/>
      <c r="DY174" s="1239"/>
      <c r="DZ174" s="1237"/>
      <c r="EA174" s="1237"/>
      <c r="EB174" s="1237"/>
      <c r="EC174" s="1238"/>
      <c r="ED174" s="1238"/>
      <c r="EE174" s="1237"/>
      <c r="EF174" s="1237"/>
      <c r="EG174" s="1239"/>
      <c r="EH174" s="1237"/>
      <c r="EI174" s="1237"/>
      <c r="EJ174" s="1237"/>
      <c r="EK174" s="1238"/>
      <c r="EL174" s="1238"/>
      <c r="EM174" s="1237"/>
      <c r="EN174" s="1237"/>
      <c r="EO174" s="1239"/>
      <c r="EP174" s="1237"/>
      <c r="EQ174" s="1237"/>
      <c r="ER174" s="1240"/>
      <c r="ES174" s="1237"/>
      <c r="ET174" s="1240"/>
      <c r="EU174" s="1240"/>
      <c r="EV174" s="1237"/>
      <c r="EW174" s="1239"/>
      <c r="EX174" s="1241">
        <v>462</v>
      </c>
      <c r="EY174" s="1241">
        <v>528</v>
      </c>
      <c r="EZ174" s="1241">
        <f>EX174+EY174</f>
        <v>990</v>
      </c>
      <c r="FA174" s="1241">
        <v>619</v>
      </c>
      <c r="FB174" s="1241">
        <f>EZ174+FA174</f>
        <v>1609</v>
      </c>
      <c r="FC174" s="1241">
        <v>608</v>
      </c>
      <c r="FD174" s="1241">
        <f>FA174+FC174</f>
        <v>1227</v>
      </c>
      <c r="FE174" s="1242">
        <f>EX174+EY174+FA174+FC174</f>
        <v>2217</v>
      </c>
      <c r="FF174" s="1243">
        <v>591</v>
      </c>
      <c r="FG174" s="1243">
        <v>643</v>
      </c>
      <c r="FH174" s="1241">
        <f>FF174+FG174</f>
        <v>1234</v>
      </c>
      <c r="FI174" s="1244">
        <v>776</v>
      </c>
      <c r="FJ174" s="1241">
        <f>FH174+FI174</f>
        <v>2010</v>
      </c>
      <c r="FK174" s="1243">
        <v>744</v>
      </c>
      <c r="FL174" s="1241">
        <f>FI174+FK174</f>
        <v>1520</v>
      </c>
      <c r="FM174" s="1242">
        <f>FF174+FG174+FI174+FK174</f>
        <v>2754</v>
      </c>
      <c r="FN174" s="1243">
        <v>728</v>
      </c>
      <c r="FO174" s="1241">
        <v>788</v>
      </c>
      <c r="FP174" s="1241">
        <f>FN174+FO174</f>
        <v>1516</v>
      </c>
      <c r="FQ174" s="1243">
        <v>927</v>
      </c>
      <c r="FR174" s="1241">
        <f>FN174+FO174+FQ174</f>
        <v>2443</v>
      </c>
      <c r="FS174" s="1241">
        <f>FU174-FN174-FO174-FQ174</f>
        <v>969</v>
      </c>
      <c r="FT174" s="1241">
        <f>FQ174+FS174</f>
        <v>1896</v>
      </c>
      <c r="FU174" s="1241">
        <v>3412</v>
      </c>
      <c r="FV174" s="1245">
        <v>988</v>
      </c>
      <c r="FW174" s="1243">
        <v>1014</v>
      </c>
      <c r="FX174" s="1241">
        <f>FV174+FW174</f>
        <v>2002</v>
      </c>
      <c r="FY174" s="1243">
        <f>FQ174*(1+FY175)</f>
        <v>1099</v>
      </c>
      <c r="FZ174" s="1241">
        <f>FV174+FW174+FY174</f>
        <v>3101</v>
      </c>
      <c r="GA174" s="1241">
        <f>GC174-FV174-FW174-FY174</f>
        <v>1174</v>
      </c>
      <c r="GB174" s="1241">
        <f>FY174+GA174</f>
        <v>2273</v>
      </c>
      <c r="GC174" s="1242">
        <v>4275</v>
      </c>
      <c r="GD174" s="1244">
        <f>FV174*(1+GD175)</f>
        <v>1040</v>
      </c>
      <c r="GE174" s="1244">
        <v>1082</v>
      </c>
      <c r="GF174" s="1241">
        <f>GD174+GE174</f>
        <v>2122</v>
      </c>
      <c r="GG174" s="1244">
        <f>FY174*(1+GG175)</f>
        <v>1269</v>
      </c>
      <c r="GH174" s="1241">
        <f>GD174+GE174+GG174</f>
        <v>3391</v>
      </c>
      <c r="GI174" s="1244">
        <v>1297</v>
      </c>
      <c r="GJ174" s="1241">
        <f>GG174+GI174</f>
        <v>2566</v>
      </c>
      <c r="GK174" s="1242">
        <f>GJ174+GF174</f>
        <v>4688</v>
      </c>
      <c r="GL174" s="1244">
        <f>GD174*(1+GL175)</f>
        <v>1157</v>
      </c>
      <c r="GM174" s="1244">
        <f>GE174*(1+GM175)</f>
        <v>1213</v>
      </c>
      <c r="GN174" s="1241">
        <f>GL174+GM174</f>
        <v>2370</v>
      </c>
      <c r="GO174" s="1244">
        <f>GG174*(1+GO175)</f>
        <v>1468</v>
      </c>
      <c r="GP174" s="1241">
        <f>GL174+GM174+GO174</f>
        <v>3838</v>
      </c>
      <c r="GQ174" s="1244">
        <f>GI174*(1+GQ175)</f>
        <v>1475</v>
      </c>
      <c r="GR174" s="1241">
        <f>GO174+GQ174</f>
        <v>2943</v>
      </c>
      <c r="GS174" s="1242">
        <f>GR174+GN174</f>
        <v>5313</v>
      </c>
      <c r="GT174" s="1244">
        <f>GL174*(1+GT175)</f>
        <v>1201</v>
      </c>
      <c r="GU174" s="1244">
        <f>GM174*(1+GU175)</f>
        <v>763</v>
      </c>
      <c r="GV174" s="1241">
        <f>GT174+GU174</f>
        <v>1964</v>
      </c>
      <c r="GW174" s="1244">
        <f>GO174*(1+GW175)</f>
        <v>1389.462</v>
      </c>
      <c r="GX174" s="1241">
        <f>GT174+GU174+GW174</f>
        <v>3353.462</v>
      </c>
      <c r="GY174" s="1244">
        <f>GQ174*(1+GY175)</f>
        <v>1408.538</v>
      </c>
      <c r="GZ174" s="1241">
        <f>GW174+GY174</f>
        <v>2798</v>
      </c>
      <c r="HA174" s="1242">
        <f>GZ174+GV174</f>
        <v>4762</v>
      </c>
      <c r="HB174" s="1244">
        <f>1166*(1+HB175)</f>
        <v>1157</v>
      </c>
      <c r="HC174" s="1244">
        <f>726*(1+HC175)</f>
        <v>1249</v>
      </c>
      <c r="HD174" s="1241">
        <f>HB174+HC174</f>
        <v>2406</v>
      </c>
      <c r="HE174" s="1244">
        <f>1309*(1+HE175)</f>
        <v>1396</v>
      </c>
      <c r="HF174" s="1241">
        <f>HB174+HC174+HE174</f>
        <v>3802</v>
      </c>
      <c r="HG174" s="1244">
        <f>1317*(1+HG175)</f>
        <v>1303</v>
      </c>
      <c r="HH174" s="1241">
        <f>HE174+HG174</f>
        <v>2699</v>
      </c>
      <c r="HI174" s="1242">
        <f>HH174+HD174</f>
        <v>5105</v>
      </c>
      <c r="HJ174" s="1244">
        <f>HB174*(1+HJ175)</f>
        <v>1402</v>
      </c>
      <c r="HK174" s="1244">
        <f>HC174*(1+HK175)</f>
        <v>1706</v>
      </c>
      <c r="HL174" s="1241">
        <f>HJ174+HK174</f>
        <v>3108</v>
      </c>
      <c r="HM174" s="1244">
        <f>HE174*(1+HM175)</f>
        <v>1750</v>
      </c>
      <c r="HN174" s="1241">
        <f>HJ174+HK174+HM174</f>
        <v>4858</v>
      </c>
      <c r="HO174" s="1244">
        <f>HG174*(1+HO175)</f>
        <v>1540</v>
      </c>
      <c r="HP174" s="1241">
        <f>HM174+HO174</f>
        <v>3290</v>
      </c>
      <c r="HQ174" s="1242">
        <f>HP174+HL174</f>
        <v>6398</v>
      </c>
      <c r="HR174" s="1244">
        <f>HJ174*(1+HR175)</f>
        <v>1177</v>
      </c>
      <c r="HS174" s="1244">
        <f>HK174*(1+HS175)</f>
        <v>1199</v>
      </c>
      <c r="HT174" s="1241">
        <f>HR174+HS174</f>
        <v>2376</v>
      </c>
      <c r="HU174" s="1244">
        <f>HM174*(1+HU175)</f>
        <v>1309</v>
      </c>
      <c r="HV174" s="1241">
        <f>HR174+HS174+HU174</f>
        <v>3685</v>
      </c>
      <c r="HW174" s="1244">
        <f>HO174*(1+HW175)</f>
        <v>1159</v>
      </c>
      <c r="HX174" s="1241">
        <f>HU174+HW174</f>
        <v>2468</v>
      </c>
      <c r="HY174" s="1242">
        <f>HX174+HT174</f>
        <v>4844</v>
      </c>
      <c r="HZ174" s="1244">
        <f>HR174*(1+HZ175)</f>
        <v>1047</v>
      </c>
      <c r="IA174" s="1244">
        <f>HS174*(1+IA175)</f>
        <v>1226.577</v>
      </c>
      <c r="IB174" s="1241">
        <f>HZ174+IA174</f>
        <v>2273.577</v>
      </c>
      <c r="IC174" s="1244">
        <f>HU174*(1+IC175)</f>
        <v>1309</v>
      </c>
      <c r="ID174" s="1241">
        <f>HZ174+IA174+IC174</f>
        <v>3582.577</v>
      </c>
      <c r="IE174" s="1244">
        <f>HW174*(1+IE175)</f>
        <v>1344.44</v>
      </c>
      <c r="IF174" s="1241">
        <f>IC174+IE174</f>
        <v>2653.44</v>
      </c>
      <c r="IG174" s="1242">
        <f>IF174+IB174</f>
        <v>4927.017</v>
      </c>
      <c r="IH174" s="1244">
        <f>HZ174*(1+IH175)</f>
        <v>1184</v>
      </c>
      <c r="II174" s="1244">
        <f>IA174*(1+II175)</f>
        <v>1339</v>
      </c>
      <c r="IJ174" s="1241">
        <f>IH174+II174</f>
        <v>2523</v>
      </c>
      <c r="IK174" s="1244">
        <f>IC174*(1+IK175)</f>
        <v>1298</v>
      </c>
      <c r="IL174" s="1241">
        <f>IH174+II174+IK174</f>
        <v>3821</v>
      </c>
      <c r="IM174" s="1244">
        <f>IE174*(1+IM175)</f>
        <v>1266</v>
      </c>
      <c r="IN174" s="1241">
        <f>IK174+IM174</f>
        <v>2564</v>
      </c>
      <c r="IO174" s="1242">
        <f>IN174+IJ174</f>
        <v>5087</v>
      </c>
      <c r="IP174" s="1244">
        <f>IH174*(1+IP175)</f>
        <v>1200</v>
      </c>
      <c r="IQ174" s="1244">
        <f>II174*(1+IQ175)</f>
        <v>1522</v>
      </c>
      <c r="IR174" s="1241">
        <f>IP174+IQ174</f>
        <v>2722</v>
      </c>
      <c r="IS174" s="1244">
        <f>IK174*(1+IS175)</f>
        <v>1454.44841745081</v>
      </c>
      <c r="IT174" s="1241">
        <f>IP174+IQ174+IS174</f>
        <v>4176.44841745081</v>
      </c>
      <c r="IU174" s="1244">
        <f>IM174*(1+IU175)</f>
        <v>1375.28494845361</v>
      </c>
      <c r="IV174" s="1241">
        <f>IS174+IU174</f>
        <v>2829.73336590442</v>
      </c>
      <c r="IW174" s="1242">
        <f>IV174+IR174</f>
        <v>5551.73336590442</v>
      </c>
      <c r="IX174" s="1049"/>
      <c r="IY174" s="1094"/>
      <c r="IZ174" s="1104"/>
      <c r="JA174" s="1037"/>
      <c r="JB174" s="1037"/>
      <c r="JC174" s="1037"/>
      <c r="JD174" s="1041"/>
      <c r="JE174" s="1037"/>
      <c r="JF174" s="1037"/>
      <c r="JG174" s="1037"/>
      <c r="JH174" s="1037"/>
      <c r="JI174" s="1035"/>
      <c r="JJ174" s="1035"/>
      <c r="JK174" s="1035"/>
      <c r="JL174" s="1035"/>
      <c r="JM174" s="1035"/>
      <c r="JN174" s="1035"/>
      <c r="JO174" s="1035"/>
      <c r="JP174" s="1035"/>
      <c r="JQ174" s="1035"/>
      <c r="JR174" s="1035"/>
      <c r="JS174" s="1035"/>
      <c r="JT174" s="1035"/>
      <c r="KA174" s="1229"/>
      <c r="KB174" s="1148"/>
      <c r="KC174" s="1148"/>
      <c r="KD174" s="1037"/>
      <c r="KE174" s="1037"/>
      <c r="KF174" s="1037"/>
      <c r="KG174" s="1037"/>
      <c r="KH174" s="1089"/>
      <c r="KI174" s="1037"/>
    </row>
    <row r="175" spans="1:334">
      <c r="A175" s="967" t="s">
        <v>61</v>
      </c>
      <c r="AX175" s="1059"/>
      <c r="BE175" s="1060"/>
      <c r="BN175" s="1059"/>
      <c r="BU175" s="1060"/>
      <c r="BV175" s="1059"/>
      <c r="CC175" s="1060"/>
      <c r="CD175" s="1059"/>
      <c r="CJ175" s="1061"/>
      <c r="CK175" s="1060"/>
      <c r="CL175" s="1059"/>
      <c r="CS175" s="1060"/>
      <c r="CT175" s="1059"/>
      <c r="CW175" s="1062"/>
      <c r="CX175" s="1062"/>
      <c r="DE175" s="1064"/>
      <c r="DF175" s="1064"/>
      <c r="DM175" s="1064"/>
      <c r="DN175" s="1064"/>
      <c r="DU175" s="1064"/>
      <c r="DV175" s="1064"/>
      <c r="EC175" s="1064"/>
      <c r="ED175" s="1064"/>
      <c r="EK175" s="1064"/>
      <c r="EL175" s="1064"/>
      <c r="ER175" s="1065"/>
      <c r="ET175" s="1065"/>
      <c r="EU175" s="1065"/>
      <c r="EW175" s="1038"/>
      <c r="EX175" s="1082"/>
      <c r="EY175" s="1082"/>
      <c r="EZ175" s="1082"/>
      <c r="FA175" s="1082"/>
      <c r="FB175" s="1082"/>
      <c r="FC175" s="1082"/>
      <c r="FD175" s="1082"/>
      <c r="FE175" s="1085"/>
      <c r="FF175" s="1091">
        <f t="shared" ref="FF175:FM175" si="960">FF174/EX174-1</f>
        <v>0.279220779220779</v>
      </c>
      <c r="FG175" s="1091">
        <f t="shared" si="960"/>
        <v>0.21780303030303</v>
      </c>
      <c r="FH175" s="1082">
        <f t="shared" si="960"/>
        <v>0.246464646464646</v>
      </c>
      <c r="FI175" s="1087">
        <f t="shared" si="960"/>
        <v>0.253634894991922</v>
      </c>
      <c r="FJ175" s="1087">
        <f t="shared" si="960"/>
        <v>0.24922311995028</v>
      </c>
      <c r="FK175" s="1091">
        <f t="shared" si="960"/>
        <v>0.223684210526316</v>
      </c>
      <c r="FL175" s="1082">
        <f t="shared" si="960"/>
        <v>0.23879380603097</v>
      </c>
      <c r="FM175" s="1085">
        <f t="shared" si="960"/>
        <v>0.242219215155616</v>
      </c>
      <c r="FN175" s="1091">
        <f t="shared" ref="FN175:FX175" si="961">FN174/FF174-1</f>
        <v>0.231810490693739</v>
      </c>
      <c r="FO175" s="1082">
        <f t="shared" si="961"/>
        <v>0.225505443234837</v>
      </c>
      <c r="FP175" s="1082">
        <f t="shared" si="961"/>
        <v>0.228525121555916</v>
      </c>
      <c r="FQ175" s="1091">
        <f t="shared" si="961"/>
        <v>0.194587628865979</v>
      </c>
      <c r="FR175" s="1082">
        <f t="shared" si="961"/>
        <v>0.215422885572139</v>
      </c>
      <c r="FS175" s="1082">
        <f t="shared" si="961"/>
        <v>0.30241935483871</v>
      </c>
      <c r="FT175" s="1082">
        <f t="shared" si="961"/>
        <v>0.247368421052632</v>
      </c>
      <c r="FU175" s="1082">
        <f t="shared" si="961"/>
        <v>0.238925199709513</v>
      </c>
      <c r="FV175" s="1086">
        <f t="shared" si="961"/>
        <v>0.357142857142857</v>
      </c>
      <c r="FW175" s="1082">
        <f t="shared" si="961"/>
        <v>0.286802030456853</v>
      </c>
      <c r="FX175" s="1082">
        <f t="shared" si="961"/>
        <v>0.320580474934037</v>
      </c>
      <c r="FY175" s="1082">
        <f>FY176+FY177</f>
        <v>0.18554476806904</v>
      </c>
      <c r="FZ175" s="1082">
        <f>FZ174/FR174-1</f>
        <v>0.269340974212034</v>
      </c>
      <c r="GA175" s="1082">
        <f t="shared" ref="GA175" si="962">GA174/FS174-1</f>
        <v>0.211558307533539</v>
      </c>
      <c r="GB175" s="1082">
        <f t="shared" ref="GB175" si="963">GB174/FT174-1</f>
        <v>0.198839662447257</v>
      </c>
      <c r="GC175" s="1085">
        <f t="shared" ref="GC175" si="964">GC174/FU174-1</f>
        <v>0.252930832356389</v>
      </c>
      <c r="GD175" s="1087">
        <f>GD176+GD177</f>
        <v>0.0526315789473681</v>
      </c>
      <c r="GE175" s="1082">
        <f>GE174/FW174-1</f>
        <v>0.0670611439842208</v>
      </c>
      <c r="GF175" s="1082">
        <f>GF174/FX174-1</f>
        <v>0.0599400599400599</v>
      </c>
      <c r="GG175" s="1087">
        <f>GG176+GG177</f>
        <v>0.154686078252957</v>
      </c>
      <c r="GH175" s="1082">
        <f>GH174/FZ174-1</f>
        <v>0.0935182199290552</v>
      </c>
      <c r="GI175" s="1082">
        <f>GI174/GA174-1</f>
        <v>0.104770017035775</v>
      </c>
      <c r="GJ175" s="1082">
        <f>GJ174/GB174-1</f>
        <v>0.128904531456225</v>
      </c>
      <c r="GK175" s="1085">
        <f>GK174/GC174-1</f>
        <v>0.096608187134503</v>
      </c>
      <c r="GL175" s="1087">
        <f>GL176+GL177</f>
        <v>0.112499999999999</v>
      </c>
      <c r="GM175" s="1082">
        <f>GM176+GM177</f>
        <v>0.121072088724584</v>
      </c>
      <c r="GN175" s="1082">
        <f>GN174/GF174-1</f>
        <v>0.116870876531574</v>
      </c>
      <c r="GO175" s="1087">
        <f>GO176+GO177</f>
        <v>0.156816390858946</v>
      </c>
      <c r="GP175" s="1082">
        <f>GP174/GH174-1</f>
        <v>0.131819522264819</v>
      </c>
      <c r="GQ175" s="1082">
        <f>GQ176+GQ177</f>
        <v>0.137239784117194</v>
      </c>
      <c r="GR175" s="1082">
        <f>GR174/GJ174-1</f>
        <v>0.146921278254093</v>
      </c>
      <c r="GS175" s="1085">
        <f>GS174/GK174-1</f>
        <v>0.133319112627986</v>
      </c>
      <c r="GT175" s="1087">
        <f>GT176+GT177</f>
        <v>0.0380293863439939</v>
      </c>
      <c r="GU175" s="1082">
        <f>GU176+GU177</f>
        <v>-0.370981038746909</v>
      </c>
      <c r="GV175" s="1082">
        <f>GV174/GN174-1</f>
        <v>-0.171308016877637</v>
      </c>
      <c r="GW175" s="1087">
        <f>GW176+GW177</f>
        <v>-0.0535</v>
      </c>
      <c r="GX175" s="1082">
        <f>GX174/GP174-1</f>
        <v>-0.126247524752475</v>
      </c>
      <c r="GY175" s="1082">
        <f>GY176+GY177</f>
        <v>-0.0450589830508487</v>
      </c>
      <c r="GZ175" s="1082">
        <f>GZ174/GR174-1</f>
        <v>-0.0492694529391783</v>
      </c>
      <c r="HA175" s="1085">
        <f>HA174/GS174-1</f>
        <v>-0.103707886316582</v>
      </c>
      <c r="HB175" s="1087">
        <f>HB176+HB177</f>
        <v>-0.00771869639794097</v>
      </c>
      <c r="HC175" s="1082">
        <f>HC176+HC177</f>
        <v>0.720385674931129</v>
      </c>
      <c r="HD175" s="1082">
        <f>HD174/(1166+726)-1</f>
        <v>0.271670190274842</v>
      </c>
      <c r="HE175" s="1087">
        <f>HE176+HE177</f>
        <v>0.0664629488158901</v>
      </c>
      <c r="HF175" s="1082">
        <f>HF174/GX174-1</f>
        <v>0.133753714817701</v>
      </c>
      <c r="HG175" s="1082">
        <f>HG176+HG177</f>
        <v>-0.0106302201974185</v>
      </c>
      <c r="HH175" s="1082">
        <f>HH174/(1309+1317)-1</f>
        <v>0.0277989337395279</v>
      </c>
      <c r="HI175" s="1085">
        <f>HI174/4519-1</f>
        <v>0.129674706793539</v>
      </c>
      <c r="HJ175" s="1087">
        <f>HJ176+HJ177</f>
        <v>0.211754537597233</v>
      </c>
      <c r="HK175" s="1082">
        <f>HK176+HK177</f>
        <v>0.365892714171337</v>
      </c>
      <c r="HL175" s="1082">
        <f>HL174/HD174-1</f>
        <v>0.291770573566084</v>
      </c>
      <c r="HM175" s="1087">
        <f>HM176+HM177</f>
        <v>0.253581661891117</v>
      </c>
      <c r="HN175" s="1082">
        <f>HN174/HF174-1</f>
        <v>0.277748553392951</v>
      </c>
      <c r="HO175" s="1082">
        <f>HO176+HO177</f>
        <v>0.181887950882579</v>
      </c>
      <c r="HP175" s="1082">
        <f t="shared" ref="HP175:HQ175" si="965">HP174/HH174-1</f>
        <v>0.218969988884772</v>
      </c>
      <c r="HQ175" s="1085">
        <f t="shared" si="965"/>
        <v>0.253281096963761</v>
      </c>
      <c r="HR175" s="1087">
        <f>HR176+HR177</f>
        <v>-0.160485021398003</v>
      </c>
      <c r="HS175" s="1082">
        <f>HS176+HS177</f>
        <v>-0.297186400937865</v>
      </c>
      <c r="HT175" s="1082">
        <f>HT174/HL174-1</f>
        <v>-0.235521235521235</v>
      </c>
      <c r="HU175" s="1087">
        <f>HU176+HU177</f>
        <v>-0.252</v>
      </c>
      <c r="HV175" s="1082">
        <f>HV174/HN174-1</f>
        <v>-0.241457389872375</v>
      </c>
      <c r="HW175" s="1082">
        <f>HW176+HW177</f>
        <v>-0.247402597402598</v>
      </c>
      <c r="HX175" s="1082">
        <f t="shared" ref="HX175" si="966">HX174/HP174-1</f>
        <v>-0.249848024316109</v>
      </c>
      <c r="HY175" s="1085">
        <f t="shared" ref="HY175" si="967">HY174/HQ174-1</f>
        <v>-0.24288840262582</v>
      </c>
      <c r="HZ175" s="1087">
        <f>HZ176+HZ177</f>
        <v>-0.110450297366185</v>
      </c>
      <c r="IA175" s="1082">
        <f>IA176+IA177</f>
        <v>0.023</v>
      </c>
      <c r="IB175" s="1082">
        <f>IB174/HT174-1</f>
        <v>-0.0431073232323232</v>
      </c>
      <c r="IC175" s="1087">
        <f>IC176+IC177</f>
        <v>0</v>
      </c>
      <c r="ID175" s="1082">
        <f>ID174/HV174-1</f>
        <v>-0.0277945725915877</v>
      </c>
      <c r="IE175" s="1082">
        <f>IE176+IE177</f>
        <v>0.16</v>
      </c>
      <c r="IF175" s="1082">
        <f t="shared" ref="IF175" si="968">IF174/HX174-1</f>
        <v>0.0751377633711505</v>
      </c>
      <c r="IG175" s="1085">
        <f t="shared" ref="IG175" si="969">IG174/HY174-1</f>
        <v>0.0171381090008258</v>
      </c>
      <c r="IH175" s="1087">
        <f>IH176+IH177</f>
        <v>0.130850047755492</v>
      </c>
      <c r="II175" s="1082">
        <f>II176+II177</f>
        <v>0.0916558846285214</v>
      </c>
      <c r="IJ175" s="1082">
        <f>IJ174/IB174-1</f>
        <v>0.109705103455919</v>
      </c>
      <c r="IK175" s="1087">
        <f>IK176+IK177</f>
        <v>-0.0084033613445382</v>
      </c>
      <c r="IL175" s="1082">
        <f>IL174/ID174-1</f>
        <v>0.0665506980031407</v>
      </c>
      <c r="IM175" s="1082">
        <f>IM176+IM177</f>
        <v>-0.0583439945256027</v>
      </c>
      <c r="IN175" s="1082">
        <f t="shared" ref="IN175" si="970">IN174/IF174-1</f>
        <v>-0.0337071876507482</v>
      </c>
      <c r="IO175" s="1085">
        <f t="shared" ref="IO175" si="971">IO174/IG174-1</f>
        <v>0.0324705597727786</v>
      </c>
      <c r="IP175" s="1087">
        <f>IP176+IP177</f>
        <v>0.0135135135135136</v>
      </c>
      <c r="IQ175" s="1082">
        <f>IQ176+IQ177</f>
        <v>0.136669156086632</v>
      </c>
      <c r="IR175" s="1082">
        <f>IR174/IJ174-1</f>
        <v>0.0788743559254859</v>
      </c>
      <c r="IS175" s="1087">
        <f>IS176+IS177</f>
        <v>0.120530367835757</v>
      </c>
      <c r="IT175" s="1082">
        <f>IT174/IL174-1</f>
        <v>0.0930249718531311</v>
      </c>
      <c r="IU175" s="1082">
        <f>IU176+IU177</f>
        <v>0.0863230240549828</v>
      </c>
      <c r="IV175" s="1082">
        <f t="shared" ref="IV175" si="972">IV174/IN174-1</f>
        <v>0.103640158309056</v>
      </c>
      <c r="IW175" s="1085">
        <f t="shared" ref="IW175" si="973">IW174/IO174-1</f>
        <v>0.0913570603311229</v>
      </c>
      <c r="IX175" s="1049"/>
      <c r="IY175" s="1082"/>
      <c r="IZ175" s="1104"/>
      <c r="JA175" s="1037"/>
      <c r="JB175" s="1037"/>
      <c r="JC175" s="1037"/>
      <c r="JD175" s="1041"/>
      <c r="JE175" s="1037"/>
      <c r="JF175" s="1037"/>
      <c r="JG175" s="1037"/>
      <c r="JH175" s="1037"/>
      <c r="JI175" s="1035"/>
      <c r="JJ175" s="1035"/>
      <c r="JK175" s="1035"/>
      <c r="JL175" s="1035"/>
      <c r="JM175" s="1035"/>
      <c r="JN175" s="1035"/>
      <c r="JO175" s="1035"/>
      <c r="JP175" s="1035"/>
      <c r="JQ175" s="1035"/>
      <c r="JR175" s="1035"/>
      <c r="JS175" s="1035"/>
      <c r="JT175" s="1035"/>
      <c r="KA175" s="1229" t="s">
        <v>544</v>
      </c>
      <c r="KB175" s="1148">
        <v>359</v>
      </c>
      <c r="KC175" s="1148">
        <v>418</v>
      </c>
      <c r="KD175" s="1037">
        <v>486</v>
      </c>
      <c r="KE175" s="1037">
        <v>477</v>
      </c>
      <c r="KF175" s="1037"/>
      <c r="KG175" s="1037">
        <f>SUM(KB175:KE175)</f>
        <v>1740</v>
      </c>
      <c r="KH175" s="1089"/>
      <c r="KI175" s="1037"/>
    </row>
    <row r="176" spans="1:334">
      <c r="A176" s="967" t="s">
        <v>99</v>
      </c>
      <c r="AX176" s="1059"/>
      <c r="BE176" s="1060"/>
      <c r="BN176" s="1059"/>
      <c r="BU176" s="1060"/>
      <c r="BV176" s="1059"/>
      <c r="CC176" s="1060"/>
      <c r="CD176" s="1059"/>
      <c r="CJ176" s="1061"/>
      <c r="CK176" s="1060"/>
      <c r="CL176" s="1059"/>
      <c r="CS176" s="1060"/>
      <c r="CT176" s="1059"/>
      <c r="CW176" s="1062"/>
      <c r="CX176" s="1062"/>
      <c r="DE176" s="1064"/>
      <c r="DF176" s="1064"/>
      <c r="DM176" s="1064"/>
      <c r="DN176" s="1064"/>
      <c r="DU176" s="1064"/>
      <c r="DV176" s="1064"/>
      <c r="EC176" s="1064"/>
      <c r="ED176" s="1064"/>
      <c r="EK176" s="1064"/>
      <c r="EL176" s="1064"/>
      <c r="ER176" s="1065"/>
      <c r="ET176" s="1065"/>
      <c r="EU176" s="1065"/>
      <c r="EW176" s="1038"/>
      <c r="EX176" s="1082"/>
      <c r="EY176" s="1082"/>
      <c r="EZ176" s="1082"/>
      <c r="FA176" s="1082"/>
      <c r="FB176" s="1082"/>
      <c r="FC176" s="1082"/>
      <c r="FD176" s="1082"/>
      <c r="FE176" s="1085"/>
      <c r="FF176" s="1091">
        <f t="shared" ref="FF176:FM176" si="974">FF175-FF177</f>
        <v>0.212220779220779</v>
      </c>
      <c r="FG176" s="1091">
        <f t="shared" si="974"/>
        <v>0.22280303030303</v>
      </c>
      <c r="FH176" s="1082">
        <f t="shared" si="974"/>
        <v>0.217864646464646</v>
      </c>
      <c r="FI176" s="1087">
        <f t="shared" si="974"/>
        <v>0.188634894991922</v>
      </c>
      <c r="FJ176" s="1087">
        <f t="shared" si="974"/>
        <v>0.206619639527657</v>
      </c>
      <c r="FK176" s="1091">
        <f t="shared" si="974"/>
        <v>0.141684210526316</v>
      </c>
      <c r="FL176" s="1082">
        <f t="shared" si="974"/>
        <v>0.165370008149959</v>
      </c>
      <c r="FM176" s="1085">
        <f t="shared" si="974"/>
        <v>0.188811456923771</v>
      </c>
      <c r="FN176" s="1091">
        <f t="shared" ref="FN176:FX176" si="975">FN175-FN177</f>
        <v>0.0158104906937395</v>
      </c>
      <c r="FO176" s="1082">
        <f t="shared" si="975"/>
        <v>-0.0304945567651633</v>
      </c>
      <c r="FP176" s="1082">
        <f t="shared" si="975"/>
        <v>-0.00831766612641824</v>
      </c>
      <c r="FQ176" s="1091">
        <f t="shared" si="975"/>
        <v>-0.00741237113402066</v>
      </c>
      <c r="FR176" s="1082">
        <f t="shared" si="975"/>
        <v>-0.00796815920398</v>
      </c>
      <c r="FS176" s="1082">
        <f t="shared" si="975"/>
        <v>0.0154193548387098</v>
      </c>
      <c r="FT176" s="1082">
        <f t="shared" si="975"/>
        <v>0.00376315789473697</v>
      </c>
      <c r="FU176" s="1082">
        <f t="shared" si="975"/>
        <v>-0.00164996368917938</v>
      </c>
      <c r="FV176" s="1086">
        <f t="shared" si="975"/>
        <v>0.0511428571428572</v>
      </c>
      <c r="FW176" s="1082">
        <f t="shared" si="975"/>
        <v>0.0288020304568528</v>
      </c>
      <c r="FX176" s="1082">
        <f t="shared" si="975"/>
        <v>0.0395303430079155</v>
      </c>
      <c r="FY176" s="1082">
        <v>-0.0414552319309598</v>
      </c>
      <c r="FZ176" s="1082">
        <f>FZ175-FZ177</f>
        <v>0.00880024559967246</v>
      </c>
      <c r="GA176" s="1082">
        <f t="shared" ref="GA176:GC176" si="976">GA175-GA177</f>
        <v>-0.0984416924664606</v>
      </c>
      <c r="GB176" s="1082">
        <f t="shared" si="976"/>
        <v>-0.0705796413502108</v>
      </c>
      <c r="GC176" s="1085">
        <f t="shared" si="976"/>
        <v>-0.0216562133645955</v>
      </c>
      <c r="GD176" s="1087">
        <v>-0.157368421052632</v>
      </c>
      <c r="GE176" s="1087">
        <f>GE175-GE177</f>
        <v>-0.0889388560157792</v>
      </c>
      <c r="GF176" s="1082">
        <f>GF175-GF177</f>
        <v>-0.122709290709291</v>
      </c>
      <c r="GG176" s="1087">
        <v>-0.01</v>
      </c>
      <c r="GH176" s="1082">
        <f>GH175-GH177</f>
        <v>-0.0827649145436955</v>
      </c>
      <c r="GI176" s="1087">
        <f>GI175-GI177</f>
        <v>0.0147700170357753</v>
      </c>
      <c r="GJ176" s="1082">
        <f t="shared" ref="GJ176:GK176" si="977">GJ175-GJ177</f>
        <v>0.0027936647602288</v>
      </c>
      <c r="GK176" s="1085">
        <f t="shared" si="977"/>
        <v>-0.0559798830409355</v>
      </c>
      <c r="GL176" s="1087">
        <v>0.0824999999999994</v>
      </c>
      <c r="GM176" s="1087">
        <v>0.0630720887245844</v>
      </c>
      <c r="GN176" s="1082">
        <f>GN175-GN177</f>
        <v>0.0725937794533455</v>
      </c>
      <c r="GO176" s="1087">
        <v>0.0528163908589458</v>
      </c>
      <c r="GP176" s="1082">
        <f>GP175-GP177</f>
        <v>0.0651925685638457</v>
      </c>
      <c r="GQ176" s="1087">
        <v>0.04</v>
      </c>
      <c r="GR176" s="1082">
        <f t="shared" ref="GR176:GS176" si="978">GR175-GR177</f>
        <v>0.0463382696804373</v>
      </c>
      <c r="GS176" s="1085">
        <f t="shared" si="978"/>
        <v>0.0582226962457339</v>
      </c>
      <c r="GT176" s="1087">
        <v>0.03</v>
      </c>
      <c r="GU176" s="1087">
        <v>0.0110189612530914</v>
      </c>
      <c r="GV176" s="1082">
        <f>GV175-GV177</f>
        <v>0.0202852320675105</v>
      </c>
      <c r="GW176" s="1087">
        <v>-0.0435</v>
      </c>
      <c r="GX176" s="1082">
        <f>GX175-GX177</f>
        <v>-0.00411203751954146</v>
      </c>
      <c r="GY176" s="1087">
        <f>GY483</f>
        <v>-0.0546594982078852</v>
      </c>
      <c r="GZ176" s="1082">
        <f t="shared" ref="GZ176:HA176" si="979">GZ175-GZ177</f>
        <v>-0.0490930206784337</v>
      </c>
      <c r="HA176" s="1085">
        <f t="shared" si="979"/>
        <v>-0.0181450705546077</v>
      </c>
      <c r="HB176" s="1087">
        <v>-0.088718696397941</v>
      </c>
      <c r="HC176" s="1087">
        <v>-0.15</v>
      </c>
      <c r="HD176" s="1082">
        <f>HD175-HD177</f>
        <v>-0.112233615221987</v>
      </c>
      <c r="HE176" s="1087">
        <v>-0.02</v>
      </c>
      <c r="HF176" s="1082">
        <f>HF175-HF177</f>
        <v>-0.129115598077472</v>
      </c>
      <c r="HG176" s="1087">
        <v>0.0263697798025815</v>
      </c>
      <c r="HH176" s="1082">
        <f t="shared" ref="HH176:HI176" si="980">HH175-HH177</f>
        <v>0.0032555217060168</v>
      </c>
      <c r="HI176" s="1085">
        <f t="shared" si="980"/>
        <v>-0.0453190971453858</v>
      </c>
      <c r="HJ176" s="1087">
        <v>0.084</v>
      </c>
      <c r="HK176" s="1087">
        <v>0.152892714171337</v>
      </c>
      <c r="HL176" s="1082">
        <f>HL175-HL177</f>
        <v>0.131305567837557</v>
      </c>
      <c r="HM176" s="1087">
        <v>0.171581661891117</v>
      </c>
      <c r="HN176" s="1082">
        <f>HN175-HN177</f>
        <v>0.138789847448711</v>
      </c>
      <c r="HO176" s="1087">
        <v>0.121887950882579</v>
      </c>
      <c r="HP176" s="1082">
        <f t="shared" ref="HP176:HQ176" si="981">HP175-HP177</f>
        <v>0.148003499928184</v>
      </c>
      <c r="HQ176" s="1085">
        <f t="shared" si="981"/>
        <v>0.134475808031342</v>
      </c>
      <c r="HR176" s="1087">
        <v>0.0355149786019969</v>
      </c>
      <c r="HS176" s="1087">
        <v>-0.017</v>
      </c>
      <c r="HT176" s="1082">
        <f>HT175-HT177</f>
        <v>0.00668918918918918</v>
      </c>
      <c r="HU176" s="1087">
        <v>-0.12</v>
      </c>
      <c r="HV176" s="1082">
        <f>HV175-HV177</f>
        <v>-0.0389481268011527</v>
      </c>
      <c r="HW176" s="1087">
        <v>-0.042</v>
      </c>
      <c r="HX176" s="1091">
        <f>AVERAGE(HU176:HW176)</f>
        <v>-0.0669827089337176</v>
      </c>
      <c r="HY176" s="1085">
        <f t="shared" ref="HY176" si="982">HY175-HY177</f>
        <v>-0.0396827133479211</v>
      </c>
      <c r="HZ176" s="1083">
        <v>-0.011</v>
      </c>
      <c r="IA176" s="1083">
        <v>0.008</v>
      </c>
      <c r="IB176" s="1082">
        <f t="shared" ref="IB176" si="983">IB175-IB177</f>
        <v>-0.00141203703703709</v>
      </c>
      <c r="IC176" s="1083">
        <v>-0.01</v>
      </c>
      <c r="ID176" s="1082">
        <f t="shared" ref="ID176" si="984">ID175-ID177</f>
        <v>-0.00446268656716436</v>
      </c>
      <c r="IE176" s="1083">
        <v>0.01</v>
      </c>
      <c r="IF176" s="1082">
        <f t="shared" ref="IF176:IG176" si="985">IF175-IF177</f>
        <v>-0.00507548872328968</v>
      </c>
      <c r="IG176" s="1085">
        <f t="shared" si="985"/>
        <v>-0.00100227085053671</v>
      </c>
      <c r="IH176" s="1083">
        <v>0.027</v>
      </c>
      <c r="II176" s="1083">
        <v>-0.0583441153714786</v>
      </c>
      <c r="IJ176" s="1082">
        <f t="shared" ref="IJ176" si="986">IJ175-IJ177</f>
        <v>-0.0190424823966826</v>
      </c>
      <c r="IK176" s="1083">
        <v>-0.0884033613445382</v>
      </c>
      <c r="IL176" s="1082">
        <f t="shared" ref="IL176" si="987">IL175-IL177</f>
        <v>-0.0443855219301643</v>
      </c>
      <c r="IM176" s="1083">
        <v>-0.108343994525603</v>
      </c>
      <c r="IN176" s="1082">
        <f t="shared" ref="IN176:IO176" si="988">IN175-IN177</f>
        <v>-0.0986614907733682</v>
      </c>
      <c r="IO176" s="1085">
        <f t="shared" si="988"/>
        <v>-0.0618379335813138</v>
      </c>
      <c r="IP176" s="1083">
        <v>-0.106486486486486</v>
      </c>
      <c r="IQ176" s="1083">
        <v>-0.0333308439133677</v>
      </c>
      <c r="IR176" s="1083" t="e">
        <f t="shared" ref="IR176:IW176" si="989">IR483</f>
        <v>#DIV/0!</v>
      </c>
      <c r="IS176" s="1083">
        <f t="shared" si="989"/>
        <v>0.0205303678357571</v>
      </c>
      <c r="IT176" s="1083" t="e">
        <f t="shared" si="989"/>
        <v>#DIV/0!</v>
      </c>
      <c r="IU176" s="1083">
        <f t="shared" si="989"/>
        <v>0.0163230240549828</v>
      </c>
      <c r="IV176" s="1083" t="e">
        <f t="shared" si="989"/>
        <v>#DIV/0!</v>
      </c>
      <c r="IW176" s="1083">
        <f t="shared" si="989"/>
        <v>-0.0239867109634553</v>
      </c>
      <c r="IX176" s="1049"/>
      <c r="IY176" s="1082"/>
      <c r="IZ176" s="1104"/>
      <c r="JA176" s="1037"/>
      <c r="JB176" s="1037"/>
      <c r="JC176" s="1037"/>
      <c r="JD176" s="1041"/>
      <c r="JE176" s="1037"/>
      <c r="JF176" s="1037"/>
      <c r="JG176" s="1037"/>
      <c r="JH176" s="1037"/>
      <c r="JI176" s="1035"/>
      <c r="JJ176" s="1035"/>
      <c r="JK176" s="1035"/>
      <c r="JL176" s="1035"/>
      <c r="JM176" s="1035"/>
      <c r="JN176" s="1035"/>
      <c r="JO176" s="1035"/>
      <c r="JP176" s="1035"/>
      <c r="JQ176" s="1035"/>
      <c r="JR176" s="1035"/>
      <c r="JS176" s="1035"/>
      <c r="JT176" s="1035"/>
      <c r="KA176" s="1229" t="s">
        <v>545</v>
      </c>
      <c r="KB176" s="1094">
        <f>KB175/EX174</f>
        <v>0.777056277056277</v>
      </c>
      <c r="KC176" s="1094">
        <f>KC175/EY174</f>
        <v>0.791666666666667</v>
      </c>
      <c r="KD176" s="1094">
        <f>KD175/FA174</f>
        <v>0.78513731825525</v>
      </c>
      <c r="KE176" s="1094">
        <f>KE175/FC174</f>
        <v>0.784539473684211</v>
      </c>
      <c r="KF176" s="1082"/>
      <c r="KG176" s="1094">
        <f>KG175/FE174</f>
        <v>0.784844384303112</v>
      </c>
      <c r="KH176" s="1089"/>
      <c r="KI176" s="1037"/>
    </row>
    <row r="177" spans="1:334">
      <c r="A177" s="967" t="s">
        <v>100</v>
      </c>
      <c r="AX177" s="1059"/>
      <c r="BE177" s="1060"/>
      <c r="BN177" s="1059"/>
      <c r="BU177" s="1060"/>
      <c r="BV177" s="1059"/>
      <c r="CC177" s="1060"/>
      <c r="CD177" s="1059"/>
      <c r="CJ177" s="1061"/>
      <c r="CK177" s="1060"/>
      <c r="CL177" s="1059"/>
      <c r="CS177" s="1060"/>
      <c r="CT177" s="1059"/>
      <c r="CW177" s="1062"/>
      <c r="CX177" s="1062"/>
      <c r="DE177" s="1064"/>
      <c r="DF177" s="1064"/>
      <c r="DM177" s="1064"/>
      <c r="DN177" s="1064"/>
      <c r="DU177" s="1064"/>
      <c r="DV177" s="1064"/>
      <c r="EC177" s="1064"/>
      <c r="ED177" s="1064"/>
      <c r="EK177" s="1064"/>
      <c r="EL177" s="1064"/>
      <c r="ER177" s="1065"/>
      <c r="ET177" s="1065"/>
      <c r="EU177" s="1065"/>
      <c r="EW177" s="1038"/>
      <c r="EX177" s="1083"/>
      <c r="EY177" s="1083"/>
      <c r="EZ177" s="1083"/>
      <c r="FA177" s="1083"/>
      <c r="FB177" s="1083"/>
      <c r="FC177" s="1083"/>
      <c r="FD177" s="1083"/>
      <c r="FE177" s="1084"/>
      <c r="FF177" s="1095">
        <v>0.067</v>
      </c>
      <c r="FG177" s="1095">
        <v>-0.005</v>
      </c>
      <c r="FH177" s="1083">
        <f>(EX174*FF177+EY174*FG177)/EZ174</f>
        <v>0.0286</v>
      </c>
      <c r="FI177" s="1087">
        <v>0.065</v>
      </c>
      <c r="FJ177" s="1083">
        <f>(EZ174*FH177+FA174*FI177)/FB174</f>
        <v>0.0426034804226227</v>
      </c>
      <c r="FK177" s="1095">
        <v>0.082</v>
      </c>
      <c r="FL177" s="1083">
        <f>(FA174*FI177+FC174*FK177)/FD174</f>
        <v>0.0734237978810106</v>
      </c>
      <c r="FM177" s="1084">
        <f>(EX174*FF177+EY174*FG177+FA174*FI177+FC174*FK177)/FE174</f>
        <v>0.0534077582318448</v>
      </c>
      <c r="FN177" s="1095">
        <v>0.216</v>
      </c>
      <c r="FO177" s="1083">
        <v>0.256</v>
      </c>
      <c r="FP177" s="1083">
        <f>(FF174*FN177+FG174*FO177)/FH174</f>
        <v>0.236842787682334</v>
      </c>
      <c r="FQ177" s="1095">
        <v>0.202</v>
      </c>
      <c r="FR177" s="1083">
        <f>(FF174*FN177+FG174*FO177+FI174*FQ177)/FJ174</f>
        <v>0.223391044776119</v>
      </c>
      <c r="FS177" s="1083">
        <v>0.287</v>
      </c>
      <c r="FT177" s="1083">
        <f>(FI174*FQ177+FK174*FS177)/FL174</f>
        <v>0.243605263157895</v>
      </c>
      <c r="FU177" s="1083">
        <f>(FF174*FN177+FG174*FO177+FI174*FQ177+FK174*FS177)/FM174</f>
        <v>0.240575163398693</v>
      </c>
      <c r="FV177" s="1086">
        <v>0.306</v>
      </c>
      <c r="FW177" s="1083">
        <v>0.258</v>
      </c>
      <c r="FX177" s="1083">
        <f>(FN174*FV177+FO174*FW177)/FP174</f>
        <v>0.281050131926121</v>
      </c>
      <c r="FY177" s="1083">
        <v>0.227</v>
      </c>
      <c r="FZ177" s="1083">
        <f>(FN174*FV177+FO174*FW177+FQ174*FY177)/FR174</f>
        <v>0.260540728612362</v>
      </c>
      <c r="GA177" s="1083">
        <v>0.31</v>
      </c>
      <c r="GB177" s="1083">
        <f>(FQ174*FY177+FS174*GA177)/FT174</f>
        <v>0.269419303797468</v>
      </c>
      <c r="GC177" s="1084">
        <f>(FN174*FV177+FO174*FW177+FQ174*FY177+FS174*GA177)/FU174</f>
        <v>0.274587045720985</v>
      </c>
      <c r="GD177" s="1087">
        <v>0.21</v>
      </c>
      <c r="GE177" s="1087">
        <v>0.156</v>
      </c>
      <c r="GF177" s="1083">
        <f>(FV174*GD177+FW174*GE177)/FX174</f>
        <v>0.182649350649351</v>
      </c>
      <c r="GG177" s="1087">
        <v>0.164686078252957</v>
      </c>
      <c r="GH177" s="1083">
        <f>(FV174*GD177+FW174*GE177+FY174*GG177)/FZ174</f>
        <v>0.176283134472751</v>
      </c>
      <c r="GI177" s="1087">
        <v>0.09</v>
      </c>
      <c r="GJ177" s="1083">
        <f>(FY174*GG177+GA174*GI177)/GB174</f>
        <v>0.126110866695996</v>
      </c>
      <c r="GK177" s="1084">
        <f>(FV174*GD177+FW174*GE177+FY174*GG177+GA174*GI177)/GC174</f>
        <v>0.152588070175439</v>
      </c>
      <c r="GL177" s="1087">
        <v>0.03</v>
      </c>
      <c r="GM177" s="1087">
        <v>0.058</v>
      </c>
      <c r="GN177" s="1083">
        <f>(GD174*GL177+GE174*GM177)/GF174</f>
        <v>0.0442770970782281</v>
      </c>
      <c r="GO177" s="1087">
        <v>0.104</v>
      </c>
      <c r="GP177" s="1083">
        <f>(GD174*GL177+GE174*GM177+GG174*GO177)/GH174</f>
        <v>0.0666269537009732</v>
      </c>
      <c r="GQ177" s="1087">
        <v>0.0972397841171935</v>
      </c>
      <c r="GR177" s="1083">
        <f>(GG174*GO177+GI174*GQ177)/GJ174</f>
        <v>0.100583008573655</v>
      </c>
      <c r="GS177" s="1084">
        <f>(GD174*GL177+GE174*GM177+GG174*GO177+GI174*GQ177)/GK174</f>
        <v>0.0750964163822525</v>
      </c>
      <c r="GT177" s="1087">
        <v>0.00802938634399395</v>
      </c>
      <c r="GU177" s="1087">
        <v>-0.382</v>
      </c>
      <c r="GV177" s="1083">
        <f>(GL174*GT177+GM174*GU177)/GN174</f>
        <v>-0.191593248945147</v>
      </c>
      <c r="GW177" s="1087">
        <v>-0.01</v>
      </c>
      <c r="GX177" s="1083">
        <f>(GL174*GT177+GM174*GU177+GO174*GW177)/GP174</f>
        <v>-0.122135487232934</v>
      </c>
      <c r="GY177" s="1087">
        <v>0.00960051515703649</v>
      </c>
      <c r="GZ177" s="1083">
        <f>(GO174*GW177+GQ174*GY177)/GR174</f>
        <v>-0.000176432260744543</v>
      </c>
      <c r="HA177" s="1084">
        <f>(GL174*GT177+GM174*GU177+GO174*GW177+GQ174*GY177)/GS174</f>
        <v>-0.0855628157619744</v>
      </c>
      <c r="HB177" s="1087">
        <v>0.081</v>
      </c>
      <c r="HC177" s="1087">
        <v>0.870385674931129</v>
      </c>
      <c r="HD177" s="1083">
        <f>(1166*HB177+726*HC177)/(1166+726)</f>
        <v>0.383903805496829</v>
      </c>
      <c r="HE177" s="1087">
        <v>0.0864629488158901</v>
      </c>
      <c r="HF177" s="1083">
        <f>(GT174*HB177+GU174*HC177+GW174*HE177)/GX174</f>
        <v>0.262869312895174</v>
      </c>
      <c r="HG177" s="1087">
        <v>-0.037</v>
      </c>
      <c r="HH177" s="1083">
        <f>(1309*HE177+1317*HG177)/(1309+1317)</f>
        <v>0.0245434120335111</v>
      </c>
      <c r="HI177" s="1084">
        <f>(1166*HB177+726*HC177+1309*HE177+1317*HG177)/4519</f>
        <v>0.174993803938924</v>
      </c>
      <c r="HJ177" s="1087">
        <v>0.127754537597233</v>
      </c>
      <c r="HK177" s="1087">
        <v>0.213</v>
      </c>
      <c r="HL177" s="1083">
        <f>(1166*HJ177+726*HK177)/(1166+726)</f>
        <v>0.160465005728528</v>
      </c>
      <c r="HM177" s="1087">
        <v>0.082</v>
      </c>
      <c r="HN177" s="1083">
        <f>(HB174*HJ177+HC174*HK177+HE174*HM177)/HF174</f>
        <v>0.13895870594424</v>
      </c>
      <c r="HO177" s="1087">
        <v>0.06</v>
      </c>
      <c r="HP177" s="1083">
        <f>(1309*HM177+1317*HO177)/(1309+1317)</f>
        <v>0.070966488956588</v>
      </c>
      <c r="HQ177" s="1084">
        <f>(HB174*HJ177+HC174*HK177+HE174*HM177+HG174*HO177)/HI174</f>
        <v>0.118805288932419</v>
      </c>
      <c r="HR177" s="1087">
        <v>-0.196</v>
      </c>
      <c r="HS177" s="1087">
        <v>-0.280186400937865</v>
      </c>
      <c r="HT177" s="1083">
        <f>((HR177*HJ174)+(HS177*HK174))/HL174</f>
        <v>-0.242210424710424</v>
      </c>
      <c r="HU177" s="1087">
        <v>-0.132</v>
      </c>
      <c r="HV177" s="1083">
        <f>(HJ174*HR177+HK174*HS177+HM174*HU177)/HN174</f>
        <v>-0.202509263071222</v>
      </c>
      <c r="HW177" s="1087">
        <v>-0.205402597402598</v>
      </c>
      <c r="HX177" s="1083">
        <f>(1309*HU177+1317*HW177)/(1309+1317)</f>
        <v>-0.168813107684395</v>
      </c>
      <c r="HY177" s="1084">
        <f>(HJ174*HR177+HK174*HS177+HM174*HU177+HO174*HW177)/HQ174</f>
        <v>-0.203205689277899</v>
      </c>
      <c r="HZ177" s="1087">
        <v>-0.0994502973661852</v>
      </c>
      <c r="IA177" s="1087">
        <v>0.015</v>
      </c>
      <c r="IB177" s="1083">
        <f>((HZ177*HR174)+(IA177*HS174))/HT174</f>
        <v>-0.0416952861952862</v>
      </c>
      <c r="IC177" s="1087">
        <v>0.01</v>
      </c>
      <c r="ID177" s="1083">
        <f>(HR174*HZ177+HS174*IA177+HU174*IC177)/HV174</f>
        <v>-0.0233318860244233</v>
      </c>
      <c r="IE177" s="1087">
        <v>0.15</v>
      </c>
      <c r="IF177" s="1083">
        <f>(1309*IC177+1317*IE177)/(1309+1317)</f>
        <v>0.0802132520944402</v>
      </c>
      <c r="IG177" s="1084">
        <f>(HR174*HZ177+HS174*IA177+HU174*IC177+HW174*IE177)/HY174</f>
        <v>0.0181403798513625</v>
      </c>
      <c r="IH177" s="1087">
        <v>0.103850047755492</v>
      </c>
      <c r="II177" s="1087">
        <v>0.15</v>
      </c>
      <c r="IJ177" s="1083">
        <f>((IH177*HZ174)+(II177*IA174))/IB174</f>
        <v>0.128747585852601</v>
      </c>
      <c r="IK177" s="1087">
        <v>0.08</v>
      </c>
      <c r="IL177" s="1083">
        <f>(HZ174*IH177+IA174*II177+IC174*IK177)/ID174</f>
        <v>0.110936219933305</v>
      </c>
      <c r="IM177" s="1087">
        <v>0.05</v>
      </c>
      <c r="IN177" s="1083">
        <f>(1309*IK177+1317*IM177)/(1309+1317)</f>
        <v>0.0649543031226199</v>
      </c>
      <c r="IO177" s="1084">
        <f>(HZ174*IH177+IA174*II177+IC174*IK177+IE174*IM177)/IG174</f>
        <v>0.0943084933540924</v>
      </c>
      <c r="IP177" s="1087">
        <v>0.12</v>
      </c>
      <c r="IQ177" s="1087">
        <v>0.17</v>
      </c>
      <c r="IR177" s="1083">
        <f>((IP177*IH174)+(IQ177*II174))/IJ174</f>
        <v>0.146535869996036</v>
      </c>
      <c r="IS177" s="1087">
        <v>0.1</v>
      </c>
      <c r="IT177" s="1083">
        <f>(IH174*IP177+II174*IQ177+IK174*IS177)/IL174</f>
        <v>0.13072755823083</v>
      </c>
      <c r="IU177" s="1087">
        <v>0.07</v>
      </c>
      <c r="IV177" s="1083">
        <f>(1309*IS177+1317*IU177)/(1309+1317)</f>
        <v>0.08495430312262</v>
      </c>
      <c r="IW177" s="1084">
        <f>(IH174*IP177+II174*IQ177+IK174*IS177+IM174*IU177)/IO174</f>
        <v>0.115614310988795</v>
      </c>
      <c r="IX177" s="1056"/>
      <c r="IY177" s="1082"/>
      <c r="IZ177" s="1104"/>
      <c r="JA177" s="1037" t="s">
        <v>546</v>
      </c>
      <c r="JB177" s="1037"/>
      <c r="JC177" s="1082"/>
      <c r="JD177" s="1041"/>
      <c r="JE177" s="1037"/>
      <c r="JF177" s="1037"/>
      <c r="JG177" s="1037"/>
      <c r="JH177" s="1037"/>
      <c r="JI177" s="1035"/>
      <c r="JJ177" s="1035"/>
      <c r="JK177" s="1082">
        <f>(EX174*(1+FF177)*(1+FN177))/EX174-1</f>
        <v>0.297472</v>
      </c>
      <c r="JL177" s="1082">
        <f>(EY174*(1+FG177)*(1+FO177))/EY174-1</f>
        <v>0.24972</v>
      </c>
      <c r="JM177" s="1082">
        <f>(EZ174*(1+FH177)*(1+FP177))/EZ174-1</f>
        <v>0.272216491410048</v>
      </c>
      <c r="JN177" s="1082">
        <f>(FA174*(1+FI177)*(1+FQ177))/FA174-1</f>
        <v>0.28013</v>
      </c>
      <c r="JO177" s="1082">
        <f>(FB174*(1+FJ177)*(1+FR177))/FB174-1</f>
        <v>0.275511761201451</v>
      </c>
      <c r="JP177" s="1082">
        <f>(1+FK177)*(1+FS177)-1</f>
        <v>0.392534</v>
      </c>
      <c r="JQ177" s="1082">
        <f>(1+FN177)*(1+FV177)-1</f>
        <v>0.588096</v>
      </c>
      <c r="JR177" s="1082">
        <f>(FG174*(1+FO177)*(1+FW177))/FG174-1</f>
        <v>0.580048</v>
      </c>
      <c r="JS177" s="1082">
        <f>(FI174*(1+FQ177)*(1+FY177))/FI174-1</f>
        <v>0.474854</v>
      </c>
      <c r="JT177" s="1082">
        <f>(FK174*(1+FS177)*(1+GA177))/FK174-1</f>
        <v>0.68597</v>
      </c>
      <c r="KA177" s="1229" t="s">
        <v>547</v>
      </c>
      <c r="KB177" s="1148">
        <v>103</v>
      </c>
      <c r="KC177" s="1148">
        <v>110</v>
      </c>
      <c r="KD177" s="1037">
        <v>132</v>
      </c>
      <c r="KE177" s="1037">
        <v>132</v>
      </c>
      <c r="KF177" s="1037"/>
      <c r="KG177" s="1037">
        <f>SUM(KB177:KE177)</f>
        <v>477</v>
      </c>
      <c r="KH177" s="1089"/>
      <c r="KI177" s="1037"/>
    </row>
    <row r="178" spans="1:334">
      <c r="A178" s="967" t="s">
        <v>66</v>
      </c>
      <c r="AX178" s="1059"/>
      <c r="BE178" s="1060"/>
      <c r="BN178" s="1059"/>
      <c r="BU178" s="1060"/>
      <c r="BV178" s="1059"/>
      <c r="CC178" s="1060"/>
      <c r="CD178" s="1059"/>
      <c r="CJ178" s="1061"/>
      <c r="CK178" s="1060"/>
      <c r="CL178" s="1059"/>
      <c r="CS178" s="1060"/>
      <c r="CT178" s="1059"/>
      <c r="CW178" s="1062"/>
      <c r="CX178" s="1062"/>
      <c r="DE178" s="1064"/>
      <c r="DF178" s="1064"/>
      <c r="DM178" s="1064"/>
      <c r="DN178" s="1064"/>
      <c r="DU178" s="1064"/>
      <c r="DV178" s="1064"/>
      <c r="EC178" s="1064"/>
      <c r="ED178" s="1064"/>
      <c r="EK178" s="1064"/>
      <c r="EL178" s="1064"/>
      <c r="ER178" s="1065"/>
      <c r="ET178" s="1065"/>
      <c r="EU178" s="1065"/>
      <c r="EW178" s="1038"/>
      <c r="EX178" s="1181"/>
      <c r="EY178" s="1181"/>
      <c r="EZ178" s="1181"/>
      <c r="FA178" s="1181"/>
      <c r="FB178" s="1181"/>
      <c r="FC178" s="1181"/>
      <c r="FD178" s="1181"/>
      <c r="FE178" s="1182"/>
      <c r="FF178" s="1094">
        <f t="shared" ref="FF178:GK178" si="990">FF174/FF$216</f>
        <v>0.144746509919177</v>
      </c>
      <c r="FG178" s="1094">
        <f t="shared" si="990"/>
        <v>0.164576401330944</v>
      </c>
      <c r="FH178" s="1094">
        <f t="shared" si="990"/>
        <v>0.154443053817272</v>
      </c>
      <c r="FI178" s="1087">
        <f t="shared" si="990"/>
        <v>0.163128021862518</v>
      </c>
      <c r="FJ178" s="1087">
        <f t="shared" si="990"/>
        <v>0.157684160979054</v>
      </c>
      <c r="FK178" s="1230">
        <f t="shared" si="990"/>
        <v>0.178502879078695</v>
      </c>
      <c r="FL178" s="1094">
        <f t="shared" si="990"/>
        <v>0.1703081232493</v>
      </c>
      <c r="FM178" s="1093">
        <f t="shared" si="990"/>
        <v>0.162814070351759</v>
      </c>
      <c r="FN178" s="1230">
        <f t="shared" si="990"/>
        <v>0.152652547703921</v>
      </c>
      <c r="FO178" s="1094">
        <f t="shared" si="990"/>
        <v>0.178159620167307</v>
      </c>
      <c r="FP178" s="1094">
        <f t="shared" si="990"/>
        <v>0.164926022628372</v>
      </c>
      <c r="FQ178" s="1230">
        <f t="shared" si="990"/>
        <v>0.171286031042129</v>
      </c>
      <c r="FR178" s="1094">
        <f t="shared" si="990"/>
        <v>0.167282936181868</v>
      </c>
      <c r="FS178" s="1094">
        <f t="shared" si="990"/>
        <v>0.206786171574904</v>
      </c>
      <c r="FT178" s="1094">
        <f t="shared" si="990"/>
        <v>0.187759952465835</v>
      </c>
      <c r="FU178" s="1094">
        <f t="shared" si="990"/>
        <v>0.176879212026957</v>
      </c>
      <c r="FV178" s="1086">
        <f t="shared" si="990"/>
        <v>0.181417554168197</v>
      </c>
      <c r="FW178" s="1094">
        <f t="shared" si="990"/>
        <v>0.201270345375149</v>
      </c>
      <c r="FX178" s="1094">
        <f t="shared" si="990"/>
        <v>0.190957649752003</v>
      </c>
      <c r="FY178" s="1094">
        <f t="shared" si="990"/>
        <v>0.19355406833392</v>
      </c>
      <c r="FZ178" s="1094">
        <f t="shared" si="990"/>
        <v>0.19186981809182</v>
      </c>
      <c r="GA178" s="1094">
        <f t="shared" si="990"/>
        <v>0.232199367088608</v>
      </c>
      <c r="GB178" s="1094">
        <f t="shared" si="990"/>
        <v>0.211757033724613</v>
      </c>
      <c r="GC178" s="1093">
        <f t="shared" si="990"/>
        <v>0.20147987557734</v>
      </c>
      <c r="GD178" s="1087">
        <f t="shared" si="990"/>
        <v>0.187454938716655</v>
      </c>
      <c r="GE178" s="1094">
        <f t="shared" si="990"/>
        <v>0.205664322372173</v>
      </c>
      <c r="GF178" s="1094">
        <f t="shared" si="990"/>
        <v>0.196317883245444</v>
      </c>
      <c r="GG178" s="1230">
        <f t="shared" si="990"/>
        <v>0.216073556955559</v>
      </c>
      <c r="GH178" s="1094">
        <f t="shared" si="990"/>
        <v>0.203272988850258</v>
      </c>
      <c r="GI178" s="1094">
        <f t="shared" si="990"/>
        <v>0.247850181540225</v>
      </c>
      <c r="GJ178" s="1094">
        <f t="shared" si="990"/>
        <v>0.231046281289393</v>
      </c>
      <c r="GK178" s="1093">
        <f t="shared" si="990"/>
        <v>0.213917408167921</v>
      </c>
      <c r="GL178" s="1087">
        <f t="shared" ref="GL178:HQ178" si="991">GL174/GL$216</f>
        <v>0.196668366479687</v>
      </c>
      <c r="GM178" s="1094">
        <f t="shared" si="991"/>
        <v>0.220185151570158</v>
      </c>
      <c r="GN178" s="1094">
        <f t="shared" si="991"/>
        <v>0.208040730337079</v>
      </c>
      <c r="GO178" s="1230">
        <f t="shared" si="991"/>
        <v>0.229017160686428</v>
      </c>
      <c r="GP178" s="1094">
        <f t="shared" si="991"/>
        <v>0.215593753510842</v>
      </c>
      <c r="GQ178" s="1094">
        <f t="shared" si="991"/>
        <v>0.252611748587087</v>
      </c>
      <c r="GR178" s="1094">
        <f t="shared" si="991"/>
        <v>0.240264511388685</v>
      </c>
      <c r="GS178" s="1093">
        <f t="shared" si="991"/>
        <v>0.224736686265386</v>
      </c>
      <c r="GT178" s="1087">
        <f t="shared" si="991"/>
        <v>0.252682516305491</v>
      </c>
      <c r="GU178" s="1094">
        <f t="shared" si="991"/>
        <v>0.213209070355361</v>
      </c>
      <c r="GV178" s="1094">
        <f t="shared" si="991"/>
        <v>0.235727701857748</v>
      </c>
      <c r="GW178" s="1230">
        <f t="shared" si="991"/>
        <v>0.232962271319355</v>
      </c>
      <c r="GX178" s="1094">
        <f t="shared" si="991"/>
        <v>0.234573955777324</v>
      </c>
      <c r="GY178" s="1094">
        <f t="shared" si="991"/>
        <v>0.253880701099183</v>
      </c>
      <c r="GZ178" s="1094">
        <f t="shared" si="991"/>
        <v>0.243043277078109</v>
      </c>
      <c r="HA178" s="1093">
        <f t="shared" si="991"/>
        <v>0.239971779883088</v>
      </c>
      <c r="HB178" s="1087">
        <f t="shared" si="991"/>
        <v>0.21962794229309</v>
      </c>
      <c r="HC178" s="1094">
        <f t="shared" si="991"/>
        <v>0.246011424069332</v>
      </c>
      <c r="HD178" s="1094">
        <f t="shared" si="991"/>
        <v>0.232576123731271</v>
      </c>
      <c r="HE178" s="1230">
        <f t="shared" si="991"/>
        <v>0.24269819193324</v>
      </c>
      <c r="HF178" s="1094">
        <f t="shared" si="991"/>
        <v>0.236193079455799</v>
      </c>
      <c r="HG178" s="1094">
        <f t="shared" si="991"/>
        <v>0.253649990266693</v>
      </c>
      <c r="HH178" s="1094">
        <f t="shared" si="991"/>
        <v>0.247864817705942</v>
      </c>
      <c r="HI178" s="1093">
        <f t="shared" si="991"/>
        <v>0.240416313459546</v>
      </c>
      <c r="HJ178" s="1087">
        <f t="shared" si="991"/>
        <v>0.264428517540551</v>
      </c>
      <c r="HK178" s="1094">
        <f t="shared" si="991"/>
        <v>0.304806146149723</v>
      </c>
      <c r="HL178" s="1094">
        <f t="shared" si="991"/>
        <v>0.285163776493256</v>
      </c>
      <c r="HM178" s="1230">
        <f t="shared" si="991"/>
        <v>0.273096129837703</v>
      </c>
      <c r="HN178" s="1094">
        <f t="shared" si="991"/>
        <v>0.280695672271335</v>
      </c>
      <c r="HO178" s="1094">
        <f t="shared" si="991"/>
        <v>0.295926210607225</v>
      </c>
      <c r="HP178" s="1094">
        <f t="shared" si="991"/>
        <v>0.280501321510785</v>
      </c>
      <c r="HQ178" s="1093">
        <f t="shared" si="991"/>
        <v>0.284216605215228</v>
      </c>
      <c r="HR178" s="1087">
        <f t="shared" ref="HR178:IG178" si="992">HR174/HR$216</f>
        <v>0.223170269245354</v>
      </c>
      <c r="HS178" s="1094">
        <f t="shared" si="992"/>
        <v>0.242565243779082</v>
      </c>
      <c r="HT178" s="1094">
        <f t="shared" si="992"/>
        <v>0.233146894318516</v>
      </c>
      <c r="HU178" s="1230">
        <f t="shared" si="992"/>
        <v>0.231722428748451</v>
      </c>
      <c r="HV178" s="1094">
        <f t="shared" si="992"/>
        <v>0.232962447844228</v>
      </c>
      <c r="HW178" s="1094">
        <f t="shared" si="992"/>
        <v>0.240856192851205</v>
      </c>
      <c r="HX178" s="1094">
        <f t="shared" si="992"/>
        <v>0.235923907848198</v>
      </c>
      <c r="HY178" s="1093">
        <f t="shared" si="992"/>
        <v>0.234258632362898</v>
      </c>
      <c r="HZ178" s="1087">
        <f t="shared" si="992"/>
        <v>0.197249434815373</v>
      </c>
      <c r="IA178" s="1094">
        <f t="shared" si="992"/>
        <v>0.218174493062967</v>
      </c>
      <c r="IB178" s="1094">
        <f t="shared" si="992"/>
        <v>0.208012534309241</v>
      </c>
      <c r="IC178" s="1230">
        <f t="shared" si="992"/>
        <v>0.209842898364861</v>
      </c>
      <c r="ID178" s="1094">
        <f t="shared" si="992"/>
        <v>0.209018494749125</v>
      </c>
      <c r="IE178" s="1094">
        <f t="shared" si="992"/>
        <v>0.229231031543052</v>
      </c>
      <c r="IF178" s="1094">
        <f t="shared" si="992"/>
        <v>0.219093386177855</v>
      </c>
      <c r="IG178" s="1093">
        <f t="shared" si="992"/>
        <v>0.213911214344636</v>
      </c>
      <c r="IH178" s="1087">
        <f t="shared" ref="IH178:IO178" si="993">IH174/IH$216</f>
        <v>0.192426458638063</v>
      </c>
      <c r="II178" s="1094">
        <f t="shared" si="993"/>
        <v>0.224966397849462</v>
      </c>
      <c r="IJ178" s="1094">
        <f t="shared" si="993"/>
        <v>0.208426270136307</v>
      </c>
      <c r="IK178" s="1230">
        <f t="shared" si="993"/>
        <v>0.19577677224736</v>
      </c>
      <c r="IL178" s="1094">
        <f t="shared" si="993"/>
        <v>0.204255091676912</v>
      </c>
      <c r="IM178" s="1094">
        <f t="shared" si="993"/>
        <v>0.208360763660303</v>
      </c>
      <c r="IN178" s="1094">
        <f t="shared" si="993"/>
        <v>0.202543644837665</v>
      </c>
      <c r="IO178" s="1093">
        <f t="shared" si="993"/>
        <v>0.205030027004151</v>
      </c>
      <c r="IP178" s="1087">
        <f t="shared" ref="IP178:IW178" si="994">IP174/IP$216</f>
        <v>0.182038834951456</v>
      </c>
      <c r="IQ178" s="1094">
        <f t="shared" si="994"/>
        <v>0.225715556873795</v>
      </c>
      <c r="IR178" s="1094">
        <f t="shared" si="994"/>
        <v>0.204124484439445</v>
      </c>
      <c r="IS178" s="1230">
        <f t="shared" si="994"/>
        <v>0.199731433004762</v>
      </c>
      <c r="IT178" s="1094">
        <f t="shared" si="994"/>
        <v>0.202572839719461</v>
      </c>
      <c r="IU178" s="1094">
        <f t="shared" si="994"/>
        <v>0.211065659182715</v>
      </c>
      <c r="IV178" s="1094">
        <f t="shared" si="994"/>
        <v>0.205083887856057</v>
      </c>
      <c r="IW178" s="1093">
        <f t="shared" si="994"/>
        <v>0.204612370625323</v>
      </c>
      <c r="IX178" s="1049"/>
      <c r="IY178" s="1181"/>
      <c r="IZ178" s="1104"/>
      <c r="JA178" s="1037" t="s">
        <v>548</v>
      </c>
      <c r="JB178" s="1037"/>
      <c r="JC178" s="1037"/>
      <c r="JD178" s="1041"/>
      <c r="JE178" s="1037"/>
      <c r="JF178" s="1037"/>
      <c r="JG178" s="1037"/>
      <c r="JH178" s="1037"/>
      <c r="JI178" s="1035"/>
      <c r="JJ178" s="1035"/>
      <c r="JK178" s="1035"/>
      <c r="JL178" s="1035"/>
      <c r="JM178" s="1035"/>
      <c r="JN178" s="1035"/>
      <c r="JO178" s="1035"/>
      <c r="JP178" s="1035"/>
      <c r="JQ178" s="1082">
        <f>1*(1+FF177)*(1+FN177)*(1+FV177)-1</f>
        <v>0.694498432</v>
      </c>
      <c r="JR178" s="1082">
        <f>1*(1+FG177)*(1+FO177)*(1+FW177)-1</f>
        <v>0.57214776</v>
      </c>
      <c r="JS178" s="1082">
        <f>1*(1+FI177)*(1+FQ177)*(1+FY177)-1</f>
        <v>0.57071951</v>
      </c>
      <c r="JT178" s="1082">
        <f>1*(1+FK177)*(1+FS177)*(1+GA177)-1</f>
        <v>0.82421954</v>
      </c>
      <c r="KA178" s="1229" t="s">
        <v>545</v>
      </c>
      <c r="KB178" s="1094">
        <f>KB177/EX174</f>
        <v>0.222943722943723</v>
      </c>
      <c r="KC178" s="1094">
        <f>KC177/EY174</f>
        <v>0.208333333333333</v>
      </c>
      <c r="KD178" s="1094">
        <f>KD177/FA174</f>
        <v>0.213247172859451</v>
      </c>
      <c r="KE178" s="1094">
        <f>KE177/FC174</f>
        <v>0.217105263157895</v>
      </c>
      <c r="KF178" s="1037"/>
      <c r="KG178" s="1094">
        <f>KG177/FE174</f>
        <v>0.215155615696888</v>
      </c>
      <c r="KH178" s="1089"/>
      <c r="KI178" s="1037"/>
    </row>
    <row r="179" spans="1:334">
      <c r="A179" s="1231" t="s">
        <v>102</v>
      </c>
      <c r="B179" s="1232"/>
      <c r="C179" s="1232"/>
      <c r="D179" s="1232"/>
      <c r="E179" s="1232"/>
      <c r="F179" s="1232"/>
      <c r="G179" s="1232"/>
      <c r="H179" s="1232"/>
      <c r="I179" s="1232"/>
      <c r="J179" s="1232"/>
      <c r="K179" s="1232"/>
      <c r="L179" s="1232"/>
      <c r="M179" s="1232"/>
      <c r="N179" s="1232"/>
      <c r="O179" s="1232"/>
      <c r="P179" s="1232"/>
      <c r="Q179" s="1232"/>
      <c r="R179" s="1232"/>
      <c r="S179" s="1232"/>
      <c r="T179" s="1232"/>
      <c r="U179" s="1232"/>
      <c r="V179" s="1232"/>
      <c r="W179" s="1232"/>
      <c r="X179" s="1232"/>
      <c r="Y179" s="1232"/>
      <c r="Z179" s="1232"/>
      <c r="AA179" s="1232"/>
      <c r="AB179" s="1232"/>
      <c r="AC179" s="1232"/>
      <c r="AD179" s="1232"/>
      <c r="AE179" s="1232"/>
      <c r="AF179" s="1232"/>
      <c r="AG179" s="1232"/>
      <c r="AH179" s="1232"/>
      <c r="AI179" s="1232"/>
      <c r="AJ179" s="1232"/>
      <c r="AK179" s="1232"/>
      <c r="AL179" s="1232"/>
      <c r="AM179" s="1232"/>
      <c r="AN179" s="1232"/>
      <c r="AO179" s="1232"/>
      <c r="AP179" s="1232"/>
      <c r="AQ179" s="1232"/>
      <c r="AR179" s="1232"/>
      <c r="AS179" s="1232"/>
      <c r="AT179" s="1232"/>
      <c r="AU179" s="1232"/>
      <c r="AV179" s="1232"/>
      <c r="AW179" s="1232"/>
      <c r="AX179" s="1233"/>
      <c r="AY179" s="1232"/>
      <c r="AZ179" s="1232"/>
      <c r="BA179" s="1232"/>
      <c r="BB179" s="1232"/>
      <c r="BC179" s="1232"/>
      <c r="BD179" s="1232"/>
      <c r="BE179" s="1234"/>
      <c r="BF179" s="1232"/>
      <c r="BG179" s="1232"/>
      <c r="BH179" s="1232"/>
      <c r="BI179" s="1232"/>
      <c r="BJ179" s="1232"/>
      <c r="BK179" s="1232"/>
      <c r="BL179" s="1232"/>
      <c r="BM179" s="1232"/>
      <c r="BN179" s="1233"/>
      <c r="BO179" s="1232"/>
      <c r="BP179" s="1232"/>
      <c r="BQ179" s="1232"/>
      <c r="BR179" s="1232"/>
      <c r="BS179" s="1232"/>
      <c r="BT179" s="1232"/>
      <c r="BU179" s="1234"/>
      <c r="BV179" s="1233"/>
      <c r="BW179" s="1232"/>
      <c r="BX179" s="1232"/>
      <c r="BY179" s="1232"/>
      <c r="BZ179" s="1232"/>
      <c r="CA179" s="1232"/>
      <c r="CB179" s="1232"/>
      <c r="CC179" s="1234"/>
      <c r="CD179" s="1233"/>
      <c r="CE179" s="1232"/>
      <c r="CF179" s="1232"/>
      <c r="CG179" s="1232"/>
      <c r="CH179" s="1232"/>
      <c r="CI179" s="1232"/>
      <c r="CJ179" s="1235"/>
      <c r="CK179" s="1234"/>
      <c r="CL179" s="1233"/>
      <c r="CM179" s="1232"/>
      <c r="CN179" s="1232"/>
      <c r="CO179" s="1232"/>
      <c r="CP179" s="1232"/>
      <c r="CQ179" s="1232"/>
      <c r="CR179" s="1232"/>
      <c r="CS179" s="1234"/>
      <c r="CT179" s="1233"/>
      <c r="CU179" s="1232"/>
      <c r="CV179" s="1232"/>
      <c r="CW179" s="1236"/>
      <c r="CX179" s="1236"/>
      <c r="CY179" s="1232"/>
      <c r="CZ179" s="1232"/>
      <c r="DA179" s="1232"/>
      <c r="DB179" s="1237"/>
      <c r="DC179" s="1237"/>
      <c r="DD179" s="1237"/>
      <c r="DE179" s="1238"/>
      <c r="DF179" s="1238"/>
      <c r="DG179" s="1237"/>
      <c r="DH179" s="1237"/>
      <c r="DI179" s="1239"/>
      <c r="DJ179" s="1237"/>
      <c r="DK179" s="1237"/>
      <c r="DL179" s="1237"/>
      <c r="DM179" s="1238"/>
      <c r="DN179" s="1238"/>
      <c r="DO179" s="1237"/>
      <c r="DP179" s="1237"/>
      <c r="DQ179" s="1239"/>
      <c r="DR179" s="1237"/>
      <c r="DS179" s="1237"/>
      <c r="DT179" s="1237"/>
      <c r="DU179" s="1238"/>
      <c r="DV179" s="1238"/>
      <c r="DW179" s="1237"/>
      <c r="DX179" s="1237"/>
      <c r="DY179" s="1239"/>
      <c r="DZ179" s="1237"/>
      <c r="EA179" s="1237"/>
      <c r="EB179" s="1237"/>
      <c r="EC179" s="1238"/>
      <c r="ED179" s="1238"/>
      <c r="EE179" s="1237"/>
      <c r="EF179" s="1237"/>
      <c r="EG179" s="1239"/>
      <c r="EH179" s="1237"/>
      <c r="EI179" s="1237"/>
      <c r="EJ179" s="1237"/>
      <c r="EK179" s="1238"/>
      <c r="EL179" s="1238"/>
      <c r="EM179" s="1237"/>
      <c r="EN179" s="1237"/>
      <c r="EO179" s="1239"/>
      <c r="EP179" s="1237"/>
      <c r="EQ179" s="1237"/>
      <c r="ER179" s="1240"/>
      <c r="ES179" s="1237"/>
      <c r="ET179" s="1240"/>
      <c r="EU179" s="1240"/>
      <c r="EV179" s="1237"/>
      <c r="EW179" s="1239"/>
      <c r="EX179" s="1241">
        <v>374</v>
      </c>
      <c r="EY179" s="1241">
        <v>400</v>
      </c>
      <c r="EZ179" s="1241">
        <f>EX179+EY179</f>
        <v>774</v>
      </c>
      <c r="FA179" s="1241">
        <v>426</v>
      </c>
      <c r="FB179" s="1241">
        <f>EZ179+FA179</f>
        <v>1200</v>
      </c>
      <c r="FC179" s="1241">
        <v>412</v>
      </c>
      <c r="FD179" s="1241">
        <f>FA179+FC179</f>
        <v>838</v>
      </c>
      <c r="FE179" s="1242">
        <f>EX179+EY179+FA179+FC179</f>
        <v>1612</v>
      </c>
      <c r="FF179" s="1243">
        <v>423</v>
      </c>
      <c r="FG179" s="1243">
        <v>456</v>
      </c>
      <c r="FH179" s="1241">
        <f>FF179+FG179</f>
        <v>879</v>
      </c>
      <c r="FI179" s="1244">
        <v>489</v>
      </c>
      <c r="FJ179" s="1241">
        <f>FH179+FI179</f>
        <v>1368</v>
      </c>
      <c r="FK179" s="1243">
        <v>415</v>
      </c>
      <c r="FL179" s="1241">
        <f>FI179+FK179</f>
        <v>904</v>
      </c>
      <c r="FM179" s="1242">
        <f>FF179+FG179+FI179+FK179</f>
        <v>1783</v>
      </c>
      <c r="FN179" s="1243">
        <v>394</v>
      </c>
      <c r="FO179" s="1241">
        <v>379</v>
      </c>
      <c r="FP179" s="1241">
        <f>FN179+FO179</f>
        <v>773</v>
      </c>
      <c r="FQ179" s="1243">
        <v>487</v>
      </c>
      <c r="FR179" s="1241">
        <f>FN179+FO179+FQ179</f>
        <v>1260</v>
      </c>
      <c r="FS179" s="1241">
        <f>FU179-FN179-FO179-FQ179</f>
        <v>471</v>
      </c>
      <c r="FT179" s="1241">
        <f>FQ179+FS179</f>
        <v>958</v>
      </c>
      <c r="FU179" s="1241">
        <v>1731</v>
      </c>
      <c r="FV179" s="1245">
        <v>454</v>
      </c>
      <c r="FW179" s="1243">
        <v>441</v>
      </c>
      <c r="FX179" s="1241">
        <f>FV179+FW179</f>
        <v>895</v>
      </c>
      <c r="FY179" s="1243">
        <f>FQ179*(1+FY180)</f>
        <v>502</v>
      </c>
      <c r="FZ179" s="1241">
        <f>FV179+FW179+FY179</f>
        <v>1397</v>
      </c>
      <c r="GA179" s="1241">
        <f>GC179-FV179-FW179-FY179</f>
        <v>510</v>
      </c>
      <c r="GB179" s="1241">
        <f>FY179+GA179</f>
        <v>1012</v>
      </c>
      <c r="GC179" s="1242">
        <v>1907</v>
      </c>
      <c r="GD179" s="1244">
        <f>FV179*(1+GD180)</f>
        <v>430</v>
      </c>
      <c r="GE179" s="1244">
        <v>416</v>
      </c>
      <c r="GF179" s="1241">
        <f>GD179+GE179</f>
        <v>846</v>
      </c>
      <c r="GG179" s="1244">
        <f>FY179*(1+GG180)</f>
        <v>340</v>
      </c>
      <c r="GH179" s="1241">
        <f>GD179+GE179+GG179</f>
        <v>1186</v>
      </c>
      <c r="GI179" s="1244">
        <v>447</v>
      </c>
      <c r="GJ179" s="1241">
        <f>GG179+GI179</f>
        <v>787</v>
      </c>
      <c r="GK179" s="1242">
        <f>GJ179+GF179</f>
        <v>1633</v>
      </c>
      <c r="GL179" s="1244">
        <f>GD179*(1+GL180)</f>
        <v>376</v>
      </c>
      <c r="GM179" s="1244">
        <f>GE179*(1+GM180)</f>
        <v>403</v>
      </c>
      <c r="GN179" s="1241">
        <f>GL179+GM179</f>
        <v>779</v>
      </c>
      <c r="GO179" s="1244">
        <f>GG179*(1+GO180)</f>
        <v>405</v>
      </c>
      <c r="GP179" s="1241">
        <f>GL179+GM179+GO179</f>
        <v>1184</v>
      </c>
      <c r="GQ179" s="1244">
        <f>GI179*(1+GQ180)</f>
        <v>476</v>
      </c>
      <c r="GR179" s="1241">
        <f>GO179+GQ179</f>
        <v>881</v>
      </c>
      <c r="GS179" s="1242">
        <f>GR179+GN179</f>
        <v>1660</v>
      </c>
      <c r="GT179" s="1244">
        <f>GL179*(1+GT180)</f>
        <v>339</v>
      </c>
      <c r="GU179" s="1244">
        <f>GM179*(1+GU180)</f>
        <v>114</v>
      </c>
      <c r="GV179" s="1241">
        <f>GT179+GU179</f>
        <v>453</v>
      </c>
      <c r="GW179" s="1244">
        <f>GO179*(1+GW180)</f>
        <v>295.65</v>
      </c>
      <c r="GX179" s="1241">
        <f>GT179+GU179+GW179</f>
        <v>748.65</v>
      </c>
      <c r="GY179" s="1244">
        <f>GQ179*(1+GY180)</f>
        <v>409.35</v>
      </c>
      <c r="GZ179" s="1241">
        <f>GW179+GY179</f>
        <v>705</v>
      </c>
      <c r="HA179" s="1242">
        <f>GZ179+GV179</f>
        <v>1158</v>
      </c>
      <c r="HB179" s="1244">
        <f>303*(1+HB180)</f>
        <v>297</v>
      </c>
      <c r="HC179" s="1244">
        <f>103*(1+HC180)</f>
        <v>348</v>
      </c>
      <c r="HD179" s="1241">
        <f>HB179+HC179</f>
        <v>645</v>
      </c>
      <c r="HE179" s="1244">
        <f>264*(1+HE180)</f>
        <v>405</v>
      </c>
      <c r="HF179" s="1241">
        <f>HB179+HC179+HE179</f>
        <v>1050</v>
      </c>
      <c r="HG179" s="1244">
        <f>365*(1+HG180)</f>
        <v>397</v>
      </c>
      <c r="HH179" s="1241">
        <f>HE179+HG179</f>
        <v>802</v>
      </c>
      <c r="HI179" s="1242">
        <f>HH179+HD179</f>
        <v>1447</v>
      </c>
      <c r="HJ179" s="1244">
        <f>HB179*(1+HJ180)</f>
        <v>419</v>
      </c>
      <c r="HK179" s="1244">
        <f>HC179*(1+HK180)</f>
        <v>514.000000000001</v>
      </c>
      <c r="HL179" s="1241">
        <f>HJ179+HK179</f>
        <v>933.000000000001</v>
      </c>
      <c r="HM179" s="1244">
        <f>HE179*(1+HM180)</f>
        <v>633</v>
      </c>
      <c r="HN179" s="1241">
        <f>HJ179+HK179+HM179</f>
        <v>1566</v>
      </c>
      <c r="HO179" s="1244">
        <f>HG179*(1+HO180)</f>
        <v>544</v>
      </c>
      <c r="HP179" s="1241">
        <f>HM179+HO179</f>
        <v>1177</v>
      </c>
      <c r="HQ179" s="1242">
        <f>HP179+HL179</f>
        <v>2110</v>
      </c>
      <c r="HR179" s="1244">
        <f>HJ179*(1+HR180)</f>
        <v>595.000000000001</v>
      </c>
      <c r="HS179" s="1244">
        <f>HK179*(1+HS180)</f>
        <v>596</v>
      </c>
      <c r="HT179" s="1241">
        <f>HR179+HS179</f>
        <v>1191</v>
      </c>
      <c r="HU179" s="1244">
        <f>HM179*(1+HU180)</f>
        <v>621</v>
      </c>
      <c r="HV179" s="1241">
        <f>HR179+HS179+HU179</f>
        <v>1812</v>
      </c>
      <c r="HW179" s="1244">
        <f>HO179*(1+HW180)</f>
        <v>479</v>
      </c>
      <c r="HX179" s="1241">
        <f>HU179+HW179</f>
        <v>1100</v>
      </c>
      <c r="HY179" s="1242">
        <f>HX179+HT179</f>
        <v>2291</v>
      </c>
      <c r="HZ179" s="1244">
        <f>HR179*(1+HZ180)</f>
        <v>615</v>
      </c>
      <c r="IA179" s="1244">
        <f>HS179*(1+IA180)</f>
        <v>680.632</v>
      </c>
      <c r="IB179" s="1241">
        <f>HZ179+IA179</f>
        <v>1295.632</v>
      </c>
      <c r="IC179" s="1244">
        <f>HU179*(1+IC180)</f>
        <v>676.588499999999</v>
      </c>
      <c r="ID179" s="1241">
        <f>HZ179+IA179+IC179</f>
        <v>1972.2205</v>
      </c>
      <c r="IE179" s="1244">
        <f>HW179*(1+IE180)</f>
        <v>805.199</v>
      </c>
      <c r="IF179" s="1241">
        <f>IC179+IE179</f>
        <v>1481.7875</v>
      </c>
      <c r="IG179" s="1242">
        <f>IF179+IB179</f>
        <v>2777.4195</v>
      </c>
      <c r="IH179" s="1244">
        <f>HZ179*(1+IH180)</f>
        <v>698</v>
      </c>
      <c r="II179" s="1244">
        <f>IA179*(1+II180)</f>
        <v>673</v>
      </c>
      <c r="IJ179" s="1241">
        <f>IH179+II179</f>
        <v>1371</v>
      </c>
      <c r="IK179" s="1244">
        <f>IC179*(1+IK180)</f>
        <v>720</v>
      </c>
      <c r="IL179" s="1241">
        <f>IH179+II179+IK179</f>
        <v>2091</v>
      </c>
      <c r="IM179" s="1244">
        <f>IE179*(1+IM180)</f>
        <v>835</v>
      </c>
      <c r="IN179" s="1241">
        <f>IK179+IM179</f>
        <v>1555</v>
      </c>
      <c r="IO179" s="1242">
        <f>IN179+IJ179</f>
        <v>2926</v>
      </c>
      <c r="IP179" s="1244">
        <f>IH179*(1+IP180)</f>
        <v>831</v>
      </c>
      <c r="IQ179" s="1244">
        <f>II179*(1+IQ180)</f>
        <v>907</v>
      </c>
      <c r="IR179" s="1241">
        <f>IP179+IQ179</f>
        <v>1738</v>
      </c>
      <c r="IS179" s="1244">
        <f>IK179*(1+IS180)</f>
        <v>847.602665032687</v>
      </c>
      <c r="IT179" s="1241">
        <f>IP179+IQ179+IS179</f>
        <v>2585.60266503269</v>
      </c>
      <c r="IU179" s="1244">
        <f>IM179*(1+IU180)</f>
        <v>929.730635297465</v>
      </c>
      <c r="IV179" s="1241">
        <f>IS179+IU179</f>
        <v>1777.33330033015</v>
      </c>
      <c r="IW179" s="1242">
        <f>IV179+IR179</f>
        <v>3515.33330033015</v>
      </c>
      <c r="IX179" s="1049"/>
      <c r="IY179" s="1071"/>
      <c r="IZ179" s="1104"/>
      <c r="JA179" s="1037"/>
      <c r="JB179" s="1037"/>
      <c r="JC179" s="1037"/>
      <c r="JD179" s="1041"/>
      <c r="JE179" s="1037"/>
      <c r="JF179" s="1037"/>
      <c r="JG179" s="1037"/>
      <c r="JH179" s="1037"/>
      <c r="JI179" s="1035"/>
      <c r="JJ179" s="1035"/>
      <c r="JK179" s="1035"/>
      <c r="JL179" s="1035"/>
      <c r="JM179" s="1035"/>
      <c r="JN179" s="1035"/>
      <c r="JO179" s="1035"/>
      <c r="JP179" s="1035"/>
      <c r="JQ179" s="1035"/>
      <c r="JR179" s="1035"/>
      <c r="JS179" s="1035"/>
      <c r="JT179" s="1035"/>
      <c r="KA179" s="1229"/>
      <c r="KB179" s="1148"/>
      <c r="KC179" s="1148"/>
      <c r="KD179" s="1037"/>
      <c r="KE179" s="1037"/>
      <c r="KF179" s="1037"/>
      <c r="KG179" s="1037"/>
      <c r="KH179" s="1089"/>
      <c r="KI179" s="1037"/>
    </row>
    <row r="180" spans="1:334">
      <c r="A180" s="967" t="s">
        <v>61</v>
      </c>
      <c r="AX180" s="1059"/>
      <c r="BE180" s="1060"/>
      <c r="BN180" s="1059"/>
      <c r="BU180" s="1060"/>
      <c r="BV180" s="1059"/>
      <c r="CC180" s="1060"/>
      <c r="CD180" s="1059"/>
      <c r="CJ180" s="1061"/>
      <c r="CK180" s="1060"/>
      <c r="CL180" s="1059"/>
      <c r="CS180" s="1060"/>
      <c r="CT180" s="1059"/>
      <c r="CW180" s="1062"/>
      <c r="CX180" s="1062"/>
      <c r="DE180" s="1064"/>
      <c r="DF180" s="1064"/>
      <c r="DM180" s="1064"/>
      <c r="DN180" s="1064"/>
      <c r="DU180" s="1064"/>
      <c r="DV180" s="1064"/>
      <c r="EC180" s="1064"/>
      <c r="ED180" s="1064"/>
      <c r="EK180" s="1064"/>
      <c r="EL180" s="1064"/>
      <c r="ER180" s="1065"/>
      <c r="ET180" s="1065"/>
      <c r="EU180" s="1065"/>
      <c r="EW180" s="1038"/>
      <c r="EX180" s="1082"/>
      <c r="EY180" s="1082"/>
      <c r="EZ180" s="1082"/>
      <c r="FA180" s="1082"/>
      <c r="FB180" s="1082"/>
      <c r="FC180" s="1082"/>
      <c r="FD180" s="1082"/>
      <c r="FE180" s="1085"/>
      <c r="FF180" s="1091">
        <f t="shared" ref="FF180:FM180" si="995">FF179/EX179-1</f>
        <v>0.131016042780749</v>
      </c>
      <c r="FG180" s="1091">
        <f t="shared" si="995"/>
        <v>0.14</v>
      </c>
      <c r="FH180" s="1082">
        <f t="shared" si="995"/>
        <v>0.135658914728682</v>
      </c>
      <c r="FI180" s="1087">
        <f t="shared" si="995"/>
        <v>0.147887323943662</v>
      </c>
      <c r="FJ180" s="1087">
        <f t="shared" si="995"/>
        <v>0.14</v>
      </c>
      <c r="FK180" s="1091">
        <f t="shared" si="995"/>
        <v>0.00728155339805836</v>
      </c>
      <c r="FL180" s="1082">
        <f t="shared" si="995"/>
        <v>0.0787589498806682</v>
      </c>
      <c r="FM180" s="1085">
        <f t="shared" si="995"/>
        <v>0.106079404466501</v>
      </c>
      <c r="FN180" s="1091">
        <f t="shared" ref="FN180:FX180" si="996">FN179/FF179-1</f>
        <v>-0.0685579196217494</v>
      </c>
      <c r="FO180" s="1082">
        <f t="shared" si="996"/>
        <v>-0.168859649122807</v>
      </c>
      <c r="FP180" s="1082">
        <f t="shared" si="996"/>
        <v>-0.120591581342435</v>
      </c>
      <c r="FQ180" s="1091">
        <f t="shared" si="996"/>
        <v>-0.00408997955010226</v>
      </c>
      <c r="FR180" s="1082">
        <f t="shared" si="996"/>
        <v>-0.0789473684210527</v>
      </c>
      <c r="FS180" s="1082">
        <f t="shared" si="996"/>
        <v>0.134939759036145</v>
      </c>
      <c r="FT180" s="1082">
        <f t="shared" si="996"/>
        <v>0.0597345132743363</v>
      </c>
      <c r="FU180" s="1082">
        <f t="shared" si="996"/>
        <v>-0.0291643297812675</v>
      </c>
      <c r="FV180" s="1086">
        <f t="shared" si="996"/>
        <v>0.152284263959391</v>
      </c>
      <c r="FW180" s="1082">
        <f t="shared" si="996"/>
        <v>0.163588390501319</v>
      </c>
      <c r="FX180" s="1082">
        <f t="shared" si="996"/>
        <v>0.157826649417853</v>
      </c>
      <c r="FY180" s="1082">
        <f>FY181+FY182</f>
        <v>0.0308008213552362</v>
      </c>
      <c r="FZ180" s="1082">
        <f>FZ179/FR179-1</f>
        <v>0.108730158730159</v>
      </c>
      <c r="GA180" s="1082">
        <f t="shared" ref="GA180" si="997">GA179/FS179-1</f>
        <v>0.0828025477707006</v>
      </c>
      <c r="GB180" s="1082">
        <f t="shared" ref="GB180" si="998">GB179/FT179-1</f>
        <v>0.0563674321503131</v>
      </c>
      <c r="GC180" s="1085">
        <f t="shared" ref="GC180" si="999">GC179/FU179-1</f>
        <v>0.101675332177932</v>
      </c>
      <c r="GD180" s="1087">
        <f>GD181+GD182</f>
        <v>-0.0528634361233479</v>
      </c>
      <c r="GE180" s="1082">
        <f>GE179/FW179-1</f>
        <v>-0.0566893424036281</v>
      </c>
      <c r="GF180" s="1082">
        <f>GF179/FX179-1</f>
        <v>-0.0547486033519553</v>
      </c>
      <c r="GG180" s="1087">
        <f>GG181+GG182</f>
        <v>-0.322709163346614</v>
      </c>
      <c r="GH180" s="1082">
        <f>GH179/FZ179-1</f>
        <v>-0.151037938439513</v>
      </c>
      <c r="GI180" s="1082">
        <f>GI179/GA179-1</f>
        <v>-0.123529411764706</v>
      </c>
      <c r="GJ180" s="1082">
        <f>GJ179/GB179-1</f>
        <v>-0.222332015810277</v>
      </c>
      <c r="GK180" s="1085">
        <f>GK179/GC179-1</f>
        <v>-0.143681174619822</v>
      </c>
      <c r="GL180" s="1087">
        <f>GL181+GL182</f>
        <v>-0.125581395348837</v>
      </c>
      <c r="GM180" s="1087">
        <f>GM181+GM182</f>
        <v>-0.0312500000000007</v>
      </c>
      <c r="GN180" s="1082">
        <f>GN179/GF179-1</f>
        <v>-0.0791962174940901</v>
      </c>
      <c r="GO180" s="1087">
        <f>GO181+GO182</f>
        <v>0.191176470588236</v>
      </c>
      <c r="GP180" s="1082">
        <f>GP179/GH179-1</f>
        <v>-0.00168634064080964</v>
      </c>
      <c r="GQ180" s="1087">
        <f>GQ181+GQ182</f>
        <v>0.0648769574944075</v>
      </c>
      <c r="GR180" s="1082">
        <f>GR179/GJ179-1</f>
        <v>0.119440914866582</v>
      </c>
      <c r="GS180" s="1085">
        <f>GS179/GK179-1</f>
        <v>0.0165339865278626</v>
      </c>
      <c r="GT180" s="1087">
        <f>GT181+GT182</f>
        <v>-0.0984042553191489</v>
      </c>
      <c r="GU180" s="1087">
        <f>GU181+GU182</f>
        <v>-0.71712158808933</v>
      </c>
      <c r="GV180" s="1082">
        <f>GV179/GN179-1</f>
        <v>-0.418485237483954</v>
      </c>
      <c r="GW180" s="1087">
        <f>GW181+GW182</f>
        <v>-0.27</v>
      </c>
      <c r="GX180" s="1082">
        <f>GX179/GP179-1</f>
        <v>-0.367694256756757</v>
      </c>
      <c r="GY180" s="1087">
        <f>GY181+GY182</f>
        <v>-0.140021008403362</v>
      </c>
      <c r="GZ180" s="1082">
        <f>GZ179/GR179-1</f>
        <v>-0.199772985244041</v>
      </c>
      <c r="HA180" s="1085">
        <f>HA179/GS179-1</f>
        <v>-0.302409638554217</v>
      </c>
      <c r="HB180" s="1087">
        <f>HB181+HB182</f>
        <v>-0.0198019801980201</v>
      </c>
      <c r="HC180" s="1087">
        <f>HC181+HC182</f>
        <v>2.37864077669903</v>
      </c>
      <c r="HD180" s="1082">
        <f>HD179/(303+103)-1</f>
        <v>0.588669950738916</v>
      </c>
      <c r="HE180" s="1087">
        <f>HE181+HE182</f>
        <v>0.53409090909091</v>
      </c>
      <c r="HF180" s="1082">
        <f>HF179/GX179-1</f>
        <v>0.402524544179523</v>
      </c>
      <c r="HG180" s="1087">
        <f>HG181+HG182</f>
        <v>0.0876712328767123</v>
      </c>
      <c r="HH180" s="1082">
        <f>HH179/(264+365)-1</f>
        <v>0.275039745627981</v>
      </c>
      <c r="HI180" s="1085">
        <f>HI179/1035-1</f>
        <v>0.398067632850242</v>
      </c>
      <c r="HJ180" s="1087">
        <f>HJ181+HJ182</f>
        <v>0.410774410774411</v>
      </c>
      <c r="HK180" s="1087">
        <f>HK181+HK182</f>
        <v>0.477011494252876</v>
      </c>
      <c r="HL180" s="1082">
        <f>HL179/HD179-1</f>
        <v>0.446511627906978</v>
      </c>
      <c r="HM180" s="1087">
        <f>HM181+HM182</f>
        <v>0.562962962962962</v>
      </c>
      <c r="HN180" s="1082">
        <f>HN179/HF179-1</f>
        <v>0.491428571428572</v>
      </c>
      <c r="HO180" s="1087">
        <f>HO181+HO182</f>
        <v>0.370277078085643</v>
      </c>
      <c r="HP180" s="1082">
        <f>HP179/HH179-1</f>
        <v>0.467581047381546</v>
      </c>
      <c r="HQ180" s="1085">
        <f>HQ179/HI179-1</f>
        <v>0.458189357290947</v>
      </c>
      <c r="HR180" s="1087">
        <f>HR181+HR182</f>
        <v>0.4200477326969</v>
      </c>
      <c r="HS180" s="1087">
        <f>HS181+HS182</f>
        <v>0.159533073929958</v>
      </c>
      <c r="HT180" s="1082">
        <f>HT179/HL179-1</f>
        <v>0.27652733118971</v>
      </c>
      <c r="HU180" s="1087">
        <f>HU181+HU182</f>
        <v>-0.0189573459715639</v>
      </c>
      <c r="HV180" s="1082">
        <f>HV179/HN179-1</f>
        <v>0.157088122605364</v>
      </c>
      <c r="HW180" s="1087">
        <f>HW181+HW182</f>
        <v>-0.119485294117648</v>
      </c>
      <c r="HX180" s="1082">
        <f>HX179/HP179-1</f>
        <v>-0.0654205607476638</v>
      </c>
      <c r="HY180" s="1085">
        <f>HY179/HQ179-1</f>
        <v>0.0857819905213271</v>
      </c>
      <c r="HZ180" s="1087">
        <f>HZ181+HZ182</f>
        <v>0.0336134453781494</v>
      </c>
      <c r="IA180" s="1087">
        <f>IA181+IA182</f>
        <v>0.142</v>
      </c>
      <c r="IB180" s="1082">
        <f>IB179/HT179-1</f>
        <v>0.0878522250209897</v>
      </c>
      <c r="IC180" s="1087">
        <f>IC181+IC182</f>
        <v>0.0895144927536209</v>
      </c>
      <c r="ID180" s="1082">
        <f>ID179/HV179-1</f>
        <v>0.0884219094922722</v>
      </c>
      <c r="IE180" s="1087">
        <f>IE181+IE182</f>
        <v>0.681</v>
      </c>
      <c r="IF180" s="1082">
        <f>IF179/HX179-1</f>
        <v>0.347079545454544</v>
      </c>
      <c r="IG180" s="1085">
        <f>IG179/HY179-1</f>
        <v>0.21231754692274</v>
      </c>
      <c r="IH180" s="1087">
        <f>IH181+IH182</f>
        <v>0.134959349593496</v>
      </c>
      <c r="II180" s="1087">
        <f>II181+II182</f>
        <v>-0.01121310781744</v>
      </c>
      <c r="IJ180" s="1082">
        <f>IJ179/IB179-1</f>
        <v>0.0581708386331925</v>
      </c>
      <c r="IK180" s="1087">
        <f>IK181+IK182</f>
        <v>0.0641623379646584</v>
      </c>
      <c r="IL180" s="1082">
        <f>IL179/ID179-1</f>
        <v>0.0602262779440745</v>
      </c>
      <c r="IM180" s="1087">
        <f>IM181+IM182</f>
        <v>0.0370107265408923</v>
      </c>
      <c r="IN180" s="1082">
        <f>IN179/IF179-1</f>
        <v>0.0494082316121587</v>
      </c>
      <c r="IO180" s="1085">
        <f>IO179/IG179-1</f>
        <v>0.0534958798985901</v>
      </c>
      <c r="IP180" s="1087">
        <f>IP181+IP182</f>
        <v>0.19054441260745</v>
      </c>
      <c r="IQ180" s="1087">
        <f>IQ181+IQ182</f>
        <v>0.347696879643388</v>
      </c>
      <c r="IR180" s="1082">
        <f>IR179/IJ179-1</f>
        <v>0.267687819110138</v>
      </c>
      <c r="IS180" s="1087">
        <f>IS181+IS182</f>
        <v>0.17722592365651</v>
      </c>
      <c r="IT180" s="1082">
        <f>IT179/IL179-1</f>
        <v>0.236538816371443</v>
      </c>
      <c r="IU180" s="1087">
        <f>IU181+IU182</f>
        <v>0.113449862631694</v>
      </c>
      <c r="IV180" s="1082">
        <f>IV179/IN179-1</f>
        <v>0.142979614360226</v>
      </c>
      <c r="IW180" s="1085">
        <f>IW179/IO179-1</f>
        <v>0.201412611185971</v>
      </c>
      <c r="IX180" s="1049"/>
      <c r="IY180" s="1082"/>
      <c r="IZ180" s="1104"/>
      <c r="JA180" s="1037"/>
      <c r="JB180" s="1037"/>
      <c r="JC180" s="1037"/>
      <c r="JD180" s="1041"/>
      <c r="JE180" s="1037"/>
      <c r="JF180" s="1037"/>
      <c r="JG180" s="1037"/>
      <c r="JH180" s="1037"/>
      <c r="JI180" s="1035"/>
      <c r="JJ180" s="1035"/>
      <c r="JK180" s="1035"/>
      <c r="JL180" s="1035"/>
      <c r="JM180" s="1035"/>
      <c r="JN180" s="1035"/>
      <c r="JO180" s="1035"/>
      <c r="JP180" s="1035"/>
      <c r="JQ180" s="1035"/>
      <c r="JR180" s="1035"/>
      <c r="JS180" s="1035"/>
      <c r="JT180" s="1035"/>
      <c r="KA180" s="1229" t="s">
        <v>544</v>
      </c>
      <c r="KB180" s="1148">
        <v>325</v>
      </c>
      <c r="KC180" s="1148">
        <v>348</v>
      </c>
      <c r="KD180" s="1037">
        <v>363</v>
      </c>
      <c r="KE180" s="1037">
        <v>352</v>
      </c>
      <c r="KF180" s="1037"/>
      <c r="KG180" s="1037">
        <f>SUM(KB180:KE180)</f>
        <v>1388</v>
      </c>
      <c r="KH180" s="1089"/>
      <c r="KI180" s="1037"/>
    </row>
    <row r="181" ht="17.6" spans="1:334">
      <c r="A181" s="967" t="s">
        <v>99</v>
      </c>
      <c r="AX181" s="1059"/>
      <c r="BE181" s="1060"/>
      <c r="BN181" s="1059"/>
      <c r="BU181" s="1060"/>
      <c r="BV181" s="1059"/>
      <c r="CC181" s="1060"/>
      <c r="CD181" s="1059"/>
      <c r="CJ181" s="1061"/>
      <c r="CK181" s="1060"/>
      <c r="CL181" s="1059"/>
      <c r="CS181" s="1060"/>
      <c r="CT181" s="1059"/>
      <c r="CW181" s="1062"/>
      <c r="CX181" s="1062"/>
      <c r="DE181" s="1064"/>
      <c r="DF181" s="1064"/>
      <c r="DM181" s="1064"/>
      <c r="DN181" s="1064"/>
      <c r="DU181" s="1064"/>
      <c r="DV181" s="1064"/>
      <c r="EC181" s="1064"/>
      <c r="ED181" s="1064"/>
      <c r="EK181" s="1064"/>
      <c r="EL181" s="1064"/>
      <c r="ER181" s="1065"/>
      <c r="ET181" s="1065"/>
      <c r="EU181" s="1065"/>
      <c r="EW181" s="1038"/>
      <c r="EX181" s="1082"/>
      <c r="EY181" s="1082"/>
      <c r="EZ181" s="1082"/>
      <c r="FA181" s="1082"/>
      <c r="FB181" s="1082"/>
      <c r="FC181" s="1082"/>
      <c r="FD181" s="1082"/>
      <c r="FE181" s="1085"/>
      <c r="FF181" s="1091">
        <f t="shared" ref="FF181:FM181" si="1000">FF180-FF182</f>
        <v>0.0710160427807487</v>
      </c>
      <c r="FG181" s="1091">
        <f t="shared" si="1000"/>
        <v>0.0469999999999999</v>
      </c>
      <c r="FH181" s="1082">
        <f t="shared" si="1000"/>
        <v>0.0586046511627907</v>
      </c>
      <c r="FI181" s="1087">
        <f t="shared" si="1000"/>
        <v>-0.053112676056338</v>
      </c>
      <c r="FJ181" s="1087">
        <f t="shared" si="1000"/>
        <v>0.0189449999999999</v>
      </c>
      <c r="FK181" s="1091">
        <f t="shared" si="1000"/>
        <v>-0.111718446601942</v>
      </c>
      <c r="FL181" s="1082">
        <f t="shared" si="1000"/>
        <v>-0.0819260143198091</v>
      </c>
      <c r="FM181" s="1085">
        <f t="shared" si="1000"/>
        <v>-0.0144503722084368</v>
      </c>
      <c r="FN181" s="1091">
        <f t="shared" ref="FN181:FX181" si="1001">FN180-FN182</f>
        <v>-0.255557919621749</v>
      </c>
      <c r="FO181" s="1082">
        <f t="shared" si="1001"/>
        <v>-0.247859649122807</v>
      </c>
      <c r="FP181" s="1082">
        <f t="shared" si="1001"/>
        <v>-0.251564277588168</v>
      </c>
      <c r="FQ181" s="1091">
        <f t="shared" si="1001"/>
        <v>-0.162089979550102</v>
      </c>
      <c r="FR181" s="1082">
        <f t="shared" si="1001"/>
        <v>-0.219581140350877</v>
      </c>
      <c r="FS181" s="1082">
        <f t="shared" si="1001"/>
        <v>-0.0860602409638555</v>
      </c>
      <c r="FT181" s="1082">
        <f t="shared" si="1001"/>
        <v>-0.127186946902655</v>
      </c>
      <c r="FU181" s="1082">
        <f t="shared" si="1001"/>
        <v>-0.188503645541223</v>
      </c>
      <c r="FV181" s="1086">
        <f t="shared" si="1001"/>
        <v>0.0652842639593909</v>
      </c>
      <c r="FW181" s="1082">
        <f t="shared" si="1001"/>
        <v>0.0245883905013193</v>
      </c>
      <c r="FX181" s="1082">
        <f t="shared" si="1001"/>
        <v>0.0453311772315654</v>
      </c>
      <c r="FY181" s="1082">
        <v>-0.0531991786447638</v>
      </c>
      <c r="FZ181" s="1082">
        <f>FZ180-FZ182</f>
        <v>0.00724841269841275</v>
      </c>
      <c r="GA181" s="1082">
        <f t="shared" ref="GA181:GC181" si="1002">GA180-GA182</f>
        <v>-0.107197452229299</v>
      </c>
      <c r="GB181" s="1082">
        <f t="shared" si="1002"/>
        <v>-0.0797473903966597</v>
      </c>
      <c r="GC181" s="1085">
        <f t="shared" si="1002"/>
        <v>-0.023891969959561</v>
      </c>
      <c r="GD181" s="1087">
        <v>-0.152863436123348</v>
      </c>
      <c r="GE181" s="1087">
        <f>GE180-GE182</f>
        <v>-0.203689342403628</v>
      </c>
      <c r="GF181" s="1082">
        <f>GF180-GF182</f>
        <v>-0.177907262569832</v>
      </c>
      <c r="GG181" s="1087">
        <v>-0.328</v>
      </c>
      <c r="GH181" s="1082">
        <f>GH180-GH182</f>
        <v>-0.231841803865426</v>
      </c>
      <c r="GI181" s="1087">
        <f>GI180-GI182</f>
        <v>-0.113529411764706</v>
      </c>
      <c r="GJ181" s="1082">
        <f t="shared" ref="GJ181:GK181" si="1003">GJ180-GJ182</f>
        <v>-0.219916996047431</v>
      </c>
      <c r="GK181" s="1085">
        <f t="shared" si="1003"/>
        <v>-0.200200839014158</v>
      </c>
      <c r="GL181" s="1087">
        <v>-0.0955813953488371</v>
      </c>
      <c r="GM181" s="1087">
        <v>-0.0786500000000007</v>
      </c>
      <c r="GN181" s="1082">
        <f>GN180-GN182</f>
        <v>-0.0872557919621752</v>
      </c>
      <c r="GO181" s="1087">
        <v>0.140176470588236</v>
      </c>
      <c r="GP181" s="1082">
        <f>GP180-GP182</f>
        <v>-0.0220559865092751</v>
      </c>
      <c r="GQ181" s="1087">
        <v>-0.15</v>
      </c>
      <c r="GR181" s="1082">
        <f t="shared" ref="GR181:GS181" si="1004">GR180-GR182</f>
        <v>-0.0246378653113089</v>
      </c>
      <c r="GS181" s="1085">
        <f t="shared" si="1004"/>
        <v>-0.0570780159216169</v>
      </c>
      <c r="GT181" s="1087">
        <v>-0.093</v>
      </c>
      <c r="GU181" s="1087">
        <v>-0.0781215880893297</v>
      </c>
      <c r="GV181" s="1082">
        <f>GV180-GV182</f>
        <v>-0.0853029525032092</v>
      </c>
      <c r="GW181" s="1087">
        <v>-0.14</v>
      </c>
      <c r="GX181" s="1082">
        <f>GX180-GX182</f>
        <v>-0.104012668918919</v>
      </c>
      <c r="GY181" s="1087">
        <v>-0.233002100840337</v>
      </c>
      <c r="GZ181" s="1082">
        <f t="shared" ref="GZ181:HA181" si="1005">GZ180-GZ182</f>
        <v>-0.190248581157776</v>
      </c>
      <c r="HA181" s="1085">
        <f t="shared" si="1005"/>
        <v>-0.141</v>
      </c>
      <c r="HB181" s="1087">
        <v>-0.19980198019802</v>
      </c>
      <c r="HC181" s="1087">
        <v>0.08</v>
      </c>
      <c r="HD181" s="1082">
        <f>HD180-HD182</f>
        <v>-0.128817733990148</v>
      </c>
      <c r="HE181" s="1087">
        <v>-0.02</v>
      </c>
      <c r="HF181" s="1082">
        <f>HF180-HF182</f>
        <v>-0.247822114227499</v>
      </c>
      <c r="HG181" s="1087">
        <v>0.000671232876712346</v>
      </c>
      <c r="HH181" s="1082">
        <f t="shared" ref="HH181:HI181" si="1006">HH180-HH182</f>
        <v>-0.00800476947535744</v>
      </c>
      <c r="HI181" s="1085">
        <f t="shared" si="1006"/>
        <v>-0.0553961352657005</v>
      </c>
      <c r="HJ181" s="1087">
        <v>0.032</v>
      </c>
      <c r="HK181" s="1087">
        <v>0.107011494252876</v>
      </c>
      <c r="HL181" s="1082">
        <f>HL180-HL182</f>
        <v>0.0711041421971666</v>
      </c>
      <c r="HM181" s="1087">
        <v>0.0569629629629624</v>
      </c>
      <c r="HN181" s="1082">
        <f>HN180-HN182</f>
        <v>0.0664895238095245</v>
      </c>
      <c r="HO181" s="1087">
        <v>-0.101722921914357</v>
      </c>
      <c r="HP181" s="1082">
        <f t="shared" ref="HP181:HQ181" si="1007">HP180-HP182</f>
        <v>-0.0213671628240899</v>
      </c>
      <c r="HQ181" s="1085">
        <f t="shared" si="1007"/>
        <v>0.0203386316516936</v>
      </c>
      <c r="HR181" s="1087">
        <v>-0.0669522673030999</v>
      </c>
      <c r="HS181" s="1087">
        <v>-0.134</v>
      </c>
      <c r="HT181" s="1082">
        <f>HT180-HT182</f>
        <v>-0.103889603429795</v>
      </c>
      <c r="HU181" s="1087">
        <v>-0.00472589792060507</v>
      </c>
      <c r="HV181" s="1082">
        <f>HV180-HV182</f>
        <v>-0.0638061899002182</v>
      </c>
      <c r="HW181" s="1087">
        <v>-0.127</v>
      </c>
      <c r="HX181" s="1091">
        <f>AVERAGE(HU181:HW181)</f>
        <v>-0.0651773626069411</v>
      </c>
      <c r="HY181" s="1085">
        <f t="shared" ref="HY181" si="1008">HY180-HY182</f>
        <v>-0.0800988120302092</v>
      </c>
      <c r="HZ181" s="1087">
        <v>-0.143</v>
      </c>
      <c r="IA181" s="1087">
        <v>-0.198</v>
      </c>
      <c r="IB181" s="1082">
        <f t="shared" ref="IB181" si="1009">IB180-IB182</f>
        <v>-0.17052308984047</v>
      </c>
      <c r="IC181" s="1087">
        <v>-0.210485507246379</v>
      </c>
      <c r="ID181" s="1082">
        <f t="shared" ref="ID181" si="1010">ID180-ID182</f>
        <v>-0.184218818984548</v>
      </c>
      <c r="IE181" s="1087">
        <v>0.371</v>
      </c>
      <c r="IF181" s="1082">
        <f t="shared" ref="IF181:IG181" si="1011">IF180-IF182</f>
        <v>0.0420643131620841</v>
      </c>
      <c r="IG181" s="1085">
        <f t="shared" si="1011"/>
        <v>-0.0681342208642522</v>
      </c>
      <c r="IH181" s="1246">
        <v>-0.127</v>
      </c>
      <c r="II181" s="1246">
        <v>-0.24121310781744</v>
      </c>
      <c r="IJ181" s="1082">
        <f t="shared" ref="IJ181" si="1012">IJ180-IJ182</f>
        <v>-0.186999364016943</v>
      </c>
      <c r="IK181" s="1246">
        <v>-0.145837662035342</v>
      </c>
      <c r="IL181" s="1082">
        <f t="shared" ref="IL181" si="1013">IL180-IL182</f>
        <v>-0.172878461105134</v>
      </c>
      <c r="IM181" s="1246">
        <v>-0.142989273459108</v>
      </c>
      <c r="IN181" s="1082">
        <f t="shared" ref="IN181:IO181" si="1014">IN180-IN182</f>
        <v>-0.145546071510461</v>
      </c>
      <c r="IO181" s="1085">
        <f t="shared" si="1014"/>
        <v>-0.16421331563345</v>
      </c>
      <c r="IP181" s="1246">
        <v>-0.0694555873925504</v>
      </c>
      <c r="IQ181" s="1246">
        <v>0.0676968796433879</v>
      </c>
      <c r="IR181" s="1082">
        <f t="shared" ref="IR181" si="1015">IR180-IR182</f>
        <v>-0.00212983223924185</v>
      </c>
      <c r="IS181" s="1246">
        <f>30%*IS487+20%*IS488+20%*IS491+30%*IS483</f>
        <v>0.0272259236565097</v>
      </c>
      <c r="IT181" s="1082">
        <f t="shared" ref="IT181" si="1016">IT180-IT182</f>
        <v>0.00797831900176299</v>
      </c>
      <c r="IU181" s="1246">
        <f>30%*IU487+20%*IU488+20%*IU491+30%*IU483</f>
        <v>0.0334498626316942</v>
      </c>
      <c r="IV181" s="1082">
        <f t="shared" ref="IV181" si="1017">IV180-IV182</f>
        <v>0.0280862404074461</v>
      </c>
      <c r="IW181" s="1246">
        <f>30%*IW487+20%*IW488+20%*IW491+30%*IW483</f>
        <v>-0.0162507994467654</v>
      </c>
      <c r="IX181" s="1049"/>
      <c r="IY181" s="1082"/>
      <c r="IZ181" s="1104"/>
      <c r="JA181" s="1037"/>
      <c r="JB181" s="1037"/>
      <c r="JC181" s="1037"/>
      <c r="JD181" s="1041"/>
      <c r="JE181" s="1037"/>
      <c r="JF181" s="1037"/>
      <c r="JG181" s="1037"/>
      <c r="JH181" s="1037"/>
      <c r="JI181" s="1035"/>
      <c r="JJ181" s="1035"/>
      <c r="JK181" s="1035"/>
      <c r="JL181" s="1035"/>
      <c r="JM181" s="1035"/>
      <c r="JN181" s="1035"/>
      <c r="JO181" s="1035"/>
      <c r="JP181" s="1035"/>
      <c r="JQ181" s="1035"/>
      <c r="JR181" s="1035"/>
      <c r="JS181" s="1035"/>
      <c r="JT181" s="1035"/>
      <c r="KA181" s="1229" t="s">
        <v>545</v>
      </c>
      <c r="KB181" s="1094">
        <f>KB180/EX179</f>
        <v>0.868983957219251</v>
      </c>
      <c r="KC181" s="1094">
        <f>KC180/EY179</f>
        <v>0.87</v>
      </c>
      <c r="KD181" s="1094">
        <f>KD180/FA179</f>
        <v>0.852112676056338</v>
      </c>
      <c r="KE181" s="1094">
        <f>KE180/FC179</f>
        <v>0.854368932038835</v>
      </c>
      <c r="KF181" s="1082"/>
      <c r="KG181" s="1094">
        <f>KG180/FE179</f>
        <v>0.861042183622829</v>
      </c>
      <c r="KP181" s="1117"/>
      <c r="LV181" s="967"/>
    </row>
    <row r="182" spans="1:334">
      <c r="A182" s="967" t="s">
        <v>100</v>
      </c>
      <c r="AX182" s="1059"/>
      <c r="BE182" s="1060"/>
      <c r="BN182" s="1059"/>
      <c r="BU182" s="1060"/>
      <c r="BV182" s="1059"/>
      <c r="CC182" s="1060"/>
      <c r="CD182" s="1059"/>
      <c r="CJ182" s="1061"/>
      <c r="CK182" s="1060"/>
      <c r="CL182" s="1059"/>
      <c r="CS182" s="1060"/>
      <c r="CT182" s="1059"/>
      <c r="CW182" s="1062"/>
      <c r="CX182" s="1062"/>
      <c r="DE182" s="1064"/>
      <c r="DF182" s="1064"/>
      <c r="DM182" s="1064"/>
      <c r="DN182" s="1064"/>
      <c r="DU182" s="1064"/>
      <c r="DV182" s="1064"/>
      <c r="EC182" s="1064"/>
      <c r="ED182" s="1064"/>
      <c r="EK182" s="1064"/>
      <c r="EL182" s="1064"/>
      <c r="ER182" s="1065"/>
      <c r="ET182" s="1065"/>
      <c r="EU182" s="1065"/>
      <c r="EW182" s="1038"/>
      <c r="EX182" s="1083"/>
      <c r="EY182" s="1083"/>
      <c r="EZ182" s="1083"/>
      <c r="FA182" s="1083"/>
      <c r="FB182" s="1083"/>
      <c r="FC182" s="1083"/>
      <c r="FD182" s="1083"/>
      <c r="FE182" s="1084"/>
      <c r="FF182" s="1095">
        <v>0.06</v>
      </c>
      <c r="FG182" s="1095">
        <v>0.093</v>
      </c>
      <c r="FH182" s="1083">
        <f>(EX179*FF182+EY179*FG182)/EZ179</f>
        <v>0.0770542635658915</v>
      </c>
      <c r="FI182" s="1087">
        <v>0.201</v>
      </c>
      <c r="FJ182" s="1083">
        <f>(EZ179*FH182+FA179*FI182)/FB179</f>
        <v>0.121055</v>
      </c>
      <c r="FK182" s="1095">
        <v>0.119</v>
      </c>
      <c r="FL182" s="1083">
        <f>(FA179*FI182+FC179*FK182)/FD179</f>
        <v>0.160684964200477</v>
      </c>
      <c r="FM182" s="1084">
        <f>(EX179*FF182+EY179*FG182+FA179*FI182+FC179*FK182)/FE179</f>
        <v>0.120529776674938</v>
      </c>
      <c r="FN182" s="1095">
        <v>0.187</v>
      </c>
      <c r="FO182" s="1083">
        <v>0.079</v>
      </c>
      <c r="FP182" s="1083">
        <f>(FF179*FN182+FG179*FO182)/FH179</f>
        <v>0.130972696245734</v>
      </c>
      <c r="FQ182" s="1095">
        <v>0.158</v>
      </c>
      <c r="FR182" s="1083">
        <f>(FF179*FN182+FG179*FO182+FI179*FQ182)/FJ179</f>
        <v>0.140633771929825</v>
      </c>
      <c r="FS182" s="1083">
        <v>0.221</v>
      </c>
      <c r="FT182" s="1083">
        <f>(FI179*FQ182+FK179*FS182)/FL179</f>
        <v>0.186921460176991</v>
      </c>
      <c r="FU182" s="1083">
        <f>(FF179*FN182+FG179*FO182+FI179*FQ182+FK179*FS182)/FM179</f>
        <v>0.159339315759955</v>
      </c>
      <c r="FV182" s="1086">
        <v>0.087</v>
      </c>
      <c r="FW182" s="1083">
        <v>0.139</v>
      </c>
      <c r="FX182" s="1083">
        <f>(FN179*FV182+FO179*FW182)/FP179</f>
        <v>0.112495472186287</v>
      </c>
      <c r="FY182" s="1083">
        <v>0.084</v>
      </c>
      <c r="FZ182" s="1083">
        <f>(FN179*FV182+FO179*FW182+FQ179*FY182)/FR179</f>
        <v>0.101481746031746</v>
      </c>
      <c r="GA182" s="1083">
        <v>0.19</v>
      </c>
      <c r="GB182" s="1083">
        <f>(FQ179*FY182+FS179*GA182)/FT179</f>
        <v>0.136114822546973</v>
      </c>
      <c r="GC182" s="1084">
        <f>(FN179*FV182+FO179*FW182+FQ179*FY182+FS179*GA182)/FU179</f>
        <v>0.125567302137493</v>
      </c>
      <c r="GD182" s="1087">
        <v>0.1</v>
      </c>
      <c r="GE182" s="1087">
        <v>0.147</v>
      </c>
      <c r="GF182" s="1083">
        <f>(FV179*GD182+FW179*GE182)/FX179</f>
        <v>0.123158659217877</v>
      </c>
      <c r="GG182" s="1087">
        <v>0.00529083665338618</v>
      </c>
      <c r="GH182" s="1083">
        <f>(FV179*GD182+FW179*GE182+FY179*GG182)/FZ179</f>
        <v>0.0808038654259126</v>
      </c>
      <c r="GI182" s="1087">
        <v>-0.01</v>
      </c>
      <c r="GJ182" s="1083">
        <f>(FY179*GG182+GA179*GI182)/GB179</f>
        <v>-0.00241501976284598</v>
      </c>
      <c r="GK182" s="1084">
        <f>(FV179*GD182+FW179*GE182+FY179*GG182+GA179*GI182)/GC179</f>
        <v>0.0565196643943366</v>
      </c>
      <c r="GL182" s="1087">
        <v>-0.03</v>
      </c>
      <c r="GM182" s="1087">
        <v>0.0474</v>
      </c>
      <c r="GN182" s="1083">
        <f>(GD179*GL182+GE179*GM182)/GF179</f>
        <v>0.00805957446808511</v>
      </c>
      <c r="GO182" s="1087">
        <v>0.051</v>
      </c>
      <c r="GP182" s="1083">
        <f>(GD179*GL182+GE179*GM182+GG179*GO182)/GH179</f>
        <v>0.0203696458684654</v>
      </c>
      <c r="GQ182" s="1087">
        <v>0.214876957494407</v>
      </c>
      <c r="GR182" s="1083">
        <f>(GG179*GO182+GI179*GQ182)/GJ179</f>
        <v>0.144078780177891</v>
      </c>
      <c r="GS182" s="1084">
        <f>(GD179*GL182+GE179*GM182+GG179*GO182+GI179*GQ182)/GK179</f>
        <v>0.0736120024494796</v>
      </c>
      <c r="GT182" s="1087">
        <v>-0.00540425531914894</v>
      </c>
      <c r="GU182" s="1087">
        <v>-0.639</v>
      </c>
      <c r="GV182" s="1083">
        <f>(GL179*GT182+GM179*GU182)/GN179</f>
        <v>-0.333182284980744</v>
      </c>
      <c r="GW182" s="1087">
        <v>-0.13</v>
      </c>
      <c r="GX182" s="1083">
        <f>(GL179*GT182+GM179*GU182+GO179*GW182)/GP179</f>
        <v>-0.263681587837838</v>
      </c>
      <c r="GY182" s="1087">
        <v>0.0929810924369753</v>
      </c>
      <c r="GZ182" s="1083">
        <f>(GO179*GW182+GQ179*GY182)/GR179</f>
        <v>-0.00952440408626531</v>
      </c>
      <c r="HA182" s="1084">
        <f>(GL179*GT182+GM179*GU182+GO179*GW182+GQ179*GY182)/GS179</f>
        <v>-0.161409638554217</v>
      </c>
      <c r="HB182" s="1087">
        <v>0.18</v>
      </c>
      <c r="HC182" s="1087">
        <v>2.29864077669903</v>
      </c>
      <c r="HD182" s="1083">
        <f>(303*HB182+103*HC182)/(303+103)</f>
        <v>0.717487684729064</v>
      </c>
      <c r="HE182" s="1087">
        <v>0.55409090909091</v>
      </c>
      <c r="HF182" s="1083">
        <f>(GT179*HB182+GU179*HC182+GW179*HE182)/GX179</f>
        <v>0.650346658407022</v>
      </c>
      <c r="HG182" s="1087">
        <v>0.087</v>
      </c>
      <c r="HH182" s="1083">
        <f>(264*HE182+365*HG182)/(264+365)</f>
        <v>0.283044515103339</v>
      </c>
      <c r="HI182" s="1084">
        <f>(303*HB182+103*HC182+264*HE182+365*HG182)/1035</f>
        <v>0.453463768115942</v>
      </c>
      <c r="HJ182" s="1087">
        <v>0.378774410774411</v>
      </c>
      <c r="HK182" s="1087">
        <v>0.37</v>
      </c>
      <c r="HL182" s="1083">
        <f>(1166*HJ182+726*HK182)/(1166+726)</f>
        <v>0.375407485709811</v>
      </c>
      <c r="HM182" s="1087">
        <v>0.506</v>
      </c>
      <c r="HN182" s="1083">
        <f>(HB179*HJ182+HC179*HK182+HE179*HM182)/HF179</f>
        <v>0.424939047619048</v>
      </c>
      <c r="HO182" s="1087">
        <v>0.472</v>
      </c>
      <c r="HP182" s="1083">
        <f>(1309*HM182+1317*HO182)/(1309+1317)</f>
        <v>0.488948210205636</v>
      </c>
      <c r="HQ182" s="1084">
        <f>(HB179*HJ182+HC179*HK182+HE179*HM182+HG179*HO182)/HI179</f>
        <v>0.437850725639254</v>
      </c>
      <c r="HR182" s="1087">
        <v>0.487</v>
      </c>
      <c r="HS182" s="1087">
        <v>0.293533073929958</v>
      </c>
      <c r="HT182" s="1083">
        <f>((HR182*HJ179)+(HS182*HK179))/HL179</f>
        <v>0.380416934619505</v>
      </c>
      <c r="HU182" s="1087">
        <v>-0.0142314480509588</v>
      </c>
      <c r="HV182" s="1083">
        <f>(HJ179*HR182+HK179*HS182+HM179*HU182)/HN179</f>
        <v>0.220894312505582</v>
      </c>
      <c r="HW182" s="1087">
        <v>0.00751470588235245</v>
      </c>
      <c r="HX182" s="1083">
        <f>(1309*HU182+1317*HW182)/(1309+1317)</f>
        <v>-0.00332524670664389</v>
      </c>
      <c r="HY182" s="1084">
        <f>(HJ179*HR182+HK179*HS182+HM179*HU182+HO179*HW182)/HQ179</f>
        <v>0.165880802551536</v>
      </c>
      <c r="HZ182" s="1087">
        <v>0.176613445378149</v>
      </c>
      <c r="IA182" s="1087">
        <v>0.34</v>
      </c>
      <c r="IB182" s="1083">
        <f>((HZ182*HR179)+(IA182*HS179))/HT179</f>
        <v>0.25837531486146</v>
      </c>
      <c r="IC182" s="1087">
        <v>0.3</v>
      </c>
      <c r="ID182" s="1083">
        <f>(HR179*HZ182+HS179*IA182+HU179*IC182)/HV179</f>
        <v>0.272640728476821</v>
      </c>
      <c r="IE182" s="1087">
        <v>0.31</v>
      </c>
      <c r="IF182" s="1083">
        <f>(1309*IC182+1317*IE182)/(1309+1317)</f>
        <v>0.30501523229246</v>
      </c>
      <c r="IG182" s="1084">
        <f>(HR179*HZ182+HS179*IA182+HU179*IC182+HW179*IE182)/HY179</f>
        <v>0.280451767786992</v>
      </c>
      <c r="IH182" s="1087">
        <v>0.261959349593496</v>
      </c>
      <c r="II182" s="1087">
        <v>0.23</v>
      </c>
      <c r="IJ182" s="1083">
        <f>((IH182*HZ179)+(II182*IA179))/IB179</f>
        <v>0.245170202650135</v>
      </c>
      <c r="IK182" s="1087">
        <v>0.21</v>
      </c>
      <c r="IL182" s="1083">
        <f>(HZ179*IH182+IA179*II182+IC179*IK182)/ID179</f>
        <v>0.233104739049209</v>
      </c>
      <c r="IM182" s="1087">
        <v>0.18</v>
      </c>
      <c r="IN182" s="1083">
        <f>(1309*IK182+1317*IM182)/(1309+1317)</f>
        <v>0.19495430312262</v>
      </c>
      <c r="IO182" s="1084">
        <f>(HZ179*IH182+IA179*II182+IC179*IK182+IE179*IM182)/IG179</f>
        <v>0.21770919553204</v>
      </c>
      <c r="IP182" s="1087">
        <v>0.26</v>
      </c>
      <c r="IQ182" s="1087">
        <v>0.28</v>
      </c>
      <c r="IR182" s="1083">
        <f>((IP182*IH179)+(IQ182*II179))/IJ179</f>
        <v>0.26981765134938</v>
      </c>
      <c r="IS182" s="1087">
        <v>0.15</v>
      </c>
      <c r="IT182" s="1083">
        <f>(IH179*IP182+II179*IQ182+IK179*IS182)/IL179</f>
        <v>0.22856049736968</v>
      </c>
      <c r="IU182" s="1087">
        <v>0.08</v>
      </c>
      <c r="IV182" s="1083">
        <f>(1309*IS182+1317*IU182)/(1309+1317)</f>
        <v>0.11489337395278</v>
      </c>
      <c r="IW182" s="1084">
        <f>(IH179*IP182+II179*IQ182+IK179*IS182+IM179*IU182)/IO179</f>
        <v>0.186165413533835</v>
      </c>
      <c r="IX182" s="1056"/>
      <c r="IY182" s="1082"/>
      <c r="IZ182" s="1104"/>
      <c r="JA182" s="1037" t="s">
        <v>546</v>
      </c>
      <c r="JB182" s="1037"/>
      <c r="JC182" s="1082"/>
      <c r="JD182" s="1041"/>
      <c r="JE182" s="1037"/>
      <c r="JF182" s="1037"/>
      <c r="JG182" s="1037"/>
      <c r="JH182" s="1037"/>
      <c r="JI182" s="1035"/>
      <c r="JJ182" s="1035"/>
      <c r="JK182" s="1082">
        <f t="shared" ref="JK182:JP182" si="1018">(EX179*(1+FF182)*(1+FN182))/EX179-1</f>
        <v>0.25822</v>
      </c>
      <c r="JL182" s="1082">
        <f t="shared" si="1018"/>
        <v>0.179347</v>
      </c>
      <c r="JM182" s="1082">
        <f t="shared" si="1018"/>
        <v>0.218118964468079</v>
      </c>
      <c r="JN182" s="1082">
        <f t="shared" si="1018"/>
        <v>0.390758</v>
      </c>
      <c r="JO182" s="1082">
        <f t="shared" si="1018"/>
        <v>0.278713193190789</v>
      </c>
      <c r="JP182" s="1082">
        <f t="shared" si="1018"/>
        <v>0.366299</v>
      </c>
      <c r="JQ182" s="1082">
        <f>(FF179*(1+FN182)*(1+FV182))/FF179-1</f>
        <v>0.290269</v>
      </c>
      <c r="JR182" s="1082">
        <f>(FG179*(1+FO182)*(1+FW182))/FG179-1</f>
        <v>0.228981</v>
      </c>
      <c r="JS182" s="1082">
        <f>(FI179*(1+FQ182)*(1+FY182))/FI179-1</f>
        <v>0.255272</v>
      </c>
      <c r="JT182" s="1082">
        <f>(FK179*(1+FS182)*(1+GA182))/FK179-1</f>
        <v>0.45299</v>
      </c>
      <c r="KA182" s="1229" t="s">
        <v>547</v>
      </c>
      <c r="KB182" s="1148">
        <v>49</v>
      </c>
      <c r="KC182" s="1148">
        <v>52</v>
      </c>
      <c r="KD182" s="1037">
        <v>62</v>
      </c>
      <c r="KE182" s="1037">
        <v>60</v>
      </c>
      <c r="KF182" s="1037"/>
      <c r="KG182" s="1037">
        <f>SUM(KB182:KE182)</f>
        <v>223</v>
      </c>
      <c r="KP182" s="1117"/>
      <c r="LV182" s="967"/>
    </row>
    <row r="183" spans="1:334">
      <c r="A183" s="967" t="s">
        <v>66</v>
      </c>
      <c r="AX183" s="1059"/>
      <c r="BE183" s="1060"/>
      <c r="BN183" s="1059"/>
      <c r="BU183" s="1060"/>
      <c r="BV183" s="1059"/>
      <c r="CC183" s="1060"/>
      <c r="CD183" s="1059"/>
      <c r="CJ183" s="1061"/>
      <c r="CK183" s="1060"/>
      <c r="CL183" s="1059"/>
      <c r="CS183" s="1060"/>
      <c r="CT183" s="1059"/>
      <c r="CW183" s="1062"/>
      <c r="CX183" s="1062"/>
      <c r="DE183" s="1064"/>
      <c r="DF183" s="1064"/>
      <c r="DM183" s="1064"/>
      <c r="DN183" s="1064"/>
      <c r="DU183" s="1064"/>
      <c r="DV183" s="1064"/>
      <c r="EC183" s="1064"/>
      <c r="ED183" s="1064"/>
      <c r="EK183" s="1064"/>
      <c r="EL183" s="1064"/>
      <c r="ER183" s="1065"/>
      <c r="ET183" s="1065"/>
      <c r="EU183" s="1065"/>
      <c r="EW183" s="1038"/>
      <c r="EX183" s="1181"/>
      <c r="EY183" s="1181"/>
      <c r="EZ183" s="1181"/>
      <c r="FA183" s="1181"/>
      <c r="FB183" s="1181"/>
      <c r="FC183" s="1181"/>
      <c r="FD183" s="1181"/>
      <c r="FE183" s="1182"/>
      <c r="FF183" s="1091">
        <f t="shared" ref="FF183:GK183" si="1019">FF179/FF$216</f>
        <v>0.103600293901543</v>
      </c>
      <c r="FG183" s="1091">
        <f t="shared" si="1019"/>
        <v>0.11671359099053</v>
      </c>
      <c r="FH183" s="1082">
        <f t="shared" si="1019"/>
        <v>0.110012515644556</v>
      </c>
      <c r="FI183" s="1087">
        <f t="shared" si="1019"/>
        <v>0.102795879756149</v>
      </c>
      <c r="FJ183" s="1087">
        <f t="shared" si="1019"/>
        <v>0.107319369263356</v>
      </c>
      <c r="FK183" s="1091">
        <f t="shared" si="1019"/>
        <v>0.0995681381957774</v>
      </c>
      <c r="FL183" s="1082">
        <f t="shared" si="1019"/>
        <v>0.101288515406162</v>
      </c>
      <c r="FM183" s="1085">
        <f t="shared" si="1019"/>
        <v>0.105409399940881</v>
      </c>
      <c r="FN183" s="1230">
        <f t="shared" si="1019"/>
        <v>0.0826169008177815</v>
      </c>
      <c r="FO183" s="1094">
        <f t="shared" si="1019"/>
        <v>0.0856884467555958</v>
      </c>
      <c r="FP183" s="1094">
        <f t="shared" si="1019"/>
        <v>0.084094865100087</v>
      </c>
      <c r="FQ183" s="1230">
        <f t="shared" si="1019"/>
        <v>0.0899852180339985</v>
      </c>
      <c r="FR183" s="1094">
        <f t="shared" si="1019"/>
        <v>0.0862777321281841</v>
      </c>
      <c r="FS183" s="1094">
        <f t="shared" si="1019"/>
        <v>0.100512163892446</v>
      </c>
      <c r="FT183" s="1094">
        <f t="shared" si="1019"/>
        <v>0.0948702713408596</v>
      </c>
      <c r="FU183" s="1094">
        <f t="shared" si="1019"/>
        <v>0.0897356143079316</v>
      </c>
      <c r="FV183" s="1086">
        <f t="shared" si="1019"/>
        <v>0.0833639368343738</v>
      </c>
      <c r="FW183" s="1094">
        <f t="shared" si="1019"/>
        <v>0.0875347360063517</v>
      </c>
      <c r="FX183" s="1094">
        <f t="shared" si="1019"/>
        <v>0.0853681800839374</v>
      </c>
      <c r="FY183" s="1094">
        <f t="shared" si="1019"/>
        <v>0.0884114124691793</v>
      </c>
      <c r="FZ183" s="1094">
        <f t="shared" si="1019"/>
        <v>0.0864373221135998</v>
      </c>
      <c r="GA183" s="1094">
        <f t="shared" si="1019"/>
        <v>0.100870253164557</v>
      </c>
      <c r="GB183" s="1094">
        <f t="shared" si="1019"/>
        <v>0.0942798583938886</v>
      </c>
      <c r="GC183" s="1093">
        <f t="shared" si="1019"/>
        <v>0.0898765199359035</v>
      </c>
      <c r="GD183" s="1087">
        <f t="shared" si="1019"/>
        <v>0.0775054073540014</v>
      </c>
      <c r="GE183" s="1094">
        <f t="shared" si="1019"/>
        <v>0.0790724196920738</v>
      </c>
      <c r="GF183" s="1094">
        <f t="shared" si="1019"/>
        <v>0.0782681099084097</v>
      </c>
      <c r="GG183" s="1230">
        <f t="shared" si="1019"/>
        <v>0.0578920483568874</v>
      </c>
      <c r="GH183" s="1094">
        <f t="shared" si="1019"/>
        <v>0.0710945929744635</v>
      </c>
      <c r="GI183" s="1094">
        <f t="shared" si="1019"/>
        <v>0.0854194534683738</v>
      </c>
      <c r="GJ183" s="1094">
        <f t="shared" si="1019"/>
        <v>0.0708625967945254</v>
      </c>
      <c r="GK183" s="1093">
        <f t="shared" si="1019"/>
        <v>0.0745151722564453</v>
      </c>
      <c r="GL183" s="1087">
        <f t="shared" ref="GL183:HQ183" si="1020">GL179/GL$216</f>
        <v>0.0639129695733469</v>
      </c>
      <c r="GM183" s="1094">
        <f t="shared" si="1020"/>
        <v>0.0731530223271011</v>
      </c>
      <c r="GN183" s="1094">
        <f t="shared" si="1020"/>
        <v>0.0683813202247191</v>
      </c>
      <c r="GO183" s="1230">
        <f t="shared" si="1020"/>
        <v>0.063182527301092</v>
      </c>
      <c r="GP183" s="1094">
        <f t="shared" si="1020"/>
        <v>0.0665093809684305</v>
      </c>
      <c r="GQ183" s="1094">
        <f t="shared" si="1020"/>
        <v>0.0815208083575955</v>
      </c>
      <c r="GR183" s="1094">
        <f t="shared" si="1020"/>
        <v>0.0719242387133643</v>
      </c>
      <c r="GS183" s="1093">
        <f t="shared" si="1020"/>
        <v>0.0702169958969587</v>
      </c>
      <c r="GT183" s="1087">
        <f t="shared" si="1020"/>
        <v>0.071323374710709</v>
      </c>
      <c r="GU183" s="1094">
        <f t="shared" si="1020"/>
        <v>0.0318556147057813</v>
      </c>
      <c r="GV183" s="1094">
        <f t="shared" si="1020"/>
        <v>0.0543710025160691</v>
      </c>
      <c r="GW183" s="1230">
        <f t="shared" si="1020"/>
        <v>0.049569758306141</v>
      </c>
      <c r="GX183" s="1094">
        <f t="shared" si="1020"/>
        <v>0.0523679087440662</v>
      </c>
      <c r="GY183" s="1094">
        <f t="shared" si="1020"/>
        <v>0.0737829330802225</v>
      </c>
      <c r="GZ183" s="1094">
        <f t="shared" si="1020"/>
        <v>0.0612385669549917</v>
      </c>
      <c r="HA183" s="1093">
        <f t="shared" si="1020"/>
        <v>0.0583551703285628</v>
      </c>
      <c r="HB183" s="1087">
        <f t="shared" si="1020"/>
        <v>0.056378132118451</v>
      </c>
      <c r="HC183" s="1094">
        <f t="shared" si="1020"/>
        <v>0.0685444159936971</v>
      </c>
      <c r="HD183" s="1094">
        <f t="shared" si="1020"/>
        <v>0.0623489608506525</v>
      </c>
      <c r="HE183" s="1230">
        <f t="shared" si="1020"/>
        <v>0.0704102920723226</v>
      </c>
      <c r="HF183" s="1094">
        <f t="shared" si="1020"/>
        <v>0.0652295458781139</v>
      </c>
      <c r="HG183" s="1094">
        <f t="shared" si="1020"/>
        <v>0.0772824605801052</v>
      </c>
      <c r="HH183" s="1094">
        <f t="shared" si="1020"/>
        <v>0.0736523096703095</v>
      </c>
      <c r="HI183" s="1093">
        <f t="shared" si="1020"/>
        <v>0.0681454271451446</v>
      </c>
      <c r="HJ183" s="1087">
        <f t="shared" si="1020"/>
        <v>0.0790267823462844</v>
      </c>
      <c r="HK183" s="1094">
        <f t="shared" si="1020"/>
        <v>0.0918349115597643</v>
      </c>
      <c r="HL183" s="1094">
        <f t="shared" si="1020"/>
        <v>0.0856041838700799</v>
      </c>
      <c r="HM183" s="1230">
        <f t="shared" si="1020"/>
        <v>0.0987827715355805</v>
      </c>
      <c r="HN183" s="1094">
        <f t="shared" si="1020"/>
        <v>0.0904836193447738</v>
      </c>
      <c r="HO183" s="1094">
        <f t="shared" si="1020"/>
        <v>0.104534973097617</v>
      </c>
      <c r="HP183" s="1094">
        <f t="shared" si="1020"/>
        <v>0.100349560917384</v>
      </c>
      <c r="HQ183" s="1093">
        <f t="shared" si="1020"/>
        <v>0.0937319532672916</v>
      </c>
      <c r="HR183" s="1087">
        <f t="shared" ref="HR183:IG183" si="1021">HR179/HR$216</f>
        <v>0.11281759575275</v>
      </c>
      <c r="HS183" s="1094">
        <f t="shared" si="1021"/>
        <v>0.120574549868501</v>
      </c>
      <c r="HT183" s="1094">
        <f t="shared" si="1021"/>
        <v>0.116867824551075</v>
      </c>
      <c r="HU183" s="1230">
        <f t="shared" si="1021"/>
        <v>0.109930961232076</v>
      </c>
      <c r="HV183" s="1094">
        <f t="shared" si="1021"/>
        <v>0.11455304083955</v>
      </c>
      <c r="HW183" s="1094">
        <f t="shared" si="1021"/>
        <v>0.0995428096425603</v>
      </c>
      <c r="HX183" s="1094">
        <f t="shared" si="1021"/>
        <v>0.10515247108307</v>
      </c>
      <c r="HY183" s="1093">
        <f t="shared" si="1021"/>
        <v>0.110794080665442</v>
      </c>
      <c r="HZ183" s="1087">
        <f t="shared" si="1021"/>
        <v>0.11586284853052</v>
      </c>
      <c r="IA183" s="1094">
        <f t="shared" si="1021"/>
        <v>0.121065812877979</v>
      </c>
      <c r="IB183" s="1094">
        <f t="shared" si="1021"/>
        <v>0.118539066788655</v>
      </c>
      <c r="IC183" s="1230">
        <f t="shared" si="1021"/>
        <v>0.10846240782302</v>
      </c>
      <c r="ID183" s="1094">
        <f t="shared" si="1021"/>
        <v>0.115065373395566</v>
      </c>
      <c r="IE183" s="1094">
        <f t="shared" si="1021"/>
        <v>0.137288832054561</v>
      </c>
      <c r="IF183" s="1094">
        <f t="shared" si="1021"/>
        <v>0.122350549087606</v>
      </c>
      <c r="IG183" s="1093">
        <f t="shared" si="1021"/>
        <v>0.120584357226588</v>
      </c>
      <c r="IH183" s="1087">
        <f t="shared" ref="IH183:IO183" si="1022">IH179/IH$216</f>
        <v>0.113440598082236</v>
      </c>
      <c r="II183" s="1094">
        <f t="shared" si="1022"/>
        <v>0.11307123655914</v>
      </c>
      <c r="IJ183" s="1094">
        <f t="shared" si="1022"/>
        <v>0.113258983890954</v>
      </c>
      <c r="IK183" s="1230">
        <f t="shared" si="1022"/>
        <v>0.108597285067873</v>
      </c>
      <c r="IL183" s="1094">
        <f t="shared" si="1022"/>
        <v>0.111776340407334</v>
      </c>
      <c r="IM183" s="1094">
        <f t="shared" si="1022"/>
        <v>0.137425938117182</v>
      </c>
      <c r="IN183" s="1094">
        <f t="shared" si="1022"/>
        <v>0.122837506912078</v>
      </c>
      <c r="IO183" s="1093">
        <f t="shared" si="1022"/>
        <v>0.117931562613357</v>
      </c>
      <c r="IP183" s="1087">
        <f t="shared" ref="IP183:IW183" si="1023">IP179/IP$216</f>
        <v>0.126061893203883</v>
      </c>
      <c r="IQ183" s="1094">
        <f t="shared" si="1023"/>
        <v>0.134509862079193</v>
      </c>
      <c r="IR183" s="1094">
        <f t="shared" si="1023"/>
        <v>0.130333708286464</v>
      </c>
      <c r="IS183" s="1230">
        <f t="shared" si="1023"/>
        <v>0.116396630416327</v>
      </c>
      <c r="IT183" s="1094">
        <f t="shared" si="1023"/>
        <v>0.125411072253006</v>
      </c>
      <c r="IU183" s="1094">
        <f t="shared" si="1023"/>
        <v>0.142686219042878</v>
      </c>
      <c r="IV183" s="1094">
        <f t="shared" si="1023"/>
        <v>0.128811579083616</v>
      </c>
      <c r="IW183" s="1093">
        <f t="shared" si="1023"/>
        <v>0.129559658706973</v>
      </c>
      <c r="IX183" s="1049"/>
      <c r="IY183" s="1181"/>
      <c r="IZ183" s="1049"/>
      <c r="JA183" s="1037" t="s">
        <v>548</v>
      </c>
      <c r="JB183" s="1037"/>
      <c r="JC183" s="1037"/>
      <c r="JD183" s="1041"/>
      <c r="JE183" s="1037"/>
      <c r="JF183" s="1037"/>
      <c r="JG183" s="1037"/>
      <c r="JH183" s="1037"/>
      <c r="JI183" s="1035"/>
      <c r="JJ183" s="1035"/>
      <c r="JK183" s="1035"/>
      <c r="JL183" s="1035"/>
      <c r="JM183" s="1035"/>
      <c r="JN183" s="1035"/>
      <c r="JO183" s="1035"/>
      <c r="JP183" s="1035"/>
      <c r="JQ183" s="1082">
        <f>1*(1+FF182)*(1+FN182)*(1+FV182)-1</f>
        <v>0.36768514</v>
      </c>
      <c r="JR183" s="1082">
        <f>1*(1+FG182)*(1+FO182)*(1+FW182)-1</f>
        <v>0.343276233</v>
      </c>
      <c r="JS183" s="1082">
        <f>1*(1+FI182)*(1+FQ182)*(1+FY182)-1</f>
        <v>0.507581672</v>
      </c>
      <c r="JT183" s="1082">
        <f>1*(1+FK182)*(1+FS182)*(1+GA182)-1</f>
        <v>0.62589581</v>
      </c>
      <c r="KA183" s="1229" t="s">
        <v>545</v>
      </c>
      <c r="KB183" s="1094">
        <f>KB182/EX179</f>
        <v>0.131016042780749</v>
      </c>
      <c r="KC183" s="1094">
        <f>KC182/EY179</f>
        <v>0.13</v>
      </c>
      <c r="KD183" s="1094">
        <f>KD182/FA179</f>
        <v>0.145539906103286</v>
      </c>
      <c r="KE183" s="1094">
        <f>KE182/FC179</f>
        <v>0.145631067961165</v>
      </c>
      <c r="KF183" s="1037"/>
      <c r="KG183" s="1094">
        <f>KG182/FE179</f>
        <v>0.13833746898263</v>
      </c>
      <c r="KP183" s="1117"/>
      <c r="LV183" s="967"/>
    </row>
    <row r="184" spans="1:334">
      <c r="A184" s="1231" t="s">
        <v>103</v>
      </c>
      <c r="B184" s="1232"/>
      <c r="C184" s="1232"/>
      <c r="D184" s="1232"/>
      <c r="E184" s="1232"/>
      <c r="F184" s="1232"/>
      <c r="G184" s="1232"/>
      <c r="H184" s="1232"/>
      <c r="I184" s="1232"/>
      <c r="J184" s="1232"/>
      <c r="K184" s="1232"/>
      <c r="L184" s="1232"/>
      <c r="M184" s="1232"/>
      <c r="N184" s="1232"/>
      <c r="O184" s="1232"/>
      <c r="P184" s="1232"/>
      <c r="Q184" s="1232"/>
      <c r="R184" s="1232"/>
      <c r="S184" s="1232"/>
      <c r="T184" s="1232"/>
      <c r="U184" s="1232"/>
      <c r="V184" s="1232"/>
      <c r="W184" s="1232"/>
      <c r="X184" s="1232"/>
      <c r="Y184" s="1232"/>
      <c r="Z184" s="1232"/>
      <c r="AA184" s="1232"/>
      <c r="AB184" s="1232"/>
      <c r="AC184" s="1232"/>
      <c r="AD184" s="1232"/>
      <c r="AE184" s="1232"/>
      <c r="AF184" s="1232"/>
      <c r="AG184" s="1232"/>
      <c r="AH184" s="1232"/>
      <c r="AI184" s="1232"/>
      <c r="AJ184" s="1232"/>
      <c r="AK184" s="1232"/>
      <c r="AL184" s="1232"/>
      <c r="AM184" s="1232"/>
      <c r="AN184" s="1232"/>
      <c r="AO184" s="1232"/>
      <c r="AP184" s="1232"/>
      <c r="AQ184" s="1232"/>
      <c r="AR184" s="1232"/>
      <c r="AS184" s="1232"/>
      <c r="AT184" s="1232"/>
      <c r="AU184" s="1232"/>
      <c r="AV184" s="1232"/>
      <c r="AW184" s="1232"/>
      <c r="AX184" s="1233"/>
      <c r="AY184" s="1232"/>
      <c r="AZ184" s="1232"/>
      <c r="BA184" s="1232"/>
      <c r="BB184" s="1232"/>
      <c r="BC184" s="1232"/>
      <c r="BD184" s="1232"/>
      <c r="BE184" s="1234"/>
      <c r="BF184" s="1232"/>
      <c r="BG184" s="1232"/>
      <c r="BH184" s="1232"/>
      <c r="BI184" s="1232"/>
      <c r="BJ184" s="1232"/>
      <c r="BK184" s="1232"/>
      <c r="BL184" s="1232"/>
      <c r="BM184" s="1232"/>
      <c r="BN184" s="1233"/>
      <c r="BO184" s="1232"/>
      <c r="BP184" s="1232"/>
      <c r="BQ184" s="1232"/>
      <c r="BR184" s="1232"/>
      <c r="BS184" s="1232"/>
      <c r="BT184" s="1232"/>
      <c r="BU184" s="1234"/>
      <c r="BV184" s="1233"/>
      <c r="BW184" s="1232"/>
      <c r="BX184" s="1232"/>
      <c r="BY184" s="1232"/>
      <c r="BZ184" s="1232"/>
      <c r="CA184" s="1232"/>
      <c r="CB184" s="1232"/>
      <c r="CC184" s="1234"/>
      <c r="CD184" s="1233"/>
      <c r="CE184" s="1232"/>
      <c r="CF184" s="1232"/>
      <c r="CG184" s="1232"/>
      <c r="CH184" s="1232"/>
      <c r="CI184" s="1232"/>
      <c r="CJ184" s="1235"/>
      <c r="CK184" s="1234"/>
      <c r="CL184" s="1233"/>
      <c r="CM184" s="1232"/>
      <c r="CN184" s="1232"/>
      <c r="CO184" s="1232"/>
      <c r="CP184" s="1232"/>
      <c r="CQ184" s="1232"/>
      <c r="CR184" s="1232"/>
      <c r="CS184" s="1234"/>
      <c r="CT184" s="1233"/>
      <c r="CU184" s="1232"/>
      <c r="CV184" s="1232"/>
      <c r="CW184" s="1236"/>
      <c r="CX184" s="1236"/>
      <c r="CY184" s="1232"/>
      <c r="CZ184" s="1232"/>
      <c r="DA184" s="1232"/>
      <c r="DB184" s="1237"/>
      <c r="DC184" s="1237"/>
      <c r="DD184" s="1237"/>
      <c r="DE184" s="1238"/>
      <c r="DF184" s="1238"/>
      <c r="DG184" s="1237"/>
      <c r="DH184" s="1237"/>
      <c r="DI184" s="1239"/>
      <c r="DJ184" s="1237"/>
      <c r="DK184" s="1237"/>
      <c r="DL184" s="1237"/>
      <c r="DM184" s="1238"/>
      <c r="DN184" s="1238"/>
      <c r="DO184" s="1237"/>
      <c r="DP184" s="1237"/>
      <c r="DQ184" s="1239"/>
      <c r="DR184" s="1237"/>
      <c r="DS184" s="1237"/>
      <c r="DT184" s="1237"/>
      <c r="DU184" s="1238"/>
      <c r="DV184" s="1238"/>
      <c r="DW184" s="1237"/>
      <c r="DX184" s="1237"/>
      <c r="DY184" s="1239"/>
      <c r="DZ184" s="1237"/>
      <c r="EA184" s="1237"/>
      <c r="EB184" s="1237"/>
      <c r="EC184" s="1238"/>
      <c r="ED184" s="1238"/>
      <c r="EE184" s="1237"/>
      <c r="EF184" s="1237"/>
      <c r="EG184" s="1239"/>
      <c r="EH184" s="1237"/>
      <c r="EI184" s="1237"/>
      <c r="EJ184" s="1237"/>
      <c r="EK184" s="1238"/>
      <c r="EL184" s="1238"/>
      <c r="EM184" s="1237"/>
      <c r="EN184" s="1237"/>
      <c r="EO184" s="1239"/>
      <c r="EP184" s="1237"/>
      <c r="EQ184" s="1237"/>
      <c r="ER184" s="1240"/>
      <c r="ES184" s="1237"/>
      <c r="ET184" s="1240"/>
      <c r="EU184" s="1240"/>
      <c r="EV184" s="1237"/>
      <c r="EW184" s="1239"/>
      <c r="EX184" s="1241">
        <v>414</v>
      </c>
      <c r="EY184" s="1241">
        <v>380</v>
      </c>
      <c r="EZ184" s="1241">
        <f>EX184+EY184</f>
        <v>794</v>
      </c>
      <c r="FA184" s="1241">
        <v>510</v>
      </c>
      <c r="FB184" s="1241">
        <f>EZ184+FA184</f>
        <v>1304</v>
      </c>
      <c r="FC184" s="1241">
        <v>482</v>
      </c>
      <c r="FD184" s="1241">
        <f>FA184+FC184</f>
        <v>992</v>
      </c>
      <c r="FE184" s="1242">
        <f>EX184+EY184+FA184+FC184</f>
        <v>1786</v>
      </c>
      <c r="FF184" s="1243">
        <v>597</v>
      </c>
      <c r="FG184" s="1243">
        <v>564</v>
      </c>
      <c r="FH184" s="1241">
        <f>FF184+FG184</f>
        <v>1161</v>
      </c>
      <c r="FI184" s="1244">
        <v>691</v>
      </c>
      <c r="FJ184" s="1241">
        <f>FH184+FI184</f>
        <v>1852</v>
      </c>
      <c r="FK184" s="1243">
        <v>617</v>
      </c>
      <c r="FL184" s="1241">
        <f>FI184+FK184</f>
        <v>1308</v>
      </c>
      <c r="FM184" s="1242">
        <f>FF184+FG184+FI184+FK184</f>
        <v>2469</v>
      </c>
      <c r="FN184" s="1243">
        <v>762</v>
      </c>
      <c r="FO184" s="1241">
        <v>685</v>
      </c>
      <c r="FP184" s="1241">
        <f>FN184+FO184</f>
        <v>1447</v>
      </c>
      <c r="FQ184" s="1243">
        <v>822</v>
      </c>
      <c r="FR184" s="1241">
        <f>FN184+FO184+FQ184</f>
        <v>2269</v>
      </c>
      <c r="FS184" s="1241">
        <f>FU184-FN184-FO184-FQ184</f>
        <v>741</v>
      </c>
      <c r="FT184" s="1241">
        <f>FQ184+FS184</f>
        <v>1563</v>
      </c>
      <c r="FU184" s="1241">
        <v>3010</v>
      </c>
      <c r="FV184" s="1245">
        <v>990</v>
      </c>
      <c r="FW184" s="1243">
        <v>865</v>
      </c>
      <c r="FX184" s="1241">
        <f>FV184+FW184</f>
        <v>1855</v>
      </c>
      <c r="FY184" s="1243">
        <f>FQ184*(1+FY185)</f>
        <v>1012</v>
      </c>
      <c r="FZ184" s="1241">
        <f>FV184+FW184+FY184</f>
        <v>2867</v>
      </c>
      <c r="GA184" s="1241">
        <f>GC184-FV184-FW184-FY184</f>
        <v>922</v>
      </c>
      <c r="GB184" s="1241">
        <f>FY184+GA184</f>
        <v>1934</v>
      </c>
      <c r="GC184" s="1242">
        <v>3789</v>
      </c>
      <c r="GD184" s="1244">
        <v>1856</v>
      </c>
      <c r="GE184" s="1244">
        <v>1726</v>
      </c>
      <c r="GF184" s="1241">
        <f>GD184+GE184</f>
        <v>3582</v>
      </c>
      <c r="GG184" s="1244">
        <f>1664*(1+GG185)</f>
        <v>1894</v>
      </c>
      <c r="GH184" s="1241">
        <f>GD184+GE184+GG184</f>
        <v>5476</v>
      </c>
      <c r="GI184" s="1244">
        <v>1665</v>
      </c>
      <c r="GJ184" s="1241">
        <f>GG184+GI184</f>
        <v>3559</v>
      </c>
      <c r="GK184" s="1242">
        <f>GJ184+GF184</f>
        <v>7141</v>
      </c>
      <c r="GL184" s="1244">
        <f>GD184*(1+GL185)</f>
        <v>2138</v>
      </c>
      <c r="GM184" s="1244">
        <f>GE184*(1+GM185)</f>
        <v>1872.58</v>
      </c>
      <c r="GN184" s="1241">
        <f>GL184+GM184</f>
        <v>4010.58</v>
      </c>
      <c r="GO184" s="1244">
        <f>GG184*(1+GO185)</f>
        <v>2090</v>
      </c>
      <c r="GP184" s="1241">
        <f>GL184+GM184+GO184</f>
        <v>6100.58</v>
      </c>
      <c r="GQ184" s="1244">
        <f>GI184*(1+GQ185)</f>
        <v>1930</v>
      </c>
      <c r="GR184" s="1241">
        <f>GO184+GQ184</f>
        <v>4020</v>
      </c>
      <c r="GS184" s="1242">
        <f>GR184+GN184</f>
        <v>8030.58</v>
      </c>
      <c r="GT184" s="1244">
        <f>GL184*(1+GT185)</f>
        <v>1184</v>
      </c>
      <c r="GU184" s="1244">
        <f>GM184*(1+GU185)</f>
        <v>1572</v>
      </c>
      <c r="GV184" s="1241">
        <f>GT184+GU184</f>
        <v>2756</v>
      </c>
      <c r="GW184" s="1244">
        <f>GO184*(1+GW185)</f>
        <v>1871.595</v>
      </c>
      <c r="GX184" s="1241">
        <f>GT184+GU184+GW184</f>
        <v>4627.595</v>
      </c>
      <c r="GY184" s="1244">
        <f>GQ184*(1+GY185)</f>
        <v>1918.405</v>
      </c>
      <c r="GZ184" s="1241">
        <f>GW184+GY184</f>
        <v>3790</v>
      </c>
      <c r="HA184" s="1242">
        <f>GZ184+GV184</f>
        <v>6546</v>
      </c>
      <c r="HB184" s="1244">
        <f>559*(1+HB185)</f>
        <v>1402</v>
      </c>
      <c r="HC184" s="1244">
        <f>1199*(1+HC185)</f>
        <v>1003</v>
      </c>
      <c r="HD184" s="1241">
        <f>HB184+HC184</f>
        <v>2405</v>
      </c>
      <c r="HE184" s="1244">
        <f>1297*(1+HE185)</f>
        <v>1155</v>
      </c>
      <c r="HF184" s="1241">
        <f>HB184+HC184+HE184</f>
        <v>3560</v>
      </c>
      <c r="HG184" s="1244">
        <f>1287*(1+HG185)</f>
        <v>1037</v>
      </c>
      <c r="HH184" s="1241">
        <f>HE184+HG184</f>
        <v>2192</v>
      </c>
      <c r="HI184" s="1242">
        <f>HH184+HD184</f>
        <v>4597</v>
      </c>
      <c r="HJ184" s="1244">
        <f>HB184*(1+HJ185)</f>
        <v>1004</v>
      </c>
      <c r="HK184" s="1244">
        <f>HC184*(1+HK185)</f>
        <v>719</v>
      </c>
      <c r="HL184" s="1241">
        <f>HJ184+HK184</f>
        <v>1723</v>
      </c>
      <c r="HM184" s="1244">
        <f>HE184*(1+HM185)</f>
        <v>937</v>
      </c>
      <c r="HN184" s="1241">
        <f>HJ184+HK184+HM184</f>
        <v>2660</v>
      </c>
      <c r="HO184" s="1244">
        <f>HG184*(1+HO185)</f>
        <v>519.000000000001</v>
      </c>
      <c r="HP184" s="1241">
        <f>HM184+HO184</f>
        <v>1456</v>
      </c>
      <c r="HQ184" s="1242">
        <f>HP184+HL184</f>
        <v>3179</v>
      </c>
      <c r="HR184" s="1244">
        <f>HJ184*(1+HR185)</f>
        <v>884</v>
      </c>
      <c r="HS184" s="1244">
        <v>686</v>
      </c>
      <c r="HT184" s="1241">
        <f>HR184+HS184</f>
        <v>1570</v>
      </c>
      <c r="HU184" s="1244">
        <v>800</v>
      </c>
      <c r="HV184" s="1241">
        <f>HR184+HS184+HU184</f>
        <v>2370</v>
      </c>
      <c r="HW184" s="1244">
        <f>HO184*(1+HW185)</f>
        <v>670</v>
      </c>
      <c r="HX184" s="1241">
        <f>HU184+HW184</f>
        <v>1470</v>
      </c>
      <c r="HY184" s="1242">
        <f>HX184+HT184</f>
        <v>3040</v>
      </c>
      <c r="HZ184" s="1244">
        <f>HR184*(1+HZ185)</f>
        <v>867</v>
      </c>
      <c r="IA184" s="1244">
        <f>HS184*(1+IA185)</f>
        <v>734.706</v>
      </c>
      <c r="IB184" s="1241">
        <f>HZ184+IA184</f>
        <v>1601.706</v>
      </c>
      <c r="IC184" s="1244">
        <f>HU184*(1+IC185)</f>
        <v>862.4</v>
      </c>
      <c r="ID184" s="1241">
        <f>HZ184+IA184+IC184</f>
        <v>2464.106</v>
      </c>
      <c r="IE184" s="1244">
        <f>HW184*(1+IE185)</f>
        <v>792.61</v>
      </c>
      <c r="IF184" s="1241">
        <f>IC184+IE184</f>
        <v>1655.01</v>
      </c>
      <c r="IG184" s="1242">
        <f>IF184+IB184</f>
        <v>3256.716</v>
      </c>
      <c r="IH184" s="1244">
        <f>HZ184*(1+IH185)</f>
        <v>1029</v>
      </c>
      <c r="II184" s="1244">
        <f>IA184*(1+II185)</f>
        <v>798</v>
      </c>
      <c r="IJ184" s="1241">
        <f>IH184+II184</f>
        <v>1827</v>
      </c>
      <c r="IK184" s="1244">
        <f>IC184*(1+IK185)</f>
        <v>947</v>
      </c>
      <c r="IL184" s="1241">
        <f>IH184+II184+IK184</f>
        <v>2774</v>
      </c>
      <c r="IM184" s="1244">
        <f>IE184*(1+IM185)</f>
        <v>848</v>
      </c>
      <c r="IN184" s="1241">
        <f>IK184+IM184</f>
        <v>1795</v>
      </c>
      <c r="IO184" s="1242">
        <f>IN184+IJ184</f>
        <v>3622</v>
      </c>
      <c r="IP184" s="1244">
        <f>IH184*(1+IP185)</f>
        <v>1135</v>
      </c>
      <c r="IQ184" s="1244">
        <f>II184*(1+IQ185)</f>
        <v>953</v>
      </c>
      <c r="IR184" s="1241">
        <f>IP184+IQ184</f>
        <v>2088</v>
      </c>
      <c r="IS184" s="1244">
        <f>IK184*(1+IS185)</f>
        <v>1112.45612671847</v>
      </c>
      <c r="IT184" s="1241">
        <f>IP184+IQ184+IS184</f>
        <v>3200.45612671847</v>
      </c>
      <c r="IU184" s="1244">
        <f>IM184*(1+IU185)</f>
        <v>968.551014176663</v>
      </c>
      <c r="IV184" s="1241">
        <f>IS184+IU184</f>
        <v>2081.00714089513</v>
      </c>
      <c r="IW184" s="1242">
        <f>IV184+IR184</f>
        <v>4169.00714089513</v>
      </c>
      <c r="IX184" s="1049"/>
      <c r="IY184" s="1071"/>
      <c r="IZ184" s="1049"/>
      <c r="JA184" s="1037"/>
      <c r="JB184" s="1037"/>
      <c r="JC184" s="1037"/>
      <c r="JD184" s="1041"/>
      <c r="JE184" s="1037"/>
      <c r="JF184" s="1037"/>
      <c r="JG184" s="1037"/>
      <c r="JH184" s="1037"/>
      <c r="JI184" s="1035"/>
      <c r="JJ184" s="1035"/>
      <c r="JK184" s="1035"/>
      <c r="JL184" s="1035"/>
      <c r="JM184" s="1035"/>
      <c r="JN184" s="1035"/>
      <c r="JO184" s="1035"/>
      <c r="JP184" s="1035"/>
      <c r="JQ184" s="1035"/>
      <c r="JR184" s="1035"/>
      <c r="JS184" s="1035"/>
      <c r="JT184" s="1035"/>
      <c r="KA184" s="1229"/>
      <c r="KB184" s="1148"/>
      <c r="KC184" s="1148"/>
      <c r="KD184" s="1037"/>
      <c r="KE184" s="1037"/>
      <c r="KF184" s="1037"/>
      <c r="KG184" s="1037"/>
      <c r="KP184" s="1117"/>
      <c r="LV184" s="967"/>
    </row>
    <row r="185" spans="1:334">
      <c r="A185" s="967" t="s">
        <v>61</v>
      </c>
      <c r="AX185" s="1059"/>
      <c r="BE185" s="1060"/>
      <c r="BN185" s="1059"/>
      <c r="BU185" s="1060"/>
      <c r="BV185" s="1059"/>
      <c r="CC185" s="1060"/>
      <c r="CD185" s="1059"/>
      <c r="CJ185" s="1061"/>
      <c r="CK185" s="1060"/>
      <c r="CL185" s="1059"/>
      <c r="CS185" s="1060"/>
      <c r="CT185" s="1059"/>
      <c r="CW185" s="1062"/>
      <c r="CX185" s="1062"/>
      <c r="DE185" s="1064"/>
      <c r="DF185" s="1064"/>
      <c r="DM185" s="1064"/>
      <c r="DN185" s="1064"/>
      <c r="DU185" s="1064"/>
      <c r="DV185" s="1064"/>
      <c r="EC185" s="1064"/>
      <c r="ED185" s="1064"/>
      <c r="EK185" s="1064"/>
      <c r="EL185" s="1064"/>
      <c r="ER185" s="1065"/>
      <c r="ET185" s="1065"/>
      <c r="EU185" s="1065"/>
      <c r="EW185" s="1038"/>
      <c r="EX185" s="1082"/>
      <c r="EY185" s="1082"/>
      <c r="EZ185" s="1082"/>
      <c r="FA185" s="1082"/>
      <c r="FB185" s="1082"/>
      <c r="FC185" s="1082"/>
      <c r="FD185" s="1082"/>
      <c r="FE185" s="1085"/>
      <c r="FF185" s="1091">
        <f t="shared" ref="FF185:FM185" si="1024">FF184/EX184-1</f>
        <v>0.442028985507246</v>
      </c>
      <c r="FG185" s="1091">
        <f t="shared" si="1024"/>
        <v>0.484210526315789</v>
      </c>
      <c r="FH185" s="1082">
        <f t="shared" si="1024"/>
        <v>0.462216624685138</v>
      </c>
      <c r="FI185" s="1087">
        <f t="shared" si="1024"/>
        <v>0.354901960784314</v>
      </c>
      <c r="FJ185" s="1087">
        <f t="shared" si="1024"/>
        <v>0.420245398773006</v>
      </c>
      <c r="FK185" s="1091">
        <f t="shared" si="1024"/>
        <v>0.280082987551867</v>
      </c>
      <c r="FL185" s="1082">
        <f t="shared" si="1024"/>
        <v>0.318548387096774</v>
      </c>
      <c r="FM185" s="1085">
        <f t="shared" si="1024"/>
        <v>0.382418812989922</v>
      </c>
      <c r="FN185" s="1091">
        <f t="shared" ref="FN185:FX185" si="1025">FN184/FF184-1</f>
        <v>0.276381909547739</v>
      </c>
      <c r="FO185" s="1082">
        <f t="shared" si="1025"/>
        <v>0.214539007092199</v>
      </c>
      <c r="FP185" s="1082">
        <f t="shared" si="1025"/>
        <v>0.246339362618432</v>
      </c>
      <c r="FQ185" s="1091">
        <f t="shared" si="1025"/>
        <v>0.189580318379161</v>
      </c>
      <c r="FR185" s="1082">
        <f t="shared" si="1025"/>
        <v>0.225161987041037</v>
      </c>
      <c r="FS185" s="1082">
        <f t="shared" si="1025"/>
        <v>0.20097244732577</v>
      </c>
      <c r="FT185" s="1082">
        <f t="shared" si="1025"/>
        <v>0.194954128440367</v>
      </c>
      <c r="FU185" s="1082">
        <f t="shared" si="1025"/>
        <v>0.219117051437829</v>
      </c>
      <c r="FV185" s="1086">
        <f t="shared" si="1025"/>
        <v>0.299212598425197</v>
      </c>
      <c r="FW185" s="1082">
        <f t="shared" si="1025"/>
        <v>0.262773722627737</v>
      </c>
      <c r="FX185" s="1082">
        <f t="shared" si="1025"/>
        <v>0.281962681409814</v>
      </c>
      <c r="FY185" s="1082">
        <f>FY186+FY187</f>
        <v>0.231143552311436</v>
      </c>
      <c r="FZ185" s="1082">
        <f>FZ184/FR184-1</f>
        <v>0.263552225650066</v>
      </c>
      <c r="GA185" s="1082">
        <f t="shared" ref="GA185" si="1026">GA184/FS184-1</f>
        <v>0.244264507422402</v>
      </c>
      <c r="GB185" s="1082">
        <f t="shared" ref="GB185" si="1027">GB184/FT184-1</f>
        <v>0.237364043506078</v>
      </c>
      <c r="GC185" s="1085">
        <f t="shared" ref="GC185" si="1028">GC184/FU184-1</f>
        <v>0.258803986710963</v>
      </c>
      <c r="GD185" s="1087">
        <f>GD186+GD187</f>
        <v>0.06</v>
      </c>
      <c r="GE185" s="1082">
        <v>0.154</v>
      </c>
      <c r="GF185" s="1082">
        <f>GF184/(1744+1495)-1</f>
        <v>0.105896881753628</v>
      </c>
      <c r="GG185" s="1087">
        <f>GG186+GG187</f>
        <v>0.138221153846155</v>
      </c>
      <c r="GH185" s="1082">
        <f>GH184/(1744+1495+1664)-1</f>
        <v>0.116867224148481</v>
      </c>
      <c r="GI185" s="1082">
        <v>0.11</v>
      </c>
      <c r="GJ185" s="1082">
        <f>GJ184/(1664+1500)-1</f>
        <v>0.124841972187106</v>
      </c>
      <c r="GK185" s="1085">
        <f>GK184/(1744+1495+1664+1500)-1</f>
        <v>0.115258472590973</v>
      </c>
      <c r="GL185" s="1087">
        <f>GL186+GL187</f>
        <v>0.151939655172415</v>
      </c>
      <c r="GM185" s="1087">
        <f>GM186+GM187</f>
        <v>0.0849246813441479</v>
      </c>
      <c r="GN185" s="1082">
        <f>GN184/GF184-1</f>
        <v>0.119648241206031</v>
      </c>
      <c r="GO185" s="1087">
        <f>GO186+GO187</f>
        <v>0.103484688489967</v>
      </c>
      <c r="GP185" s="1082">
        <f>GP184/GH184-1</f>
        <v>0.114057706355003</v>
      </c>
      <c r="GQ185" s="1087">
        <f>GQ186+GQ187</f>
        <v>0.159159159159159</v>
      </c>
      <c r="GR185" s="1082">
        <f>GR184/GJ184-1</f>
        <v>0.129530767069401</v>
      </c>
      <c r="GS185" s="1085">
        <f>GS184/GK184-1</f>
        <v>0.124573589133175</v>
      </c>
      <c r="GT185" s="1087">
        <f>GT186+GT187</f>
        <v>-0.44621141253508</v>
      </c>
      <c r="GU185" s="1087">
        <f>GU186+GU187</f>
        <v>-0.1605165066379</v>
      </c>
      <c r="GV185" s="1082">
        <f>GV184/GN184-1</f>
        <v>-0.312817597454733</v>
      </c>
      <c r="GW185" s="1087">
        <f>GW186+GW187</f>
        <v>-0.1045</v>
      </c>
      <c r="GX185" s="1082">
        <f>GX184/GP184-1</f>
        <v>-0.241449993279328</v>
      </c>
      <c r="GY185" s="1087">
        <f>GY186+GY187</f>
        <v>-0.0060077720207255</v>
      </c>
      <c r="GZ185" s="1082">
        <f>GZ184/GR184-1</f>
        <v>-0.0572139303482588</v>
      </c>
      <c r="HA185" s="1085">
        <f>HA184/GS184-1</f>
        <v>-0.184865850287277</v>
      </c>
      <c r="HB185" s="1087">
        <f>HB186+HB187</f>
        <v>1.50805008944544</v>
      </c>
      <c r="HC185" s="1087">
        <f>HC186+HC187</f>
        <v>-0.163469557964971</v>
      </c>
      <c r="HD185" s="1082">
        <f>HD184/(559+1199)-1</f>
        <v>0.368031854379977</v>
      </c>
      <c r="HE185" s="1087">
        <f>HE186+HE187</f>
        <v>-0.109483423284503</v>
      </c>
      <c r="HF185" s="1082">
        <f>HF184/GX184-1</f>
        <v>-0.230701908874912</v>
      </c>
      <c r="HG185" s="1087">
        <f>HG186+HG187</f>
        <v>-0.194250194250194</v>
      </c>
      <c r="HH185" s="1082">
        <f>HH184/(1297+1287)-1</f>
        <v>-0.151702786377709</v>
      </c>
      <c r="HI185" s="1085">
        <f>HI184/4342-1</f>
        <v>0.0587286964532474</v>
      </c>
      <c r="HJ185" s="1087">
        <f>HJ186+HJ187</f>
        <v>-0.283880171184023</v>
      </c>
      <c r="HK185" s="1087">
        <f>HK186+HK187</f>
        <v>-0.283150548354935</v>
      </c>
      <c r="HL185" s="1082">
        <f>HL184/HD184-1</f>
        <v>-0.283575883575884</v>
      </c>
      <c r="HM185" s="1087">
        <f>HM186+HM187</f>
        <v>-0.188744588744589</v>
      </c>
      <c r="HN185" s="1082">
        <f>HN184/HF184-1</f>
        <v>-0.252808988764045</v>
      </c>
      <c r="HO185" s="1087">
        <f>HO186+HO187</f>
        <v>-0.499517839922853</v>
      </c>
      <c r="HP185" s="1082">
        <f>HP184/HH184-1</f>
        <v>-0.335766423357664</v>
      </c>
      <c r="HQ185" s="1085">
        <f>HQ184/HI184-1</f>
        <v>-0.30846204046117</v>
      </c>
      <c r="HR185" s="1087">
        <v>-0.119521912350598</v>
      </c>
      <c r="HS185" s="1087">
        <v>-0.0292072322670376</v>
      </c>
      <c r="HT185" s="1082">
        <v>-0.081834010446895</v>
      </c>
      <c r="HU185" s="1087">
        <v>-0.123799359658485</v>
      </c>
      <c r="HV185" s="1082">
        <v>-0.0966165413533835</v>
      </c>
      <c r="HW185" s="1087">
        <v>0.290944123314063</v>
      </c>
      <c r="HX185" s="1082">
        <v>0.024038461538461</v>
      </c>
      <c r="HY185" s="1085">
        <v>-0.0333438188109472</v>
      </c>
      <c r="HZ185" s="1087">
        <f>HZ186+HZ187</f>
        <v>-0.019230769230769</v>
      </c>
      <c r="IA185" s="1087">
        <f>IA186+IA187</f>
        <v>0.071</v>
      </c>
      <c r="IB185" s="1082">
        <f>IB184/HT184-1</f>
        <v>0.0201949044585987</v>
      </c>
      <c r="IC185" s="1087">
        <f>IC186+IC187</f>
        <v>0.078</v>
      </c>
      <c r="ID185" s="1082">
        <f>ID184/HV184-1</f>
        <v>0.0397071729957807</v>
      </c>
      <c r="IE185" s="1087">
        <f>IE186+IE187</f>
        <v>0.183</v>
      </c>
      <c r="IF185" s="1082">
        <f>IF184/HX184-1</f>
        <v>0.125857142857143</v>
      </c>
      <c r="IG185" s="1085">
        <f>IG184/HY184-1</f>
        <v>0.0712881578947369</v>
      </c>
      <c r="IH185" s="1087">
        <f>IH186+IH187</f>
        <v>0.186851211072664</v>
      </c>
      <c r="II185" s="1087">
        <f>II186+II187</f>
        <v>0.0861487452123704</v>
      </c>
      <c r="IJ185" s="1082">
        <f>IJ184/IB184-1</f>
        <v>0.140658772583732</v>
      </c>
      <c r="IK185" s="1087">
        <f>IK186+IK187</f>
        <v>0.0980983302411872</v>
      </c>
      <c r="IL185" s="1082">
        <f>IL184/ID184-1</f>
        <v>0.125763258561117</v>
      </c>
      <c r="IM185" s="1087">
        <f>IM186+IM187</f>
        <v>0.069883044624721</v>
      </c>
      <c r="IN185" s="1082">
        <f>IN184/IF184-1</f>
        <v>0.0845855916278451</v>
      </c>
      <c r="IO185" s="1085">
        <f>IO184/IG184-1</f>
        <v>0.112163295786307</v>
      </c>
      <c r="IP185" s="1087">
        <f>IP186+IP187</f>
        <v>0.10301263362488</v>
      </c>
      <c r="IQ185" s="1087">
        <f>IQ186+IQ187</f>
        <v>0.194235588972431</v>
      </c>
      <c r="IR185" s="1082">
        <f>IR184/IJ184-1</f>
        <v>0.142857142857144</v>
      </c>
      <c r="IS185" s="1087">
        <f>IS186+IS187</f>
        <v>0.174716078900179</v>
      </c>
      <c r="IT185" s="1082">
        <f>IT184/IL184-1</f>
        <v>0.153733282883371</v>
      </c>
      <c r="IU185" s="1087">
        <f>IU186+IU187</f>
        <v>0.142159214830971</v>
      </c>
      <c r="IV185" s="1082">
        <f>IV184/IN184-1</f>
        <v>0.159335454537679</v>
      </c>
      <c r="IW185" s="1085">
        <f>IW184/IO184-1</f>
        <v>0.151023506597221</v>
      </c>
      <c r="IX185" s="1049"/>
      <c r="IY185" s="1082"/>
      <c r="IZ185" s="1049"/>
      <c r="JA185" s="1037"/>
      <c r="JB185" s="1037"/>
      <c r="JC185" s="1037"/>
      <c r="JD185" s="1041"/>
      <c r="JE185" s="1037"/>
      <c r="JF185" s="1037"/>
      <c r="JG185" s="1037"/>
      <c r="JH185" s="1037"/>
      <c r="JI185" s="1035"/>
      <c r="JJ185" s="1035"/>
      <c r="JK185" s="1035"/>
      <c r="JL185" s="1035"/>
      <c r="JM185" s="1035"/>
      <c r="JN185" s="1035"/>
      <c r="JO185" s="1035"/>
      <c r="JP185" s="1035"/>
      <c r="JQ185" s="1035"/>
      <c r="JR185" s="1035"/>
      <c r="JS185" s="1035"/>
      <c r="JT185" s="1035"/>
      <c r="KA185" s="1229" t="s">
        <v>544</v>
      </c>
      <c r="KB185" s="1148">
        <v>407</v>
      </c>
      <c r="KC185" s="1148">
        <v>374</v>
      </c>
      <c r="KD185" s="1037">
        <v>504</v>
      </c>
      <c r="KE185" s="1037">
        <v>475</v>
      </c>
      <c r="KF185" s="1037"/>
      <c r="KG185" s="1037">
        <f>SUM(KB185:KE185)</f>
        <v>1760</v>
      </c>
      <c r="KP185" s="1117"/>
      <c r="LV185" s="967"/>
    </row>
    <row r="186" spans="1:334">
      <c r="A186" s="967" t="s">
        <v>99</v>
      </c>
      <c r="AX186" s="1059"/>
      <c r="BE186" s="1060"/>
      <c r="BN186" s="1059"/>
      <c r="BU186" s="1060"/>
      <c r="BV186" s="1059"/>
      <c r="CC186" s="1060"/>
      <c r="CD186" s="1059"/>
      <c r="CJ186" s="1061"/>
      <c r="CK186" s="1060"/>
      <c r="CL186" s="1059"/>
      <c r="CS186" s="1060"/>
      <c r="CT186" s="1059"/>
      <c r="CW186" s="1062"/>
      <c r="CX186" s="1062"/>
      <c r="DE186" s="1064"/>
      <c r="DF186" s="1064"/>
      <c r="DM186" s="1064"/>
      <c r="DN186" s="1064"/>
      <c r="DU186" s="1064"/>
      <c r="DV186" s="1064"/>
      <c r="EC186" s="1064"/>
      <c r="ED186" s="1064"/>
      <c r="EK186" s="1064"/>
      <c r="EL186" s="1064"/>
      <c r="ER186" s="1065"/>
      <c r="ET186" s="1065"/>
      <c r="EU186" s="1065"/>
      <c r="EW186" s="1038"/>
      <c r="EX186" s="1082"/>
      <c r="EY186" s="1082"/>
      <c r="EZ186" s="1082"/>
      <c r="FA186" s="1082"/>
      <c r="FB186" s="1082"/>
      <c r="FC186" s="1082"/>
      <c r="FD186" s="1082"/>
      <c r="FE186" s="1085"/>
      <c r="FF186" s="1091">
        <f t="shared" ref="FF186:FM186" si="1029">FF185-FF187</f>
        <v>0.228028985507246</v>
      </c>
      <c r="FG186" s="1091">
        <f t="shared" si="1029"/>
        <v>0.291210526315789</v>
      </c>
      <c r="FH186" s="1082">
        <f t="shared" si="1029"/>
        <v>0.258267002518892</v>
      </c>
      <c r="FI186" s="1087">
        <f t="shared" si="1029"/>
        <v>0.203901960784314</v>
      </c>
      <c r="FJ186" s="1087">
        <f t="shared" si="1029"/>
        <v>0.237004601226994</v>
      </c>
      <c r="FK186" s="1091">
        <f t="shared" si="1029"/>
        <v>0.124082987551867</v>
      </c>
      <c r="FL186" s="1082">
        <f t="shared" si="1029"/>
        <v>0.165118951612903</v>
      </c>
      <c r="FM186" s="1085">
        <f t="shared" si="1029"/>
        <v>0.20652967525196</v>
      </c>
      <c r="FN186" s="1091">
        <f t="shared" ref="FN186:FX186" si="1030">FN185-FN187</f>
        <v>-0.0256180904522613</v>
      </c>
      <c r="FO186" s="1082">
        <f t="shared" si="1030"/>
        <v>-0.0864609929078013</v>
      </c>
      <c r="FP186" s="1082">
        <f t="shared" si="1030"/>
        <v>-0.0551748492678724</v>
      </c>
      <c r="FQ186" s="1091">
        <f t="shared" si="1030"/>
        <v>-0.0634196816208393</v>
      </c>
      <c r="FR186" s="1082">
        <f t="shared" si="1030"/>
        <v>-0.058251079913607</v>
      </c>
      <c r="FS186" s="1082">
        <f t="shared" si="1030"/>
        <v>-0.0490275526742301</v>
      </c>
      <c r="FT186" s="1082">
        <f t="shared" si="1030"/>
        <v>-0.056630733944954</v>
      </c>
      <c r="FU186" s="1082">
        <f t="shared" si="1030"/>
        <v>-0.055946132037262</v>
      </c>
      <c r="FV186" s="1086">
        <f t="shared" si="1030"/>
        <v>-0.00378740157480323</v>
      </c>
      <c r="FW186" s="1082">
        <f t="shared" si="1030"/>
        <v>-0.0142262773722629</v>
      </c>
      <c r="FX186" s="1082">
        <f t="shared" si="1030"/>
        <v>-0.00872909467864535</v>
      </c>
      <c r="FY186" s="1082">
        <v>-0.0518564476885644</v>
      </c>
      <c r="FZ186" s="1082">
        <f>FZ185-FZ187</f>
        <v>-0.0243530189510797</v>
      </c>
      <c r="GA186" s="1082">
        <f t="shared" ref="GA186:GC186" si="1031">GA185-GA187</f>
        <v>0.00426450742240214</v>
      </c>
      <c r="GB186" s="1082">
        <f t="shared" si="1031"/>
        <v>-0.0252501599488165</v>
      </c>
      <c r="GC186" s="1085">
        <f t="shared" si="1031"/>
        <v>-0.0173079734219269</v>
      </c>
      <c r="GD186" s="1087">
        <v>-0.09</v>
      </c>
      <c r="GE186" s="1087">
        <f>GE185-GE187</f>
        <v>-0.034</v>
      </c>
      <c r="GF186" s="1082">
        <f>GF185-GF187</f>
        <v>-0.0618227947962376</v>
      </c>
      <c r="GG186" s="1087">
        <v>-0.022</v>
      </c>
      <c r="GH186" s="1082">
        <f>GH185-GH187</f>
        <v>-0.0482056072754146</v>
      </c>
      <c r="GI186" s="1087">
        <v>0</v>
      </c>
      <c r="GJ186" s="1082">
        <f t="shared" ref="GJ186:GK186" si="1032">GJ185-GJ187</f>
        <v>-0.0114371424418028</v>
      </c>
      <c r="GK186" s="1085">
        <f t="shared" si="1032"/>
        <v>-0.0364131578371895</v>
      </c>
      <c r="GL186" s="1087">
        <v>0.0319396551724152</v>
      </c>
      <c r="GM186" s="1087">
        <v>0.00692468134414787</v>
      </c>
      <c r="GN186" s="1082">
        <f>GN185-GN187</f>
        <v>0.0198860971524294</v>
      </c>
      <c r="GO186" s="1087">
        <v>0.0264846884899671</v>
      </c>
      <c r="GP186" s="1082">
        <f>GP185-GP187</f>
        <v>0.0221683710737763</v>
      </c>
      <c r="GQ186" s="1087">
        <v>0.03</v>
      </c>
      <c r="GR186" s="1082">
        <f t="shared" ref="GR186:GS186" si="1033">GR185-GR187</f>
        <v>0.0281292497892659</v>
      </c>
      <c r="GS186" s="1085">
        <f t="shared" si="1033"/>
        <v>0.0239943985436212</v>
      </c>
      <c r="GT186" s="1087">
        <v>0.002</v>
      </c>
      <c r="GU186" s="1087">
        <v>-0.00451650663790014</v>
      </c>
      <c r="GV186" s="1082">
        <f>GV185-GV187</f>
        <v>-0.00104262226411123</v>
      </c>
      <c r="GW186" s="1087">
        <v>-0.0345</v>
      </c>
      <c r="GX186" s="1082">
        <f>GX185-GX187</f>
        <v>-0.0125047979044613</v>
      </c>
      <c r="GY186" s="1087">
        <v>-0.0145652953367882</v>
      </c>
      <c r="GZ186" s="1082">
        <f t="shared" ref="GZ186:HA186" si="1034">GZ185-GZ187</f>
        <v>-0.0249293582089556</v>
      </c>
      <c r="HA186" s="1085">
        <f t="shared" si="1034"/>
        <v>-0.0130000000000002</v>
      </c>
      <c r="HB186" s="1087">
        <v>-0.0509499105545604</v>
      </c>
      <c r="HC186" s="1087">
        <v>-0.004</v>
      </c>
      <c r="HD186" s="1082">
        <f>HD185-HD187</f>
        <v>-0.0189288964732648</v>
      </c>
      <c r="HE186" s="1087">
        <v>0.035</v>
      </c>
      <c r="HF186" s="1082">
        <f>HF185-HF187</f>
        <v>-0.516974887015157</v>
      </c>
      <c r="HG186" s="1087">
        <v>0.0487498057498057</v>
      </c>
      <c r="HH186" s="1082">
        <f t="shared" ref="HH186:HI186" si="1035">HH185-HH187</f>
        <v>0.0418482972136222</v>
      </c>
      <c r="HI186" s="1085">
        <f t="shared" si="1035"/>
        <v>0.0172406725011516</v>
      </c>
      <c r="HJ186" s="1087">
        <v>0.062</v>
      </c>
      <c r="HK186" s="1087">
        <v>0.067849451645065</v>
      </c>
      <c r="HL186" s="1082">
        <f>HL185-HL187</f>
        <v>0.0657961390019712</v>
      </c>
      <c r="HM186" s="1087">
        <v>0.0772554112554111</v>
      </c>
      <c r="HN186" s="1082">
        <f>HN185-HN187</f>
        <v>0.0685974719101123</v>
      </c>
      <c r="HO186" s="1087">
        <v>-0.00251783992285341</v>
      </c>
      <c r="HP186" s="1082">
        <f t="shared" ref="HP186:HQ186" si="1036">HP185-HP187</f>
        <v>0.0452865952181876</v>
      </c>
      <c r="HQ186" s="1085">
        <f t="shared" si="1036"/>
        <v>0.052555144659561</v>
      </c>
      <c r="HR186" s="1087">
        <v>-0.0255219123505977</v>
      </c>
      <c r="HS186" s="1087">
        <v>-0.099</v>
      </c>
      <c r="HT186" s="1082">
        <v>-0.0561839814277423</v>
      </c>
      <c r="HU186" s="1087">
        <v>-0.143478260869565</v>
      </c>
      <c r="HV186" s="1082">
        <v>-0.0869338836220987</v>
      </c>
      <c r="HW186" s="1087">
        <v>-0.078</v>
      </c>
      <c r="HX186" s="1091">
        <v>-0.102804048163888</v>
      </c>
      <c r="HY186" s="1085">
        <v>-0.08547534773035</v>
      </c>
      <c r="HZ186" s="1087">
        <v>-0.063</v>
      </c>
      <c r="IA186" s="1087">
        <v>-0.019</v>
      </c>
      <c r="IB186" s="1082">
        <f t="shared" ref="IB186" si="1037">IB185-IB187</f>
        <v>-0.0437745222929938</v>
      </c>
      <c r="IC186" s="1087">
        <v>-0.002</v>
      </c>
      <c r="ID186" s="1082">
        <f t="shared" ref="ID186" si="1038">ID185-ID187</f>
        <v>-0.0296734177215189</v>
      </c>
      <c r="IE186" s="1087">
        <v>0.023</v>
      </c>
      <c r="IF186" s="1082">
        <f t="shared" ref="IF186:IG186" si="1039">IF185-IF187</f>
        <v>0.00601194161875301</v>
      </c>
      <c r="IG186" s="1085">
        <f t="shared" si="1039"/>
        <v>-0.0180644736842106</v>
      </c>
      <c r="IH186" s="1087">
        <v>0.02</v>
      </c>
      <c r="II186" s="1087">
        <v>-0.0238512547876296</v>
      </c>
      <c r="IJ186" s="1082">
        <f t="shared" ref="IJ186" si="1040">IJ185-IJ187</f>
        <v>-0.000114665238189843</v>
      </c>
      <c r="IK186" s="1087">
        <v>-0.00190166975881286</v>
      </c>
      <c r="IL186" s="1082">
        <f t="shared" ref="IL186" si="1041">IL185-IL187</f>
        <v>-0.000740089914963105</v>
      </c>
      <c r="IM186" s="1087">
        <v>-0.080116955375279</v>
      </c>
      <c r="IN186" s="1082">
        <f t="shared" ref="IN186:IO186" si="1042">IN185-IN187</f>
        <v>-0.0403176591461487</v>
      </c>
      <c r="IO186" s="1085">
        <f t="shared" si="1042"/>
        <v>-0.0200585989076114</v>
      </c>
      <c r="IP186" s="1087">
        <v>-0.0669873663751205</v>
      </c>
      <c r="IQ186" s="1087">
        <v>0.0442355889724314</v>
      </c>
      <c r="IR186" s="1082">
        <f t="shared" ref="IR186" si="1043">IR185-IR187</f>
        <v>-0.0184072249589483</v>
      </c>
      <c r="IS186" s="1087">
        <f>IS489</f>
        <v>0.0747160789001793</v>
      </c>
      <c r="IT186" s="1082">
        <f t="shared" ref="IT186" si="1044">IT185-IT187</f>
        <v>0.0133836073246109</v>
      </c>
      <c r="IU186" s="1087">
        <f>IU489</f>
        <v>0.0621592148309705</v>
      </c>
      <c r="IV186" s="1082">
        <f t="shared" ref="IV186" si="1045">IV185-IV187</f>
        <v>0.0692967548472761</v>
      </c>
      <c r="IW186" s="1087">
        <f>IW489</f>
        <v>0.0340188902972564</v>
      </c>
      <c r="IX186" s="1118"/>
      <c r="IY186" s="1082"/>
      <c r="IZ186" s="1104"/>
      <c r="JA186" s="1037"/>
      <c r="JB186" s="1037"/>
      <c r="JC186" s="1037"/>
      <c r="JD186" s="1041"/>
      <c r="JE186" s="1037"/>
      <c r="JF186" s="1037"/>
      <c r="JG186" s="1037"/>
      <c r="JH186" s="1037"/>
      <c r="JI186" s="1035"/>
      <c r="JJ186" s="1035"/>
      <c r="JK186" s="1035"/>
      <c r="JL186" s="1035"/>
      <c r="JM186" s="1035"/>
      <c r="JN186" s="1035"/>
      <c r="JO186" s="1035"/>
      <c r="JP186" s="1035"/>
      <c r="JQ186" s="1035"/>
      <c r="JR186" s="1035"/>
      <c r="JS186" s="1035"/>
      <c r="JT186" s="1035"/>
      <c r="KA186" s="1229" t="s">
        <v>545</v>
      </c>
      <c r="KB186" s="1094">
        <f>KB185/EX184</f>
        <v>0.983091787439614</v>
      </c>
      <c r="KC186" s="1094">
        <f>KC185/EY184</f>
        <v>0.984210526315789</v>
      </c>
      <c r="KD186" s="1094">
        <f>KD185/FA184</f>
        <v>0.988235294117647</v>
      </c>
      <c r="KE186" s="1094">
        <f>KE185/FC184</f>
        <v>0.985477178423237</v>
      </c>
      <c r="KF186" s="1082"/>
      <c r="KG186" s="1094">
        <f>KG185/FE184</f>
        <v>0.985442329227324</v>
      </c>
      <c r="KP186" s="1117"/>
      <c r="LV186" s="967"/>
    </row>
    <row r="187" spans="1:334">
      <c r="A187" s="967" t="s">
        <v>100</v>
      </c>
      <c r="AX187" s="1059"/>
      <c r="BE187" s="1060"/>
      <c r="BN187" s="1059"/>
      <c r="BU187" s="1060"/>
      <c r="BV187" s="1059"/>
      <c r="CC187" s="1060"/>
      <c r="CD187" s="1059"/>
      <c r="CJ187" s="1061"/>
      <c r="CK187" s="1060"/>
      <c r="CL187" s="1059"/>
      <c r="CS187" s="1060"/>
      <c r="CT187" s="1059"/>
      <c r="CW187" s="1062"/>
      <c r="CX187" s="1062"/>
      <c r="DE187" s="1064"/>
      <c r="DF187" s="1064"/>
      <c r="DM187" s="1064"/>
      <c r="DN187" s="1064"/>
      <c r="DU187" s="1064"/>
      <c r="DV187" s="1064"/>
      <c r="EC187" s="1064"/>
      <c r="ED187" s="1064"/>
      <c r="EK187" s="1064"/>
      <c r="EL187" s="1064"/>
      <c r="ER187" s="1065"/>
      <c r="ET187" s="1065"/>
      <c r="EU187" s="1065"/>
      <c r="EW187" s="1038"/>
      <c r="EX187" s="1083"/>
      <c r="EY187" s="1083"/>
      <c r="EZ187" s="1083"/>
      <c r="FA187" s="1083"/>
      <c r="FB187" s="1083"/>
      <c r="FC187" s="1083"/>
      <c r="FD187" s="1083"/>
      <c r="FE187" s="1084"/>
      <c r="FF187" s="1095">
        <v>0.214</v>
      </c>
      <c r="FG187" s="1095">
        <v>0.193</v>
      </c>
      <c r="FH187" s="1083">
        <f>(EX184*FF187+EY184*FG187)/EZ184</f>
        <v>0.203949622166247</v>
      </c>
      <c r="FI187" s="1087">
        <v>0.151</v>
      </c>
      <c r="FJ187" s="1083">
        <f>(EZ184*FH187+FA184*FI187)/FB184</f>
        <v>0.183240797546012</v>
      </c>
      <c r="FK187" s="1095">
        <v>0.156</v>
      </c>
      <c r="FL187" s="1083">
        <f>(FA184*FI187+FC184*FK187)/FD184</f>
        <v>0.153429435483871</v>
      </c>
      <c r="FM187" s="1085">
        <f>(EX184*FF187+EY184*FG187+FA184*FI187+FC184*FK187)/FE184</f>
        <v>0.175889137737962</v>
      </c>
      <c r="FN187" s="1095">
        <v>0.302</v>
      </c>
      <c r="FO187" s="1083">
        <v>0.301</v>
      </c>
      <c r="FP187" s="1083">
        <f>(FF184*FN187+FG184*FO187)/FH184</f>
        <v>0.301514211886305</v>
      </c>
      <c r="FQ187" s="1095">
        <v>0.253</v>
      </c>
      <c r="FR187" s="1083">
        <f>(FF184*FN187+FG184*FO187+FI184*FQ187)/FJ184</f>
        <v>0.283413066954644</v>
      </c>
      <c r="FS187" s="1083">
        <v>0.25</v>
      </c>
      <c r="FT187" s="1083">
        <f>(FI184*FQ187+FK184*FS187)/FL184</f>
        <v>0.251584862385321</v>
      </c>
      <c r="FU187" s="1083">
        <f>(FF184*FN187+FG184*FO187+FI184*FQ187+FK184*FS187)/FM184</f>
        <v>0.275063183475091</v>
      </c>
      <c r="FV187" s="1086">
        <v>0.303</v>
      </c>
      <c r="FW187" s="1083">
        <v>0.277</v>
      </c>
      <c r="FX187" s="1083">
        <f>(FN184*FV187+FO184*FW187)/FP184</f>
        <v>0.290691776088459</v>
      </c>
      <c r="FY187" s="1083">
        <v>0.283</v>
      </c>
      <c r="FZ187" s="1083">
        <f>(FN184*FV187+FO184*FW187+FQ184*FY187)/FR184</f>
        <v>0.287905244601146</v>
      </c>
      <c r="GA187" s="1083">
        <v>0.24</v>
      </c>
      <c r="GB187" s="1083">
        <f>(FQ184*FY187+FS184*GA187)/FT184</f>
        <v>0.262614203454894</v>
      </c>
      <c r="GC187" s="1084">
        <f>(FN184*FV187+FO184*FW187+FQ184*FY187+FS184*GA187)/FU184</f>
        <v>0.27611196013289</v>
      </c>
      <c r="GD187" s="1087">
        <v>0.15</v>
      </c>
      <c r="GE187" s="1087">
        <v>0.188</v>
      </c>
      <c r="GF187" s="1083">
        <f>(FV184*GD187+FW184*GE187)/FX184</f>
        <v>0.167719676549865</v>
      </c>
      <c r="GG187" s="1087">
        <v>0.160221153846155</v>
      </c>
      <c r="GH187" s="1083">
        <f>(FV184*GD187+FW184*GE187+FY184*GG187)/FZ184</f>
        <v>0.165072831423896</v>
      </c>
      <c r="GI187" s="1087">
        <v>0.11</v>
      </c>
      <c r="GJ187" s="1083">
        <f>(FY184*GG187+GA184*GI187)/GB184</f>
        <v>0.136279114628909</v>
      </c>
      <c r="GK187" s="1084">
        <f>(FV184*GD187+FW184*GE187+FY184*GG187+GA184*GI187)/GC184</f>
        <v>0.151671630428163</v>
      </c>
      <c r="GL187" s="1087">
        <v>0.12</v>
      </c>
      <c r="GM187" s="1087">
        <v>0.078</v>
      </c>
      <c r="GN187" s="1083">
        <f>(GD184*GL187+GE184*GM187)/GF184</f>
        <v>0.0997621440536013</v>
      </c>
      <c r="GO187" s="1087">
        <v>0.077</v>
      </c>
      <c r="GP187" s="1083">
        <f>(GD184*GL187+GE184*GM187+GG184*GO187)/GH184</f>
        <v>0.0918893352812272</v>
      </c>
      <c r="GQ187" s="1087">
        <v>0.129159159159159</v>
      </c>
      <c r="GR187" s="1083">
        <f>(GG184*GO187+GI184*GQ187)/GJ184</f>
        <v>0.101401517280135</v>
      </c>
      <c r="GS187" s="1084">
        <f>(GD184*GL187+GE184*GM187+GG184*GO187+GI184*GQ187)/GK184</f>
        <v>0.100579190589553</v>
      </c>
      <c r="GT187" s="1087">
        <v>-0.44821141253508</v>
      </c>
      <c r="GU187" s="1087">
        <v>-0.156</v>
      </c>
      <c r="GV187" s="1083">
        <f>(GL184*GT187+GM184*GU187)/GN184</f>
        <v>-0.311774975190621</v>
      </c>
      <c r="GW187" s="1087">
        <v>-0.07</v>
      </c>
      <c r="GX187" s="1083">
        <f>(GL184*GT187+GM184*GU187+GO184*GW187)/GP184</f>
        <v>-0.228945195374866</v>
      </c>
      <c r="GY187" s="1087">
        <v>0.00855752331606272</v>
      </c>
      <c r="GZ187" s="1083">
        <f>(GO184*GW187+GQ184*GY187)/GR184</f>
        <v>-0.0322845721393032</v>
      </c>
      <c r="HA187" s="1084">
        <f>(GL184*GT187+GM184*GU187+GO184*GW187+GQ184*GY187)/GS184</f>
        <v>-0.171865850287277</v>
      </c>
      <c r="HB187" s="1087">
        <v>1.559</v>
      </c>
      <c r="HC187" s="1087">
        <v>-0.159469557964971</v>
      </c>
      <c r="HD187" s="1083">
        <f>(559*HB187+1199*HC187)/(559+1199)</f>
        <v>0.386960750853242</v>
      </c>
      <c r="HE187" s="1087">
        <v>-0.144483423284503</v>
      </c>
      <c r="HF187" s="1083">
        <f>(GT184*HB187+GU184*HC187+GW184*HE187)/GX184</f>
        <v>0.286272978140245</v>
      </c>
      <c r="HG187" s="1087">
        <v>-0.243</v>
      </c>
      <c r="HH187" s="1083">
        <f>(1297*HE187+1287*HG187)/(1297+1287)</f>
        <v>-0.193551083591331</v>
      </c>
      <c r="HI187" s="1084">
        <f>(559*HB187+1199*HC187+1297*HE187+1287*HG187)/4342</f>
        <v>0.0414880239520958</v>
      </c>
      <c r="HJ187" s="1087">
        <v>-0.345880171184023</v>
      </c>
      <c r="HK187" s="1087">
        <v>-0.351</v>
      </c>
      <c r="HL187" s="1083">
        <f>(559*HJ187+1199*HK187)/(559+1199)</f>
        <v>-0.349372022577855</v>
      </c>
      <c r="HM187" s="1087">
        <v>-0.266</v>
      </c>
      <c r="HN187" s="1083">
        <f>(HB184*HJ187+HC184*HK187+HE184*HM187)/HF184</f>
        <v>-0.321406460674157</v>
      </c>
      <c r="HO187" s="1087">
        <v>-0.497</v>
      </c>
      <c r="HP187" s="1083">
        <f>(1297*HM187+1287*HO187)/(1297+1287)</f>
        <v>-0.381053018575851</v>
      </c>
      <c r="HQ187" s="1084">
        <f>(HB184*HJ187+HC184*HK187+HE184*HM187+HG184*HO187)/HI184</f>
        <v>-0.361017185120731</v>
      </c>
      <c r="HR187" s="1087">
        <v>-0.094</v>
      </c>
      <c r="HS187" s="1087">
        <v>0.0697927677329624</v>
      </c>
      <c r="HT187" s="1083">
        <v>-0.0256500290191527</v>
      </c>
      <c r="HU187" s="1087">
        <v>0.0196789012110805</v>
      </c>
      <c r="HV187" s="1083">
        <v>-0.00968265773128481</v>
      </c>
      <c r="HW187" s="1087">
        <v>0.368944123314063</v>
      </c>
      <c r="HX187" s="1083">
        <v>0.193635689464385</v>
      </c>
      <c r="HY187" s="1084">
        <v>0.0521315289194028</v>
      </c>
      <c r="HZ187" s="1087">
        <v>0.043769230769231</v>
      </c>
      <c r="IA187" s="1087">
        <v>0.09</v>
      </c>
      <c r="IB187" s="1083">
        <f>((HZ187*HR184)+(IA187*HS184))/HT184</f>
        <v>0.0639694267515925</v>
      </c>
      <c r="IC187" s="1087">
        <v>0.08</v>
      </c>
      <c r="ID187" s="1083">
        <f>(HR184*HZ187+HS184*IA187+HU184*IC187)/HV184</f>
        <v>0.0693805907172997</v>
      </c>
      <c r="IE187" s="1087">
        <v>0.16</v>
      </c>
      <c r="IF187" s="1083">
        <f>(1297*IC187+1287*IE187)/(1297+1287)</f>
        <v>0.11984520123839</v>
      </c>
      <c r="IG187" s="1084">
        <f>(HR184*HZ187+HS184*IA187+HU184*IC187+HW184*IE187)/HY184</f>
        <v>0.0893526315789474</v>
      </c>
      <c r="IH187" s="1087">
        <v>0.166851211072664</v>
      </c>
      <c r="II187" s="1087">
        <v>0.11</v>
      </c>
      <c r="IJ187" s="1083">
        <f>((IH187*HZ184)+(II187*IA184))/IB184</f>
        <v>0.140773437821922</v>
      </c>
      <c r="IK187" s="1087">
        <v>0.1</v>
      </c>
      <c r="IL187" s="1083">
        <f>(HZ184*IH187+IA184*II187+IC184*IK187)/ID184</f>
        <v>0.12650334847608</v>
      </c>
      <c r="IM187" s="1087">
        <v>0.15</v>
      </c>
      <c r="IN187" s="1083">
        <f>(1297*IK187+1287*IM187)/(1297+1287)</f>
        <v>0.124903250773994</v>
      </c>
      <c r="IO187" s="1084">
        <f>(HZ184*IH187+IA184*II187+IC184*IK187+IE184*IM187)/IG184</f>
        <v>0.132221894693919</v>
      </c>
      <c r="IP187" s="1087">
        <v>0.17</v>
      </c>
      <c r="IQ187" s="1087">
        <v>0.15</v>
      </c>
      <c r="IR187" s="1083">
        <f>((IP187*IH184)+(IQ187*II184))/IJ184</f>
        <v>0.161264367816092</v>
      </c>
      <c r="IS187" s="1087">
        <v>0.1</v>
      </c>
      <c r="IT187" s="1083">
        <f>(IH184*IP187+II184*IQ187+IK184*IS187)/IL184</f>
        <v>0.14034967555876</v>
      </c>
      <c r="IU187" s="1087">
        <v>0.08</v>
      </c>
      <c r="IV187" s="1083">
        <f>(1297*IS187+1287*IU187)/(1297+1287)</f>
        <v>0.0900386996904025</v>
      </c>
      <c r="IW187" s="1084">
        <f>(IH184*IP187+II184*IQ187+IK184*IS187+IM184*IU187)/IO184</f>
        <v>0.126220320265047</v>
      </c>
      <c r="IX187" s="1056"/>
      <c r="IY187" s="1082"/>
      <c r="IZ187" s="1104"/>
      <c r="JA187" s="1037" t="s">
        <v>546</v>
      </c>
      <c r="JB187" s="1037"/>
      <c r="JC187" s="1082"/>
      <c r="JD187" s="1041"/>
      <c r="JE187" s="1037"/>
      <c r="JF187" s="1037"/>
      <c r="JG187" s="1037"/>
      <c r="JH187" s="1037"/>
      <c r="JI187" s="1035"/>
      <c r="JJ187" s="1035"/>
      <c r="JK187" s="1082">
        <f t="shared" ref="JK187:JP187" si="1046">(EX184*(1+FF187)*(1+FN187))/EX184-1</f>
        <v>0.580628</v>
      </c>
      <c r="JL187" s="1082">
        <f t="shared" si="1046"/>
        <v>0.552093</v>
      </c>
      <c r="JM187" s="1082">
        <f t="shared" si="1046"/>
        <v>0.566957543644518</v>
      </c>
      <c r="JN187" s="1082">
        <f t="shared" si="1046"/>
        <v>0.442203</v>
      </c>
      <c r="JO187" s="1082">
        <f t="shared" si="1046"/>
        <v>0.518586700924386</v>
      </c>
      <c r="JP187" s="1082">
        <f t="shared" si="1046"/>
        <v>0.445</v>
      </c>
      <c r="JQ187" s="1082">
        <f>(FF184*(1+FN187)*(1+FV187))/FF184-1</f>
        <v>0.696506</v>
      </c>
      <c r="JR187" s="1082">
        <f>(FG184*(1+FO187)*(1+FW187))/FG184-1</f>
        <v>0.661377</v>
      </c>
      <c r="JS187" s="1082">
        <f>(FI184*(1+FQ187)*(1+FY187))/FI184-1</f>
        <v>0.607599</v>
      </c>
      <c r="JT187" s="1082">
        <f>(FK184*(1+FS187)*(1+GA187))/FK184-1</f>
        <v>0.55</v>
      </c>
      <c r="KA187" s="1229" t="s">
        <v>547</v>
      </c>
      <c r="KB187" s="1148">
        <v>7</v>
      </c>
      <c r="KC187" s="1148">
        <v>6</v>
      </c>
      <c r="KD187" s="1037">
        <v>7</v>
      </c>
      <c r="KE187" s="1037">
        <v>7</v>
      </c>
      <c r="KF187" s="1037"/>
      <c r="KG187" s="1037">
        <f>SUM(KB187:KE187)</f>
        <v>27</v>
      </c>
      <c r="KP187" s="1117"/>
      <c r="LV187" s="967"/>
    </row>
    <row r="188" spans="1:334">
      <c r="A188" s="967" t="s">
        <v>66</v>
      </c>
      <c r="AX188" s="1059"/>
      <c r="BE188" s="1060"/>
      <c r="BN188" s="1059"/>
      <c r="BU188" s="1060"/>
      <c r="BV188" s="1059"/>
      <c r="CC188" s="1060"/>
      <c r="CD188" s="1059"/>
      <c r="CJ188" s="1061"/>
      <c r="CK188" s="1060"/>
      <c r="CL188" s="1059"/>
      <c r="CS188" s="1060"/>
      <c r="CT188" s="1059"/>
      <c r="CW188" s="1062"/>
      <c r="CX188" s="1062"/>
      <c r="DE188" s="1064"/>
      <c r="DF188" s="1064"/>
      <c r="DM188" s="1064"/>
      <c r="DN188" s="1064"/>
      <c r="DU188" s="1064"/>
      <c r="DV188" s="1064"/>
      <c r="EC188" s="1064"/>
      <c r="ED188" s="1064"/>
      <c r="EK188" s="1064"/>
      <c r="EL188" s="1064"/>
      <c r="ER188" s="1065"/>
      <c r="ET188" s="1065"/>
      <c r="EU188" s="1065"/>
      <c r="EW188" s="1038"/>
      <c r="EX188" s="1181"/>
      <c r="EY188" s="1181"/>
      <c r="EZ188" s="1181"/>
      <c r="FA188" s="1181"/>
      <c r="FB188" s="1181"/>
      <c r="FC188" s="1181"/>
      <c r="FD188" s="1181"/>
      <c r="FE188" s="1182">
        <f>FE184/FE216</f>
        <v>0.122892726897406</v>
      </c>
      <c r="FF188" s="1094">
        <f t="shared" ref="FF188:GK188" si="1047">FF184/FF$216</f>
        <v>0.146216017634093</v>
      </c>
      <c r="FG188" s="1094">
        <f t="shared" si="1047"/>
        <v>0.14435628359355</v>
      </c>
      <c r="FH188" s="1094">
        <f t="shared" si="1047"/>
        <v>0.145306633291615</v>
      </c>
      <c r="FI188" s="1087">
        <f t="shared" si="1047"/>
        <v>0.145259617405928</v>
      </c>
      <c r="FJ188" s="1087">
        <f t="shared" si="1047"/>
        <v>0.145289087628462</v>
      </c>
      <c r="FK188" s="1230">
        <f t="shared" si="1047"/>
        <v>0.148032629558541</v>
      </c>
      <c r="FL188" s="1094">
        <f t="shared" si="1047"/>
        <v>0.146554621848739</v>
      </c>
      <c r="FM188" s="1093">
        <f t="shared" si="1047"/>
        <v>0.145965119716228</v>
      </c>
      <c r="FN188" s="1230">
        <f t="shared" si="1047"/>
        <v>0.159781924931852</v>
      </c>
      <c r="FO188" s="1094">
        <f t="shared" si="1047"/>
        <v>0.154872258647976</v>
      </c>
      <c r="FP188" s="1094">
        <f t="shared" si="1047"/>
        <v>0.157419495213229</v>
      </c>
      <c r="FQ188" s="1230">
        <f t="shared" si="1047"/>
        <v>0.151884700665188</v>
      </c>
      <c r="FR188" s="1094">
        <f t="shared" si="1047"/>
        <v>0.155368392221309</v>
      </c>
      <c r="FS188" s="1094">
        <f t="shared" si="1047"/>
        <v>0.158130601792574</v>
      </c>
      <c r="FT188" s="1094">
        <f t="shared" si="1047"/>
        <v>0.154783125371361</v>
      </c>
      <c r="FU188" s="1094">
        <f t="shared" si="1047"/>
        <v>0.156039398652151</v>
      </c>
      <c r="FV188" s="1086">
        <f t="shared" si="1047"/>
        <v>0.181784796180683</v>
      </c>
      <c r="FW188" s="1094">
        <f t="shared" si="1047"/>
        <v>0.171695117109964</v>
      </c>
      <c r="FX188" s="1094">
        <f t="shared" si="1047"/>
        <v>0.176936283861122</v>
      </c>
      <c r="FY188" s="1094">
        <f t="shared" si="1047"/>
        <v>0.178231771750616</v>
      </c>
      <c r="FZ188" s="1094">
        <f t="shared" si="1047"/>
        <v>0.177391411953966</v>
      </c>
      <c r="GA188" s="1094">
        <f t="shared" si="1047"/>
        <v>0.182357594936709</v>
      </c>
      <c r="GB188" s="1094">
        <f t="shared" si="1047"/>
        <v>0.180175144400969</v>
      </c>
      <c r="GC188" s="1093">
        <f t="shared" si="1047"/>
        <v>0.17857479498539</v>
      </c>
      <c r="GD188" s="1086">
        <f t="shared" si="1047"/>
        <v>0.334534967555876</v>
      </c>
      <c r="GE188" s="1094">
        <f t="shared" si="1047"/>
        <v>0.328074510549325</v>
      </c>
      <c r="GF188" s="1094">
        <f t="shared" si="1047"/>
        <v>0.331390507910075</v>
      </c>
      <c r="GG188" s="1230">
        <f t="shared" si="1047"/>
        <v>0.322492763493956</v>
      </c>
      <c r="GH188" s="1094">
        <f t="shared" si="1047"/>
        <v>0.328258002637574</v>
      </c>
      <c r="GI188" s="1094">
        <f t="shared" si="1047"/>
        <v>0.318173132046627</v>
      </c>
      <c r="GJ188" s="1094">
        <f t="shared" si="1047"/>
        <v>0.320457410408788</v>
      </c>
      <c r="GK188" s="1093">
        <f t="shared" si="1047"/>
        <v>0.325849874515172</v>
      </c>
      <c r="GL188" s="1087">
        <f t="shared" ref="GL188:HQ188" si="1048">GL184/GL$216</f>
        <v>0.363420023797383</v>
      </c>
      <c r="GM188" s="1094">
        <f t="shared" si="1048"/>
        <v>0.339912869849337</v>
      </c>
      <c r="GN188" s="1094">
        <f t="shared" si="1048"/>
        <v>0.352052317415731</v>
      </c>
      <c r="GO188" s="1230">
        <f t="shared" si="1048"/>
        <v>0.326053042121685</v>
      </c>
      <c r="GP188" s="1094">
        <f t="shared" si="1048"/>
        <v>0.342690708909111</v>
      </c>
      <c r="GQ188" s="1094">
        <f t="shared" si="1048"/>
        <v>0.330536050693612</v>
      </c>
      <c r="GR188" s="1094">
        <f t="shared" si="1048"/>
        <v>0.328190056331129</v>
      </c>
      <c r="GS188" s="1093">
        <f t="shared" si="1048"/>
        <v>0.339688676451927</v>
      </c>
      <c r="GT188" s="1087">
        <f t="shared" si="1048"/>
        <v>0.24910582789817</v>
      </c>
      <c r="GU188" s="1094">
        <f t="shared" si="1048"/>
        <v>0.439272160679721</v>
      </c>
      <c r="GV188" s="1094">
        <f t="shared" si="1048"/>
        <v>0.330786938044783</v>
      </c>
      <c r="GW188" s="1230">
        <f t="shared" si="1048"/>
        <v>0.313798450184279</v>
      </c>
      <c r="GX188" s="1094">
        <f t="shared" si="1048"/>
        <v>0.323699288939421</v>
      </c>
      <c r="GY188" s="1094">
        <f t="shared" si="1048"/>
        <v>0.345781233017624</v>
      </c>
      <c r="GZ188" s="1094">
        <f t="shared" si="1048"/>
        <v>0.329211586892793</v>
      </c>
      <c r="HA188" s="1093">
        <f t="shared" si="1048"/>
        <v>0.329873009473896</v>
      </c>
      <c r="HB188" s="1087">
        <f t="shared" si="1048"/>
        <v>0.266135155656796</v>
      </c>
      <c r="HC188" s="1094">
        <f t="shared" si="1048"/>
        <v>0.197557612763443</v>
      </c>
      <c r="HD188" s="1094">
        <f t="shared" si="1048"/>
        <v>0.232479458675689</v>
      </c>
      <c r="HE188" s="1230">
        <f t="shared" si="1048"/>
        <v>0.200799721835883</v>
      </c>
      <c r="HF188" s="1094">
        <f t="shared" si="1048"/>
        <v>0.22115922221532</v>
      </c>
      <c r="HG188" s="1094">
        <f t="shared" si="1048"/>
        <v>0.201868795016547</v>
      </c>
      <c r="HH188" s="1094">
        <f t="shared" si="1048"/>
        <v>0.201304068325833</v>
      </c>
      <c r="HI188" s="1093">
        <f t="shared" si="1048"/>
        <v>0.216492417820477</v>
      </c>
      <c r="HJ188" s="1087">
        <f t="shared" si="1048"/>
        <v>0.189362504715202</v>
      </c>
      <c r="HK188" s="1094">
        <f t="shared" si="1048"/>
        <v>0.128461675897802</v>
      </c>
      <c r="HL188" s="1094">
        <f t="shared" si="1048"/>
        <v>0.158087897972291</v>
      </c>
      <c r="HM188" s="1230">
        <f t="shared" si="1048"/>
        <v>0.146223470661673</v>
      </c>
      <c r="HN188" s="1094">
        <f t="shared" si="1048"/>
        <v>0.153695036690357</v>
      </c>
      <c r="HO188" s="1094">
        <f t="shared" si="1048"/>
        <v>0.0997309761721754</v>
      </c>
      <c r="HP188" s="1094">
        <f t="shared" si="1048"/>
        <v>0.124136755051582</v>
      </c>
      <c r="HQ188" s="1093">
        <f t="shared" si="1048"/>
        <v>0.141219848074275</v>
      </c>
      <c r="HR188" s="1087">
        <f t="shared" ref="HR188:IG188" si="1049">HR184/HR$216</f>
        <v>0.167614713689799</v>
      </c>
      <c r="HS188" s="1094">
        <f t="shared" si="1049"/>
        <v>0.138782116123811</v>
      </c>
      <c r="HT188" s="1094">
        <f t="shared" si="1049"/>
        <v>0.154057501717201</v>
      </c>
      <c r="HU188" s="1230">
        <f t="shared" si="1049"/>
        <v>0.141617985484156</v>
      </c>
      <c r="HV188" s="1094">
        <f t="shared" si="1049"/>
        <v>0.149829308382855</v>
      </c>
      <c r="HW188" s="1094">
        <f t="shared" si="1049"/>
        <v>0.139235245220283</v>
      </c>
      <c r="HX188" s="1094">
        <f t="shared" si="1049"/>
        <v>0.140521938629194</v>
      </c>
      <c r="HY188" s="1093">
        <f t="shared" si="1049"/>
        <v>0.147016152432537</v>
      </c>
      <c r="HZ188" s="1087">
        <f t="shared" si="1049"/>
        <v>0.163338357196684</v>
      </c>
      <c r="IA188" s="1094">
        <f t="shared" si="1049"/>
        <v>0.130684098185699</v>
      </c>
      <c r="IB188" s="1094">
        <f t="shared" si="1049"/>
        <v>0.146542177493138</v>
      </c>
      <c r="IC188" s="1230">
        <f t="shared" si="1049"/>
        <v>0.138249438922732</v>
      </c>
      <c r="ID188" s="1094">
        <f t="shared" si="1049"/>
        <v>0.143763477246208</v>
      </c>
      <c r="IE188" s="1094">
        <f t="shared" si="1049"/>
        <v>0.135142369991475</v>
      </c>
      <c r="IF188" s="1094">
        <f t="shared" si="1049"/>
        <v>0.136653455536289</v>
      </c>
      <c r="IG188" s="1093">
        <f t="shared" si="1049"/>
        <v>0.141393478921547</v>
      </c>
      <c r="IH188" s="1087">
        <f t="shared" ref="IH188:IO188" si="1050">IH184/IH$216</f>
        <v>0.167235494880546</v>
      </c>
      <c r="II188" s="1094">
        <f t="shared" si="1050"/>
        <v>0.134072580645161</v>
      </c>
      <c r="IJ188" s="1094">
        <f t="shared" si="1050"/>
        <v>0.15092936802974</v>
      </c>
      <c r="IK188" s="1230">
        <f t="shared" si="1050"/>
        <v>0.142835595776772</v>
      </c>
      <c r="IL188" s="1094">
        <f t="shared" si="1050"/>
        <v>0.148286737584861</v>
      </c>
      <c r="IM188" s="1094">
        <f t="shared" si="1050"/>
        <v>0.139565503620803</v>
      </c>
      <c r="IN188" s="1094">
        <f t="shared" si="1050"/>
        <v>0.141796350422624</v>
      </c>
      <c r="IO188" s="1093">
        <f t="shared" si="1050"/>
        <v>0.145983636290355</v>
      </c>
      <c r="IP188" s="1087">
        <f t="shared" ref="IP188:IW188" si="1051">IP184/IP$216</f>
        <v>0.172178398058253</v>
      </c>
      <c r="IQ188" s="1094">
        <f t="shared" si="1051"/>
        <v>0.141331751445944</v>
      </c>
      <c r="IR188" s="1094">
        <f t="shared" si="1051"/>
        <v>0.156580427446569</v>
      </c>
      <c r="IS188" s="1230">
        <f t="shared" si="1051"/>
        <v>0.152767505315754</v>
      </c>
      <c r="IT188" s="1094">
        <f t="shared" si="1051"/>
        <v>0.155233686899604</v>
      </c>
      <c r="IU188" s="1094">
        <f t="shared" si="1051"/>
        <v>0.14864400173153</v>
      </c>
      <c r="IV188" s="1094">
        <f t="shared" si="1051"/>
        <v>0.150820229302624</v>
      </c>
      <c r="IW188" s="1093">
        <f t="shared" si="1051"/>
        <v>0.153651189282843</v>
      </c>
      <c r="IX188" s="1247"/>
      <c r="IY188" s="1181"/>
      <c r="IZ188" s="1049"/>
      <c r="JA188" s="1037" t="s">
        <v>548</v>
      </c>
      <c r="JB188" s="1037"/>
      <c r="JC188" s="1082"/>
      <c r="JD188" s="1041"/>
      <c r="JE188" s="1037"/>
      <c r="JF188" s="1037"/>
      <c r="JG188" s="1037"/>
      <c r="JH188" s="1037"/>
      <c r="JI188" s="1035"/>
      <c r="JJ188" s="1035"/>
      <c r="JK188" s="1035"/>
      <c r="JL188" s="1035"/>
      <c r="JM188" s="1035"/>
      <c r="JN188" s="1035"/>
      <c r="JO188" s="1035"/>
      <c r="JP188" s="1035"/>
      <c r="JQ188" s="1082">
        <f>1*(1+FF187)*(1+FN187)*(1+FV187)-1</f>
        <v>1.059558284</v>
      </c>
      <c r="JR188" s="1082">
        <f>1*(1+FG187)*(1+FO187)*(1+FW187)-1</f>
        <v>0.982022761</v>
      </c>
      <c r="JS188" s="1082">
        <f>1*(1+FI187)*(1+FQ187)*(1+FY187)-1</f>
        <v>0.850346449</v>
      </c>
      <c r="JT188" s="1082">
        <f>1*(1+FK187)*(1+FS187)*(1+GA187)-1</f>
        <v>0.7918</v>
      </c>
      <c r="KA188" s="1229" t="s">
        <v>545</v>
      </c>
      <c r="KB188" s="1094">
        <f>KB187/EX184</f>
        <v>0.0169082125603865</v>
      </c>
      <c r="KC188" s="1094">
        <f>KC187/EY184</f>
        <v>0.0157894736842105</v>
      </c>
      <c r="KD188" s="1094">
        <f>KD187/FA184</f>
        <v>0.0137254901960784</v>
      </c>
      <c r="KE188" s="1094">
        <f>KE187/FC184</f>
        <v>0.0145228215767635</v>
      </c>
      <c r="KF188" s="1037"/>
      <c r="KG188" s="1094">
        <f>KG187/FE184</f>
        <v>0.0151175811870101</v>
      </c>
      <c r="KP188" s="1117"/>
      <c r="LV188" s="967"/>
    </row>
    <row r="189" hidden="1" spans="1:334">
      <c r="A189" s="969" t="s">
        <v>104</v>
      </c>
      <c r="AX189" s="1059"/>
      <c r="BE189" s="1060"/>
      <c r="BN189" s="1059"/>
      <c r="BU189" s="1060"/>
      <c r="BV189" s="1059"/>
      <c r="CC189" s="1060"/>
      <c r="CD189" s="1059"/>
      <c r="CJ189" s="1061"/>
      <c r="CK189" s="1060"/>
      <c r="CL189" s="1059"/>
      <c r="CS189" s="1060"/>
      <c r="CT189" s="1059"/>
      <c r="CW189" s="1062"/>
      <c r="CX189" s="1062"/>
      <c r="DE189" s="1064"/>
      <c r="DF189" s="1064"/>
      <c r="DM189" s="1064"/>
      <c r="DN189" s="1064"/>
      <c r="DU189" s="1064"/>
      <c r="DV189" s="1064"/>
      <c r="EC189" s="1064"/>
      <c r="ED189" s="1064"/>
      <c r="EK189" s="1064"/>
      <c r="EL189" s="1064"/>
      <c r="ER189" s="1065"/>
      <c r="ET189" s="1065"/>
      <c r="EU189" s="1065"/>
      <c r="EW189" s="1038"/>
      <c r="EX189" s="1071">
        <v>139</v>
      </c>
      <c r="EY189" s="1071">
        <v>181</v>
      </c>
      <c r="EZ189" s="1071">
        <f>EX189+EY189</f>
        <v>320</v>
      </c>
      <c r="FA189" s="1071">
        <v>173</v>
      </c>
      <c r="FB189" s="1071">
        <f>EZ189+FA189</f>
        <v>493</v>
      </c>
      <c r="FC189" s="1071">
        <v>251</v>
      </c>
      <c r="FD189" s="1071">
        <f>FA189+FC189</f>
        <v>424</v>
      </c>
      <c r="FE189" s="1072">
        <f>EX189+EY189+FA189+FC189</f>
        <v>744</v>
      </c>
      <c r="FF189" s="1098">
        <v>155</v>
      </c>
      <c r="FG189" s="1098">
        <v>178</v>
      </c>
      <c r="FH189" s="1071">
        <f>FF189+FG189</f>
        <v>333</v>
      </c>
      <c r="FI189" s="1076">
        <v>186</v>
      </c>
      <c r="FJ189" s="1071">
        <f>FH189+FI189</f>
        <v>519</v>
      </c>
      <c r="FK189" s="1098">
        <v>257</v>
      </c>
      <c r="FL189" s="1071">
        <f>FI189+FK189</f>
        <v>443</v>
      </c>
      <c r="FM189" s="1072">
        <f>FF189+FG189+FI189+FK189</f>
        <v>776</v>
      </c>
      <c r="FN189" s="1098">
        <v>236</v>
      </c>
      <c r="FO189" s="1071">
        <v>236</v>
      </c>
      <c r="FP189" s="1071">
        <f>FN189+FO189</f>
        <v>472</v>
      </c>
      <c r="FQ189" s="1098">
        <v>264</v>
      </c>
      <c r="FR189" s="1071">
        <f>FN189+FO189+FQ189</f>
        <v>736</v>
      </c>
      <c r="FS189" s="1071">
        <f>FU189-FN189-FO189-FQ189</f>
        <v>271</v>
      </c>
      <c r="FT189" s="1071">
        <f>FQ189+FS189</f>
        <v>535</v>
      </c>
      <c r="FU189" s="1071">
        <v>1007</v>
      </c>
      <c r="FV189" s="1075">
        <v>301</v>
      </c>
      <c r="FW189" s="1098">
        <v>261</v>
      </c>
      <c r="FX189" s="1071">
        <f>FV189+FW189</f>
        <v>562</v>
      </c>
      <c r="FY189" s="1098">
        <f>FQ189*(1+FY190)</f>
        <v>243</v>
      </c>
      <c r="FZ189" s="1071">
        <f>FV189+FW189+FY189</f>
        <v>805</v>
      </c>
      <c r="GA189" s="1071">
        <f>GC189-FV189-FW189-FY189</f>
        <v>251</v>
      </c>
      <c r="GB189" s="1071">
        <f>FY189+GA189</f>
        <v>494</v>
      </c>
      <c r="GC189" s="1072">
        <v>1056</v>
      </c>
      <c r="GD189" s="1076"/>
      <c r="GE189" s="1076"/>
      <c r="GF189" s="1071"/>
      <c r="GG189" s="1076"/>
      <c r="GH189" s="1071"/>
      <c r="GI189" s="1076"/>
      <c r="GJ189" s="1071"/>
      <c r="GK189" s="1072"/>
      <c r="GL189" s="1076"/>
      <c r="GM189" s="1076"/>
      <c r="GN189" s="1071"/>
      <c r="GO189" s="1076"/>
      <c r="GP189" s="1071"/>
      <c r="GQ189" s="1076"/>
      <c r="GR189" s="1071"/>
      <c r="GS189" s="1072"/>
      <c r="GT189" s="1076"/>
      <c r="GU189" s="1076"/>
      <c r="GV189" s="1071"/>
      <c r="GW189" s="1076"/>
      <c r="GX189" s="1071"/>
      <c r="GY189" s="1076"/>
      <c r="GZ189" s="1071"/>
      <c r="HA189" s="1072"/>
      <c r="HB189" s="1071"/>
      <c r="HC189" s="1071"/>
      <c r="HD189" s="1071"/>
      <c r="HE189" s="1071"/>
      <c r="HF189" s="1071"/>
      <c r="HG189" s="1071"/>
      <c r="HH189" s="1071"/>
      <c r="HI189" s="1072"/>
      <c r="HJ189" s="1071"/>
      <c r="HK189" s="1071"/>
      <c r="HL189" s="1071"/>
      <c r="HM189" s="1071"/>
      <c r="HN189" s="1071"/>
      <c r="HO189" s="1071"/>
      <c r="HP189" s="1071"/>
      <c r="HQ189" s="1072"/>
      <c r="HR189" s="1071"/>
      <c r="HS189" s="1071"/>
      <c r="HT189" s="1071"/>
      <c r="HU189" s="1071"/>
      <c r="HV189" s="1071"/>
      <c r="HW189" s="1071"/>
      <c r="HX189" s="1071"/>
      <c r="HY189" s="1072"/>
      <c r="HZ189" s="1071"/>
      <c r="IA189" s="1071"/>
      <c r="IB189" s="1071"/>
      <c r="IC189" s="1071"/>
      <c r="ID189" s="1071"/>
      <c r="IE189" s="1071"/>
      <c r="IF189" s="1071"/>
      <c r="IG189" s="1072"/>
      <c r="IH189" s="1071"/>
      <c r="II189" s="1071"/>
      <c r="IJ189" s="1071"/>
      <c r="IK189" s="1071"/>
      <c r="IL189" s="1071"/>
      <c r="IM189" s="1071"/>
      <c r="IN189" s="1071"/>
      <c r="IO189" s="1072"/>
      <c r="IP189" s="1071"/>
      <c r="IQ189" s="1071"/>
      <c r="IR189" s="1071"/>
      <c r="IS189" s="1071"/>
      <c r="IT189" s="1071"/>
      <c r="IU189" s="1071"/>
      <c r="IV189" s="1071"/>
      <c r="IW189" s="1072"/>
      <c r="IX189" s="1049"/>
      <c r="IY189" s="1071"/>
      <c r="IZ189" s="1049"/>
      <c r="JA189" s="1037"/>
      <c r="JB189" s="1037"/>
      <c r="JC189" s="1037"/>
      <c r="JD189" s="1041"/>
      <c r="JE189" s="1037"/>
      <c r="JF189" s="1037"/>
      <c r="JG189" s="1037"/>
      <c r="JH189" s="1037"/>
      <c r="JI189" s="1035"/>
      <c r="JJ189" s="1035"/>
      <c r="JK189" s="1035"/>
      <c r="JL189" s="1035"/>
      <c r="JM189" s="1035"/>
      <c r="JN189" s="1035"/>
      <c r="JO189" s="1035"/>
      <c r="JP189" s="1035"/>
      <c r="JQ189" s="1035"/>
      <c r="JR189" s="1035"/>
      <c r="JS189" s="1035"/>
      <c r="JT189" s="1035"/>
      <c r="KA189" s="1229"/>
      <c r="KB189" s="1148"/>
      <c r="KC189" s="1148"/>
      <c r="KD189" s="1037"/>
      <c r="KE189" s="1037"/>
      <c r="KF189" s="1037"/>
      <c r="KG189" s="1037"/>
      <c r="KP189" s="1117"/>
      <c r="LV189" s="967"/>
    </row>
    <row r="190" hidden="1" spans="1:334">
      <c r="A190" s="967" t="s">
        <v>61</v>
      </c>
      <c r="AX190" s="1059"/>
      <c r="BE190" s="1060"/>
      <c r="BN190" s="1059"/>
      <c r="BU190" s="1060"/>
      <c r="BV190" s="1059"/>
      <c r="CC190" s="1060"/>
      <c r="CD190" s="1059"/>
      <c r="CJ190" s="1061"/>
      <c r="CK190" s="1060"/>
      <c r="CL190" s="1059"/>
      <c r="CS190" s="1060"/>
      <c r="CT190" s="1059"/>
      <c r="CW190" s="1062"/>
      <c r="CX190" s="1062"/>
      <c r="DE190" s="1064"/>
      <c r="DF190" s="1064"/>
      <c r="DM190" s="1064"/>
      <c r="DN190" s="1064"/>
      <c r="DU190" s="1064"/>
      <c r="DV190" s="1064"/>
      <c r="EC190" s="1064"/>
      <c r="ED190" s="1064"/>
      <c r="EK190" s="1064"/>
      <c r="EL190" s="1064"/>
      <c r="ER190" s="1065"/>
      <c r="ET190" s="1065"/>
      <c r="EU190" s="1065"/>
      <c r="EW190" s="1038"/>
      <c r="EX190" s="1082"/>
      <c r="EY190" s="1082"/>
      <c r="EZ190" s="1082"/>
      <c r="FA190" s="1082"/>
      <c r="FB190" s="1082"/>
      <c r="FC190" s="1082"/>
      <c r="FD190" s="1082"/>
      <c r="FE190" s="1085"/>
      <c r="FF190" s="1091">
        <f t="shared" ref="FF190:FM190" si="1052">FF189/EX189-1</f>
        <v>0.115107913669065</v>
      </c>
      <c r="FG190" s="1091">
        <f t="shared" si="1052"/>
        <v>-0.0165745856353591</v>
      </c>
      <c r="FH190" s="1082">
        <f t="shared" si="1052"/>
        <v>0.0406249999999999</v>
      </c>
      <c r="FI190" s="1087">
        <f t="shared" si="1052"/>
        <v>0.0751445086705202</v>
      </c>
      <c r="FJ190" s="1087">
        <f t="shared" si="1052"/>
        <v>0.052738336713996</v>
      </c>
      <c r="FK190" s="1091">
        <f t="shared" si="1052"/>
        <v>0.0239043824701195</v>
      </c>
      <c r="FL190" s="1082">
        <f t="shared" si="1052"/>
        <v>0.0448113207547169</v>
      </c>
      <c r="FM190" s="1085">
        <f t="shared" si="1052"/>
        <v>0.043010752688172</v>
      </c>
      <c r="FN190" s="1091">
        <f t="shared" ref="FN190:FX190" si="1053">FN189/FF189-1</f>
        <v>0.52258064516129</v>
      </c>
      <c r="FO190" s="1082">
        <f t="shared" si="1053"/>
        <v>0.325842696629213</v>
      </c>
      <c r="FP190" s="1082">
        <f t="shared" si="1053"/>
        <v>0.417417417417417</v>
      </c>
      <c r="FQ190" s="1091">
        <f t="shared" si="1053"/>
        <v>0.419354838709677</v>
      </c>
      <c r="FR190" s="1082">
        <f t="shared" si="1053"/>
        <v>0.418111753371869</v>
      </c>
      <c r="FS190" s="1082">
        <f t="shared" si="1053"/>
        <v>0.0544747081712063</v>
      </c>
      <c r="FT190" s="1082">
        <f t="shared" si="1053"/>
        <v>0.207674943566591</v>
      </c>
      <c r="FU190" s="1082">
        <f t="shared" si="1053"/>
        <v>0.297680412371134</v>
      </c>
      <c r="FV190" s="1086">
        <f t="shared" si="1053"/>
        <v>0.275423728813559</v>
      </c>
      <c r="FW190" s="1082">
        <f t="shared" si="1053"/>
        <v>0.10593220338983</v>
      </c>
      <c r="FX190" s="1082">
        <f t="shared" si="1053"/>
        <v>0.190677966101695</v>
      </c>
      <c r="FY190" s="1082">
        <f>FY191+FY192</f>
        <v>-0.0795454545454545</v>
      </c>
      <c r="FZ190" s="1082">
        <f>FZ189/FR189-1</f>
        <v>0.09375</v>
      </c>
      <c r="GA190" s="1082">
        <f t="shared" ref="GA190" si="1054">GA189/FS189-1</f>
        <v>-0.0738007380073802</v>
      </c>
      <c r="GB190" s="1082">
        <f t="shared" ref="GB190" si="1055">GB189/FT189-1</f>
        <v>-0.0766355140186916</v>
      </c>
      <c r="GC190" s="1085">
        <f t="shared" ref="GC190" si="1056">GC189/FU189-1</f>
        <v>0.0486593843098311</v>
      </c>
      <c r="GD190" s="1087"/>
      <c r="GE190" s="1087"/>
      <c r="GF190" s="1082"/>
      <c r="GG190" s="1087"/>
      <c r="GH190" s="1082"/>
      <c r="GI190" s="1087"/>
      <c r="GJ190" s="1082"/>
      <c r="GK190" s="1085"/>
      <c r="GL190" s="1087"/>
      <c r="GM190" s="1087"/>
      <c r="GN190" s="1082"/>
      <c r="GO190" s="1087"/>
      <c r="GP190" s="1082"/>
      <c r="GQ190" s="1087"/>
      <c r="GR190" s="1082"/>
      <c r="GS190" s="1085"/>
      <c r="GT190" s="1087"/>
      <c r="GU190" s="1087"/>
      <c r="GV190" s="1082"/>
      <c r="GW190" s="1087"/>
      <c r="GX190" s="1082"/>
      <c r="GY190" s="1087"/>
      <c r="GZ190" s="1082"/>
      <c r="HA190" s="1085"/>
      <c r="HB190" s="1082"/>
      <c r="HC190" s="1082"/>
      <c r="HD190" s="1082"/>
      <c r="HE190" s="1082"/>
      <c r="HF190" s="1082"/>
      <c r="HG190" s="1082"/>
      <c r="HH190" s="1082"/>
      <c r="HI190" s="1085"/>
      <c r="HJ190" s="1082"/>
      <c r="HK190" s="1082"/>
      <c r="HL190" s="1082"/>
      <c r="HM190" s="1082"/>
      <c r="HN190" s="1082"/>
      <c r="HO190" s="1082"/>
      <c r="HP190" s="1082"/>
      <c r="HQ190" s="1085"/>
      <c r="HR190" s="1082"/>
      <c r="HS190" s="1082"/>
      <c r="HT190" s="1082"/>
      <c r="HU190" s="1082"/>
      <c r="HV190" s="1082"/>
      <c r="HW190" s="1082"/>
      <c r="HX190" s="1082"/>
      <c r="HY190" s="1085"/>
      <c r="HZ190" s="1082"/>
      <c r="IA190" s="1082"/>
      <c r="IB190" s="1082"/>
      <c r="IC190" s="1082"/>
      <c r="ID190" s="1082"/>
      <c r="IE190" s="1082"/>
      <c r="IF190" s="1082"/>
      <c r="IG190" s="1085"/>
      <c r="IH190" s="1082"/>
      <c r="II190" s="1082"/>
      <c r="IJ190" s="1082"/>
      <c r="IK190" s="1082"/>
      <c r="IL190" s="1082"/>
      <c r="IM190" s="1082"/>
      <c r="IN190" s="1082"/>
      <c r="IO190" s="1085"/>
      <c r="IP190" s="1082"/>
      <c r="IQ190" s="1082"/>
      <c r="IR190" s="1082"/>
      <c r="IS190" s="1082"/>
      <c r="IT190" s="1082"/>
      <c r="IU190" s="1082"/>
      <c r="IV190" s="1082"/>
      <c r="IW190" s="1085"/>
      <c r="IX190" s="1049"/>
      <c r="IY190" s="1082"/>
      <c r="IZ190" s="1049"/>
      <c r="JA190" s="1037"/>
      <c r="JB190" s="1037"/>
      <c r="JC190" s="1037"/>
      <c r="JD190" s="1041"/>
      <c r="JE190" s="1037"/>
      <c r="JF190" s="1037"/>
      <c r="JG190" s="1037"/>
      <c r="JH190" s="1037"/>
      <c r="JI190" s="1035"/>
      <c r="JJ190" s="1035"/>
      <c r="JK190" s="1035"/>
      <c r="JL190" s="1035"/>
      <c r="JM190" s="1035"/>
      <c r="JN190" s="1035"/>
      <c r="JO190" s="1035"/>
      <c r="JP190" s="1035"/>
      <c r="JQ190" s="1035"/>
      <c r="JR190" s="1035"/>
      <c r="JS190" s="1035"/>
      <c r="JT190" s="1035"/>
      <c r="KA190" s="1229" t="s">
        <v>544</v>
      </c>
      <c r="KB190" s="1148">
        <v>132</v>
      </c>
      <c r="KC190" s="1148">
        <v>170</v>
      </c>
      <c r="KD190" s="1037">
        <v>154</v>
      </c>
      <c r="KE190" s="1037">
        <v>210</v>
      </c>
      <c r="KF190" s="1037"/>
      <c r="KG190" s="1037">
        <f>SUM(KB190:KE190)</f>
        <v>666</v>
      </c>
      <c r="KP190" s="1117"/>
      <c r="LV190" s="967"/>
    </row>
    <row r="191" hidden="1" spans="1:334">
      <c r="A191" s="967" t="s">
        <v>99</v>
      </c>
      <c r="AX191" s="1059"/>
      <c r="BE191" s="1060"/>
      <c r="BN191" s="1059"/>
      <c r="BU191" s="1060"/>
      <c r="BV191" s="1059"/>
      <c r="CC191" s="1060"/>
      <c r="CD191" s="1059"/>
      <c r="CJ191" s="1061"/>
      <c r="CK191" s="1060"/>
      <c r="CL191" s="1059"/>
      <c r="CS191" s="1060"/>
      <c r="CT191" s="1059"/>
      <c r="CW191" s="1062"/>
      <c r="CX191" s="1062"/>
      <c r="DE191" s="1064"/>
      <c r="DF191" s="1064"/>
      <c r="DM191" s="1064"/>
      <c r="DN191" s="1064"/>
      <c r="DU191" s="1064"/>
      <c r="DV191" s="1064"/>
      <c r="EC191" s="1064"/>
      <c r="ED191" s="1064"/>
      <c r="EK191" s="1064"/>
      <c r="EL191" s="1064"/>
      <c r="ER191" s="1065"/>
      <c r="ET191" s="1065"/>
      <c r="EU191" s="1065"/>
      <c r="EW191" s="1038"/>
      <c r="EX191" s="1082"/>
      <c r="EY191" s="1082"/>
      <c r="EZ191" s="1082"/>
      <c r="FA191" s="1082"/>
      <c r="FB191" s="1082"/>
      <c r="FC191" s="1082"/>
      <c r="FD191" s="1082"/>
      <c r="FE191" s="1085"/>
      <c r="FF191" s="1091">
        <f t="shared" ref="FF191:FM191" si="1057">FF190-FF192</f>
        <v>0.0501079136690647</v>
      </c>
      <c r="FG191" s="1091">
        <f t="shared" si="1057"/>
        <v>0.0444254143646409</v>
      </c>
      <c r="FH191" s="1082">
        <f t="shared" si="1057"/>
        <v>0.0468937499999999</v>
      </c>
      <c r="FI191" s="1087">
        <f t="shared" si="1057"/>
        <v>0.0171445086705202</v>
      </c>
      <c r="FJ191" s="1087">
        <f t="shared" si="1057"/>
        <v>0.0364543610547668</v>
      </c>
      <c r="FK191" s="1091">
        <f t="shared" si="1057"/>
        <v>0.0609043824701195</v>
      </c>
      <c r="FL191" s="1082">
        <f t="shared" si="1057"/>
        <v>0.0430495283018867</v>
      </c>
      <c r="FM191" s="1085">
        <f t="shared" si="1057"/>
        <v>0.0447029569892473</v>
      </c>
      <c r="FN191" s="1091">
        <f t="shared" ref="FN191:FX191" si="1058">FN190-FN192</f>
        <v>0.0785806451612902</v>
      </c>
      <c r="FO191" s="1082">
        <f t="shared" si="1058"/>
        <v>0.116842696629213</v>
      </c>
      <c r="FP191" s="1082">
        <f t="shared" si="1058"/>
        <v>0.0990330330330331</v>
      </c>
      <c r="FQ191" s="1091">
        <f t="shared" si="1058"/>
        <v>0.208354838709677</v>
      </c>
      <c r="FR191" s="1082">
        <f t="shared" si="1058"/>
        <v>0.138211946050096</v>
      </c>
      <c r="FS191" s="1082">
        <f t="shared" si="1058"/>
        <v>0.118474708171206</v>
      </c>
      <c r="FT191" s="1082">
        <f t="shared" si="1058"/>
        <v>0.156212189616253</v>
      </c>
      <c r="FU191" s="1082">
        <f t="shared" si="1058"/>
        <v>0.131675257731959</v>
      </c>
      <c r="FV191" s="1086">
        <f t="shared" si="1058"/>
        <v>0.0644237288135593</v>
      </c>
      <c r="FW191" s="1082">
        <f t="shared" si="1058"/>
        <v>-0.00506779661016955</v>
      </c>
      <c r="FX191" s="1082">
        <f t="shared" si="1058"/>
        <v>0.0296779661016948</v>
      </c>
      <c r="FY191" s="1082">
        <v>-0.106545454545454</v>
      </c>
      <c r="FZ191" s="1082">
        <f>FZ190-FZ192</f>
        <v>-0.0191847826086957</v>
      </c>
      <c r="GA191" s="1082">
        <f t="shared" ref="GA191:GC191" si="1059">GA190-GA192</f>
        <v>-0.00380073800738018</v>
      </c>
      <c r="GB191" s="1082">
        <f t="shared" si="1059"/>
        <v>-0.0545009345794393</v>
      </c>
      <c r="GC191" s="1085">
        <f t="shared" si="1059"/>
        <v>-0.0150446871896724</v>
      </c>
      <c r="GD191" s="1087"/>
      <c r="GE191" s="1087"/>
      <c r="GF191" s="1082"/>
      <c r="GG191" s="1087"/>
      <c r="GH191" s="1082"/>
      <c r="GI191" s="1087"/>
      <c r="GJ191" s="1082"/>
      <c r="GK191" s="1085"/>
      <c r="GL191" s="1087"/>
      <c r="GM191" s="1087"/>
      <c r="GN191" s="1082"/>
      <c r="GO191" s="1087"/>
      <c r="GP191" s="1082"/>
      <c r="GQ191" s="1087"/>
      <c r="GR191" s="1082"/>
      <c r="GS191" s="1085"/>
      <c r="GT191" s="1087"/>
      <c r="GU191" s="1087"/>
      <c r="GV191" s="1082"/>
      <c r="GW191" s="1087"/>
      <c r="GX191" s="1082"/>
      <c r="GY191" s="1087"/>
      <c r="GZ191" s="1082"/>
      <c r="HA191" s="1085"/>
      <c r="HB191" s="1082"/>
      <c r="HC191" s="1082"/>
      <c r="HD191" s="1082"/>
      <c r="HE191" s="1082"/>
      <c r="HF191" s="1082"/>
      <c r="HG191" s="1082"/>
      <c r="HH191" s="1082"/>
      <c r="HI191" s="1085"/>
      <c r="HJ191" s="1082"/>
      <c r="HK191" s="1082"/>
      <c r="HL191" s="1082"/>
      <c r="HM191" s="1082"/>
      <c r="HN191" s="1082"/>
      <c r="HO191" s="1082"/>
      <c r="HP191" s="1082"/>
      <c r="HQ191" s="1085"/>
      <c r="HR191" s="1082"/>
      <c r="HS191" s="1082"/>
      <c r="HT191" s="1082"/>
      <c r="HU191" s="1082"/>
      <c r="HV191" s="1082"/>
      <c r="HW191" s="1082"/>
      <c r="HX191" s="1082"/>
      <c r="HY191" s="1085"/>
      <c r="HZ191" s="1082"/>
      <c r="IA191" s="1082"/>
      <c r="IB191" s="1082"/>
      <c r="IC191" s="1082"/>
      <c r="ID191" s="1082"/>
      <c r="IE191" s="1082"/>
      <c r="IF191" s="1082"/>
      <c r="IG191" s="1085"/>
      <c r="IH191" s="1082"/>
      <c r="II191" s="1082"/>
      <c r="IJ191" s="1082"/>
      <c r="IK191" s="1082"/>
      <c r="IL191" s="1082"/>
      <c r="IM191" s="1082"/>
      <c r="IN191" s="1082"/>
      <c r="IO191" s="1085"/>
      <c r="IP191" s="1082"/>
      <c r="IQ191" s="1082"/>
      <c r="IR191" s="1082"/>
      <c r="IS191" s="1082"/>
      <c r="IT191" s="1082"/>
      <c r="IU191" s="1082"/>
      <c r="IV191" s="1082"/>
      <c r="IW191" s="1085"/>
      <c r="IX191" s="1049"/>
      <c r="IY191" s="1082"/>
      <c r="IZ191" s="1104"/>
      <c r="JA191" s="1037"/>
      <c r="JB191" s="1037"/>
      <c r="JC191" s="1037"/>
      <c r="JD191" s="1041"/>
      <c r="JE191" s="1037"/>
      <c r="JF191" s="1037"/>
      <c r="JG191" s="1037"/>
      <c r="JH191" s="1037"/>
      <c r="JI191" s="1035"/>
      <c r="JJ191" s="1035"/>
      <c r="JK191" s="1035"/>
      <c r="JL191" s="1035"/>
      <c r="JM191" s="1035"/>
      <c r="JN191" s="1035"/>
      <c r="JO191" s="1035"/>
      <c r="JP191" s="1035"/>
      <c r="JQ191" s="1035"/>
      <c r="JR191" s="1035"/>
      <c r="JS191" s="1035"/>
      <c r="JT191" s="1035"/>
      <c r="KA191" s="1229" t="s">
        <v>545</v>
      </c>
      <c r="KB191" s="1094">
        <f>KB190/EX189</f>
        <v>0.949640287769784</v>
      </c>
      <c r="KC191" s="1094">
        <f>KC190/EY189</f>
        <v>0.939226519337017</v>
      </c>
      <c r="KD191" s="1094">
        <f>KD190/FA189</f>
        <v>0.890173410404624</v>
      </c>
      <c r="KE191" s="1094">
        <f>KE190/FC189</f>
        <v>0.836653386454183</v>
      </c>
      <c r="KF191" s="1082"/>
      <c r="KG191" s="1094">
        <f>KG190/FE189</f>
        <v>0.895161290322581</v>
      </c>
      <c r="KP191" s="1117"/>
      <c r="LV191" s="967"/>
    </row>
    <row r="192" hidden="1" spans="1:334">
      <c r="A192" s="967" t="s">
        <v>100</v>
      </c>
      <c r="AX192" s="1059"/>
      <c r="BE192" s="1060"/>
      <c r="BN192" s="1059"/>
      <c r="BU192" s="1060"/>
      <c r="BV192" s="1059"/>
      <c r="CC192" s="1060"/>
      <c r="CD192" s="1059"/>
      <c r="CJ192" s="1061"/>
      <c r="CK192" s="1060"/>
      <c r="CL192" s="1059"/>
      <c r="CS192" s="1060"/>
      <c r="CT192" s="1059"/>
      <c r="CW192" s="1062"/>
      <c r="CX192" s="1062"/>
      <c r="DE192" s="1064"/>
      <c r="DF192" s="1064"/>
      <c r="DM192" s="1064"/>
      <c r="DN192" s="1064"/>
      <c r="DU192" s="1064"/>
      <c r="DV192" s="1064"/>
      <c r="EC192" s="1064"/>
      <c r="ED192" s="1064"/>
      <c r="EK192" s="1064"/>
      <c r="EL192" s="1064"/>
      <c r="ER192" s="1065"/>
      <c r="ET192" s="1065"/>
      <c r="EU192" s="1065"/>
      <c r="EW192" s="1038"/>
      <c r="EX192" s="1083"/>
      <c r="EY192" s="1083"/>
      <c r="EZ192" s="1083"/>
      <c r="FA192" s="1083"/>
      <c r="FB192" s="1083"/>
      <c r="FC192" s="1083"/>
      <c r="FD192" s="1083"/>
      <c r="FE192" s="1084"/>
      <c r="FF192" s="1095">
        <v>0.065</v>
      </c>
      <c r="FG192" s="1095">
        <v>-0.061</v>
      </c>
      <c r="FH192" s="1083">
        <f>(EX189*FF192+EY189*FG192)/EZ189</f>
        <v>-0.00626875</v>
      </c>
      <c r="FI192" s="1087">
        <v>0.058</v>
      </c>
      <c r="FJ192" s="1083">
        <f>(EZ189*FH192+FA189*FI192)/FB189</f>
        <v>0.0162839756592292</v>
      </c>
      <c r="FK192" s="1095">
        <v>-0.037</v>
      </c>
      <c r="FL192" s="1083">
        <f>(FA189*FI192+FC189*FK192)/FD189</f>
        <v>0.00176179245283019</v>
      </c>
      <c r="FM192" s="1084">
        <f>(EX189*FF192+EY189*FG192+FA189*FI192+FC189*FK192)/FE189</f>
        <v>-0.00169220430107527</v>
      </c>
      <c r="FN192" s="1095">
        <v>0.444</v>
      </c>
      <c r="FO192" s="1083">
        <v>0.209</v>
      </c>
      <c r="FP192" s="1083">
        <f>(FF189*FN192+FG189*FO192)/FH189</f>
        <v>0.318384384384384</v>
      </c>
      <c r="FQ192" s="1095">
        <v>0.211</v>
      </c>
      <c r="FR192" s="1083">
        <f>(FF189*FN192+FG189*FO192+FI189*FQ192)/FJ189</f>
        <v>0.279899807321773</v>
      </c>
      <c r="FS192" s="1083">
        <v>-0.064</v>
      </c>
      <c r="FT192" s="1083">
        <f>(FI189*FQ192+FK189*FS192)/FL189</f>
        <v>0.0514627539503386</v>
      </c>
      <c r="FU192" s="1083">
        <f>(FF189*FN192+FG189*FO192+FI189*FQ192+FK189*FS192)/FM189</f>
        <v>0.166005154639175</v>
      </c>
      <c r="FV192" s="1086">
        <v>0.211</v>
      </c>
      <c r="FW192" s="1083">
        <v>0.111</v>
      </c>
      <c r="FX192" s="1083">
        <f>(FN189*FV192+FO189*FW192)/FP189</f>
        <v>0.161</v>
      </c>
      <c r="FY192" s="1083">
        <v>0.027</v>
      </c>
      <c r="FZ192" s="1083">
        <f>(FN189*FV192+FO189*FW192+FQ189*FY192)/FR189</f>
        <v>0.112934782608696</v>
      </c>
      <c r="GA192" s="1083">
        <v>-0.07</v>
      </c>
      <c r="GB192" s="1083">
        <f>(FQ189*FY192+FS189*GA192)/FT189</f>
        <v>-0.0221345794392523</v>
      </c>
      <c r="GC192" s="1084">
        <f>(FN189*FV192+FO189*FW192+FQ189*FY192+FS189*GA192)/FU189</f>
        <v>0.0637040714995035</v>
      </c>
      <c r="GD192" s="1087"/>
      <c r="GE192" s="1087"/>
      <c r="GF192" s="1083"/>
      <c r="GG192" s="1087"/>
      <c r="GH192" s="1083"/>
      <c r="GI192" s="1087"/>
      <c r="GJ192" s="1083"/>
      <c r="GK192" s="1084"/>
      <c r="GL192" s="1087"/>
      <c r="GM192" s="1087"/>
      <c r="GN192" s="1083"/>
      <c r="GO192" s="1087"/>
      <c r="GP192" s="1083"/>
      <c r="GQ192" s="1087"/>
      <c r="GR192" s="1083"/>
      <c r="GS192" s="1084"/>
      <c r="GT192" s="1087"/>
      <c r="GU192" s="1087"/>
      <c r="GV192" s="1083"/>
      <c r="GW192" s="1087"/>
      <c r="GX192" s="1083"/>
      <c r="GY192" s="1087"/>
      <c r="GZ192" s="1083"/>
      <c r="HA192" s="1084"/>
      <c r="HB192" s="1083"/>
      <c r="HC192" s="1083"/>
      <c r="HD192" s="1083"/>
      <c r="HE192" s="1083"/>
      <c r="HF192" s="1083"/>
      <c r="HG192" s="1083"/>
      <c r="HH192" s="1083"/>
      <c r="HI192" s="1084"/>
      <c r="HJ192" s="1083"/>
      <c r="HK192" s="1083"/>
      <c r="HL192" s="1083"/>
      <c r="HM192" s="1083"/>
      <c r="HN192" s="1083"/>
      <c r="HO192" s="1083"/>
      <c r="HP192" s="1083"/>
      <c r="HQ192" s="1084"/>
      <c r="HR192" s="1083"/>
      <c r="HS192" s="1083"/>
      <c r="HT192" s="1083"/>
      <c r="HU192" s="1083"/>
      <c r="HV192" s="1083"/>
      <c r="HW192" s="1083"/>
      <c r="HX192" s="1083"/>
      <c r="HY192" s="1084"/>
      <c r="HZ192" s="1083"/>
      <c r="IA192" s="1083"/>
      <c r="IB192" s="1083"/>
      <c r="IC192" s="1083"/>
      <c r="ID192" s="1083"/>
      <c r="IE192" s="1083"/>
      <c r="IF192" s="1083"/>
      <c r="IG192" s="1084"/>
      <c r="IH192" s="1083"/>
      <c r="II192" s="1083"/>
      <c r="IJ192" s="1083"/>
      <c r="IK192" s="1083"/>
      <c r="IL192" s="1083"/>
      <c r="IM192" s="1083"/>
      <c r="IN192" s="1083"/>
      <c r="IO192" s="1084"/>
      <c r="IP192" s="1083"/>
      <c r="IQ192" s="1083"/>
      <c r="IR192" s="1083"/>
      <c r="IS192" s="1083"/>
      <c r="IT192" s="1083"/>
      <c r="IU192" s="1083"/>
      <c r="IV192" s="1083"/>
      <c r="IW192" s="1084"/>
      <c r="IX192" s="1056"/>
      <c r="IY192" s="1082"/>
      <c r="IZ192" s="1104"/>
      <c r="JA192" s="1037" t="s">
        <v>546</v>
      </c>
      <c r="JB192" s="1037"/>
      <c r="JC192" s="1082"/>
      <c r="JD192" s="1041"/>
      <c r="JE192" s="1037"/>
      <c r="JF192" s="1037"/>
      <c r="JG192" s="1037"/>
      <c r="JH192" s="1037"/>
      <c r="JI192" s="1035"/>
      <c r="JJ192" s="1035"/>
      <c r="JK192" s="1082">
        <f t="shared" ref="JK192:JP192" si="1060">(EX189*(1+FF192)*(1+FN192))/EX189-1</f>
        <v>0.53786</v>
      </c>
      <c r="JL192" s="1082">
        <f t="shared" si="1060"/>
        <v>0.135251</v>
      </c>
      <c r="JM192" s="1082">
        <f t="shared" si="1060"/>
        <v>0.310119762274775</v>
      </c>
      <c r="JN192" s="1082">
        <f t="shared" si="1060"/>
        <v>0.281238</v>
      </c>
      <c r="JO192" s="1082">
        <f t="shared" si="1060"/>
        <v>0.300741664630453</v>
      </c>
      <c r="JP192" s="1082">
        <f t="shared" si="1060"/>
        <v>-0.0986320000000001</v>
      </c>
      <c r="JQ192" s="1082">
        <f>(FF189*(1+FN192)*(1+FV192))/FF189-1</f>
        <v>0.748684</v>
      </c>
      <c r="JR192" s="1082">
        <f>(FG189*(1+FO192)*(1+FW192))/FG189-1</f>
        <v>0.343199</v>
      </c>
      <c r="JS192" s="1082">
        <f>(FI189*(1+FQ192)*(1+FY192))/FI189-1</f>
        <v>0.243697</v>
      </c>
      <c r="JT192" s="1082">
        <f>(FK189*(1+FS192)*(1+GA192))/FK189-1</f>
        <v>-0.12952</v>
      </c>
      <c r="KA192" s="1229" t="s">
        <v>547</v>
      </c>
      <c r="KB192" s="1148">
        <v>6</v>
      </c>
      <c r="KC192" s="1148">
        <v>11</v>
      </c>
      <c r="KD192" s="1037">
        <v>19</v>
      </c>
      <c r="KE192" s="1037">
        <v>41</v>
      </c>
      <c r="KF192" s="1037"/>
      <c r="KG192" s="1037">
        <f>SUM(KB192:KE192)</f>
        <v>77</v>
      </c>
      <c r="KP192" s="1117"/>
      <c r="LV192" s="967"/>
    </row>
    <row r="193" hidden="1" spans="1:334">
      <c r="A193" s="967" t="s">
        <v>66</v>
      </c>
      <c r="AX193" s="1059"/>
      <c r="BE193" s="1060"/>
      <c r="BN193" s="1059"/>
      <c r="BU193" s="1060"/>
      <c r="BV193" s="1059"/>
      <c r="CC193" s="1060"/>
      <c r="CD193" s="1059"/>
      <c r="CJ193" s="1061"/>
      <c r="CK193" s="1060"/>
      <c r="CL193" s="1059"/>
      <c r="CS193" s="1060"/>
      <c r="CT193" s="1059"/>
      <c r="CW193" s="1062"/>
      <c r="CX193" s="1062"/>
      <c r="DE193" s="1064"/>
      <c r="DF193" s="1064"/>
      <c r="DM193" s="1064"/>
      <c r="DN193" s="1064"/>
      <c r="DU193" s="1064"/>
      <c r="DV193" s="1064"/>
      <c r="EC193" s="1064"/>
      <c r="ED193" s="1064"/>
      <c r="EK193" s="1064"/>
      <c r="EL193" s="1064"/>
      <c r="ER193" s="1065"/>
      <c r="ET193" s="1065"/>
      <c r="EU193" s="1065"/>
      <c r="EW193" s="1038"/>
      <c r="EX193" s="1181"/>
      <c r="EY193" s="1181"/>
      <c r="EZ193" s="1181"/>
      <c r="FA193" s="1181"/>
      <c r="FB193" s="1181"/>
      <c r="FC193" s="1181"/>
      <c r="FD193" s="1181"/>
      <c r="FE193" s="1182"/>
      <c r="FF193" s="1094">
        <f t="shared" ref="FF193:GC193" si="1061">FF189/FF$216</f>
        <v>0.0379622826353172</v>
      </c>
      <c r="FG193" s="1094">
        <f t="shared" si="1061"/>
        <v>0.0455592526234963</v>
      </c>
      <c r="FH193" s="1094">
        <f t="shared" si="1061"/>
        <v>0.0416770963704631</v>
      </c>
      <c r="FI193" s="1087">
        <f t="shared" si="1061"/>
        <v>0.0391002732814799</v>
      </c>
      <c r="FJ193" s="1087">
        <f t="shared" si="1061"/>
        <v>0.0407154624617557</v>
      </c>
      <c r="FK193" s="1230">
        <f t="shared" si="1061"/>
        <v>0.0616602687140115</v>
      </c>
      <c r="FL193" s="1094">
        <f t="shared" si="1061"/>
        <v>0.0496358543417367</v>
      </c>
      <c r="FM193" s="1093">
        <f t="shared" si="1061"/>
        <v>0.0458764410286728</v>
      </c>
      <c r="FN193" s="1230">
        <f t="shared" si="1061"/>
        <v>0.049486265464458</v>
      </c>
      <c r="FO193" s="1094">
        <f t="shared" si="1061"/>
        <v>0.0533574496947773</v>
      </c>
      <c r="FP193" s="1094">
        <f t="shared" si="1061"/>
        <v>0.051348999129678</v>
      </c>
      <c r="FQ193" s="1230">
        <f t="shared" si="1061"/>
        <v>0.0487804878048781</v>
      </c>
      <c r="FR193" s="1094">
        <f t="shared" si="1061"/>
        <v>0.050397151465352</v>
      </c>
      <c r="FS193" s="1094">
        <f t="shared" si="1061"/>
        <v>0.0578318395219804</v>
      </c>
      <c r="FT193" s="1094">
        <f t="shared" si="1061"/>
        <v>0.0529807882749059</v>
      </c>
      <c r="FU193" s="1094">
        <f t="shared" si="1061"/>
        <v>0.0522032141005702</v>
      </c>
      <c r="FV193" s="1086">
        <f t="shared" si="1061"/>
        <v>0.0552699228791774</v>
      </c>
      <c r="FW193" s="1094">
        <f t="shared" si="1061"/>
        <v>0.0518062723302898</v>
      </c>
      <c r="FX193" s="1094">
        <f t="shared" si="1061"/>
        <v>0.0536054940862266</v>
      </c>
      <c r="FY193" s="1094">
        <f t="shared" si="1061"/>
        <v>0.0427967594223318</v>
      </c>
      <c r="FZ193" s="1094">
        <f t="shared" si="1061"/>
        <v>0.0498081920554387</v>
      </c>
      <c r="GA193" s="1094">
        <f t="shared" si="1061"/>
        <v>0.0496439873417721</v>
      </c>
      <c r="GB193" s="1094">
        <f t="shared" si="1061"/>
        <v>0.0460219862120365</v>
      </c>
      <c r="GC193" s="1093">
        <f t="shared" si="1061"/>
        <v>0.0497690640022622</v>
      </c>
      <c r="GD193" s="1087"/>
      <c r="GE193" s="1094"/>
      <c r="GF193" s="1094"/>
      <c r="GG193" s="1230"/>
      <c r="GH193" s="1094"/>
      <c r="GI193" s="1094"/>
      <c r="GJ193" s="1094"/>
      <c r="GK193" s="1093"/>
      <c r="GL193" s="1087"/>
      <c r="GM193" s="1094"/>
      <c r="GN193" s="1094"/>
      <c r="GO193" s="1230"/>
      <c r="GP193" s="1094"/>
      <c r="GQ193" s="1094"/>
      <c r="GR193" s="1094"/>
      <c r="GS193" s="1093"/>
      <c r="GT193" s="1087"/>
      <c r="GU193" s="1094"/>
      <c r="GV193" s="1094"/>
      <c r="GW193" s="1230"/>
      <c r="GX193" s="1094"/>
      <c r="GY193" s="1094"/>
      <c r="GZ193" s="1094"/>
      <c r="HA193" s="1093"/>
      <c r="HB193" s="1094"/>
      <c r="HC193" s="1094"/>
      <c r="HD193" s="1094"/>
      <c r="HE193" s="1094"/>
      <c r="HF193" s="1094"/>
      <c r="HG193" s="1094"/>
      <c r="HH193" s="1094"/>
      <c r="HI193" s="1093"/>
      <c r="HJ193" s="1094"/>
      <c r="HK193" s="1094"/>
      <c r="HL193" s="1094"/>
      <c r="HM193" s="1094"/>
      <c r="HN193" s="1094"/>
      <c r="HO193" s="1094"/>
      <c r="HP193" s="1094"/>
      <c r="HQ193" s="1093"/>
      <c r="HR193" s="1094"/>
      <c r="HS193" s="1094"/>
      <c r="HT193" s="1094"/>
      <c r="HU193" s="1094"/>
      <c r="HV193" s="1094"/>
      <c r="HW193" s="1094"/>
      <c r="HX193" s="1094"/>
      <c r="HY193" s="1093"/>
      <c r="HZ193" s="1094"/>
      <c r="IA193" s="1094"/>
      <c r="IB193" s="1094"/>
      <c r="IC193" s="1094"/>
      <c r="ID193" s="1094"/>
      <c r="IE193" s="1094"/>
      <c r="IF193" s="1094"/>
      <c r="IG193" s="1093"/>
      <c r="IH193" s="1094"/>
      <c r="II193" s="1094"/>
      <c r="IJ193" s="1094"/>
      <c r="IK193" s="1094"/>
      <c r="IL193" s="1094"/>
      <c r="IM193" s="1094"/>
      <c r="IN193" s="1094"/>
      <c r="IO193" s="1093"/>
      <c r="IP193" s="1094"/>
      <c r="IQ193" s="1094"/>
      <c r="IR193" s="1094"/>
      <c r="IS193" s="1094"/>
      <c r="IT193" s="1094"/>
      <c r="IU193" s="1094"/>
      <c r="IV193" s="1094"/>
      <c r="IW193" s="1093"/>
      <c r="IX193" s="1049"/>
      <c r="IY193" s="1181"/>
      <c r="IZ193" s="1049"/>
      <c r="JA193" s="1037" t="s">
        <v>548</v>
      </c>
      <c r="JB193" s="1037"/>
      <c r="JC193" s="1037"/>
      <c r="JD193" s="1041"/>
      <c r="JE193" s="1037"/>
      <c r="JF193" s="1037"/>
      <c r="JG193" s="1037"/>
      <c r="JH193" s="1037"/>
      <c r="JI193" s="1035"/>
      <c r="JJ193" s="1035"/>
      <c r="JK193" s="1035"/>
      <c r="JL193" s="1035"/>
      <c r="JM193" s="1035"/>
      <c r="JN193" s="1035"/>
      <c r="JO193" s="1035"/>
      <c r="JP193" s="1035"/>
      <c r="JQ193" s="1082">
        <f>1*(1+FF192)*(1+FN192)*(1+FV192)-1</f>
        <v>0.86234846</v>
      </c>
      <c r="JR193" s="1082">
        <f>1*(1+FG192)*(1+FO192)*(1+FW192)-1</f>
        <v>0.261263861</v>
      </c>
      <c r="JS193" s="1082">
        <f>1*(1+FI192)*(1+FQ192)*(1+FY192)-1</f>
        <v>0.315831426</v>
      </c>
      <c r="JT193" s="1082">
        <f>1*(1+FK192)*(1+FS192)*(1+GA192)-1</f>
        <v>-0.16172776</v>
      </c>
      <c r="KA193" s="1229" t="s">
        <v>545</v>
      </c>
      <c r="KB193" s="1094">
        <f>KB192/EX189</f>
        <v>0.0431654676258993</v>
      </c>
      <c r="KC193" s="1094">
        <f>KC192/EY189</f>
        <v>0.0607734806629834</v>
      </c>
      <c r="KD193" s="1094">
        <f>KD192/FA189</f>
        <v>0.109826589595376</v>
      </c>
      <c r="KE193" s="1094">
        <f>KE192/FC189</f>
        <v>0.163346613545817</v>
      </c>
      <c r="KF193" s="1037"/>
      <c r="KG193" s="1094">
        <f>KG192/FE189</f>
        <v>0.103494623655914</v>
      </c>
      <c r="KP193" s="1117"/>
      <c r="LV193" s="967"/>
    </row>
    <row r="194" hidden="1" spans="1:334">
      <c r="A194" s="1231" t="s">
        <v>105</v>
      </c>
      <c r="B194" s="1232"/>
      <c r="C194" s="1232"/>
      <c r="D194" s="1232"/>
      <c r="E194" s="1232"/>
      <c r="F194" s="1232"/>
      <c r="G194" s="1232"/>
      <c r="H194" s="1232"/>
      <c r="I194" s="1232"/>
      <c r="J194" s="1232"/>
      <c r="K194" s="1232"/>
      <c r="L194" s="1232"/>
      <c r="M194" s="1232"/>
      <c r="N194" s="1232"/>
      <c r="O194" s="1232"/>
      <c r="P194" s="1232"/>
      <c r="Q194" s="1232"/>
      <c r="R194" s="1232"/>
      <c r="S194" s="1232"/>
      <c r="T194" s="1232"/>
      <c r="U194" s="1232"/>
      <c r="V194" s="1232"/>
      <c r="W194" s="1232"/>
      <c r="X194" s="1232"/>
      <c r="Y194" s="1232"/>
      <c r="Z194" s="1232"/>
      <c r="AA194" s="1232"/>
      <c r="AB194" s="1232"/>
      <c r="AC194" s="1232"/>
      <c r="AD194" s="1232"/>
      <c r="AE194" s="1232"/>
      <c r="AF194" s="1232"/>
      <c r="AG194" s="1232"/>
      <c r="AH194" s="1232"/>
      <c r="AI194" s="1232"/>
      <c r="AJ194" s="1232"/>
      <c r="AK194" s="1232"/>
      <c r="AL194" s="1232"/>
      <c r="AM194" s="1232"/>
      <c r="AN194" s="1232"/>
      <c r="AO194" s="1232"/>
      <c r="AP194" s="1232"/>
      <c r="AQ194" s="1232"/>
      <c r="AR194" s="1232"/>
      <c r="AS194" s="1232"/>
      <c r="AT194" s="1232"/>
      <c r="AU194" s="1232"/>
      <c r="AV194" s="1232"/>
      <c r="AW194" s="1232"/>
      <c r="AX194" s="1233"/>
      <c r="AY194" s="1232"/>
      <c r="AZ194" s="1232"/>
      <c r="BA194" s="1232"/>
      <c r="BB194" s="1232"/>
      <c r="BC194" s="1232"/>
      <c r="BD194" s="1232"/>
      <c r="BE194" s="1234"/>
      <c r="BF194" s="1232"/>
      <c r="BG194" s="1232"/>
      <c r="BH194" s="1232"/>
      <c r="BI194" s="1232"/>
      <c r="BJ194" s="1232"/>
      <c r="BK194" s="1232"/>
      <c r="BL194" s="1232"/>
      <c r="BM194" s="1232"/>
      <c r="BN194" s="1233"/>
      <c r="BO194" s="1232"/>
      <c r="BP194" s="1232"/>
      <c r="BQ194" s="1232"/>
      <c r="BR194" s="1232"/>
      <c r="BS194" s="1232"/>
      <c r="BT194" s="1232"/>
      <c r="BU194" s="1234"/>
      <c r="BV194" s="1233"/>
      <c r="BW194" s="1232"/>
      <c r="BX194" s="1232"/>
      <c r="BY194" s="1232"/>
      <c r="BZ194" s="1232"/>
      <c r="CA194" s="1232"/>
      <c r="CB194" s="1232"/>
      <c r="CC194" s="1234"/>
      <c r="CD194" s="1233"/>
      <c r="CE194" s="1232"/>
      <c r="CF194" s="1232"/>
      <c r="CG194" s="1232"/>
      <c r="CH194" s="1232"/>
      <c r="CI194" s="1232"/>
      <c r="CJ194" s="1235"/>
      <c r="CK194" s="1234"/>
      <c r="CL194" s="1233"/>
      <c r="CM194" s="1232"/>
      <c r="CN194" s="1232"/>
      <c r="CO194" s="1232"/>
      <c r="CP194" s="1232"/>
      <c r="CQ194" s="1232"/>
      <c r="CR194" s="1232"/>
      <c r="CS194" s="1234"/>
      <c r="CT194" s="1233"/>
      <c r="CU194" s="1232"/>
      <c r="CV194" s="1232"/>
      <c r="CW194" s="1236"/>
      <c r="CX194" s="1236"/>
      <c r="CY194" s="1232"/>
      <c r="CZ194" s="1232"/>
      <c r="DA194" s="1232"/>
      <c r="DB194" s="1237"/>
      <c r="DC194" s="1237"/>
      <c r="DD194" s="1237"/>
      <c r="DE194" s="1238"/>
      <c r="DF194" s="1238"/>
      <c r="DG194" s="1237"/>
      <c r="DH194" s="1237"/>
      <c r="DI194" s="1239"/>
      <c r="DJ194" s="1237"/>
      <c r="DK194" s="1237"/>
      <c r="DL194" s="1237"/>
      <c r="DM194" s="1238"/>
      <c r="DN194" s="1238"/>
      <c r="DO194" s="1237"/>
      <c r="DP194" s="1237"/>
      <c r="DQ194" s="1239"/>
      <c r="DR194" s="1237"/>
      <c r="DS194" s="1237"/>
      <c r="DT194" s="1237"/>
      <c r="DU194" s="1238"/>
      <c r="DV194" s="1238"/>
      <c r="DW194" s="1237"/>
      <c r="DX194" s="1237"/>
      <c r="DY194" s="1239"/>
      <c r="DZ194" s="1237"/>
      <c r="EA194" s="1237"/>
      <c r="EB194" s="1237"/>
      <c r="EC194" s="1238"/>
      <c r="ED194" s="1238"/>
      <c r="EE194" s="1237"/>
      <c r="EF194" s="1237"/>
      <c r="EG194" s="1239"/>
      <c r="EH194" s="1237"/>
      <c r="EI194" s="1237"/>
      <c r="EJ194" s="1237"/>
      <c r="EK194" s="1238"/>
      <c r="EL194" s="1238"/>
      <c r="EM194" s="1237"/>
      <c r="EN194" s="1237"/>
      <c r="EO194" s="1239"/>
      <c r="EP194" s="1237"/>
      <c r="EQ194" s="1237"/>
      <c r="ER194" s="1240"/>
      <c r="ES194" s="1237"/>
      <c r="ET194" s="1240"/>
      <c r="EU194" s="1240"/>
      <c r="EV194" s="1237"/>
      <c r="EW194" s="1239"/>
      <c r="EX194" s="1241">
        <v>245</v>
      </c>
      <c r="EY194" s="1241">
        <v>294</v>
      </c>
      <c r="EZ194" s="1241">
        <f>EX194+EY194</f>
        <v>539</v>
      </c>
      <c r="FA194" s="1241">
        <v>296</v>
      </c>
      <c r="FB194" s="1241">
        <f>EZ194+FA194</f>
        <v>835</v>
      </c>
      <c r="FC194" s="1241">
        <v>263</v>
      </c>
      <c r="FD194" s="1241">
        <f>FA194+FC194</f>
        <v>559</v>
      </c>
      <c r="FE194" s="1242">
        <f>EX194+EY194+FA194+FC194</f>
        <v>1098</v>
      </c>
      <c r="FF194" s="1243">
        <v>162</v>
      </c>
      <c r="FG194" s="1243">
        <v>204</v>
      </c>
      <c r="FH194" s="1241">
        <f>FF194+FG194</f>
        <v>366</v>
      </c>
      <c r="FI194" s="1244">
        <v>195</v>
      </c>
      <c r="FJ194" s="1241">
        <f>FH194+FI194</f>
        <v>561</v>
      </c>
      <c r="FK194" s="1243">
        <v>178</v>
      </c>
      <c r="FL194" s="1241">
        <f>FI194+FK194</f>
        <v>373</v>
      </c>
      <c r="FM194" s="1242">
        <f>FF194+FG194+FI194+FK194</f>
        <v>739</v>
      </c>
      <c r="FN194" s="1243">
        <v>138</v>
      </c>
      <c r="FO194" s="1241">
        <v>172</v>
      </c>
      <c r="FP194" s="1241">
        <f>FN194+FO194</f>
        <v>310</v>
      </c>
      <c r="FQ194" s="1243">
        <v>195</v>
      </c>
      <c r="FR194" s="1241">
        <f>FN194+FO194+FQ194</f>
        <v>505</v>
      </c>
      <c r="FS194" s="1241">
        <f>FU194-FN194-FO194-FQ194</f>
        <v>174</v>
      </c>
      <c r="FT194" s="1241">
        <f>FQ194+FS194</f>
        <v>369</v>
      </c>
      <c r="FU194" s="1241">
        <v>679</v>
      </c>
      <c r="FV194" s="1245">
        <v>160</v>
      </c>
      <c r="FW194" s="1243">
        <v>181</v>
      </c>
      <c r="FX194" s="1241">
        <f>FV194+FW194</f>
        <v>341</v>
      </c>
      <c r="FY194" s="1243">
        <f>FQ194*(1+FY195)</f>
        <v>173</v>
      </c>
      <c r="FZ194" s="1241">
        <f>FV194+FW194+FY194</f>
        <v>514</v>
      </c>
      <c r="GA194" s="1241">
        <f>GC194-FV194-FW194-FY194</f>
        <v>146</v>
      </c>
      <c r="GB194" s="1241">
        <f>FY194+GA194</f>
        <v>319</v>
      </c>
      <c r="GC194" s="1242">
        <v>660</v>
      </c>
      <c r="GD194" s="1244">
        <f>FV194*(1+GD195)</f>
        <v>119</v>
      </c>
      <c r="GE194" s="1244">
        <v>177</v>
      </c>
      <c r="GF194" s="1241">
        <f>GD194+GE194</f>
        <v>296</v>
      </c>
      <c r="GG194" s="1244">
        <f>FY194*(1+GG195)</f>
        <v>166</v>
      </c>
      <c r="GH194" s="1241">
        <f>GD194+GE194+GG194</f>
        <v>462</v>
      </c>
      <c r="GI194" s="1244">
        <v>132</v>
      </c>
      <c r="GJ194" s="1241">
        <f>GG194+GI194</f>
        <v>298</v>
      </c>
      <c r="GK194" s="1242">
        <f>GJ194+GF194</f>
        <v>594</v>
      </c>
      <c r="GL194" s="1244">
        <f>GD194*(1+GL195)</f>
        <v>136</v>
      </c>
      <c r="GM194" s="1244">
        <f>GE194*(1+GM195)</f>
        <v>171</v>
      </c>
      <c r="GN194" s="1241">
        <f>GL194+GM194</f>
        <v>307</v>
      </c>
      <c r="GO194" s="1244">
        <f>GG194*(1+GO195)</f>
        <v>199</v>
      </c>
      <c r="GP194" s="1241">
        <f>GL194+GM194+GO194</f>
        <v>506</v>
      </c>
      <c r="GQ194" s="1244">
        <f>GI194*(1+GQ195)</f>
        <v>153</v>
      </c>
      <c r="GR194" s="1241">
        <f>GO194+GQ194</f>
        <v>352</v>
      </c>
      <c r="GS194" s="1242">
        <f>GR194+GN194</f>
        <v>659</v>
      </c>
      <c r="GT194" s="1244">
        <f>GL194*(1+GT195)</f>
        <v>154</v>
      </c>
      <c r="GU194" s="1244">
        <f>GM194*(1+GU195)</f>
        <v>104</v>
      </c>
      <c r="GV194" s="1241">
        <f>GT194+GU194</f>
        <v>258</v>
      </c>
      <c r="GW194" s="1244">
        <f>GO194*(1+GW195)</f>
        <v>187.06</v>
      </c>
      <c r="GX194" s="1241">
        <f>GT194+GU194+GW194</f>
        <v>445.06</v>
      </c>
      <c r="GY194" s="1244">
        <f>GQ194*(1+GY195)</f>
        <v>138.94</v>
      </c>
      <c r="GZ194" s="1241">
        <f>GW194+GY194</f>
        <v>326</v>
      </c>
      <c r="HA194" s="1242">
        <f>GZ194+GV194</f>
        <v>584</v>
      </c>
      <c r="HB194" s="1244"/>
      <c r="HC194" s="1244"/>
      <c r="HD194" s="1241"/>
      <c r="HE194" s="1244"/>
      <c r="HF194" s="1241"/>
      <c r="HG194" s="1244"/>
      <c r="HH194" s="1241"/>
      <c r="HI194" s="1242"/>
      <c r="HJ194" s="1244"/>
      <c r="HK194" s="1244"/>
      <c r="HL194" s="1241"/>
      <c r="HM194" s="1244"/>
      <c r="HN194" s="1241"/>
      <c r="HO194" s="1244"/>
      <c r="HP194" s="1241"/>
      <c r="HQ194" s="1242"/>
      <c r="HR194" s="1244"/>
      <c r="HS194" s="1244"/>
      <c r="HT194" s="1241"/>
      <c r="HU194" s="1244"/>
      <c r="HV194" s="1241"/>
      <c r="HW194" s="1244"/>
      <c r="HX194" s="1241"/>
      <c r="HY194" s="1242"/>
      <c r="HZ194" s="1244"/>
      <c r="IA194" s="1244"/>
      <c r="IB194" s="1241"/>
      <c r="IC194" s="1244"/>
      <c r="ID194" s="1241"/>
      <c r="IE194" s="1244"/>
      <c r="IF194" s="1241"/>
      <c r="IG194" s="1242"/>
      <c r="IH194" s="1244"/>
      <c r="II194" s="1244"/>
      <c r="IJ194" s="1241"/>
      <c r="IK194" s="1244"/>
      <c r="IL194" s="1241"/>
      <c r="IM194" s="1244"/>
      <c r="IN194" s="1241"/>
      <c r="IO194" s="1242"/>
      <c r="IP194" s="1244"/>
      <c r="IQ194" s="1244"/>
      <c r="IR194" s="1241"/>
      <c r="IS194" s="1244"/>
      <c r="IT194" s="1241"/>
      <c r="IU194" s="1244"/>
      <c r="IV194" s="1241"/>
      <c r="IW194" s="1242"/>
      <c r="IX194" s="1049"/>
      <c r="IY194" s="1071"/>
      <c r="IZ194" s="1049"/>
      <c r="JA194" s="1037"/>
      <c r="JB194" s="1037"/>
      <c r="JC194" s="1037"/>
      <c r="JD194" s="1041"/>
      <c r="JE194" s="1037"/>
      <c r="JF194" s="1037"/>
      <c r="JG194" s="1037"/>
      <c r="JH194" s="1037"/>
      <c r="JI194" s="1035"/>
      <c r="JJ194" s="1035"/>
      <c r="JK194" s="1035"/>
      <c r="JL194" s="1035"/>
      <c r="JM194" s="1035"/>
      <c r="JN194" s="1035"/>
      <c r="JO194" s="1035"/>
      <c r="JP194" s="1035"/>
      <c r="JQ194" s="1035"/>
      <c r="JR194" s="1035"/>
      <c r="JS194" s="1035"/>
      <c r="JT194" s="1035"/>
      <c r="KA194" s="1229"/>
      <c r="KB194" s="1148"/>
      <c r="KC194" s="1148"/>
      <c r="KD194" s="1037"/>
      <c r="KE194" s="1037"/>
      <c r="KF194" s="1037"/>
      <c r="KG194" s="1037"/>
      <c r="KP194" s="1117"/>
      <c r="LV194" s="967"/>
    </row>
    <row r="195" hidden="1" spans="1:334">
      <c r="A195" s="967" t="s">
        <v>61</v>
      </c>
      <c r="AX195" s="1059"/>
      <c r="BE195" s="1060"/>
      <c r="BN195" s="1059"/>
      <c r="BU195" s="1060"/>
      <c r="BV195" s="1059"/>
      <c r="CC195" s="1060"/>
      <c r="CD195" s="1059"/>
      <c r="CJ195" s="1061"/>
      <c r="CK195" s="1060"/>
      <c r="CL195" s="1059"/>
      <c r="CS195" s="1060"/>
      <c r="CT195" s="1059"/>
      <c r="CW195" s="1062"/>
      <c r="CX195" s="1062"/>
      <c r="DE195" s="1064"/>
      <c r="DF195" s="1064"/>
      <c r="DM195" s="1064"/>
      <c r="DN195" s="1064"/>
      <c r="DU195" s="1064"/>
      <c r="DV195" s="1064"/>
      <c r="EC195" s="1064"/>
      <c r="ED195" s="1064"/>
      <c r="EK195" s="1064"/>
      <c r="EL195" s="1064"/>
      <c r="ER195" s="1065"/>
      <c r="ET195" s="1065"/>
      <c r="EU195" s="1065"/>
      <c r="EW195" s="1038"/>
      <c r="EX195" s="1082"/>
      <c r="EY195" s="1082"/>
      <c r="EZ195" s="1082"/>
      <c r="FA195" s="1082"/>
      <c r="FB195" s="1082"/>
      <c r="FC195" s="1082"/>
      <c r="FD195" s="1082"/>
      <c r="FE195" s="1085"/>
      <c r="FF195" s="1091">
        <f t="shared" ref="FF195:FM195" si="1062">FF194/EX194-1</f>
        <v>-0.338775510204082</v>
      </c>
      <c r="FG195" s="1091">
        <f t="shared" si="1062"/>
        <v>-0.306122448979592</v>
      </c>
      <c r="FH195" s="1082">
        <f t="shared" si="1062"/>
        <v>-0.320964749536178</v>
      </c>
      <c r="FI195" s="1087">
        <f t="shared" si="1062"/>
        <v>-0.341216216216216</v>
      </c>
      <c r="FJ195" s="1087">
        <f t="shared" si="1062"/>
        <v>-0.32814371257485</v>
      </c>
      <c r="FK195" s="1091">
        <f t="shared" si="1062"/>
        <v>-0.32319391634981</v>
      </c>
      <c r="FL195" s="1082">
        <f t="shared" si="1062"/>
        <v>-0.332737030411449</v>
      </c>
      <c r="FM195" s="1085">
        <f t="shared" si="1062"/>
        <v>-0.32695810564663</v>
      </c>
      <c r="FN195" s="1091">
        <f t="shared" ref="FN195:FX195" si="1063">FN194/FF194-1</f>
        <v>-0.148148148148148</v>
      </c>
      <c r="FO195" s="1082">
        <f t="shared" si="1063"/>
        <v>-0.156862745098039</v>
      </c>
      <c r="FP195" s="1082">
        <f t="shared" si="1063"/>
        <v>-0.153005464480874</v>
      </c>
      <c r="FQ195" s="1091">
        <f t="shared" si="1063"/>
        <v>0</v>
      </c>
      <c r="FR195" s="1082">
        <f t="shared" si="1063"/>
        <v>-0.0998217468805704</v>
      </c>
      <c r="FS195" s="1082">
        <f t="shared" si="1063"/>
        <v>-0.0224719101123596</v>
      </c>
      <c r="FT195" s="1082">
        <f t="shared" si="1063"/>
        <v>-0.0107238605898123</v>
      </c>
      <c r="FU195" s="1082">
        <f t="shared" si="1063"/>
        <v>-0.081190798376184</v>
      </c>
      <c r="FV195" s="1086">
        <f t="shared" si="1063"/>
        <v>0.159420289855073</v>
      </c>
      <c r="FW195" s="1082">
        <f t="shared" si="1063"/>
        <v>0.0523255813953489</v>
      </c>
      <c r="FX195" s="1082">
        <f t="shared" si="1063"/>
        <v>0.1</v>
      </c>
      <c r="FY195" s="1082">
        <f>FY196+FY197</f>
        <v>-0.112820512820513</v>
      </c>
      <c r="FZ195" s="1082">
        <f>FZ194/FR194-1</f>
        <v>0.0178217821782178</v>
      </c>
      <c r="GA195" s="1082">
        <f t="shared" ref="GA195" si="1064">GA194/FS194-1</f>
        <v>-0.160919540229885</v>
      </c>
      <c r="GB195" s="1082">
        <f t="shared" ref="GB195" si="1065">GB194/FT194-1</f>
        <v>-0.13550135501355</v>
      </c>
      <c r="GC195" s="1085">
        <f t="shared" ref="GC195" si="1066">GC194/FU194-1</f>
        <v>-0.0279823269513991</v>
      </c>
      <c r="GD195" s="1087">
        <f>GD196+GD197</f>
        <v>-0.256249999999999</v>
      </c>
      <c r="GE195" s="1087">
        <v>-0.017</v>
      </c>
      <c r="GF195" s="1082">
        <f>GF194/FX194-1</f>
        <v>-0.131964809384164</v>
      </c>
      <c r="GG195" s="1087">
        <f>GG196+GG197</f>
        <v>-0.0404624277456646</v>
      </c>
      <c r="GH195" s="1082">
        <f>GH194/FZ194-1</f>
        <v>-0.101167315175097</v>
      </c>
      <c r="GI195" s="1082">
        <f>GI194/GA194-1</f>
        <v>-0.0958904109589043</v>
      </c>
      <c r="GJ195" s="1082">
        <f>GJ194/GB194-1</f>
        <v>-0.0658307210031348</v>
      </c>
      <c r="GK195" s="1085">
        <f>GK194/GC194-1</f>
        <v>-0.0999999999999996</v>
      </c>
      <c r="GL195" s="1087">
        <f>GL196+GL197</f>
        <v>0.142857142857141</v>
      </c>
      <c r="GM195" s="1087">
        <f>GM196+GM197</f>
        <v>-0.0338983050847458</v>
      </c>
      <c r="GN195" s="1082">
        <f>GN194/GF194-1</f>
        <v>0.0371621621621614</v>
      </c>
      <c r="GO195" s="1087">
        <f>GO196+GO197</f>
        <v>0.198795180722893</v>
      </c>
      <c r="GP195" s="1082">
        <f>GP194/GH194-1</f>
        <v>0.0952380952380951</v>
      </c>
      <c r="GQ195" s="1087">
        <f>GQ196+GQ197</f>
        <v>0.159090909090909</v>
      </c>
      <c r="GR195" s="1082">
        <f>GR194/GJ194-1</f>
        <v>0.181208053691276</v>
      </c>
      <c r="GS195" s="1085">
        <f>GS194/GK194-1</f>
        <v>0.109427609427609</v>
      </c>
      <c r="GT195" s="1087">
        <f>GT196+GT197</f>
        <v>0.132352941176471</v>
      </c>
      <c r="GU195" s="1087">
        <f>GU196+GU197</f>
        <v>-0.391812865497076</v>
      </c>
      <c r="GV195" s="1082">
        <f>GV194/GN194-1</f>
        <v>-0.159609120521173</v>
      </c>
      <c r="GW195" s="1087">
        <f>GW196+GW197</f>
        <v>-0.06</v>
      </c>
      <c r="GX195" s="1082">
        <f>GX194/GP194-1</f>
        <v>-0.120434782608696</v>
      </c>
      <c r="GY195" s="1087">
        <f>GY196+GY197</f>
        <v>-0.0918954248366027</v>
      </c>
      <c r="GZ195" s="1082">
        <f>GZ194/GR194-1</f>
        <v>-0.0738636363636371</v>
      </c>
      <c r="HA195" s="1085">
        <f>HA194/GS194-1</f>
        <v>-0.113808801213961</v>
      </c>
      <c r="HB195" s="1087"/>
      <c r="HC195" s="1087"/>
      <c r="HD195" s="1082"/>
      <c r="HE195" s="1087"/>
      <c r="HF195" s="1082"/>
      <c r="HG195" s="1087"/>
      <c r="HH195" s="1082"/>
      <c r="HI195" s="1085"/>
      <c r="HJ195" s="1087"/>
      <c r="HK195" s="1087"/>
      <c r="HL195" s="1082"/>
      <c r="HM195" s="1087"/>
      <c r="HN195" s="1082"/>
      <c r="HO195" s="1087"/>
      <c r="HP195" s="1082"/>
      <c r="HQ195" s="1085"/>
      <c r="HR195" s="1087"/>
      <c r="HS195" s="1087"/>
      <c r="HT195" s="1082"/>
      <c r="HU195" s="1087"/>
      <c r="HV195" s="1082"/>
      <c r="HW195" s="1087"/>
      <c r="HX195" s="1082"/>
      <c r="HY195" s="1085"/>
      <c r="HZ195" s="1087"/>
      <c r="IA195" s="1087"/>
      <c r="IB195" s="1082"/>
      <c r="IC195" s="1087"/>
      <c r="ID195" s="1082"/>
      <c r="IE195" s="1087"/>
      <c r="IF195" s="1082"/>
      <c r="IG195" s="1085"/>
      <c r="IH195" s="1087"/>
      <c r="II195" s="1087"/>
      <c r="IJ195" s="1082"/>
      <c r="IK195" s="1087"/>
      <c r="IL195" s="1082"/>
      <c r="IM195" s="1087"/>
      <c r="IN195" s="1082"/>
      <c r="IO195" s="1085"/>
      <c r="IP195" s="1087"/>
      <c r="IQ195" s="1087"/>
      <c r="IR195" s="1082"/>
      <c r="IS195" s="1087"/>
      <c r="IT195" s="1082"/>
      <c r="IU195" s="1087"/>
      <c r="IV195" s="1082"/>
      <c r="IW195" s="1085"/>
      <c r="IX195" s="1049"/>
      <c r="IY195" s="1082"/>
      <c r="IZ195" s="1049"/>
      <c r="JA195" s="1037"/>
      <c r="JB195" s="1037"/>
      <c r="JC195" s="1037"/>
      <c r="JD195" s="1041"/>
      <c r="JE195" s="1037"/>
      <c r="JF195" s="1037"/>
      <c r="JG195" s="1037"/>
      <c r="JH195" s="1037"/>
      <c r="JI195" s="1035"/>
      <c r="JJ195" s="1035"/>
      <c r="JK195" s="1035"/>
      <c r="JL195" s="1035"/>
      <c r="JM195" s="1035"/>
      <c r="JN195" s="1035"/>
      <c r="JO195" s="1035"/>
      <c r="JP195" s="1035"/>
      <c r="JQ195" s="1035"/>
      <c r="JR195" s="1035"/>
      <c r="JS195" s="1035"/>
      <c r="JT195" s="1035"/>
      <c r="KA195" s="1229" t="s">
        <v>544</v>
      </c>
      <c r="KB195" s="1148">
        <v>194</v>
      </c>
      <c r="KC195" s="1148">
        <v>235</v>
      </c>
      <c r="KD195" s="1037">
        <v>234</v>
      </c>
      <c r="KE195" s="1037">
        <v>209</v>
      </c>
      <c r="KF195" s="1037"/>
      <c r="KG195" s="1037">
        <f>SUM(KB195:KE195)</f>
        <v>872</v>
      </c>
      <c r="KP195" s="1117"/>
      <c r="LV195" s="967"/>
    </row>
    <row r="196" hidden="1" spans="1:334">
      <c r="A196" s="967" t="s">
        <v>99</v>
      </c>
      <c r="AX196" s="1059"/>
      <c r="BE196" s="1060"/>
      <c r="BN196" s="1059"/>
      <c r="BU196" s="1060"/>
      <c r="BV196" s="1059"/>
      <c r="CC196" s="1060"/>
      <c r="CD196" s="1059"/>
      <c r="CJ196" s="1061"/>
      <c r="CK196" s="1060"/>
      <c r="CL196" s="1059"/>
      <c r="CS196" s="1060"/>
      <c r="CT196" s="1059"/>
      <c r="CW196" s="1062"/>
      <c r="CX196" s="1062"/>
      <c r="DE196" s="1064"/>
      <c r="DF196" s="1064"/>
      <c r="DM196" s="1064"/>
      <c r="DN196" s="1064"/>
      <c r="DU196" s="1064"/>
      <c r="DV196" s="1064"/>
      <c r="EC196" s="1064"/>
      <c r="ED196" s="1064"/>
      <c r="EK196" s="1064"/>
      <c r="EL196" s="1064"/>
      <c r="ER196" s="1065"/>
      <c r="ET196" s="1065"/>
      <c r="EU196" s="1065"/>
      <c r="EW196" s="1038"/>
      <c r="EX196" s="1082"/>
      <c r="EY196" s="1082"/>
      <c r="EZ196" s="1082"/>
      <c r="FA196" s="1082"/>
      <c r="FB196" s="1082"/>
      <c r="FC196" s="1082"/>
      <c r="FD196" s="1082"/>
      <c r="FE196" s="1085"/>
      <c r="FF196" s="1091">
        <f t="shared" ref="FF196:FM196" si="1067">FF195-FF197</f>
        <v>-0.304775510204082</v>
      </c>
      <c r="FG196" s="1091">
        <f t="shared" si="1067"/>
        <v>-0.164122448979592</v>
      </c>
      <c r="FH196" s="1082">
        <f t="shared" si="1067"/>
        <v>-0.228055658627087</v>
      </c>
      <c r="FI196" s="1087">
        <f t="shared" si="1067"/>
        <v>-0.274216216216216</v>
      </c>
      <c r="FJ196" s="1087">
        <f t="shared" si="1067"/>
        <v>-0.244419161676647</v>
      </c>
      <c r="FK196" s="1091">
        <f t="shared" si="1067"/>
        <v>-0.16219391634981</v>
      </c>
      <c r="FL196" s="1082">
        <f t="shared" si="1067"/>
        <v>-0.221511627906977</v>
      </c>
      <c r="FM196" s="1085">
        <f t="shared" si="1067"/>
        <v>-0.224724043715847</v>
      </c>
      <c r="FN196" s="1091">
        <f t="shared" ref="FN196:FX196" si="1068">FN195-FN197</f>
        <v>-0.166148148148148</v>
      </c>
      <c r="FO196" s="1082">
        <f t="shared" si="1068"/>
        <v>-0.228862745098039</v>
      </c>
      <c r="FP196" s="1082">
        <f t="shared" si="1068"/>
        <v>-0.201103825136612</v>
      </c>
      <c r="FQ196" s="1091">
        <f t="shared" si="1068"/>
        <v>-0.074</v>
      </c>
      <c r="FR196" s="1082">
        <f t="shared" si="1068"/>
        <v>-0.156923351158645</v>
      </c>
      <c r="FS196" s="1082">
        <f t="shared" si="1068"/>
        <v>0.0295280898876404</v>
      </c>
      <c r="FT196" s="1082">
        <f t="shared" si="1068"/>
        <v>-0.0245951742627346</v>
      </c>
      <c r="FU196" s="1082">
        <f t="shared" si="1068"/>
        <v>-0.112013531799729</v>
      </c>
      <c r="FV196" s="1086">
        <f t="shared" si="1068"/>
        <v>0.257420289855072</v>
      </c>
      <c r="FW196" s="1082">
        <f t="shared" si="1068"/>
        <v>0.159325581395349</v>
      </c>
      <c r="FX196" s="1082">
        <f t="shared" si="1068"/>
        <v>0.202993548387097</v>
      </c>
      <c r="FY196" s="1082">
        <v>0.054179487179487</v>
      </c>
      <c r="FZ196" s="1082">
        <f>FZ195-FZ197</f>
        <v>0.145530693069307</v>
      </c>
      <c r="GA196" s="1082">
        <f t="shared" ref="GA196:GC196" si="1069">GA195-GA197</f>
        <v>-0.000919540229884858</v>
      </c>
      <c r="GB196" s="1082">
        <f t="shared" si="1069"/>
        <v>0.0281978319783198</v>
      </c>
      <c r="GC196" s="1085">
        <f t="shared" si="1069"/>
        <v>0.10800147275405</v>
      </c>
      <c r="GD196" s="1087">
        <v>-0.0962499999999987</v>
      </c>
      <c r="GE196" s="1087">
        <f>GE195-GE197</f>
        <v>-0.158</v>
      </c>
      <c r="GF196" s="1082">
        <f>GF195-GF197</f>
        <v>-0.131733137829911</v>
      </c>
      <c r="GG196" s="1087">
        <v>-0.108</v>
      </c>
      <c r="GH196" s="1082">
        <f>GH195-GH197</f>
        <v>-0.12374513618677</v>
      </c>
      <c r="GI196" s="1087">
        <f>GI195-GI197</f>
        <v>-0.0758904109589043</v>
      </c>
      <c r="GJ196" s="1082">
        <f t="shared" ref="GJ196:GK196" si="1070">GJ195-GJ197</f>
        <v>-0.0933040752351098</v>
      </c>
      <c r="GK196" s="1085">
        <f t="shared" si="1070"/>
        <v>-0.113159090909091</v>
      </c>
      <c r="GL196" s="1087">
        <v>-0.0771428571428595</v>
      </c>
      <c r="GM196" s="1087">
        <v>0.00710169491525423</v>
      </c>
      <c r="GN196" s="1082">
        <f>GN195-GN197</f>
        <v>-0.0267668918918928</v>
      </c>
      <c r="GO196" s="1087">
        <v>0.0667951807228928</v>
      </c>
      <c r="GP196" s="1082">
        <f>GP195-GP197</f>
        <v>0.00685064935064916</v>
      </c>
      <c r="GQ196" s="1087">
        <v>0.09</v>
      </c>
      <c r="GR196" s="1082">
        <f t="shared" ref="GR196:GS196" si="1071">GR195-GR197</f>
        <v>0.0770738255033564</v>
      </c>
      <c r="GS196" s="1085">
        <f t="shared" si="1071"/>
        <v>0.0253282828282828</v>
      </c>
      <c r="GT196" s="1087">
        <v>0.038</v>
      </c>
      <c r="GU196" s="1087">
        <v>-0.0478128654970762</v>
      </c>
      <c r="GV196" s="1082">
        <f>GV195-GV197</f>
        <v>-0.00979804560260597</v>
      </c>
      <c r="GW196" s="1087">
        <v>-0.17</v>
      </c>
      <c r="GX196" s="1082">
        <f>GX195-GX197</f>
        <v>-0.0728023715415022</v>
      </c>
      <c r="GY196" s="1087">
        <v>-0.250248366013071</v>
      </c>
      <c r="GZ196" s="1082">
        <f t="shared" ref="GZ196:HA196" si="1072">GZ195-GZ197</f>
        <v>-0.204880681818181</v>
      </c>
      <c r="HA196" s="1085">
        <f t="shared" si="1072"/>
        <v>-0.114</v>
      </c>
      <c r="HB196" s="1087"/>
      <c r="HC196" s="1087"/>
      <c r="HD196" s="1082"/>
      <c r="HE196" s="1087"/>
      <c r="HF196" s="1082"/>
      <c r="HG196" s="1087"/>
      <c r="HH196" s="1082"/>
      <c r="HI196" s="1085"/>
      <c r="HJ196" s="1087"/>
      <c r="HK196" s="1087"/>
      <c r="HL196" s="1082"/>
      <c r="HM196" s="1087"/>
      <c r="HN196" s="1082"/>
      <c r="HO196" s="1087"/>
      <c r="HP196" s="1082"/>
      <c r="HQ196" s="1085"/>
      <c r="HR196" s="1087"/>
      <c r="HS196" s="1087"/>
      <c r="HT196" s="1082"/>
      <c r="HU196" s="1087"/>
      <c r="HV196" s="1082"/>
      <c r="HW196" s="1087"/>
      <c r="HX196" s="1082"/>
      <c r="HY196" s="1085"/>
      <c r="HZ196" s="1087"/>
      <c r="IA196" s="1087"/>
      <c r="IB196" s="1082"/>
      <c r="IC196" s="1087"/>
      <c r="ID196" s="1082"/>
      <c r="IE196" s="1087"/>
      <c r="IF196" s="1082"/>
      <c r="IG196" s="1085"/>
      <c r="IH196" s="1087"/>
      <c r="II196" s="1087"/>
      <c r="IJ196" s="1082"/>
      <c r="IK196" s="1087"/>
      <c r="IL196" s="1082"/>
      <c r="IM196" s="1087"/>
      <c r="IN196" s="1082"/>
      <c r="IO196" s="1085"/>
      <c r="IP196" s="1087"/>
      <c r="IQ196" s="1087"/>
      <c r="IR196" s="1082"/>
      <c r="IS196" s="1087"/>
      <c r="IT196" s="1082"/>
      <c r="IU196" s="1087"/>
      <c r="IV196" s="1082"/>
      <c r="IW196" s="1085"/>
      <c r="IX196" s="1049"/>
      <c r="IY196" s="1082"/>
      <c r="IZ196" s="1104"/>
      <c r="JA196" s="1037"/>
      <c r="JB196" s="1037"/>
      <c r="JC196" s="1037"/>
      <c r="JD196" s="1041"/>
      <c r="JE196" s="1037"/>
      <c r="JF196" s="1037"/>
      <c r="JG196" s="1037"/>
      <c r="JH196" s="1037"/>
      <c r="JI196" s="1035"/>
      <c r="JJ196" s="1035"/>
      <c r="JK196" s="1035"/>
      <c r="JL196" s="1035"/>
      <c r="JM196" s="1035"/>
      <c r="JN196" s="1035"/>
      <c r="JO196" s="1035"/>
      <c r="JP196" s="1035"/>
      <c r="JQ196" s="1035"/>
      <c r="JR196" s="1035"/>
      <c r="JS196" s="1035"/>
      <c r="JT196" s="1035"/>
      <c r="KA196" s="1229" t="s">
        <v>545</v>
      </c>
      <c r="KB196" s="1094">
        <f>KB195/EX194</f>
        <v>0.791836734693877</v>
      </c>
      <c r="KC196" s="1094">
        <f>KC195/EY194</f>
        <v>0.799319727891156</v>
      </c>
      <c r="KD196" s="1094">
        <f>KD195/FA194</f>
        <v>0.790540540540541</v>
      </c>
      <c r="KE196" s="1094">
        <f>KE195/FC194</f>
        <v>0.79467680608365</v>
      </c>
      <c r="KF196" s="1082"/>
      <c r="KG196" s="1094">
        <f>KG195/FE194</f>
        <v>0.794171220400729</v>
      </c>
      <c r="KP196" s="1117"/>
      <c r="LV196" s="967"/>
    </row>
    <row r="197" hidden="1" spans="1:334">
      <c r="A197" s="967" t="s">
        <v>100</v>
      </c>
      <c r="AX197" s="1059"/>
      <c r="BE197" s="1060"/>
      <c r="BN197" s="1059"/>
      <c r="BU197" s="1060"/>
      <c r="BV197" s="1059"/>
      <c r="CC197" s="1060"/>
      <c r="CD197" s="1059"/>
      <c r="CJ197" s="1061"/>
      <c r="CK197" s="1060"/>
      <c r="CL197" s="1059"/>
      <c r="CS197" s="1060"/>
      <c r="CT197" s="1059"/>
      <c r="CW197" s="1062"/>
      <c r="CX197" s="1062"/>
      <c r="DE197" s="1064"/>
      <c r="DF197" s="1064"/>
      <c r="DM197" s="1064"/>
      <c r="DN197" s="1064"/>
      <c r="DU197" s="1064"/>
      <c r="DV197" s="1064"/>
      <c r="EC197" s="1064"/>
      <c r="ED197" s="1064"/>
      <c r="EK197" s="1064"/>
      <c r="EL197" s="1064"/>
      <c r="ER197" s="1065"/>
      <c r="ET197" s="1065"/>
      <c r="EU197" s="1065"/>
      <c r="EW197" s="1038"/>
      <c r="EX197" s="1083"/>
      <c r="EY197" s="1083"/>
      <c r="EZ197" s="1083"/>
      <c r="FA197" s="1083"/>
      <c r="FB197" s="1083"/>
      <c r="FC197" s="1083"/>
      <c r="FD197" s="1083"/>
      <c r="FE197" s="1084"/>
      <c r="FF197" s="1095">
        <v>-0.034</v>
      </c>
      <c r="FG197" s="1095">
        <v>-0.142</v>
      </c>
      <c r="FH197" s="1083">
        <f>(EX194*FF197+EY194*FG197)/EZ194</f>
        <v>-0.0929090909090909</v>
      </c>
      <c r="FI197" s="1087">
        <v>-0.067</v>
      </c>
      <c r="FJ197" s="1083">
        <f>(EZ194*FH197+FA194*FI197)/FB194</f>
        <v>-0.0837245508982036</v>
      </c>
      <c r="FK197" s="1095">
        <v>-0.161</v>
      </c>
      <c r="FL197" s="1083">
        <f>(FA194*FI197+FC194*FK197)/FD194</f>
        <v>-0.111225402504472</v>
      </c>
      <c r="FM197" s="1084">
        <f>(EX194*FF197+EY194*FG197+FA194*FI197+FC194*FK197)/FE194</f>
        <v>-0.102234061930783</v>
      </c>
      <c r="FN197" s="1095">
        <v>0.018</v>
      </c>
      <c r="FO197" s="1083">
        <v>0.072</v>
      </c>
      <c r="FP197" s="1083">
        <f>(FF194*FN197+FG194*FO197)/FH194</f>
        <v>0.0480983606557377</v>
      </c>
      <c r="FQ197" s="1095">
        <v>0.074</v>
      </c>
      <c r="FR197" s="1083">
        <f>(FF194*FN197+FG194*FO197+FI194*FQ197)/FJ194</f>
        <v>0.0571016042780749</v>
      </c>
      <c r="FS197" s="1083">
        <v>-0.052</v>
      </c>
      <c r="FT197" s="1083">
        <f>(FI194*FQ197+FK194*FS197)/FL194</f>
        <v>0.0138713136729223</v>
      </c>
      <c r="FU197" s="1083">
        <f>(FF194*FN197+FG194*FO197+FI194*FQ197+FK194*FS197)/FM194</f>
        <v>0.0308227334235453</v>
      </c>
      <c r="FV197" s="1086">
        <v>-0.098</v>
      </c>
      <c r="FW197" s="1083">
        <v>-0.107</v>
      </c>
      <c r="FX197" s="1083">
        <f>(FN194*FV197+FO194*FW197)/FP194</f>
        <v>-0.102993548387097</v>
      </c>
      <c r="FY197" s="1083">
        <v>-0.167</v>
      </c>
      <c r="FZ197" s="1083">
        <f>(FN194*FV197+FO194*FW197+FQ194*FY197)/FR194</f>
        <v>-0.127708910891089</v>
      </c>
      <c r="GA197" s="1083">
        <v>-0.16</v>
      </c>
      <c r="GB197" s="1083">
        <f>(FQ194*FY197+FS194*GA197)/FT194</f>
        <v>-0.16369918699187</v>
      </c>
      <c r="GC197" s="1084">
        <f>(FN194*FV197+FO194*FW197+FQ194*FY197+FS194*GA197)/FU194</f>
        <v>-0.135983799705449</v>
      </c>
      <c r="GD197" s="1087">
        <v>-0.16</v>
      </c>
      <c r="GE197" s="1087">
        <v>0.141</v>
      </c>
      <c r="GF197" s="1083">
        <f>(FV194*GD197+FW194*GE197)/FX194</f>
        <v>-0.000231671554252212</v>
      </c>
      <c r="GG197" s="1087">
        <v>0.0675375722543354</v>
      </c>
      <c r="GH197" s="1083">
        <f>(FV194*GD197+FW194*GE197+FY194*GG197)/FZ194</f>
        <v>0.0225778210116732</v>
      </c>
      <c r="GI197" s="1087">
        <v>-0.02</v>
      </c>
      <c r="GJ197" s="1083">
        <f>(FY194*GG197+GA194*GI197)/GB194</f>
        <v>0.027473354231975</v>
      </c>
      <c r="GK197" s="1084">
        <f>(FV194*GD197+FW194*GE197+FY194*GG197+GA194*GI197)/GC194</f>
        <v>0.0131590909090909</v>
      </c>
      <c r="GL197" s="1087">
        <v>0.22</v>
      </c>
      <c r="GM197" s="1087">
        <v>-0.041</v>
      </c>
      <c r="GN197" s="1083">
        <f>(GD194*GL197+GE194*GM197)/GF194</f>
        <v>0.0639290540540541</v>
      </c>
      <c r="GO197" s="1087">
        <v>0.132</v>
      </c>
      <c r="GP197" s="1083">
        <f>(GD194*GL197+GE194*GM197+GG194*GO197)/GH194</f>
        <v>0.088387445887446</v>
      </c>
      <c r="GQ197" s="1087">
        <v>0.0690909090909092</v>
      </c>
      <c r="GR197" s="1083">
        <f>(GG194*GO197+GI194*GQ197)/GJ194</f>
        <v>0.104134228187919</v>
      </c>
      <c r="GS197" s="1084">
        <f>(GD194*GL197+GE194*GM197+GG194*GO197+GI194*GQ197)/GK194</f>
        <v>0.0840993265993267</v>
      </c>
      <c r="GT197" s="1087">
        <v>0.0943529411764709</v>
      </c>
      <c r="GU197" s="1087">
        <v>-0.344</v>
      </c>
      <c r="GV197" s="1083">
        <f>(GL194*GT197+GM194*GU197)/GN194</f>
        <v>-0.149811074918567</v>
      </c>
      <c r="GW197" s="1087">
        <v>0.11</v>
      </c>
      <c r="GX197" s="1083">
        <f>(GL194*GT197+GM194*GU197+GO194*GW197)/GP194</f>
        <v>-0.0476324110671935</v>
      </c>
      <c r="GY197" s="1087">
        <v>0.158352941176468</v>
      </c>
      <c r="GZ197" s="1083">
        <f>(GO194*GW197+GQ194*GY197)/GR194</f>
        <v>0.131017045454544</v>
      </c>
      <c r="HA197" s="1084">
        <f>(GL194*GT197+GM194*GU197+GO194*GW197+GQ194*GY197)/GS194</f>
        <v>0.000191198786038943</v>
      </c>
      <c r="HB197" s="1087"/>
      <c r="HC197" s="1087"/>
      <c r="HD197" s="1083"/>
      <c r="HE197" s="1087"/>
      <c r="HF197" s="1083"/>
      <c r="HG197" s="1087"/>
      <c r="HH197" s="1083"/>
      <c r="HI197" s="1084"/>
      <c r="HJ197" s="1087"/>
      <c r="HK197" s="1087"/>
      <c r="HL197" s="1083"/>
      <c r="HM197" s="1087"/>
      <c r="HN197" s="1083"/>
      <c r="HO197" s="1087"/>
      <c r="HP197" s="1083"/>
      <c r="HQ197" s="1084"/>
      <c r="HR197" s="1087"/>
      <c r="HS197" s="1087"/>
      <c r="HT197" s="1083"/>
      <c r="HU197" s="1087"/>
      <c r="HV197" s="1083"/>
      <c r="HW197" s="1087"/>
      <c r="HX197" s="1083"/>
      <c r="HY197" s="1084"/>
      <c r="HZ197" s="1087"/>
      <c r="IA197" s="1087"/>
      <c r="IB197" s="1083"/>
      <c r="IC197" s="1087"/>
      <c r="ID197" s="1083"/>
      <c r="IE197" s="1087"/>
      <c r="IF197" s="1083"/>
      <c r="IG197" s="1084"/>
      <c r="IH197" s="1087"/>
      <c r="II197" s="1087"/>
      <c r="IJ197" s="1083"/>
      <c r="IK197" s="1087"/>
      <c r="IL197" s="1083"/>
      <c r="IM197" s="1087"/>
      <c r="IN197" s="1083"/>
      <c r="IO197" s="1084"/>
      <c r="IP197" s="1087"/>
      <c r="IQ197" s="1087"/>
      <c r="IR197" s="1083"/>
      <c r="IS197" s="1087"/>
      <c r="IT197" s="1083"/>
      <c r="IU197" s="1087"/>
      <c r="IV197" s="1083"/>
      <c r="IW197" s="1084"/>
      <c r="IX197" s="1056"/>
      <c r="IY197" s="1082"/>
      <c r="IZ197" s="1104"/>
      <c r="JA197" s="1037" t="s">
        <v>546</v>
      </c>
      <c r="JB197" s="1037"/>
      <c r="JC197" s="1082"/>
      <c r="JD197" s="1041"/>
      <c r="JE197" s="1037"/>
      <c r="JF197" s="1037"/>
      <c r="JG197" s="1037"/>
      <c r="JH197" s="1037"/>
      <c r="JI197" s="1035"/>
      <c r="JJ197" s="1035"/>
      <c r="JK197" s="1082">
        <f t="shared" ref="JK197:JP197" si="1073">(EX194*(1+FF197)*(1+FN197))/EX194-1</f>
        <v>-0.016612</v>
      </c>
      <c r="JL197" s="1082">
        <f t="shared" si="1073"/>
        <v>-0.080224</v>
      </c>
      <c r="JM197" s="1082">
        <f t="shared" si="1073"/>
        <v>-0.0492795052160954</v>
      </c>
      <c r="JN197" s="1082">
        <f t="shared" si="1073"/>
        <v>0.0020420000000001</v>
      </c>
      <c r="JO197" s="1082">
        <f t="shared" si="1073"/>
        <v>-0.0314037527938776</v>
      </c>
      <c r="JP197" s="1082">
        <f t="shared" si="1073"/>
        <v>-0.204628</v>
      </c>
      <c r="JQ197" s="1082">
        <f>(FF194*(1+FN197)*(1+FV197))/FF194-1</f>
        <v>-0.0817639999999999</v>
      </c>
      <c r="JR197" s="1082">
        <f>(FG194*(1+FO197)*(1+FW197))/FG194-1</f>
        <v>-0.042704</v>
      </c>
      <c r="JS197" s="1082">
        <f>(FI194*(1+FQ197)*(1+FY197))/FI194-1</f>
        <v>-0.105358</v>
      </c>
      <c r="JT197" s="1082">
        <f>(FK194*(1+FS197)*(1+GA197))/FK194-1</f>
        <v>-0.20368</v>
      </c>
      <c r="KA197" s="1229" t="s">
        <v>547</v>
      </c>
      <c r="KB197" s="1148">
        <v>51</v>
      </c>
      <c r="KC197" s="1148">
        <v>59</v>
      </c>
      <c r="KD197" s="1037">
        <v>62</v>
      </c>
      <c r="KE197" s="1037">
        <v>54</v>
      </c>
      <c r="KF197" s="1037"/>
      <c r="KG197" s="1037">
        <f>SUM(KB197:KE197)</f>
        <v>226</v>
      </c>
      <c r="KP197" s="1117"/>
      <c r="LV197" s="967"/>
    </row>
    <row r="198" hidden="1" spans="1:334">
      <c r="A198" s="967" t="s">
        <v>66</v>
      </c>
      <c r="AX198" s="1059"/>
      <c r="BE198" s="1060"/>
      <c r="BN198" s="1059"/>
      <c r="BU198" s="1060"/>
      <c r="BV198" s="1059"/>
      <c r="CC198" s="1060"/>
      <c r="CD198" s="1059"/>
      <c r="CJ198" s="1061"/>
      <c r="CK198" s="1060"/>
      <c r="CL198" s="1059"/>
      <c r="CS198" s="1060"/>
      <c r="CT198" s="1059"/>
      <c r="CW198" s="1062"/>
      <c r="CX198" s="1062"/>
      <c r="DE198" s="1064"/>
      <c r="DF198" s="1064"/>
      <c r="DM198" s="1064"/>
      <c r="DN198" s="1064"/>
      <c r="DU198" s="1064"/>
      <c r="DV198" s="1064"/>
      <c r="EC198" s="1064"/>
      <c r="ED198" s="1064"/>
      <c r="EK198" s="1064"/>
      <c r="EL198" s="1064"/>
      <c r="ER198" s="1065"/>
      <c r="ET198" s="1065"/>
      <c r="EU198" s="1065"/>
      <c r="EW198" s="1038"/>
      <c r="EX198" s="1181"/>
      <c r="EY198" s="1181"/>
      <c r="EZ198" s="1181"/>
      <c r="FA198" s="1181"/>
      <c r="FB198" s="1181"/>
      <c r="FC198" s="1181"/>
      <c r="FD198" s="1181"/>
      <c r="FE198" s="1182"/>
      <c r="FF198" s="1094">
        <f t="shared" ref="FF198:HA198" si="1074">FF194/FF$216</f>
        <v>0.0396767083027186</v>
      </c>
      <c r="FG198" s="1094">
        <f t="shared" si="1074"/>
        <v>0.052213974916816</v>
      </c>
      <c r="FH198" s="1094">
        <f t="shared" si="1074"/>
        <v>0.0458072590738423</v>
      </c>
      <c r="FI198" s="1087">
        <f t="shared" si="1074"/>
        <v>0.0409922219886483</v>
      </c>
      <c r="FJ198" s="1087">
        <f t="shared" si="1074"/>
        <v>0.0440103553777359</v>
      </c>
      <c r="FK198" s="1230">
        <f t="shared" si="1074"/>
        <v>0.0427063339731286</v>
      </c>
      <c r="FL198" s="1094">
        <f t="shared" si="1074"/>
        <v>0.0417927170868347</v>
      </c>
      <c r="FM198" s="1093">
        <f t="shared" si="1074"/>
        <v>0.0436890334023056</v>
      </c>
      <c r="FN198" s="1230">
        <f t="shared" si="1074"/>
        <v>0.0289368840427763</v>
      </c>
      <c r="FO198" s="1094">
        <f t="shared" si="1074"/>
        <v>0.038887632828397</v>
      </c>
      <c r="FP198" s="1094">
        <f t="shared" si="1074"/>
        <v>0.0337249782419495</v>
      </c>
      <c r="FQ198" s="1230">
        <f t="shared" si="1074"/>
        <v>0.0360310421286031</v>
      </c>
      <c r="FR198" s="1094">
        <f t="shared" si="1074"/>
        <v>0.0345795672418515</v>
      </c>
      <c r="FS198" s="1094">
        <f t="shared" si="1074"/>
        <v>0.0371318822023047</v>
      </c>
      <c r="FT198" s="1094">
        <f t="shared" si="1074"/>
        <v>0.036541889483066</v>
      </c>
      <c r="FU198" s="1094">
        <f t="shared" si="1074"/>
        <v>0.0351995852773458</v>
      </c>
      <c r="FV198" s="1086">
        <f t="shared" si="1074"/>
        <v>0.0293793609988983</v>
      </c>
      <c r="FW198" s="1094">
        <f t="shared" si="1074"/>
        <v>0.0359269551409289</v>
      </c>
      <c r="FX198" s="1094">
        <f t="shared" si="1074"/>
        <v>0.0325257535291873</v>
      </c>
      <c r="FY198" s="1094">
        <f t="shared" si="1074"/>
        <v>0.0304684748150757</v>
      </c>
      <c r="FZ198" s="1094">
        <f t="shared" si="1074"/>
        <v>0.0318029946788764</v>
      </c>
      <c r="GA198" s="1094">
        <f t="shared" si="1074"/>
        <v>0.028876582278481</v>
      </c>
      <c r="GB198" s="1094">
        <f t="shared" si="1074"/>
        <v>0.0297186510154649</v>
      </c>
      <c r="GC198" s="1093">
        <f t="shared" si="1074"/>
        <v>0.0311056650014139</v>
      </c>
      <c r="GD198" s="1087">
        <f t="shared" si="1074"/>
        <v>0.0214491708723865</v>
      </c>
      <c r="GE198" s="1094">
        <f t="shared" si="1074"/>
        <v>0.0336437939555218</v>
      </c>
      <c r="GF198" s="1094">
        <f t="shared" si="1074"/>
        <v>0.0273845869183088</v>
      </c>
      <c r="GG198" s="1230">
        <f t="shared" si="1074"/>
        <v>0.028264941256598</v>
      </c>
      <c r="GH198" s="1094">
        <f t="shared" si="1074"/>
        <v>0.0276945210406426</v>
      </c>
      <c r="GI198" s="1094">
        <f t="shared" si="1074"/>
        <v>0.0252245365946876</v>
      </c>
      <c r="GJ198" s="1094">
        <f t="shared" si="1074"/>
        <v>0.0268323428777237</v>
      </c>
      <c r="GK198" s="1093">
        <f t="shared" si="1074"/>
        <v>0.0271047227926078</v>
      </c>
      <c r="GL198" s="1087">
        <f t="shared" si="1074"/>
        <v>0.0231174570797212</v>
      </c>
      <c r="GM198" s="1094">
        <f t="shared" si="1074"/>
        <v>0.0310401161735342</v>
      </c>
      <c r="GN198" s="1094">
        <f t="shared" si="1074"/>
        <v>0.0269487359550562</v>
      </c>
      <c r="GO198" s="1230">
        <f t="shared" si="1074"/>
        <v>0.0310452418096724</v>
      </c>
      <c r="GP198" s="1094">
        <f t="shared" si="1074"/>
        <v>0.0284237726098191</v>
      </c>
      <c r="GQ198" s="1094">
        <f t="shared" si="1074"/>
        <v>0.0262031169720843</v>
      </c>
      <c r="GR198" s="1094">
        <f t="shared" si="1074"/>
        <v>0.0287370397583476</v>
      </c>
      <c r="GS198" s="1093">
        <f t="shared" si="1074"/>
        <v>0.0278753013831902</v>
      </c>
      <c r="GT198" s="1087">
        <f t="shared" si="1074"/>
        <v>0.03240058910162</v>
      </c>
      <c r="GU198" s="1094">
        <f t="shared" si="1074"/>
        <v>0.0290612625386075</v>
      </c>
      <c r="GV198" s="1094">
        <f t="shared" si="1074"/>
        <v>0.0309662663336553</v>
      </c>
      <c r="GW198" s="1230">
        <f t="shared" si="1074"/>
        <v>0.0313631624851911</v>
      </c>
      <c r="GX198" s="1094">
        <f t="shared" si="1074"/>
        <v>0.0311318526222322</v>
      </c>
      <c r="GY198" s="1094">
        <f t="shared" si="1074"/>
        <v>0.025043118901102</v>
      </c>
      <c r="GZ198" s="1094">
        <f t="shared" si="1074"/>
        <v>0.0283174082657125</v>
      </c>
      <c r="HA198" s="1093">
        <f t="shared" si="1074"/>
        <v>0.029429550493852</v>
      </c>
      <c r="HB198" s="1087"/>
      <c r="HC198" s="1094"/>
      <c r="HD198" s="1094"/>
      <c r="HE198" s="1230"/>
      <c r="HF198" s="1094"/>
      <c r="HG198" s="1094"/>
      <c r="HH198" s="1094"/>
      <c r="HI198" s="1093"/>
      <c r="HJ198" s="1087"/>
      <c r="HK198" s="1094"/>
      <c r="HL198" s="1094"/>
      <c r="HM198" s="1230"/>
      <c r="HN198" s="1094"/>
      <c r="HO198" s="1094"/>
      <c r="HP198" s="1094"/>
      <c r="HQ198" s="1093"/>
      <c r="HR198" s="1087"/>
      <c r="HS198" s="1094"/>
      <c r="HT198" s="1094"/>
      <c r="HU198" s="1230"/>
      <c r="HV198" s="1094"/>
      <c r="HW198" s="1094"/>
      <c r="HX198" s="1094"/>
      <c r="HY198" s="1093"/>
      <c r="HZ198" s="1087"/>
      <c r="IA198" s="1094"/>
      <c r="IB198" s="1094"/>
      <c r="IC198" s="1230"/>
      <c r="ID198" s="1094"/>
      <c r="IE198" s="1094"/>
      <c r="IF198" s="1094"/>
      <c r="IG198" s="1093"/>
      <c r="IH198" s="1087"/>
      <c r="II198" s="1094"/>
      <c r="IJ198" s="1094"/>
      <c r="IK198" s="1230"/>
      <c r="IL198" s="1094"/>
      <c r="IM198" s="1094"/>
      <c r="IN198" s="1094"/>
      <c r="IO198" s="1093"/>
      <c r="IP198" s="1087"/>
      <c r="IQ198" s="1094"/>
      <c r="IR198" s="1094"/>
      <c r="IS198" s="1230"/>
      <c r="IT198" s="1094"/>
      <c r="IU198" s="1094"/>
      <c r="IV198" s="1094"/>
      <c r="IW198" s="1093"/>
      <c r="IX198" s="1104"/>
      <c r="IY198" s="1181"/>
      <c r="IZ198" s="1049"/>
      <c r="JA198" s="1037" t="s">
        <v>548</v>
      </c>
      <c r="JB198" s="1037"/>
      <c r="JC198" s="1037"/>
      <c r="JD198" s="1041"/>
      <c r="JE198" s="1037"/>
      <c r="JF198" s="1037"/>
      <c r="JG198" s="1037"/>
      <c r="JH198" s="1037"/>
      <c r="JI198" s="1035"/>
      <c r="JJ198" s="1035"/>
      <c r="JK198" s="1035"/>
      <c r="JL198" s="1035"/>
      <c r="JM198" s="1035"/>
      <c r="JN198" s="1035"/>
      <c r="JO198" s="1035"/>
      <c r="JP198" s="1035"/>
      <c r="JQ198" s="1082">
        <f>1*(1+FF197)*(1+FN197)*(1+FV197)-1</f>
        <v>-0.112984024</v>
      </c>
      <c r="JR198" s="1082">
        <f>1*(1+FG197)*(1+FO197)*(1+FW197)-1</f>
        <v>-0.178640032</v>
      </c>
      <c r="JS198" s="1082">
        <f>1*(1+FI197)*(1+FQ197)*(1+FY197)-1</f>
        <v>-0.165299014</v>
      </c>
      <c r="JT198" s="1082">
        <f>1*(1+FK197)*(1+FS197)*(1+GA197)-1</f>
        <v>-0.33188752</v>
      </c>
      <c r="KA198" s="1229" t="s">
        <v>545</v>
      </c>
      <c r="KB198" s="1094">
        <f>KB197/EX194</f>
        <v>0.208163265306122</v>
      </c>
      <c r="KC198" s="1094">
        <f>KC197/EY194</f>
        <v>0.200680272108844</v>
      </c>
      <c r="KD198" s="1094">
        <f>KD197/FA194</f>
        <v>0.209459459459459</v>
      </c>
      <c r="KE198" s="1094">
        <f>KE197/FC194</f>
        <v>0.20532319391635</v>
      </c>
      <c r="KF198" s="1037"/>
      <c r="KG198" s="1094">
        <f>KG197/FE194</f>
        <v>0.205828779599271</v>
      </c>
      <c r="KP198" s="1117"/>
      <c r="LV198" s="967"/>
    </row>
    <row r="199" spans="1:334">
      <c r="A199" s="1231" t="s">
        <v>106</v>
      </c>
      <c r="B199" s="1232"/>
      <c r="C199" s="1232"/>
      <c r="D199" s="1232"/>
      <c r="E199" s="1232"/>
      <c r="F199" s="1232"/>
      <c r="G199" s="1232"/>
      <c r="H199" s="1232"/>
      <c r="I199" s="1232"/>
      <c r="J199" s="1232"/>
      <c r="K199" s="1232"/>
      <c r="L199" s="1232"/>
      <c r="M199" s="1232"/>
      <c r="N199" s="1232"/>
      <c r="O199" s="1232"/>
      <c r="P199" s="1232"/>
      <c r="Q199" s="1232"/>
      <c r="R199" s="1232"/>
      <c r="S199" s="1232"/>
      <c r="T199" s="1232"/>
      <c r="U199" s="1232"/>
      <c r="V199" s="1232"/>
      <c r="W199" s="1232"/>
      <c r="X199" s="1232"/>
      <c r="Y199" s="1232"/>
      <c r="Z199" s="1232"/>
      <c r="AA199" s="1232"/>
      <c r="AB199" s="1232"/>
      <c r="AC199" s="1232"/>
      <c r="AD199" s="1232"/>
      <c r="AE199" s="1232"/>
      <c r="AF199" s="1232"/>
      <c r="AG199" s="1232"/>
      <c r="AH199" s="1232"/>
      <c r="AI199" s="1232"/>
      <c r="AJ199" s="1232"/>
      <c r="AK199" s="1232"/>
      <c r="AL199" s="1232"/>
      <c r="AM199" s="1232"/>
      <c r="AN199" s="1232"/>
      <c r="AO199" s="1232"/>
      <c r="AP199" s="1232"/>
      <c r="AQ199" s="1232"/>
      <c r="AR199" s="1232"/>
      <c r="AS199" s="1232"/>
      <c r="AT199" s="1232"/>
      <c r="AU199" s="1232"/>
      <c r="AV199" s="1232"/>
      <c r="AW199" s="1232"/>
      <c r="AX199" s="1233"/>
      <c r="AY199" s="1232"/>
      <c r="AZ199" s="1232"/>
      <c r="BA199" s="1232"/>
      <c r="BB199" s="1232"/>
      <c r="BC199" s="1232"/>
      <c r="BD199" s="1232"/>
      <c r="BE199" s="1234"/>
      <c r="BF199" s="1232"/>
      <c r="BG199" s="1232"/>
      <c r="BH199" s="1232"/>
      <c r="BI199" s="1232"/>
      <c r="BJ199" s="1232"/>
      <c r="BK199" s="1232"/>
      <c r="BL199" s="1232"/>
      <c r="BM199" s="1232"/>
      <c r="BN199" s="1233"/>
      <c r="BO199" s="1232"/>
      <c r="BP199" s="1232"/>
      <c r="BQ199" s="1232"/>
      <c r="BR199" s="1232"/>
      <c r="BS199" s="1232"/>
      <c r="BT199" s="1232"/>
      <c r="BU199" s="1234"/>
      <c r="BV199" s="1233"/>
      <c r="BW199" s="1232"/>
      <c r="BX199" s="1232"/>
      <c r="BY199" s="1232"/>
      <c r="BZ199" s="1232"/>
      <c r="CA199" s="1232"/>
      <c r="CB199" s="1232"/>
      <c r="CC199" s="1234"/>
      <c r="CD199" s="1233"/>
      <c r="CE199" s="1232"/>
      <c r="CF199" s="1232"/>
      <c r="CG199" s="1232"/>
      <c r="CH199" s="1232"/>
      <c r="CI199" s="1232"/>
      <c r="CJ199" s="1235"/>
      <c r="CK199" s="1234"/>
      <c r="CL199" s="1233"/>
      <c r="CM199" s="1232"/>
      <c r="CN199" s="1232"/>
      <c r="CO199" s="1232"/>
      <c r="CP199" s="1232"/>
      <c r="CQ199" s="1232"/>
      <c r="CR199" s="1232"/>
      <c r="CS199" s="1234"/>
      <c r="CT199" s="1233"/>
      <c r="CU199" s="1232"/>
      <c r="CV199" s="1232"/>
      <c r="CW199" s="1236"/>
      <c r="CX199" s="1236"/>
      <c r="CY199" s="1232"/>
      <c r="CZ199" s="1232"/>
      <c r="DA199" s="1232"/>
      <c r="DB199" s="1237"/>
      <c r="DC199" s="1237"/>
      <c r="DD199" s="1237"/>
      <c r="DE199" s="1238"/>
      <c r="DF199" s="1238"/>
      <c r="DG199" s="1237"/>
      <c r="DH199" s="1237"/>
      <c r="DI199" s="1239"/>
      <c r="DJ199" s="1237"/>
      <c r="DK199" s="1237"/>
      <c r="DL199" s="1237"/>
      <c r="DM199" s="1238"/>
      <c r="DN199" s="1238"/>
      <c r="DO199" s="1237"/>
      <c r="DP199" s="1237"/>
      <c r="DQ199" s="1239"/>
      <c r="DR199" s="1237"/>
      <c r="DS199" s="1237"/>
      <c r="DT199" s="1237"/>
      <c r="DU199" s="1238"/>
      <c r="DV199" s="1238"/>
      <c r="DW199" s="1237"/>
      <c r="DX199" s="1237"/>
      <c r="DY199" s="1239"/>
      <c r="DZ199" s="1237"/>
      <c r="EA199" s="1237"/>
      <c r="EB199" s="1237"/>
      <c r="EC199" s="1238"/>
      <c r="ED199" s="1238"/>
      <c r="EE199" s="1237"/>
      <c r="EF199" s="1237"/>
      <c r="EG199" s="1239"/>
      <c r="EH199" s="1237"/>
      <c r="EI199" s="1237"/>
      <c r="EJ199" s="1237"/>
      <c r="EK199" s="1238"/>
      <c r="EL199" s="1238"/>
      <c r="EM199" s="1237"/>
      <c r="EN199" s="1237"/>
      <c r="EO199" s="1239"/>
      <c r="EP199" s="1237"/>
      <c r="EQ199" s="1237"/>
      <c r="ER199" s="1240"/>
      <c r="ES199" s="1237"/>
      <c r="ET199" s="1240"/>
      <c r="EU199" s="1240"/>
      <c r="EV199" s="1237"/>
      <c r="EW199" s="1239"/>
      <c r="EX199" s="1241">
        <v>503</v>
      </c>
      <c r="EY199" s="1241">
        <v>409</v>
      </c>
      <c r="EZ199" s="1241">
        <f>EX199+EY199</f>
        <v>912</v>
      </c>
      <c r="FA199" s="1241">
        <v>561</v>
      </c>
      <c r="FB199" s="1241">
        <f>EZ199+FA199</f>
        <v>1473</v>
      </c>
      <c r="FC199" s="1241">
        <v>452</v>
      </c>
      <c r="FD199" s="1241">
        <f>FA199+FC199</f>
        <v>1013</v>
      </c>
      <c r="FE199" s="1242">
        <f>EX199+EY199+FA199+FC199</f>
        <v>1925</v>
      </c>
      <c r="FF199" s="1243">
        <v>635</v>
      </c>
      <c r="FG199" s="1243">
        <v>536</v>
      </c>
      <c r="FH199" s="1241">
        <f>FF199+FG199</f>
        <v>1171</v>
      </c>
      <c r="FI199" s="1244">
        <v>674</v>
      </c>
      <c r="FJ199" s="1241">
        <f>FH199+FI199</f>
        <v>1845</v>
      </c>
      <c r="FK199" s="1243">
        <v>543</v>
      </c>
      <c r="FL199" s="1241">
        <f>FI199+FK199</f>
        <v>1217</v>
      </c>
      <c r="FM199" s="1242">
        <f>FF199+FG199+FI199+FK199</f>
        <v>2388</v>
      </c>
      <c r="FN199" s="1243">
        <v>701</v>
      </c>
      <c r="FO199" s="1241">
        <v>572</v>
      </c>
      <c r="FP199" s="1241">
        <f>FN199+FO199</f>
        <v>1273</v>
      </c>
      <c r="FQ199" s="1243">
        <v>794</v>
      </c>
      <c r="FR199" s="1241">
        <f>FN199+FO199+FQ199</f>
        <v>2067</v>
      </c>
      <c r="FS199" s="1241">
        <f>FU199-FN199-FO199-FQ199</f>
        <v>618</v>
      </c>
      <c r="FT199" s="1241">
        <f>FQ199+FS199</f>
        <v>1412</v>
      </c>
      <c r="FU199" s="1241">
        <v>2685</v>
      </c>
      <c r="FV199" s="1245">
        <v>833</v>
      </c>
      <c r="FW199" s="1243">
        <v>657</v>
      </c>
      <c r="FX199" s="1241">
        <f>FV199+FW199</f>
        <v>1490</v>
      </c>
      <c r="FY199" s="1243">
        <f>FQ199*(1+FY200)</f>
        <v>801</v>
      </c>
      <c r="FZ199" s="1241">
        <f>FV199+FW199+FY199</f>
        <v>2291</v>
      </c>
      <c r="GA199" s="1241">
        <f>GC199-FV199-FW199-FY199</f>
        <v>616</v>
      </c>
      <c r="GB199" s="1241">
        <f>FY199+GA199</f>
        <v>1417</v>
      </c>
      <c r="GC199" s="1242">
        <v>2907</v>
      </c>
      <c r="GD199" s="1244">
        <v>308</v>
      </c>
      <c r="GE199" s="1244">
        <v>251</v>
      </c>
      <c r="GF199" s="1241">
        <f>GD199+GE199</f>
        <v>559</v>
      </c>
      <c r="GG199" s="1244">
        <f>376*(1+GG200)</f>
        <v>329</v>
      </c>
      <c r="GH199" s="1241">
        <f>GD199+GE199+GG199</f>
        <v>888</v>
      </c>
      <c r="GI199" s="1244">
        <v>256</v>
      </c>
      <c r="GJ199" s="1241">
        <f>GG199+GI199</f>
        <v>585</v>
      </c>
      <c r="GK199" s="1242">
        <f>GJ199+GF199</f>
        <v>1144</v>
      </c>
      <c r="GL199" s="1244">
        <f>GD199*(1+GL200)</f>
        <v>330</v>
      </c>
      <c r="GM199" s="1244">
        <f>GE199*(1+GM200)</f>
        <v>281</v>
      </c>
      <c r="GN199" s="1241">
        <f>GL199+GM199</f>
        <v>611</v>
      </c>
      <c r="GO199" s="1244">
        <f>GG199*(1+GO200)</f>
        <v>388</v>
      </c>
      <c r="GP199" s="1241">
        <f>GL199+GM199+GO199</f>
        <v>999</v>
      </c>
      <c r="GQ199" s="1244">
        <f>GI199*(1+GQ200)</f>
        <v>303</v>
      </c>
      <c r="GR199" s="1241">
        <f>GO199+GQ199</f>
        <v>691</v>
      </c>
      <c r="GS199" s="1242">
        <f>GR199+GN199</f>
        <v>1302</v>
      </c>
      <c r="GT199" s="1244">
        <f>GL199*(1+GT200)</f>
        <v>293</v>
      </c>
      <c r="GU199" s="1244">
        <f>GM199*(1+GU200)</f>
        <v>108</v>
      </c>
      <c r="GV199" s="1241">
        <f>GT199+GU199</f>
        <v>401</v>
      </c>
      <c r="GW199" s="1244">
        <f>GO199*(1+GW200)</f>
        <v>314.28</v>
      </c>
      <c r="GX199" s="1241">
        <f>GT199+GU199+GW199</f>
        <v>715.28</v>
      </c>
      <c r="GY199" s="1244">
        <f>GQ199*(1+GY200)</f>
        <v>282.72</v>
      </c>
      <c r="GZ199" s="1241">
        <f>GW199+GY199</f>
        <v>597</v>
      </c>
      <c r="HA199" s="1242">
        <f>GZ199+GV199</f>
        <v>998</v>
      </c>
      <c r="HB199" s="1244">
        <f>602*(1+HB200)</f>
        <v>603</v>
      </c>
      <c r="HC199" s="1244">
        <f>337*(1+HC200)</f>
        <v>533</v>
      </c>
      <c r="HD199" s="1241">
        <f>HB199+HC199</f>
        <v>1136</v>
      </c>
      <c r="HE199" s="1244">
        <f>557*(1+HE200)</f>
        <v>504</v>
      </c>
      <c r="HF199" s="1241">
        <f>HB199+HC199+HE199</f>
        <v>1640</v>
      </c>
      <c r="HG199" s="1244">
        <f>587*(1+HG200)</f>
        <v>541</v>
      </c>
      <c r="HH199" s="1241">
        <f>HE199+HG199</f>
        <v>1045</v>
      </c>
      <c r="HI199" s="1242">
        <f>HH199+HD199</f>
        <v>2181</v>
      </c>
      <c r="HJ199" s="1244">
        <f>HB199*(1+HJ200)</f>
        <v>506</v>
      </c>
      <c r="HK199" s="1244">
        <f>HC199*(1+HK200)</f>
        <v>550</v>
      </c>
      <c r="HL199" s="1241">
        <f>HJ199+HK199</f>
        <v>1056</v>
      </c>
      <c r="HM199" s="1244">
        <f>HE199*(1+HM200)</f>
        <v>579</v>
      </c>
      <c r="HN199" s="1241">
        <f>HJ199+HK199+HM199</f>
        <v>1635</v>
      </c>
      <c r="HO199" s="1244">
        <f>HG199*(1+HO200)</f>
        <v>606</v>
      </c>
      <c r="HP199" s="1241">
        <f>HM199+HO199</f>
        <v>1185</v>
      </c>
      <c r="HQ199" s="1242">
        <f>HP199+HL199</f>
        <v>2241</v>
      </c>
      <c r="HR199" s="1244">
        <v>347</v>
      </c>
      <c r="HS199" s="1244">
        <v>306</v>
      </c>
      <c r="HT199" s="1241">
        <f>HR199+HS199</f>
        <v>653</v>
      </c>
      <c r="HU199" s="1244">
        <v>300.5</v>
      </c>
      <c r="HV199" s="1241">
        <f>HR199+HS199+HU199</f>
        <v>953.5</v>
      </c>
      <c r="HW199" s="1244">
        <v>302</v>
      </c>
      <c r="HX199" s="1241">
        <f>HU199+HW199</f>
        <v>602.5</v>
      </c>
      <c r="HY199" s="1242">
        <f>HX199+HT199</f>
        <v>1255.5</v>
      </c>
      <c r="HZ199" s="1244">
        <f>HR199*(1+HZ200)</f>
        <v>331.5</v>
      </c>
      <c r="IA199" s="1244">
        <f>HS199*(1+IA200)</f>
        <v>313.344</v>
      </c>
      <c r="IB199" s="1241">
        <f>HZ199+IA199</f>
        <v>644.844</v>
      </c>
      <c r="IC199" s="1244">
        <f>HU199*(1+IC200)</f>
        <v>357.6945</v>
      </c>
      <c r="ID199" s="1241">
        <f>HZ199+IA199+IC199</f>
        <v>1002.5385</v>
      </c>
      <c r="IE199" s="1244">
        <f>HW199*(1+IE200)</f>
        <v>318.308</v>
      </c>
      <c r="IF199" s="1241">
        <f>IC199+IE199</f>
        <v>676.0025</v>
      </c>
      <c r="IG199" s="1242">
        <f>IF199+IB199</f>
        <v>1320.8465</v>
      </c>
      <c r="IH199" s="1244">
        <f>HZ199*(1+IH200)</f>
        <v>374</v>
      </c>
      <c r="II199" s="1244">
        <f>IA199*(1+II200)</f>
        <v>355</v>
      </c>
      <c r="IJ199" s="1241">
        <f>IH199+II199</f>
        <v>729</v>
      </c>
      <c r="IK199" s="1244">
        <f>IC199*(1+IK200)</f>
        <v>358</v>
      </c>
      <c r="IL199" s="1241">
        <f>IH199+II199+IK199</f>
        <v>1087</v>
      </c>
      <c r="IM199" s="1244">
        <f>IE199*(1+IM200)</f>
        <v>319</v>
      </c>
      <c r="IN199" s="1241">
        <f>IK199+IM199</f>
        <v>677</v>
      </c>
      <c r="IO199" s="1242">
        <f>IN199+IJ199</f>
        <v>1406</v>
      </c>
      <c r="IP199" s="1244">
        <f>IH199*(1+IP200)</f>
        <v>405</v>
      </c>
      <c r="IQ199" s="1244">
        <f>II199*(1+IQ200)</f>
        <v>376</v>
      </c>
      <c r="IR199" s="1241">
        <f>IP199+IQ199</f>
        <v>781</v>
      </c>
      <c r="IS199" s="1244">
        <f>IK199*(1+IS200)</f>
        <v>362.633430063842</v>
      </c>
      <c r="IT199" s="1241">
        <f>IP199+IQ199+IS199</f>
        <v>1143.63343006384</v>
      </c>
      <c r="IU199" s="1244">
        <f>IM199*(1+IU200)</f>
        <v>330.193919107392</v>
      </c>
      <c r="IV199" s="1241">
        <f>IS199+IU199</f>
        <v>692.827349171234</v>
      </c>
      <c r="IW199" s="1242">
        <f>IV199+IR199</f>
        <v>1473.82734917123</v>
      </c>
      <c r="IX199" s="1049"/>
      <c r="IY199" s="1071"/>
      <c r="IZ199" s="1049"/>
      <c r="JA199" s="1037"/>
      <c r="JB199" s="1037"/>
      <c r="JC199" s="1037"/>
      <c r="JD199" s="1041"/>
      <c r="JE199" s="1037"/>
      <c r="JF199" s="1037"/>
      <c r="JG199" s="1037"/>
      <c r="JH199" s="1037"/>
      <c r="JI199" s="1035"/>
      <c r="JJ199" s="1035"/>
      <c r="JK199" s="1035"/>
      <c r="JL199" s="1035"/>
      <c r="JM199" s="1035"/>
      <c r="JN199" s="1035"/>
      <c r="JO199" s="1035"/>
      <c r="JP199" s="1035"/>
      <c r="JQ199" s="1035"/>
      <c r="JR199" s="1035"/>
      <c r="JS199" s="1035"/>
      <c r="JT199" s="1035"/>
      <c r="KA199" s="1229"/>
      <c r="KB199" s="1148"/>
      <c r="KC199" s="1148"/>
      <c r="KD199" s="1037"/>
      <c r="KE199" s="1037"/>
      <c r="KF199" s="1037"/>
      <c r="KG199" s="1037"/>
      <c r="KP199" s="1117"/>
      <c r="LV199" s="967"/>
    </row>
    <row r="200" spans="1:334">
      <c r="A200" s="967" t="s">
        <v>61</v>
      </c>
      <c r="AX200" s="1059"/>
      <c r="BE200" s="1060"/>
      <c r="BN200" s="1059"/>
      <c r="BU200" s="1060"/>
      <c r="BV200" s="1059"/>
      <c r="CC200" s="1060"/>
      <c r="CD200" s="1059"/>
      <c r="CJ200" s="1061"/>
      <c r="CK200" s="1060"/>
      <c r="CL200" s="1059"/>
      <c r="CS200" s="1060"/>
      <c r="CT200" s="1059"/>
      <c r="CW200" s="1062"/>
      <c r="CX200" s="1062"/>
      <c r="DE200" s="1064"/>
      <c r="DF200" s="1064"/>
      <c r="DM200" s="1064"/>
      <c r="DN200" s="1064"/>
      <c r="DU200" s="1064"/>
      <c r="DV200" s="1064"/>
      <c r="EC200" s="1064"/>
      <c r="ED200" s="1064"/>
      <c r="EK200" s="1064"/>
      <c r="EL200" s="1064"/>
      <c r="ER200" s="1065"/>
      <c r="ET200" s="1065"/>
      <c r="EU200" s="1065"/>
      <c r="EW200" s="1038"/>
      <c r="EX200" s="1082"/>
      <c r="EY200" s="1082"/>
      <c r="EZ200" s="1082"/>
      <c r="FA200" s="1082"/>
      <c r="FB200" s="1082"/>
      <c r="FC200" s="1082"/>
      <c r="FD200" s="1082"/>
      <c r="FE200" s="1085"/>
      <c r="FF200" s="1091">
        <f t="shared" ref="FF200:FM200" si="1075">FF199/EX199-1</f>
        <v>0.262425447316103</v>
      </c>
      <c r="FG200" s="1091">
        <f t="shared" si="1075"/>
        <v>0.310513447432763</v>
      </c>
      <c r="FH200" s="1082">
        <f t="shared" si="1075"/>
        <v>0.283991228070176</v>
      </c>
      <c r="FI200" s="1087">
        <f t="shared" si="1075"/>
        <v>0.201426024955437</v>
      </c>
      <c r="FJ200" s="1087">
        <f t="shared" si="1075"/>
        <v>0.252545824847251</v>
      </c>
      <c r="FK200" s="1091">
        <f t="shared" si="1075"/>
        <v>0.201327433628319</v>
      </c>
      <c r="FL200" s="1082">
        <f t="shared" si="1075"/>
        <v>0.201382033563672</v>
      </c>
      <c r="FM200" s="1085">
        <f t="shared" si="1075"/>
        <v>0.240519480519481</v>
      </c>
      <c r="FN200" s="1091">
        <f t="shared" ref="FN200:FX200" si="1076">FN199/FF199-1</f>
        <v>0.103937007874016</v>
      </c>
      <c r="FO200" s="1082">
        <f t="shared" si="1076"/>
        <v>0.0671641791044777</v>
      </c>
      <c r="FP200" s="1082">
        <f t="shared" si="1076"/>
        <v>0.0871050384286933</v>
      </c>
      <c r="FQ200" s="1091">
        <f t="shared" si="1076"/>
        <v>0.178041543026706</v>
      </c>
      <c r="FR200" s="1082">
        <f t="shared" si="1076"/>
        <v>0.120325203252033</v>
      </c>
      <c r="FS200" s="1082">
        <f t="shared" si="1076"/>
        <v>0.138121546961326</v>
      </c>
      <c r="FT200" s="1082">
        <f t="shared" si="1076"/>
        <v>0.160230073952342</v>
      </c>
      <c r="FU200" s="1082">
        <f t="shared" si="1076"/>
        <v>0.124371859296482</v>
      </c>
      <c r="FV200" s="1086">
        <f t="shared" si="1076"/>
        <v>0.18830242510699</v>
      </c>
      <c r="FW200" s="1082">
        <f t="shared" si="1076"/>
        <v>0.148601398601399</v>
      </c>
      <c r="FX200" s="1082">
        <f t="shared" si="1076"/>
        <v>0.170463472113119</v>
      </c>
      <c r="FY200" s="1082">
        <f>FY201+FY202</f>
        <v>0.00881612090680093</v>
      </c>
      <c r="FZ200" s="1082">
        <f>FZ199/FR199-1</f>
        <v>0.10836961780358</v>
      </c>
      <c r="GA200" s="1082">
        <f t="shared" ref="GA200" si="1077">GA199/FS199-1</f>
        <v>-0.00323624595469252</v>
      </c>
      <c r="GB200" s="1082">
        <f t="shared" ref="GB200" si="1078">GB199/FT199-1</f>
        <v>0.0035410764872521</v>
      </c>
      <c r="GC200" s="1085">
        <f t="shared" ref="GC200" si="1079">GC199/FU199-1</f>
        <v>0.0826815642458101</v>
      </c>
      <c r="GD200" s="1087">
        <f>GD201+GD202</f>
        <v>-0.16</v>
      </c>
      <c r="GE200" s="1087">
        <v>-0.092</v>
      </c>
      <c r="GF200" s="1082">
        <f>GF199/(367+277)-1</f>
        <v>-0.131987577639752</v>
      </c>
      <c r="GG200" s="1087">
        <f>GG201+GG202</f>
        <v>-0.125</v>
      </c>
      <c r="GH200" s="1082">
        <f>GH199/(367+277+376)-1</f>
        <v>-0.129411764705882</v>
      </c>
      <c r="GI200" s="1087">
        <v>-0.09</v>
      </c>
      <c r="GJ200" s="1082">
        <f>GJ199/(376+280)-1</f>
        <v>-0.108231707317073</v>
      </c>
      <c r="GK200" s="1085">
        <f>GK199/(367+277+376+280)-1</f>
        <v>-0.12</v>
      </c>
      <c r="GL200" s="1087">
        <f>GL201+GL202</f>
        <v>0.0714285714285713</v>
      </c>
      <c r="GM200" s="1087">
        <f>GM201+GM202</f>
        <v>0.119521912350598</v>
      </c>
      <c r="GN200" s="1082">
        <f>GN199/GF199-1</f>
        <v>0.0930232558139534</v>
      </c>
      <c r="GO200" s="1087">
        <f>GO201+GO202</f>
        <v>0.179331306990882</v>
      </c>
      <c r="GP200" s="1082">
        <f>GP199/GH199-1</f>
        <v>0.125</v>
      </c>
      <c r="GQ200" s="1087">
        <f>GQ201+GQ202</f>
        <v>0.183593749999998</v>
      </c>
      <c r="GR200" s="1082">
        <f>GR199/GJ199-1</f>
        <v>0.181196581196581</v>
      </c>
      <c r="GS200" s="1085">
        <f>GS199/GK199-1</f>
        <v>0.138111888111888</v>
      </c>
      <c r="GT200" s="1087">
        <f>GT201+GT202</f>
        <v>-0.112121212121212</v>
      </c>
      <c r="GU200" s="1087">
        <f>GU201+GU202</f>
        <v>-0.615658362989324</v>
      </c>
      <c r="GV200" s="1082">
        <f>GV199/GN199-1</f>
        <v>-0.343698854337152</v>
      </c>
      <c r="GW200" s="1087">
        <f>GW201+GW202</f>
        <v>-0.19</v>
      </c>
      <c r="GX200" s="1082">
        <f>GX199/GP199-1</f>
        <v>-0.284004004004004</v>
      </c>
      <c r="GY200" s="1087">
        <f>GY201+GY202</f>
        <v>-0.066930693069306</v>
      </c>
      <c r="GZ200" s="1082">
        <f>GZ199/GR199-1</f>
        <v>-0.136034732272069</v>
      </c>
      <c r="HA200" s="1085">
        <f>HA199/GS199-1</f>
        <v>-0.233486943164362</v>
      </c>
      <c r="HB200" s="1087">
        <f>HB201+HB202</f>
        <v>0.00166112956810628</v>
      </c>
      <c r="HC200" s="1087">
        <f>HC201+HC202</f>
        <v>0.58160237388724</v>
      </c>
      <c r="HD200" s="1082">
        <f>HD199/(602+337)-1</f>
        <v>0.209797657082002</v>
      </c>
      <c r="HE200" s="1087">
        <f>HE201+HE202</f>
        <v>-0.0951526032315971</v>
      </c>
      <c r="HF200" s="1082">
        <f>HF199/GX199-1</f>
        <v>1.29280841069232</v>
      </c>
      <c r="HG200" s="1087">
        <f>HG201+HG202</f>
        <v>-0.0783645655877345</v>
      </c>
      <c r="HH200" s="1082">
        <f>HH199/(557+587)-1</f>
        <v>-0.0865384615384613</v>
      </c>
      <c r="HI200" s="1085">
        <f>HI199/2083-1</f>
        <v>0.0470475276044167</v>
      </c>
      <c r="HJ200" s="1087">
        <f>HJ201+HJ202</f>
        <v>-0.160862354892206</v>
      </c>
      <c r="HK200" s="1087">
        <f>HK201+HK202</f>
        <v>0.0318949343339587</v>
      </c>
      <c r="HL200" s="1082">
        <f>HL199/HD199-1</f>
        <v>-0.0704225352112676</v>
      </c>
      <c r="HM200" s="1087">
        <f>HM201+HM202</f>
        <v>0.148809523809523</v>
      </c>
      <c r="HN200" s="1082">
        <f>HN199/HF199-1</f>
        <v>-0.0030487804878051</v>
      </c>
      <c r="HO200" s="1087">
        <f>HO201+HO202</f>
        <v>0.120147874306839</v>
      </c>
      <c r="HP200" s="1082">
        <f>HP199/HH199-1</f>
        <v>0.133971291866029</v>
      </c>
      <c r="HQ200" s="1085">
        <f>HQ199/HI199-1</f>
        <v>0.0275103163686383</v>
      </c>
      <c r="HR200" s="1087"/>
      <c r="HS200" s="1087"/>
      <c r="HT200" s="1082"/>
      <c r="HU200" s="1087"/>
      <c r="HV200" s="1082"/>
      <c r="HW200" s="1087"/>
      <c r="HX200" s="1082"/>
      <c r="HY200" s="1085"/>
      <c r="HZ200" s="1087">
        <f>HZ201+HZ202</f>
        <v>-0.0446685878962535</v>
      </c>
      <c r="IA200" s="1087">
        <f>IA201+IA202</f>
        <v>0.024</v>
      </c>
      <c r="IB200" s="1082">
        <f>IB199/HT199-1</f>
        <v>-0.0124900459418069</v>
      </c>
      <c r="IC200" s="1087">
        <f>IC201+IC202</f>
        <v>0.190331114808652</v>
      </c>
      <c r="ID200" s="1082">
        <f>ID199/HV199-1</f>
        <v>0.0514299947561616</v>
      </c>
      <c r="IE200" s="1087">
        <f>IE201+IE202</f>
        <v>0.054</v>
      </c>
      <c r="IF200" s="1082">
        <f>IF199/HX199-1</f>
        <v>0.121995850622407</v>
      </c>
      <c r="IG200" s="1085">
        <f>IG199/HY199-1</f>
        <v>0.0520481879729193</v>
      </c>
      <c r="IH200" s="1087">
        <f>IH201+IH202</f>
        <v>0.128205128205128</v>
      </c>
      <c r="II200" s="1087">
        <f>II201+II202</f>
        <v>0.132940155228758</v>
      </c>
      <c r="IJ200" s="1082">
        <f>IJ199/IB199-1</f>
        <v>0.130505982842362</v>
      </c>
      <c r="IK200" s="1087">
        <f>IK201+IK202</f>
        <v>0.000854080786815412</v>
      </c>
      <c r="IL200" s="1082">
        <f>IL199/ID199-1</f>
        <v>0.0842476373725292</v>
      </c>
      <c r="IM200" s="1087">
        <f>IM201+IM202</f>
        <v>0.00217399499855497</v>
      </c>
      <c r="IN200" s="1082">
        <f>IN199/IF199-1</f>
        <v>0.00147558625892596</v>
      </c>
      <c r="IO200" s="1085">
        <f>IO199/IG199-1</f>
        <v>0.0644688841587568</v>
      </c>
      <c r="IP200" s="1087">
        <f>IP201+IP202</f>
        <v>0.0828877005347592</v>
      </c>
      <c r="IQ200" s="1087">
        <f>IQ201+IQ202</f>
        <v>0.0591549295774645</v>
      </c>
      <c r="IR200" s="1082">
        <f>IR199/IJ199-1</f>
        <v>0.0713305898491081</v>
      </c>
      <c r="IS200" s="1087">
        <f>IS201+IS202</f>
        <v>0.0129425420777713</v>
      </c>
      <c r="IT200" s="1082">
        <f>IT199/IL199-1</f>
        <v>0.0521006716318695</v>
      </c>
      <c r="IU200" s="1087">
        <f>IU201+IU202</f>
        <v>0.0350906555090655</v>
      </c>
      <c r="IV200" s="1082">
        <f>IV199/IN199-1</f>
        <v>0.02337865461039</v>
      </c>
      <c r="IW200" s="1085">
        <f>IW199/IO199-1</f>
        <v>0.0482413578742773</v>
      </c>
      <c r="IX200" s="1049"/>
      <c r="IY200" s="1082"/>
      <c r="IZ200" s="1049"/>
      <c r="JA200" s="1037"/>
      <c r="JB200" s="1037"/>
      <c r="JC200" s="1037"/>
      <c r="JD200" s="1041"/>
      <c r="JE200" s="1037"/>
      <c r="JF200" s="1037"/>
      <c r="JG200" s="1037"/>
      <c r="JH200" s="1037"/>
      <c r="JI200" s="1035"/>
      <c r="JJ200" s="1035"/>
      <c r="JK200" s="1035"/>
      <c r="JL200" s="1035"/>
      <c r="JM200" s="1035"/>
      <c r="JN200" s="1035"/>
      <c r="JO200" s="1035"/>
      <c r="JP200" s="1035"/>
      <c r="JQ200" s="1035"/>
      <c r="JR200" s="1035"/>
      <c r="JS200" s="1035"/>
      <c r="JT200" s="1035"/>
      <c r="KA200" s="1229" t="s">
        <v>544</v>
      </c>
      <c r="KB200" s="1148">
        <v>452</v>
      </c>
      <c r="KC200" s="1148">
        <v>356</v>
      </c>
      <c r="KD200" s="1037">
        <v>497</v>
      </c>
      <c r="KE200" s="1037">
        <v>388</v>
      </c>
      <c r="KF200" s="1037"/>
      <c r="KG200" s="1037">
        <f>SUM(KB200:KE200)</f>
        <v>1693</v>
      </c>
      <c r="KP200" s="1117"/>
      <c r="LV200" s="967"/>
    </row>
    <row r="201" spans="1:334">
      <c r="A201" s="967" t="s">
        <v>99</v>
      </c>
      <c r="AX201" s="1059"/>
      <c r="BE201" s="1060"/>
      <c r="BN201" s="1059"/>
      <c r="BU201" s="1060"/>
      <c r="BV201" s="1059"/>
      <c r="CC201" s="1060"/>
      <c r="CD201" s="1059"/>
      <c r="CJ201" s="1061"/>
      <c r="CK201" s="1060"/>
      <c r="CL201" s="1059"/>
      <c r="CS201" s="1060"/>
      <c r="CT201" s="1059"/>
      <c r="CW201" s="1062"/>
      <c r="CX201" s="1062"/>
      <c r="DE201" s="1064"/>
      <c r="DF201" s="1064"/>
      <c r="DM201" s="1064"/>
      <c r="DN201" s="1064"/>
      <c r="DU201" s="1064"/>
      <c r="DV201" s="1064"/>
      <c r="EC201" s="1064"/>
      <c r="ED201" s="1064"/>
      <c r="EK201" s="1064"/>
      <c r="EL201" s="1064"/>
      <c r="ER201" s="1065"/>
      <c r="ET201" s="1065"/>
      <c r="EU201" s="1065"/>
      <c r="EW201" s="1038"/>
      <c r="EX201" s="1082"/>
      <c r="EY201" s="1082"/>
      <c r="EZ201" s="1082"/>
      <c r="FA201" s="1082"/>
      <c r="FB201" s="1082"/>
      <c r="FC201" s="1082"/>
      <c r="FD201" s="1082"/>
      <c r="FE201" s="1085"/>
      <c r="FF201" s="1091">
        <f t="shared" ref="FF201:FM201" si="1080">FF200-FF202</f>
        <v>0.166425447316103</v>
      </c>
      <c r="FG201" s="1091">
        <f t="shared" si="1080"/>
        <v>0.154513447432763</v>
      </c>
      <c r="FH201" s="1082">
        <f t="shared" si="1080"/>
        <v>0.161083333333333</v>
      </c>
      <c r="FI201" s="1087">
        <f t="shared" si="1080"/>
        <v>0.0664260249554367</v>
      </c>
      <c r="FJ201" s="1087">
        <f t="shared" si="1080"/>
        <v>0.125032586558045</v>
      </c>
      <c r="FK201" s="1091">
        <f t="shared" si="1080"/>
        <v>0.0333274336283186</v>
      </c>
      <c r="FL201" s="1082">
        <f t="shared" si="1080"/>
        <v>0.0516574531095755</v>
      </c>
      <c r="FM201" s="1085">
        <f t="shared" si="1080"/>
        <v>0.10349974025974</v>
      </c>
      <c r="FN201" s="1091">
        <f t="shared" ref="FN201:FX201" si="1081">FN200-FN202</f>
        <v>-0.0680629921259842</v>
      </c>
      <c r="FO201" s="1082">
        <f t="shared" si="1081"/>
        <v>-0.0748358208955223</v>
      </c>
      <c r="FP201" s="1082">
        <f t="shared" si="1081"/>
        <v>-0.0711631084543126</v>
      </c>
      <c r="FQ201" s="1091">
        <f t="shared" si="1081"/>
        <v>-0.0129584569732938</v>
      </c>
      <c r="FR201" s="1082">
        <f t="shared" si="1081"/>
        <v>-0.04990027100271</v>
      </c>
      <c r="FS201" s="1082">
        <f t="shared" si="1081"/>
        <v>0.00212154696132594</v>
      </c>
      <c r="FT201" s="1082">
        <f t="shared" si="1081"/>
        <v>-0.00623007395234174</v>
      </c>
      <c r="FU201" s="1082">
        <f t="shared" si="1081"/>
        <v>-0.038071189279732</v>
      </c>
      <c r="FV201" s="1086">
        <f t="shared" si="1081"/>
        <v>0.03530242510699</v>
      </c>
      <c r="FW201" s="1082">
        <f t="shared" si="1081"/>
        <v>0.0226013986013985</v>
      </c>
      <c r="FX201" s="1082">
        <f t="shared" si="1081"/>
        <v>0.0295954438334643</v>
      </c>
      <c r="FY201" s="1082">
        <v>-0.0461838790931991</v>
      </c>
      <c r="FZ201" s="1082">
        <f>FZ200-FZ202</f>
        <v>0.000486211901306183</v>
      </c>
      <c r="GA201" s="1082">
        <f t="shared" ref="GA201:GC201" si="1082">GA200-GA202</f>
        <v>-0.0732362459546925</v>
      </c>
      <c r="GB201" s="1082">
        <f t="shared" si="1082"/>
        <v>-0.0580240793201133</v>
      </c>
      <c r="GC201" s="1085">
        <f t="shared" si="1082"/>
        <v>-0.0164823091247672</v>
      </c>
      <c r="GD201" s="1087">
        <v>-0.11</v>
      </c>
      <c r="GE201" s="1087">
        <f>GE200-GE202</f>
        <v>-0.107</v>
      </c>
      <c r="GF201" s="1082">
        <f>GF200-GF202</f>
        <v>-0.110648651465255</v>
      </c>
      <c r="GG201" s="1087">
        <v>-0.102</v>
      </c>
      <c r="GH201" s="1082">
        <f>GH200-GH202</f>
        <v>-0.107492078979126</v>
      </c>
      <c r="GI201" s="1087">
        <f>GI200-GI202</f>
        <v>-0.04</v>
      </c>
      <c r="GJ201" s="1082">
        <f t="shared" ref="GJ201:GK201" si="1083">GJ200-GJ202</f>
        <v>-0.0734942337814347</v>
      </c>
      <c r="GK201" s="1085">
        <f t="shared" si="1083"/>
        <v>-0.0921300309597524</v>
      </c>
      <c r="GL201" s="1087">
        <v>-0.0285714285714288</v>
      </c>
      <c r="GM201" s="1087">
        <v>-0.0044780876494025</v>
      </c>
      <c r="GN201" s="1082">
        <f>GN200-GN202</f>
        <v>-0.0177531305903399</v>
      </c>
      <c r="GO201" s="1087">
        <v>0.0393313069908822</v>
      </c>
      <c r="GP201" s="1082">
        <f>GP200-GP202</f>
        <v>0.00339639639639661</v>
      </c>
      <c r="GQ201" s="1087">
        <v>0.05</v>
      </c>
      <c r="GR201" s="1082">
        <f t="shared" ref="GR201:GS201" si="1084">GR200-GR202</f>
        <v>0.0440000000000003</v>
      </c>
      <c r="GS201" s="1085">
        <f t="shared" si="1084"/>
        <v>0.013825174825175</v>
      </c>
      <c r="GT201" s="1087">
        <v>-0.001</v>
      </c>
      <c r="GU201" s="1087">
        <v>-0.0156583629893239</v>
      </c>
      <c r="GV201" s="1082">
        <f>GV200-GV202</f>
        <v>-0.00774140752864172</v>
      </c>
      <c r="GW201" s="1087">
        <v>-0.09</v>
      </c>
      <c r="GX201" s="1082">
        <f>GX200-GX202</f>
        <v>-0.0396896896896897</v>
      </c>
      <c r="GY201" s="1087">
        <v>-0.105478547854779</v>
      </c>
      <c r="GZ201" s="1082">
        <f t="shared" ref="GZ201:HA201" si="1085">GZ200-GZ202</f>
        <v>-0.0967872648335715</v>
      </c>
      <c r="HA201" s="1085">
        <f t="shared" si="1085"/>
        <v>-0.0549999999999985</v>
      </c>
      <c r="HB201" s="1087">
        <v>-0.0373388704318937</v>
      </c>
      <c r="HC201" s="1087">
        <v>-0.08</v>
      </c>
      <c r="HD201" s="1087">
        <f t="shared" ref="HD201:HI201" si="1086">HD486</f>
        <v>-0.0837160751565762</v>
      </c>
      <c r="HE201" s="1087">
        <v>-0.014</v>
      </c>
      <c r="HF201" s="1087">
        <f t="shared" si="1086"/>
        <v>-0.0762926292629262</v>
      </c>
      <c r="HG201" s="1087">
        <v>-0.0183645655877345</v>
      </c>
      <c r="HH201" s="1087">
        <f t="shared" si="1086"/>
        <v>-0.0594051446945336</v>
      </c>
      <c r="HI201" s="1088">
        <f t="shared" si="1086"/>
        <v>-0.071329100962523</v>
      </c>
      <c r="HJ201" s="1087">
        <v>-0.003</v>
      </c>
      <c r="HK201" s="1087">
        <v>0.00589493433395869</v>
      </c>
      <c r="HL201" s="1087">
        <f t="shared" ref="HL201:HQ201" si="1087">HL486</f>
        <v>-0.0371797341552687</v>
      </c>
      <c r="HM201" s="1087">
        <v>0.00280952380952303</v>
      </c>
      <c r="HN201" s="1087">
        <f t="shared" si="1087"/>
        <v>-0.043466039760822</v>
      </c>
      <c r="HO201" s="1087">
        <v>-0.0418521256931606</v>
      </c>
      <c r="HP201" s="1087">
        <f t="shared" si="1087"/>
        <v>-0.0750056908718417</v>
      </c>
      <c r="HQ201" s="1088">
        <f t="shared" si="1087"/>
        <v>-0.0562384111024028</v>
      </c>
      <c r="HR201" s="1087"/>
      <c r="HS201" s="1087"/>
      <c r="HT201" s="1082"/>
      <c r="HU201" s="1087"/>
      <c r="HV201" s="1087"/>
      <c r="HW201" s="1087"/>
      <c r="HX201" s="1091"/>
      <c r="HY201" s="1088"/>
      <c r="HZ201" s="1087">
        <v>-0.096</v>
      </c>
      <c r="IA201" s="1087">
        <v>-0.076</v>
      </c>
      <c r="IB201" s="1087">
        <f>IB200-IB202</f>
        <v>-0.0866278713629402</v>
      </c>
      <c r="IC201" s="1087">
        <v>0.0203311148086523</v>
      </c>
      <c r="ID201" s="1087">
        <f>ID200-ID202</f>
        <v>-0.0529192448872574</v>
      </c>
      <c r="IE201" s="1087">
        <v>-0.036</v>
      </c>
      <c r="IF201" s="1087">
        <f>IF200-IF202</f>
        <v>-0.0137215765353722</v>
      </c>
      <c r="IG201" s="1088">
        <f>IG200-IG202</f>
        <v>-0.0488494623655912</v>
      </c>
      <c r="IH201" s="1087">
        <v>-0.026</v>
      </c>
      <c r="II201" s="1087">
        <v>-0.0170598447712418</v>
      </c>
      <c r="IJ201" s="1087">
        <f>IJ200-IJ202</f>
        <v>-0.0216557803127577</v>
      </c>
      <c r="IK201" s="1087">
        <v>-0.109145919213185</v>
      </c>
      <c r="IL201" s="1087">
        <f>IL200-IL202</f>
        <v>-0.052871281252541</v>
      </c>
      <c r="IM201" s="1087">
        <v>-0.127826005001445</v>
      </c>
      <c r="IN201" s="1087">
        <f>IN200-IN202</f>
        <v>-0.117095056951629</v>
      </c>
      <c r="IO201" s="1088">
        <f>IO200-IO202</f>
        <v>-0.0709344613473257</v>
      </c>
      <c r="IP201" s="1087">
        <v>-0.147112299465241</v>
      </c>
      <c r="IQ201" s="1087">
        <v>-0.120845070422535</v>
      </c>
      <c r="IR201" s="1087">
        <f>IR200-IR202</f>
        <v>-0.134320987654321</v>
      </c>
      <c r="IS201" s="1087">
        <f>IS486</f>
        <v>-0.0870574579222287</v>
      </c>
      <c r="IT201" s="1087">
        <f>IT200-IT202</f>
        <v>-0.118754894145499</v>
      </c>
      <c r="IU201" s="1087">
        <f>IU486</f>
        <v>-0.0449093444909345</v>
      </c>
      <c r="IV201" s="1087">
        <f>IV200-IV202</f>
        <v>-0.0680507021790547</v>
      </c>
      <c r="IW201" s="1087">
        <f>IW486</f>
        <v>-0.0979492115199525</v>
      </c>
      <c r="IX201" s="1049"/>
      <c r="IY201" s="1082"/>
      <c r="IZ201" s="1104"/>
      <c r="JA201" s="1037"/>
      <c r="JB201" s="1037"/>
      <c r="JC201" s="1037"/>
      <c r="JD201" s="1041"/>
      <c r="JE201" s="1037"/>
      <c r="JF201" s="1037"/>
      <c r="JG201" s="1037"/>
      <c r="JH201" s="1037"/>
      <c r="JI201" s="1035"/>
      <c r="JJ201" s="1035"/>
      <c r="JK201" s="1035"/>
      <c r="JL201" s="1035"/>
      <c r="JM201" s="1035"/>
      <c r="JN201" s="1035"/>
      <c r="JO201" s="1035"/>
      <c r="JP201" s="1035"/>
      <c r="JQ201" s="1035"/>
      <c r="JR201" s="1035"/>
      <c r="JS201" s="1035"/>
      <c r="JT201" s="1035"/>
      <c r="KA201" s="1229" t="s">
        <v>545</v>
      </c>
      <c r="KB201" s="1094">
        <f>KB200/EX199</f>
        <v>0.898608349900596</v>
      </c>
      <c r="KC201" s="1094">
        <f>KC200/EY199</f>
        <v>0.87041564792176</v>
      </c>
      <c r="KD201" s="1094">
        <f>KD200/FA199</f>
        <v>0.885918003565062</v>
      </c>
      <c r="KE201" s="1094">
        <f>KE200/FC199</f>
        <v>0.858407079646018</v>
      </c>
      <c r="KF201" s="1082"/>
      <c r="KG201" s="1094">
        <f>KG200/FE199</f>
        <v>0.87948051948052</v>
      </c>
      <c r="KP201" s="1117"/>
      <c r="LV201" s="967"/>
    </row>
    <row r="202" spans="1:334">
      <c r="A202" s="967" t="s">
        <v>100</v>
      </c>
      <c r="AX202" s="1059"/>
      <c r="BE202" s="1060"/>
      <c r="BN202" s="1059"/>
      <c r="BU202" s="1060"/>
      <c r="BV202" s="1059"/>
      <c r="CC202" s="1060"/>
      <c r="CD202" s="1059"/>
      <c r="CJ202" s="1061"/>
      <c r="CK202" s="1060"/>
      <c r="CL202" s="1059"/>
      <c r="CS202" s="1060"/>
      <c r="CT202" s="1059"/>
      <c r="CW202" s="1062"/>
      <c r="CX202" s="1062"/>
      <c r="DE202" s="1064"/>
      <c r="DF202" s="1064"/>
      <c r="DM202" s="1064"/>
      <c r="DN202" s="1064"/>
      <c r="DU202" s="1064"/>
      <c r="DV202" s="1064"/>
      <c r="EC202" s="1064"/>
      <c r="ED202" s="1064"/>
      <c r="EK202" s="1064"/>
      <c r="EL202" s="1064"/>
      <c r="ER202" s="1065"/>
      <c r="ET202" s="1065"/>
      <c r="EU202" s="1065"/>
      <c r="EW202" s="1038"/>
      <c r="EX202" s="1083"/>
      <c r="EY202" s="1083"/>
      <c r="EZ202" s="1083"/>
      <c r="FA202" s="1083"/>
      <c r="FB202" s="1083"/>
      <c r="FC202" s="1083"/>
      <c r="FD202" s="1083"/>
      <c r="FE202" s="1084"/>
      <c r="FF202" s="1095">
        <v>0.096</v>
      </c>
      <c r="FG202" s="1095">
        <v>0.156</v>
      </c>
      <c r="FH202" s="1083">
        <f>(EX199*FF202+EY199*FG202)/EZ199</f>
        <v>0.122907894736842</v>
      </c>
      <c r="FI202" s="1087">
        <v>0.135</v>
      </c>
      <c r="FJ202" s="1083">
        <f>(EZ199*FH202+FA199*FI202)/FB199</f>
        <v>0.127513238289206</v>
      </c>
      <c r="FK202" s="1095">
        <v>0.168</v>
      </c>
      <c r="FL202" s="1083">
        <f>(FA199*FI202+FC199*FK202)/FD199</f>
        <v>0.149724580454097</v>
      </c>
      <c r="FM202" s="1084">
        <f>(EX199*FF202+EY199*FG202+FA199*FI202+FC199*FK202)/FE199</f>
        <v>0.13701974025974</v>
      </c>
      <c r="FN202" s="1095">
        <v>0.172</v>
      </c>
      <c r="FO202" s="1083">
        <v>0.142</v>
      </c>
      <c r="FP202" s="1083">
        <f>(FF199*FN202+FG199*FO202)/FH199</f>
        <v>0.158268146883006</v>
      </c>
      <c r="FQ202" s="1095">
        <v>0.191</v>
      </c>
      <c r="FR202" s="1083">
        <f>(FF199*FN202+FG199*FO202+FI199*FQ202)/FJ199</f>
        <v>0.170225474254743</v>
      </c>
      <c r="FS202" s="1083">
        <v>0.136</v>
      </c>
      <c r="FT202" s="1083">
        <f>(FI199*FQ202+FK199*FS202)/FL199</f>
        <v>0.166460147904684</v>
      </c>
      <c r="FU202" s="1083">
        <f>(FF199*FN202+FG199*FO202+FI199*FQ202+FK199*FS202)/FM199</f>
        <v>0.162443048576214</v>
      </c>
      <c r="FV202" s="1086">
        <v>0.153</v>
      </c>
      <c r="FW202" s="1083">
        <v>0.126</v>
      </c>
      <c r="FX202" s="1083">
        <f>(FN199*FV202+FO199*FW202)/FP199</f>
        <v>0.140868028279654</v>
      </c>
      <c r="FY202" s="1083">
        <v>0.055</v>
      </c>
      <c r="FZ202" s="1083">
        <f>(FN199*FV202+FO199*FW202+FQ199*FY202)/FR199</f>
        <v>0.107883405902274</v>
      </c>
      <c r="GA202" s="1083">
        <v>0.07</v>
      </c>
      <c r="GB202" s="1083">
        <f>(FQ199*FY202+FS199*GA202)/FT199</f>
        <v>0.0615651558073654</v>
      </c>
      <c r="GC202" s="1084">
        <f>(FN199*FV202+FO199*FW202+FQ199*FY202+FS199*GA202)/FU199</f>
        <v>0.0991638733705773</v>
      </c>
      <c r="GD202" s="1087">
        <v>-0.05</v>
      </c>
      <c r="GE202" s="1087">
        <v>0.015</v>
      </c>
      <c r="GF202" s="1083">
        <f>(FV199*GD202+FW199*GE202)/FX199</f>
        <v>-0.0213389261744966</v>
      </c>
      <c r="GG202" s="1087">
        <v>-0.0229999999999998</v>
      </c>
      <c r="GH202" s="1083">
        <f>(FV199*GD202+FW199*GE202+FY199*GG202)/FZ199</f>
        <v>-0.0219196857267568</v>
      </c>
      <c r="GI202" s="1087">
        <v>-0.05</v>
      </c>
      <c r="GJ202" s="1083">
        <f>(FY199*GG202+GA199*GI202)/GB199</f>
        <v>-0.0347374735356385</v>
      </c>
      <c r="GK202" s="1084">
        <f>(FV199*GD202+FW199*GE202+FY199*GG202+GA199*GI202)/GC199</f>
        <v>-0.0278699690402476</v>
      </c>
      <c r="GL202" s="1087">
        <v>0.1</v>
      </c>
      <c r="GM202" s="1087">
        <v>0.124</v>
      </c>
      <c r="GN202" s="1083">
        <f>(GD199*GL202+GE199*GM202)/GF199</f>
        <v>0.110776386404293</v>
      </c>
      <c r="GO202" s="1087">
        <v>0.14</v>
      </c>
      <c r="GP202" s="1083">
        <f>(GD199*GL202+GE199*GM202+GG199*GO202)/GH199</f>
        <v>0.121603603603604</v>
      </c>
      <c r="GQ202" s="1087">
        <v>0.133593749999998</v>
      </c>
      <c r="GR202" s="1083">
        <f>(GG199*GO202+GI199*GQ202)/GJ199</f>
        <v>0.13719658119658</v>
      </c>
      <c r="GS202" s="1084">
        <f>(GD199*GL202+GE199*GM202+GG199*GO202+GI199*GQ202)/GK199</f>
        <v>0.124286713286713</v>
      </c>
      <c r="GT202" s="1087">
        <v>-0.111121212121212</v>
      </c>
      <c r="GU202" s="1087">
        <v>-0.6</v>
      </c>
      <c r="GV202" s="1083">
        <f>(GL199*GT202+GM199*GU202)/GN199</f>
        <v>-0.335957446808511</v>
      </c>
      <c r="GW202" s="1087">
        <v>-0.1</v>
      </c>
      <c r="GX202" s="1083">
        <f>(GL199*GT202+GM199*GU202+GO199*GW202)/GP199</f>
        <v>-0.244314314314314</v>
      </c>
      <c r="GY202" s="1087">
        <v>0.0385478547854729</v>
      </c>
      <c r="GZ202" s="1083">
        <f>(GO199*GW202+GQ199*GY202)/GR199</f>
        <v>-0.0392474674384975</v>
      </c>
      <c r="HA202" s="1084">
        <f>(GL199*GT202+GM199*GU202+GO199*GW202+GQ199*GY202)/GS199</f>
        <v>-0.178486943164364</v>
      </c>
      <c r="HB202" s="1087">
        <v>0.039</v>
      </c>
      <c r="HC202" s="1087">
        <v>0.66160237388724</v>
      </c>
      <c r="HD202" s="1083">
        <f>(602*HB202+337*HC202)/(602+337)</f>
        <v>0.262447284345048</v>
      </c>
      <c r="HE202" s="1087">
        <v>-0.0811526032315971</v>
      </c>
      <c r="HF202" s="1083">
        <f>(GT199*HB202+GU199*HC202+GW199*HE202)/GX199</f>
        <v>0.0802139249471474</v>
      </c>
      <c r="HG202" s="1087">
        <v>-0.06</v>
      </c>
      <c r="HH202" s="1083">
        <f>(557*HE202+587*HG202)/(557+587)</f>
        <v>-0.0702989510489507</v>
      </c>
      <c r="HI202" s="1084">
        <f>(602*HB202+337*HC202+557*HE202+587*HG202)/2083</f>
        <v>0.0797004320691312</v>
      </c>
      <c r="HJ202" s="1087">
        <v>-0.157862354892206</v>
      </c>
      <c r="HK202" s="1087">
        <v>0.026</v>
      </c>
      <c r="HL202" s="1083">
        <f>(1705*HJ202+965*HK202)/(1705+965)</f>
        <v>-0.0914102303712399</v>
      </c>
      <c r="HM202" s="1087">
        <v>0.146</v>
      </c>
      <c r="HN202" s="1083">
        <f>(HB199*HJ202+HC199*HK202+HE199*HM202)/HF199</f>
        <v>-0.00472499999999995</v>
      </c>
      <c r="HO202" s="1087">
        <v>0.162</v>
      </c>
      <c r="HP202" s="1083">
        <f>(2079*HM202+1559*HO202)/(2079+1559)</f>
        <v>0.152856514568444</v>
      </c>
      <c r="HQ202" s="1084">
        <f>(HB199*HJ202+HC199*HK202+HE199*HM202+HG199*HO202)/HI199</f>
        <v>0.0366313617606603</v>
      </c>
      <c r="HR202" s="1087"/>
      <c r="HS202" s="1087"/>
      <c r="HT202" s="1083"/>
      <c r="HU202" s="1087"/>
      <c r="HV202" s="1083"/>
      <c r="HW202" s="1087"/>
      <c r="HX202" s="1083"/>
      <c r="HY202" s="1084"/>
      <c r="HZ202" s="1087">
        <v>0.0513314121037465</v>
      </c>
      <c r="IA202" s="1087">
        <v>0.1</v>
      </c>
      <c r="IB202" s="1083">
        <f>((HZ202*HR199)+(IA202*HS199))/HT199</f>
        <v>0.0741378254211333</v>
      </c>
      <c r="IC202" s="1087">
        <v>0.17</v>
      </c>
      <c r="ID202" s="1083">
        <f>(HR199*HZ202+HS199*IA202+HU199*IC202)/HV199</f>
        <v>0.104349239643419</v>
      </c>
      <c r="IE202" s="1087">
        <v>0.09</v>
      </c>
      <c r="IF202" s="1083">
        <f>(2079*IC202+1559*IE202)/(2079+1559)</f>
        <v>0.135717427157779</v>
      </c>
      <c r="IG202" s="1084">
        <f>(HR199*HZ202+HS199*IA202+HU199*IC202+HW199*IE202)/HY199</f>
        <v>0.100897650338511</v>
      </c>
      <c r="IH202" s="1087">
        <v>0.154205128205128</v>
      </c>
      <c r="II202" s="1087">
        <v>0.15</v>
      </c>
      <c r="IJ202" s="1083">
        <f>((IH202*HZ199)+(II202*IA199))/IB199</f>
        <v>0.15216176315512</v>
      </c>
      <c r="IK202" s="1087">
        <v>0.11</v>
      </c>
      <c r="IL202" s="1083">
        <f>(HZ199*IH202+IA199*II202+IC199*IK202)/ID199</f>
        <v>0.13711891862507</v>
      </c>
      <c r="IM202" s="1087">
        <v>0.13</v>
      </c>
      <c r="IN202" s="1083">
        <f>(2079*IK202+1559*IM202)/(2079+1559)</f>
        <v>0.118570643210555</v>
      </c>
      <c r="IO202" s="1084">
        <f>(HZ199*IH202+IA199*II202+IC199*IK202+IE199*IM202)/IG199</f>
        <v>0.135403345506083</v>
      </c>
      <c r="IP202" s="1087">
        <v>0.23</v>
      </c>
      <c r="IQ202" s="1087">
        <v>0.18</v>
      </c>
      <c r="IR202" s="1083">
        <f>((IP202*IH199)+(IQ202*II199))/IJ199</f>
        <v>0.205651577503429</v>
      </c>
      <c r="IS202" s="1087">
        <v>0.1</v>
      </c>
      <c r="IT202" s="1083">
        <f>(IH199*IP202+II199*IQ202+IK199*IS202)/IL199</f>
        <v>0.170855565777369</v>
      </c>
      <c r="IU202" s="1087">
        <v>0.08</v>
      </c>
      <c r="IV202" s="1083">
        <f>(2079*IS202+1559*IU202)/(2079+1559)</f>
        <v>0.0914293567894447</v>
      </c>
      <c r="IW202" s="1084">
        <f>(IH199*IP202+II199*IQ202+IK199*IS202+IM199*IU202)/IO199</f>
        <v>0.150241820768137</v>
      </c>
      <c r="IX202" s="1056"/>
      <c r="IY202" s="1082"/>
      <c r="IZ202" s="1104"/>
      <c r="JA202" s="1037" t="s">
        <v>546</v>
      </c>
      <c r="JB202" s="1037"/>
      <c r="JC202" s="1082"/>
      <c r="JD202" s="1041"/>
      <c r="JE202" s="1037"/>
      <c r="JF202" s="1037"/>
      <c r="JG202" s="1037"/>
      <c r="JH202" s="1037"/>
      <c r="JI202" s="1035"/>
      <c r="JJ202" s="1035"/>
      <c r="JK202" s="1082">
        <f t="shared" ref="JK202:JP202" si="1088">(EX199*(1+FF202)*(1+FN202))/EX199-1</f>
        <v>0.284512</v>
      </c>
      <c r="JL202" s="1082">
        <f t="shared" si="1088"/>
        <v>0.320152</v>
      </c>
      <c r="JM202" s="1082">
        <f t="shared" si="1088"/>
        <v>0.30062844635714</v>
      </c>
      <c r="JN202" s="1082">
        <f t="shared" si="1088"/>
        <v>0.351785</v>
      </c>
      <c r="JO202" s="1082">
        <f t="shared" si="1088"/>
        <v>0.319444714005486</v>
      </c>
      <c r="JP202" s="1082">
        <f t="shared" si="1088"/>
        <v>0.326848</v>
      </c>
      <c r="JQ202" s="1082">
        <f>(FF199*(1+FN202)*(1+FV202))/FF199-1</f>
        <v>0.351316</v>
      </c>
      <c r="JR202" s="1082">
        <f>(FG199*(1+FO202)*(1+FW202))/FG199-1</f>
        <v>0.285892</v>
      </c>
      <c r="JS202" s="1082">
        <f>(FI199*(1+FQ202)*(1+FY202))/FI199-1</f>
        <v>0.256505</v>
      </c>
      <c r="JT202" s="1082">
        <f>(FK199*(1+FS202)*(1+GA202))/FK199-1</f>
        <v>0.21552</v>
      </c>
      <c r="KA202" s="1229" t="s">
        <v>547</v>
      </c>
      <c r="KB202" s="1148">
        <v>51</v>
      </c>
      <c r="KC202" s="1148">
        <v>53</v>
      </c>
      <c r="KD202" s="1037">
        <v>64</v>
      </c>
      <c r="KE202" s="1037">
        <v>64</v>
      </c>
      <c r="KF202" s="1037"/>
      <c r="KG202" s="1037">
        <f>SUM(KB202:KE202)</f>
        <v>232</v>
      </c>
      <c r="KP202" s="1117"/>
      <c r="LV202" s="967"/>
    </row>
    <row r="203" spans="1:334">
      <c r="A203" s="967" t="s">
        <v>66</v>
      </c>
      <c r="AX203" s="1059"/>
      <c r="BE203" s="1060"/>
      <c r="BN203" s="1059"/>
      <c r="BU203" s="1060"/>
      <c r="BV203" s="1059"/>
      <c r="CC203" s="1060"/>
      <c r="CD203" s="1059"/>
      <c r="CJ203" s="1061"/>
      <c r="CK203" s="1060"/>
      <c r="CL203" s="1059"/>
      <c r="CS203" s="1060"/>
      <c r="CT203" s="1059"/>
      <c r="CW203" s="1062"/>
      <c r="CX203" s="1062"/>
      <c r="DE203" s="1064"/>
      <c r="DF203" s="1064"/>
      <c r="DM203" s="1064"/>
      <c r="DN203" s="1064"/>
      <c r="DU203" s="1064"/>
      <c r="DV203" s="1064"/>
      <c r="EC203" s="1064"/>
      <c r="ED203" s="1064"/>
      <c r="EK203" s="1064"/>
      <c r="EL203" s="1064"/>
      <c r="ER203" s="1065"/>
      <c r="ET203" s="1065"/>
      <c r="EU203" s="1065"/>
      <c r="EW203" s="1038"/>
      <c r="EX203" s="1181"/>
      <c r="EY203" s="1181"/>
      <c r="EZ203" s="1181"/>
      <c r="FA203" s="1181"/>
      <c r="FB203" s="1181"/>
      <c r="FC203" s="1181"/>
      <c r="FD203" s="1181"/>
      <c r="FE203" s="1182"/>
      <c r="FF203" s="1094">
        <f t="shared" ref="FF203:GC203" si="1089">FF199/FF$216</f>
        <v>0.155522899828557</v>
      </c>
      <c r="FG203" s="1094">
        <f t="shared" si="1089"/>
        <v>0.13718965958536</v>
      </c>
      <c r="FH203" s="1094">
        <f t="shared" si="1089"/>
        <v>0.146558197747184</v>
      </c>
      <c r="FI203" s="1087">
        <f t="shared" si="1089"/>
        <v>0.14168593651461</v>
      </c>
      <c r="FJ203" s="1087">
        <f t="shared" si="1089"/>
        <v>0.144739938809132</v>
      </c>
      <c r="FK203" s="1230">
        <f t="shared" si="1089"/>
        <v>0.130278310940499</v>
      </c>
      <c r="FL203" s="1094">
        <f t="shared" si="1089"/>
        <v>0.136358543417367</v>
      </c>
      <c r="FM203" s="1093">
        <f t="shared" si="1089"/>
        <v>0.141176470588235</v>
      </c>
      <c r="FN203" s="1230">
        <f t="shared" si="1089"/>
        <v>0.146990983434682</v>
      </c>
      <c r="FO203" s="1094">
        <f t="shared" si="1089"/>
        <v>0.129323988243274</v>
      </c>
      <c r="FP203" s="1094">
        <f t="shared" si="1089"/>
        <v>0.13848999129678</v>
      </c>
      <c r="FQ203" s="1230">
        <f t="shared" si="1089"/>
        <v>0.146711012564671</v>
      </c>
      <c r="FR203" s="1094">
        <f t="shared" si="1089"/>
        <v>0.141536565324569</v>
      </c>
      <c r="FS203" s="1094">
        <f t="shared" si="1089"/>
        <v>0.131882202304738</v>
      </c>
      <c r="FT203" s="1094">
        <f t="shared" si="1089"/>
        <v>0.139829669241434</v>
      </c>
      <c r="FU203" s="1094">
        <f t="shared" si="1089"/>
        <v>0.139191290824261</v>
      </c>
      <c r="FV203" s="1086">
        <f t="shared" si="1089"/>
        <v>0.152956298200514</v>
      </c>
      <c r="FW203" s="1094">
        <f t="shared" si="1089"/>
        <v>0.130408892417626</v>
      </c>
      <c r="FX203" s="1094">
        <f t="shared" si="1089"/>
        <v>0.142121327737505</v>
      </c>
      <c r="FY203" s="1094">
        <f t="shared" si="1089"/>
        <v>0.141070799577316</v>
      </c>
      <c r="FZ203" s="1094">
        <f t="shared" si="1089"/>
        <v>0.141752258383863</v>
      </c>
      <c r="GA203" s="1094">
        <f t="shared" si="1089"/>
        <v>0.121835443037975</v>
      </c>
      <c r="GB203" s="1094">
        <f t="shared" si="1089"/>
        <v>0.132010434134526</v>
      </c>
      <c r="GC203" s="1093">
        <f t="shared" si="1089"/>
        <v>0.137006315392591</v>
      </c>
      <c r="GD203" s="1087">
        <v>-0.16</v>
      </c>
      <c r="GE203" s="1094">
        <f t="shared" ref="GE203:GK203" si="1090">GE199/GE$216</f>
        <v>0.0477095609199772</v>
      </c>
      <c r="GF203" s="1094">
        <f t="shared" si="1090"/>
        <v>0.0517161624572116</v>
      </c>
      <c r="GG203" s="1230">
        <f t="shared" si="1090"/>
        <v>0.0560190703218117</v>
      </c>
      <c r="GH203" s="1094">
        <f t="shared" si="1090"/>
        <v>0.0532310274547416</v>
      </c>
      <c r="GI203" s="1094">
        <f t="shared" si="1090"/>
        <v>0.0489203133957577</v>
      </c>
      <c r="GJ203" s="1094">
        <f t="shared" si="1090"/>
        <v>0.0526742301458671</v>
      </c>
      <c r="GK203" s="1093">
        <f t="shared" si="1090"/>
        <v>0.0522016883413187</v>
      </c>
      <c r="GL203" s="1087">
        <v>-0.16</v>
      </c>
      <c r="GM203" s="1094">
        <f t="shared" ref="GM203:GS203" si="1091">GM199/GM$216</f>
        <v>0.0510074423670358</v>
      </c>
      <c r="GN203" s="1094">
        <f t="shared" si="1091"/>
        <v>0.0536341292134831</v>
      </c>
      <c r="GO203" s="1230">
        <f t="shared" si="1091"/>
        <v>0.0605304212168487</v>
      </c>
      <c r="GP203" s="1094">
        <f t="shared" si="1091"/>
        <v>0.0561172901921133</v>
      </c>
      <c r="GQ203" s="1094">
        <f t="shared" si="1091"/>
        <v>0.0518924473368727</v>
      </c>
      <c r="GR203" s="1094">
        <f t="shared" si="1091"/>
        <v>0.0564127683892562</v>
      </c>
      <c r="GS203" s="1093">
        <f t="shared" si="1091"/>
        <v>0.055073812444482</v>
      </c>
      <c r="GT203" s="1087">
        <v>-0.16</v>
      </c>
      <c r="GU203" s="1094">
        <f t="shared" ref="GU203:IG203" si="1092">GU199/GU$216</f>
        <v>0.030179003405477</v>
      </c>
      <c r="GV203" s="1094">
        <f t="shared" si="1092"/>
        <v>0.0481297395340921</v>
      </c>
      <c r="GW203" s="1230">
        <f t="shared" si="1092"/>
        <v>0.052693332117213</v>
      </c>
      <c r="GX203" s="1094">
        <f t="shared" si="1092"/>
        <v>0.0500336843203843</v>
      </c>
      <c r="GY203" s="1094">
        <f t="shared" si="1092"/>
        <v>0.0509586193732515</v>
      </c>
      <c r="GZ203" s="1094">
        <f t="shared" si="1092"/>
        <v>0.0518573396767803</v>
      </c>
      <c r="HA203" s="1093">
        <f t="shared" si="1092"/>
        <v>0.050292279782302</v>
      </c>
      <c r="HB203" s="1087">
        <f t="shared" si="1092"/>
        <v>0.114464692482916</v>
      </c>
      <c r="HC203" s="1094">
        <f t="shared" si="1092"/>
        <v>0.104983257829427</v>
      </c>
      <c r="HD203" s="1094">
        <f t="shared" si="1092"/>
        <v>0.109811503141614</v>
      </c>
      <c r="HE203" s="1230">
        <f t="shared" si="1092"/>
        <v>0.0876216968011127</v>
      </c>
      <c r="HF203" s="1094">
        <f t="shared" si="1092"/>
        <v>0.101882338323911</v>
      </c>
      <c r="HG203" s="1094">
        <f t="shared" si="1092"/>
        <v>0.105314385828304</v>
      </c>
      <c r="HH203" s="1094">
        <f t="shared" si="1092"/>
        <v>0.0959684084856277</v>
      </c>
      <c r="HI203" s="1093">
        <f t="shared" si="1092"/>
        <v>0.102712630686635</v>
      </c>
      <c r="HJ203" s="1087">
        <f t="shared" si="1092"/>
        <v>0.0954356846473029</v>
      </c>
      <c r="HK203" s="1094">
        <f t="shared" si="1092"/>
        <v>0.0982669287118099</v>
      </c>
      <c r="HL203" s="1094">
        <f t="shared" si="1092"/>
        <v>0.0968896229011836</v>
      </c>
      <c r="HM203" s="1230">
        <f t="shared" si="1092"/>
        <v>0.0903558052434457</v>
      </c>
      <c r="HN203" s="1094">
        <f t="shared" si="1092"/>
        <v>0.094470445484486</v>
      </c>
      <c r="HO203" s="1094">
        <f t="shared" si="1092"/>
        <v>0.116448885472713</v>
      </c>
      <c r="HP203" s="1094">
        <f t="shared" si="1092"/>
        <v>0.101031631000085</v>
      </c>
      <c r="HQ203" s="1093">
        <f t="shared" si="1092"/>
        <v>0.0995513304606637</v>
      </c>
      <c r="HR203" s="1087">
        <f t="shared" si="1092"/>
        <v>0.0657944634053849</v>
      </c>
      <c r="HS203" s="1094">
        <f t="shared" si="1092"/>
        <v>0.0619057252680558</v>
      </c>
      <c r="HT203" s="1094">
        <f t="shared" si="1092"/>
        <v>0.0640761456186831</v>
      </c>
      <c r="HU203" s="1230">
        <f t="shared" si="1092"/>
        <v>0.0531952557974863</v>
      </c>
      <c r="HV203" s="1094">
        <f t="shared" si="1092"/>
        <v>0.0602794284991781</v>
      </c>
      <c r="HW203" s="1094">
        <f t="shared" si="1092"/>
        <v>0.0627597672485453</v>
      </c>
      <c r="HX203" s="1094">
        <f t="shared" si="1092"/>
        <v>0.0575948762068636</v>
      </c>
      <c r="HY203" s="1093">
        <f t="shared" si="1092"/>
        <v>0.0607167037431086</v>
      </c>
      <c r="HZ203" s="1087">
        <f t="shared" si="1092"/>
        <v>0.0624529012810852</v>
      </c>
      <c r="IA203" s="1094">
        <f t="shared" si="1092"/>
        <v>0.055735325506937</v>
      </c>
      <c r="IB203" s="1094">
        <f t="shared" si="1092"/>
        <v>0.0589976212259835</v>
      </c>
      <c r="IC203" s="1230">
        <f t="shared" si="1092"/>
        <v>0.0573412151330555</v>
      </c>
      <c r="ID203" s="1094">
        <f t="shared" si="1092"/>
        <v>0.0584911610268378</v>
      </c>
      <c r="IE203" s="1094">
        <f t="shared" si="1092"/>
        <v>0.0542724637681159</v>
      </c>
      <c r="IF203" s="1094">
        <f t="shared" si="1092"/>
        <v>0.0558172322681859</v>
      </c>
      <c r="IG203" s="1093">
        <f t="shared" si="1092"/>
        <v>0.0573458298962358</v>
      </c>
      <c r="IH203" s="1087">
        <f t="shared" ref="IH203:IO203" si="1093">IH199/IH$216</f>
        <v>0.0607833577116854</v>
      </c>
      <c r="II203" s="1094">
        <f t="shared" si="1093"/>
        <v>0.0596438172043011</v>
      </c>
      <c r="IJ203" s="1094">
        <f t="shared" si="1093"/>
        <v>0.0602230483271375</v>
      </c>
      <c r="IK203" s="1230">
        <f t="shared" si="1093"/>
        <v>0.0539969834087481</v>
      </c>
      <c r="IL203" s="1094">
        <f t="shared" si="1093"/>
        <v>0.0581065911156251</v>
      </c>
      <c r="IM203" s="1094">
        <f t="shared" si="1093"/>
        <v>0.0525016458196182</v>
      </c>
      <c r="IN203" s="1094">
        <f t="shared" si="1093"/>
        <v>0.0534797377359981</v>
      </c>
      <c r="IO203" s="1093">
        <f t="shared" si="1093"/>
        <v>0.0566684132038209</v>
      </c>
      <c r="IP203" s="1087">
        <f t="shared" ref="IP203:IW203" si="1094">IP199/IP$216</f>
        <v>0.0614381067961165</v>
      </c>
      <c r="IQ203" s="1094">
        <f t="shared" si="1094"/>
        <v>0.0557615304760492</v>
      </c>
      <c r="IR203" s="1094">
        <f t="shared" si="1094"/>
        <v>0.05856767904012</v>
      </c>
      <c r="IS203" s="1230">
        <f t="shared" si="1094"/>
        <v>0.0497984622713735</v>
      </c>
      <c r="IT203" s="1094">
        <f t="shared" si="1094"/>
        <v>0.0554703538437437</v>
      </c>
      <c r="IU203" s="1094">
        <f t="shared" si="1094"/>
        <v>0.0506750235817598</v>
      </c>
      <c r="IV203" s="1094">
        <f t="shared" si="1094"/>
        <v>0.0502124080286376</v>
      </c>
      <c r="IW203" s="1093">
        <f t="shared" si="1094"/>
        <v>0.0543187663979671</v>
      </c>
      <c r="IX203" s="1049"/>
      <c r="IY203" s="1181"/>
      <c r="IZ203" s="1049"/>
      <c r="JA203" s="1037" t="s">
        <v>548</v>
      </c>
      <c r="JB203" s="1037"/>
      <c r="JC203" s="1037"/>
      <c r="JD203" s="1041"/>
      <c r="JE203" s="1037"/>
      <c r="JF203" s="1037"/>
      <c r="JG203" s="1037"/>
      <c r="JH203" s="1037"/>
      <c r="JI203" s="1035"/>
      <c r="JJ203" s="1035"/>
      <c r="JK203" s="1035"/>
      <c r="JL203" s="1035"/>
      <c r="JM203" s="1035"/>
      <c r="JN203" s="1035"/>
      <c r="JO203" s="1035"/>
      <c r="JP203" s="1035"/>
      <c r="JQ203" s="1082">
        <f>1*(1+FF202)*(1+FN202)*(1+FV202)-1</f>
        <v>0.481042336</v>
      </c>
      <c r="JR203" s="1082">
        <f>1*(1+FG202)*(1+FO202)*(1+FW202)-1</f>
        <v>0.486491152</v>
      </c>
      <c r="JS203" s="1082">
        <f>1*(1+FI202)*(1+FQ202)*(1+FY202)-1</f>
        <v>0.426133175</v>
      </c>
      <c r="JT203" s="1082">
        <f>1*(1+FK202)*(1+FS202)*(1+GA202)-1</f>
        <v>0.41972736</v>
      </c>
      <c r="KA203" s="1229" t="s">
        <v>545</v>
      </c>
      <c r="KB203" s="1094">
        <f>KB202/EX199</f>
        <v>0.101391650099404</v>
      </c>
      <c r="KC203" s="1094">
        <f>KC202/EY199</f>
        <v>0.12958435207824</v>
      </c>
      <c r="KD203" s="1094">
        <f>KD202/FA199</f>
        <v>0.114081996434938</v>
      </c>
      <c r="KE203" s="1094">
        <f>KE202/FC199</f>
        <v>0.141592920353982</v>
      </c>
      <c r="KF203" s="1037"/>
      <c r="KG203" s="1094">
        <f>KG202/FE199</f>
        <v>0.120519480519481</v>
      </c>
      <c r="KP203" s="1117"/>
      <c r="LV203" s="967"/>
    </row>
    <row r="204" spans="1:334">
      <c r="A204" s="1231" t="s">
        <v>107</v>
      </c>
      <c r="AX204" s="1059"/>
      <c r="BE204" s="1060"/>
      <c r="BN204" s="1059"/>
      <c r="BU204" s="1060"/>
      <c r="BV204" s="1059"/>
      <c r="CC204" s="1060"/>
      <c r="CD204" s="1059"/>
      <c r="CJ204" s="1061"/>
      <c r="CK204" s="1060"/>
      <c r="CL204" s="1059"/>
      <c r="CS204" s="1060"/>
      <c r="CT204" s="1059"/>
      <c r="CW204" s="1062"/>
      <c r="CX204" s="1062"/>
      <c r="DE204" s="1064"/>
      <c r="DF204" s="1064"/>
      <c r="DM204" s="1064"/>
      <c r="DN204" s="1064"/>
      <c r="DU204" s="1064"/>
      <c r="DV204" s="1064"/>
      <c r="EC204" s="1064"/>
      <c r="ED204" s="1064"/>
      <c r="EK204" s="1064"/>
      <c r="EL204" s="1064"/>
      <c r="ER204" s="1065"/>
      <c r="ET204" s="1065"/>
      <c r="EU204" s="1065"/>
      <c r="EW204" s="1038"/>
      <c r="EX204" s="1181"/>
      <c r="EY204" s="1181"/>
      <c r="EZ204" s="1181"/>
      <c r="FA204" s="1181"/>
      <c r="FB204" s="1181"/>
      <c r="FC204" s="1181"/>
      <c r="FD204" s="1181"/>
      <c r="FE204" s="1182"/>
      <c r="FF204" s="1094"/>
      <c r="FG204" s="1094"/>
      <c r="FH204" s="1094"/>
      <c r="FI204" s="1087"/>
      <c r="FJ204" s="1087"/>
      <c r="FK204" s="1230"/>
      <c r="FL204" s="1094"/>
      <c r="FM204" s="1093"/>
      <c r="FN204" s="1230"/>
      <c r="FO204" s="1094"/>
      <c r="FP204" s="1094"/>
      <c r="FQ204" s="1230"/>
      <c r="FR204" s="1094"/>
      <c r="FS204" s="1094"/>
      <c r="FT204" s="1094"/>
      <c r="FU204" s="1094"/>
      <c r="FV204" s="1086"/>
      <c r="FW204" s="1094"/>
      <c r="FX204" s="1094"/>
      <c r="FY204" s="1094"/>
      <c r="FZ204" s="1094"/>
      <c r="GA204" s="1094"/>
      <c r="GB204" s="1094"/>
      <c r="GC204" s="1093"/>
      <c r="GD204" s="1087"/>
      <c r="GE204" s="1094"/>
      <c r="GF204" s="1094"/>
      <c r="GG204" s="1230"/>
      <c r="GH204" s="1094"/>
      <c r="GI204" s="1094"/>
      <c r="GJ204" s="1094"/>
      <c r="GK204" s="1093"/>
      <c r="GL204" s="1087"/>
      <c r="GM204" s="1094"/>
      <c r="GN204" s="1094"/>
      <c r="GO204" s="1230"/>
      <c r="GP204" s="1094"/>
      <c r="GQ204" s="1094"/>
      <c r="GR204" s="1094"/>
      <c r="GS204" s="1093"/>
      <c r="GT204" s="1087"/>
      <c r="GU204" s="1094"/>
      <c r="GV204" s="1094"/>
      <c r="GW204" s="1230"/>
      <c r="GX204" s="1094"/>
      <c r="GY204" s="1094"/>
      <c r="GZ204" s="1094"/>
      <c r="HA204" s="1093"/>
      <c r="HB204" s="1087"/>
      <c r="HC204" s="1094"/>
      <c r="HD204" s="1094"/>
      <c r="HE204" s="1230"/>
      <c r="HF204" s="1094"/>
      <c r="HG204" s="1094"/>
      <c r="HH204" s="1094"/>
      <c r="HI204" s="1093"/>
      <c r="HJ204" s="1087"/>
      <c r="HK204" s="1094"/>
      <c r="HL204" s="1094"/>
      <c r="HM204" s="1230"/>
      <c r="HN204" s="1094"/>
      <c r="HO204" s="1094"/>
      <c r="HP204" s="1094"/>
      <c r="HQ204" s="1093"/>
      <c r="HR204" s="1244">
        <v>672</v>
      </c>
      <c r="HS204" s="1244">
        <v>600</v>
      </c>
      <c r="HT204" s="1241">
        <f>HR204+HS204</f>
        <v>1272</v>
      </c>
      <c r="HU204" s="1244">
        <v>834</v>
      </c>
      <c r="HV204" s="1241">
        <f>HR204+HS204+HU204</f>
        <v>2106</v>
      </c>
      <c r="HW204" s="1244">
        <v>744</v>
      </c>
      <c r="HX204" s="1241">
        <f>HU204+HW204</f>
        <v>1578</v>
      </c>
      <c r="HY204" s="1242">
        <f>HX204+HT204</f>
        <v>2850</v>
      </c>
      <c r="HZ204" s="1244">
        <f>HR204*(1+HZ205)</f>
        <v>712</v>
      </c>
      <c r="IA204" s="1244">
        <f>HS204*(1+IA205)</f>
        <v>769.8</v>
      </c>
      <c r="IB204" s="1241">
        <f>HZ204+IA204</f>
        <v>1481.8</v>
      </c>
      <c r="IC204" s="1244">
        <f>HU204*(1+IC205)</f>
        <v>916.672</v>
      </c>
      <c r="ID204" s="1241">
        <f>HZ204+IA204+IC204</f>
        <v>2398.472</v>
      </c>
      <c r="IE204" s="1244">
        <f>HW204*(1+IE205)</f>
        <v>839.525000000005</v>
      </c>
      <c r="IF204" s="1241">
        <f>IC204+IE204</f>
        <v>1756.19700000001</v>
      </c>
      <c r="IG204" s="1242">
        <f>IF204+IB204</f>
        <v>3237.99700000001</v>
      </c>
      <c r="IH204" s="1244">
        <f>HZ204*(1+IH205)</f>
        <v>870</v>
      </c>
      <c r="II204" s="1244">
        <f>IA204*(1+II205)</f>
        <v>762</v>
      </c>
      <c r="IJ204" s="1241">
        <f>IH204+II204</f>
        <v>1632</v>
      </c>
      <c r="IK204" s="1244">
        <f>IC204*(1+IK205)</f>
        <v>935</v>
      </c>
      <c r="IL204" s="1241">
        <f>IH204+II204+IK204</f>
        <v>2567</v>
      </c>
      <c r="IM204" s="1244">
        <f>IE204*(1+IM205)</f>
        <v>943</v>
      </c>
      <c r="IN204" s="1241">
        <f>IK204+IM204</f>
        <v>1878</v>
      </c>
      <c r="IO204" s="1242">
        <f>IN204+IJ204</f>
        <v>3510</v>
      </c>
      <c r="IP204" s="1244">
        <f>IH204*(1+IP205)</f>
        <v>869</v>
      </c>
      <c r="IQ204" s="1244">
        <f>II204*(1+IQ205)</f>
        <v>848</v>
      </c>
      <c r="IR204" s="1241">
        <f>IP204+IQ204</f>
        <v>1717</v>
      </c>
      <c r="IS204" s="1244">
        <f>IK204*(1+IS205)</f>
        <v>1000.45</v>
      </c>
      <c r="IT204" s="1241">
        <f>IP204+IQ204+IS204</f>
        <v>2717.45</v>
      </c>
      <c r="IU204" s="1244">
        <f>IM204*(1+IU205)</f>
        <v>990.15</v>
      </c>
      <c r="IV204" s="1241">
        <f>IS204+IU204</f>
        <v>1990.6</v>
      </c>
      <c r="IW204" s="1242">
        <f>IV204+IR204</f>
        <v>3707.6</v>
      </c>
      <c r="IX204" s="1248"/>
      <c r="IY204" s="1181"/>
      <c r="IZ204" s="1049"/>
      <c r="JA204" s="1037"/>
      <c r="JB204" s="1037"/>
      <c r="JC204" s="1037"/>
      <c r="JD204" s="1041"/>
      <c r="JE204" s="1037"/>
      <c r="JF204" s="1037"/>
      <c r="JG204" s="1037"/>
      <c r="JH204" s="1037"/>
      <c r="JI204" s="1035"/>
      <c r="JJ204" s="1035"/>
      <c r="JK204" s="1035"/>
      <c r="JL204" s="1035"/>
      <c r="JM204" s="1035"/>
      <c r="JN204" s="1035"/>
      <c r="JO204" s="1035"/>
      <c r="JP204" s="1035"/>
      <c r="JQ204" s="1082"/>
      <c r="JR204" s="1082"/>
      <c r="JS204" s="1082"/>
      <c r="JT204" s="1082"/>
      <c r="KA204" s="1229"/>
      <c r="KB204" s="1094"/>
      <c r="KC204" s="1094"/>
      <c r="KD204" s="1094"/>
      <c r="KE204" s="1094"/>
      <c r="KF204" s="1037"/>
      <c r="KG204" s="1094"/>
      <c r="KP204" s="1117"/>
      <c r="LV204" s="967"/>
    </row>
    <row r="205" spans="1:334">
      <c r="A205" s="967" t="s">
        <v>61</v>
      </c>
      <c r="AX205" s="1059"/>
      <c r="BE205" s="1060"/>
      <c r="BN205" s="1059"/>
      <c r="BU205" s="1060"/>
      <c r="BV205" s="1059"/>
      <c r="CC205" s="1060"/>
      <c r="CD205" s="1059"/>
      <c r="CJ205" s="1061"/>
      <c r="CK205" s="1060"/>
      <c r="CL205" s="1059"/>
      <c r="CS205" s="1060"/>
      <c r="CT205" s="1059"/>
      <c r="CW205" s="1062"/>
      <c r="CX205" s="1062"/>
      <c r="DE205" s="1064"/>
      <c r="DF205" s="1064"/>
      <c r="DM205" s="1064"/>
      <c r="DN205" s="1064"/>
      <c r="DU205" s="1064"/>
      <c r="DV205" s="1064"/>
      <c r="EC205" s="1064"/>
      <c r="ED205" s="1064"/>
      <c r="EK205" s="1064"/>
      <c r="EL205" s="1064"/>
      <c r="ER205" s="1065"/>
      <c r="ET205" s="1065"/>
      <c r="EU205" s="1065"/>
      <c r="EW205" s="1038"/>
      <c r="EX205" s="1181"/>
      <c r="EY205" s="1181"/>
      <c r="EZ205" s="1181"/>
      <c r="FA205" s="1181"/>
      <c r="FB205" s="1181"/>
      <c r="FC205" s="1181"/>
      <c r="FD205" s="1181"/>
      <c r="FE205" s="1182"/>
      <c r="FF205" s="1094"/>
      <c r="FG205" s="1094"/>
      <c r="FH205" s="1094"/>
      <c r="FI205" s="1087"/>
      <c r="FJ205" s="1087"/>
      <c r="FK205" s="1230"/>
      <c r="FL205" s="1094"/>
      <c r="FM205" s="1093"/>
      <c r="FN205" s="1230"/>
      <c r="FO205" s="1094"/>
      <c r="FP205" s="1094"/>
      <c r="FQ205" s="1230"/>
      <c r="FR205" s="1094"/>
      <c r="FS205" s="1094"/>
      <c r="FT205" s="1094"/>
      <c r="FU205" s="1094"/>
      <c r="FV205" s="1086"/>
      <c r="FW205" s="1094"/>
      <c r="FX205" s="1094"/>
      <c r="FY205" s="1094"/>
      <c r="FZ205" s="1094"/>
      <c r="GA205" s="1094"/>
      <c r="GB205" s="1094"/>
      <c r="GC205" s="1093"/>
      <c r="GD205" s="1087"/>
      <c r="GE205" s="1094"/>
      <c r="GF205" s="1094"/>
      <c r="GG205" s="1230"/>
      <c r="GH205" s="1094"/>
      <c r="GI205" s="1094"/>
      <c r="GJ205" s="1094"/>
      <c r="GK205" s="1093"/>
      <c r="GL205" s="1087"/>
      <c r="GM205" s="1094"/>
      <c r="GN205" s="1094"/>
      <c r="GO205" s="1230"/>
      <c r="GP205" s="1094"/>
      <c r="GQ205" s="1094"/>
      <c r="GR205" s="1094"/>
      <c r="GS205" s="1093"/>
      <c r="GT205" s="1087"/>
      <c r="GU205" s="1094"/>
      <c r="GV205" s="1094"/>
      <c r="GW205" s="1230"/>
      <c r="GX205" s="1094"/>
      <c r="GY205" s="1094"/>
      <c r="GZ205" s="1094"/>
      <c r="HA205" s="1093"/>
      <c r="HB205" s="1087"/>
      <c r="HC205" s="1094"/>
      <c r="HD205" s="1094"/>
      <c r="HE205" s="1230"/>
      <c r="HF205" s="1094"/>
      <c r="HG205" s="1094"/>
      <c r="HH205" s="1094"/>
      <c r="HI205" s="1093"/>
      <c r="HJ205" s="1087"/>
      <c r="HK205" s="1094"/>
      <c r="HL205" s="1094"/>
      <c r="HM205" s="1230"/>
      <c r="HN205" s="1094"/>
      <c r="HO205" s="1094"/>
      <c r="HP205" s="1094"/>
      <c r="HQ205" s="1093"/>
      <c r="HR205" s="1087"/>
      <c r="HS205" s="1087"/>
      <c r="HT205" s="1082"/>
      <c r="HU205" s="1087"/>
      <c r="HV205" s="1082"/>
      <c r="HW205" s="1087"/>
      <c r="HX205" s="1082"/>
      <c r="HY205" s="1085"/>
      <c r="HZ205" s="1087">
        <f>HZ206+HZ207</f>
        <v>0.0595238095238095</v>
      </c>
      <c r="IA205" s="1087">
        <f>IA206+IA207</f>
        <v>0.283</v>
      </c>
      <c r="IB205" s="1082">
        <f>IB204/HT204-1</f>
        <v>0.164937106918239</v>
      </c>
      <c r="IC205" s="1087">
        <f>IC206+IC207</f>
        <v>0.0991270983213429</v>
      </c>
      <c r="ID205" s="1082">
        <f>ID204/HV204-1</f>
        <v>0.13887559354226</v>
      </c>
      <c r="IE205" s="1087">
        <f>IE206+IE207</f>
        <v>0.128393817204308</v>
      </c>
      <c r="IF205" s="1082">
        <f>IF204/HX204-1</f>
        <v>0.112925855513311</v>
      </c>
      <c r="IG205" s="1085">
        <f>IG204/HY204-1</f>
        <v>0.136139298245616</v>
      </c>
      <c r="IH205" s="1087">
        <f>IH206+IH207</f>
        <v>0.221910112359551</v>
      </c>
      <c r="II205" s="1087">
        <f>II206+II207</f>
        <v>-0.0101325019485581</v>
      </c>
      <c r="IJ205" s="1082">
        <f>IJ204/IB204-1</f>
        <v>0.101363206910514</v>
      </c>
      <c r="IK205" s="1087">
        <f>IK206+IK207</f>
        <v>0.0199940654890736</v>
      </c>
      <c r="IL205" s="1082">
        <f>IL204/ID204-1</f>
        <v>0.0702647352147534</v>
      </c>
      <c r="IM205" s="1087">
        <f>IM206+IM207</f>
        <v>0.123254221136945</v>
      </c>
      <c r="IN205" s="1082">
        <f>IN204/IF204-1</f>
        <v>0.0693561143766868</v>
      </c>
      <c r="IO205" s="1085">
        <f>IO204/IG204-1</f>
        <v>0.0840034749877763</v>
      </c>
      <c r="IP205" s="1087">
        <f>IP206+IP207</f>
        <v>-0.00114942528735648</v>
      </c>
      <c r="IQ205" s="1087">
        <f>IQ206+IQ207</f>
        <v>0.112860892388451</v>
      </c>
      <c r="IR205" s="1082">
        <f>IR204/IJ204-1</f>
        <v>0.0520833333333333</v>
      </c>
      <c r="IS205" s="1087">
        <f>IS206+IS207</f>
        <v>0.07</v>
      </c>
      <c r="IT205" s="1082">
        <f>IT204/IL204-1</f>
        <v>0.058609271523179</v>
      </c>
      <c r="IU205" s="1087">
        <f>IU206+IU207</f>
        <v>0.05</v>
      </c>
      <c r="IV205" s="1082">
        <f>IV204/IN204-1</f>
        <v>0.0599574014909479</v>
      </c>
      <c r="IW205" s="1085">
        <f>IW204/IO204-1</f>
        <v>0.0562962962962965</v>
      </c>
      <c r="IX205" s="1049"/>
      <c r="IY205" s="1181"/>
      <c r="IZ205" s="1049"/>
      <c r="JA205" s="1037"/>
      <c r="JB205" s="1037"/>
      <c r="JC205" s="1037"/>
      <c r="JD205" s="1041"/>
      <c r="JE205" s="1037"/>
      <c r="JF205" s="1037"/>
      <c r="JG205" s="1037"/>
      <c r="JH205" s="1037"/>
      <c r="JI205" s="1035"/>
      <c r="JJ205" s="1035"/>
      <c r="JK205" s="1035"/>
      <c r="JL205" s="1035"/>
      <c r="JM205" s="1035"/>
      <c r="JN205" s="1035"/>
      <c r="JO205" s="1035"/>
      <c r="JP205" s="1035"/>
      <c r="JQ205" s="1082"/>
      <c r="JR205" s="1082"/>
      <c r="JS205" s="1082"/>
      <c r="JT205" s="1082"/>
      <c r="KA205" s="1229"/>
      <c r="KB205" s="1094"/>
      <c r="KC205" s="1094"/>
      <c r="KD205" s="1094"/>
      <c r="KE205" s="1094"/>
      <c r="KF205" s="1037"/>
      <c r="KG205" s="1094"/>
      <c r="KP205" s="1117"/>
      <c r="LV205" s="967"/>
    </row>
    <row r="206" spans="1:334">
      <c r="A206" s="967" t="s">
        <v>99</v>
      </c>
      <c r="AX206" s="1059"/>
      <c r="BE206" s="1060"/>
      <c r="BN206" s="1059"/>
      <c r="BU206" s="1060"/>
      <c r="BV206" s="1059"/>
      <c r="CC206" s="1060"/>
      <c r="CD206" s="1059"/>
      <c r="CJ206" s="1061"/>
      <c r="CK206" s="1060"/>
      <c r="CL206" s="1059"/>
      <c r="CS206" s="1060"/>
      <c r="CT206" s="1059"/>
      <c r="CW206" s="1062"/>
      <c r="CX206" s="1062"/>
      <c r="DE206" s="1064"/>
      <c r="DF206" s="1064"/>
      <c r="DM206" s="1064"/>
      <c r="DN206" s="1064"/>
      <c r="DU206" s="1064"/>
      <c r="DV206" s="1064"/>
      <c r="EC206" s="1064"/>
      <c r="ED206" s="1064"/>
      <c r="EK206" s="1064"/>
      <c r="EL206" s="1064"/>
      <c r="ER206" s="1065"/>
      <c r="ET206" s="1065"/>
      <c r="EU206" s="1065"/>
      <c r="EW206" s="1038"/>
      <c r="EX206" s="1181"/>
      <c r="EY206" s="1181"/>
      <c r="EZ206" s="1181"/>
      <c r="FA206" s="1181"/>
      <c r="FB206" s="1181"/>
      <c r="FC206" s="1181"/>
      <c r="FD206" s="1181"/>
      <c r="FE206" s="1182"/>
      <c r="FF206" s="1094"/>
      <c r="FG206" s="1094"/>
      <c r="FH206" s="1094"/>
      <c r="FI206" s="1087"/>
      <c r="FJ206" s="1087"/>
      <c r="FK206" s="1230"/>
      <c r="FL206" s="1094"/>
      <c r="FM206" s="1093"/>
      <c r="FN206" s="1230"/>
      <c r="FO206" s="1094"/>
      <c r="FP206" s="1094"/>
      <c r="FQ206" s="1230"/>
      <c r="FR206" s="1094"/>
      <c r="FS206" s="1094"/>
      <c r="FT206" s="1094"/>
      <c r="FU206" s="1094"/>
      <c r="FV206" s="1086"/>
      <c r="FW206" s="1094"/>
      <c r="FX206" s="1094"/>
      <c r="FY206" s="1094"/>
      <c r="FZ206" s="1094"/>
      <c r="GA206" s="1094"/>
      <c r="GB206" s="1094"/>
      <c r="GC206" s="1093"/>
      <c r="GD206" s="1087"/>
      <c r="GE206" s="1094"/>
      <c r="GF206" s="1094"/>
      <c r="GG206" s="1230"/>
      <c r="GH206" s="1094"/>
      <c r="GI206" s="1094"/>
      <c r="GJ206" s="1094"/>
      <c r="GK206" s="1093"/>
      <c r="GL206" s="1087"/>
      <c r="GM206" s="1094"/>
      <c r="GN206" s="1094"/>
      <c r="GO206" s="1230"/>
      <c r="GP206" s="1094"/>
      <c r="GQ206" s="1094"/>
      <c r="GR206" s="1094"/>
      <c r="GS206" s="1093"/>
      <c r="GT206" s="1087"/>
      <c r="GU206" s="1094"/>
      <c r="GV206" s="1094"/>
      <c r="GW206" s="1230"/>
      <c r="GX206" s="1094"/>
      <c r="GY206" s="1094"/>
      <c r="GZ206" s="1094"/>
      <c r="HA206" s="1093"/>
      <c r="HB206" s="1087"/>
      <c r="HC206" s="1094"/>
      <c r="HD206" s="1094"/>
      <c r="HE206" s="1230"/>
      <c r="HF206" s="1094"/>
      <c r="HG206" s="1094"/>
      <c r="HH206" s="1094"/>
      <c r="HI206" s="1093"/>
      <c r="HJ206" s="1087"/>
      <c r="HK206" s="1094"/>
      <c r="HL206" s="1094"/>
      <c r="HM206" s="1230"/>
      <c r="HN206" s="1094"/>
      <c r="HO206" s="1094"/>
      <c r="HP206" s="1094"/>
      <c r="HQ206" s="1093"/>
      <c r="HR206" s="1087"/>
      <c r="HS206" s="1087"/>
      <c r="HT206" s="1082"/>
      <c r="HU206" s="1087"/>
      <c r="HV206" s="1087"/>
      <c r="HW206" s="1087"/>
      <c r="HX206" s="1091"/>
      <c r="HY206" s="1088"/>
      <c r="HZ206" s="1087">
        <v>-0.109</v>
      </c>
      <c r="IA206" s="1087">
        <v>0.003</v>
      </c>
      <c r="IB206" s="1087">
        <f>IB205-IB207</f>
        <v>-0.0561698113207547</v>
      </c>
      <c r="IC206" s="1087">
        <v>-0.0708729016786571</v>
      </c>
      <c r="ID206" s="1087">
        <f>ID205-ID207</f>
        <v>-0.0619924026590695</v>
      </c>
      <c r="IE206" s="1087">
        <v>-0.0816061827956916</v>
      </c>
      <c r="IF206" s="1087">
        <f>IF205-IF207</f>
        <v>-0.074215430907799</v>
      </c>
      <c r="IG206" s="1088">
        <f>IG205-IG207</f>
        <v>-0.0671126315789454</v>
      </c>
      <c r="IH206" s="1087">
        <v>-0.011</v>
      </c>
      <c r="II206" s="1087">
        <v>-0.150132501948558</v>
      </c>
      <c r="IJ206" s="1087">
        <f>IJ205-IJ207</f>
        <v>-0.0832797948441085</v>
      </c>
      <c r="IK206" s="1087">
        <v>-0.110005934510926</v>
      </c>
      <c r="IL206" s="1087">
        <f>IL205-IL207</f>
        <v>-0.0934942580109337</v>
      </c>
      <c r="IM206" s="1087">
        <v>-0.0267457788630549</v>
      </c>
      <c r="IN206" s="1087">
        <f>IN205-IN207</f>
        <v>-0.0692145288338685</v>
      </c>
      <c r="IO206" s="1088">
        <f>IO205-IO207</f>
        <v>-0.0761881836209254</v>
      </c>
      <c r="IP206" s="1087">
        <v>-0.101149425287356</v>
      </c>
      <c r="IQ206" s="1087">
        <v>-0.00713910761154851</v>
      </c>
      <c r="IR206" s="1087">
        <f>IR205-IR207</f>
        <v>-0.0572549019607844</v>
      </c>
      <c r="IS206" s="1087">
        <v>0</v>
      </c>
      <c r="IT206" s="1087">
        <f>IT205-IT207</f>
        <v>-0.0364004674717568</v>
      </c>
      <c r="IU206" s="1087">
        <v>0</v>
      </c>
      <c r="IV206" s="1087">
        <f>IV205-IV207</f>
        <v>-0.0014719552984969</v>
      </c>
      <c r="IW206" s="1088">
        <f>IW205-IW207</f>
        <v>-0.0266210826210824</v>
      </c>
      <c r="IX206" s="1049"/>
      <c r="IY206" s="1181"/>
      <c r="IZ206" s="1049"/>
      <c r="JA206" s="1037"/>
      <c r="JB206" s="1037"/>
      <c r="JC206" s="1037"/>
      <c r="JD206" s="1041"/>
      <c r="JE206" s="1037"/>
      <c r="JF206" s="1037"/>
      <c r="JG206" s="1037"/>
      <c r="JH206" s="1037"/>
      <c r="JI206" s="1035"/>
      <c r="JJ206" s="1035"/>
      <c r="JK206" s="1035"/>
      <c r="JL206" s="1035"/>
      <c r="JM206" s="1035"/>
      <c r="JN206" s="1035"/>
      <c r="JO206" s="1035"/>
      <c r="JP206" s="1035"/>
      <c r="JQ206" s="1082"/>
      <c r="JR206" s="1082"/>
      <c r="JS206" s="1082"/>
      <c r="JT206" s="1082"/>
      <c r="KA206" s="1229"/>
      <c r="KB206" s="1094"/>
      <c r="KC206" s="1094"/>
      <c r="KD206" s="1094"/>
      <c r="KE206" s="1094"/>
      <c r="KF206" s="1037"/>
      <c r="KG206" s="1094"/>
      <c r="KP206" s="1117"/>
      <c r="LV206" s="967"/>
    </row>
    <row r="207" spans="1:334">
      <c r="A207" s="967" t="s">
        <v>100</v>
      </c>
      <c r="AX207" s="1059"/>
      <c r="BE207" s="1060"/>
      <c r="BN207" s="1059"/>
      <c r="BU207" s="1060"/>
      <c r="BV207" s="1059"/>
      <c r="CC207" s="1060"/>
      <c r="CD207" s="1059"/>
      <c r="CJ207" s="1061"/>
      <c r="CK207" s="1060"/>
      <c r="CL207" s="1059"/>
      <c r="CS207" s="1060"/>
      <c r="CT207" s="1059"/>
      <c r="CW207" s="1062"/>
      <c r="CX207" s="1062"/>
      <c r="DE207" s="1064"/>
      <c r="DF207" s="1064"/>
      <c r="DM207" s="1064"/>
      <c r="DN207" s="1064"/>
      <c r="DU207" s="1064"/>
      <c r="DV207" s="1064"/>
      <c r="EC207" s="1064"/>
      <c r="ED207" s="1064"/>
      <c r="EK207" s="1064"/>
      <c r="EL207" s="1064"/>
      <c r="ER207" s="1065"/>
      <c r="ET207" s="1065"/>
      <c r="EU207" s="1065"/>
      <c r="EW207" s="1038"/>
      <c r="EX207" s="1181"/>
      <c r="EY207" s="1181"/>
      <c r="EZ207" s="1181"/>
      <c r="FA207" s="1181"/>
      <c r="FB207" s="1181"/>
      <c r="FC207" s="1181"/>
      <c r="FD207" s="1181"/>
      <c r="FE207" s="1182"/>
      <c r="FF207" s="1094"/>
      <c r="FG207" s="1094"/>
      <c r="FH207" s="1094"/>
      <c r="FI207" s="1087"/>
      <c r="FJ207" s="1087"/>
      <c r="FK207" s="1230"/>
      <c r="FL207" s="1094"/>
      <c r="FM207" s="1093"/>
      <c r="FN207" s="1230"/>
      <c r="FO207" s="1094"/>
      <c r="FP207" s="1094"/>
      <c r="FQ207" s="1230"/>
      <c r="FR207" s="1094"/>
      <c r="FS207" s="1094"/>
      <c r="FT207" s="1094"/>
      <c r="FU207" s="1094"/>
      <c r="FV207" s="1086"/>
      <c r="FW207" s="1094"/>
      <c r="FX207" s="1094"/>
      <c r="FY207" s="1094"/>
      <c r="FZ207" s="1094"/>
      <c r="GA207" s="1094"/>
      <c r="GB207" s="1094"/>
      <c r="GC207" s="1093"/>
      <c r="GD207" s="1087"/>
      <c r="GE207" s="1094"/>
      <c r="GF207" s="1094"/>
      <c r="GG207" s="1230"/>
      <c r="GH207" s="1094"/>
      <c r="GI207" s="1094"/>
      <c r="GJ207" s="1094"/>
      <c r="GK207" s="1093"/>
      <c r="GL207" s="1087"/>
      <c r="GM207" s="1094"/>
      <c r="GN207" s="1094"/>
      <c r="GO207" s="1230"/>
      <c r="GP207" s="1094"/>
      <c r="GQ207" s="1094"/>
      <c r="GR207" s="1094"/>
      <c r="GS207" s="1093"/>
      <c r="GT207" s="1087"/>
      <c r="GU207" s="1094"/>
      <c r="GV207" s="1094"/>
      <c r="GW207" s="1230"/>
      <c r="GX207" s="1094"/>
      <c r="GY207" s="1094"/>
      <c r="GZ207" s="1094"/>
      <c r="HA207" s="1093"/>
      <c r="HB207" s="1087"/>
      <c r="HC207" s="1094"/>
      <c r="HD207" s="1094"/>
      <c r="HE207" s="1230"/>
      <c r="HF207" s="1094"/>
      <c r="HG207" s="1094"/>
      <c r="HH207" s="1094"/>
      <c r="HI207" s="1093"/>
      <c r="HJ207" s="1087"/>
      <c r="HK207" s="1094"/>
      <c r="HL207" s="1094"/>
      <c r="HM207" s="1230"/>
      <c r="HN207" s="1094"/>
      <c r="HO207" s="1094"/>
      <c r="HP207" s="1094"/>
      <c r="HQ207" s="1093"/>
      <c r="HR207" s="1087"/>
      <c r="HS207" s="1087"/>
      <c r="HT207" s="1083"/>
      <c r="HU207" s="1087"/>
      <c r="HV207" s="1083"/>
      <c r="HW207" s="1087"/>
      <c r="HX207" s="1083"/>
      <c r="HY207" s="1084"/>
      <c r="HZ207" s="1087">
        <v>0.168523809523809</v>
      </c>
      <c r="IA207" s="1087">
        <v>0.28</v>
      </c>
      <c r="IB207" s="1083">
        <f>((HZ207*HR204)+(IA207*HS204))/HT204</f>
        <v>0.221106918238994</v>
      </c>
      <c r="IC207" s="1087">
        <v>0.17</v>
      </c>
      <c r="ID207" s="1083">
        <f>(HR204*HZ207+HS204*IA207+HU204*IC207)/HV204</f>
        <v>0.20086799620133</v>
      </c>
      <c r="IE207" s="1087">
        <v>0.21</v>
      </c>
      <c r="IF207" s="1083">
        <f>(2079*IC207+1559*IE207)/(2079+1559)</f>
        <v>0.18714128642111</v>
      </c>
      <c r="IG207" s="1084">
        <f>(HR204*HZ207+HS204*IA207+HU204*IC207+HW204*IE207)/HY204</f>
        <v>0.203251929824561</v>
      </c>
      <c r="IH207" s="1087">
        <v>0.232910112359551</v>
      </c>
      <c r="II207" s="1087">
        <v>0.14</v>
      </c>
      <c r="IJ207" s="1083">
        <f>((IH207*HZ204)+(II207*IA204))/IB204</f>
        <v>0.184643001754623</v>
      </c>
      <c r="IK207" s="1087">
        <v>0.13</v>
      </c>
      <c r="IL207" s="1083">
        <f>(HZ204*IH207+IA204*II207+IC204*IK207)/ID204</f>
        <v>0.163758993225687</v>
      </c>
      <c r="IM207" s="1087">
        <v>0.15</v>
      </c>
      <c r="IN207" s="1083">
        <f>(2079*IK207+1559*IM207)/(2079+1559)</f>
        <v>0.138570643210555</v>
      </c>
      <c r="IO207" s="1084">
        <f>(HZ204*IH207+IA204*II207+IC204*IK207+IE204*IM207)/IG204</f>
        <v>0.160191658608702</v>
      </c>
      <c r="IP207" s="1087">
        <v>0.1</v>
      </c>
      <c r="IQ207" s="1087">
        <v>0.12</v>
      </c>
      <c r="IR207" s="1083">
        <f>((IP207*IH204)+(IQ207*II204))/IJ204</f>
        <v>0.109338235294118</v>
      </c>
      <c r="IS207" s="1087">
        <v>0.07</v>
      </c>
      <c r="IT207" s="1083">
        <f>(IH204*IP207+II204*IQ207+IK204*IS207)/IL204</f>
        <v>0.0950097389949357</v>
      </c>
      <c r="IU207" s="1087">
        <v>0.05</v>
      </c>
      <c r="IV207" s="1083">
        <f>(2079*IS207+1559*IU207)/(2079+1559)</f>
        <v>0.0614293567894448</v>
      </c>
      <c r="IW207" s="1084">
        <f>(IH204*IP207+II204*IQ207+IK204*IS207+IM204*IU207)/IO204</f>
        <v>0.0829173789173789</v>
      </c>
      <c r="IX207" s="1049"/>
      <c r="IY207" s="1181"/>
      <c r="IZ207" s="1049"/>
      <c r="JA207" s="1037"/>
      <c r="JB207" s="1037"/>
      <c r="JC207" s="1037"/>
      <c r="JD207" s="1041"/>
      <c r="JE207" s="1037"/>
      <c r="JF207" s="1037"/>
      <c r="JG207" s="1037"/>
      <c r="JH207" s="1037"/>
      <c r="JI207" s="1035"/>
      <c r="JJ207" s="1035"/>
      <c r="JK207" s="1035"/>
      <c r="JL207" s="1035"/>
      <c r="JM207" s="1035"/>
      <c r="JN207" s="1035"/>
      <c r="JO207" s="1035"/>
      <c r="JP207" s="1035"/>
      <c r="JQ207" s="1082"/>
      <c r="JR207" s="1082"/>
      <c r="JS207" s="1082"/>
      <c r="JT207" s="1082"/>
      <c r="KA207" s="1229"/>
      <c r="KB207" s="1094"/>
      <c r="KC207" s="1094"/>
      <c r="KD207" s="1094"/>
      <c r="KE207" s="1094"/>
      <c r="KF207" s="1037"/>
      <c r="KG207" s="1094"/>
      <c r="KP207" s="1117"/>
      <c r="LV207" s="967"/>
    </row>
    <row r="208" spans="1:334">
      <c r="A208" s="967" t="s">
        <v>66</v>
      </c>
      <c r="AX208" s="1059"/>
      <c r="BE208" s="1060"/>
      <c r="BN208" s="1059"/>
      <c r="BU208" s="1060"/>
      <c r="BV208" s="1059"/>
      <c r="CC208" s="1060"/>
      <c r="CD208" s="1059"/>
      <c r="CJ208" s="1061"/>
      <c r="CK208" s="1060"/>
      <c r="CL208" s="1059"/>
      <c r="CS208" s="1060"/>
      <c r="CT208" s="1059"/>
      <c r="CW208" s="1062"/>
      <c r="CX208" s="1062"/>
      <c r="DE208" s="1064"/>
      <c r="DF208" s="1064"/>
      <c r="DM208" s="1064"/>
      <c r="DN208" s="1064"/>
      <c r="DU208" s="1064"/>
      <c r="DV208" s="1064"/>
      <c r="EC208" s="1064"/>
      <c r="ED208" s="1064"/>
      <c r="EK208" s="1064"/>
      <c r="EL208" s="1064"/>
      <c r="ER208" s="1065"/>
      <c r="ET208" s="1065"/>
      <c r="EU208" s="1065"/>
      <c r="EW208" s="1038"/>
      <c r="EX208" s="1181"/>
      <c r="EY208" s="1181"/>
      <c r="EZ208" s="1181"/>
      <c r="FA208" s="1181"/>
      <c r="FB208" s="1181"/>
      <c r="FC208" s="1181"/>
      <c r="FD208" s="1181"/>
      <c r="FE208" s="1182"/>
      <c r="FF208" s="1094"/>
      <c r="FG208" s="1094"/>
      <c r="FH208" s="1094"/>
      <c r="FI208" s="1087"/>
      <c r="FJ208" s="1087"/>
      <c r="FK208" s="1230"/>
      <c r="FL208" s="1094"/>
      <c r="FM208" s="1093"/>
      <c r="FN208" s="1230"/>
      <c r="FO208" s="1094"/>
      <c r="FP208" s="1094"/>
      <c r="FQ208" s="1230"/>
      <c r="FR208" s="1094"/>
      <c r="FS208" s="1094"/>
      <c r="FT208" s="1094"/>
      <c r="FU208" s="1094"/>
      <c r="FV208" s="1086"/>
      <c r="FW208" s="1094"/>
      <c r="FX208" s="1094"/>
      <c r="FY208" s="1094"/>
      <c r="FZ208" s="1094"/>
      <c r="GA208" s="1094"/>
      <c r="GB208" s="1094"/>
      <c r="GC208" s="1093"/>
      <c r="GD208" s="1087"/>
      <c r="GE208" s="1094"/>
      <c r="GF208" s="1094"/>
      <c r="GG208" s="1230"/>
      <c r="GH208" s="1094"/>
      <c r="GI208" s="1094"/>
      <c r="GJ208" s="1094"/>
      <c r="GK208" s="1093"/>
      <c r="GL208" s="1087"/>
      <c r="GM208" s="1094"/>
      <c r="GN208" s="1094"/>
      <c r="GO208" s="1230"/>
      <c r="GP208" s="1094"/>
      <c r="GQ208" s="1094"/>
      <c r="GR208" s="1094"/>
      <c r="GS208" s="1093"/>
      <c r="GT208" s="1087"/>
      <c r="GU208" s="1094"/>
      <c r="GV208" s="1094"/>
      <c r="GW208" s="1230"/>
      <c r="GX208" s="1094"/>
      <c r="GY208" s="1094"/>
      <c r="GZ208" s="1094"/>
      <c r="HA208" s="1093"/>
      <c r="HB208" s="1087"/>
      <c r="HC208" s="1094"/>
      <c r="HD208" s="1094"/>
      <c r="HE208" s="1230"/>
      <c r="HF208" s="1094"/>
      <c r="HG208" s="1094"/>
      <c r="HH208" s="1094"/>
      <c r="HI208" s="1093"/>
      <c r="HJ208" s="1087"/>
      <c r="HK208" s="1094"/>
      <c r="HL208" s="1094"/>
      <c r="HM208" s="1230"/>
      <c r="HN208" s="1094"/>
      <c r="HO208" s="1094"/>
      <c r="HP208" s="1094"/>
      <c r="HQ208" s="1093"/>
      <c r="HR208" s="1087">
        <f t="shared" ref="HR208:IG208" si="1095">HR204/HR$216</f>
        <v>0.127417519908987</v>
      </c>
      <c r="HS208" s="1094">
        <f t="shared" si="1095"/>
        <v>0.121383775035404</v>
      </c>
      <c r="HT208" s="1094">
        <f t="shared" si="1095"/>
        <v>0.124816014130115</v>
      </c>
      <c r="HU208" s="1230">
        <f t="shared" si="1095"/>
        <v>0.147636749867233</v>
      </c>
      <c r="HV208" s="1094">
        <f t="shared" si="1095"/>
        <v>0.133139461373119</v>
      </c>
      <c r="HW208" s="1094">
        <f t="shared" si="1095"/>
        <v>0.154613466334165</v>
      </c>
      <c r="HX208" s="1094">
        <f t="shared" si="1095"/>
        <v>0.150845999426441</v>
      </c>
      <c r="HY208" s="1093">
        <f t="shared" si="1095"/>
        <v>0.137827642905503</v>
      </c>
      <c r="HZ208" s="1087">
        <f t="shared" si="1095"/>
        <v>0.13413715146948</v>
      </c>
      <c r="IA208" s="1094">
        <f t="shared" si="1095"/>
        <v>0.13692636072572</v>
      </c>
      <c r="IB208" s="1094">
        <f t="shared" si="1095"/>
        <v>0.135571820677036</v>
      </c>
      <c r="IC208" s="1230">
        <f t="shared" si="1095"/>
        <v>0.146949663353639</v>
      </c>
      <c r="ID208" s="1094">
        <f t="shared" si="1095"/>
        <v>0.139934189031505</v>
      </c>
      <c r="IE208" s="1094">
        <f t="shared" si="1095"/>
        <v>0.143141517476557</v>
      </c>
      <c r="IF208" s="1094">
        <f t="shared" si="1095"/>
        <v>0.145008422095616</v>
      </c>
      <c r="IG208" s="1093">
        <f t="shared" si="1095"/>
        <v>0.140580775409196</v>
      </c>
      <c r="IH208" s="1087">
        <f t="shared" ref="IH208:IO208" si="1096">IH204/IH$216</f>
        <v>0.141394441735739</v>
      </c>
      <c r="II208" s="1094">
        <f t="shared" si="1096"/>
        <v>0.128024193548387</v>
      </c>
      <c r="IJ208" s="1094">
        <f t="shared" si="1096"/>
        <v>0.134820322180917</v>
      </c>
      <c r="IK208" s="1230">
        <f t="shared" si="1096"/>
        <v>0.141025641025641</v>
      </c>
      <c r="IL208" s="1094">
        <f t="shared" si="1096"/>
        <v>0.137221360987865</v>
      </c>
      <c r="IM208" s="1094">
        <f t="shared" si="1096"/>
        <v>0.155200789993417</v>
      </c>
      <c r="IN208" s="1094">
        <f t="shared" si="1096"/>
        <v>0.148352950470021</v>
      </c>
      <c r="IO208" s="1093">
        <f t="shared" si="1096"/>
        <v>0.141469509491758</v>
      </c>
      <c r="IP208" s="1087">
        <f t="shared" ref="IP208:IW208" si="1097">IP204/IP$216</f>
        <v>0.13182645631068</v>
      </c>
      <c r="IQ208" s="1094">
        <f t="shared" si="1097"/>
        <v>0.125760047456622</v>
      </c>
      <c r="IR208" s="1094">
        <f t="shared" si="1097"/>
        <v>0.128758905136858</v>
      </c>
      <c r="IS208" s="1230">
        <f t="shared" si="1097"/>
        <v>0.137386317556615</v>
      </c>
      <c r="IT208" s="1094">
        <f t="shared" si="1097"/>
        <v>0.131806144425375</v>
      </c>
      <c r="IU208" s="1094">
        <f t="shared" si="1097"/>
        <v>0.151958808736149</v>
      </c>
      <c r="IV208" s="1094">
        <f t="shared" si="1097"/>
        <v>0.144268004924128</v>
      </c>
      <c r="IW208" s="1093">
        <f t="shared" si="1097"/>
        <v>0.136645760041263</v>
      </c>
      <c r="IX208" s="1049"/>
      <c r="IY208" s="1181"/>
      <c r="IZ208" s="1049"/>
      <c r="JA208" s="1037"/>
      <c r="JB208" s="1037"/>
      <c r="JC208" s="1037"/>
      <c r="JD208" s="1041"/>
      <c r="JE208" s="1037"/>
      <c r="JF208" s="1037"/>
      <c r="JG208" s="1037"/>
      <c r="JH208" s="1037"/>
      <c r="JI208" s="1035"/>
      <c r="JJ208" s="1035"/>
      <c r="JK208" s="1035"/>
      <c r="JL208" s="1035"/>
      <c r="JM208" s="1035"/>
      <c r="JN208" s="1035"/>
      <c r="JO208" s="1035"/>
      <c r="JP208" s="1035"/>
      <c r="JQ208" s="1082"/>
      <c r="JR208" s="1082"/>
      <c r="JS208" s="1082"/>
      <c r="JT208" s="1082"/>
      <c r="KA208" s="1229"/>
      <c r="KB208" s="1094"/>
      <c r="KC208" s="1094"/>
      <c r="KD208" s="1094"/>
      <c r="KE208" s="1094"/>
      <c r="KF208" s="1037"/>
      <c r="KG208" s="1094"/>
      <c r="KP208" s="1117"/>
      <c r="LV208" s="967"/>
    </row>
    <row r="209" spans="1:334">
      <c r="A209" s="1231" t="s">
        <v>70</v>
      </c>
      <c r="B209" s="1232"/>
      <c r="C209" s="1232"/>
      <c r="D209" s="1232"/>
      <c r="E209" s="1232"/>
      <c r="F209" s="1232"/>
      <c r="G209" s="1232"/>
      <c r="H209" s="1232"/>
      <c r="I209" s="1232"/>
      <c r="J209" s="1232"/>
      <c r="K209" s="1232"/>
      <c r="L209" s="1232"/>
      <c r="M209" s="1232"/>
      <c r="N209" s="1232"/>
      <c r="O209" s="1232"/>
      <c r="P209" s="1232"/>
      <c r="Q209" s="1232"/>
      <c r="R209" s="1232"/>
      <c r="S209" s="1232"/>
      <c r="T209" s="1232"/>
      <c r="U209" s="1232"/>
      <c r="V209" s="1232"/>
      <c r="W209" s="1232"/>
      <c r="X209" s="1232"/>
      <c r="Y209" s="1232"/>
      <c r="Z209" s="1232"/>
      <c r="AA209" s="1232"/>
      <c r="AB209" s="1232"/>
      <c r="AC209" s="1232"/>
      <c r="AD209" s="1232"/>
      <c r="AE209" s="1232"/>
      <c r="AF209" s="1232"/>
      <c r="AG209" s="1232"/>
      <c r="AH209" s="1232"/>
      <c r="AI209" s="1232"/>
      <c r="AJ209" s="1232"/>
      <c r="AK209" s="1232"/>
      <c r="AL209" s="1232"/>
      <c r="AM209" s="1232"/>
      <c r="AN209" s="1232"/>
      <c r="AO209" s="1232"/>
      <c r="AP209" s="1232"/>
      <c r="AQ209" s="1232"/>
      <c r="AR209" s="1232"/>
      <c r="AS209" s="1232"/>
      <c r="AT209" s="1232"/>
      <c r="AU209" s="1232"/>
      <c r="AV209" s="1232"/>
      <c r="AW209" s="1232"/>
      <c r="AX209" s="1233"/>
      <c r="AY209" s="1232"/>
      <c r="AZ209" s="1232"/>
      <c r="BA209" s="1232"/>
      <c r="BB209" s="1232"/>
      <c r="BC209" s="1232"/>
      <c r="BD209" s="1232"/>
      <c r="BE209" s="1234"/>
      <c r="BF209" s="1232"/>
      <c r="BG209" s="1232"/>
      <c r="BH209" s="1232"/>
      <c r="BI209" s="1232"/>
      <c r="BJ209" s="1232"/>
      <c r="BK209" s="1232"/>
      <c r="BL209" s="1232"/>
      <c r="BM209" s="1232"/>
      <c r="BN209" s="1233"/>
      <c r="BO209" s="1232"/>
      <c r="BP209" s="1232"/>
      <c r="BQ209" s="1232"/>
      <c r="BR209" s="1232"/>
      <c r="BS209" s="1232"/>
      <c r="BT209" s="1232"/>
      <c r="BU209" s="1234"/>
      <c r="BV209" s="1233"/>
      <c r="BW209" s="1232"/>
      <c r="BX209" s="1232"/>
      <c r="BY209" s="1232"/>
      <c r="BZ209" s="1232"/>
      <c r="CA209" s="1232"/>
      <c r="CB209" s="1232"/>
      <c r="CC209" s="1234"/>
      <c r="CD209" s="1233"/>
      <c r="CE209" s="1232"/>
      <c r="CF209" s="1232"/>
      <c r="CG209" s="1232"/>
      <c r="CH209" s="1232"/>
      <c r="CI209" s="1232"/>
      <c r="CJ209" s="1235"/>
      <c r="CK209" s="1234"/>
      <c r="CL209" s="1233"/>
      <c r="CM209" s="1232"/>
      <c r="CN209" s="1232"/>
      <c r="CO209" s="1232"/>
      <c r="CP209" s="1232"/>
      <c r="CQ209" s="1232"/>
      <c r="CR209" s="1232"/>
      <c r="CS209" s="1234"/>
      <c r="CT209" s="1233"/>
      <c r="CU209" s="1232"/>
      <c r="CV209" s="1232"/>
      <c r="CW209" s="1236"/>
      <c r="CX209" s="1236"/>
      <c r="CY209" s="1232"/>
      <c r="CZ209" s="1232"/>
      <c r="DA209" s="1232"/>
      <c r="DB209" s="1237"/>
      <c r="DC209" s="1237"/>
      <c r="DD209" s="1237"/>
      <c r="DE209" s="1238"/>
      <c r="DF209" s="1238"/>
      <c r="DG209" s="1237"/>
      <c r="DH209" s="1237"/>
      <c r="DI209" s="1239"/>
      <c r="DJ209" s="1237"/>
      <c r="DK209" s="1237"/>
      <c r="DL209" s="1237"/>
      <c r="DM209" s="1238"/>
      <c r="DN209" s="1238"/>
      <c r="DO209" s="1237"/>
      <c r="DP209" s="1237"/>
      <c r="DQ209" s="1239"/>
      <c r="DR209" s="1237"/>
      <c r="DS209" s="1237"/>
      <c r="DT209" s="1237"/>
      <c r="DU209" s="1238"/>
      <c r="DV209" s="1238"/>
      <c r="DW209" s="1237"/>
      <c r="DX209" s="1237"/>
      <c r="DY209" s="1239"/>
      <c r="DZ209" s="1237"/>
      <c r="EA209" s="1237"/>
      <c r="EB209" s="1237"/>
      <c r="EC209" s="1238"/>
      <c r="ED209" s="1238"/>
      <c r="EE209" s="1237"/>
      <c r="EF209" s="1237"/>
      <c r="EG209" s="1239"/>
      <c r="EH209" s="1237"/>
      <c r="EI209" s="1237"/>
      <c r="EJ209" s="1237"/>
      <c r="EK209" s="1238"/>
      <c r="EL209" s="1238"/>
      <c r="EM209" s="1237"/>
      <c r="EN209" s="1237"/>
      <c r="EO209" s="1239"/>
      <c r="EP209" s="1237"/>
      <c r="EQ209" s="1237"/>
      <c r="ER209" s="1240"/>
      <c r="ES209" s="1237"/>
      <c r="ET209" s="1240"/>
      <c r="EU209" s="1240"/>
      <c r="EV209" s="1237"/>
      <c r="EW209" s="1239"/>
      <c r="EX209" s="1241">
        <v>333</v>
      </c>
      <c r="EY209" s="1241">
        <v>369</v>
      </c>
      <c r="EZ209" s="1241">
        <f>EX209+EY209</f>
        <v>702</v>
      </c>
      <c r="FA209" s="1241">
        <v>290</v>
      </c>
      <c r="FB209" s="1241">
        <f>EZ209+FA209</f>
        <v>992</v>
      </c>
      <c r="FC209" s="1241">
        <v>366</v>
      </c>
      <c r="FD209" s="1241">
        <f>FA209+FC209</f>
        <v>656</v>
      </c>
      <c r="FE209" s="1242">
        <f>EX209+EY209+FA209+FC209</f>
        <v>1358</v>
      </c>
      <c r="FF209" s="1243">
        <v>377</v>
      </c>
      <c r="FG209" s="1243">
        <v>365</v>
      </c>
      <c r="FH209" s="1241">
        <f>FF209+FG209</f>
        <v>742</v>
      </c>
      <c r="FI209" s="1244">
        <v>342</v>
      </c>
      <c r="FJ209" s="1241">
        <f>FH209+FI209</f>
        <v>1084</v>
      </c>
      <c r="FK209" s="1243">
        <v>383</v>
      </c>
      <c r="FL209" s="1241">
        <f>FI209+FK209</f>
        <v>725</v>
      </c>
      <c r="FM209" s="1242">
        <f>FF209+FG209+FI209+FK209</f>
        <v>1467</v>
      </c>
      <c r="FN209" s="1243">
        <v>396</v>
      </c>
      <c r="FO209" s="1241">
        <v>377</v>
      </c>
      <c r="FP209" s="1241">
        <f>FN209+FO209</f>
        <v>773</v>
      </c>
      <c r="FQ209" s="1243">
        <v>366</v>
      </c>
      <c r="FR209" s="1241">
        <f>FN209+FO209+FQ209</f>
        <v>1139</v>
      </c>
      <c r="FS209" s="1241">
        <f>FU209-FN209-FO209-FQ209</f>
        <v>336</v>
      </c>
      <c r="FT209" s="1241">
        <f>FQ209+FS209</f>
        <v>702</v>
      </c>
      <c r="FU209" s="1241">
        <v>1475</v>
      </c>
      <c r="FV209" s="1245">
        <v>197</v>
      </c>
      <c r="FW209" s="1243">
        <v>198</v>
      </c>
      <c r="FX209" s="1241">
        <f>FV209+FW209</f>
        <v>395</v>
      </c>
      <c r="FY209" s="1243">
        <v>192</v>
      </c>
      <c r="FZ209" s="1241">
        <f>FV209+FW209+FY209</f>
        <v>587</v>
      </c>
      <c r="GA209" s="1241">
        <f>GC209-FV209-FW209-FY209</f>
        <v>154</v>
      </c>
      <c r="GB209" s="1241">
        <f>FY209+GA209</f>
        <v>346</v>
      </c>
      <c r="GC209" s="1242">
        <v>741</v>
      </c>
      <c r="GD209" s="1244">
        <f>FV209*(1+GD211)</f>
        <v>190</v>
      </c>
      <c r="GE209" s="1244">
        <v>189</v>
      </c>
      <c r="GF209" s="1241">
        <f>GD209+GE209</f>
        <v>379</v>
      </c>
      <c r="GG209" s="1244">
        <f>FY209*(1+GG211)</f>
        <v>230</v>
      </c>
      <c r="GH209" s="1241">
        <f>GD209+GE209+GG209</f>
        <v>609</v>
      </c>
      <c r="GI209" s="1244">
        <v>220</v>
      </c>
      <c r="GJ209" s="1241">
        <f>GG209+GI209</f>
        <v>450</v>
      </c>
      <c r="GK209" s="1242">
        <f>GJ209+GF209</f>
        <v>829</v>
      </c>
      <c r="GL209" s="1244">
        <f>GD209*(1+GL211)</f>
        <v>195</v>
      </c>
      <c r="GM209" s="1244">
        <f>GE209*(1+GM211)</f>
        <v>147</v>
      </c>
      <c r="GN209" s="1241">
        <f>GL209+GM209</f>
        <v>342</v>
      </c>
      <c r="GO209" s="1244">
        <f>GG209*(1+GO211)</f>
        <v>162</v>
      </c>
      <c r="GP209" s="1241">
        <f>GL209+GM209+GO209</f>
        <v>504</v>
      </c>
      <c r="GQ209" s="1244">
        <f>GI209*(1+GQ211)</f>
        <v>101</v>
      </c>
      <c r="GR209" s="1241">
        <f>GO209+GQ209</f>
        <v>263</v>
      </c>
      <c r="GS209" s="1242">
        <f>GR209+GN209</f>
        <v>605</v>
      </c>
      <c r="GT209" s="1244">
        <f>GL209*(1+GT211)</f>
        <v>156</v>
      </c>
      <c r="GU209" s="1244">
        <f>GM209*(1+GU211)</f>
        <v>73.647</v>
      </c>
      <c r="GV209" s="1241">
        <f>GT209+GU209</f>
        <v>229.647</v>
      </c>
      <c r="GW209" s="1244">
        <f>GO209*(1+GW211)</f>
        <v>153.09</v>
      </c>
      <c r="GX209" s="1241">
        <f>GT209+GU209+GW209</f>
        <v>382.737</v>
      </c>
      <c r="GY209" s="1244">
        <f>GQ209*(1+GY211)</f>
        <v>93.263</v>
      </c>
      <c r="GZ209" s="1241">
        <f>GW209+GY209</f>
        <v>246.353</v>
      </c>
      <c r="HA209" s="1242">
        <f>GZ209+GV209</f>
        <v>476</v>
      </c>
      <c r="HB209" s="1244">
        <f>48*(1+HB211)</f>
        <v>39</v>
      </c>
      <c r="HC209" s="1244">
        <f>21*(1+HC211)</f>
        <v>34</v>
      </c>
      <c r="HD209" s="1241">
        <f>HB209+HC209</f>
        <v>73</v>
      </c>
      <c r="HE209" s="1244">
        <f>55*(1+HE211)</f>
        <v>44.0000000000036</v>
      </c>
      <c r="HF209" s="1241">
        <f>HB209+HC209+HE209</f>
        <v>117.000000000004</v>
      </c>
      <c r="HG209" s="1244">
        <f>27*(1+HG211)</f>
        <v>26.9999999999981</v>
      </c>
      <c r="HH209" s="1241">
        <f>HE209+HG209</f>
        <v>71.0000000000017</v>
      </c>
      <c r="HI209" s="1242">
        <f>HH209+HD209</f>
        <v>144.000000000002</v>
      </c>
      <c r="HJ209" s="1244">
        <f>HB209*(1+HJ211)</f>
        <v>36</v>
      </c>
      <c r="HK209" s="1244">
        <f>HC209*(1+HK211)</f>
        <v>29</v>
      </c>
      <c r="HL209" s="1241">
        <f>HJ209+HK209</f>
        <v>65</v>
      </c>
      <c r="HM209" s="1244">
        <f>HE209*(1+HM211)</f>
        <v>46</v>
      </c>
      <c r="HN209" s="1241">
        <f>HJ209+HK209+HM209</f>
        <v>111</v>
      </c>
      <c r="HO209" s="1244">
        <f>HG209*(1+HO211)</f>
        <v>39</v>
      </c>
      <c r="HP209" s="1241">
        <f>HM209+HO209</f>
        <v>85</v>
      </c>
      <c r="HQ209" s="1242">
        <f>HP209+HL209</f>
        <v>150</v>
      </c>
      <c r="HR209" s="1244">
        <v>80</v>
      </c>
      <c r="HS209" s="1244">
        <v>48</v>
      </c>
      <c r="HT209" s="1241">
        <f>HR209+HS209</f>
        <v>128</v>
      </c>
      <c r="HU209" s="1244">
        <v>38</v>
      </c>
      <c r="HV209" s="1241">
        <f>HR209+HS209+HU209</f>
        <v>166</v>
      </c>
      <c r="HW209" s="1244">
        <v>33</v>
      </c>
      <c r="HX209" s="1241">
        <f>HU209+HW209</f>
        <v>71</v>
      </c>
      <c r="HY209" s="1242">
        <f>HX209+HT209</f>
        <v>199</v>
      </c>
      <c r="HZ209" s="1244">
        <f>HR209*(1+HZ211)</f>
        <v>32</v>
      </c>
      <c r="IA209" s="1244">
        <f>HS209*(1+IA211)</f>
        <v>23</v>
      </c>
      <c r="IB209" s="1241">
        <f>HZ209+IA209</f>
        <v>55</v>
      </c>
      <c r="IC209" s="1244">
        <f>HU209*(1+IC211)</f>
        <v>29</v>
      </c>
      <c r="ID209" s="1241">
        <f>HZ209+IA209+IC209</f>
        <v>84</v>
      </c>
      <c r="IE209" s="1244">
        <f>HW209*(1+IE211)</f>
        <v>20</v>
      </c>
      <c r="IF209" s="1241">
        <f>IC209+IE209</f>
        <v>49</v>
      </c>
      <c r="IG209" s="1242">
        <f>IF209+IB209</f>
        <v>104</v>
      </c>
      <c r="IH209" s="1244">
        <f>HZ209*(1+IH211)</f>
        <v>21</v>
      </c>
      <c r="II209" s="1244">
        <f>IA209*(1+II211)</f>
        <v>14</v>
      </c>
      <c r="IJ209" s="1241">
        <f>IH209+II209</f>
        <v>35</v>
      </c>
      <c r="IK209" s="1244">
        <f>IC209*(1+IK211)</f>
        <v>21</v>
      </c>
      <c r="IL209" s="1241">
        <f>IH209+II209+IK209</f>
        <v>56</v>
      </c>
      <c r="IM209" s="1244">
        <f>IE209*(1+IM211)</f>
        <v>16</v>
      </c>
      <c r="IN209" s="1241">
        <f>IK209+IM209</f>
        <v>37</v>
      </c>
      <c r="IO209" s="1242">
        <f>IN209+IJ209</f>
        <v>72</v>
      </c>
      <c r="IP209" s="1244">
        <f>IH209*(1+IP211)</f>
        <v>61.9999999999975</v>
      </c>
      <c r="IQ209" s="1244">
        <f>II209*(1+IQ211)</f>
        <v>28.9999999999962</v>
      </c>
      <c r="IR209" s="1241">
        <f>IP209+IQ209</f>
        <v>90.9999999999938</v>
      </c>
      <c r="IS209" s="1244">
        <f>IK209*(1+IS211)</f>
        <v>36.75</v>
      </c>
      <c r="IT209" s="1241">
        <f>IP209+IQ209+IS209</f>
        <v>127.749999999994</v>
      </c>
      <c r="IU209" s="1244">
        <f>IM209*(1+IU211)</f>
        <v>24</v>
      </c>
      <c r="IV209" s="1241">
        <f>IS209+IU209</f>
        <v>60.75</v>
      </c>
      <c r="IW209" s="1242">
        <f>IV209+IR209</f>
        <v>151.749999999994</v>
      </c>
      <c r="IX209" s="1049"/>
      <c r="IY209" s="1071"/>
      <c r="IZ209" s="1049"/>
      <c r="JA209" s="1049"/>
      <c r="JB209" s="1049"/>
      <c r="JC209" s="1049"/>
      <c r="JD209" s="1041"/>
      <c r="JE209" s="1037"/>
      <c r="JF209" s="1037"/>
      <c r="JG209" s="1037"/>
      <c r="JH209" s="1037"/>
      <c r="JI209" s="1035"/>
      <c r="JJ209" s="1035"/>
      <c r="JK209" s="1035"/>
      <c r="JL209" s="1035"/>
      <c r="JM209" s="1035"/>
      <c r="JN209" s="1035"/>
      <c r="JO209" s="1035"/>
      <c r="JP209" s="1035"/>
      <c r="JQ209" s="1035"/>
      <c r="JR209" s="1035"/>
      <c r="JS209" s="1035"/>
      <c r="JT209" s="1035"/>
      <c r="JW209" s="1035"/>
      <c r="JX209" s="1035"/>
      <c r="JY209" s="1035"/>
      <c r="JZ209" s="969" t="s">
        <v>549</v>
      </c>
      <c r="KP209" s="1117"/>
      <c r="LV209" s="967"/>
    </row>
    <row r="210" hidden="1" outlineLevel="1" spans="1:334">
      <c r="A210" s="969" t="s">
        <v>550</v>
      </c>
      <c r="AX210" s="1059"/>
      <c r="BE210" s="1060"/>
      <c r="BN210" s="1059"/>
      <c r="BU210" s="1060"/>
      <c r="BV210" s="1059"/>
      <c r="CC210" s="1060"/>
      <c r="CD210" s="1059"/>
      <c r="CJ210" s="1061"/>
      <c r="CK210" s="1060"/>
      <c r="CL210" s="1059"/>
      <c r="CS210" s="1060"/>
      <c r="CT210" s="1059"/>
      <c r="CW210" s="1062"/>
      <c r="CX210" s="1062"/>
      <c r="DE210" s="1064"/>
      <c r="DF210" s="1064"/>
      <c r="DM210" s="1064"/>
      <c r="DN210" s="1064"/>
      <c r="DU210" s="1064"/>
      <c r="DV210" s="1064"/>
      <c r="EC210" s="1064"/>
      <c r="ED210" s="1064"/>
      <c r="EK210" s="1064"/>
      <c r="EL210" s="1064"/>
      <c r="ER210" s="1065"/>
      <c r="ET210" s="1065"/>
      <c r="EU210" s="1065"/>
      <c r="EW210" s="1038"/>
      <c r="EX210" s="1071"/>
      <c r="EY210" s="1071"/>
      <c r="EZ210" s="1071"/>
      <c r="FA210" s="1071"/>
      <c r="FB210" s="1071"/>
      <c r="FC210" s="1071"/>
      <c r="FD210" s="1071"/>
      <c r="FE210" s="1072"/>
      <c r="FF210" s="1098"/>
      <c r="FG210" s="1098"/>
      <c r="FH210" s="1071"/>
      <c r="FI210" s="1076"/>
      <c r="FJ210" s="1071"/>
      <c r="FK210" s="1098"/>
      <c r="FL210" s="1071"/>
      <c r="FM210" s="1072"/>
      <c r="FN210" s="1098">
        <v>189</v>
      </c>
      <c r="FO210" s="1071">
        <v>156</v>
      </c>
      <c r="FP210" s="1071">
        <f>FN210+FO210</f>
        <v>345</v>
      </c>
      <c r="FQ210" s="1098">
        <v>175</v>
      </c>
      <c r="FR210" s="1071">
        <f>FP210+FQ210</f>
        <v>520</v>
      </c>
      <c r="FS210" s="1071">
        <v>149</v>
      </c>
      <c r="FT210" s="1071">
        <f>FQ210+FS210</f>
        <v>324</v>
      </c>
      <c r="FU210" s="1071">
        <f>FN210+FO210+FQ210+FS210</f>
        <v>669</v>
      </c>
      <c r="FV210" s="1075"/>
      <c r="FW210" s="1098"/>
      <c r="FX210" s="1071"/>
      <c r="FY210" s="1098"/>
      <c r="FZ210" s="1071"/>
      <c r="GA210" s="1071"/>
      <c r="GB210" s="1071"/>
      <c r="GC210" s="1072"/>
      <c r="GD210" s="1076">
        <v>2</v>
      </c>
      <c r="GE210" s="1098">
        <v>0</v>
      </c>
      <c r="GF210" s="1071">
        <f>GE210+GD210</f>
        <v>2</v>
      </c>
      <c r="GG210" s="1098">
        <v>0</v>
      </c>
      <c r="GH210" s="1071">
        <f>GG210+GF210</f>
        <v>2</v>
      </c>
      <c r="GI210" s="1071">
        <v>0</v>
      </c>
      <c r="GJ210" s="1071">
        <f>GI210+GG210</f>
        <v>0</v>
      </c>
      <c r="GK210" s="1072">
        <f>GJ210+GF210</f>
        <v>2</v>
      </c>
      <c r="GL210" s="1076">
        <v>0</v>
      </c>
      <c r="GM210" s="1098">
        <v>0</v>
      </c>
      <c r="GN210" s="1071">
        <f>GM210+GL210</f>
        <v>0</v>
      </c>
      <c r="GO210" s="1098">
        <v>0</v>
      </c>
      <c r="GP210" s="1071">
        <f>GO210+GN210</f>
        <v>0</v>
      </c>
      <c r="GQ210" s="1071">
        <v>0</v>
      </c>
      <c r="GR210" s="1071">
        <f>GQ210+GO210</f>
        <v>0</v>
      </c>
      <c r="GS210" s="1072">
        <f>GR210+GN210</f>
        <v>0</v>
      </c>
      <c r="GT210" s="1076">
        <v>0</v>
      </c>
      <c r="GU210" s="1098">
        <v>0</v>
      </c>
      <c r="GV210" s="1071">
        <f>GU210+GT210</f>
        <v>0</v>
      </c>
      <c r="GW210" s="1098">
        <v>0</v>
      </c>
      <c r="GX210" s="1071">
        <f>GW210+GV210</f>
        <v>0</v>
      </c>
      <c r="GY210" s="1071">
        <v>0</v>
      </c>
      <c r="GZ210" s="1071">
        <f>GY210+GW210</f>
        <v>0</v>
      </c>
      <c r="HA210" s="1072">
        <f>GZ210+GV210</f>
        <v>0</v>
      </c>
      <c r="HB210" s="1076">
        <v>0</v>
      </c>
      <c r="HC210" s="1098">
        <v>0</v>
      </c>
      <c r="HD210" s="1071">
        <f>HC210+HB210</f>
        <v>0</v>
      </c>
      <c r="HE210" s="1098">
        <v>0</v>
      </c>
      <c r="HF210" s="1071">
        <f>HE210+HD210</f>
        <v>0</v>
      </c>
      <c r="HG210" s="1071">
        <v>0</v>
      </c>
      <c r="HH210" s="1071">
        <f>HG210+HE210</f>
        <v>0</v>
      </c>
      <c r="HI210" s="1072">
        <f>HH210+HD210</f>
        <v>0</v>
      </c>
      <c r="HJ210" s="1076">
        <v>0</v>
      </c>
      <c r="HK210" s="1098">
        <v>0</v>
      </c>
      <c r="HL210" s="1071">
        <f>HK210+HJ210</f>
        <v>0</v>
      </c>
      <c r="HM210" s="1098">
        <v>0</v>
      </c>
      <c r="HN210" s="1071">
        <f>HM210+HL210</f>
        <v>0</v>
      </c>
      <c r="HO210" s="1071">
        <v>0</v>
      </c>
      <c r="HP210" s="1071">
        <f>HO210+HM210</f>
        <v>0</v>
      </c>
      <c r="HQ210" s="1072">
        <f>HP210+HL210</f>
        <v>0</v>
      </c>
      <c r="HR210" s="1076">
        <v>0</v>
      </c>
      <c r="HS210" s="1098">
        <v>0</v>
      </c>
      <c r="HT210" s="1071">
        <f>HS210+HR210</f>
        <v>0</v>
      </c>
      <c r="HU210" s="1098">
        <v>0</v>
      </c>
      <c r="HV210" s="1071">
        <f>HU210+HT210</f>
        <v>0</v>
      </c>
      <c r="HW210" s="1071">
        <v>0</v>
      </c>
      <c r="HX210" s="1071">
        <f>HW210+HU210</f>
        <v>0</v>
      </c>
      <c r="HY210" s="1072">
        <f>HX210+HT210</f>
        <v>0</v>
      </c>
      <c r="HZ210" s="1076">
        <v>0</v>
      </c>
      <c r="IA210" s="1098">
        <v>0</v>
      </c>
      <c r="IB210" s="1071">
        <f>IA210+HZ210</f>
        <v>0</v>
      </c>
      <c r="IC210" s="1098">
        <v>0</v>
      </c>
      <c r="ID210" s="1071">
        <f>IC210+IB210</f>
        <v>0</v>
      </c>
      <c r="IE210" s="1071">
        <v>0</v>
      </c>
      <c r="IF210" s="1071">
        <f>IE210+IC210</f>
        <v>0</v>
      </c>
      <c r="IG210" s="1072">
        <f>IF210+IB210</f>
        <v>0</v>
      </c>
      <c r="IH210" s="1076">
        <v>0</v>
      </c>
      <c r="II210" s="1098">
        <v>0</v>
      </c>
      <c r="IJ210" s="1071">
        <f>II210+IH210</f>
        <v>0</v>
      </c>
      <c r="IK210" s="1098">
        <v>0</v>
      </c>
      <c r="IL210" s="1071">
        <f>IK210+IJ210</f>
        <v>0</v>
      </c>
      <c r="IM210" s="1071">
        <v>0</v>
      </c>
      <c r="IN210" s="1071">
        <f>IM210+IK210</f>
        <v>0</v>
      </c>
      <c r="IO210" s="1072">
        <f>IN210+IJ210</f>
        <v>0</v>
      </c>
      <c r="IP210" s="1076">
        <v>0</v>
      </c>
      <c r="IQ210" s="1098">
        <v>0</v>
      </c>
      <c r="IR210" s="1071">
        <f>IQ210+IP210</f>
        <v>0</v>
      </c>
      <c r="IS210" s="1098">
        <v>0</v>
      </c>
      <c r="IT210" s="1071">
        <f>IS210+IR210</f>
        <v>0</v>
      </c>
      <c r="IU210" s="1071">
        <v>0</v>
      </c>
      <c r="IV210" s="1071">
        <f>IU210+IS210</f>
        <v>0</v>
      </c>
      <c r="IW210" s="1072">
        <f>IV210+IR210</f>
        <v>0</v>
      </c>
      <c r="IX210" s="1049"/>
      <c r="IY210" s="1071"/>
      <c r="IZ210" s="1049"/>
      <c r="JA210" s="1049"/>
      <c r="JB210" s="1049"/>
      <c r="JC210" s="1049"/>
      <c r="JD210" s="1041"/>
      <c r="JE210" s="1037"/>
      <c r="JF210" s="1037"/>
      <c r="JG210" s="1037"/>
      <c r="JH210" s="1037"/>
      <c r="JI210" s="1035"/>
      <c r="JJ210" s="1035"/>
      <c r="JK210" s="1035"/>
      <c r="JL210" s="1035"/>
      <c r="JM210" s="1035"/>
      <c r="JN210" s="1035"/>
      <c r="JO210" s="1035"/>
      <c r="JP210" s="1035"/>
      <c r="JQ210" s="1035"/>
      <c r="JR210" s="1035"/>
      <c r="JS210" s="1035"/>
      <c r="JT210" s="1035"/>
      <c r="JW210" s="1035"/>
      <c r="JX210" s="1035"/>
      <c r="JY210" s="1035"/>
      <c r="JZ210" s="969"/>
      <c r="KP210" s="1117"/>
      <c r="LV210" s="967"/>
    </row>
    <row r="211" collapsed="1" spans="1:334">
      <c r="A211" s="967" t="s">
        <v>61</v>
      </c>
      <c r="AX211" s="1059"/>
      <c r="BE211" s="1060"/>
      <c r="BN211" s="1059"/>
      <c r="BU211" s="1060"/>
      <c r="BV211" s="1059"/>
      <c r="CC211" s="1060"/>
      <c r="CD211" s="1059"/>
      <c r="CJ211" s="1061"/>
      <c r="CK211" s="1060"/>
      <c r="CL211" s="1059"/>
      <c r="CS211" s="1060"/>
      <c r="CT211" s="1059"/>
      <c r="CW211" s="1062"/>
      <c r="CX211" s="1062"/>
      <c r="DE211" s="1064"/>
      <c r="DF211" s="1064"/>
      <c r="DM211" s="1064"/>
      <c r="DN211" s="1064"/>
      <c r="DU211" s="1064"/>
      <c r="DV211" s="1064"/>
      <c r="EC211" s="1064"/>
      <c r="ED211" s="1064"/>
      <c r="EK211" s="1064"/>
      <c r="EL211" s="1064"/>
      <c r="ER211" s="1065"/>
      <c r="ET211" s="1065"/>
      <c r="EU211" s="1065"/>
      <c r="EW211" s="1038"/>
      <c r="EX211" s="1082"/>
      <c r="EY211" s="1082"/>
      <c r="EZ211" s="1082"/>
      <c r="FA211" s="1082"/>
      <c r="FB211" s="1082"/>
      <c r="FC211" s="1082"/>
      <c r="FD211" s="1082"/>
      <c r="FE211" s="1085"/>
      <c r="FF211" s="1091">
        <f t="shared" ref="FF211:FM211" si="1098">FF209/EX209-1</f>
        <v>0.132132132132132</v>
      </c>
      <c r="FG211" s="1091">
        <f t="shared" si="1098"/>
        <v>-0.010840108401084</v>
      </c>
      <c r="FH211" s="1082">
        <f t="shared" si="1098"/>
        <v>0.0569800569800569</v>
      </c>
      <c r="FI211" s="1087">
        <f t="shared" si="1098"/>
        <v>0.179310344827586</v>
      </c>
      <c r="FJ211" s="1087">
        <f t="shared" si="1098"/>
        <v>0.092741935483871</v>
      </c>
      <c r="FK211" s="1091">
        <f t="shared" si="1098"/>
        <v>0.0464480874316939</v>
      </c>
      <c r="FL211" s="1082">
        <f t="shared" si="1098"/>
        <v>0.105182926829268</v>
      </c>
      <c r="FM211" s="1085">
        <f t="shared" si="1098"/>
        <v>0.0802650957290132</v>
      </c>
      <c r="FN211" s="1091">
        <f t="shared" ref="FN211:FZ211" si="1099">FN209/FF209-1</f>
        <v>0.0503978779840848</v>
      </c>
      <c r="FO211" s="1082">
        <f t="shared" si="1099"/>
        <v>0.0328767123287672</v>
      </c>
      <c r="FP211" s="1082">
        <f t="shared" si="1099"/>
        <v>0.0417789757412399</v>
      </c>
      <c r="FQ211" s="1091">
        <f t="shared" si="1099"/>
        <v>0.0701754385964912</v>
      </c>
      <c r="FR211" s="1082">
        <f t="shared" si="1099"/>
        <v>0.0507380073800738</v>
      </c>
      <c r="FS211" s="1082">
        <f t="shared" si="1099"/>
        <v>-0.122715404699739</v>
      </c>
      <c r="FT211" s="1082">
        <f t="shared" si="1099"/>
        <v>-0.0317241379310345</v>
      </c>
      <c r="FU211" s="1082">
        <f t="shared" si="1099"/>
        <v>0.00545330606680294</v>
      </c>
      <c r="FV211" s="1249">
        <f t="shared" si="1099"/>
        <v>-0.502525252525253</v>
      </c>
      <c r="FW211" s="1091">
        <f t="shared" si="1099"/>
        <v>-0.474801061007958</v>
      </c>
      <c r="FX211" s="1082">
        <f t="shared" si="1099"/>
        <v>-0.489003880983182</v>
      </c>
      <c r="FY211" s="1091">
        <f t="shared" si="1099"/>
        <v>-0.475409836065574</v>
      </c>
      <c r="FZ211" s="1082">
        <f t="shared" si="1099"/>
        <v>-0.484635645302897</v>
      </c>
      <c r="GA211" s="1082">
        <f t="shared" ref="GA211" si="1100">GA209/FS209-1</f>
        <v>-0.541666666666667</v>
      </c>
      <c r="GB211" s="1082">
        <f t="shared" ref="GB211" si="1101">GB209/FT209-1</f>
        <v>-0.507122507122507</v>
      </c>
      <c r="GC211" s="1085">
        <f t="shared" ref="GC211" si="1102">GC209/FU209-1</f>
        <v>-0.497627118644068</v>
      </c>
      <c r="GD211" s="1091">
        <v>-0.0355329949238579</v>
      </c>
      <c r="GE211" s="1091">
        <v>-0.049</v>
      </c>
      <c r="GF211" s="1082">
        <f>GF209/FX209-1</f>
        <v>-0.040506329113924</v>
      </c>
      <c r="GG211" s="1091">
        <v>0.197916666666667</v>
      </c>
      <c r="GH211" s="1082">
        <f>GH209/FZ209-1</f>
        <v>0.0374787052810903</v>
      </c>
      <c r="GI211" s="1082">
        <v>0.45</v>
      </c>
      <c r="GJ211" s="1082">
        <f>GJ209/GB209-1</f>
        <v>0.300578034682081</v>
      </c>
      <c r="GK211" s="1085">
        <f>GK209/GC209-1</f>
        <v>0.118758434547908</v>
      </c>
      <c r="GL211" s="1091">
        <v>0.0263157894736841</v>
      </c>
      <c r="GM211" s="1091">
        <f>GM212+GM213</f>
        <v>-0.222222222222222</v>
      </c>
      <c r="GN211" s="1082">
        <f>GN209/GF209-1</f>
        <v>-0.0976253298153035</v>
      </c>
      <c r="GO211" s="1091">
        <f>GO212+GO213</f>
        <v>-0.295652173913043</v>
      </c>
      <c r="GP211" s="1082">
        <f>GP209/GH209-1</f>
        <v>-0.172413793103448</v>
      </c>
      <c r="GQ211" s="1091">
        <f>GQ212+GQ213</f>
        <v>-0.540909090909091</v>
      </c>
      <c r="GR211" s="1082">
        <f>GR209/GJ209-1</f>
        <v>-0.415555555555556</v>
      </c>
      <c r="GS211" s="1085">
        <f>GS209/GK209-1</f>
        <v>-0.270205066344994</v>
      </c>
      <c r="GT211" s="1091">
        <f>GT212+GT213</f>
        <v>-0.2</v>
      </c>
      <c r="GU211" s="1091">
        <f>GU212+GU213</f>
        <v>-0.499</v>
      </c>
      <c r="GV211" s="1082">
        <f>GV209/GN209-1</f>
        <v>-0.328517543859649</v>
      </c>
      <c r="GW211" s="1091">
        <f>GW212+GW213</f>
        <v>-0.055</v>
      </c>
      <c r="GX211" s="1082">
        <f>GX209/GP209-1</f>
        <v>-0.240601190476191</v>
      </c>
      <c r="GY211" s="1091">
        <f>GY212+GY213</f>
        <v>-0.0766039603960395</v>
      </c>
      <c r="GZ211" s="1082">
        <f>GZ209/GR209-1</f>
        <v>-0.063296577946768</v>
      </c>
      <c r="HA211" s="1085">
        <f>HA209/GS209-1</f>
        <v>-0.213223140495868</v>
      </c>
      <c r="HB211" s="1091">
        <f>HB212+HB213</f>
        <v>-0.1875</v>
      </c>
      <c r="HC211" s="1091">
        <f>HC212+HC213</f>
        <v>0.619047619047619</v>
      </c>
      <c r="HD211" s="1082">
        <f>HD209/(21+48)-1</f>
        <v>0.0579710144927537</v>
      </c>
      <c r="HE211" s="1091">
        <f>HE212+HE213</f>
        <v>-0.199999999999934</v>
      </c>
      <c r="HF211" s="1082">
        <f>HF209/GX209-1</f>
        <v>-0.69430705680401</v>
      </c>
      <c r="HG211" s="1091">
        <f>HG212+HG213</f>
        <v>-7.07350844564303e-14</v>
      </c>
      <c r="HH211" s="1082">
        <f>HH209/GZ209-1</f>
        <v>-0.711795675311436</v>
      </c>
      <c r="HI211" s="1085">
        <f>HI209/151-1</f>
        <v>-0.0463576158940284</v>
      </c>
      <c r="HJ211" s="1091">
        <f>HJ212+HJ213</f>
        <v>-0.0769230769230779</v>
      </c>
      <c r="HK211" s="1091">
        <f>HK212+HK213</f>
        <v>-0.147058823529412</v>
      </c>
      <c r="HL211" s="1082">
        <f>HL209/HD209-1</f>
        <v>-0.109589041095891</v>
      </c>
      <c r="HM211" s="1091">
        <f>HM212+HM213</f>
        <v>0.0454545454544594</v>
      </c>
      <c r="HN211" s="1082">
        <f>HN209/HF209-1</f>
        <v>-0.0512820512820811</v>
      </c>
      <c r="HO211" s="1091">
        <f>HO212+HO213</f>
        <v>0.444444444444546</v>
      </c>
      <c r="HP211" s="1082">
        <f>HP209/HH209-1</f>
        <v>0.19718309859152</v>
      </c>
      <c r="HQ211" s="1085">
        <f>HQ209/HI209-1</f>
        <v>0.0416666666666539</v>
      </c>
      <c r="HR211" s="1091">
        <f>HR212+HR213</f>
        <v>0</v>
      </c>
      <c r="HS211" s="1091">
        <f>HS212+HS213</f>
        <v>0</v>
      </c>
      <c r="HT211" s="1082">
        <f>HT209/HL209-1</f>
        <v>0.96923076923077</v>
      </c>
      <c r="HU211" s="1091">
        <f>HU212+HU213</f>
        <v>0</v>
      </c>
      <c r="HV211" s="1082">
        <f>HV209/HN209-1</f>
        <v>0.495495495495496</v>
      </c>
      <c r="HW211" s="1091">
        <f>HW212+HW213</f>
        <v>0</v>
      </c>
      <c r="HX211" s="1082">
        <f>HX209/HP209-1</f>
        <v>-0.164705882352941</v>
      </c>
      <c r="HY211" s="1085">
        <f>HY209/HQ209-1</f>
        <v>0.326666666666667</v>
      </c>
      <c r="HZ211" s="1091">
        <f>HZ212+HZ213</f>
        <v>-0.6</v>
      </c>
      <c r="IA211" s="1091">
        <f>IA212+IA213</f>
        <v>-0.520833333333333</v>
      </c>
      <c r="IB211" s="1082">
        <f>IB209/HT209-1</f>
        <v>-0.5703125</v>
      </c>
      <c r="IC211" s="1091">
        <f>IC212+IC213</f>
        <v>-0.236842105263158</v>
      </c>
      <c r="ID211" s="1082">
        <f>ID209/HV209-1</f>
        <v>-0.493975903614458</v>
      </c>
      <c r="IE211" s="1091">
        <f>IE212+IE213</f>
        <v>-0.393939393939395</v>
      </c>
      <c r="IF211" s="1082">
        <f>IF209/HX209-1</f>
        <v>-0.309859154929578</v>
      </c>
      <c r="IG211" s="1085">
        <f>IG209/HY209-1</f>
        <v>-0.477386934673367</v>
      </c>
      <c r="IH211" s="1091">
        <f>IH212+IH213</f>
        <v>-0.34375</v>
      </c>
      <c r="II211" s="1091">
        <f>II212+II213</f>
        <v>-0.391304347826087</v>
      </c>
      <c r="IJ211" s="1082">
        <f>IJ209/IB209-1</f>
        <v>-0.363636363636364</v>
      </c>
      <c r="IK211" s="1091">
        <f>IK212+IK213</f>
        <v>-0.275862068965518</v>
      </c>
      <c r="IL211" s="1082">
        <f>IL209/ID209-1</f>
        <v>-0.333333333333334</v>
      </c>
      <c r="IM211" s="1091">
        <f>IM212+IM213</f>
        <v>-0.199999999999999</v>
      </c>
      <c r="IN211" s="1082">
        <f>IN209/IF209-1</f>
        <v>-0.244897959183674</v>
      </c>
      <c r="IO211" s="1085">
        <f>IO209/IG209-1</f>
        <v>-0.307692307692308</v>
      </c>
      <c r="IP211" s="1091">
        <f>IP212+IP213</f>
        <v>1.95238095238084</v>
      </c>
      <c r="IQ211" s="1091">
        <f>IQ212+IQ213</f>
        <v>1.0714285714283</v>
      </c>
      <c r="IR211" s="1082">
        <f>IR209/IJ209-1</f>
        <v>1.59999999999982</v>
      </c>
      <c r="IS211" s="1091">
        <f>IS212+IS213</f>
        <v>0.75</v>
      </c>
      <c r="IT211" s="1082">
        <f>IT209/IL209-1</f>
        <v>1.28124999999989</v>
      </c>
      <c r="IU211" s="1091">
        <f>IU212+IU213</f>
        <v>0.5</v>
      </c>
      <c r="IV211" s="1082">
        <f>IV209/IN209-1</f>
        <v>0.641891891891892</v>
      </c>
      <c r="IW211" s="1085">
        <f>IW209/IO209-1</f>
        <v>1.1076388888888</v>
      </c>
      <c r="IX211" s="1049"/>
      <c r="IY211" s="1082"/>
      <c r="IZ211" s="1049"/>
      <c r="JA211" s="1049"/>
      <c r="JB211" s="1049"/>
      <c r="JC211" s="1049"/>
      <c r="JD211" s="1041"/>
      <c r="JE211" s="1037"/>
      <c r="JF211" s="1037"/>
      <c r="JG211" s="1037"/>
      <c r="JH211" s="1037"/>
      <c r="JI211" s="1035"/>
      <c r="JJ211" s="1035"/>
      <c r="JK211" s="1035"/>
      <c r="JL211" s="1035"/>
      <c r="JM211" s="1035"/>
      <c r="JN211" s="1035"/>
      <c r="JO211" s="1035"/>
      <c r="JP211" s="1035"/>
      <c r="JQ211" s="1035"/>
      <c r="JR211" s="1035"/>
      <c r="JS211" s="1035"/>
      <c r="JT211" s="1035"/>
      <c r="JW211" s="1035"/>
      <c r="JX211" s="1035"/>
      <c r="JY211" s="1035"/>
      <c r="JZ211" s="1035" t="s">
        <v>551</v>
      </c>
      <c r="KB211" s="1250">
        <v>2014</v>
      </c>
      <c r="KC211" s="1250">
        <v>2015</v>
      </c>
      <c r="KP211" s="1117"/>
      <c r="LV211" s="967"/>
    </row>
    <row r="212" spans="1:334">
      <c r="A212" s="967" t="s">
        <v>99</v>
      </c>
      <c r="AX212" s="1059"/>
      <c r="BE212" s="1060"/>
      <c r="BN212" s="1059"/>
      <c r="BU212" s="1060"/>
      <c r="BV212" s="1059"/>
      <c r="CC212" s="1060"/>
      <c r="CD212" s="1059"/>
      <c r="CJ212" s="1061"/>
      <c r="CK212" s="1060"/>
      <c r="CL212" s="1059"/>
      <c r="CS212" s="1060"/>
      <c r="CT212" s="1059"/>
      <c r="CW212" s="1062"/>
      <c r="CX212" s="1062"/>
      <c r="DE212" s="1064"/>
      <c r="DF212" s="1064"/>
      <c r="DM212" s="1064"/>
      <c r="DN212" s="1064"/>
      <c r="DU212" s="1064"/>
      <c r="DV212" s="1064"/>
      <c r="EC212" s="1064"/>
      <c r="ED212" s="1064"/>
      <c r="EK212" s="1064"/>
      <c r="EL212" s="1064"/>
      <c r="ER212" s="1065"/>
      <c r="ET212" s="1065"/>
      <c r="EU212" s="1065"/>
      <c r="EW212" s="1038"/>
      <c r="EX212" s="1082"/>
      <c r="EY212" s="1082"/>
      <c r="EZ212" s="1082"/>
      <c r="FA212" s="1082"/>
      <c r="FB212" s="1082"/>
      <c r="FC212" s="1082"/>
      <c r="FD212" s="1082"/>
      <c r="FE212" s="1085"/>
      <c r="FF212" s="1091">
        <f t="shared" ref="FF212:FM212" si="1103">FF211-FF213</f>
        <v>0.142132132132132</v>
      </c>
      <c r="FG212" s="1091">
        <f t="shared" si="1103"/>
        <v>0.133159891598916</v>
      </c>
      <c r="FH212" s="1082">
        <f t="shared" si="1103"/>
        <v>0.137415954415954</v>
      </c>
      <c r="FI212" s="1087">
        <f t="shared" si="1103"/>
        <v>0.0763103448275861</v>
      </c>
      <c r="FJ212" s="1087">
        <f t="shared" si="1103"/>
        <v>0.119552419354839</v>
      </c>
      <c r="FK212" s="1091">
        <f t="shared" si="1103"/>
        <v>0.0724480874316939</v>
      </c>
      <c r="FL212" s="1082">
        <f t="shared" si="1103"/>
        <v>0.0741554878048781</v>
      </c>
      <c r="FM212" s="1085">
        <f t="shared" si="1103"/>
        <v>0.106857142857143</v>
      </c>
      <c r="FN212" s="1091">
        <f t="shared" ref="FN212:FZ212" si="1104">FN211-FN213</f>
        <v>-0.00460212201591521</v>
      </c>
      <c r="FO212" s="1082">
        <f t="shared" si="1104"/>
        <v>-0.0281232876712328</v>
      </c>
      <c r="FP212" s="1082">
        <f t="shared" si="1104"/>
        <v>-0.0161725067385445</v>
      </c>
      <c r="FQ212" s="1091">
        <f t="shared" si="1104"/>
        <v>0.00217543859649122</v>
      </c>
      <c r="FR212" s="1082">
        <f t="shared" si="1104"/>
        <v>-0.0103837638376383</v>
      </c>
      <c r="FS212" s="1082">
        <f t="shared" si="1104"/>
        <v>0.0132845953002612</v>
      </c>
      <c r="FT212" s="1082">
        <f t="shared" si="1104"/>
        <v>0.00804413793103451</v>
      </c>
      <c r="FU212" s="1082">
        <f t="shared" si="1104"/>
        <v>-0.00420449897750517</v>
      </c>
      <c r="FV212" s="1086">
        <f t="shared" si="1104"/>
        <v>-0.535223665223665</v>
      </c>
      <c r="FW212" s="1091">
        <f t="shared" si="1104"/>
        <v>-0.744801061007958</v>
      </c>
      <c r="FX212" s="1082">
        <f t="shared" si="1104"/>
        <v>-0.629003880983182</v>
      </c>
      <c r="FY212" s="1091">
        <f t="shared" si="1104"/>
        <v>-0.612409836065574</v>
      </c>
      <c r="FZ212" s="1082">
        <f t="shared" si="1104"/>
        <v>-0.629394707136586</v>
      </c>
      <c r="GA212" s="1082">
        <f t="shared" ref="GA212:GG212" si="1105">GA211-GA213</f>
        <v>-0.611666666666667</v>
      </c>
      <c r="GB212" s="1082">
        <f t="shared" si="1105"/>
        <v>-0.612054131054131</v>
      </c>
      <c r="GC212" s="1085">
        <f t="shared" si="1105"/>
        <v>-0.625356319612591</v>
      </c>
      <c r="GD212" s="1087">
        <f t="shared" si="1105"/>
        <v>-0.0655329949238579</v>
      </c>
      <c r="GE212" s="1091">
        <f t="shared" si="1105"/>
        <v>-0.034</v>
      </c>
      <c r="GF212" s="1091">
        <f t="shared" si="1105"/>
        <v>-0.0479493670886076</v>
      </c>
      <c r="GG212" s="1091">
        <f t="shared" si="1105"/>
        <v>-0.00208333333333333</v>
      </c>
      <c r="GH212" s="1091">
        <f t="shared" ref="GH212:GL212" si="1106">GH211-GH213</f>
        <v>-0.0329471890971039</v>
      </c>
      <c r="GI212" s="1091">
        <f t="shared" si="1106"/>
        <v>0.03</v>
      </c>
      <c r="GJ212" s="1091">
        <f t="shared" si="1106"/>
        <v>0.00265895953757234</v>
      </c>
      <c r="GK212" s="1251">
        <f t="shared" si="1106"/>
        <v>-0.0243184885290148</v>
      </c>
      <c r="GL212" s="1087">
        <f t="shared" si="1106"/>
        <v>0.0263157894736841</v>
      </c>
      <c r="GM212" s="1091">
        <v>0.0137777777777778</v>
      </c>
      <c r="GN212" s="1091">
        <f>GN211-GN213</f>
        <v>0.0200633245382585</v>
      </c>
      <c r="GO212" s="1091">
        <v>0.0103478260869566</v>
      </c>
      <c r="GP212" s="1091">
        <f t="shared" ref="GP212" si="1107">GP211-GP213</f>
        <v>0.0163940886699507</v>
      </c>
      <c r="GQ212" s="1091">
        <v>0.01</v>
      </c>
      <c r="GR212" s="1091">
        <f t="shared" ref="GR212:GS212" si="1108">GR211-GR213</f>
        <v>0.0101777777777777</v>
      </c>
      <c r="GS212" s="1251">
        <f t="shared" si="1108"/>
        <v>0.0146972255729795</v>
      </c>
      <c r="GT212" s="1091">
        <v>0.009</v>
      </c>
      <c r="GU212" s="1091">
        <v>0</v>
      </c>
      <c r="GV212" s="1091">
        <f>GV211-GV213</f>
        <v>0.00513157894736832</v>
      </c>
      <c r="GW212" s="1091">
        <v>-0.025</v>
      </c>
      <c r="GX212" s="1091">
        <f t="shared" ref="GX212" si="1109">GX211-GX213</f>
        <v>-0.00455357142857155</v>
      </c>
      <c r="GY212" s="1091">
        <v>-0.0251980198019801</v>
      </c>
      <c r="GZ212" s="1091">
        <f t="shared" ref="GZ212:HA212" si="1110">GZ211-GZ213</f>
        <v>-0.0250760456273764</v>
      </c>
      <c r="HA212" s="1251">
        <f t="shared" si="1110"/>
        <v>-0.00800000000000006</v>
      </c>
      <c r="HB212" s="1091">
        <v>-0.0265000000000001</v>
      </c>
      <c r="HC212" s="1091">
        <v>-0.02</v>
      </c>
      <c r="HD212" s="1091">
        <f>HD211-HD213</f>
        <v>-0.337583850931677</v>
      </c>
      <c r="HE212" s="1091">
        <v>-0.199999999999934</v>
      </c>
      <c r="HF212" s="1091">
        <f t="shared" ref="HF212" si="1111">HF211-HF213</f>
        <v>-0.751651760869726</v>
      </c>
      <c r="HG212" s="1091">
        <v>-0.0410000000000707</v>
      </c>
      <c r="HH212" s="1091">
        <f t="shared" ref="HH212:HI212" si="1112">HH211-HH213</f>
        <v>-0.727317235836374</v>
      </c>
      <c r="HI212" s="1251">
        <f t="shared" si="1112"/>
        <v>-0.0913841059602536</v>
      </c>
      <c r="HJ212" s="1091">
        <v>0.001</v>
      </c>
      <c r="HK212" s="1091">
        <v>0.0129411764705881</v>
      </c>
      <c r="HL212" s="1091">
        <f>HL211-HL213</f>
        <v>0.0254310257937414</v>
      </c>
      <c r="HM212" s="1091">
        <v>0.0184545454544594</v>
      </c>
      <c r="HN212" s="1091">
        <f t="shared" ref="HN212" si="1113">HN211-HN213</f>
        <v>0.0110341880341558</v>
      </c>
      <c r="HO212" s="1091">
        <v>0.0284444444445464</v>
      </c>
      <c r="HP212" s="1091">
        <f t="shared" ref="HP212:HQ212" si="1114">HP211-HP213</f>
        <v>0.0222535211267457</v>
      </c>
      <c r="HQ212" s="1251">
        <f t="shared" si="1114"/>
        <v>0.0142986111111037</v>
      </c>
      <c r="HR212" s="1091"/>
      <c r="HS212" s="1091"/>
      <c r="HT212" s="1091"/>
      <c r="HU212" s="1091"/>
      <c r="HV212" s="1091"/>
      <c r="HW212" s="1091"/>
      <c r="HX212" s="1091"/>
      <c r="HY212" s="1251"/>
      <c r="HZ212" s="1091">
        <v>0</v>
      </c>
      <c r="IA212" s="1091">
        <v>-0.002</v>
      </c>
      <c r="IB212" s="1087">
        <f>IB211-IB213</f>
        <v>-0.000750000000000028</v>
      </c>
      <c r="IC212" s="1091">
        <v>0.0411578947368422</v>
      </c>
      <c r="ID212" s="1087">
        <f>ID211-ID213</f>
        <v>0.00884337349397579</v>
      </c>
      <c r="IE212" s="1091">
        <v>0</v>
      </c>
      <c r="IF212" s="1087">
        <f>IF211-IF213</f>
        <v>0.0220281690140847</v>
      </c>
      <c r="IG212" s="1088">
        <f>IG211-IG213</f>
        <v>0.00737688442211049</v>
      </c>
      <c r="IH212" s="1091">
        <v>0.002</v>
      </c>
      <c r="II212" s="1091">
        <v>-0.391304347826087</v>
      </c>
      <c r="IJ212" s="1087">
        <f>IJ211-IJ213</f>
        <v>-0.162472727272727</v>
      </c>
      <c r="IK212" s="1091">
        <v>-0.275862068965518</v>
      </c>
      <c r="IL212" s="1087">
        <f>IL211-IL213</f>
        <v>-0.201619047619048</v>
      </c>
      <c r="IM212" s="1091">
        <v>-0.199999999999999</v>
      </c>
      <c r="IN212" s="1087">
        <f>IN211-IN213</f>
        <v>-0.244897959183674</v>
      </c>
      <c r="IO212" s="1088">
        <f>IO211-IO213</f>
        <v>-0.201307692307692</v>
      </c>
      <c r="IP212" s="1091">
        <v>0</v>
      </c>
      <c r="IQ212" s="1091">
        <v>0</v>
      </c>
      <c r="IR212" s="1087">
        <f>IR211-IR213</f>
        <v>0</v>
      </c>
      <c r="IS212" s="1091">
        <v>0</v>
      </c>
      <c r="IT212" s="1087">
        <f>IT211-IT213</f>
        <v>0</v>
      </c>
      <c r="IU212" s="1091">
        <v>0</v>
      </c>
      <c r="IV212" s="1087">
        <f>IV211-IV213</f>
        <v>0</v>
      </c>
      <c r="IW212" s="1088">
        <f>IW211-IW213</f>
        <v>0</v>
      </c>
      <c r="IX212" s="1049"/>
      <c r="IY212" s="1082"/>
      <c r="IZ212" s="1104"/>
      <c r="JA212" s="1049"/>
      <c r="JB212" s="1049"/>
      <c r="JC212" s="1049"/>
      <c r="JD212" s="1041"/>
      <c r="JE212" s="1037"/>
      <c r="JF212" s="1037"/>
      <c r="JG212" s="1037"/>
      <c r="JH212" s="1037"/>
      <c r="JI212" s="1035"/>
      <c r="JJ212" s="1035"/>
      <c r="JK212" s="1035"/>
      <c r="JL212" s="1035"/>
      <c r="JM212" s="1035"/>
      <c r="JN212" s="1035"/>
      <c r="JO212" s="1035"/>
      <c r="JP212" s="1035"/>
      <c r="JQ212" s="1035"/>
      <c r="JR212" s="1035"/>
      <c r="JS212" s="1035"/>
      <c r="JT212" s="1035"/>
      <c r="JW212" s="1035"/>
      <c r="JX212" s="1035"/>
      <c r="JY212" s="1035"/>
      <c r="JZ212" s="1035" t="s">
        <v>552</v>
      </c>
      <c r="KB212" s="1250">
        <v>315</v>
      </c>
      <c r="KC212" s="1250">
        <v>383</v>
      </c>
      <c r="KP212" s="1117"/>
      <c r="LV212" s="967"/>
    </row>
    <row r="213" spans="1:334">
      <c r="A213" s="967" t="s">
        <v>100</v>
      </c>
      <c r="AX213" s="1059"/>
      <c r="BE213" s="1060"/>
      <c r="BN213" s="1059"/>
      <c r="BU213" s="1060"/>
      <c r="BV213" s="1059"/>
      <c r="CC213" s="1060"/>
      <c r="CD213" s="1059"/>
      <c r="CJ213" s="1061"/>
      <c r="CK213" s="1060"/>
      <c r="CL213" s="1059"/>
      <c r="CS213" s="1060"/>
      <c r="CT213" s="1059"/>
      <c r="CW213" s="1062"/>
      <c r="CX213" s="1062"/>
      <c r="DE213" s="1064"/>
      <c r="DF213" s="1064"/>
      <c r="DM213" s="1064"/>
      <c r="DN213" s="1064"/>
      <c r="DU213" s="1064"/>
      <c r="DV213" s="1064"/>
      <c r="EC213" s="1064"/>
      <c r="ED213" s="1064"/>
      <c r="EK213" s="1064"/>
      <c r="EL213" s="1064"/>
      <c r="ER213" s="1065"/>
      <c r="ET213" s="1065"/>
      <c r="EU213" s="1065"/>
      <c r="EW213" s="1038"/>
      <c r="EX213" s="1083"/>
      <c r="EY213" s="1083"/>
      <c r="EZ213" s="1083"/>
      <c r="FA213" s="1083"/>
      <c r="FB213" s="1083"/>
      <c r="FC213" s="1083"/>
      <c r="FD213" s="1083"/>
      <c r="FE213" s="1084"/>
      <c r="FF213" s="1095">
        <v>-0.01</v>
      </c>
      <c r="FG213" s="1095">
        <v>-0.144</v>
      </c>
      <c r="FH213" s="1083">
        <f>(EX209*FF213+EY209*FG213)/EZ209</f>
        <v>-0.0804358974358974</v>
      </c>
      <c r="FI213" s="1087">
        <v>0.103</v>
      </c>
      <c r="FJ213" s="1083">
        <f>(EZ209*FH213+FA209*FI213)/FB209</f>
        <v>-0.0268104838709677</v>
      </c>
      <c r="FK213" s="1091">
        <v>-0.026</v>
      </c>
      <c r="FL213" s="1083">
        <f>(FA209*FI213+FC209*FK213)/FD209</f>
        <v>0.0310274390243902</v>
      </c>
      <c r="FM213" s="1084">
        <f>(EX209*FF213+EY209*FG213+FA209*FI213+FC209*FK213)/FE209</f>
        <v>-0.0265920471281296</v>
      </c>
      <c r="FN213" s="1095">
        <v>0.055</v>
      </c>
      <c r="FO213" s="1083">
        <v>0.061</v>
      </c>
      <c r="FP213" s="1083">
        <f>(FF209*FN213+FG209*FO213)/FH209</f>
        <v>0.0579514824797844</v>
      </c>
      <c r="FQ213" s="1095">
        <v>0.068</v>
      </c>
      <c r="FR213" s="1083">
        <f>(FF209*FN213+FG209*FO213+FI209*FQ213)/FJ209</f>
        <v>0.0611217712177122</v>
      </c>
      <c r="FS213" s="1083">
        <v>-0.136</v>
      </c>
      <c r="FT213" s="1083">
        <f>(FI209*FQ213+FK209*FS213)/FL209</f>
        <v>-0.039768275862069</v>
      </c>
      <c r="FU213" s="1083">
        <f>(FF209*FN213+FG209*FO213+FI209*FQ213+FK209*FS213)/FM209</f>
        <v>0.00965780504430811</v>
      </c>
      <c r="FV213" s="1086">
        <f>(FX213*FP210-FW213*FO210)/FN210</f>
        <v>0.0326984126984127</v>
      </c>
      <c r="FW213" s="1095">
        <v>0.27</v>
      </c>
      <c r="FX213" s="1083">
        <v>0.14</v>
      </c>
      <c r="FY213" s="1095">
        <v>0.137</v>
      </c>
      <c r="FZ213" s="1083">
        <f>(FN209*FV213+FO209*FW213+FQ209*FY213)/FR209</f>
        <v>0.144759061833689</v>
      </c>
      <c r="GA213" s="1083">
        <v>0.07</v>
      </c>
      <c r="GB213" s="1083">
        <f>(FQ209*FY213+FS209*GA213)/FT209</f>
        <v>0.104931623931624</v>
      </c>
      <c r="GC213" s="1084">
        <f>(FN209*FV213+FO209*FW213+FQ209*FY213+FS209*GA213)/FU209</f>
        <v>0.127729200968523</v>
      </c>
      <c r="GD213" s="1087">
        <v>0.03</v>
      </c>
      <c r="GE213" s="1095">
        <v>-0.015</v>
      </c>
      <c r="GF213" s="1083">
        <f>(FV209*GD213+FW209*GE213)/FX209</f>
        <v>0.00744303797468355</v>
      </c>
      <c r="GG213" s="1099">
        <v>0.2</v>
      </c>
      <c r="GH213" s="1083">
        <f>(FV209*GD213+FW209*GE213+FY209*GG213)/FZ209</f>
        <v>0.0704258943781942</v>
      </c>
      <c r="GI213" s="1083">
        <v>0.42</v>
      </c>
      <c r="GJ213" s="1083">
        <f>(FY209*GG213+GA209*GI213)/GB209</f>
        <v>0.297919075144509</v>
      </c>
      <c r="GK213" s="1084">
        <f>(FV209*GD213+FW209*GE213+FY209*GG213+GA209*GI213)/GC209</f>
        <v>0.143076923076923</v>
      </c>
      <c r="GL213" s="1087">
        <v>0</v>
      </c>
      <c r="GM213" s="1095">
        <v>-0.236</v>
      </c>
      <c r="GN213" s="1083">
        <f>(GD209*GL213+GE209*GM213)/GF209</f>
        <v>-0.117688654353562</v>
      </c>
      <c r="GO213" s="1095">
        <v>-0.306</v>
      </c>
      <c r="GP213" s="1083">
        <f>(GD209*GL213+GE209*GM213+GG209*GO213)/GH209</f>
        <v>-0.188807881773399</v>
      </c>
      <c r="GQ213" s="1083">
        <v>-0.550909090909091</v>
      </c>
      <c r="GR213" s="1083">
        <f>(GG209*GO213+GI209*GQ213)/GJ209</f>
        <v>-0.425733333333333</v>
      </c>
      <c r="GS213" s="1084">
        <f>(GD209*GL213+GE209*GM213+GG209*GO213+GI209*GQ213)/GK209</f>
        <v>-0.284902291917973</v>
      </c>
      <c r="GT213" s="1095">
        <v>-0.209</v>
      </c>
      <c r="GU213" s="1095">
        <v>-0.499</v>
      </c>
      <c r="GV213" s="1083">
        <f>(GL209*GT213+GM209*GU213)/GN209</f>
        <v>-0.333649122807017</v>
      </c>
      <c r="GW213" s="1095">
        <v>-0.03</v>
      </c>
      <c r="GX213" s="1083">
        <f>(GL209*GT213+GM209*GU213+GO209*GW213)/GP209</f>
        <v>-0.236047619047619</v>
      </c>
      <c r="GY213" s="1083">
        <v>-0.0514059405940594</v>
      </c>
      <c r="GZ213" s="1083">
        <f>(GO209*GW213+GQ209*GY213)/GR209</f>
        <v>-0.0382205323193916</v>
      </c>
      <c r="HA213" s="1084">
        <f>(GL209*GT213+GM209*GU213+GO209*GW213+GQ209*GY213)/GS209</f>
        <v>-0.205223140495868</v>
      </c>
      <c r="HB213" s="1095">
        <v>-0.161</v>
      </c>
      <c r="HC213" s="1095">
        <v>0.639047619047619</v>
      </c>
      <c r="HD213" s="1083">
        <f>(21*HB213+48*HC213)/(21+48)</f>
        <v>0.395554865424431</v>
      </c>
      <c r="HE213" s="1083">
        <v>0</v>
      </c>
      <c r="HF213" s="1083">
        <f>(GT209*HB213+GU209*HC213+GW209*HE213)/GX209</f>
        <v>0.0573447040657162</v>
      </c>
      <c r="HG213" s="1083">
        <v>0.041</v>
      </c>
      <c r="HH213" s="1083">
        <f>(GW209*HE213+GY209*HG213)/GZ209</f>
        <v>0.0155215605249378</v>
      </c>
      <c r="HI213" s="1084">
        <f>(48*HB213+21*HC213+55*HE213+27*HG213)/151</f>
        <v>0.0450264900662252</v>
      </c>
      <c r="HJ213" s="1095">
        <v>-0.0779230769230779</v>
      </c>
      <c r="HK213" s="1095">
        <v>-0.16</v>
      </c>
      <c r="HL213" s="1083">
        <f>(21*HJ213+48*HK213)/(21+48)</f>
        <v>-0.135020066889632</v>
      </c>
      <c r="HM213" s="1083">
        <v>0.027</v>
      </c>
      <c r="HN213" s="1083">
        <f>(HB209*HJ213+HC209*HK213+HE209*HM213)/HF209</f>
        <v>-0.0623162393162369</v>
      </c>
      <c r="HO213" s="1083">
        <v>0.416</v>
      </c>
      <c r="HP213" s="1083">
        <f>(HE209*HM213+HG209*HO213)/HH209</f>
        <v>0.174929577464775</v>
      </c>
      <c r="HQ213" s="1084">
        <f>(HB209*HJ213+HC209*HK213+HE209*HM213+HG209*HO213)/HI209</f>
        <v>0.0273680555555501</v>
      </c>
      <c r="HR213" s="1095"/>
      <c r="HS213" s="1095"/>
      <c r="HT213" s="1083"/>
      <c r="HU213" s="1083"/>
      <c r="HV213" s="1083"/>
      <c r="HW213" s="1083"/>
      <c r="HX213" s="1083"/>
      <c r="HY213" s="1084"/>
      <c r="HZ213" s="1087">
        <v>-0.6</v>
      </c>
      <c r="IA213" s="1087">
        <v>-0.518833333333333</v>
      </c>
      <c r="IB213" s="1083">
        <f>((HZ213*HR209)+(IA213*HS209))/HT209</f>
        <v>-0.5695625</v>
      </c>
      <c r="IC213" s="1087">
        <v>-0.278</v>
      </c>
      <c r="ID213" s="1083">
        <f>(HR209*HZ213+HS209*IA213+HU209*IC213)/HV209</f>
        <v>-0.502819277108434</v>
      </c>
      <c r="IE213" s="1087">
        <v>-0.393939393939395</v>
      </c>
      <c r="IF213" s="1083">
        <f>(HU209*IC213+HW209*IE213)/HX209</f>
        <v>-0.331887323943662</v>
      </c>
      <c r="IG213" s="1084">
        <f>(HR209*HZ213+HS209*IA213+HU209*IC213+HW209*IE213)/HY209</f>
        <v>-0.484763819095477</v>
      </c>
      <c r="IH213" s="1087">
        <v>-0.34575</v>
      </c>
      <c r="II213" s="1087">
        <v>0</v>
      </c>
      <c r="IJ213" s="1083">
        <f>((IH213*HZ209)+(II213*IA209))/IB209</f>
        <v>-0.201163636363636</v>
      </c>
      <c r="IK213" s="1087">
        <v>0</v>
      </c>
      <c r="IL213" s="1083">
        <f>(HZ209*IH213+IA209*II213+IC209*IK213)/ID209</f>
        <v>-0.131714285714286</v>
      </c>
      <c r="IM213" s="1087">
        <v>0</v>
      </c>
      <c r="IN213" s="1083">
        <f>(IC209*IK213+IE209*IM213)/IF209</f>
        <v>0</v>
      </c>
      <c r="IO213" s="1084">
        <f>(HZ209*IH213+IA209*II213+IC209*IK213+IE209*IM213)/IG209</f>
        <v>-0.106384615384615</v>
      </c>
      <c r="IP213" s="1087">
        <v>1.95238095238084</v>
      </c>
      <c r="IQ213" s="1087">
        <v>1.0714285714283</v>
      </c>
      <c r="IR213" s="1083">
        <f>((IP213*IH209)+(IQ213*II209))/IJ209</f>
        <v>1.59999999999982</v>
      </c>
      <c r="IS213" s="1087">
        <v>0.75</v>
      </c>
      <c r="IT213" s="1083">
        <f>(IH209*IP213+II209*IQ213+IK209*IS213)/IL209</f>
        <v>1.28124999999989</v>
      </c>
      <c r="IU213" s="1087">
        <v>0.5</v>
      </c>
      <c r="IV213" s="1083">
        <f>(IK209*IS213+IM209*IU213)/IN209</f>
        <v>0.641891891891892</v>
      </c>
      <c r="IW213" s="1084">
        <f>(IH209*IP213+II209*IQ213+IK209*IS213+IM209*IU213)/IO209</f>
        <v>1.1076388888888</v>
      </c>
      <c r="IX213" s="1056"/>
      <c r="IY213" s="1082"/>
      <c r="IZ213" s="1104"/>
      <c r="JA213" s="1037" t="s">
        <v>546</v>
      </c>
      <c r="JB213" s="1037"/>
      <c r="JC213" s="1082"/>
      <c r="JD213" s="1041"/>
      <c r="JE213" s="1037"/>
      <c r="JF213" s="1037"/>
      <c r="JG213" s="1037"/>
      <c r="JH213" s="1037"/>
      <c r="JI213" s="1035"/>
      <c r="JJ213" s="1035"/>
      <c r="JK213" s="1094">
        <f t="shared" ref="JK213:JP213" si="1115">(EX209*(1+FF213)*(1+FN213))/EX209-1</f>
        <v>0.0444500000000001</v>
      </c>
      <c r="JL213" s="1094">
        <f t="shared" si="1115"/>
        <v>-0.0917840000000001</v>
      </c>
      <c r="JM213" s="1094">
        <f t="shared" si="1115"/>
        <v>-0.0271457944571151</v>
      </c>
      <c r="JN213" s="1094">
        <f t="shared" si="1115"/>
        <v>0.178004</v>
      </c>
      <c r="JO213" s="1094">
        <f t="shared" si="1115"/>
        <v>0.0326725830853467</v>
      </c>
      <c r="JP213" s="1094">
        <f t="shared" si="1115"/>
        <v>-0.158464</v>
      </c>
      <c r="JQ213" s="1094">
        <f>(FF209*(1+FN213)*(1+FV213))/FF209-1</f>
        <v>0.0894968253968254</v>
      </c>
      <c r="JR213" s="1094">
        <f>(FG209*(1+FO213)*(1+FW213))/FG209-1</f>
        <v>0.34747</v>
      </c>
      <c r="JS213" s="1094">
        <f>(FI209*(1+FQ213)*(1+FY213))/FI209-1</f>
        <v>0.214316</v>
      </c>
      <c r="JT213" s="1094">
        <f>(FK209*(1+FS213)*(1+GA213))/FK209-1</f>
        <v>-0.07552</v>
      </c>
      <c r="JW213" s="1035"/>
      <c r="JX213" s="1035"/>
      <c r="JY213" s="1035"/>
      <c r="KB213" s="792">
        <f>KB212/KB$227</f>
        <v>0.231958762886598</v>
      </c>
      <c r="KC213" s="792">
        <f>KC212/KC$227</f>
        <v>0.261077027948194</v>
      </c>
      <c r="KP213" s="1117"/>
      <c r="LV213" s="967"/>
    </row>
    <row r="214" spans="1:334">
      <c r="A214" s="967" t="s">
        <v>66</v>
      </c>
      <c r="AX214" s="1059"/>
      <c r="BE214" s="1060"/>
      <c r="BN214" s="1059"/>
      <c r="BU214" s="1060"/>
      <c r="BV214" s="1059"/>
      <c r="CC214" s="1060"/>
      <c r="CD214" s="1059"/>
      <c r="CJ214" s="1061"/>
      <c r="CK214" s="1060"/>
      <c r="CL214" s="1059"/>
      <c r="CS214" s="1060"/>
      <c r="CT214" s="1059"/>
      <c r="CW214" s="1062"/>
      <c r="CX214" s="1062"/>
      <c r="DE214" s="1064"/>
      <c r="DF214" s="1064"/>
      <c r="DM214" s="1064"/>
      <c r="DN214" s="1064"/>
      <c r="DU214" s="1064"/>
      <c r="DV214" s="1064"/>
      <c r="EC214" s="1064"/>
      <c r="ED214" s="1064"/>
      <c r="EK214" s="1064"/>
      <c r="EL214" s="1064"/>
      <c r="ER214" s="1065"/>
      <c r="ET214" s="1065"/>
      <c r="EU214" s="1065"/>
      <c r="EW214" s="1038"/>
      <c r="EX214" s="1181"/>
      <c r="EY214" s="1181"/>
      <c r="EZ214" s="1181"/>
      <c r="FA214" s="1181"/>
      <c r="FB214" s="1181"/>
      <c r="FC214" s="1181"/>
      <c r="FD214" s="1181"/>
      <c r="FE214" s="1182"/>
      <c r="FF214" s="1094">
        <f t="shared" ref="FF214:FM214" si="1116">FF209/FF$216</f>
        <v>0.0923340680871908</v>
      </c>
      <c r="FG214" s="1094">
        <f t="shared" si="1116"/>
        <v>0.0934220629639109</v>
      </c>
      <c r="FH214" s="1094">
        <f t="shared" si="1116"/>
        <v>0.0928660826032541</v>
      </c>
      <c r="FI214" s="1087">
        <f t="shared" si="1116"/>
        <v>0.0718940508723986</v>
      </c>
      <c r="FJ214" s="1087">
        <f t="shared" si="1116"/>
        <v>0.0850396171648231</v>
      </c>
      <c r="FK214" s="1230">
        <f t="shared" si="1116"/>
        <v>0.0918905950095969</v>
      </c>
      <c r="FL214" s="1094">
        <f t="shared" si="1116"/>
        <v>0.0812324929971989</v>
      </c>
      <c r="FM214" s="1093">
        <f t="shared" si="1116"/>
        <v>0.0867277564292048</v>
      </c>
      <c r="FN214" s="1230">
        <f t="shared" ref="FN214:FU214" si="1117">FN209/FN$216</f>
        <v>0.0830362759488362</v>
      </c>
      <c r="FO214" s="1094">
        <f t="shared" si="1117"/>
        <v>0.0852362649785214</v>
      </c>
      <c r="FP214" s="1094">
        <f t="shared" si="1117"/>
        <v>0.084094865100087</v>
      </c>
      <c r="FQ214" s="1094">
        <f t="shared" si="1117"/>
        <v>0.0676274944567627</v>
      </c>
      <c r="FR214" s="1094">
        <f t="shared" si="1117"/>
        <v>0.0779923308682553</v>
      </c>
      <c r="FS214" s="1094">
        <f t="shared" si="1117"/>
        <v>0.0717029449423816</v>
      </c>
      <c r="FT214" s="1094">
        <f t="shared" si="1117"/>
        <v>0.0695187165775401</v>
      </c>
      <c r="FU214" s="1094">
        <f t="shared" si="1117"/>
        <v>0.076464489372732</v>
      </c>
      <c r="FV214" s="1086">
        <f t="shared" ref="FV214:GC214" si="1118">FV209/FV$216</f>
        <v>0.0361733382298935</v>
      </c>
      <c r="FW214" s="1094">
        <f t="shared" si="1118"/>
        <v>0.0393013100436681</v>
      </c>
      <c r="FX214" s="1094">
        <f t="shared" si="1118"/>
        <v>0.0376764593666539</v>
      </c>
      <c r="FY214" s="1094">
        <f t="shared" si="1118"/>
        <v>0.0338147234941881</v>
      </c>
      <c r="FZ214" s="1094">
        <f t="shared" si="1118"/>
        <v>0.0363197624056429</v>
      </c>
      <c r="GA214" s="1094">
        <f t="shared" si="1118"/>
        <v>0.0304588607594937</v>
      </c>
      <c r="GB214" s="1094">
        <f t="shared" si="1118"/>
        <v>0.0322340227315074</v>
      </c>
      <c r="GC214" s="1093">
        <f t="shared" si="1118"/>
        <v>0.0349231784334056</v>
      </c>
      <c r="GD214" s="1087">
        <f t="shared" ref="GD214:GS214" si="1119">GD209/GD$216</f>
        <v>0.0342465753424658</v>
      </c>
      <c r="GE214" s="1094">
        <f t="shared" si="1119"/>
        <v>0.035924729138947</v>
      </c>
      <c r="GF214" s="1094">
        <f t="shared" si="1119"/>
        <v>0.0350633731149968</v>
      </c>
      <c r="GG214" s="1094">
        <f t="shared" si="1119"/>
        <v>0.0391622680061297</v>
      </c>
      <c r="GH214" s="1094">
        <f t="shared" si="1119"/>
        <v>0.0365064140990289</v>
      </c>
      <c r="GI214" s="1094">
        <f t="shared" si="1119"/>
        <v>0.0420408943244793</v>
      </c>
      <c r="GJ214" s="1094">
        <f t="shared" si="1119"/>
        <v>0.0405186385737439</v>
      </c>
      <c r="GK214" s="1093">
        <f t="shared" si="1119"/>
        <v>0.0378279717088752</v>
      </c>
      <c r="GL214" s="1087">
        <f t="shared" si="1119"/>
        <v>0.0331463539010709</v>
      </c>
      <c r="GM214" s="1094">
        <f t="shared" si="1119"/>
        <v>0.0266836086404066</v>
      </c>
      <c r="GN214" s="1094">
        <f t="shared" si="1119"/>
        <v>0.0300210674157303</v>
      </c>
      <c r="GO214" s="1094">
        <f t="shared" si="1119"/>
        <v>0.0252730109204368</v>
      </c>
      <c r="GP214" s="1094">
        <f t="shared" si="1119"/>
        <v>0.0283114256825076</v>
      </c>
      <c r="GQ214" s="1094">
        <f t="shared" si="1119"/>
        <v>0.0172974824456243</v>
      </c>
      <c r="GR214" s="1094">
        <f t="shared" si="1119"/>
        <v>0.0214711405012654</v>
      </c>
      <c r="GS214" s="1093">
        <f t="shared" si="1119"/>
        <v>0.0255911340467831</v>
      </c>
      <c r="GT214" s="1087">
        <f t="shared" ref="GT214:HA214" si="1120">GT209/GT$216</f>
        <v>0.0328213759730696</v>
      </c>
      <c r="GU214" s="1094">
        <f t="shared" si="1120"/>
        <v>0.0205795654055849</v>
      </c>
      <c r="GV214" s="1094">
        <f t="shared" si="1120"/>
        <v>0.0275632176927323</v>
      </c>
      <c r="GW214" s="1094">
        <f t="shared" si="1120"/>
        <v>0.0256676282735908</v>
      </c>
      <c r="GX214" s="1094">
        <f t="shared" si="1120"/>
        <v>0.0267723719882157</v>
      </c>
      <c r="GY214" s="1094">
        <f t="shared" si="1120"/>
        <v>0.0168101079464048</v>
      </c>
      <c r="GZ214" s="1094">
        <f t="shared" si="1120"/>
        <v>0.0213990137376781</v>
      </c>
      <c r="HA214" s="1093">
        <f t="shared" si="1120"/>
        <v>0.023987099375126</v>
      </c>
      <c r="HB214" s="1087">
        <f t="shared" ref="HB214:HQ214" si="1121">HB209/HB$216</f>
        <v>0.00740318906605922</v>
      </c>
      <c r="HC214" s="1094">
        <f t="shared" si="1121"/>
        <v>0.00669686822926925</v>
      </c>
      <c r="HD214" s="1094">
        <f t="shared" si="1121"/>
        <v>0.00705654905751571</v>
      </c>
      <c r="HE214" s="1094">
        <f t="shared" si="1121"/>
        <v>0.00764951321279618</v>
      </c>
      <c r="HF214" s="1094">
        <f t="shared" si="1121"/>
        <v>0.00726843511213292</v>
      </c>
      <c r="HG214" s="1094">
        <f t="shared" si="1121"/>
        <v>0.00525598598403701</v>
      </c>
      <c r="HH214" s="1094">
        <f t="shared" si="1121"/>
        <v>0.00652034162916721</v>
      </c>
      <c r="HI214" s="1093">
        <f t="shared" si="1121"/>
        <v>0.00678157671658669</v>
      </c>
      <c r="HJ214" s="1087">
        <f t="shared" si="1121"/>
        <v>0.00678989060731799</v>
      </c>
      <c r="HK214" s="1094">
        <f t="shared" si="1121"/>
        <v>0.00518134715025907</v>
      </c>
      <c r="HL214" s="1094">
        <f t="shared" si="1121"/>
        <v>0.00596384989448573</v>
      </c>
      <c r="HM214" s="1094">
        <f t="shared" si="1121"/>
        <v>0.00717852684144819</v>
      </c>
      <c r="HN214" s="1094">
        <f t="shared" si="1121"/>
        <v>0.00641358987692841</v>
      </c>
      <c r="HO214" s="1094">
        <f t="shared" si="1121"/>
        <v>0.00749423520368947</v>
      </c>
      <c r="HP214" s="1094">
        <f t="shared" si="1121"/>
        <v>0.0072469946286981</v>
      </c>
      <c r="HQ214" s="1093">
        <f t="shared" si="1121"/>
        <v>0.00666340900004442</v>
      </c>
      <c r="HR214" s="1087">
        <f t="shared" ref="HR214:HY214" si="1122">HR209/HR$216</f>
        <v>0.0151687523701176</v>
      </c>
      <c r="HS214" s="1094">
        <f t="shared" si="1122"/>
        <v>0.00971070200283228</v>
      </c>
      <c r="HT214" s="1094">
        <f t="shared" si="1122"/>
        <v>0.0125601020508292</v>
      </c>
      <c r="HU214" s="1094">
        <f t="shared" si="1122"/>
        <v>0.00672685431049743</v>
      </c>
      <c r="HV214" s="1094">
        <f t="shared" si="1122"/>
        <v>0.010494373498546</v>
      </c>
      <c r="HW214" s="1094">
        <f t="shared" si="1122"/>
        <v>0.00685785536159601</v>
      </c>
      <c r="HX214" s="1094">
        <f t="shared" si="1122"/>
        <v>0.00678711404263455</v>
      </c>
      <c r="HY214" s="1093">
        <f t="shared" si="1122"/>
        <v>0.0096237547151562</v>
      </c>
      <c r="HZ214" s="1087">
        <f t="shared" ref="HZ214:IG214" si="1123">HZ209/HZ$216</f>
        <v>0.00602863602110023</v>
      </c>
      <c r="IA214" s="1094">
        <f t="shared" si="1123"/>
        <v>0.00409107079331199</v>
      </c>
      <c r="IB214" s="1094">
        <f t="shared" si="1123"/>
        <v>0.005032021957914</v>
      </c>
      <c r="IC214" s="1094">
        <f t="shared" si="1123"/>
        <v>0.00464892593780058</v>
      </c>
      <c r="ID214" s="1094">
        <f t="shared" si="1123"/>
        <v>0.00490081680280047</v>
      </c>
      <c r="IE214" s="1094">
        <f t="shared" si="1123"/>
        <v>0.00341005967604432</v>
      </c>
      <c r="IF214" s="1094">
        <f t="shared" si="1123"/>
        <v>0.00404590867806126</v>
      </c>
      <c r="IG214" s="1093">
        <f t="shared" si="1123"/>
        <v>0.0045152607128902</v>
      </c>
      <c r="IH214" s="1087">
        <f t="shared" ref="IH214:IO214" si="1124">IH209/IH$216</f>
        <v>0.00341296928327645</v>
      </c>
      <c r="II214" s="1094">
        <f t="shared" si="1124"/>
        <v>0.00235215053763441</v>
      </c>
      <c r="IJ214" s="1094">
        <f t="shared" si="1124"/>
        <v>0.00289136720363486</v>
      </c>
      <c r="IK214" s="1094">
        <f t="shared" si="1124"/>
        <v>0.00316742081447963</v>
      </c>
      <c r="IL214" s="1094">
        <f t="shared" si="1124"/>
        <v>0.00299353183300369</v>
      </c>
      <c r="IM214" s="1094">
        <f t="shared" si="1124"/>
        <v>0.00263331138907176</v>
      </c>
      <c r="IN214" s="1094">
        <f t="shared" si="1124"/>
        <v>0.00292282170787582</v>
      </c>
      <c r="IO214" s="1093">
        <f t="shared" si="1124"/>
        <v>0.00290193865624118</v>
      </c>
      <c r="IP214" s="1087">
        <f t="shared" ref="IP214:IW214" si="1125">IP209/IP$216</f>
        <v>0.00940533980582487</v>
      </c>
      <c r="IQ214" s="1094">
        <f t="shared" si="1125"/>
        <v>0.00430075633990749</v>
      </c>
      <c r="IR214" s="1094">
        <f t="shared" si="1125"/>
        <v>0.00682414698162683</v>
      </c>
      <c r="IS214" s="1094">
        <f t="shared" si="1125"/>
        <v>0.00504667616593094</v>
      </c>
      <c r="IT214" s="1094">
        <f t="shared" si="1125"/>
        <v>0.0061963366208544</v>
      </c>
      <c r="IU214" s="1094">
        <f t="shared" si="1125"/>
        <v>0.00368329183423478</v>
      </c>
      <c r="IV214" s="1094">
        <f t="shared" si="1125"/>
        <v>0.00440283396922574</v>
      </c>
      <c r="IW214" s="1093">
        <f t="shared" si="1125"/>
        <v>0.00559283474114273</v>
      </c>
      <c r="IX214" s="1049"/>
      <c r="IY214" s="1049"/>
      <c r="IZ214" s="1104"/>
      <c r="JA214" s="1037" t="s">
        <v>548</v>
      </c>
      <c r="JB214" s="1037"/>
      <c r="JC214" s="1037"/>
      <c r="JD214" s="1041"/>
      <c r="JE214" s="1037"/>
      <c r="JF214" s="1037"/>
      <c r="JG214" s="1037"/>
      <c r="JH214" s="1037"/>
      <c r="JI214" s="1035"/>
      <c r="JJ214" s="1035"/>
      <c r="JK214" s="1035"/>
      <c r="JL214" s="1035"/>
      <c r="JM214" s="1035"/>
      <c r="JN214" s="1035"/>
      <c r="JO214" s="1035"/>
      <c r="JP214" s="1035"/>
      <c r="JQ214" s="1094">
        <f>1*(1+FF213)*(1+FN213)*(1+FV213)-1</f>
        <v>0.0786018571428571</v>
      </c>
      <c r="JR214" s="1094">
        <f>1*(1+FG213)*(1+FO213)*(1+FW213)-1</f>
        <v>0.15343432</v>
      </c>
      <c r="JS214" s="1094">
        <f>1*(1+FI213)*(1+FQ213)*(1+FY213)-1</f>
        <v>0.339390548</v>
      </c>
      <c r="JT214" s="1094">
        <f>1*(1+FK213)*(1+FS213)*(1+GA213)-1</f>
        <v>-0.0995564799999999</v>
      </c>
      <c r="JW214" s="1035"/>
      <c r="JX214" s="1035"/>
      <c r="JY214" s="1035"/>
      <c r="JZ214" s="1035" t="s">
        <v>101</v>
      </c>
      <c r="KB214" s="1250">
        <v>755</v>
      </c>
      <c r="KC214" s="1250">
        <v>783</v>
      </c>
      <c r="KP214" s="1117"/>
      <c r="LV214" s="967"/>
    </row>
    <row r="215" spans="1:334">
      <c r="A215" s="1231" t="s">
        <v>108</v>
      </c>
      <c r="AX215" s="1059"/>
      <c r="BE215" s="1060"/>
      <c r="BN215" s="1059"/>
      <c r="BU215" s="1060"/>
      <c r="BV215" s="1059"/>
      <c r="CC215" s="1060"/>
      <c r="CD215" s="1059"/>
      <c r="CJ215" s="1061"/>
      <c r="CK215" s="1060"/>
      <c r="CL215" s="1059"/>
      <c r="CS215" s="1060"/>
      <c r="CT215" s="1059"/>
      <c r="CW215" s="1062"/>
      <c r="CX215" s="1062"/>
      <c r="DE215" s="1064"/>
      <c r="DF215" s="1064"/>
      <c r="DM215" s="1064"/>
      <c r="DN215" s="1064"/>
      <c r="DU215" s="1064"/>
      <c r="DV215" s="1064"/>
      <c r="EC215" s="1064"/>
      <c r="ED215" s="1064"/>
      <c r="EK215" s="1064"/>
      <c r="EL215" s="1064"/>
      <c r="ER215" s="1065"/>
      <c r="ET215" s="1065"/>
      <c r="EU215" s="1065"/>
      <c r="EW215" s="1038"/>
      <c r="EX215" s="1181"/>
      <c r="EY215" s="1181"/>
      <c r="EZ215" s="1181"/>
      <c r="FA215" s="1181"/>
      <c r="FB215" s="1181"/>
      <c r="FC215" s="1181"/>
      <c r="FD215" s="1181"/>
      <c r="FE215" s="1182"/>
      <c r="FF215" s="1094"/>
      <c r="FG215" s="1094"/>
      <c r="FH215" s="1094"/>
      <c r="FI215" s="1087"/>
      <c r="FJ215" s="1087"/>
      <c r="FK215" s="1230"/>
      <c r="FL215" s="1094"/>
      <c r="FM215" s="1093"/>
      <c r="FN215" s="1230"/>
      <c r="FO215" s="1094"/>
      <c r="FP215" s="1094"/>
      <c r="FQ215" s="1094"/>
      <c r="FR215" s="1094"/>
      <c r="FS215" s="1094"/>
      <c r="FT215" s="1094"/>
      <c r="FU215" s="1094"/>
      <c r="FV215" s="1086"/>
      <c r="FW215" s="1094"/>
      <c r="FX215" s="1094"/>
      <c r="FY215" s="1094"/>
      <c r="FZ215" s="1094"/>
      <c r="GA215" s="1094"/>
      <c r="GB215" s="1094"/>
      <c r="GC215" s="1093"/>
      <c r="GD215" s="1087"/>
      <c r="GE215" s="1094"/>
      <c r="GF215" s="1094"/>
      <c r="GG215" s="1094"/>
      <c r="GH215" s="1094"/>
      <c r="GI215" s="1094"/>
      <c r="GJ215" s="1094"/>
      <c r="GK215" s="1093"/>
      <c r="GL215" s="1087"/>
      <c r="GM215" s="1094"/>
      <c r="GN215" s="1094"/>
      <c r="GO215" s="1094"/>
      <c r="GP215" s="1094"/>
      <c r="GQ215" s="1094"/>
      <c r="GR215" s="1094"/>
      <c r="GS215" s="1093"/>
      <c r="GT215" s="1087"/>
      <c r="GU215" s="1094"/>
      <c r="GV215" s="1094"/>
      <c r="GW215" s="1094"/>
      <c r="GX215" s="1094"/>
      <c r="GY215" s="1094"/>
      <c r="GZ215" s="1094"/>
      <c r="HA215" s="1093"/>
      <c r="HB215" s="1087"/>
      <c r="HC215" s="1094"/>
      <c r="HD215" s="1094"/>
      <c r="HE215" s="1094"/>
      <c r="HF215" s="1094"/>
      <c r="HG215" s="1094"/>
      <c r="HH215" s="1094"/>
      <c r="HI215" s="1093"/>
      <c r="HJ215" s="1245">
        <v>0</v>
      </c>
      <c r="HK215" s="1244">
        <v>0</v>
      </c>
      <c r="HL215" s="1244"/>
      <c r="HM215" s="1244">
        <v>0</v>
      </c>
      <c r="HN215" s="1252"/>
      <c r="HO215" s="1244">
        <v>-117</v>
      </c>
      <c r="HP215" s="1252"/>
      <c r="HQ215" s="1253">
        <f>HO215+HM215+HK215+HJ215</f>
        <v>-117</v>
      </c>
      <c r="HR215" s="1244">
        <v>10</v>
      </c>
      <c r="HS215" s="1244">
        <v>16</v>
      </c>
      <c r="HT215" s="1252"/>
      <c r="HU215" s="1244">
        <v>22</v>
      </c>
      <c r="HV215" s="1244"/>
      <c r="HW215" s="1244">
        <v>36</v>
      </c>
      <c r="HX215" s="1244">
        <f>HW215+HU215</f>
        <v>58</v>
      </c>
      <c r="HY215" s="1253">
        <f>HW215+HU215+HS215+HR215</f>
        <v>84</v>
      </c>
      <c r="HZ215" s="1244">
        <v>8</v>
      </c>
      <c r="IA215" s="1244">
        <v>20</v>
      </c>
      <c r="IB215" s="1244">
        <f>IA215+HZ215</f>
        <v>28</v>
      </c>
      <c r="IC215" s="1244">
        <v>0</v>
      </c>
      <c r="ID215" s="1244"/>
      <c r="IE215" s="1244">
        <v>-8</v>
      </c>
      <c r="IF215" s="1244"/>
      <c r="IG215" s="1253">
        <f>IE215+IC215+IA215+HZ215</f>
        <v>20</v>
      </c>
      <c r="IH215" s="1244">
        <v>-9</v>
      </c>
      <c r="II215" s="1244">
        <v>14</v>
      </c>
      <c r="IJ215" s="1244">
        <f>II215+IH215</f>
        <v>5</v>
      </c>
      <c r="IK215" s="1244">
        <v>23</v>
      </c>
      <c r="IL215" s="1244"/>
      <c r="IM215" s="1244">
        <v>24</v>
      </c>
      <c r="IN215" s="1244"/>
      <c r="IO215" s="1253">
        <f>IM215+IK215+II215+IH215</f>
        <v>52</v>
      </c>
      <c r="IP215" s="1244">
        <v>0</v>
      </c>
      <c r="IQ215" s="1244">
        <v>0</v>
      </c>
      <c r="IR215" s="1244">
        <f>IQ215+IP215</f>
        <v>0</v>
      </c>
      <c r="IS215" s="1244">
        <v>0</v>
      </c>
      <c r="IT215" s="1244"/>
      <c r="IU215" s="1244">
        <v>0</v>
      </c>
      <c r="IV215" s="1244"/>
      <c r="IW215" s="1253">
        <f>IU215+IS215+IQ215+IP215</f>
        <v>0</v>
      </c>
      <c r="IX215" s="1049"/>
      <c r="IY215" s="1049"/>
      <c r="IZ215" s="1104"/>
      <c r="JA215" s="1037"/>
      <c r="JB215" s="1037"/>
      <c r="JC215" s="1037"/>
      <c r="JD215" s="1041"/>
      <c r="JE215" s="1037"/>
      <c r="JF215" s="1037"/>
      <c r="JG215" s="1037"/>
      <c r="JH215" s="1037"/>
      <c r="JI215" s="1035"/>
      <c r="JJ215" s="1035"/>
      <c r="JK215" s="1035"/>
      <c r="JL215" s="1035"/>
      <c r="JM215" s="1035"/>
      <c r="JN215" s="1035"/>
      <c r="JO215" s="1035"/>
      <c r="JP215" s="1035"/>
      <c r="JQ215" s="1094"/>
      <c r="JR215" s="1094"/>
      <c r="JS215" s="1094"/>
      <c r="JT215" s="1094"/>
      <c r="JW215" s="1035"/>
      <c r="JX215" s="1035"/>
      <c r="JY215" s="1035"/>
      <c r="KB215" s="1250"/>
      <c r="KC215" s="1250"/>
      <c r="KP215" s="1117"/>
      <c r="LV215" s="967"/>
    </row>
    <row r="216" s="1026" customFormat="1" spans="1:334">
      <c r="A216" s="1254" t="s">
        <v>109</v>
      </c>
      <c r="B216" s="1255"/>
      <c r="C216" s="1255"/>
      <c r="D216" s="1255"/>
      <c r="E216" s="1255"/>
      <c r="F216" s="1255"/>
      <c r="G216" s="1255"/>
      <c r="H216" s="1255"/>
      <c r="I216" s="1255"/>
      <c r="J216" s="1255"/>
      <c r="K216" s="1255"/>
      <c r="L216" s="1255"/>
      <c r="M216" s="1255"/>
      <c r="N216" s="1255"/>
      <c r="O216" s="1255"/>
      <c r="P216" s="1255"/>
      <c r="Q216" s="1255"/>
      <c r="R216" s="1255"/>
      <c r="S216" s="1255"/>
      <c r="T216" s="1255"/>
      <c r="U216" s="1255"/>
      <c r="V216" s="1255"/>
      <c r="W216" s="1255"/>
      <c r="X216" s="1255"/>
      <c r="Y216" s="1255"/>
      <c r="Z216" s="1255"/>
      <c r="AA216" s="1255"/>
      <c r="AB216" s="1255"/>
      <c r="AC216" s="1255"/>
      <c r="AD216" s="1255"/>
      <c r="AE216" s="1255"/>
      <c r="AF216" s="1255"/>
      <c r="AG216" s="1255"/>
      <c r="AH216" s="1255"/>
      <c r="AI216" s="1255"/>
      <c r="AJ216" s="1255"/>
      <c r="AK216" s="1255"/>
      <c r="AL216" s="1255"/>
      <c r="AM216" s="1255"/>
      <c r="AN216" s="1255"/>
      <c r="AO216" s="1255"/>
      <c r="AP216" s="1255"/>
      <c r="AQ216" s="1255"/>
      <c r="AR216" s="1255"/>
      <c r="AS216" s="1255"/>
      <c r="AT216" s="1255"/>
      <c r="AU216" s="1255"/>
      <c r="AV216" s="1255"/>
      <c r="AW216" s="1255"/>
      <c r="AX216" s="1256"/>
      <c r="AY216" s="1255"/>
      <c r="AZ216" s="1255"/>
      <c r="BA216" s="1255"/>
      <c r="BB216" s="1255"/>
      <c r="BC216" s="1255"/>
      <c r="BD216" s="1255"/>
      <c r="BE216" s="1257"/>
      <c r="BF216" s="1255"/>
      <c r="BG216" s="1255"/>
      <c r="BH216" s="1255"/>
      <c r="BI216" s="1255"/>
      <c r="BJ216" s="1255"/>
      <c r="BK216" s="1255"/>
      <c r="BL216" s="1255"/>
      <c r="BM216" s="1255"/>
      <c r="BN216" s="1256"/>
      <c r="BO216" s="1255"/>
      <c r="BP216" s="1255"/>
      <c r="BQ216" s="1255"/>
      <c r="BR216" s="1255"/>
      <c r="BS216" s="1255"/>
      <c r="BT216" s="1255"/>
      <c r="BU216" s="1257"/>
      <c r="BV216" s="1256"/>
      <c r="BW216" s="1255"/>
      <c r="BX216" s="1255"/>
      <c r="BY216" s="1255"/>
      <c r="BZ216" s="1255"/>
      <c r="CA216" s="1255"/>
      <c r="CB216" s="1255"/>
      <c r="CC216" s="1257"/>
      <c r="CD216" s="1256"/>
      <c r="CE216" s="1255"/>
      <c r="CF216" s="1255"/>
      <c r="CG216" s="1255"/>
      <c r="CH216" s="1255"/>
      <c r="CI216" s="1255"/>
      <c r="CJ216" s="1258"/>
      <c r="CK216" s="1257"/>
      <c r="CL216" s="1256"/>
      <c r="CM216" s="1255"/>
      <c r="CN216" s="1255"/>
      <c r="CO216" s="1255"/>
      <c r="CP216" s="1255"/>
      <c r="CQ216" s="1255"/>
      <c r="CR216" s="1255"/>
      <c r="CS216" s="1257"/>
      <c r="CT216" s="1256"/>
      <c r="CU216" s="1255"/>
      <c r="CV216" s="1255"/>
      <c r="CW216" s="1259"/>
      <c r="CX216" s="1259"/>
      <c r="CY216" s="1255"/>
      <c r="CZ216" s="1255"/>
      <c r="DA216" s="1255"/>
      <c r="DB216" s="1260"/>
      <c r="DC216" s="1260"/>
      <c r="DD216" s="1260"/>
      <c r="DE216" s="1261"/>
      <c r="DF216" s="1261"/>
      <c r="DG216" s="1260"/>
      <c r="DH216" s="1260"/>
      <c r="DI216" s="1262"/>
      <c r="DJ216" s="1260"/>
      <c r="DK216" s="1260"/>
      <c r="DL216" s="1260"/>
      <c r="DM216" s="1261"/>
      <c r="DN216" s="1261"/>
      <c r="DO216" s="1260"/>
      <c r="DP216" s="1260"/>
      <c r="DQ216" s="1262"/>
      <c r="DR216" s="1260"/>
      <c r="DS216" s="1260"/>
      <c r="DT216" s="1260"/>
      <c r="DU216" s="1261"/>
      <c r="DV216" s="1261"/>
      <c r="DW216" s="1260"/>
      <c r="DX216" s="1260"/>
      <c r="DY216" s="1262"/>
      <c r="DZ216" s="1260"/>
      <c r="EA216" s="1260"/>
      <c r="EB216" s="1260"/>
      <c r="EC216" s="1261"/>
      <c r="ED216" s="1261"/>
      <c r="EE216" s="1260"/>
      <c r="EF216" s="1260"/>
      <c r="EG216" s="1262"/>
      <c r="EH216" s="1263">
        <f t="shared" ref="EH216:EW216" si="1126">EH127</f>
        <v>3824</v>
      </c>
      <c r="EI216" s="1263">
        <f t="shared" si="1126"/>
        <v>3517</v>
      </c>
      <c r="EJ216" s="1263">
        <f t="shared" si="1126"/>
        <v>7341</v>
      </c>
      <c r="EK216" s="1263">
        <f t="shared" si="1126"/>
        <v>4173</v>
      </c>
      <c r="EL216" s="1263">
        <f t="shared" si="1126"/>
        <v>11514</v>
      </c>
      <c r="EM216" s="1263">
        <f t="shared" si="1126"/>
        <v>3369</v>
      </c>
      <c r="EN216" s="1263">
        <f t="shared" si="1126"/>
        <v>7542</v>
      </c>
      <c r="EO216" s="1264">
        <f t="shared" si="1126"/>
        <v>14883</v>
      </c>
      <c r="EP216" s="1263">
        <f t="shared" si="1126"/>
        <v>3751</v>
      </c>
      <c r="EQ216" s="1263">
        <f t="shared" si="1126"/>
        <v>3383</v>
      </c>
      <c r="ER216" s="1263">
        <f t="shared" si="1126"/>
        <v>7134</v>
      </c>
      <c r="ES216" s="1263">
        <f t="shared" si="1126"/>
        <v>3879</v>
      </c>
      <c r="ET216" s="1263">
        <f t="shared" si="1126"/>
        <v>11013</v>
      </c>
      <c r="EU216" s="1263">
        <f t="shared" si="1126"/>
        <v>3479</v>
      </c>
      <c r="EV216" s="1263">
        <f t="shared" si="1126"/>
        <v>7358</v>
      </c>
      <c r="EW216" s="1264">
        <f t="shared" si="1126"/>
        <v>14492</v>
      </c>
      <c r="EX216" s="1263">
        <f>EX169+EX174+EX179+EX184+EX189+EX194+EX199+EX209</f>
        <v>3481</v>
      </c>
      <c r="EY216" s="1263">
        <f>EY169+EY174+EY179+EY184+EY189+EY194+EY199+EY209</f>
        <v>3398</v>
      </c>
      <c r="EZ216" s="1263">
        <f>EX216+EY216</f>
        <v>6879</v>
      </c>
      <c r="FA216" s="1263">
        <f>FA169+FA174+FA179+FA184+FA189+FA194+FA199+FA209</f>
        <v>4044</v>
      </c>
      <c r="FB216" s="1263">
        <f>EZ216+FA216</f>
        <v>10923</v>
      </c>
      <c r="FC216" s="1263">
        <f>FC169+FC174+FC179+FC184+FC189+FC194+FC199+FC209</f>
        <v>3610</v>
      </c>
      <c r="FD216" s="1263">
        <f>FA216+FC216</f>
        <v>7654</v>
      </c>
      <c r="FE216" s="1264">
        <f>EX216+EY216+FA216+FC216</f>
        <v>14533</v>
      </c>
      <c r="FF216" s="1263">
        <f>FF169+FF174+FF179+FF184+FF189+FF194+FF199+FF209</f>
        <v>4083</v>
      </c>
      <c r="FG216" s="1263">
        <f>FG169+FG174+FG179+FG184+FG189+FG194+FG199+FG209</f>
        <v>3907</v>
      </c>
      <c r="FH216" s="1263">
        <f>FF216+FG216</f>
        <v>7990</v>
      </c>
      <c r="FI216" s="1263">
        <f>FI169+FI174+FI179+FI184+FI189+FI194+FI199+FI209</f>
        <v>4757</v>
      </c>
      <c r="FJ216" s="1263">
        <f>FH216+FI216</f>
        <v>12747</v>
      </c>
      <c r="FK216" s="1265">
        <f t="shared" ref="FK216:GC216" si="1127">FK169+FK174+FK179+FK184+FK189+FK194+FK199+FK209</f>
        <v>4168</v>
      </c>
      <c r="FL216" s="1263">
        <f t="shared" si="1127"/>
        <v>8925</v>
      </c>
      <c r="FM216" s="1264">
        <f t="shared" si="1127"/>
        <v>16915</v>
      </c>
      <c r="FN216" s="1265">
        <f t="shared" si="1127"/>
        <v>4769</v>
      </c>
      <c r="FO216" s="1263">
        <f t="shared" si="1127"/>
        <v>4423</v>
      </c>
      <c r="FP216" s="1263">
        <f t="shared" si="1127"/>
        <v>9192</v>
      </c>
      <c r="FQ216" s="1263">
        <f t="shared" si="1127"/>
        <v>5412</v>
      </c>
      <c r="FR216" s="1263">
        <f t="shared" si="1127"/>
        <v>14604</v>
      </c>
      <c r="FS216" s="1263">
        <f t="shared" si="1127"/>
        <v>4686</v>
      </c>
      <c r="FT216" s="1263">
        <f t="shared" si="1127"/>
        <v>10098</v>
      </c>
      <c r="FU216" s="1263">
        <f t="shared" si="1127"/>
        <v>19290</v>
      </c>
      <c r="FV216" s="1266">
        <f t="shared" si="1127"/>
        <v>5446</v>
      </c>
      <c r="FW216" s="1263">
        <f t="shared" si="1127"/>
        <v>5038</v>
      </c>
      <c r="FX216" s="1263">
        <f t="shared" si="1127"/>
        <v>10484</v>
      </c>
      <c r="FY216" s="1263">
        <f t="shared" si="1127"/>
        <v>5678</v>
      </c>
      <c r="FZ216" s="1263">
        <f t="shared" si="1127"/>
        <v>16162</v>
      </c>
      <c r="GA216" s="1263">
        <f t="shared" si="1127"/>
        <v>5056</v>
      </c>
      <c r="GB216" s="1263">
        <f t="shared" si="1127"/>
        <v>10734</v>
      </c>
      <c r="GC216" s="1264">
        <f t="shared" si="1127"/>
        <v>21218</v>
      </c>
      <c r="GD216" s="1265">
        <f t="shared" ref="GD216:HN216" si="1128">GD169+GD174+GD179+GD184+GD189+GD194+GD199+GD209+GD210</f>
        <v>5548</v>
      </c>
      <c r="GE216" s="1265">
        <f t="shared" si="1128"/>
        <v>5261</v>
      </c>
      <c r="GF216" s="1265">
        <f t="shared" si="1128"/>
        <v>10809</v>
      </c>
      <c r="GG216" s="1265">
        <f t="shared" si="1128"/>
        <v>5873</v>
      </c>
      <c r="GH216" s="1265">
        <f t="shared" si="1128"/>
        <v>16682</v>
      </c>
      <c r="GI216" s="1265">
        <f t="shared" si="1128"/>
        <v>5233</v>
      </c>
      <c r="GJ216" s="1265">
        <f t="shared" si="1128"/>
        <v>11106</v>
      </c>
      <c r="GK216" s="1267">
        <f t="shared" si="1128"/>
        <v>21915</v>
      </c>
      <c r="GL216" s="1265">
        <f t="shared" si="1128"/>
        <v>5883</v>
      </c>
      <c r="GM216" s="1265">
        <f t="shared" si="1128"/>
        <v>5509</v>
      </c>
      <c r="GN216" s="1265">
        <f t="shared" si="1128"/>
        <v>11392</v>
      </c>
      <c r="GO216" s="1265">
        <f t="shared" si="1128"/>
        <v>6410</v>
      </c>
      <c r="GP216" s="1265">
        <f t="shared" si="1128"/>
        <v>17802</v>
      </c>
      <c r="GQ216" s="1265">
        <f t="shared" si="1128"/>
        <v>5839</v>
      </c>
      <c r="GR216" s="1265">
        <f t="shared" si="1128"/>
        <v>12249</v>
      </c>
      <c r="GS216" s="1267">
        <f t="shared" si="1128"/>
        <v>23641</v>
      </c>
      <c r="GT216" s="1265">
        <f t="shared" si="1128"/>
        <v>4753</v>
      </c>
      <c r="GU216" s="1265">
        <f t="shared" si="1128"/>
        <v>3578.647</v>
      </c>
      <c r="GV216" s="1265">
        <f t="shared" si="1128"/>
        <v>8331.647</v>
      </c>
      <c r="GW216" s="1265">
        <f t="shared" si="1128"/>
        <v>5964.322</v>
      </c>
      <c r="GX216" s="1265">
        <f t="shared" si="1128"/>
        <v>14295.969</v>
      </c>
      <c r="GY216" s="1265">
        <f t="shared" si="1128"/>
        <v>5548.031</v>
      </c>
      <c r="GZ216" s="1265">
        <f t="shared" si="1128"/>
        <v>11512.353</v>
      </c>
      <c r="HA216" s="1267">
        <f t="shared" si="1128"/>
        <v>19844</v>
      </c>
      <c r="HB216" s="1265">
        <f t="shared" si="1128"/>
        <v>5268</v>
      </c>
      <c r="HC216" s="1265">
        <f t="shared" si="1128"/>
        <v>5077</v>
      </c>
      <c r="HD216" s="1265">
        <f t="shared" si="1128"/>
        <v>10345</v>
      </c>
      <c r="HE216" s="1265">
        <f t="shared" si="1128"/>
        <v>5752</v>
      </c>
      <c r="HF216" s="1265">
        <f t="shared" si="1128"/>
        <v>16097</v>
      </c>
      <c r="HG216" s="1265">
        <f t="shared" si="1128"/>
        <v>5137</v>
      </c>
      <c r="HH216" s="1265">
        <f t="shared" si="1128"/>
        <v>10889</v>
      </c>
      <c r="HI216" s="1268">
        <f t="shared" si="1128"/>
        <v>21234</v>
      </c>
      <c r="HJ216" s="1265">
        <f t="shared" si="1128"/>
        <v>5302</v>
      </c>
      <c r="HK216" s="1265">
        <f t="shared" si="1128"/>
        <v>5597</v>
      </c>
      <c r="HL216" s="1265">
        <f t="shared" si="1128"/>
        <v>10899</v>
      </c>
      <c r="HM216" s="1265">
        <f t="shared" si="1128"/>
        <v>6408</v>
      </c>
      <c r="HN216" s="1265">
        <f t="shared" si="1128"/>
        <v>17307</v>
      </c>
      <c r="HO216" s="1265">
        <f>HO169+HO174+HO179+HO184+HO189+HO194+HO199+HO209+HO210+HO215</f>
        <v>5204</v>
      </c>
      <c r="HP216" s="1265">
        <f>HP169+HP174+HP179+HP184+HP189+HP194+HP199+HP209+HP210</f>
        <v>11729</v>
      </c>
      <c r="HQ216" s="1267">
        <f>HQ169+HQ174+HQ179+HQ184+HQ189+HQ194+HQ199+HQ209+HQ210+HQ215</f>
        <v>22511</v>
      </c>
      <c r="HR216" s="1265">
        <f>HR169+HR174+HR179+HR184+HR189+HR194+HR199+HR209+HR210+HR204+HR215</f>
        <v>5274</v>
      </c>
      <c r="HS216" s="1265">
        <f t="shared" ref="HS216:HY216" si="1129">HS169+HS174+HS179+HS184+HS189+HS194+HS199+HS209+HS210+HS215+HS204</f>
        <v>4943</v>
      </c>
      <c r="HT216" s="1265">
        <f t="shared" si="1129"/>
        <v>10191</v>
      </c>
      <c r="HU216" s="1265">
        <f t="shared" si="1129"/>
        <v>5649</v>
      </c>
      <c r="HV216" s="1265">
        <f t="shared" si="1129"/>
        <v>15818</v>
      </c>
      <c r="HW216" s="1265">
        <f t="shared" si="1129"/>
        <v>4812</v>
      </c>
      <c r="HX216" s="1265">
        <f t="shared" si="1129"/>
        <v>10461</v>
      </c>
      <c r="HY216" s="1265">
        <f t="shared" si="1129"/>
        <v>20678</v>
      </c>
      <c r="HZ216" s="1265">
        <f>HZ169+HZ174+HZ179+HZ184+HZ189+HZ194+HZ199+HZ209+HZ210+HZ204+HZ215</f>
        <v>5308</v>
      </c>
      <c r="IA216" s="1265">
        <f t="shared" ref="IA216:IG216" si="1130">IA169+IA174+IA179+IA184+IA189+IA194+IA199+IA209+IA210+IA215+IA204</f>
        <v>5622</v>
      </c>
      <c r="IB216" s="1265">
        <f t="shared" si="1130"/>
        <v>10930</v>
      </c>
      <c r="IC216" s="1265">
        <f t="shared" si="1130"/>
        <v>6238</v>
      </c>
      <c r="ID216" s="1265">
        <f t="shared" si="1130"/>
        <v>17140</v>
      </c>
      <c r="IE216" s="1265">
        <f t="shared" si="1130"/>
        <v>5865.00000000001</v>
      </c>
      <c r="IF216" s="1265">
        <f t="shared" si="1130"/>
        <v>12111</v>
      </c>
      <c r="IG216" s="1268">
        <f t="shared" si="1130"/>
        <v>23033</v>
      </c>
      <c r="IH216" s="1265">
        <f>IH169+IH174+IH179+IH184+IH189+IH194+IH199+IH209+IH210+IH204+IH215</f>
        <v>6153</v>
      </c>
      <c r="II216" s="1265">
        <f t="shared" ref="II216:IO216" si="1131">II169+II174+II179+II184+II189+II194+II199+II209+II210+II215+II204</f>
        <v>5952</v>
      </c>
      <c r="IJ216" s="1265">
        <f t="shared" si="1131"/>
        <v>12105</v>
      </c>
      <c r="IK216" s="1265">
        <f t="shared" si="1131"/>
        <v>6630</v>
      </c>
      <c r="IL216" s="1265">
        <f t="shared" si="1131"/>
        <v>18707</v>
      </c>
      <c r="IM216" s="1265">
        <f t="shared" si="1131"/>
        <v>6076</v>
      </c>
      <c r="IN216" s="1265">
        <f t="shared" si="1131"/>
        <v>12659</v>
      </c>
      <c r="IO216" s="1268">
        <f t="shared" si="1131"/>
        <v>24811</v>
      </c>
      <c r="IP216" s="1265">
        <f>IP169+IP174+IP179+IP184+IP189+IP194+IP199+IP209+IP210+IP204+IP215</f>
        <v>6592</v>
      </c>
      <c r="IQ216" s="1265">
        <f>IQ169+IQ174+IQ179+IQ184+IQ189+IQ194+IQ199+IQ209+IQ210+IQ215+IQ204</f>
        <v>6743</v>
      </c>
      <c r="IR216" s="1265">
        <f t="shared" ref="IR216:IW216" si="1132">IR169+IR174+IR179+IR184+IR189+IR194+IR199+IR209+IR210+IR215+IR204</f>
        <v>13335</v>
      </c>
      <c r="IS216" s="1265">
        <f t="shared" si="1132"/>
        <v>7282.02063926581</v>
      </c>
      <c r="IT216" s="1265">
        <f t="shared" si="1132"/>
        <v>20617.0206392658</v>
      </c>
      <c r="IU216" s="1265">
        <f t="shared" si="1132"/>
        <v>6515.91051703513</v>
      </c>
      <c r="IV216" s="1265">
        <f t="shared" si="1132"/>
        <v>13797.9311563009</v>
      </c>
      <c r="IW216" s="1268">
        <f t="shared" si="1132"/>
        <v>27132.9311563009</v>
      </c>
      <c r="IX216" s="1269"/>
      <c r="IY216" s="1049"/>
      <c r="IZ216" s="1049"/>
      <c r="JA216" s="1049"/>
      <c r="JB216" s="1049"/>
      <c r="JC216" s="1049"/>
      <c r="JD216" s="1041"/>
      <c r="JE216" s="1037"/>
      <c r="JF216" s="1270"/>
      <c r="JG216" s="1037"/>
      <c r="JH216" s="1037"/>
      <c r="JI216" s="1035"/>
      <c r="JJ216" s="1035"/>
      <c r="JK216" s="1035"/>
      <c r="JL216" s="1035"/>
      <c r="JM216" s="1035"/>
      <c r="JN216" s="1035"/>
      <c r="JO216" s="1035"/>
      <c r="JP216" s="1035"/>
      <c r="JQ216" s="1035"/>
      <c r="JR216" s="1035"/>
      <c r="JS216" s="1035"/>
      <c r="JT216" s="1035"/>
      <c r="JU216" s="1035"/>
      <c r="JV216" s="1035"/>
      <c r="JW216" s="1035"/>
      <c r="JX216" s="1035"/>
      <c r="JY216" s="1035"/>
      <c r="JZ216" s="1035"/>
      <c r="KA216" s="1035"/>
      <c r="KB216" s="792">
        <f>KB214/KB$227</f>
        <v>0.555964653902798</v>
      </c>
      <c r="KC216" s="792">
        <f>KC214/KC$227</f>
        <v>0.533742331288344</v>
      </c>
      <c r="KD216" s="1035"/>
      <c r="KE216" s="1035"/>
      <c r="KF216" s="1035"/>
      <c r="KG216" s="1035"/>
      <c r="KH216" s="1035"/>
      <c r="KI216" s="1035"/>
      <c r="KJ216" s="1035"/>
      <c r="KK216" s="1035"/>
      <c r="KL216" s="1035"/>
      <c r="KM216" s="1035"/>
      <c r="KN216" s="1035"/>
      <c r="KO216" s="1035"/>
      <c r="KP216" s="1117"/>
      <c r="KQ216" s="1035"/>
      <c r="KR216" s="1035"/>
      <c r="KS216" s="1035"/>
      <c r="KT216" s="1035"/>
      <c r="KU216" s="1035"/>
      <c r="KV216" s="1035"/>
      <c r="KW216" s="1035"/>
      <c r="KX216" s="1035"/>
      <c r="KY216" s="1035"/>
      <c r="KZ216" s="1035"/>
      <c r="LA216" s="1035"/>
      <c r="LB216" s="1035"/>
      <c r="LC216" s="1035"/>
      <c r="LD216" s="1035"/>
      <c r="LE216" s="1035"/>
      <c r="LF216" s="1035"/>
      <c r="LG216" s="1035"/>
      <c r="LH216" s="1035"/>
      <c r="LI216" s="1035"/>
      <c r="LJ216" s="1035"/>
      <c r="LK216" s="1035"/>
      <c r="LL216" s="1035"/>
      <c r="LM216" s="1035"/>
      <c r="LN216" s="1035"/>
      <c r="LO216" s="1035"/>
      <c r="LP216" s="1035"/>
      <c r="LQ216" s="1035"/>
      <c r="LR216" s="1035"/>
      <c r="LS216" s="1035"/>
      <c r="LT216" s="1035"/>
      <c r="LU216" s="1035"/>
      <c r="LV216" s="967"/>
    </row>
    <row r="217" spans="1:334">
      <c r="A217" s="967" t="s">
        <v>61</v>
      </c>
      <c r="AX217" s="1059"/>
      <c r="BE217" s="1060"/>
      <c r="BN217" s="1059"/>
      <c r="BU217" s="1060"/>
      <c r="BV217" s="1059"/>
      <c r="CC217" s="1060"/>
      <c r="CD217" s="1059"/>
      <c r="CJ217" s="1061"/>
      <c r="CK217" s="1060"/>
      <c r="CL217" s="1059"/>
      <c r="CS217" s="1060"/>
      <c r="CT217" s="1059"/>
      <c r="CW217" s="1062"/>
      <c r="CX217" s="1062"/>
      <c r="DE217" s="1064"/>
      <c r="DF217" s="1064"/>
      <c r="DM217" s="1064"/>
      <c r="DN217" s="1064"/>
      <c r="DU217" s="1064"/>
      <c r="DV217" s="1064"/>
      <c r="EC217" s="1064"/>
      <c r="ED217" s="1064"/>
      <c r="EH217" s="1082"/>
      <c r="EI217" s="1082"/>
      <c r="EJ217" s="1082"/>
      <c r="EK217" s="1082"/>
      <c r="EL217" s="1082"/>
      <c r="EM217" s="1082"/>
      <c r="EN217" s="1082"/>
      <c r="EO217" s="1085"/>
      <c r="EP217" s="1082">
        <f>EP216/EH216-1</f>
        <v>-0.0190899581589958</v>
      </c>
      <c r="EQ217" s="1082">
        <f t="shared" ref="EQ217:EW217" si="1133">EQ216/EI216-1</f>
        <v>-0.0381006539664487</v>
      </c>
      <c r="ER217" s="1082">
        <f t="shared" si="1133"/>
        <v>-0.0281977932161831</v>
      </c>
      <c r="ES217" s="1082">
        <f t="shared" si="1133"/>
        <v>-0.0704529115744069</v>
      </c>
      <c r="ET217" s="1082">
        <f t="shared" si="1133"/>
        <v>-0.0435122459614382</v>
      </c>
      <c r="EU217" s="1082">
        <f t="shared" si="1133"/>
        <v>0.0326506381715643</v>
      </c>
      <c r="EV217" s="1082">
        <f t="shared" si="1133"/>
        <v>-0.0243967117475471</v>
      </c>
      <c r="EW217" s="1085">
        <f t="shared" si="1133"/>
        <v>-0.0262715850298999</v>
      </c>
      <c r="EX217" s="1082">
        <f t="shared" ref="EX217:FO217" si="1134">EX216/EP216-1</f>
        <v>-0.071980805118635</v>
      </c>
      <c r="EY217" s="1082">
        <f t="shared" si="1134"/>
        <v>0.00443393437777129</v>
      </c>
      <c r="EZ217" s="1082">
        <f t="shared" si="1134"/>
        <v>-0.035744322960471</v>
      </c>
      <c r="FA217" s="1082">
        <f t="shared" si="1134"/>
        <v>0.0425367362722351</v>
      </c>
      <c r="FB217" s="1082">
        <f t="shared" si="1134"/>
        <v>-0.00817216017433942</v>
      </c>
      <c r="FC217" s="1082">
        <f t="shared" si="1134"/>
        <v>0.0376544984190859</v>
      </c>
      <c r="FD217" s="1082">
        <f t="shared" si="1134"/>
        <v>0.0402283229138354</v>
      </c>
      <c r="FE217" s="1085">
        <f t="shared" si="1134"/>
        <v>0.00282914711565008</v>
      </c>
      <c r="FF217" s="1082">
        <f t="shared" si="1134"/>
        <v>0.172938810686584</v>
      </c>
      <c r="FG217" s="1082">
        <f t="shared" si="1134"/>
        <v>0.149793996468511</v>
      </c>
      <c r="FH217" s="1082">
        <f t="shared" si="1134"/>
        <v>0.161506032853612</v>
      </c>
      <c r="FI217" s="1082">
        <f t="shared" si="1134"/>
        <v>0.176310583580613</v>
      </c>
      <c r="FJ217" s="1082">
        <f t="shared" si="1134"/>
        <v>0.166987091458391</v>
      </c>
      <c r="FK217" s="1082">
        <f t="shared" si="1134"/>
        <v>0.154570637119114</v>
      </c>
      <c r="FL217" s="1082">
        <f t="shared" si="1134"/>
        <v>0.166056963679122</v>
      </c>
      <c r="FM217" s="1085">
        <f t="shared" si="1134"/>
        <v>0.163902841808298</v>
      </c>
      <c r="FN217" s="1091">
        <f t="shared" si="1134"/>
        <v>0.168013715405339</v>
      </c>
      <c r="FO217" s="1082">
        <f t="shared" si="1134"/>
        <v>0.132070642436652</v>
      </c>
      <c r="FP217" s="1082">
        <f t="shared" ref="FP217:FZ217" si="1135">FP216/FH216-1</f>
        <v>0.150438047559449</v>
      </c>
      <c r="FQ217" s="1082">
        <f t="shared" si="1135"/>
        <v>0.137691822577255</v>
      </c>
      <c r="FR217" s="1082">
        <f t="shared" si="1135"/>
        <v>0.145681336785126</v>
      </c>
      <c r="FS217" s="1082">
        <f t="shared" si="1135"/>
        <v>0.124280230326296</v>
      </c>
      <c r="FT217" s="1082">
        <f t="shared" si="1135"/>
        <v>0.131428571428571</v>
      </c>
      <c r="FU217" s="1082">
        <f t="shared" si="1135"/>
        <v>0.140407921962755</v>
      </c>
      <c r="FV217" s="1109">
        <f t="shared" si="1135"/>
        <v>0.141958481862026</v>
      </c>
      <c r="FW217" s="1082">
        <f t="shared" si="1135"/>
        <v>0.139045896450373</v>
      </c>
      <c r="FX217" s="1082">
        <f t="shared" si="1135"/>
        <v>0.140557006092254</v>
      </c>
      <c r="FY217" s="1082">
        <f t="shared" si="1135"/>
        <v>0.0491500369549149</v>
      </c>
      <c r="FZ217" s="1082">
        <f t="shared" si="1135"/>
        <v>0.106683100520405</v>
      </c>
      <c r="GA217" s="1082">
        <f t="shared" ref="GA217" si="1136">GA216/FS216-1</f>
        <v>0.0789586000853606</v>
      </c>
      <c r="GB217" s="1082">
        <f t="shared" ref="GB217" si="1137">GB216/FT216-1</f>
        <v>0.0629827688651219</v>
      </c>
      <c r="GC217" s="1085">
        <f t="shared" ref="GC217" si="1138">GC216/FU216-1</f>
        <v>0.0999481596682219</v>
      </c>
      <c r="GD217" s="1082">
        <f t="shared" ref="GD217:GS217" si="1139">GD216/FV216-1</f>
        <v>0.0187293426367976</v>
      </c>
      <c r="GE217" s="1082">
        <f t="shared" si="1139"/>
        <v>0.0442635966653433</v>
      </c>
      <c r="GF217" s="1082">
        <f t="shared" si="1139"/>
        <v>0.0309996184662342</v>
      </c>
      <c r="GG217" s="1082">
        <f t="shared" si="1139"/>
        <v>0.0343430785487853</v>
      </c>
      <c r="GH217" s="1082">
        <f t="shared" si="1139"/>
        <v>0.0321742358618986</v>
      </c>
      <c r="GI217" s="1082">
        <f t="shared" si="1139"/>
        <v>0.0350079113924051</v>
      </c>
      <c r="GJ217" s="1082">
        <f t="shared" si="1139"/>
        <v>0.0346562325321411</v>
      </c>
      <c r="GK217" s="1085">
        <f t="shared" si="1139"/>
        <v>0.0328494674333115</v>
      </c>
      <c r="GL217" s="1082">
        <f t="shared" si="1139"/>
        <v>0.0603821196827685</v>
      </c>
      <c r="GM217" s="1082">
        <f t="shared" si="1139"/>
        <v>0.0471393271241205</v>
      </c>
      <c r="GN217" s="1082">
        <f t="shared" si="1139"/>
        <v>0.0539365343695069</v>
      </c>
      <c r="GO217" s="1082">
        <f t="shared" si="1139"/>
        <v>0.0914353822577898</v>
      </c>
      <c r="GP217" s="1082">
        <f t="shared" si="1139"/>
        <v>0.0671382328258001</v>
      </c>
      <c r="GQ217" s="1082">
        <f t="shared" si="1139"/>
        <v>0.11580355436652</v>
      </c>
      <c r="GR217" s="1082">
        <f t="shared" si="1139"/>
        <v>0.10291734197731</v>
      </c>
      <c r="GS217" s="1085">
        <f t="shared" si="1139"/>
        <v>0.0787588409764999</v>
      </c>
      <c r="GT217" s="1082">
        <f t="shared" ref="GT217" si="1140">GT216/GL216-1</f>
        <v>-0.192078871324154</v>
      </c>
      <c r="GU217" s="1082">
        <f t="shared" ref="GU217" si="1141">GU216/GM216-1</f>
        <v>-0.350399891087312</v>
      </c>
      <c r="GV217" s="1082">
        <f t="shared" ref="GV217" si="1142">GV216/GN216-1</f>
        <v>-0.268640537219101</v>
      </c>
      <c r="GW217" s="1082">
        <f t="shared" ref="GW217" si="1143">GW216/GO216-1</f>
        <v>-0.0695285491419655</v>
      </c>
      <c r="GX217" s="1082">
        <f t="shared" ref="GX217" si="1144">GX216/GP216-1</f>
        <v>-0.196945904954499</v>
      </c>
      <c r="GY217" s="1082">
        <f t="shared" ref="GY217" si="1145">GY216/GQ216-1</f>
        <v>-0.0498319917794146</v>
      </c>
      <c r="GZ217" s="1082">
        <f t="shared" ref="GZ217" si="1146">GZ216/GR216-1</f>
        <v>-0.0601393583149649</v>
      </c>
      <c r="HA217" s="1085">
        <f t="shared" ref="HA217" si="1147">HA216/GS216-1</f>
        <v>-0.160610803265513</v>
      </c>
      <c r="HB217" s="1082">
        <f>HB216/4381-1</f>
        <v>0.202465190595755</v>
      </c>
      <c r="HC217" s="1082">
        <f>HC216/3352-1</f>
        <v>0.514618138424821</v>
      </c>
      <c r="HD217" s="1082">
        <f t="shared" ref="HD217" si="1148">HD216/GV216-1</f>
        <v>0.241651260549085</v>
      </c>
      <c r="HE217" s="1082">
        <f>HE216/5561-1</f>
        <v>0.0343463405862261</v>
      </c>
      <c r="HF217" s="1082">
        <f t="shared" ref="HF217" si="1149">HF216/GX216-1</f>
        <v>0.125981736530067</v>
      </c>
      <c r="HG217" s="1082">
        <f>HG216/5142-1</f>
        <v>-0.000972384286270334</v>
      </c>
      <c r="HH217" s="1082">
        <f t="shared" ref="HH217" si="1150">HH216/GZ216-1</f>
        <v>-0.0541464459958791</v>
      </c>
      <c r="HI217" s="1085">
        <f>HI216/18435-1</f>
        <v>0.151830756712775</v>
      </c>
      <c r="HJ217" s="1082">
        <f t="shared" ref="HJ217:HQ217" si="1151">HJ216/HB216-1</f>
        <v>0.00645406226271805</v>
      </c>
      <c r="HK217" s="1082">
        <f t="shared" si="1151"/>
        <v>0.102422690565295</v>
      </c>
      <c r="HL217" s="1082">
        <f t="shared" si="1151"/>
        <v>0.0535524407926533</v>
      </c>
      <c r="HM217" s="1082">
        <f t="shared" si="1151"/>
        <v>0.11404728789986</v>
      </c>
      <c r="HN217" s="1082">
        <f t="shared" si="1151"/>
        <v>0.0751692862023978</v>
      </c>
      <c r="HO217" s="1082">
        <f t="shared" si="1151"/>
        <v>0.0130426318863155</v>
      </c>
      <c r="HP217" s="1082">
        <f t="shared" si="1151"/>
        <v>0.0771420699788776</v>
      </c>
      <c r="HQ217" s="1085">
        <f t="shared" si="1151"/>
        <v>0.0601393990769521</v>
      </c>
      <c r="HR217" s="1082">
        <f t="shared" ref="HR217" si="1152">HR216/HJ216-1</f>
        <v>-0.00528102602791369</v>
      </c>
      <c r="HS217" s="1082">
        <f t="shared" ref="HS217" si="1153">HS216/HK216-1</f>
        <v>-0.116848311595498</v>
      </c>
      <c r="HT217" s="1082">
        <f t="shared" ref="HT217" si="1154">HT216/HL216-1</f>
        <v>-0.064960088081475</v>
      </c>
      <c r="HU217" s="1082">
        <f t="shared" ref="HU217" si="1155">HU216/HM216-1</f>
        <v>-0.118445692883895</v>
      </c>
      <c r="HV217" s="1082">
        <f t="shared" ref="HV217" si="1156">HV216/HN216-1</f>
        <v>-0.0860345524932107</v>
      </c>
      <c r="HW217" s="1082">
        <f t="shared" ref="HW217" si="1157">HW216/HO216-1</f>
        <v>-0.0753266717909302</v>
      </c>
      <c r="HX217" s="1082">
        <f t="shared" ref="HX217" si="1158">HX216/HP216-1</f>
        <v>-0.108108108108108</v>
      </c>
      <c r="HY217" s="1085">
        <f t="shared" ref="HY217" si="1159">HY216/HQ216-1</f>
        <v>-0.0814268579805427</v>
      </c>
      <c r="HZ217" s="1082">
        <f t="shared" ref="HZ217" si="1160">HZ216/HR216-1</f>
        <v>0.00644671975729971</v>
      </c>
      <c r="IA217" s="1082">
        <f t="shared" ref="IA217" si="1161">IA216/HS216-1</f>
        <v>0.137365972081731</v>
      </c>
      <c r="IB217" s="1082">
        <f t="shared" ref="IB217" si="1162">IB216/HT216-1</f>
        <v>0.0725149641840837</v>
      </c>
      <c r="IC217" s="1082">
        <f t="shared" ref="IC217" si="1163">IC216/HU216-1</f>
        <v>0.10426624181271</v>
      </c>
      <c r="ID217" s="1082">
        <f t="shared" ref="ID217" si="1164">ID216/HV216-1</f>
        <v>0.0835756732836006</v>
      </c>
      <c r="IE217" s="1082">
        <f t="shared" ref="IE217" si="1165">IE216/HW216-1</f>
        <v>0.218827930174565</v>
      </c>
      <c r="IF217" s="1082">
        <f t="shared" ref="IF217" si="1166">IF216/HX216-1</f>
        <v>0.157728706624606</v>
      </c>
      <c r="IG217" s="1085">
        <f t="shared" ref="IG217" si="1167">IG216/HY216-1</f>
        <v>0.113889157558758</v>
      </c>
      <c r="IH217" s="1082">
        <f t="shared" ref="IH217" si="1168">IH216/HZ216-1</f>
        <v>0.159193669932178</v>
      </c>
      <c r="II217" s="1082">
        <f t="shared" ref="II217" si="1169">II216/IA216-1</f>
        <v>0.0586979722518677</v>
      </c>
      <c r="IJ217" s="1082">
        <f t="shared" ref="IJ217" si="1170">IJ216/IB216-1</f>
        <v>0.107502287282708</v>
      </c>
      <c r="IK217" s="1082">
        <f t="shared" ref="IK217" si="1171">IK216/IC216-1</f>
        <v>0.0628406540557875</v>
      </c>
      <c r="IL217" s="1082">
        <f t="shared" ref="IL217" si="1172">IL216/ID216-1</f>
        <v>0.0914235705950992</v>
      </c>
      <c r="IM217" s="1082">
        <v>0.03</v>
      </c>
      <c r="IN217" s="1082">
        <f t="shared" ref="IN217" si="1173">IN216/IF216-1</f>
        <v>0.0452481215423992</v>
      </c>
      <c r="IO217" s="1085">
        <f t="shared" ref="IO217" si="1174">IO216/IG216-1</f>
        <v>0.0771935918030651</v>
      </c>
      <c r="IP217" s="1082">
        <f t="shared" ref="IP217" si="1175">IP216/IH216-1</f>
        <v>0.0713473102551598</v>
      </c>
      <c r="IQ217" s="1082">
        <f t="shared" ref="IQ217" si="1176">IQ216/II216-1</f>
        <v>0.132896505376344</v>
      </c>
      <c r="IR217" s="1082">
        <f t="shared" ref="IR217" si="1177">IR216/IJ216-1</f>
        <v>0.101610904584882</v>
      </c>
      <c r="IS217" s="1082">
        <f t="shared" ref="IS217" si="1178">IS216/IK216-1</f>
        <v>0.0983439878228975</v>
      </c>
      <c r="IT217" s="1082">
        <f t="shared" ref="IT217" si="1179">IT216/IL216-1</f>
        <v>0.102101921166718</v>
      </c>
      <c r="IU217" s="1082">
        <f t="shared" ref="IU217" si="1180">IU216/IM216-1</f>
        <v>0.0724013359175655</v>
      </c>
      <c r="IV217" s="1082">
        <f t="shared" ref="IV217" si="1181">IV216/IN216-1</f>
        <v>0.0899700731733106</v>
      </c>
      <c r="IW217" s="1085">
        <f t="shared" ref="IW217" si="1182">IW216/IO216-1</f>
        <v>0.0935847469388953</v>
      </c>
      <c r="IX217" s="1082"/>
      <c r="IY217" s="1049"/>
      <c r="IZ217" s="1049"/>
      <c r="JA217" s="1049"/>
      <c r="JB217" s="1049"/>
      <c r="JC217" s="1049"/>
      <c r="JD217" s="1112"/>
      <c r="JE217" s="1037"/>
      <c r="JF217" s="1037"/>
      <c r="JG217" s="1037"/>
      <c r="JH217" s="1037"/>
      <c r="JI217" s="1035"/>
      <c r="JJ217" s="1035"/>
      <c r="JK217" s="1035"/>
      <c r="JL217" s="1035"/>
      <c r="JM217" s="1035"/>
      <c r="JN217" s="1035"/>
      <c r="JO217" s="1035"/>
      <c r="JP217" s="1035"/>
      <c r="JQ217" s="1035"/>
      <c r="JR217" s="1035"/>
      <c r="JS217" s="1035"/>
      <c r="JT217" s="1035"/>
      <c r="JW217" s="1035"/>
      <c r="JX217" s="1035"/>
      <c r="JY217" s="1035"/>
      <c r="JZ217" s="1035" t="s">
        <v>114</v>
      </c>
      <c r="KB217" s="1250">
        <v>25</v>
      </c>
      <c r="KC217" s="1250">
        <v>22</v>
      </c>
      <c r="KP217" s="1117"/>
      <c r="LV217" s="967"/>
    </row>
    <row r="218" spans="1:334">
      <c r="A218" s="967" t="s">
        <v>99</v>
      </c>
      <c r="AX218" s="1059"/>
      <c r="BE218" s="1060"/>
      <c r="BN218" s="1059"/>
      <c r="BU218" s="1060"/>
      <c r="BV218" s="1059"/>
      <c r="CC218" s="1060"/>
      <c r="CD218" s="1059"/>
      <c r="CJ218" s="1061"/>
      <c r="CK218" s="1060"/>
      <c r="CL218" s="1059"/>
      <c r="CS218" s="1060"/>
      <c r="CT218" s="1059"/>
      <c r="CW218" s="1062"/>
      <c r="CX218" s="1062"/>
      <c r="DE218" s="1064"/>
      <c r="DF218" s="1064"/>
      <c r="DM218" s="1064"/>
      <c r="DN218" s="1064"/>
      <c r="DU218" s="1064"/>
      <c r="DV218" s="1064"/>
      <c r="EC218" s="1064"/>
      <c r="ED218" s="1064"/>
      <c r="EH218" s="1082"/>
      <c r="EI218" s="1082"/>
      <c r="EJ218" s="1082"/>
      <c r="EK218" s="1082"/>
      <c r="EL218" s="1082"/>
      <c r="EM218" s="1082"/>
      <c r="EN218" s="1082"/>
      <c r="EO218" s="1085"/>
      <c r="EP218" s="1082"/>
      <c r="EQ218" s="1082"/>
      <c r="ER218" s="1082"/>
      <c r="ES218" s="1082"/>
      <c r="ET218" s="1082"/>
      <c r="EU218" s="1082"/>
      <c r="EV218" s="1082"/>
      <c r="EW218" s="1085"/>
      <c r="EX218" s="1082"/>
      <c r="EY218" s="1082"/>
      <c r="EZ218" s="1082"/>
      <c r="FA218" s="1082"/>
      <c r="FB218" s="1082"/>
      <c r="FC218" s="1082"/>
      <c r="FD218" s="1082"/>
      <c r="FE218" s="1085"/>
      <c r="FF218" s="1082">
        <f t="shared" ref="FF218:FO218" si="1183">FF217-FF219</f>
        <v>0.0856311404768745</v>
      </c>
      <c r="FG218" s="1082">
        <f t="shared" si="1183"/>
        <v>0.100877280753384</v>
      </c>
      <c r="FH218" s="1082">
        <f t="shared" si="1183"/>
        <v>0.0931622328826864</v>
      </c>
      <c r="FI218" s="1082">
        <f t="shared" si="1183"/>
        <v>0.0504208704253216</v>
      </c>
      <c r="FJ218" s="1082">
        <f t="shared" si="1183"/>
        <v>0.0773381854801795</v>
      </c>
      <c r="FK218" s="1082">
        <f t="shared" si="1183"/>
        <v>0.0379806094182825</v>
      </c>
      <c r="FL218" s="1082">
        <f t="shared" si="1183"/>
        <v>0.0445534361118369</v>
      </c>
      <c r="FM218" s="1085">
        <f t="shared" si="1183"/>
        <v>0.0675617560035781</v>
      </c>
      <c r="FN218" s="1091">
        <f t="shared" si="1183"/>
        <v>-0.0453252510409014</v>
      </c>
      <c r="FO218" s="1082">
        <f t="shared" si="1183"/>
        <v>-0.0730163808548758</v>
      </c>
      <c r="FP218" s="1082">
        <f t="shared" ref="FP218:FY218" si="1184">FP217-FP219</f>
        <v>-0.058865832290363</v>
      </c>
      <c r="FQ218" s="1082">
        <f t="shared" si="1184"/>
        <v>-0.0342827412234602</v>
      </c>
      <c r="FR218" s="1082">
        <v>0.02</v>
      </c>
      <c r="FS218" s="1082">
        <f t="shared" si="1184"/>
        <v>-0.0151945777351248</v>
      </c>
      <c r="FT218" s="1082">
        <f t="shared" si="1184"/>
        <v>-0.0253685154061624</v>
      </c>
      <c r="FU218" s="1082">
        <f t="shared" si="1184"/>
        <v>-0.0411913686077446</v>
      </c>
      <c r="FV218" s="1109">
        <f t="shared" si="1184"/>
        <v>-0.0216291825180481</v>
      </c>
      <c r="FW218" s="1082">
        <f t="shared" si="1184"/>
        <v>-0.0557734569296856</v>
      </c>
      <c r="FX218" s="1082">
        <f t="shared" si="1184"/>
        <v>-0.03734954308094</v>
      </c>
      <c r="FY218" s="1082">
        <f t="shared" si="1184"/>
        <v>-0.0744293674084998</v>
      </c>
      <c r="FZ218" s="1082">
        <v>0.02</v>
      </c>
      <c r="GA218" s="1082">
        <f t="shared" ref="GA218:GC218" si="1185">GA217-GA219</f>
        <v>-0.0865791720017073</v>
      </c>
      <c r="GB218" s="1082">
        <f t="shared" si="1185"/>
        <v>-0.0800675120236482</v>
      </c>
      <c r="GC218" s="1085">
        <f t="shared" si="1185"/>
        <v>-0.0600496271562142</v>
      </c>
      <c r="GD218" s="1082">
        <f>((GD171*FV169)+(GD176*FV174)+(GD181*FV179)+(GD186*FV184)+(GD196*FV194)+(GD201*FV199))/(FV169+FV174+FV179+FV184+FV189+FV194+FV199)</f>
        <v>-0.0794741855591542</v>
      </c>
      <c r="GE218" s="1082">
        <f>((GE171*FW169)+(GE176*FW174)+(GE181*FW179)+(GE186*FW184)+(GE191*FW189)+(GE196*FW194)+(GE201*FW199))/(FW169+FW174+FW179+FW184+FW189+FW194+FW199)</f>
        <v>-0.0636150826446281</v>
      </c>
      <c r="GF218" s="1082">
        <f>GF217-GF219</f>
        <v>-0.0722657382678367</v>
      </c>
      <c r="GG218" s="1082">
        <f>GG217-GG219</f>
        <v>-0.0482620641070798</v>
      </c>
      <c r="GH218" s="1082">
        <v>0.02</v>
      </c>
      <c r="GI218" s="1082">
        <f>GI217-GI219</f>
        <v>-0.0114814082278481</v>
      </c>
      <c r="GJ218" s="1082">
        <f>Interim!GK493</f>
        <v>1.1837</v>
      </c>
      <c r="GK218" s="1085">
        <f t="shared" ref="GK218:GS218" si="1186">GK217-GK219</f>
        <v>-0.0513580921858798</v>
      </c>
      <c r="GL218" s="1082">
        <f t="shared" si="1186"/>
        <v>0.0160418168709447</v>
      </c>
      <c r="GM218" s="1082">
        <f t="shared" si="1186"/>
        <v>0.00954468732180155</v>
      </c>
      <c r="GN218" s="1082">
        <f t="shared" si="1186"/>
        <v>0.0128795078175595</v>
      </c>
      <c r="GO218" s="1082">
        <f t="shared" si="1186"/>
        <v>0.0317859696918099</v>
      </c>
      <c r="GP218" s="1082">
        <f t="shared" si="1186"/>
        <v>0.0195356432082483</v>
      </c>
      <c r="GQ218" s="1082">
        <f t="shared" si="1186"/>
        <v>0.0141066309956048</v>
      </c>
      <c r="GR218" s="1082">
        <f t="shared" si="1186"/>
        <v>0.023455699621826</v>
      </c>
      <c r="GS218" s="1085">
        <f t="shared" si="1186"/>
        <v>0.0182392699064566</v>
      </c>
      <c r="GT218" s="1082">
        <f t="shared" ref="GT218:HA218" si="1187">GT217-GT219</f>
        <v>0.00206731259561449</v>
      </c>
      <c r="GU218" s="1082">
        <f t="shared" si="1187"/>
        <v>-0.00819743692140112</v>
      </c>
      <c r="GV218" s="1082">
        <f t="shared" si="1187"/>
        <v>-0.00289656601123595</v>
      </c>
      <c r="GW218" s="1082">
        <f t="shared" si="1187"/>
        <v>-0.0434006240249608</v>
      </c>
      <c r="GX218" s="1082">
        <f t="shared" si="1187"/>
        <v>-0.0174809392203122</v>
      </c>
      <c r="GY218" s="1082">
        <f t="shared" si="1187"/>
        <v>-0.0524825791842147</v>
      </c>
      <c r="GZ218" s="1082">
        <f t="shared" si="1187"/>
        <v>-0.0477299191653713</v>
      </c>
      <c r="HA218" s="1085">
        <f t="shared" si="1187"/>
        <v>-0.0261258601521352</v>
      </c>
      <c r="HB218" s="1082">
        <f t="shared" ref="HB218:HQ218" si="1188">HB217-HB219</f>
        <v>-0.063637753937457</v>
      </c>
      <c r="HC218" s="1082">
        <f t="shared" si="1188"/>
        <v>-0.0428060859188546</v>
      </c>
      <c r="HD218" s="1082">
        <f t="shared" si="1188"/>
        <v>-0.149581328102496</v>
      </c>
      <c r="HE218" s="1082">
        <f t="shared" si="1188"/>
        <v>-0.00422111673468392</v>
      </c>
      <c r="HF218" s="1082">
        <f t="shared" si="1188"/>
        <v>-0.118117880482557</v>
      </c>
      <c r="HG218" s="1082">
        <f t="shared" si="1188"/>
        <v>0.0236989498249704</v>
      </c>
      <c r="HH218" s="1082">
        <f t="shared" si="1188"/>
        <v>-0.062237876802652</v>
      </c>
      <c r="HI218" s="1085">
        <f t="shared" si="1188"/>
        <v>-0.00816924328722543</v>
      </c>
      <c r="HJ218" s="1082">
        <f t="shared" si="1188"/>
        <v>0.0370892179195142</v>
      </c>
      <c r="HK218" s="1082">
        <f t="shared" si="1188"/>
        <v>0.066763442978137</v>
      </c>
      <c r="HL218" s="1082">
        <f t="shared" si="1188"/>
        <v>0.0516523924601257</v>
      </c>
      <c r="HM218" s="1082">
        <f t="shared" si="1188"/>
        <v>0.0700111265646724</v>
      </c>
      <c r="HN218" s="1082">
        <f t="shared" si="1188"/>
        <v>0.0582125861961856</v>
      </c>
      <c r="HO218" s="1082">
        <f t="shared" si="1188"/>
        <v>0.0230426318863155</v>
      </c>
      <c r="HP218" s="1082">
        <f t="shared" si="1188"/>
        <v>0.0585980347139313</v>
      </c>
      <c r="HQ218" s="1085">
        <f t="shared" si="1188"/>
        <v>0.049704153715739</v>
      </c>
      <c r="HR218" s="1082">
        <f t="shared" ref="HR218:HY218" si="1189">HR217-HR219</f>
        <v>0.011262731044889</v>
      </c>
      <c r="HS218" s="1082">
        <f t="shared" si="1189"/>
        <v>-0.0481005896015723</v>
      </c>
      <c r="HT218" s="1082">
        <f t="shared" si="1189"/>
        <v>-0.021607853931553</v>
      </c>
      <c r="HU218" s="1082">
        <f t="shared" si="1189"/>
        <v>-0.0603044044660621</v>
      </c>
      <c r="HV218" s="1082">
        <f t="shared" si="1189"/>
        <v>-0.037206599862398</v>
      </c>
      <c r="HW218" s="1082">
        <f t="shared" si="1189"/>
        <v>-0.0241185626441199</v>
      </c>
      <c r="HX218" s="1082">
        <f t="shared" si="1189"/>
        <v>-0.0536229536890208</v>
      </c>
      <c r="HY218" s="1085">
        <f t="shared" si="1189"/>
        <v>-0.03204867059742</v>
      </c>
      <c r="HZ218" s="1082">
        <f>((HZ217+1)/(1+HZ219))-1</f>
        <v>-0.0444978159178601</v>
      </c>
      <c r="IA218" s="1082">
        <f>((IA217+1)/(1+IA219))-1</f>
        <v>-0.0223557435643637</v>
      </c>
      <c r="IB218" s="1082">
        <f t="shared" ref="IB218:IF218" si="1190">IB217-IB219</f>
        <v>-0.0343196938475126</v>
      </c>
      <c r="IC218" s="1082">
        <f>((IC217+1)/(1+IC219))-1</f>
        <v>-0.0338921416000038</v>
      </c>
      <c r="ID218" s="1082">
        <f t="shared" si="1190"/>
        <v>-0.0363249462637504</v>
      </c>
      <c r="IE218" s="1082">
        <f>((IE217+1)/(1+IE219))-1</f>
        <v>0.0183688387817089</v>
      </c>
      <c r="IF218" s="1082">
        <f t="shared" si="1190"/>
        <v>-0.0115069881099719</v>
      </c>
      <c r="IG218" s="1085">
        <f>((IG217+1)/(1+IG219))-1</f>
        <v>-0.0207806393031688</v>
      </c>
      <c r="IH218" s="1082">
        <f>((IH217+1)/(1+IH219))-1</f>
        <v>-0.0089728784240205</v>
      </c>
      <c r="II218" s="1082">
        <f>((II217+1)/(1+II219))-1</f>
        <v>-0.0547339533465468</v>
      </c>
      <c r="IJ218" s="1082">
        <f t="shared" ref="IJ218" si="1191">IJ217-IJ219</f>
        <v>-0.0394884757548034</v>
      </c>
      <c r="IK218" s="1082">
        <f>((IK217+1)/(1+IK219))-1</f>
        <v>-0.0501371073360279</v>
      </c>
      <c r="IL218" s="1082">
        <f t="shared" ref="IL218" si="1192">IL217-IL219</f>
        <v>-0.0455988203033839</v>
      </c>
      <c r="IM218" s="1082">
        <f>((IM217+1)/(1+IM219))-1</f>
        <v>-0.0720720720720721</v>
      </c>
      <c r="IN218" s="1082">
        <f t="shared" ref="IN218" si="1193">IN217-IN219</f>
        <v>-0.0665086045775335</v>
      </c>
      <c r="IO218" s="1085">
        <f>((IO217+1)/(1+IO219))-1</f>
        <v>-0.0451834746414649</v>
      </c>
      <c r="IP218" s="1082">
        <f>((IP217+1)/(1+IP219))-1</f>
        <v>-0.0562188335311474</v>
      </c>
      <c r="IQ218" s="1082">
        <f>((IQ217+1)/(1+IQ219))-1</f>
        <v>-0.00385722790736132</v>
      </c>
      <c r="IR218" s="1082">
        <f t="shared" ref="IR218" si="1194">IR217-IR219</f>
        <v>-0.0345956216439486</v>
      </c>
      <c r="IS218" s="1082">
        <f>((IS217+1)/(1+IS219))-1</f>
        <v>0.0087046782689737</v>
      </c>
      <c r="IT218" s="1082">
        <f t="shared" ref="IT218" si="1195">IT217-IT219</f>
        <v>-0.0175303020652266</v>
      </c>
      <c r="IU218" s="1082">
        <f>((IU217+1)/(1+IU219))-1</f>
        <v>0.00975998763896846</v>
      </c>
      <c r="IV218" s="1082">
        <f t="shared" ref="IV218" si="1196">IV217-IV219</f>
        <v>0.0131314902685916</v>
      </c>
      <c r="IW218" s="1085">
        <f>((IW217+1)/(1+IW219))-1</f>
        <v>-0.0106818354372116</v>
      </c>
      <c r="IX218" s="1049"/>
      <c r="IY218" s="1049"/>
      <c r="IZ218" s="1049"/>
      <c r="JA218" s="1049"/>
      <c r="JB218" s="1049"/>
      <c r="JC218" s="1049"/>
      <c r="JD218" s="1112"/>
      <c r="JE218" s="1037"/>
      <c r="JF218" s="1037"/>
      <c r="JG218" s="1037"/>
      <c r="JH218" s="1037"/>
      <c r="JI218" s="1035"/>
      <c r="JJ218" s="1035"/>
      <c r="JK218" s="1035"/>
      <c r="JL218" s="1035"/>
      <c r="JM218" s="1035"/>
      <c r="JN218" s="1035"/>
      <c r="JO218" s="1035"/>
      <c r="JP218" s="1035"/>
      <c r="JQ218" s="1035"/>
      <c r="JR218" s="1035"/>
      <c r="JS218" s="1035"/>
      <c r="JT218" s="1035"/>
      <c r="JW218" s="1035"/>
      <c r="JX218" s="1035"/>
      <c r="JY218" s="1035"/>
      <c r="KB218" s="792">
        <f>KB217/KB$227</f>
        <v>0.0184094256259205</v>
      </c>
      <c r="KC218" s="792">
        <f>KC217/KC$227</f>
        <v>0.0149965916837082</v>
      </c>
      <c r="KP218" s="1117"/>
      <c r="LV218" s="967"/>
    </row>
    <row r="219" spans="1:334">
      <c r="A219" s="967" t="s">
        <v>100</v>
      </c>
      <c r="AX219" s="1059"/>
      <c r="BE219" s="1060"/>
      <c r="BN219" s="1059"/>
      <c r="BU219" s="1060"/>
      <c r="BV219" s="1059"/>
      <c r="CC219" s="1060"/>
      <c r="CD219" s="1059"/>
      <c r="CJ219" s="1061"/>
      <c r="CK219" s="1060"/>
      <c r="CL219" s="1059"/>
      <c r="CS219" s="1060"/>
      <c r="CT219" s="1059"/>
      <c r="CW219" s="1062"/>
      <c r="CX219" s="1062"/>
      <c r="DE219" s="1064"/>
      <c r="DF219" s="1064"/>
      <c r="DM219" s="1064"/>
      <c r="DN219" s="1064"/>
      <c r="DU219" s="1064"/>
      <c r="DV219" s="1064"/>
      <c r="EC219" s="1064"/>
      <c r="ED219" s="1064"/>
      <c r="EH219" s="1083"/>
      <c r="EI219" s="1083"/>
      <c r="EJ219" s="1083"/>
      <c r="EK219" s="1083"/>
      <c r="EL219" s="1083"/>
      <c r="EM219" s="1083"/>
      <c r="EN219" s="1083"/>
      <c r="EO219" s="1084"/>
      <c r="EP219" s="1083"/>
      <c r="EQ219" s="1083"/>
      <c r="ER219" s="1083"/>
      <c r="ES219" s="1083"/>
      <c r="ET219" s="1083"/>
      <c r="EU219" s="1083"/>
      <c r="EV219" s="1083"/>
      <c r="EW219" s="1084"/>
      <c r="EX219" s="1083">
        <f t="shared" ref="EX219:FE219" si="1197">EX130</f>
        <v>0.0101906158357771</v>
      </c>
      <c r="EY219" s="1083">
        <f t="shared" si="1197"/>
        <v>0.101650310375406</v>
      </c>
      <c r="EZ219" s="1083">
        <f t="shared" si="1197"/>
        <v>0.0535615363050182</v>
      </c>
      <c r="FA219" s="1083">
        <f t="shared" si="1197"/>
        <v>0.090825470482083</v>
      </c>
      <c r="FB219" s="1083">
        <f t="shared" si="1197"/>
        <v>0.0666866430582039</v>
      </c>
      <c r="FC219" s="1083">
        <f t="shared" si="1197"/>
        <v>0.0583774073009486</v>
      </c>
      <c r="FD219" s="1083">
        <f t="shared" si="1197"/>
        <v>0.0754834194074477</v>
      </c>
      <c r="FE219" s="1084">
        <f t="shared" si="1197"/>
        <v>0.0646918989787469</v>
      </c>
      <c r="FF219" s="1083">
        <f t="shared" ref="FF219:GC219" si="1198">(EX169*FF172+EX174*FF177+EX179*FF182+EX184*FF187+EX189*FF192+EX194*FF197+EX199*FF202+EX209*FF213)/EX216</f>
        <v>0.0873076702097099</v>
      </c>
      <c r="FG219" s="1083">
        <f t="shared" si="1198"/>
        <v>0.0489167157151266</v>
      </c>
      <c r="FH219" s="1083">
        <f t="shared" si="1198"/>
        <v>0.068343799970926</v>
      </c>
      <c r="FI219" s="1083">
        <f t="shared" si="1198"/>
        <v>0.125889713155292</v>
      </c>
      <c r="FJ219" s="1083">
        <f t="shared" si="1198"/>
        <v>0.0896489059782111</v>
      </c>
      <c r="FK219" s="1083">
        <f t="shared" si="1198"/>
        <v>0.116590027700831</v>
      </c>
      <c r="FL219" s="1083">
        <f t="shared" si="1198"/>
        <v>0.121503527567285</v>
      </c>
      <c r="FM219" s="1084">
        <f t="shared" si="1198"/>
        <v>0.0963410858047203</v>
      </c>
      <c r="FN219" s="1095">
        <f t="shared" si="1198"/>
        <v>0.213338966446241</v>
      </c>
      <c r="FO219" s="1083">
        <f t="shared" si="1198"/>
        <v>0.205087023291528</v>
      </c>
      <c r="FP219" s="1083">
        <f t="shared" si="1198"/>
        <v>0.209303879849812</v>
      </c>
      <c r="FQ219" s="1083">
        <f t="shared" si="1198"/>
        <v>0.171974563800715</v>
      </c>
      <c r="FR219" s="1083">
        <f t="shared" si="1198"/>
        <v>0.195373107397819</v>
      </c>
      <c r="FS219" s="1083">
        <f t="shared" si="1198"/>
        <v>0.13947480806142</v>
      </c>
      <c r="FT219" s="1083">
        <f t="shared" si="1198"/>
        <v>0.156797086834734</v>
      </c>
      <c r="FU219" s="1083">
        <f t="shared" si="1198"/>
        <v>0.1815992905705</v>
      </c>
      <c r="FV219" s="1271">
        <f t="shared" si="1198"/>
        <v>0.163587664380074</v>
      </c>
      <c r="FW219" s="1083">
        <f t="shared" si="1198"/>
        <v>0.194819353380059</v>
      </c>
      <c r="FX219" s="1083">
        <f t="shared" si="1198"/>
        <v>0.177906549173194</v>
      </c>
      <c r="FY219" s="1083">
        <f t="shared" si="1198"/>
        <v>0.123579404363415</v>
      </c>
      <c r="FZ219" s="1083">
        <f t="shared" si="1198"/>
        <v>0.158220166245095</v>
      </c>
      <c r="GA219" s="1083">
        <f t="shared" si="1198"/>
        <v>0.165537772087068</v>
      </c>
      <c r="GB219" s="1083">
        <f t="shared" si="1198"/>
        <v>0.14305028088877</v>
      </c>
      <c r="GC219" s="1084">
        <f t="shared" si="1198"/>
        <v>0.159997786824436</v>
      </c>
      <c r="GD219" s="1272">
        <f>(1537*GD172+988*GD177+454*GD182+1744*GD187+160*GD197+367*GD202+197*GD213)/FV216</f>
        <v>0.101595666544253</v>
      </c>
      <c r="GE219" s="1083">
        <f>(1433*GE172+1014*GE177+441*GE182+1495*GE187+181*GE197+277*GE202+198*GE213)/FW216</f>
        <v>0.105070265978563</v>
      </c>
      <c r="GF219" s="1083">
        <f>((GD219*FV216)+(GE219*FW216))/FX216</f>
        <v>0.103265356734071</v>
      </c>
      <c r="GG219" s="1083">
        <f>(1671*GG172+1099*GG177+502*GG182+1664*GG187+173*GG197+376*GG202+192*GG213)/FY216</f>
        <v>0.0826051426558651</v>
      </c>
      <c r="GH219" s="1083">
        <f>((GD219*FV216)+(GE219*FW216)+(GG219*FY216))/(FV216+FW216+FY216)</f>
        <v>0.0960070535824775</v>
      </c>
      <c r="GI219" s="1083">
        <f>(1292*GI172+1175*GI177+510*GI182+1500*GI187+146*GI197+280*GI202+152*GI213)/GA216</f>
        <v>0.0464893196202532</v>
      </c>
      <c r="GJ219" s="1083">
        <f>((GI219*GA216)+(GG219*FY216))/GB216</f>
        <v>0.0655936277249862</v>
      </c>
      <c r="GK219" s="1084">
        <f>((GJ219*GB216)+(GF219*FX216))/GC216</f>
        <v>0.0842075596191913</v>
      </c>
      <c r="GL219" s="1272">
        <f>(GD169*GL172+GD174*GL177+GD179*GL182+GD184*GL187+GD194*GL197+GD199*GL202+GD209*GL213)/GD216</f>
        <v>0.0443403028118238</v>
      </c>
      <c r="GM219" s="1272">
        <f>(GE169*GM172+GE174*GM177+GE179*GM182+GE184*GM187+GE194*GM197+GE199*GM202+GE209*GM213)/GE216</f>
        <v>0.0375946398023189</v>
      </c>
      <c r="GN219" s="1083">
        <f>((GL219*GD216)+(GM219*GE216))/GF216</f>
        <v>0.0410570265519473</v>
      </c>
      <c r="GO219" s="1272">
        <f>(GG169*GO172+GG174*GO177+GG179*GO182+GG184*GO187+GG194*GO197+GG199*GO202+GG209*GO213)/GG216</f>
        <v>0.0596494125659799</v>
      </c>
      <c r="GP219" s="1083">
        <f>((GL219*GD216)+(GM219*GE216)+(GO219*GG216))/(GD216+GE216+GG216)</f>
        <v>0.0476025896175518</v>
      </c>
      <c r="GQ219" s="1272">
        <f>(GI169*GQ172+GI174*GQ177+GI179*GQ182+GI184*GQ187+GI194*GQ197+GI199*GQ202+GI209*GQ213)/GI216</f>
        <v>0.101696923370915</v>
      </c>
      <c r="GR219" s="1083">
        <f>((GQ219*GI216)+(GO219*GG216))/GJ216</f>
        <v>0.0794616423554835</v>
      </c>
      <c r="GS219" s="1084">
        <f>((GR219*GJ216)+(GN219*GF216))/GK216</f>
        <v>0.0605195710700433</v>
      </c>
      <c r="GT219" s="1272">
        <f>(GL169*GT172+GL174*GT177+GL179*GT182+GL184*GT187+GL194*GT197+GL199*GT202+GL209*GT213)/GL216</f>
        <v>-0.194146183919769</v>
      </c>
      <c r="GU219" s="1272">
        <f>(GM169*GU172+GM174*GU177+GM179*GU182+GM184*GU187+GM194*GU197+GM199*GU202+GM209*GU213)/GM216</f>
        <v>-0.34220245416591</v>
      </c>
      <c r="GV219" s="1083">
        <f>((GT219*GL216)+(GU219*GM216))/GN216</f>
        <v>-0.265743971207865</v>
      </c>
      <c r="GW219" s="1272">
        <f>(GO169*GW172+GO174*GW177+GO179*GW182+GO184*GW187+GO194*GW197+GO199*GW202+GO209*GW213)/GO216</f>
        <v>-0.0261279251170047</v>
      </c>
      <c r="GX219" s="1083">
        <f>((GT219*GL216)+(GU219*GM216)+(GW219*GO216))/(GL216+GM216+GO216)</f>
        <v>-0.179464965734187</v>
      </c>
      <c r="GY219" s="1272">
        <f>(GQ169*GY172+GQ174*GY177+GQ179*GY182+GQ184*GY187+GQ194*GY197+GQ199*GY202+GQ209*GY213)/GQ216</f>
        <v>0.00265058740480018</v>
      </c>
      <c r="GZ219" s="1083">
        <f>((GY219*GQ216)+(GW219*GO216))/GR216</f>
        <v>-0.0124094391495936</v>
      </c>
      <c r="HA219" s="1084">
        <f>((GZ219*GR216)+(GV219*GN216))/GS216</f>
        <v>-0.134484943113378</v>
      </c>
      <c r="HB219" s="1272">
        <f>(1705*HB172+1166*HB177+303*HB182+559*HB187+GT194*HB197+602*HB202+48*HB213)/4381</f>
        <v>0.266102944533212</v>
      </c>
      <c r="HC219" s="1272">
        <f>(965*HC172+726*HC177+103*HC182+1199*HC187+GU194*HC197+337*HC202+21*HC213)/3352</f>
        <v>0.557424224343676</v>
      </c>
      <c r="HD219" s="1083">
        <f>((HB219*GT216)+(HC219*GU216))/GV216</f>
        <v>0.391232588651581</v>
      </c>
      <c r="HE219" s="1272">
        <f>(2079*HE172+1309*HE177+264*HE182+1297*HE187+GW194*HE197+507*HE202+55*HE213)/5561</f>
        <v>0.03856745732091</v>
      </c>
      <c r="HF219" s="1083">
        <f>((HB219*GT216)+(HC219*GU216)+(HE219*GW216))/(GT216+GU216+GW216)</f>
        <v>0.244099617012624</v>
      </c>
      <c r="HG219" s="1272">
        <f>(1559*HG172+1317*HG177+365*HG182+1287*HG187+GY194*HG197+587*HG202+27*HG213)/5142</f>
        <v>-0.0246713341112408</v>
      </c>
      <c r="HH219" s="1083">
        <f>((HG219*GY216)+(HE219*GW216))/GZ216</f>
        <v>0.00809143080677283</v>
      </c>
      <c r="HI219" s="1273">
        <v>0.16</v>
      </c>
      <c r="HJ219" s="1272">
        <f>(HB169*HJ172+HB174*HJ177+HB179*HJ182+HB184*HJ187+HB194*HJ197+HB199*HJ202+HB209*HJ213)/HB216</f>
        <v>-0.0306351556567961</v>
      </c>
      <c r="HK219" s="1272">
        <f>(HC169*HK172+HC174*HK177+HC179*HK182+HC184*HK187+HC194*HK197+HC199*HK202+HC209*HK213)/HC216</f>
        <v>0.0356592475871578</v>
      </c>
      <c r="HL219" s="1083">
        <f>((HJ219*HB216)+(HK219*HC216))/HD216</f>
        <v>0.0019000483325276</v>
      </c>
      <c r="HM219" s="1272">
        <f>(HE169*HM172+HE174*HM177+HE179*HM182+HE184*HM187+HE194*HM197+HE199*HM202+HE209*HM213)/HE216</f>
        <v>0.0440361613351878</v>
      </c>
      <c r="HN219" s="1083">
        <f>((HJ219*HB216)+(HK219*HC216)+(HM219*HE216))/(HB216+HC216+HE216)</f>
        <v>0.0169567000062122</v>
      </c>
      <c r="HO219" s="1272">
        <v>-0.01</v>
      </c>
      <c r="HP219" s="1083">
        <f>((HO219*HG216)+(HM219*HE216))/HH216</f>
        <v>0.0185440352649463</v>
      </c>
      <c r="HQ219" s="1084">
        <f>((HP219*HH216)+(HL219*HD216))/HI216</f>
        <v>0.0104352453612131</v>
      </c>
      <c r="HR219" s="1272">
        <f>(HJ169*HR172+HJ174*HR177+HJ179*HR182+HJ184*HR187+HJ194*HR197+HJ199*HR202+HJ209*HR213)/HJ216</f>
        <v>-0.0165437570728027</v>
      </c>
      <c r="HS219" s="1272">
        <f>(HK169*HS172+HK174*HS177+HK179*HS182+HK184*HS187+HK194*HS197+HK199*HS202+HK209*HS213)/HK216</f>
        <v>-0.0687477219939252</v>
      </c>
      <c r="HT219" s="1083">
        <f>((HR219*HJ216)+(HS219*HK216))/HL216</f>
        <v>-0.043352234149922</v>
      </c>
      <c r="HU219" s="1272">
        <f>(HM169*HU172+HM174*HU177+HM179*HU182+HM184*HU187+HM194*HU197+HM199*HU202+HM209*HU213)/HM216</f>
        <v>-0.0581412884178331</v>
      </c>
      <c r="HV219" s="1083">
        <f>((HR219*HJ216)+(HS219*HK216)+(HU219*HM216))/(HJ216+HK216+HM216)</f>
        <v>-0.0488279526308126</v>
      </c>
      <c r="HW219" s="1272">
        <f>(HO169*HW172+HO174*HW177+HO179*HW182+HO184*HW187+HO194*HW197+HO199*HW202+HO209*HW213)/HO216</f>
        <v>-0.0512081091468104</v>
      </c>
      <c r="HX219" s="1083">
        <f>((HW219*HO216)+(HU219*HM216))/HP216</f>
        <v>-0.0544851544190874</v>
      </c>
      <c r="HY219" s="1084">
        <f>((HX219*HP216)+(HT219*HL216))/HQ216</f>
        <v>-0.0493781873831227</v>
      </c>
      <c r="HZ219" s="1272">
        <f t="shared" ref="HZ219:IG219" si="1199">(HR169*HZ172+HR174*HZ177+HR179*HZ182+HR184*HZ187+HR194*HZ197+HR199*HZ202+HR209*HZ213+HZ207*HR204)/HR216</f>
        <v>0.0533170269245354</v>
      </c>
      <c r="IA219" s="1272">
        <f t="shared" si="1199"/>
        <v>0.1633740643334</v>
      </c>
      <c r="IB219" s="1272">
        <f t="shared" si="1199"/>
        <v>0.106834658031596</v>
      </c>
      <c r="IC219" s="1272">
        <f t="shared" si="1199"/>
        <v>0.143005133651974</v>
      </c>
      <c r="ID219" s="1272">
        <f t="shared" si="1199"/>
        <v>0.119900619547351</v>
      </c>
      <c r="IE219" s="1272">
        <f t="shared" si="1199"/>
        <v>0.196843308395677</v>
      </c>
      <c r="IF219" s="1272">
        <f t="shared" si="1199"/>
        <v>0.169235694734578</v>
      </c>
      <c r="IG219" s="1273">
        <f t="shared" si="1199"/>
        <v>0.13752771061031</v>
      </c>
      <c r="IH219" s="1272">
        <f t="shared" ref="IH219" si="1200">(HZ169*IH172+HZ174*IH177+HZ179*IH182+HZ184*IH187+HZ194*IH197+HZ199*IH202+HZ209*IH213+IH207*HZ204)/HZ216</f>
        <v>0.169689148455162</v>
      </c>
      <c r="II219" s="1272">
        <v>0.12</v>
      </c>
      <c r="IJ219" s="1272">
        <f t="shared" ref="IJ219" si="1201">(IB169*IJ172+IB174*IJ177+IB179*IJ182+IB184*IJ187+IB194*IJ197+IB199*IJ202+IB209*IJ213+IJ207*IB204)/IB216</f>
        <v>0.146990763037511</v>
      </c>
      <c r="IK219" s="1272">
        <f t="shared" ref="IK219" si="1202">(IC169*IK172+IC174*IK177+IC179*IK182+IC184*IK187+IC194*IK197+IC199*IK202+IC209*IK213+IK207*IC204)/IC216</f>
        <v>0.118941125360693</v>
      </c>
      <c r="IL219" s="1272">
        <f t="shared" ref="IL219" si="1203">(ID169*IL172+ID174*IL177+ID179*IL182+ID184*IL187+ID194*IL197+ID199*IL202+ID209*IL213+IL207*ID204)/ID216</f>
        <v>0.137022390898483</v>
      </c>
      <c r="IM219" s="1272">
        <v>0.11</v>
      </c>
      <c r="IN219" s="1272">
        <f t="shared" ref="IN219" si="1204">(IF169*IN172+IF174*IN177+IF179*IN182+IF184*IN187+IF194*IN197+IF199*IN202+IF209*IN213+IN207*IF204)/IF216</f>
        <v>0.111756726119933</v>
      </c>
      <c r="IO219" s="1273">
        <f t="shared" ref="IO219" si="1205">(IG169*IO172+IG174*IO177+IG179*IO182+IG184*IO187+IG194*IO197+IG199*IO202+IG209*IO213+IO207*IG204)/IG216</f>
        <v>0.128168148743108</v>
      </c>
      <c r="IP219" s="1272">
        <f t="shared" ref="IP219" si="1206">(IH169*IP172+IH174*IP177+IH179*IP182+IH184*IP187+IH194*IP197+IH199*IP202+IH209*IP213+IP207*IH204)/IH216</f>
        <v>0.135164960182025</v>
      </c>
      <c r="IQ219" s="1272">
        <f t="shared" ref="IQ219" si="1207">(II169*IQ172+II174*IQ177+II179*IQ182+II184*IQ187+II194*IQ197+II199*IQ202+II209*IQ213+IQ207*II204)/II216</f>
        <v>0.137283266129032</v>
      </c>
      <c r="IR219" s="1272">
        <f t="shared" ref="IR219" si="1208">(IJ169*IR172+IJ174*IR177+IJ179*IR182+IJ184*IR187+IJ194*IR197+IJ199*IR202+IJ209*IR213+IR207*IJ204)/IJ216</f>
        <v>0.136206526228831</v>
      </c>
      <c r="IS219" s="1272">
        <f t="shared" ref="IS219" si="1209">(IK169*IS172+IK174*IS177+IK179*IS182+IK184*IS187+IK194*IS197+IK199*IS202+IK209*IS213+IS207*IK204)/IK216</f>
        <v>0.0888657616892911</v>
      </c>
      <c r="IT219" s="1272">
        <f t="shared" ref="IT219" si="1210">(IL169*IT172+IL174*IT177+IL179*IT182+IL184*IT187+IL194*IT197+IL199*IT202+IL209*IT213+IT207*IL204)/IL216</f>
        <v>0.119632223231945</v>
      </c>
      <c r="IU219" s="1272">
        <f t="shared" ref="IU219" si="1211">(IM169*IU172+IM174*IU177+IM179*IU182+IM184*IU187+IM194*IU197+IM199*IU202+IM209*IU213+IU207*IM204)/IM216</f>
        <v>0.0620358788676761</v>
      </c>
      <c r="IV219" s="1272">
        <f t="shared" ref="IV219" si="1212">(IN169*IV172+IN174*IV177+IN179*IV182+IN184*IV187+IN194*IV197+IN199*IV202+IN209*IV213+IV207*IN204)/IN216</f>
        <v>0.076838582904719</v>
      </c>
      <c r="IW219" s="1273">
        <f t="shared" ref="IW219" si="1213">(IO169*IW172+IO174*IW177+IO179*IW182+IO184*IW187+IO194*IW197+IO199*IW202+IO209*IW213+IW207*IO204)/IO216</f>
        <v>0.105392366289146</v>
      </c>
      <c r="IX219" s="1056"/>
      <c r="IY219" s="1049"/>
      <c r="IZ219" s="1049"/>
      <c r="JA219" s="1104"/>
      <c r="JB219" s="1118"/>
      <c r="JC219" s="1082"/>
      <c r="JD219" s="1041"/>
      <c r="JE219" s="1037"/>
      <c r="JF219" s="1037"/>
      <c r="JG219" s="1037"/>
      <c r="JH219" s="1037"/>
      <c r="JI219" s="1035"/>
      <c r="JJ219" s="1035"/>
      <c r="JK219" s="1094">
        <f t="shared" ref="JK219:JP219" si="1214">(EX216*(1+FF219)*(1+FN219))/EX216-1</f>
        <v>0.319272764781319</v>
      </c>
      <c r="JL219" s="1094">
        <f t="shared" si="1214"/>
        <v>0.264035922621868</v>
      </c>
      <c r="JM219" s="1094">
        <f t="shared" si="1214"/>
        <v>0.291952302318333</v>
      </c>
      <c r="JN219" s="1094">
        <f t="shared" si="1214"/>
        <v>0.319514105462885</v>
      </c>
      <c r="JO219" s="1094">
        <f t="shared" si="1214"/>
        <v>0.302536998711808</v>
      </c>
      <c r="JP219" s="1094">
        <f t="shared" si="1214"/>
        <v>0.2723262074977</v>
      </c>
      <c r="JQ219" s="1094">
        <f>(FF216*(1+FN219)*(1+FV219))/FF216-1</f>
        <v>0.411826254068514</v>
      </c>
      <c r="JR219" s="1094">
        <f>(FG216*(1+FO219)*(1+FW219))/FG216-1</f>
        <v>0.439861297935884</v>
      </c>
      <c r="JS219" s="1094">
        <f>(FI216*(1+FQ219)*(1+FY219))/FI216-1</f>
        <v>0.31680648232428</v>
      </c>
      <c r="JT219" s="1094">
        <f>(FK216*(1+FS219)*(1+GA219))/FK216-1</f>
        <v>0.328100929137247</v>
      </c>
      <c r="JW219" s="1035"/>
      <c r="JX219" s="1035"/>
      <c r="JY219" s="1035"/>
      <c r="JZ219" s="1035" t="s">
        <v>553</v>
      </c>
      <c r="KB219" s="1250">
        <v>11</v>
      </c>
      <c r="KC219" s="1250">
        <v>3</v>
      </c>
      <c r="KP219" s="1117"/>
      <c r="LV219" s="967"/>
    </row>
    <row r="220" spans="1:334">
      <c r="A220" s="967"/>
      <c r="AX220" s="1059"/>
      <c r="BE220" s="1060"/>
      <c r="BN220" s="1059"/>
      <c r="BU220" s="1060"/>
      <c r="BV220" s="1059"/>
      <c r="CC220" s="1060"/>
      <c r="CD220" s="1059"/>
      <c r="CJ220" s="1061"/>
      <c r="CK220" s="1060"/>
      <c r="CL220" s="1059"/>
      <c r="CS220" s="1060"/>
      <c r="CT220" s="1059"/>
      <c r="CW220" s="1062"/>
      <c r="CX220" s="1062"/>
      <c r="DE220" s="1064"/>
      <c r="DF220" s="1064"/>
      <c r="DM220" s="1064"/>
      <c r="DN220" s="1064"/>
      <c r="DU220" s="1064"/>
      <c r="DV220" s="1064"/>
      <c r="EC220" s="1064"/>
      <c r="ED220" s="1064"/>
      <c r="EH220" s="1181"/>
      <c r="EI220" s="1181"/>
      <c r="EJ220" s="1181"/>
      <c r="EK220" s="1181"/>
      <c r="EL220" s="1181"/>
      <c r="EM220" s="1181"/>
      <c r="EN220" s="1181"/>
      <c r="EO220" s="1182"/>
      <c r="EP220" s="1181"/>
      <c r="EQ220" s="1181"/>
      <c r="ER220" s="1181"/>
      <c r="ES220" s="1181"/>
      <c r="ET220" s="1181"/>
      <c r="EU220" s="1181"/>
      <c r="EV220" s="1181"/>
      <c r="EW220" s="1182"/>
      <c r="EX220" s="1181"/>
      <c r="EY220" s="1181"/>
      <c r="EZ220" s="1181"/>
      <c r="FA220" s="1181"/>
      <c r="FB220" s="1181"/>
      <c r="FC220" s="1181"/>
      <c r="FD220" s="1181"/>
      <c r="FE220" s="1182"/>
      <c r="FF220" s="1181"/>
      <c r="FG220" s="1181"/>
      <c r="FH220" s="1181"/>
      <c r="FI220" s="1181"/>
      <c r="FJ220" s="1181"/>
      <c r="FK220" s="1094"/>
      <c r="FM220" s="1182"/>
      <c r="FN220" s="1094"/>
      <c r="FO220" s="1274"/>
      <c r="FP220" s="1274">
        <f>FO220*1.2</f>
        <v>0</v>
      </c>
      <c r="FQ220" s="1094"/>
      <c r="FR220" s="1181"/>
      <c r="FS220" s="1181"/>
      <c r="FT220" s="1181"/>
      <c r="FU220" s="1181"/>
      <c r="FV220" s="1275"/>
      <c r="FW220" s="1094"/>
      <c r="FX220" s="1181"/>
      <c r="FY220" s="1094"/>
      <c r="FZ220" s="1181"/>
      <c r="GA220" s="1094"/>
      <c r="GB220" s="1181"/>
      <c r="GC220" s="1182"/>
      <c r="GD220" s="1181"/>
      <c r="GE220" s="1181"/>
      <c r="GF220" s="1181"/>
      <c r="GG220" s="1181"/>
      <c r="GH220" s="1181"/>
      <c r="GI220" s="1181"/>
      <c r="GJ220" s="1181"/>
      <c r="GK220" s="1182"/>
      <c r="GL220" s="1181">
        <f>(GL216-GL184)/GL216</f>
        <v>0.636579976202617</v>
      </c>
      <c r="GM220" s="1181"/>
      <c r="GN220" s="1181"/>
      <c r="GO220" s="1181"/>
      <c r="GP220" s="1181"/>
      <c r="GQ220" s="1181"/>
      <c r="GR220" s="1181"/>
      <c r="GS220" s="1182"/>
      <c r="GT220" s="1181"/>
      <c r="GU220" s="1181"/>
      <c r="GV220" s="1181"/>
      <c r="GW220" s="1181"/>
      <c r="GX220" s="1181"/>
      <c r="GY220" s="1181"/>
      <c r="GZ220" s="1181"/>
      <c r="HA220" s="1182"/>
      <c r="HB220" s="1181"/>
      <c r="HC220" s="1181"/>
      <c r="HD220" s="1181"/>
      <c r="HE220" s="1181"/>
      <c r="HF220" s="1181"/>
      <c r="HG220" s="1181"/>
      <c r="HH220" s="1181"/>
      <c r="HI220" s="1182"/>
      <c r="HJ220" s="1181"/>
      <c r="HK220" s="1181"/>
      <c r="HL220" s="1181"/>
      <c r="HM220" s="1181"/>
      <c r="HN220" s="1181"/>
      <c r="HO220" s="1181"/>
      <c r="HP220" s="1181"/>
      <c r="HQ220" s="1182"/>
      <c r="HR220" s="1276"/>
      <c r="HS220" s="1276"/>
      <c r="HT220" s="1181"/>
      <c r="HU220" s="1276"/>
      <c r="HV220" s="1181"/>
      <c r="HW220" s="1276"/>
      <c r="HX220" s="1181"/>
      <c r="HY220" s="1276"/>
      <c r="HZ220" s="1181"/>
      <c r="IA220" s="1181"/>
      <c r="IB220" s="1181"/>
      <c r="IC220" s="1276"/>
      <c r="ID220" s="1094"/>
      <c r="IE220" s="1276"/>
      <c r="IF220" s="1094"/>
      <c r="IG220" s="1182"/>
      <c r="IH220" s="1181"/>
      <c r="II220" s="1181"/>
      <c r="IJ220" s="1181"/>
      <c r="IK220" s="1181"/>
      <c r="IL220" s="1181"/>
      <c r="IM220" s="1181"/>
      <c r="IN220" s="1181"/>
      <c r="IO220" s="1182"/>
      <c r="IP220" s="1181"/>
      <c r="IQ220" s="1181"/>
      <c r="IR220" s="1181"/>
      <c r="IS220" s="1181"/>
      <c r="IT220" s="1181"/>
      <c r="IU220" s="1181"/>
      <c r="IV220" s="1181"/>
      <c r="IW220" s="1181"/>
      <c r="IX220" s="1104"/>
      <c r="IY220" s="1049"/>
      <c r="IZ220" s="1049"/>
      <c r="JA220" s="1049"/>
      <c r="JB220" s="1049"/>
      <c r="JC220" s="1082"/>
      <c r="JD220" s="1041"/>
      <c r="JE220" s="1037"/>
      <c r="JF220" s="1037"/>
      <c r="JG220" s="1037"/>
      <c r="JH220" s="1037"/>
      <c r="JI220" s="1035"/>
      <c r="JJ220" s="1035"/>
      <c r="JK220" s="1035"/>
      <c r="JL220" s="1035"/>
      <c r="JM220" s="1035"/>
      <c r="JN220" s="1035"/>
      <c r="JO220" s="1035"/>
      <c r="JP220" s="1035"/>
      <c r="JQ220" s="1094">
        <f>1*(1+FF219)*(1+FN219)*(1+FV219)-1</f>
        <v>0.535089515052138</v>
      </c>
      <c r="JR220" s="1094">
        <f>1*(1+FG219)*(1+FO219)*(1+FW219)-1</f>
        <v>0.510294583716226</v>
      </c>
      <c r="JS220" s="1094">
        <f>1*(1+FI219)*(1+FQ219)*(1+FY219)-1</f>
        <v>0.482578872665112</v>
      </c>
      <c r="JT220" s="1094">
        <f>1*(1+FK219)*(1+FS219)*(1+GA219)-1</f>
        <v>0.482944253254858</v>
      </c>
      <c r="JU220" s="1035"/>
      <c r="JV220" s="1035"/>
      <c r="JW220" s="1035"/>
      <c r="JX220" s="1035"/>
      <c r="JY220" s="1035"/>
      <c r="KB220" s="792">
        <f>KB219/KB$227</f>
        <v>0.00810014727540501</v>
      </c>
      <c r="KC220" s="792">
        <f>KC219/KC$227</f>
        <v>0.00204498977505112</v>
      </c>
      <c r="KP220" s="1117"/>
      <c r="LV220" s="967"/>
    </row>
    <row r="221" hidden="1" spans="1:334">
      <c r="A221" s="1051" t="s">
        <v>85</v>
      </c>
      <c r="B221" s="1197"/>
      <c r="C221" s="1197"/>
      <c r="D221" s="1197"/>
      <c r="E221" s="1197"/>
      <c r="F221" s="1197"/>
      <c r="G221" s="1197"/>
      <c r="H221" s="1197"/>
      <c r="I221" s="1197"/>
      <c r="J221" s="1197"/>
      <c r="K221" s="1197"/>
      <c r="L221" s="1197"/>
      <c r="M221" s="1197"/>
      <c r="N221" s="1197"/>
      <c r="O221" s="1197"/>
      <c r="P221" s="1197"/>
      <c r="Q221" s="1197"/>
      <c r="R221" s="1197"/>
      <c r="S221" s="1197"/>
      <c r="T221" s="1197"/>
      <c r="U221" s="1197"/>
      <c r="V221" s="1197"/>
      <c r="W221" s="1197"/>
      <c r="X221" s="1197"/>
      <c r="Y221" s="1197"/>
      <c r="Z221" s="1197"/>
      <c r="AA221" s="1197"/>
      <c r="AB221" s="1197"/>
      <c r="AC221" s="1197"/>
      <c r="AD221" s="1197"/>
      <c r="AE221" s="1197"/>
      <c r="AF221" s="1197"/>
      <c r="AG221" s="1197"/>
      <c r="AH221" s="1197"/>
      <c r="AI221" s="1197"/>
      <c r="AJ221" s="1197"/>
      <c r="AK221" s="1197"/>
      <c r="AL221" s="1197"/>
      <c r="AM221" s="1197"/>
      <c r="AN221" s="1197"/>
      <c r="AO221" s="1197"/>
      <c r="AP221" s="1197"/>
      <c r="AQ221" s="1197"/>
      <c r="AR221" s="1197"/>
      <c r="AS221" s="1197"/>
      <c r="AT221" s="1197"/>
      <c r="AU221" s="1197"/>
      <c r="AV221" s="1197"/>
      <c r="AW221" s="1197"/>
      <c r="AX221" s="1198"/>
      <c r="AY221" s="1197"/>
      <c r="AZ221" s="1197"/>
      <c r="BA221" s="1197"/>
      <c r="BB221" s="1197"/>
      <c r="BC221" s="1197"/>
      <c r="BD221" s="1197"/>
      <c r="BE221" s="1199"/>
      <c r="BF221" s="1197"/>
      <c r="BG221" s="1197"/>
      <c r="BH221" s="1197"/>
      <c r="BI221" s="1197"/>
      <c r="BJ221" s="1197"/>
      <c r="BK221" s="1197"/>
      <c r="BL221" s="1197"/>
      <c r="BM221" s="1197"/>
      <c r="BN221" s="1198"/>
      <c r="BO221" s="1197"/>
      <c r="BP221" s="1197"/>
      <c r="BQ221" s="1197"/>
      <c r="BR221" s="1197"/>
      <c r="BS221" s="1197"/>
      <c r="BT221" s="1197"/>
      <c r="BU221" s="1199"/>
      <c r="BV221" s="1198"/>
      <c r="BW221" s="1197"/>
      <c r="BX221" s="1197"/>
      <c r="BY221" s="1197"/>
      <c r="BZ221" s="1197"/>
      <c r="CA221" s="1197"/>
      <c r="CB221" s="1197"/>
      <c r="CC221" s="1199"/>
      <c r="CD221" s="1198"/>
      <c r="CE221" s="1197"/>
      <c r="CF221" s="1197"/>
      <c r="CG221" s="1197"/>
      <c r="CH221" s="1197"/>
      <c r="CI221" s="1197"/>
      <c r="CJ221" s="1197"/>
      <c r="CK221" s="1199"/>
      <c r="CL221" s="1198"/>
      <c r="CM221" s="1197"/>
      <c r="CN221" s="1197"/>
      <c r="CO221" s="1197"/>
      <c r="CP221" s="1197"/>
      <c r="CQ221" s="1197"/>
      <c r="CR221" s="1197"/>
      <c r="CS221" s="1199"/>
      <c r="CT221" s="1198"/>
      <c r="CU221" s="1197"/>
      <c r="CV221" s="1197"/>
      <c r="CW221" s="1197"/>
      <c r="CX221" s="1197"/>
      <c r="CY221" s="1197"/>
      <c r="CZ221" s="1197"/>
      <c r="DA221" s="1199"/>
      <c r="DB221" s="1200"/>
      <c r="DC221" s="1201"/>
      <c r="DD221" s="1201"/>
      <c r="DE221" s="1201"/>
      <c r="DF221" s="1201"/>
      <c r="DG221" s="1201"/>
      <c r="DH221" s="1201"/>
      <c r="DI221" s="1202"/>
      <c r="DJ221" s="1201"/>
      <c r="DK221" s="1201"/>
      <c r="DL221" s="1201"/>
      <c r="DM221" s="1201"/>
      <c r="DN221" s="1201"/>
      <c r="DO221" s="1201"/>
      <c r="DP221" s="1201"/>
      <c r="DQ221" s="1202"/>
      <c r="DR221" s="1201"/>
      <c r="DS221" s="1201"/>
      <c r="DT221" s="1201"/>
      <c r="DU221" s="1201"/>
      <c r="DV221" s="1201"/>
      <c r="DW221" s="1201"/>
      <c r="DX221" s="1201"/>
      <c r="DY221" s="1202"/>
      <c r="DZ221" s="1201"/>
      <c r="EA221" s="1201"/>
      <c r="EB221" s="1201"/>
      <c r="EC221" s="1201"/>
      <c r="ED221" s="1201"/>
      <c r="EE221" s="1201"/>
      <c r="EF221" s="1201"/>
      <c r="EG221" s="1202"/>
      <c r="EH221" s="1201"/>
      <c r="EI221" s="1201"/>
      <c r="EJ221" s="1201"/>
      <c r="EK221" s="1201"/>
      <c r="EL221" s="1201"/>
      <c r="EM221" s="1201"/>
      <c r="EN221" s="1201"/>
      <c r="EO221" s="1202"/>
      <c r="EP221" s="1047"/>
      <c r="EQ221" s="1047"/>
      <c r="ER221" s="1047"/>
      <c r="ES221" s="1047"/>
      <c r="ET221" s="1047"/>
      <c r="EU221" s="1047"/>
      <c r="EV221" s="1047"/>
      <c r="EW221" s="1048"/>
      <c r="EX221" s="1047"/>
      <c r="EY221" s="1047"/>
      <c r="EZ221" s="1047"/>
      <c r="FA221" s="1047"/>
      <c r="FB221" s="1047"/>
      <c r="FC221" s="1047"/>
      <c r="FD221" s="1047"/>
      <c r="FE221" s="1048"/>
      <c r="FF221" s="1047"/>
      <c r="FG221" s="1047"/>
      <c r="FH221" s="1047"/>
      <c r="FI221" s="1047"/>
      <c r="FJ221" s="1047"/>
      <c r="FK221" s="1047"/>
      <c r="FL221" s="1047"/>
      <c r="FM221" s="1048"/>
      <c r="FN221" s="1047"/>
      <c r="FO221" s="1047"/>
      <c r="FP221" s="1047"/>
      <c r="FQ221" s="1047"/>
      <c r="FR221" s="1047"/>
      <c r="FS221" s="1047"/>
      <c r="FT221" s="1047"/>
      <c r="FU221" s="1047"/>
      <c r="FV221" s="1055"/>
      <c r="FW221" s="1047"/>
      <c r="FX221" s="1047"/>
      <c r="FY221" s="1047"/>
      <c r="FZ221" s="1047"/>
      <c r="GA221" s="1047"/>
      <c r="GB221" s="1047"/>
      <c r="GC221" s="1048"/>
      <c r="GD221" s="1047"/>
      <c r="GE221" s="1047"/>
      <c r="GF221" s="1047"/>
      <c r="GG221" s="1047"/>
      <c r="GH221" s="1047"/>
      <c r="GI221" s="1047"/>
      <c r="GJ221" s="1047"/>
      <c r="GK221" s="1048"/>
      <c r="GL221" s="1047"/>
      <c r="GM221" s="1047"/>
      <c r="GN221" s="1047"/>
      <c r="GO221" s="1047"/>
      <c r="GP221" s="1047"/>
      <c r="GQ221" s="1047"/>
      <c r="GR221" s="1047"/>
      <c r="GS221" s="1048"/>
      <c r="GT221" s="1047" t="s">
        <v>440</v>
      </c>
      <c r="GU221" s="1047" t="s">
        <v>441</v>
      </c>
      <c r="GV221" s="1047" t="s">
        <v>442</v>
      </c>
      <c r="GW221" s="1047" t="s">
        <v>443</v>
      </c>
      <c r="GX221" s="1047" t="s">
        <v>532</v>
      </c>
      <c r="GY221" s="1047" t="s">
        <v>445</v>
      </c>
      <c r="GZ221" s="1047" t="s">
        <v>543</v>
      </c>
      <c r="HA221" s="1048" t="s">
        <v>447</v>
      </c>
      <c r="HB221" s="1047" t="s">
        <v>448</v>
      </c>
      <c r="HC221" s="1047" t="s">
        <v>554</v>
      </c>
      <c r="HD221" s="1047" t="s">
        <v>555</v>
      </c>
      <c r="HE221" s="1047" t="s">
        <v>556</v>
      </c>
      <c r="HF221" s="1047" t="s">
        <v>532</v>
      </c>
      <c r="HG221" s="1047" t="s">
        <v>557</v>
      </c>
      <c r="HH221" s="1047" t="s">
        <v>543</v>
      </c>
      <c r="HI221" s="1048" t="s">
        <v>558</v>
      </c>
      <c r="HJ221" s="1047"/>
      <c r="HK221" s="1047"/>
      <c r="HL221" s="1047"/>
      <c r="HM221" s="1047"/>
      <c r="HN221" s="1047"/>
      <c r="HO221" s="1047"/>
      <c r="HP221" s="1047"/>
      <c r="HQ221" s="1048"/>
      <c r="HR221" s="1047"/>
      <c r="HS221" s="1047"/>
      <c r="HT221" s="1047"/>
      <c r="HU221" s="1047"/>
      <c r="HV221" s="1047"/>
      <c r="HW221" s="1047"/>
      <c r="HX221" s="1047"/>
      <c r="HY221" s="1047"/>
      <c r="HZ221" s="1047"/>
      <c r="IA221" s="1047"/>
      <c r="IB221" s="1047"/>
      <c r="IC221" s="1047"/>
      <c r="ID221" s="1047"/>
      <c r="IE221" s="1047"/>
      <c r="IF221" s="1047"/>
      <c r="IG221" s="1048"/>
      <c r="IH221" s="1047"/>
      <c r="II221" s="1047"/>
      <c r="IJ221" s="1047"/>
      <c r="IK221" s="1047"/>
      <c r="IL221" s="1047"/>
      <c r="IM221" s="1047"/>
      <c r="IN221" s="1047"/>
      <c r="IO221" s="1048"/>
      <c r="IP221" s="1047"/>
      <c r="IQ221" s="1047"/>
      <c r="IR221" s="1047"/>
      <c r="IS221" s="1047"/>
      <c r="IT221" s="1047"/>
      <c r="IU221" s="1047"/>
      <c r="IV221" s="1047"/>
      <c r="IW221" s="1047"/>
      <c r="IX221" s="1049"/>
      <c r="IY221" s="1049"/>
      <c r="IZ221" s="1049"/>
      <c r="JA221" s="1049"/>
      <c r="JB221" s="1049"/>
      <c r="JC221" s="1049"/>
      <c r="JD221" s="1041"/>
      <c r="JE221" s="1037"/>
      <c r="JF221" s="1037"/>
      <c r="JG221" s="1037"/>
      <c r="JH221" s="1037"/>
      <c r="JI221" s="1035"/>
      <c r="JJ221" s="1035"/>
      <c r="JK221" s="1035"/>
      <c r="JL221" s="1035"/>
      <c r="JM221" s="1035"/>
      <c r="JN221" s="1035"/>
      <c r="JO221" s="1035"/>
      <c r="JP221" s="1035"/>
      <c r="JQ221" s="1035"/>
      <c r="JR221" s="1035"/>
      <c r="JS221" s="1035"/>
      <c r="JT221" s="1035"/>
      <c r="JU221" s="1035"/>
      <c r="JV221" s="1035"/>
      <c r="JW221" s="1035"/>
      <c r="JX221" s="1035"/>
      <c r="JY221" s="1035"/>
      <c r="JZ221" s="1035" t="s">
        <v>559</v>
      </c>
      <c r="KB221" s="1250">
        <v>10</v>
      </c>
      <c r="KC221" s="1250">
        <v>11</v>
      </c>
      <c r="KD221" s="1049"/>
      <c r="KE221" s="1049"/>
      <c r="KF221" s="1049"/>
      <c r="KG221" s="1277"/>
      <c r="KH221" s="1277"/>
      <c r="KI221" s="1037"/>
    </row>
    <row r="222" hidden="1" spans="1:334">
      <c r="A222" s="1103" t="s">
        <v>112</v>
      </c>
      <c r="AX222" s="1059"/>
      <c r="BE222" s="1060"/>
      <c r="BN222" s="1059"/>
      <c r="BU222" s="1060"/>
      <c r="BV222" s="1059"/>
      <c r="CC222" s="1060"/>
      <c r="CD222" s="1059"/>
      <c r="CJ222" s="1061"/>
      <c r="CK222" s="1060"/>
      <c r="CL222" s="1059"/>
      <c r="CS222" s="1060"/>
      <c r="CT222" s="1059"/>
      <c r="CW222" s="1062"/>
      <c r="CX222" s="1062"/>
      <c r="DE222" s="1064"/>
      <c r="DF222" s="1064"/>
      <c r="DM222" s="1064"/>
      <c r="DN222" s="1064"/>
      <c r="DU222" s="1064"/>
      <c r="DV222" s="1064"/>
      <c r="EC222" s="1064"/>
      <c r="ED222" s="1064"/>
      <c r="EH222" s="1181"/>
      <c r="EI222" s="1181"/>
      <c r="EJ222" s="1181"/>
      <c r="EK222" s="1181"/>
      <c r="EL222" s="1181"/>
      <c r="EM222" s="1181"/>
      <c r="EN222" s="1181"/>
      <c r="EO222" s="1182"/>
      <c r="EP222" s="1181"/>
      <c r="EQ222" s="1181"/>
      <c r="ER222" s="1181"/>
      <c r="ES222" s="1181"/>
      <c r="ET222" s="1181"/>
      <c r="EU222" s="1181"/>
      <c r="EV222" s="1181"/>
      <c r="EW222" s="1182"/>
      <c r="EX222" s="1071">
        <f>EX169</f>
        <v>1011</v>
      </c>
      <c r="EY222" s="1071">
        <f>EY169</f>
        <v>837</v>
      </c>
      <c r="EZ222" s="1071">
        <f>EX222+EY222</f>
        <v>1848</v>
      </c>
      <c r="FA222" s="1071">
        <f>FA169</f>
        <v>1169</v>
      </c>
      <c r="FB222" s="1071">
        <f>EX222+EY222+FA222</f>
        <v>3017</v>
      </c>
      <c r="FC222" s="1071">
        <f>FC169</f>
        <v>776</v>
      </c>
      <c r="FD222" s="1071">
        <f>FA222+FC222</f>
        <v>1945</v>
      </c>
      <c r="FE222" s="1072">
        <f>EX222+EY222+FA222+FC222</f>
        <v>3793</v>
      </c>
      <c r="FF222" s="1071">
        <f>FF169</f>
        <v>1143</v>
      </c>
      <c r="FG222" s="1071">
        <f>FG169</f>
        <v>961</v>
      </c>
      <c r="FH222" s="1071">
        <f>FF222+FG222</f>
        <v>2104</v>
      </c>
      <c r="FI222" s="1071">
        <f>FI169</f>
        <v>1404</v>
      </c>
      <c r="FJ222" s="1071">
        <f>FF222+FG222+FI222</f>
        <v>3508</v>
      </c>
      <c r="FK222" s="1071">
        <f>FK169</f>
        <v>1031</v>
      </c>
      <c r="FL222" s="1071">
        <f>FI222+FK222</f>
        <v>2435</v>
      </c>
      <c r="FM222" s="1072">
        <f>FM169</f>
        <v>4539</v>
      </c>
      <c r="FN222" s="1071">
        <f>FN169</f>
        <v>1414</v>
      </c>
      <c r="FO222" s="1071">
        <f>FO169</f>
        <v>1214</v>
      </c>
      <c r="FP222" s="1071">
        <f>FN222+FO222</f>
        <v>2628</v>
      </c>
      <c r="FQ222" s="1071">
        <f>FQ169</f>
        <v>1557</v>
      </c>
      <c r="FR222" s="1071">
        <f>FN222+FO222+FQ222</f>
        <v>4185</v>
      </c>
      <c r="FS222" s="1071">
        <f>FS169</f>
        <v>1106</v>
      </c>
      <c r="FT222" s="1071">
        <f>FQ222+FS222</f>
        <v>2663</v>
      </c>
      <c r="FU222" s="1071">
        <f>FU169</f>
        <v>5291</v>
      </c>
      <c r="FV222" s="1177">
        <f>FV169</f>
        <v>1523</v>
      </c>
      <c r="FW222" s="1071">
        <f>FW169</f>
        <v>1421</v>
      </c>
      <c r="FX222" s="1071">
        <f>FV222+FW222</f>
        <v>2944</v>
      </c>
      <c r="FY222" s="1071">
        <f>FY169</f>
        <v>1656</v>
      </c>
      <c r="FZ222" s="1071">
        <f>FV222+FW222+FY222</f>
        <v>4600</v>
      </c>
      <c r="GA222" s="1071">
        <f>GA169</f>
        <v>1283</v>
      </c>
      <c r="GB222" s="1071">
        <f>FY222+GA222</f>
        <v>2939</v>
      </c>
      <c r="GC222" s="1072">
        <f>GC169</f>
        <v>5883</v>
      </c>
      <c r="GD222" s="1177">
        <f>GD169</f>
        <v>1603</v>
      </c>
      <c r="GE222" s="1071">
        <f>GE169</f>
        <v>1420</v>
      </c>
      <c r="GF222" s="1071">
        <f>GD222+GE222</f>
        <v>3023</v>
      </c>
      <c r="GG222" s="1071">
        <f>GG169</f>
        <v>1645</v>
      </c>
      <c r="GH222" s="1071">
        <f>GD222+GE222+GG222</f>
        <v>4668</v>
      </c>
      <c r="GI222" s="1071">
        <f>GI169</f>
        <v>1216</v>
      </c>
      <c r="GJ222" s="1071">
        <f>GG222+GI222</f>
        <v>2861</v>
      </c>
      <c r="GK222" s="1072">
        <f>GK169</f>
        <v>5884</v>
      </c>
      <c r="GL222" s="1071">
        <f>GL169</f>
        <v>1551</v>
      </c>
      <c r="GM222" s="1071">
        <f>GM169</f>
        <v>1421.42</v>
      </c>
      <c r="GN222" s="1071">
        <f>GL222+GM222</f>
        <v>2972.42</v>
      </c>
      <c r="GO222" s="1071">
        <f>GO169</f>
        <v>1698</v>
      </c>
      <c r="GP222" s="1071">
        <f>GL222+GM222+GO222</f>
        <v>4670.42</v>
      </c>
      <c r="GQ222" s="1071">
        <f>GQ169</f>
        <v>1401</v>
      </c>
      <c r="GR222" s="1071">
        <f>GO222+GQ222</f>
        <v>3099</v>
      </c>
      <c r="GS222" s="1072">
        <f>GS169</f>
        <v>6071.42</v>
      </c>
      <c r="GT222" s="1071">
        <f>GT169</f>
        <v>1426</v>
      </c>
      <c r="GU222" s="1071">
        <f>GU169</f>
        <v>844</v>
      </c>
      <c r="GV222" s="1071">
        <f>GT222+GU222</f>
        <v>2270</v>
      </c>
      <c r="GW222" s="1071">
        <f>GW169</f>
        <v>1753.185</v>
      </c>
      <c r="GX222" s="1071">
        <f>GT222+GU222+GW222</f>
        <v>4023.185</v>
      </c>
      <c r="GY222" s="1071">
        <f>GY169</f>
        <v>1296.815</v>
      </c>
      <c r="GZ222" s="1071">
        <f>GW222+GY222</f>
        <v>3050</v>
      </c>
      <c r="HA222" s="1072">
        <f>HA169</f>
        <v>5320</v>
      </c>
      <c r="HB222" s="1071"/>
      <c r="HC222" s="1071"/>
      <c r="HD222" s="1071"/>
      <c r="HE222" s="1071"/>
      <c r="HF222" s="1071"/>
      <c r="HG222" s="1071"/>
      <c r="HH222" s="1071"/>
      <c r="HI222" s="1072"/>
      <c r="HJ222" s="1071"/>
      <c r="HK222" s="1071"/>
      <c r="HL222" s="1071"/>
      <c r="HM222" s="1071"/>
      <c r="HN222" s="1071"/>
      <c r="HO222" s="1071"/>
      <c r="HP222" s="1071"/>
      <c r="HQ222" s="1072"/>
      <c r="HR222" s="1071"/>
      <c r="HS222" s="1071"/>
      <c r="HT222" s="1071"/>
      <c r="HU222" s="1071"/>
      <c r="HV222" s="1071"/>
      <c r="HW222" s="1071"/>
      <c r="HX222" s="1071"/>
      <c r="HY222" s="1071"/>
      <c r="HZ222" s="1071"/>
      <c r="IA222" s="1071"/>
      <c r="IB222" s="1071"/>
      <c r="IC222" s="1071"/>
      <c r="ID222" s="1071"/>
      <c r="IE222" s="1071"/>
      <c r="IF222" s="1071"/>
      <c r="IG222" s="1072"/>
      <c r="IH222" s="1071"/>
      <c r="II222" s="1071"/>
      <c r="IJ222" s="1071"/>
      <c r="IK222" s="1071"/>
      <c r="IL222" s="1071"/>
      <c r="IM222" s="1071"/>
      <c r="IN222" s="1071"/>
      <c r="IO222" s="1072"/>
      <c r="IP222" s="1071"/>
      <c r="IQ222" s="1071"/>
      <c r="IR222" s="1071"/>
      <c r="IS222" s="1071"/>
      <c r="IT222" s="1071"/>
      <c r="IU222" s="1071"/>
      <c r="IV222" s="1071"/>
      <c r="IW222" s="1071"/>
      <c r="IX222" s="1104"/>
      <c r="IY222" s="1049"/>
      <c r="IZ222" s="1049"/>
      <c r="JA222" s="1049"/>
      <c r="JB222" s="1049"/>
      <c r="JC222" s="1049"/>
      <c r="JD222" s="1041"/>
      <c r="JE222" s="1037"/>
      <c r="JF222" s="1037"/>
      <c r="JG222" s="1037"/>
      <c r="JH222" s="1037"/>
      <c r="JI222" s="1035"/>
      <c r="JJ222" s="1035"/>
      <c r="JK222" s="1035"/>
      <c r="JL222" s="1035"/>
      <c r="JM222" s="1035"/>
      <c r="JN222" s="1035"/>
      <c r="JO222" s="1035"/>
      <c r="JP222" s="1035"/>
      <c r="JQ222" s="1035"/>
      <c r="JR222" s="1035"/>
      <c r="JS222" s="1035"/>
      <c r="JT222" s="1035"/>
      <c r="JU222" s="1035"/>
      <c r="JV222" s="1035"/>
      <c r="JW222" s="1035"/>
      <c r="JX222" s="1035"/>
      <c r="JY222" s="1035"/>
      <c r="KB222" s="792">
        <f>KB221/KB$227</f>
        <v>0.00736377025036819</v>
      </c>
      <c r="KC222" s="792">
        <f>KC221/KC$227</f>
        <v>0.00749829584185412</v>
      </c>
      <c r="KP222" s="1117"/>
      <c r="LV222" s="967"/>
    </row>
    <row r="223" hidden="1" spans="1:334">
      <c r="A223" s="967" t="s">
        <v>80</v>
      </c>
      <c r="AX223" s="1059"/>
      <c r="BE223" s="1060"/>
      <c r="BN223" s="1059"/>
      <c r="BU223" s="1060"/>
      <c r="BV223" s="1059"/>
      <c r="CC223" s="1060"/>
      <c r="CD223" s="1059"/>
      <c r="CJ223" s="1061"/>
      <c r="CK223" s="1060"/>
      <c r="CL223" s="1059"/>
      <c r="CS223" s="1060"/>
      <c r="CT223" s="1059"/>
      <c r="CW223" s="1062"/>
      <c r="CX223" s="1062"/>
      <c r="DE223" s="1064"/>
      <c r="DF223" s="1064"/>
      <c r="DM223" s="1064"/>
      <c r="DN223" s="1064"/>
      <c r="DU223" s="1064"/>
      <c r="DV223" s="1064"/>
      <c r="EC223" s="1064"/>
      <c r="ED223" s="1064"/>
      <c r="EH223" s="1181"/>
      <c r="EI223" s="1181"/>
      <c r="EJ223" s="1181"/>
      <c r="EK223" s="1181"/>
      <c r="EL223" s="1181"/>
      <c r="EM223" s="1181"/>
      <c r="EN223" s="1181"/>
      <c r="EO223" s="1182"/>
      <c r="EP223" s="1181"/>
      <c r="EQ223" s="1181"/>
      <c r="ER223" s="1181"/>
      <c r="ES223" s="1181"/>
      <c r="ET223" s="1181"/>
      <c r="EU223" s="1181"/>
      <c r="EV223" s="1181"/>
      <c r="EW223" s="1182"/>
      <c r="EX223" s="1148">
        <v>921</v>
      </c>
      <c r="EY223" s="1148">
        <v>777</v>
      </c>
      <c r="EZ223" s="1148">
        <f>EX223+EY223</f>
        <v>1698</v>
      </c>
      <c r="FA223" s="1148">
        <v>1070</v>
      </c>
      <c r="FB223" s="1148">
        <f>EX223+EY223+FA223</f>
        <v>2768</v>
      </c>
      <c r="FC223" s="1148">
        <v>717</v>
      </c>
      <c r="FD223" s="1148">
        <f>FA223+FC223</f>
        <v>1787</v>
      </c>
      <c r="FE223" s="1149">
        <f>EX223+EY223+FA223+FC223</f>
        <v>3485</v>
      </c>
      <c r="FF223" s="1148">
        <v>1038</v>
      </c>
      <c r="FG223" s="1148">
        <f>FH223-FF223</f>
        <v>893</v>
      </c>
      <c r="FH223" s="1148">
        <v>1931</v>
      </c>
      <c r="FI223" s="1148">
        <f>FJ223-FH223</f>
        <v>1299</v>
      </c>
      <c r="FJ223" s="1148">
        <v>3230</v>
      </c>
      <c r="FK223" s="1148">
        <f>FM223-FJ223</f>
        <v>963</v>
      </c>
      <c r="FL223" s="1148">
        <f>FI223+FK223</f>
        <v>2262</v>
      </c>
      <c r="FM223" s="1149">
        <v>4193</v>
      </c>
      <c r="FN223" s="1148">
        <v>1294</v>
      </c>
      <c r="FO223" s="1148">
        <f>FP223-FN223</f>
        <v>1133</v>
      </c>
      <c r="FP223" s="1148">
        <v>2427</v>
      </c>
      <c r="FQ223" s="1148">
        <f>FR223-FP223</f>
        <v>1438</v>
      </c>
      <c r="FR223" s="1148">
        <v>3865</v>
      </c>
      <c r="FS223" s="1148">
        <f>FU223-FR223</f>
        <v>1024</v>
      </c>
      <c r="FT223" s="1148">
        <f>FQ223+FS223</f>
        <v>2462</v>
      </c>
      <c r="FU223" s="1148">
        <v>4889</v>
      </c>
      <c r="FV223" s="1278">
        <v>1374</v>
      </c>
      <c r="FW223" s="1148">
        <v>1315</v>
      </c>
      <c r="FX223" s="1279">
        <f>FV223+FW223</f>
        <v>2689</v>
      </c>
      <c r="FY223" s="1148">
        <f>FZ223-FX223</f>
        <v>1512</v>
      </c>
      <c r="FZ223" s="1148">
        <v>4201</v>
      </c>
      <c r="GA223" s="1148">
        <f>GC223-FZ223</f>
        <v>1187</v>
      </c>
      <c r="GB223" s="1148">
        <f>FY223+GA223</f>
        <v>2699</v>
      </c>
      <c r="GC223" s="1149">
        <v>5388</v>
      </c>
      <c r="GD223" s="1278">
        <v>1452</v>
      </c>
      <c r="GE223" s="1148">
        <v>1324</v>
      </c>
      <c r="GF223" s="1279">
        <f>GD223+GE223</f>
        <v>2776</v>
      </c>
      <c r="GG223" s="1148">
        <v>1508</v>
      </c>
      <c r="GH223" s="1148">
        <f>GG223+GF223</f>
        <v>4284</v>
      </c>
      <c r="GI223" s="1148">
        <f>GK223-GH223</f>
        <v>1121</v>
      </c>
      <c r="GJ223" s="1148">
        <f>GG223+GI223</f>
        <v>2629</v>
      </c>
      <c r="GK223" s="1149">
        <v>5405</v>
      </c>
      <c r="GL223" s="1279">
        <v>1410</v>
      </c>
      <c r="GM223" s="1148">
        <v>1322</v>
      </c>
      <c r="GN223" s="1279">
        <f>GL223+GM223</f>
        <v>2732</v>
      </c>
      <c r="GO223" s="1148">
        <v>1572</v>
      </c>
      <c r="GP223" s="1148">
        <f>GO223+GN223</f>
        <v>4304</v>
      </c>
      <c r="GQ223" s="1148">
        <f>GS223-GP223</f>
        <v>1295</v>
      </c>
      <c r="GR223" s="1148">
        <f>GO223+GQ223</f>
        <v>2867</v>
      </c>
      <c r="GS223" s="1149">
        <v>5599</v>
      </c>
      <c r="GT223" s="1279">
        <v>1307</v>
      </c>
      <c r="GU223" s="1148">
        <v>779</v>
      </c>
      <c r="GV223" s="1279">
        <f>GT223+GU223</f>
        <v>2086</v>
      </c>
      <c r="GW223" s="1148">
        <v>1640</v>
      </c>
      <c r="GX223" s="1148">
        <f>GW223+GV223</f>
        <v>3726</v>
      </c>
      <c r="GY223" s="1148">
        <f>HA223-GX223</f>
        <v>1199</v>
      </c>
      <c r="GZ223" s="1148">
        <f>GW223+GY223</f>
        <v>2839</v>
      </c>
      <c r="HA223" s="1149">
        <v>4925</v>
      </c>
      <c r="HB223" s="1279"/>
      <c r="HC223" s="1148"/>
      <c r="HD223" s="1148"/>
      <c r="HE223" s="1148"/>
      <c r="HF223" s="1148"/>
      <c r="HG223" s="1148"/>
      <c r="HH223" s="1148"/>
      <c r="HI223" s="1149"/>
      <c r="HJ223" s="1148"/>
      <c r="HK223" s="1148"/>
      <c r="HL223" s="1148"/>
      <c r="HM223" s="1148"/>
      <c r="HN223" s="1148"/>
      <c r="HO223" s="1148"/>
      <c r="HP223" s="1148"/>
      <c r="HQ223" s="1149"/>
      <c r="HR223" s="1148"/>
      <c r="HS223" s="1148"/>
      <c r="HT223" s="1148"/>
      <c r="HU223" s="1148"/>
      <c r="HV223" s="1148"/>
      <c r="HW223" s="1148"/>
      <c r="HX223" s="1148"/>
      <c r="HY223" s="1148"/>
      <c r="HZ223" s="1148"/>
      <c r="IA223" s="1148"/>
      <c r="IB223" s="1148"/>
      <c r="IC223" s="1148"/>
      <c r="ID223" s="1148"/>
      <c r="IE223" s="1148"/>
      <c r="IF223" s="1148"/>
      <c r="IG223" s="1149"/>
      <c r="IH223" s="1148"/>
      <c r="II223" s="1148"/>
      <c r="IJ223" s="1148"/>
      <c r="IK223" s="1148"/>
      <c r="IL223" s="1148"/>
      <c r="IM223" s="1148"/>
      <c r="IN223" s="1148"/>
      <c r="IO223" s="1149"/>
      <c r="IP223" s="1148"/>
      <c r="IQ223" s="1148"/>
      <c r="IR223" s="1148"/>
      <c r="IS223" s="1148"/>
      <c r="IT223" s="1148"/>
      <c r="IU223" s="1148"/>
      <c r="IV223" s="1148"/>
      <c r="IW223" s="1148"/>
      <c r="IX223" s="1104"/>
      <c r="IY223" s="1049"/>
      <c r="IZ223" s="1049"/>
      <c r="JA223" s="1049"/>
      <c r="JB223" s="1049"/>
      <c r="JC223" s="1049"/>
      <c r="JD223" s="1041"/>
      <c r="JE223" s="1037"/>
      <c r="JF223" s="1037"/>
      <c r="JG223" s="1037"/>
      <c r="JH223" s="1037"/>
      <c r="JI223" s="1035"/>
      <c r="JJ223" s="1035"/>
      <c r="JK223" s="1035"/>
      <c r="JL223" s="1035"/>
      <c r="JM223" s="1035"/>
      <c r="JN223" s="1035"/>
      <c r="JO223" s="1035"/>
      <c r="JP223" s="1035"/>
      <c r="JQ223" s="1035"/>
      <c r="JR223" s="1035"/>
      <c r="JS223" s="1035"/>
      <c r="JT223" s="1035"/>
      <c r="JU223" s="1035"/>
      <c r="JV223" s="1035"/>
      <c r="JW223" s="1035"/>
      <c r="JX223" s="1035"/>
      <c r="JY223" s="1035"/>
      <c r="JZ223" s="1035" t="s">
        <v>104</v>
      </c>
      <c r="KB223" s="1250">
        <v>148</v>
      </c>
      <c r="KC223" s="1250">
        <v>156</v>
      </c>
      <c r="KP223" s="1117"/>
      <c r="LV223" s="967"/>
    </row>
    <row r="224" hidden="1" spans="1:334">
      <c r="A224" s="967" t="s">
        <v>113</v>
      </c>
      <c r="AX224" s="1059"/>
      <c r="BE224" s="1060"/>
      <c r="BN224" s="1059"/>
      <c r="BU224" s="1060"/>
      <c r="BV224" s="1059"/>
      <c r="CC224" s="1060"/>
      <c r="CD224" s="1059"/>
      <c r="CJ224" s="1061"/>
      <c r="CK224" s="1060"/>
      <c r="CL224" s="1059"/>
      <c r="CS224" s="1060"/>
      <c r="CT224" s="1059"/>
      <c r="CW224" s="1062"/>
      <c r="CX224" s="1062"/>
      <c r="DE224" s="1064"/>
      <c r="DF224" s="1064"/>
      <c r="DM224" s="1064"/>
      <c r="DN224" s="1064"/>
      <c r="DU224" s="1064"/>
      <c r="DV224" s="1064"/>
      <c r="EC224" s="1064"/>
      <c r="ED224" s="1064"/>
      <c r="EH224" s="1181"/>
      <c r="EI224" s="1181"/>
      <c r="EJ224" s="1181"/>
      <c r="EK224" s="1181"/>
      <c r="EL224" s="1181"/>
      <c r="EM224" s="1181"/>
      <c r="EN224" s="1181"/>
      <c r="EO224" s="1182"/>
      <c r="EP224" s="1181"/>
      <c r="EQ224" s="1181"/>
      <c r="ER224" s="1181"/>
      <c r="ES224" s="1181"/>
      <c r="ET224" s="1181"/>
      <c r="EU224" s="1181"/>
      <c r="EV224" s="1181"/>
      <c r="EW224" s="1182"/>
      <c r="EX224" s="1181"/>
      <c r="EY224" s="1181"/>
      <c r="EZ224" s="1181"/>
      <c r="FA224" s="1181"/>
      <c r="FB224" s="1181"/>
      <c r="FC224" s="1181"/>
      <c r="FD224" s="1181"/>
      <c r="FE224" s="1182"/>
      <c r="FF224" s="1181">
        <f>FF223/EX223-1</f>
        <v>0.127035830618893</v>
      </c>
      <c r="FG224" s="1181">
        <f t="shared" ref="FG224:FM224" si="1215">FG223/EY223-1</f>
        <v>0.149292149292149</v>
      </c>
      <c r="FH224" s="1181">
        <f t="shared" si="1215"/>
        <v>0.137220259128386</v>
      </c>
      <c r="FI224" s="1181">
        <f t="shared" si="1215"/>
        <v>0.214018691588785</v>
      </c>
      <c r="FJ224" s="1181">
        <f t="shared" si="1215"/>
        <v>0.166907514450867</v>
      </c>
      <c r="FK224" s="1181">
        <f t="shared" si="1215"/>
        <v>0.343096234309623</v>
      </c>
      <c r="FL224" s="1181">
        <f t="shared" si="1215"/>
        <v>0.265808617795187</v>
      </c>
      <c r="FM224" s="1182">
        <f t="shared" si="1215"/>
        <v>0.203156384505021</v>
      </c>
      <c r="FN224" s="1181">
        <f t="shared" ref="FN224:FX224" si="1216">FN223/FF223-1</f>
        <v>0.246628131021195</v>
      </c>
      <c r="FO224" s="1181">
        <f t="shared" si="1216"/>
        <v>0.268756998880179</v>
      </c>
      <c r="FP224" s="1181">
        <f t="shared" si="1216"/>
        <v>0.256861729673744</v>
      </c>
      <c r="FQ224" s="1181">
        <f t="shared" si="1216"/>
        <v>0.107005388760585</v>
      </c>
      <c r="FR224" s="1181">
        <f t="shared" si="1216"/>
        <v>0.196594427244582</v>
      </c>
      <c r="FS224" s="1181">
        <f t="shared" si="1216"/>
        <v>0.063343717549325</v>
      </c>
      <c r="FT224" s="1181">
        <f t="shared" si="1216"/>
        <v>0.0884173297966402</v>
      </c>
      <c r="FU224" s="1181">
        <f t="shared" si="1216"/>
        <v>0.165990937276413</v>
      </c>
      <c r="FV224" s="1220">
        <f t="shared" si="1216"/>
        <v>0.0618238021638331</v>
      </c>
      <c r="FW224" s="1181">
        <f t="shared" si="1216"/>
        <v>0.160635481023831</v>
      </c>
      <c r="FX224" s="1181">
        <f t="shared" si="1216"/>
        <v>0.107952204367532</v>
      </c>
      <c r="FY224" s="1181">
        <f t="shared" ref="FY224" si="1217">FY223/FQ223-1</f>
        <v>0.0514603616133518</v>
      </c>
      <c r="FZ224" s="1181">
        <f t="shared" ref="FZ224" si="1218">FZ223/FR223-1</f>
        <v>0.0869340232858991</v>
      </c>
      <c r="GA224" s="1181">
        <f t="shared" ref="GA224" si="1219">GA223/FS223-1</f>
        <v>0.1591796875</v>
      </c>
      <c r="GB224" s="1181">
        <f t="shared" ref="GB224" si="1220">GB223/FT223-1</f>
        <v>0.0962632006498783</v>
      </c>
      <c r="GC224" s="1182">
        <f t="shared" ref="GC224" si="1221">GC223/FU223-1</f>
        <v>0.102065862139497</v>
      </c>
      <c r="GD224" s="1220">
        <v>0.05</v>
      </c>
      <c r="GE224" s="1181">
        <f>GE223/FW223-1</f>
        <v>0.00684410646387823</v>
      </c>
      <c r="GF224" s="1181">
        <f>GF223/FX223-1</f>
        <v>0.0323540349572331</v>
      </c>
      <c r="GG224" s="1181">
        <v>-0.01</v>
      </c>
      <c r="GH224" s="1181">
        <f>GH223/FZ223-1</f>
        <v>0.0197572006665079</v>
      </c>
      <c r="GI224" s="1181">
        <f t="shared" ref="GI224" si="1222">GI223/GA223-1</f>
        <v>-0.0556023588879528</v>
      </c>
      <c r="GJ224" s="1181">
        <f t="shared" ref="GJ224" si="1223">GJ223/GB223-1</f>
        <v>-0.0259355316783995</v>
      </c>
      <c r="GK224" s="1182">
        <f t="shared" ref="GK224:GP224" si="1224">GK223/GC223-1</f>
        <v>0.00315515961395696</v>
      </c>
      <c r="GL224" s="1181">
        <f t="shared" si="1224"/>
        <v>-0.0289256198347108</v>
      </c>
      <c r="GM224" s="1181">
        <f t="shared" si="1224"/>
        <v>-0.00151057401812693</v>
      </c>
      <c r="GN224" s="1181">
        <f t="shared" si="1224"/>
        <v>-0.015850144092219</v>
      </c>
      <c r="GO224" s="1181">
        <f t="shared" si="1224"/>
        <v>0.0424403183023874</v>
      </c>
      <c r="GP224" s="1181">
        <f t="shared" si="1224"/>
        <v>0.00466853408029877</v>
      </c>
      <c r="GQ224" s="1181">
        <f t="shared" ref="GQ224" si="1225">GQ223/GI223-1</f>
        <v>0.155218554861731</v>
      </c>
      <c r="GR224" s="1181">
        <f t="shared" ref="GR224" si="1226">GR223/GJ223-1</f>
        <v>0.0905287181437808</v>
      </c>
      <c r="GS224" s="1182">
        <f t="shared" ref="GS224:GX224" si="1227">GS223/GK223-1</f>
        <v>0.0358926919518965</v>
      </c>
      <c r="GT224" s="1181">
        <f t="shared" si="1227"/>
        <v>-0.073049645390071</v>
      </c>
      <c r="GU224" s="1181">
        <f t="shared" si="1227"/>
        <v>-0.410741301059002</v>
      </c>
      <c r="GV224" s="1181">
        <f t="shared" si="1227"/>
        <v>-0.236456808199122</v>
      </c>
      <c r="GW224" s="1181">
        <f t="shared" si="1227"/>
        <v>0.0432569974554708</v>
      </c>
      <c r="GX224" s="1181">
        <f t="shared" si="1227"/>
        <v>-0.134293680297398</v>
      </c>
      <c r="GY224" s="1181">
        <f t="shared" ref="GY224" si="1228">GY223/GQ223-1</f>
        <v>-0.0741312741312742</v>
      </c>
      <c r="GZ224" s="1181">
        <f t="shared" ref="GZ224" si="1229">GZ223/GR223-1</f>
        <v>-0.00976630624346009</v>
      </c>
      <c r="HA224" s="1182">
        <f t="shared" ref="HA224" si="1230">HA223/GS223-1</f>
        <v>-0.120378639042686</v>
      </c>
      <c r="HB224" s="1181"/>
      <c r="HC224" s="1181"/>
      <c r="HD224" s="1181"/>
      <c r="HE224" s="1181"/>
      <c r="HF224" s="1181"/>
      <c r="HG224" s="1181"/>
      <c r="HH224" s="1181"/>
      <c r="HI224" s="1182"/>
      <c r="HJ224" s="1181"/>
      <c r="HK224" s="1181"/>
      <c r="HL224" s="1181"/>
      <c r="HM224" s="1181"/>
      <c r="HN224" s="1181"/>
      <c r="HO224" s="1181"/>
      <c r="HP224" s="1181"/>
      <c r="HQ224" s="1182"/>
      <c r="HR224" s="1181"/>
      <c r="HS224" s="1181"/>
      <c r="HT224" s="1181"/>
      <c r="HU224" s="1181"/>
      <c r="HV224" s="1181"/>
      <c r="HW224" s="1181"/>
      <c r="HX224" s="1181"/>
      <c r="HY224" s="1181"/>
      <c r="HZ224" s="1181"/>
      <c r="IA224" s="1181"/>
      <c r="IB224" s="1181"/>
      <c r="IC224" s="1181"/>
      <c r="ID224" s="1181"/>
      <c r="IE224" s="1181"/>
      <c r="IF224" s="1181"/>
      <c r="IG224" s="1182"/>
      <c r="IH224" s="1181"/>
      <c r="II224" s="1181"/>
      <c r="IJ224" s="1181"/>
      <c r="IK224" s="1181"/>
      <c r="IL224" s="1181"/>
      <c r="IM224" s="1181"/>
      <c r="IN224" s="1181"/>
      <c r="IO224" s="1182"/>
      <c r="IP224" s="1181"/>
      <c r="IQ224" s="1181"/>
      <c r="IR224" s="1181"/>
      <c r="IS224" s="1181"/>
      <c r="IT224" s="1181"/>
      <c r="IU224" s="1181"/>
      <c r="IV224" s="1181"/>
      <c r="IW224" s="1181"/>
      <c r="IX224" s="1104"/>
      <c r="IY224" s="1049"/>
      <c r="IZ224" s="1049"/>
      <c r="JA224" s="1049"/>
      <c r="JB224" s="1049"/>
      <c r="JC224" s="1049"/>
      <c r="JD224" s="1041"/>
      <c r="JE224" s="1037"/>
      <c r="JF224" s="1037"/>
      <c r="JG224" s="1037"/>
      <c r="JH224" s="1037"/>
      <c r="JI224" s="1035"/>
      <c r="JJ224" s="1035"/>
      <c r="JK224" s="1035"/>
      <c r="JL224" s="1035"/>
      <c r="JM224" s="1035"/>
      <c r="JN224" s="1035"/>
      <c r="JO224" s="1035"/>
      <c r="JP224" s="1035"/>
      <c r="JQ224" s="1035"/>
      <c r="JR224" s="1035"/>
      <c r="JS224" s="1035"/>
      <c r="JT224" s="1035"/>
      <c r="JU224" s="1035"/>
      <c r="JV224" s="1035"/>
      <c r="JW224" s="1035"/>
      <c r="JX224" s="1035"/>
      <c r="JY224" s="1035"/>
      <c r="KB224" s="792">
        <f>KB223/KB$227</f>
        <v>0.108983799705449</v>
      </c>
      <c r="KC224" s="792">
        <f>KC223/KC$227</f>
        <v>0.106339468302658</v>
      </c>
      <c r="KP224" s="1117"/>
      <c r="LV224" s="967"/>
    </row>
    <row r="225" hidden="1" spans="1:334">
      <c r="A225" s="967" t="s">
        <v>100</v>
      </c>
      <c r="AX225" s="1059"/>
      <c r="BE225" s="1060"/>
      <c r="BN225" s="1059"/>
      <c r="BU225" s="1060"/>
      <c r="BV225" s="1059"/>
      <c r="CC225" s="1060"/>
      <c r="CD225" s="1059"/>
      <c r="CJ225" s="1061"/>
      <c r="CK225" s="1060"/>
      <c r="CL225" s="1059"/>
      <c r="CS225" s="1060"/>
      <c r="CT225" s="1059"/>
      <c r="CW225" s="1062"/>
      <c r="CX225" s="1062"/>
      <c r="DE225" s="1064"/>
      <c r="DF225" s="1064"/>
      <c r="DM225" s="1064"/>
      <c r="DN225" s="1064"/>
      <c r="DU225" s="1064"/>
      <c r="DV225" s="1064"/>
      <c r="EC225" s="1064"/>
      <c r="ED225" s="1064"/>
      <c r="EH225" s="1181"/>
      <c r="EI225" s="1181"/>
      <c r="EJ225" s="1181"/>
      <c r="EK225" s="1181"/>
      <c r="EL225" s="1181"/>
      <c r="EM225" s="1181"/>
      <c r="EN225" s="1181"/>
      <c r="EO225" s="1182"/>
      <c r="EP225" s="1181"/>
      <c r="EQ225" s="1181"/>
      <c r="ER225" s="1181"/>
      <c r="ES225" s="1181"/>
      <c r="ET225" s="1181"/>
      <c r="EU225" s="1181"/>
      <c r="EV225" s="1181"/>
      <c r="EW225" s="1182"/>
      <c r="EX225" s="1181"/>
      <c r="EY225" s="1181"/>
      <c r="EZ225" s="1181"/>
      <c r="FA225" s="1181"/>
      <c r="FB225" s="1181"/>
      <c r="FC225" s="1181"/>
      <c r="FD225" s="1181"/>
      <c r="FE225" s="1182"/>
      <c r="FF225" s="1181">
        <v>0.11</v>
      </c>
      <c r="FG225" s="1181">
        <f>(EZ223*FH225-EX223*FF225)/EY223</f>
        <v>0.131853281853282</v>
      </c>
      <c r="FH225" s="1181">
        <v>0.12</v>
      </c>
      <c r="FI225" s="1181">
        <f>(FB223*FJ225-EZ223*FH225)/FA223</f>
        <v>0.197607476635514</v>
      </c>
      <c r="FJ225" s="1181">
        <v>0.15</v>
      </c>
      <c r="FK225" s="1181">
        <f>(FE223*FM225-FB223*FJ225)/FC223</f>
        <v>0.29581589958159</v>
      </c>
      <c r="FL225" s="1181">
        <f>(FE223*FM225-EZ223*FH225)/FD223</f>
        <v>0.237011751538892</v>
      </c>
      <c r="FM225" s="1182">
        <v>0.18</v>
      </c>
      <c r="FN225" s="1181">
        <v>0.26</v>
      </c>
      <c r="FO225" s="1181">
        <f>(FH223*FP225-FF223*FN225)/FG223</f>
        <v>0.281623740201568</v>
      </c>
      <c r="FP225" s="1181">
        <v>0.27</v>
      </c>
      <c r="FQ225" s="1181">
        <f>(FJ223*FR225-FH223*FP225)/FI223</f>
        <v>0.145673595073133</v>
      </c>
      <c r="FR225" s="1181">
        <v>0.22</v>
      </c>
      <c r="FS225" s="1181">
        <f>(FM223*FU225-FJ223*FR225)/FK223</f>
        <v>0.132917964693666</v>
      </c>
      <c r="FT225" s="1181">
        <f>(FM223*FU225-FH223*FP225)/FL223</f>
        <v>0.140243147656941</v>
      </c>
      <c r="FU225" s="1181">
        <v>0.2</v>
      </c>
      <c r="FV225" s="1220">
        <v>0.08</v>
      </c>
      <c r="FW225" s="1181">
        <v>0.18</v>
      </c>
      <c r="FX225" s="1218">
        <f>(FV225*FN222+FW225*FO222)/FP222</f>
        <v>0.126194824961948</v>
      </c>
      <c r="FY225" s="1181">
        <f>(FR223*FZ225-FP223*FX225)/FQ223</f>
        <v>0.0557894018201332</v>
      </c>
      <c r="FZ225" s="1181">
        <v>0.1</v>
      </c>
      <c r="GA225" s="1181">
        <f>(FU223*GC225-FR223*FZ225)/FS223</f>
        <v>0.19548828125</v>
      </c>
      <c r="GB225" s="1181">
        <f>(FU223*GC225-FP223*FX225)/FT223</f>
        <v>0.113893241193075</v>
      </c>
      <c r="GC225" s="1182">
        <v>0.12</v>
      </c>
      <c r="GD225" s="1220">
        <v>0.05</v>
      </c>
      <c r="GE225" s="1181">
        <v>-0.00725883152173914</v>
      </c>
      <c r="GF225" s="1218">
        <f>(GD225*FV223+GE225*FW223)/FX223</f>
        <v>0.0219987491814478</v>
      </c>
      <c r="GG225" s="1181">
        <v>-0.01</v>
      </c>
      <c r="GH225" s="1181"/>
      <c r="GI225" s="1181">
        <v>-0.06</v>
      </c>
      <c r="GJ225" s="1181">
        <f>(GC223*GK225-FX223*GF225)/GB223</f>
        <v>-0.0219172421448362</v>
      </c>
      <c r="GK225" s="1182">
        <v>0</v>
      </c>
      <c r="GL225" s="1218">
        <v>-0.03</v>
      </c>
      <c r="GM225" s="1181">
        <v>0</v>
      </c>
      <c r="GN225" s="1218">
        <f>(GL225*GD223+GM225*GE223)/GF223</f>
        <v>-0.0156916426512968</v>
      </c>
      <c r="GO225" s="1181">
        <v>0.05</v>
      </c>
      <c r="GP225" s="1181"/>
      <c r="GQ225" s="1181">
        <v>0.15</v>
      </c>
      <c r="GR225" s="1181">
        <f>(GK223*GS225-GF223*GN225)/GJ223</f>
        <v>0.0988056295169266</v>
      </c>
      <c r="GS225" s="1182">
        <v>0.04</v>
      </c>
      <c r="GT225" s="1218">
        <v>-0.07</v>
      </c>
      <c r="GU225" s="1181">
        <v>-0.41</v>
      </c>
      <c r="GV225" s="1218">
        <f>(GT225*GL223+GU225*GM223)/GN223</f>
        <v>-0.234524158125915</v>
      </c>
      <c r="GW225" s="1181">
        <v>0.05</v>
      </c>
      <c r="GX225" s="1181"/>
      <c r="GY225" s="1181">
        <v>-0.06</v>
      </c>
      <c r="GZ225" s="1181">
        <f>(GS223*HA225-GN223*GV225)/GR223</f>
        <v>-0.0108685036623648</v>
      </c>
      <c r="HA225" s="1182">
        <v>-0.12</v>
      </c>
      <c r="HB225" s="1218"/>
      <c r="HC225" s="1181"/>
      <c r="HD225" s="1181"/>
      <c r="HE225" s="1181"/>
      <c r="HF225" s="1181"/>
      <c r="HG225" s="1181"/>
      <c r="HH225" s="1181"/>
      <c r="HI225" s="1182"/>
      <c r="HJ225" s="1181"/>
      <c r="HK225" s="1181"/>
      <c r="HL225" s="1181"/>
      <c r="HM225" s="1181"/>
      <c r="HN225" s="1181"/>
      <c r="HO225" s="1181"/>
      <c r="HP225" s="1181"/>
      <c r="HQ225" s="1182"/>
      <c r="HR225" s="1181"/>
      <c r="HS225" s="1181"/>
      <c r="HT225" s="1181"/>
      <c r="HU225" s="1181"/>
      <c r="HV225" s="1181"/>
      <c r="HW225" s="1181"/>
      <c r="HX225" s="1181"/>
      <c r="HY225" s="1181"/>
      <c r="HZ225" s="1181"/>
      <c r="IA225" s="1181"/>
      <c r="IB225" s="1181"/>
      <c r="IC225" s="1181"/>
      <c r="ID225" s="1181"/>
      <c r="IE225" s="1181"/>
      <c r="IF225" s="1181"/>
      <c r="IG225" s="1182"/>
      <c r="IH225" s="1181"/>
      <c r="II225" s="1181"/>
      <c r="IJ225" s="1181"/>
      <c r="IK225" s="1181"/>
      <c r="IL225" s="1181"/>
      <c r="IM225" s="1181"/>
      <c r="IN225" s="1181"/>
      <c r="IO225" s="1182"/>
      <c r="IP225" s="1181"/>
      <c r="IQ225" s="1181">
        <f>(FG225+1)*(1+FO225)-1</f>
        <v>0.450610036448222</v>
      </c>
      <c r="IR225" s="1181">
        <f>(FI225+1)*(FQ225+1)-1</f>
        <v>0.372067263243473</v>
      </c>
      <c r="IS225" s="1181">
        <f>(FK225+1)*(1+FS225)-1</f>
        <v>0.468053111571666</v>
      </c>
      <c r="IT225" s="1181"/>
      <c r="IU225" s="1181"/>
      <c r="IV225" s="1181"/>
      <c r="IW225" s="1181"/>
      <c r="IX225" s="1104"/>
      <c r="IY225" s="1049"/>
      <c r="IZ225" s="1049"/>
      <c r="JA225" s="1037" t="s">
        <v>546</v>
      </c>
      <c r="JB225" s="1049"/>
      <c r="JC225" s="1049"/>
      <c r="JD225" s="1041"/>
      <c r="JE225" s="1037"/>
      <c r="JF225" s="1037"/>
      <c r="JG225" s="1037"/>
      <c r="JH225" s="1037"/>
      <c r="JI225" s="1035"/>
      <c r="JJ225" s="1035"/>
      <c r="JK225" s="1094">
        <f>(EX222*(1+FF225)*(1+FN225))/EX222-1</f>
        <v>0.3986</v>
      </c>
      <c r="JL225" s="1094">
        <f>(EY222*(1+FG225)*(1+FO225))/EY222-1</f>
        <v>0.450610036448222</v>
      </c>
      <c r="JM225" s="1094">
        <f>(EZ222*(1+FH225)*(1+FP225))/EZ222-1</f>
        <v>0.4224</v>
      </c>
      <c r="JN225" s="1094">
        <f>(1+FI225)*(1+FQ225)-1</f>
        <v>0.372067263243473</v>
      </c>
      <c r="JO225" s="1094">
        <f>(FB222*(1+FJ225)*(1+FR225))/FB222-1</f>
        <v>0.403</v>
      </c>
      <c r="JP225" s="1094">
        <f>(FC222*(1+FK225)*(1+FS225))/FC222-1</f>
        <v>0.468053111571666</v>
      </c>
      <c r="JQ225" s="1094">
        <f>(1+FN225)*(1+FV225)-1</f>
        <v>0.3608</v>
      </c>
      <c r="JR225" s="1094">
        <f>(FG222*(1+FO225)*(1+FW225))/FG222-1</f>
        <v>0.51231601343785</v>
      </c>
      <c r="JS225" s="1094">
        <f>(FI222*(1+FQ225)*(1+FY225))/FI222-1</f>
        <v>0.209590039623385</v>
      </c>
      <c r="JT225" s="1094">
        <f>(FK222*(1+FS225)*(1+GA225))/FK222-1</f>
        <v>0.354390150408878</v>
      </c>
      <c r="JU225" s="1035"/>
      <c r="JV225" s="1035"/>
      <c r="JW225" s="1035"/>
      <c r="JX225" s="1035"/>
      <c r="JY225" s="1035"/>
      <c r="JZ225" s="1035" t="s">
        <v>560</v>
      </c>
      <c r="KB225" s="1250">
        <v>94</v>
      </c>
      <c r="KC225" s="1250">
        <v>109</v>
      </c>
      <c r="KP225" s="1117"/>
      <c r="LV225" s="967"/>
    </row>
    <row r="226" hidden="1" spans="1:334">
      <c r="A226" s="967" t="s">
        <v>82</v>
      </c>
      <c r="AX226" s="1059"/>
      <c r="BE226" s="1060"/>
      <c r="BN226" s="1059"/>
      <c r="BU226" s="1060"/>
      <c r="BV226" s="1059"/>
      <c r="CC226" s="1060"/>
      <c r="CD226" s="1059"/>
      <c r="CJ226" s="1061"/>
      <c r="CK226" s="1060"/>
      <c r="CL226" s="1059"/>
      <c r="CS226" s="1060"/>
      <c r="CT226" s="1059"/>
      <c r="CW226" s="1062"/>
      <c r="CX226" s="1062"/>
      <c r="DE226" s="1064"/>
      <c r="DF226" s="1064"/>
      <c r="DM226" s="1064"/>
      <c r="DN226" s="1064"/>
      <c r="DU226" s="1064"/>
      <c r="DV226" s="1064"/>
      <c r="EC226" s="1064"/>
      <c r="ED226" s="1064"/>
      <c r="EH226" s="1181"/>
      <c r="EI226" s="1181"/>
      <c r="EJ226" s="1181"/>
      <c r="EK226" s="1181"/>
      <c r="EL226" s="1181"/>
      <c r="EM226" s="1181"/>
      <c r="EN226" s="1181"/>
      <c r="EO226" s="1182"/>
      <c r="EP226" s="1181"/>
      <c r="EQ226" s="1181"/>
      <c r="ER226" s="1181"/>
      <c r="ES226" s="1181"/>
      <c r="ET226" s="1181"/>
      <c r="EU226" s="1181"/>
      <c r="EV226" s="1181"/>
      <c r="EW226" s="1182"/>
      <c r="EX226" s="1148">
        <v>90</v>
      </c>
      <c r="EY226" s="1148">
        <v>60</v>
      </c>
      <c r="EZ226" s="1148">
        <f>EX226+EY226</f>
        <v>150</v>
      </c>
      <c r="FA226" s="1148">
        <v>99</v>
      </c>
      <c r="FB226" s="1148">
        <f>EX226+EY226+FA226</f>
        <v>249</v>
      </c>
      <c r="FC226" s="1148">
        <v>59</v>
      </c>
      <c r="FD226" s="1148">
        <f>FA226+FC226</f>
        <v>158</v>
      </c>
      <c r="FE226" s="1149">
        <f>EX226+EY226+FA226+FC226</f>
        <v>308</v>
      </c>
      <c r="FF226" s="1148">
        <v>105</v>
      </c>
      <c r="FG226" s="1148">
        <f>FH226-FF226</f>
        <v>68</v>
      </c>
      <c r="FH226" s="1148">
        <v>173</v>
      </c>
      <c r="FI226" s="1148">
        <f>FJ226-FH226</f>
        <v>105</v>
      </c>
      <c r="FJ226" s="1148">
        <v>278</v>
      </c>
      <c r="FK226" s="1148">
        <f>FM226-FJ226</f>
        <v>69</v>
      </c>
      <c r="FL226" s="1148">
        <f>FI226+FK226</f>
        <v>174</v>
      </c>
      <c r="FM226" s="1149">
        <v>347</v>
      </c>
      <c r="FN226" s="1148">
        <v>121</v>
      </c>
      <c r="FO226" s="1148">
        <f>FP226-FN226</f>
        <v>80</v>
      </c>
      <c r="FP226" s="1148">
        <v>201</v>
      </c>
      <c r="FQ226" s="1148">
        <f>FR226-FP226</f>
        <v>119</v>
      </c>
      <c r="FR226" s="1148">
        <v>320</v>
      </c>
      <c r="FS226" s="1148">
        <f>FU226-FR226</f>
        <v>82</v>
      </c>
      <c r="FT226" s="1148">
        <f>FQ226+FS226</f>
        <v>201</v>
      </c>
      <c r="FU226" s="1148">
        <v>402</v>
      </c>
      <c r="FV226" s="1278">
        <v>149</v>
      </c>
      <c r="FW226" s="1148">
        <v>107</v>
      </c>
      <c r="FX226" s="1279">
        <f>FV226+FW226</f>
        <v>256</v>
      </c>
      <c r="FY226" s="1148">
        <f>FZ226-FX226</f>
        <v>144</v>
      </c>
      <c r="FZ226" s="1148">
        <v>400</v>
      </c>
      <c r="GA226" s="1148">
        <f>GC226-FZ226</f>
        <v>96</v>
      </c>
      <c r="GB226" s="1148">
        <f>FY226+GA226</f>
        <v>240</v>
      </c>
      <c r="GC226" s="1149">
        <v>496</v>
      </c>
      <c r="GD226" s="1278">
        <v>151</v>
      </c>
      <c r="GE226" s="1148">
        <v>96</v>
      </c>
      <c r="GF226" s="1279">
        <f>GD226+GE226</f>
        <v>247</v>
      </c>
      <c r="GG226" s="1148">
        <v>137</v>
      </c>
      <c r="GH226" s="1148">
        <f>GG226+GF226</f>
        <v>384</v>
      </c>
      <c r="GI226" s="1148">
        <f>GK226-GH226</f>
        <v>95</v>
      </c>
      <c r="GJ226" s="1148">
        <f>GG226+GI226</f>
        <v>232</v>
      </c>
      <c r="GK226" s="1149">
        <f>GK222-GK223</f>
        <v>479</v>
      </c>
      <c r="GL226" s="1279">
        <v>141</v>
      </c>
      <c r="GM226" s="1148">
        <v>100</v>
      </c>
      <c r="GN226" s="1279">
        <f>GL226+GM226</f>
        <v>241</v>
      </c>
      <c r="GO226" s="1148">
        <v>125</v>
      </c>
      <c r="GP226" s="1148">
        <f>GO226+GN226</f>
        <v>366</v>
      </c>
      <c r="GQ226" s="1148">
        <f>GS226-GP226</f>
        <v>106.419999999998</v>
      </c>
      <c r="GR226" s="1148">
        <f>GO226+GQ226</f>
        <v>231.419999999998</v>
      </c>
      <c r="GS226" s="1149">
        <f>GS222-GS223</f>
        <v>472.419999999998</v>
      </c>
      <c r="GT226" s="1279">
        <v>119</v>
      </c>
      <c r="GU226" s="1148">
        <v>64</v>
      </c>
      <c r="GV226" s="1279">
        <f>GT226+GU226</f>
        <v>183</v>
      </c>
      <c r="GW226" s="1148">
        <v>113</v>
      </c>
      <c r="GX226" s="1148">
        <f>GW226+GV226</f>
        <v>296</v>
      </c>
      <c r="GY226" s="1148">
        <f>HA226-GX226</f>
        <v>99</v>
      </c>
      <c r="GZ226" s="1148">
        <f>GW226+GY226</f>
        <v>212</v>
      </c>
      <c r="HA226" s="1149">
        <f>HA222-HA223</f>
        <v>395</v>
      </c>
      <c r="HB226" s="1279"/>
      <c r="HC226" s="1148"/>
      <c r="HD226" s="1148"/>
      <c r="HE226" s="1148"/>
      <c r="HF226" s="1148"/>
      <c r="HG226" s="1148"/>
      <c r="HH226" s="1148"/>
      <c r="HI226" s="1149"/>
      <c r="HJ226" s="1148"/>
      <c r="HK226" s="1148"/>
      <c r="HL226" s="1148"/>
      <c r="HM226" s="1148"/>
      <c r="HN226" s="1148"/>
      <c r="HO226" s="1148"/>
      <c r="HP226" s="1148"/>
      <c r="HQ226" s="1149"/>
      <c r="HR226" s="1148"/>
      <c r="HS226" s="1148"/>
      <c r="HT226" s="1148"/>
      <c r="HU226" s="1148"/>
      <c r="HV226" s="1148"/>
      <c r="HW226" s="1148"/>
      <c r="HX226" s="1148"/>
      <c r="HY226" s="1148"/>
      <c r="HZ226" s="1148"/>
      <c r="IA226" s="1148"/>
      <c r="IB226" s="1148"/>
      <c r="IC226" s="1148"/>
      <c r="ID226" s="1148"/>
      <c r="IE226" s="1148"/>
      <c r="IF226" s="1148"/>
      <c r="IG226" s="1149"/>
      <c r="IH226" s="1148"/>
      <c r="II226" s="1148"/>
      <c r="IJ226" s="1148"/>
      <c r="IK226" s="1148"/>
      <c r="IL226" s="1148"/>
      <c r="IM226" s="1148"/>
      <c r="IN226" s="1148"/>
      <c r="IO226" s="1149"/>
      <c r="IP226" s="1148"/>
      <c r="IQ226" s="1148"/>
      <c r="IR226" s="1148"/>
      <c r="IS226" s="1148"/>
      <c r="IT226" s="1148"/>
      <c r="IU226" s="1148"/>
      <c r="IV226" s="1148"/>
      <c r="IW226" s="1148"/>
      <c r="IX226" s="1104"/>
      <c r="IY226" s="1049"/>
      <c r="IZ226" s="1049"/>
      <c r="JA226" s="1037" t="s">
        <v>548</v>
      </c>
      <c r="JB226" s="1049"/>
      <c r="JC226" s="1049"/>
      <c r="JD226" s="1041"/>
      <c r="JE226" s="1037"/>
      <c r="JF226" s="1037"/>
      <c r="JG226" s="1037"/>
      <c r="JH226" s="1037"/>
      <c r="JI226" s="1035"/>
      <c r="JJ226" s="1035"/>
      <c r="JK226" s="1035"/>
      <c r="JL226" s="1035"/>
      <c r="JM226" s="1035"/>
      <c r="JN226" s="1035"/>
      <c r="JO226" s="1035"/>
      <c r="JP226" s="1035"/>
      <c r="JQ226" s="1094">
        <f>1*(1+FF225)*(1+FN225)*(1+FV225)-1</f>
        <v>0.510488</v>
      </c>
      <c r="JR226" s="1094">
        <f>1*(1+FG225)*(1+FO225)*(1+FW225)-1</f>
        <v>0.711719843008902</v>
      </c>
      <c r="JS226" s="1094">
        <f>1*(1+FI225)*(1+FQ225)*(1+FY225)-1</f>
        <v>0.448614075116813</v>
      </c>
      <c r="JT226" s="1094">
        <f>1*(1+FK225)*(1+FS225)*(1+GA225)-1</f>
        <v>0.755040291136525</v>
      </c>
      <c r="JU226" s="1035"/>
      <c r="JV226" s="1035"/>
      <c r="JW226" s="1035"/>
      <c r="JX226" s="1035"/>
      <c r="JY226" s="1035"/>
      <c r="KB226" s="792">
        <f>KB225/KB$227</f>
        <v>0.069219440353461</v>
      </c>
      <c r="KC226" s="792">
        <f>KC225/KC$227</f>
        <v>0.0743012951601909</v>
      </c>
      <c r="KP226" s="1117"/>
      <c r="LV226" s="967"/>
    </row>
    <row r="227" hidden="1" spans="1:334">
      <c r="A227" s="967" t="s">
        <v>113</v>
      </c>
      <c r="AX227" s="1059"/>
      <c r="BE227" s="1060"/>
      <c r="BN227" s="1059"/>
      <c r="BU227" s="1060"/>
      <c r="BV227" s="1059"/>
      <c r="CC227" s="1060"/>
      <c r="CD227" s="1059"/>
      <c r="CJ227" s="1061"/>
      <c r="CK227" s="1060"/>
      <c r="CL227" s="1059"/>
      <c r="CS227" s="1060"/>
      <c r="CT227" s="1059"/>
      <c r="CW227" s="1062"/>
      <c r="CX227" s="1062"/>
      <c r="DE227" s="1064"/>
      <c r="DF227" s="1064"/>
      <c r="DM227" s="1064"/>
      <c r="DN227" s="1064"/>
      <c r="DU227" s="1064"/>
      <c r="DV227" s="1064"/>
      <c r="EC227" s="1064"/>
      <c r="ED227" s="1064"/>
      <c r="EH227" s="1181"/>
      <c r="EI227" s="1181"/>
      <c r="EJ227" s="1181"/>
      <c r="EK227" s="1181"/>
      <c r="EL227" s="1181"/>
      <c r="EM227" s="1181"/>
      <c r="EN227" s="1181"/>
      <c r="EO227" s="1182"/>
      <c r="EP227" s="1181"/>
      <c r="EQ227" s="1181"/>
      <c r="ER227" s="1181"/>
      <c r="ES227" s="1181"/>
      <c r="ET227" s="1181"/>
      <c r="EU227" s="1181"/>
      <c r="EV227" s="1181"/>
      <c r="EW227" s="1182"/>
      <c r="EX227" s="1181"/>
      <c r="EY227" s="1181"/>
      <c r="EZ227" s="1181"/>
      <c r="FA227" s="1181"/>
      <c r="FB227" s="1181"/>
      <c r="FC227" s="1181"/>
      <c r="FD227" s="1181"/>
      <c r="FE227" s="1182"/>
      <c r="FF227" s="1181">
        <f t="shared" ref="FF227:FO227" si="1231">FF226/EX226-1</f>
        <v>0.166666666666667</v>
      </c>
      <c r="FG227" s="1181">
        <f t="shared" si="1231"/>
        <v>0.133333333333333</v>
      </c>
      <c r="FH227" s="1181">
        <f t="shared" si="1231"/>
        <v>0.153333333333333</v>
      </c>
      <c r="FI227" s="1181">
        <f t="shared" si="1231"/>
        <v>0.0606060606060606</v>
      </c>
      <c r="FJ227" s="1181">
        <f t="shared" si="1231"/>
        <v>0.116465863453815</v>
      </c>
      <c r="FK227" s="1181">
        <f t="shared" si="1231"/>
        <v>0.169491525423729</v>
      </c>
      <c r="FL227" s="1181">
        <f t="shared" si="1231"/>
        <v>0.10126582278481</v>
      </c>
      <c r="FM227" s="1182">
        <f t="shared" si="1231"/>
        <v>0.126623376623377</v>
      </c>
      <c r="FN227" s="1181">
        <f t="shared" si="1231"/>
        <v>0.152380952380952</v>
      </c>
      <c r="FO227" s="1181">
        <f t="shared" si="1231"/>
        <v>0.176470588235294</v>
      </c>
      <c r="FP227" s="1181">
        <f t="shared" ref="FP227:FX227" si="1232">FP226/FH226-1</f>
        <v>0.161849710982659</v>
      </c>
      <c r="FQ227" s="1181">
        <f t="shared" si="1232"/>
        <v>0.133333333333333</v>
      </c>
      <c r="FR227" s="1181">
        <f t="shared" si="1232"/>
        <v>0.151079136690647</v>
      </c>
      <c r="FS227" s="1181">
        <f t="shared" si="1232"/>
        <v>0.188405797101449</v>
      </c>
      <c r="FT227" s="1181">
        <f t="shared" si="1232"/>
        <v>0.155172413793103</v>
      </c>
      <c r="FU227" s="1181">
        <f t="shared" si="1232"/>
        <v>0.15850144092219</v>
      </c>
      <c r="FV227" s="1220">
        <f t="shared" si="1232"/>
        <v>0.231404958677686</v>
      </c>
      <c r="FW227" s="1181">
        <f t="shared" si="1232"/>
        <v>0.3375</v>
      </c>
      <c r="FX227" s="1181">
        <f t="shared" si="1232"/>
        <v>0.27363184079602</v>
      </c>
      <c r="FY227" s="1181">
        <f t="shared" ref="FY227" si="1233">FY226/FQ226-1</f>
        <v>0.210084033613445</v>
      </c>
      <c r="FZ227" s="1181">
        <f t="shared" ref="FZ227" si="1234">FZ226/FR226-1</f>
        <v>0.25</v>
      </c>
      <c r="GA227" s="1181">
        <f t="shared" ref="GA227" si="1235">GA226/FS226-1</f>
        <v>0.170731707317073</v>
      </c>
      <c r="GB227" s="1181">
        <f t="shared" ref="GB227" si="1236">GB226/FT226-1</f>
        <v>0.194029850746269</v>
      </c>
      <c r="GC227" s="1182">
        <f t="shared" ref="GC227" si="1237">GC226/FU226-1</f>
        <v>0.233830845771144</v>
      </c>
      <c r="GD227" s="1220">
        <v>0.01</v>
      </c>
      <c r="GE227" s="1181">
        <f>GE226/FW226-1</f>
        <v>-0.102803738317757</v>
      </c>
      <c r="GF227" s="1181">
        <f>GF226/FX226-1</f>
        <v>-0.03515625</v>
      </c>
      <c r="GG227" s="1181">
        <v>-0.06</v>
      </c>
      <c r="GH227" s="1181">
        <f>GH226/FZ226-1</f>
        <v>-0.04</v>
      </c>
      <c r="GI227" s="1181">
        <f t="shared" ref="GI227" si="1238">GI226/GA226-1</f>
        <v>-0.0104166666666666</v>
      </c>
      <c r="GJ227" s="1181">
        <f t="shared" ref="GJ227" si="1239">GJ226/GB226-1</f>
        <v>-0.0333333333333333</v>
      </c>
      <c r="GK227" s="1182">
        <f t="shared" ref="GK227:GP227" si="1240">GK226/GC226-1</f>
        <v>-0.0342741935483871</v>
      </c>
      <c r="GL227" s="1181">
        <f t="shared" si="1240"/>
        <v>-0.0662251655629139</v>
      </c>
      <c r="GM227" s="1181">
        <f t="shared" si="1240"/>
        <v>0.0416666666666667</v>
      </c>
      <c r="GN227" s="1181">
        <f t="shared" si="1240"/>
        <v>-0.0242914979757085</v>
      </c>
      <c r="GO227" s="1181">
        <f t="shared" si="1240"/>
        <v>-0.0875912408759124</v>
      </c>
      <c r="GP227" s="1181">
        <f t="shared" si="1240"/>
        <v>-0.046875</v>
      </c>
      <c r="GQ227" s="1181">
        <f t="shared" ref="GQ227" si="1241">GQ226/GI226-1</f>
        <v>0.120210526315771</v>
      </c>
      <c r="GR227" s="1181">
        <f t="shared" ref="GR227" si="1242">GR226/GJ226-1</f>
        <v>-0.0025000000000075</v>
      </c>
      <c r="GS227" s="1182">
        <f t="shared" ref="GS227:GX227" si="1243">GS226/GK226-1</f>
        <v>-0.0137369519833022</v>
      </c>
      <c r="GT227" s="1181">
        <f t="shared" si="1243"/>
        <v>-0.156028368794326</v>
      </c>
      <c r="GU227" s="1181">
        <f t="shared" si="1243"/>
        <v>-0.36</v>
      </c>
      <c r="GV227" s="1181">
        <f t="shared" si="1243"/>
        <v>-0.240663900414938</v>
      </c>
      <c r="GW227" s="1181">
        <f t="shared" si="1243"/>
        <v>-0.096</v>
      </c>
      <c r="GX227" s="1181">
        <f t="shared" si="1243"/>
        <v>-0.191256830601093</v>
      </c>
      <c r="GY227" s="1181">
        <f t="shared" ref="GY227" si="1244">GY226/GQ226-1</f>
        <v>-0.0697237361398081</v>
      </c>
      <c r="GZ227" s="1181">
        <f t="shared" ref="GZ227" si="1245">GZ226/GR226-1</f>
        <v>-0.0839166882723983</v>
      </c>
      <c r="HA227" s="1182">
        <f t="shared" ref="HA227" si="1246">HA226/GS226-1</f>
        <v>-0.163879598662204</v>
      </c>
      <c r="HB227" s="1181"/>
      <c r="HC227" s="1181"/>
      <c r="HD227" s="1181"/>
      <c r="HE227" s="1181"/>
      <c r="HF227" s="1181"/>
      <c r="HG227" s="1181"/>
      <c r="HH227" s="1181"/>
      <c r="HI227" s="1182"/>
      <c r="HJ227" s="1181"/>
      <c r="HK227" s="1181"/>
      <c r="HL227" s="1181"/>
      <c r="HM227" s="1181"/>
      <c r="HN227" s="1181"/>
      <c r="HO227" s="1181"/>
      <c r="HP227" s="1181"/>
      <c r="HQ227" s="1182"/>
      <c r="HR227" s="1181"/>
      <c r="HS227" s="1181"/>
      <c r="HT227" s="1181"/>
      <c r="HU227" s="1181"/>
      <c r="HV227" s="1181"/>
      <c r="HW227" s="1181"/>
      <c r="HX227" s="1181"/>
      <c r="HY227" s="1181"/>
      <c r="HZ227" s="1181"/>
      <c r="IA227" s="1181"/>
      <c r="IB227" s="1181"/>
      <c r="IC227" s="1181"/>
      <c r="ID227" s="1181"/>
      <c r="IE227" s="1181"/>
      <c r="IF227" s="1181"/>
      <c r="IG227" s="1182"/>
      <c r="IH227" s="1181"/>
      <c r="II227" s="1181"/>
      <c r="IJ227" s="1181"/>
      <c r="IK227" s="1181"/>
      <c r="IL227" s="1181"/>
      <c r="IM227" s="1181"/>
      <c r="IN227" s="1181"/>
      <c r="IO227" s="1182"/>
      <c r="IP227" s="1181"/>
      <c r="IQ227" s="1181"/>
      <c r="IR227" s="1181"/>
      <c r="IS227" s="1181"/>
      <c r="IT227" s="1181"/>
      <c r="IU227" s="1181"/>
      <c r="IV227" s="1181"/>
      <c r="IW227" s="1181"/>
      <c r="IX227" s="1104"/>
      <c r="IY227" s="1049"/>
      <c r="IZ227" s="1049"/>
      <c r="JA227" s="1049"/>
      <c r="JB227" s="1049"/>
      <c r="JC227" s="1049"/>
      <c r="JD227" s="1041"/>
      <c r="JE227" s="1037"/>
      <c r="JF227" s="1037"/>
      <c r="JG227" s="1037"/>
      <c r="JH227" s="1037"/>
      <c r="JI227" s="1035"/>
      <c r="JJ227" s="1035"/>
      <c r="JK227" s="1035"/>
      <c r="JL227" s="1035"/>
      <c r="JM227" s="1035"/>
      <c r="JN227" s="1035"/>
      <c r="JO227" s="1035"/>
      <c r="JP227" s="1035"/>
      <c r="JQ227" s="1035"/>
      <c r="JR227" s="1035"/>
      <c r="JS227" s="1035"/>
      <c r="JT227" s="1035"/>
      <c r="JU227" s="1035"/>
      <c r="JV227" s="1035"/>
      <c r="JW227" s="1035"/>
      <c r="JX227" s="1035"/>
      <c r="JY227" s="1035"/>
      <c r="JZ227" s="969" t="s">
        <v>212</v>
      </c>
      <c r="KB227" s="1280">
        <f>SUM(KB212,KB214,KB217,KB219,KB221,KB223,KB225)</f>
        <v>1358</v>
      </c>
      <c r="KC227" s="1280">
        <f>SUM(KC212,KC214,KC217,KC219,KC221,KC223,KC225)</f>
        <v>1467</v>
      </c>
      <c r="KP227" s="1117"/>
      <c r="LV227" s="967"/>
    </row>
    <row r="228" hidden="1" spans="1:334">
      <c r="A228" s="967" t="s">
        <v>100</v>
      </c>
      <c r="AX228" s="1059"/>
      <c r="BE228" s="1060"/>
      <c r="BN228" s="1059"/>
      <c r="BU228" s="1060"/>
      <c r="BV228" s="1059"/>
      <c r="CC228" s="1060"/>
      <c r="CD228" s="1059"/>
      <c r="CJ228" s="1061"/>
      <c r="CK228" s="1060"/>
      <c r="CL228" s="1059"/>
      <c r="CS228" s="1060"/>
      <c r="CT228" s="1059"/>
      <c r="CW228" s="1062"/>
      <c r="CX228" s="1062"/>
      <c r="DE228" s="1064"/>
      <c r="DF228" s="1064"/>
      <c r="DM228" s="1064"/>
      <c r="DN228" s="1064"/>
      <c r="DU228" s="1064"/>
      <c r="DV228" s="1064"/>
      <c r="EC228" s="1064"/>
      <c r="ED228" s="1064"/>
      <c r="EH228" s="1181"/>
      <c r="EI228" s="1181"/>
      <c r="EJ228" s="1181"/>
      <c r="EK228" s="1181"/>
      <c r="EL228" s="1181"/>
      <c r="EM228" s="1181"/>
      <c r="EN228" s="1181"/>
      <c r="EO228" s="1182"/>
      <c r="EP228" s="1181"/>
      <c r="EQ228" s="1181"/>
      <c r="ER228" s="1181"/>
      <c r="ES228" s="1181"/>
      <c r="ET228" s="1181"/>
      <c r="EU228" s="1181"/>
      <c r="EV228" s="1181"/>
      <c r="EW228" s="1182"/>
      <c r="EX228" s="1181"/>
      <c r="EY228" s="1181"/>
      <c r="EZ228" s="1181"/>
      <c r="FA228" s="1181"/>
      <c r="FB228" s="1181"/>
      <c r="FC228" s="1181"/>
      <c r="FD228" s="1181"/>
      <c r="FE228" s="1182"/>
      <c r="FF228" s="1181">
        <v>0.16</v>
      </c>
      <c r="FG228" s="1181">
        <f>(EZ226*FH228-EX226*FF228)/EY226</f>
        <v>0.085</v>
      </c>
      <c r="FH228" s="1181">
        <v>0.13</v>
      </c>
      <c r="FI228" s="1181">
        <f>(FB226*FJ228-EZ226*FH228)/FA226</f>
        <v>0.0545454545454546</v>
      </c>
      <c r="FJ228" s="1181">
        <v>0.1</v>
      </c>
      <c r="FK228" s="1181">
        <f>(FE226*FM228-FB226*FJ228)/FC226</f>
        <v>0.152203389830508</v>
      </c>
      <c r="FL228" s="1181">
        <f>(FE226*FM228-EZ226*FH228)/FD226</f>
        <v>0.0910126582278481</v>
      </c>
      <c r="FM228" s="1182">
        <v>0.11</v>
      </c>
      <c r="FN228" s="1181">
        <v>0.15</v>
      </c>
      <c r="FO228" s="1181">
        <f>(FH226*FP228-FF226*FN228)/FG226</f>
        <v>0.226323529411765</v>
      </c>
      <c r="FP228" s="1181">
        <v>0.18</v>
      </c>
      <c r="FQ228" s="1181">
        <f>(FJ226*FR228-FH226*FP228)/FI226</f>
        <v>0.15352380952381</v>
      </c>
      <c r="FR228" s="1181">
        <v>0.17</v>
      </c>
      <c r="FS228" s="1181">
        <f>(FM226*FU228-FJ226*FR228)/FK226</f>
        <v>0.220289855072464</v>
      </c>
      <c r="FT228" s="1181">
        <f>(FM226*FU228-FH226*FP228)/FL226</f>
        <v>0.18</v>
      </c>
      <c r="FU228" s="1181">
        <v>0.18</v>
      </c>
      <c r="FV228" s="1220">
        <v>0.25</v>
      </c>
      <c r="FW228" s="1181">
        <v>0.33</v>
      </c>
      <c r="FX228" s="1218">
        <f>(FV228*FN222+FW228*FO222)/FP222</f>
        <v>0.286955859969559</v>
      </c>
      <c r="FY228" s="1181">
        <f>(FR226*FZ228-FP226*FX228)/FQ226</f>
        <v>0.214469513832931</v>
      </c>
      <c r="FZ228" s="1181">
        <v>0.26</v>
      </c>
      <c r="GA228" s="1181">
        <f>(FU226*GC228-FR226*FZ228)/FS226</f>
        <v>0.161951219512195</v>
      </c>
      <c r="GB228" s="1181">
        <f>(FU226*GC228-FP226*FX228)/FT226</f>
        <v>0.193044140030441</v>
      </c>
      <c r="GC228" s="1182">
        <v>0.24</v>
      </c>
      <c r="GD228" s="1220">
        <v>0.01</v>
      </c>
      <c r="GE228" s="1181">
        <v>-0.04</v>
      </c>
      <c r="GF228" s="1218">
        <f>(GD228*FV226+GE228*FW226)/FX226</f>
        <v>-0.0108984375</v>
      </c>
      <c r="GG228" s="1181">
        <v>-0.05</v>
      </c>
      <c r="GH228" s="1181"/>
      <c r="GI228" s="1181">
        <v>0</v>
      </c>
      <c r="GJ228" s="1181">
        <f>(GC226*GK228-FX226*GF228)/GB226</f>
        <v>-0.050375</v>
      </c>
      <c r="GK228" s="1182">
        <v>-0.03</v>
      </c>
      <c r="GL228" s="1218">
        <v>-0.07</v>
      </c>
      <c r="GM228" s="1181">
        <v>0.04</v>
      </c>
      <c r="GN228" s="1218">
        <f>(GL228*GD226+GM228*GE226)/GF226</f>
        <v>-0.027246963562753</v>
      </c>
      <c r="GO228" s="1181">
        <v>-0.08</v>
      </c>
      <c r="GP228" s="1181"/>
      <c r="GQ228" s="1181">
        <v>0.09</v>
      </c>
      <c r="GR228" s="1181">
        <f>(GK226*GS228-GF226*GN228)/GJ226</f>
        <v>-0.0122844827586207</v>
      </c>
      <c r="GS228" s="1182">
        <v>-0.02</v>
      </c>
      <c r="GT228" s="1218">
        <f>-Q15</f>
        <v>0</v>
      </c>
      <c r="GU228" s="1181">
        <v>-0.35</v>
      </c>
      <c r="GV228" s="1218">
        <f>(GT228*GL226+GU228*GM226)/GN226</f>
        <v>-0.145228215767635</v>
      </c>
      <c r="GW228" s="1181">
        <v>-0.09</v>
      </c>
      <c r="GX228" s="1181"/>
      <c r="GY228" s="1181">
        <v>-0.06</v>
      </c>
      <c r="GZ228" s="1181">
        <f>(GS226*HA228-GN226*GV228)/GR226</f>
        <v>-0.175383285800709</v>
      </c>
      <c r="HA228" s="1182">
        <v>-0.16</v>
      </c>
      <c r="HB228" s="1218"/>
      <c r="HC228" s="1181"/>
      <c r="HD228" s="1181"/>
      <c r="HE228" s="1181"/>
      <c r="HF228" s="1181"/>
      <c r="HG228" s="1181"/>
      <c r="HH228" s="1181"/>
      <c r="HI228" s="1182"/>
      <c r="HJ228" s="1181"/>
      <c r="HK228" s="1181"/>
      <c r="HL228" s="1181"/>
      <c r="HM228" s="1181"/>
      <c r="HN228" s="1181"/>
      <c r="HO228" s="1181"/>
      <c r="HP228" s="1181"/>
      <c r="HQ228" s="1182"/>
      <c r="HR228" s="1181"/>
      <c r="HS228" s="1181"/>
      <c r="HT228" s="1181"/>
      <c r="HU228" s="1181"/>
      <c r="HV228" s="1181"/>
      <c r="HW228" s="1181"/>
      <c r="HX228" s="1181"/>
      <c r="HY228" s="1181"/>
      <c r="HZ228" s="1181"/>
      <c r="IA228" s="1181"/>
      <c r="IB228" s="1181"/>
      <c r="IC228" s="1181"/>
      <c r="ID228" s="1181"/>
      <c r="IE228" s="1181"/>
      <c r="IF228" s="1181"/>
      <c r="IG228" s="1182"/>
      <c r="IH228" s="1181"/>
      <c r="II228" s="1181"/>
      <c r="IJ228" s="1181"/>
      <c r="IK228" s="1181"/>
      <c r="IL228" s="1181"/>
      <c r="IM228" s="1181"/>
      <c r="IN228" s="1181"/>
      <c r="IO228" s="1182"/>
      <c r="IP228" s="1181"/>
      <c r="IQ228" s="1181">
        <f>(FG228+1)*(1+FO228)-1</f>
        <v>0.330561029411765</v>
      </c>
      <c r="IR228" s="1181">
        <f>(FI228+1)*(FQ228+1)-1</f>
        <v>0.21644329004329</v>
      </c>
      <c r="IS228" s="1181">
        <f>(FK228+1)*(1+FS228)-1</f>
        <v>0.406022107590273</v>
      </c>
      <c r="IT228" s="1181"/>
      <c r="IU228" s="1181"/>
      <c r="IV228" s="1181"/>
      <c r="IW228" s="1181"/>
      <c r="IX228" s="1104"/>
      <c r="IY228" s="1049"/>
      <c r="IZ228" s="1049"/>
      <c r="JA228" s="1037" t="s">
        <v>546</v>
      </c>
      <c r="JB228" s="1049"/>
      <c r="JC228" s="1049"/>
      <c r="JD228" s="1041"/>
      <c r="JE228" s="1037"/>
      <c r="JF228" s="1037"/>
      <c r="JG228" s="1037"/>
      <c r="JH228" s="1037"/>
      <c r="JI228" s="1035"/>
      <c r="JJ228" s="1035"/>
      <c r="JK228" s="1094">
        <f>(1+FF228)*(1+FN228)-1</f>
        <v>0.334</v>
      </c>
      <c r="JL228" s="1094">
        <f>(1+FG228)*(1+FO228)-1</f>
        <v>0.330561029411765</v>
      </c>
      <c r="JM228" s="1094" t="e">
        <f>(EZ225*(1+FH228)*(1+FP228))/EZ225-1</f>
        <v>#DIV/0!</v>
      </c>
      <c r="JN228" s="1094">
        <f>(1+FI228)*(1+FQ228)-1</f>
        <v>0.21644329004329</v>
      </c>
      <c r="JO228" s="1094" t="e">
        <f>(FB225*(1+FJ228)*(1+FR228))/FB225-1</f>
        <v>#DIV/0!</v>
      </c>
      <c r="JP228" s="1094">
        <f>(1+FK228)*(1+FS228)-1</f>
        <v>0.406022107590273</v>
      </c>
      <c r="JQ228" s="1094">
        <f>(FF225*(1+FN228)*(1+FV228))/FF225-1</f>
        <v>0.4375</v>
      </c>
      <c r="JR228" s="1094">
        <f>(FG225*(1+FO228)*(1+FW228))/FG225-1</f>
        <v>0.631010294117647</v>
      </c>
      <c r="JS228" s="1094">
        <f>(FI225*(1+FQ228)*(1+FY228))/FI225-1</f>
        <v>0.400919500147091</v>
      </c>
      <c r="JT228" s="1094">
        <f>(FK225*(1+FS228)*(1+GA228))/FK225-1</f>
        <v>0.417917285259809</v>
      </c>
      <c r="JU228" s="1035"/>
      <c r="JV228" s="1035"/>
      <c r="JW228" s="1035"/>
      <c r="JX228" s="1035"/>
      <c r="JY228" s="1035"/>
      <c r="KP228" s="1117"/>
      <c r="LV228" s="967"/>
    </row>
    <row r="229" hidden="1" spans="1:334">
      <c r="A229" s="1103" t="s">
        <v>101</v>
      </c>
      <c r="AX229" s="1059"/>
      <c r="BE229" s="1060"/>
      <c r="BN229" s="1059"/>
      <c r="BU229" s="1060"/>
      <c r="BV229" s="1059"/>
      <c r="CC229" s="1060"/>
      <c r="CD229" s="1059"/>
      <c r="CJ229" s="1061"/>
      <c r="CK229" s="1060"/>
      <c r="CL229" s="1059"/>
      <c r="CS229" s="1060"/>
      <c r="CT229" s="1059"/>
      <c r="CW229" s="1062"/>
      <c r="CX229" s="1062"/>
      <c r="DE229" s="1064"/>
      <c r="DF229" s="1064"/>
      <c r="DM229" s="1064"/>
      <c r="DN229" s="1064"/>
      <c r="DU229" s="1064"/>
      <c r="DV229" s="1064"/>
      <c r="EC229" s="1064"/>
      <c r="ED229" s="1064"/>
      <c r="EH229" s="1181"/>
      <c r="EI229" s="1181"/>
      <c r="EJ229" s="1181"/>
      <c r="EK229" s="1181"/>
      <c r="EL229" s="1181"/>
      <c r="EM229" s="1181"/>
      <c r="EN229" s="1181"/>
      <c r="EO229" s="1182"/>
      <c r="EP229" s="1181"/>
      <c r="EQ229" s="1181"/>
      <c r="ER229" s="1181"/>
      <c r="ES229" s="1181"/>
      <c r="ET229" s="1181"/>
      <c r="EU229" s="1181"/>
      <c r="EV229" s="1181"/>
      <c r="EW229" s="1182"/>
      <c r="EX229" s="1071">
        <f>EX174</f>
        <v>462</v>
      </c>
      <c r="EY229" s="1071">
        <f>EY174</f>
        <v>528</v>
      </c>
      <c r="EZ229" s="1071">
        <f>EX229+EY229</f>
        <v>990</v>
      </c>
      <c r="FA229" s="1071">
        <f>FA174</f>
        <v>619</v>
      </c>
      <c r="FB229" s="1071">
        <f>EX229+EY229+FA229</f>
        <v>1609</v>
      </c>
      <c r="FC229" s="1071">
        <f>FC174</f>
        <v>608</v>
      </c>
      <c r="FD229" s="1071">
        <f>FA229+FC229</f>
        <v>1227</v>
      </c>
      <c r="FE229" s="1072">
        <f>EX229+EY229+FA229+FC229</f>
        <v>2217</v>
      </c>
      <c r="FF229" s="1071">
        <f>FF174</f>
        <v>591</v>
      </c>
      <c r="FG229" s="1071">
        <f>FG174</f>
        <v>643</v>
      </c>
      <c r="FH229" s="1071">
        <f>FF229+FG229</f>
        <v>1234</v>
      </c>
      <c r="FI229" s="1071">
        <f>FI174</f>
        <v>776</v>
      </c>
      <c r="FJ229" s="1071">
        <f>FF229+FG229+FI229</f>
        <v>2010</v>
      </c>
      <c r="FK229" s="1071">
        <f>FK174</f>
        <v>744</v>
      </c>
      <c r="FL229" s="1071">
        <f>FI229+FK229</f>
        <v>1520</v>
      </c>
      <c r="FM229" s="1072">
        <f>FM174</f>
        <v>2754</v>
      </c>
      <c r="FN229" s="1071">
        <f>FN174</f>
        <v>728</v>
      </c>
      <c r="FO229" s="1071">
        <f>FO174</f>
        <v>788</v>
      </c>
      <c r="FP229" s="1071">
        <f>FN229+FO229</f>
        <v>1516</v>
      </c>
      <c r="FQ229" s="1071">
        <f>FQ174</f>
        <v>927</v>
      </c>
      <c r="FR229" s="1071">
        <f>FN229+FO229+FQ229</f>
        <v>2443</v>
      </c>
      <c r="FS229" s="1071">
        <f>FS174</f>
        <v>969</v>
      </c>
      <c r="FT229" s="1071">
        <f>FQ229+FS229</f>
        <v>1896</v>
      </c>
      <c r="FU229" s="1071">
        <f>FU174</f>
        <v>3412</v>
      </c>
      <c r="FV229" s="1075">
        <f>FV174</f>
        <v>988</v>
      </c>
      <c r="FW229" s="1071">
        <f>FW174</f>
        <v>1014</v>
      </c>
      <c r="FX229" s="1076">
        <f>FV229+FW229</f>
        <v>2002</v>
      </c>
      <c r="FY229" s="1071">
        <f>FY174</f>
        <v>1099</v>
      </c>
      <c r="FZ229" s="1071">
        <f>FV229+FW229+FY229</f>
        <v>3101</v>
      </c>
      <c r="GA229" s="1071">
        <f>GA174</f>
        <v>1174</v>
      </c>
      <c r="GB229" s="1071">
        <f>FY229+GA229</f>
        <v>2273</v>
      </c>
      <c r="GC229" s="1072">
        <f>GC174</f>
        <v>4275</v>
      </c>
      <c r="GD229" s="1075">
        <f>GD174</f>
        <v>1040</v>
      </c>
      <c r="GE229" s="1071">
        <f>GE174</f>
        <v>1082</v>
      </c>
      <c r="GF229" s="1076">
        <f>GD229+GE229</f>
        <v>2122</v>
      </c>
      <c r="GG229" s="1071">
        <f>GG174</f>
        <v>1269</v>
      </c>
      <c r="GH229" s="1071">
        <f>GD229+GE229+GG229</f>
        <v>3391</v>
      </c>
      <c r="GI229" s="1071">
        <f>GI174</f>
        <v>1297</v>
      </c>
      <c r="GJ229" s="1071">
        <f>GG229+GI229</f>
        <v>2566</v>
      </c>
      <c r="GK229" s="1072">
        <f>GK174</f>
        <v>4688</v>
      </c>
      <c r="GL229" s="1076">
        <f>GL174</f>
        <v>1157</v>
      </c>
      <c r="GM229" s="1071">
        <f>GM174</f>
        <v>1213</v>
      </c>
      <c r="GN229" s="1076">
        <f>GL229+GM229</f>
        <v>2370</v>
      </c>
      <c r="GO229" s="1071">
        <f>GO174</f>
        <v>1468</v>
      </c>
      <c r="GP229" s="1071">
        <f>GL229+GM229+GO229</f>
        <v>3838</v>
      </c>
      <c r="GQ229" s="1071">
        <f>GQ174</f>
        <v>1475</v>
      </c>
      <c r="GR229" s="1071">
        <f>GO229+GQ229</f>
        <v>2943</v>
      </c>
      <c r="GS229" s="1072">
        <f>GS174</f>
        <v>5313</v>
      </c>
      <c r="GT229" s="1076">
        <f>GT174</f>
        <v>1201</v>
      </c>
      <c r="GU229" s="1071">
        <f>GU174</f>
        <v>763</v>
      </c>
      <c r="GV229" s="1076">
        <f>GT229+GU229</f>
        <v>1964</v>
      </c>
      <c r="GW229" s="1071">
        <f>GW174</f>
        <v>1389.462</v>
      </c>
      <c r="GX229" s="1071">
        <f>GT229+GU229+GW229</f>
        <v>3353.462</v>
      </c>
      <c r="GY229" s="1071">
        <f>GY174</f>
        <v>1408.538</v>
      </c>
      <c r="GZ229" s="1071">
        <f>GW229+GY229</f>
        <v>2798</v>
      </c>
      <c r="HA229" s="1072">
        <f>HA174</f>
        <v>4762</v>
      </c>
      <c r="HB229" s="1076"/>
      <c r="HC229" s="1071"/>
      <c r="HD229" s="1071"/>
      <c r="HE229" s="1071"/>
      <c r="HF229" s="1071"/>
      <c r="HG229" s="1071"/>
      <c r="HH229" s="1071"/>
      <c r="HI229" s="1072"/>
      <c r="HJ229" s="1071"/>
      <c r="HK229" s="1071"/>
      <c r="HL229" s="1071"/>
      <c r="HM229" s="1071"/>
      <c r="HN229" s="1071"/>
      <c r="HO229" s="1071"/>
      <c r="HP229" s="1071"/>
      <c r="HQ229" s="1072"/>
      <c r="HR229" s="1071"/>
      <c r="HS229" s="1071"/>
      <c r="HT229" s="1071"/>
      <c r="HU229" s="1071"/>
      <c r="HV229" s="1071"/>
      <c r="HW229" s="1071"/>
      <c r="HX229" s="1071"/>
      <c r="HY229" s="1071"/>
      <c r="HZ229" s="1071"/>
      <c r="IA229" s="1071"/>
      <c r="IB229" s="1071"/>
      <c r="IC229" s="1071"/>
      <c r="ID229" s="1071"/>
      <c r="IE229" s="1071"/>
      <c r="IF229" s="1071"/>
      <c r="IG229" s="1072"/>
      <c r="IH229" s="1071"/>
      <c r="II229" s="1071"/>
      <c r="IJ229" s="1071"/>
      <c r="IK229" s="1071"/>
      <c r="IL229" s="1071"/>
      <c r="IM229" s="1071"/>
      <c r="IN229" s="1071"/>
      <c r="IO229" s="1072"/>
      <c r="IP229" s="1071"/>
      <c r="IQ229" s="1071"/>
      <c r="IR229" s="1071"/>
      <c r="IS229" s="1071"/>
      <c r="IT229" s="1071"/>
      <c r="IU229" s="1071"/>
      <c r="IV229" s="1071"/>
      <c r="IW229" s="1071"/>
      <c r="IX229" s="1104"/>
      <c r="IY229" s="1049"/>
      <c r="IZ229" s="1049"/>
      <c r="JA229" s="1037" t="s">
        <v>548</v>
      </c>
      <c r="JB229" s="1049"/>
      <c r="JC229" s="1049"/>
      <c r="JD229" s="1041"/>
      <c r="JE229" s="1037"/>
      <c r="JF229" s="1037"/>
      <c r="JG229" s="1037"/>
      <c r="JH229" s="1037"/>
      <c r="JI229" s="1035"/>
      <c r="JJ229" s="1035"/>
      <c r="JK229" s="1035"/>
      <c r="JL229" s="1035"/>
      <c r="JM229" s="1035"/>
      <c r="JN229" s="1035"/>
      <c r="JO229" s="1035"/>
      <c r="JP229" s="1035"/>
      <c r="JQ229" s="1094">
        <f>1*(1+FF228)*(1+FN228)*(1+FV228)-1</f>
        <v>0.6675</v>
      </c>
      <c r="JR229" s="1094">
        <f>1*(1+FG228)*(1+FO228)*(1+FW228)-1</f>
        <v>0.769646169117647</v>
      </c>
      <c r="JS229" s="1094">
        <f>1*(1+FI228)*(1+FQ228)*(1+FY228)-1</f>
        <v>0.477333291064205</v>
      </c>
      <c r="JT229" s="1094">
        <f>1*(1+FK228)*(1+FS228)*(1+GA228)-1</f>
        <v>0.633729102575624</v>
      </c>
      <c r="JU229" s="1035"/>
      <c r="JV229" s="1035"/>
      <c r="JW229" s="1035"/>
      <c r="JX229" s="1035"/>
      <c r="JY229" s="1035"/>
      <c r="KP229" s="1117"/>
      <c r="LV229" s="967"/>
    </row>
    <row r="230" hidden="1" spans="1:334">
      <c r="A230" s="967" t="s">
        <v>80</v>
      </c>
      <c r="AX230" s="1059"/>
      <c r="BE230" s="1060"/>
      <c r="BN230" s="1059"/>
      <c r="BU230" s="1060"/>
      <c r="BV230" s="1059"/>
      <c r="CC230" s="1060"/>
      <c r="CD230" s="1059"/>
      <c r="CJ230" s="1061"/>
      <c r="CK230" s="1060"/>
      <c r="CL230" s="1059"/>
      <c r="CS230" s="1060"/>
      <c r="CT230" s="1059"/>
      <c r="CW230" s="1062"/>
      <c r="CX230" s="1062"/>
      <c r="DE230" s="1064"/>
      <c r="DF230" s="1064"/>
      <c r="DM230" s="1064"/>
      <c r="DN230" s="1064"/>
      <c r="DU230" s="1064"/>
      <c r="DV230" s="1064"/>
      <c r="EC230" s="1064"/>
      <c r="ED230" s="1064"/>
      <c r="EH230" s="1181"/>
      <c r="EI230" s="1181"/>
      <c r="EJ230" s="1181"/>
      <c r="EK230" s="1181"/>
      <c r="EL230" s="1181"/>
      <c r="EM230" s="1181"/>
      <c r="EN230" s="1181"/>
      <c r="EO230" s="1182"/>
      <c r="EP230" s="1181"/>
      <c r="EQ230" s="1181"/>
      <c r="ER230" s="1181"/>
      <c r="ES230" s="1181"/>
      <c r="ET230" s="1181"/>
      <c r="EU230" s="1181"/>
      <c r="EV230" s="1181"/>
      <c r="EW230" s="1182"/>
      <c r="EX230" s="1148">
        <v>359</v>
      </c>
      <c r="EY230" s="1148">
        <v>418</v>
      </c>
      <c r="EZ230" s="1148">
        <f>EX230+EY230</f>
        <v>777</v>
      </c>
      <c r="FA230" s="1148">
        <v>486</v>
      </c>
      <c r="FB230" s="1148">
        <f>EX230+EY230+FA230</f>
        <v>1263</v>
      </c>
      <c r="FC230" s="1148">
        <v>477</v>
      </c>
      <c r="FD230" s="1148">
        <f>FA230+FC230</f>
        <v>963</v>
      </c>
      <c r="FE230" s="1149">
        <f>EX230+EY230+FA230+FC230</f>
        <v>1740</v>
      </c>
      <c r="FF230" s="1148">
        <v>470</v>
      </c>
      <c r="FG230" s="1148">
        <f>FH230-FF230</f>
        <v>520</v>
      </c>
      <c r="FH230" s="1148">
        <v>990</v>
      </c>
      <c r="FI230" s="1148">
        <f>FJ230-FH230</f>
        <v>639</v>
      </c>
      <c r="FJ230" s="1148">
        <v>1629</v>
      </c>
      <c r="FK230" s="1148">
        <f>FM230-FJ230</f>
        <v>602</v>
      </c>
      <c r="FL230" s="1148">
        <f>FI230+FK230</f>
        <v>1241</v>
      </c>
      <c r="FM230" s="1149">
        <v>2231</v>
      </c>
      <c r="FN230" s="1148">
        <v>621</v>
      </c>
      <c r="FO230" s="1148">
        <f>FP230-FN230</f>
        <v>673</v>
      </c>
      <c r="FP230" s="1148">
        <v>1294</v>
      </c>
      <c r="FQ230" s="1148">
        <f>FR230-FP230</f>
        <v>788</v>
      </c>
      <c r="FR230" s="1148">
        <v>2082</v>
      </c>
      <c r="FS230" s="1148">
        <f>FU230-FR230</f>
        <v>815</v>
      </c>
      <c r="FT230" s="1148">
        <f>FQ230+FS230</f>
        <v>1603</v>
      </c>
      <c r="FU230" s="1148">
        <v>2897</v>
      </c>
      <c r="FV230" s="1278">
        <v>880</v>
      </c>
      <c r="FW230" s="1148">
        <v>915</v>
      </c>
      <c r="FX230" s="1279">
        <f>FV230+FW230</f>
        <v>1795</v>
      </c>
      <c r="FY230" s="1148">
        <f>FZ230-FX230</f>
        <v>994</v>
      </c>
      <c r="FZ230" s="1148">
        <v>2789</v>
      </c>
      <c r="GA230" s="1148">
        <f>GC230-FZ230</f>
        <v>1054</v>
      </c>
      <c r="GB230" s="1148">
        <f>FY230+GA230</f>
        <v>2048</v>
      </c>
      <c r="GC230" s="1149">
        <v>3843</v>
      </c>
      <c r="GD230" s="1278">
        <v>944</v>
      </c>
      <c r="GE230" s="1148">
        <v>984.999999999999</v>
      </c>
      <c r="GF230" s="1279">
        <f>GD230+GE230</f>
        <v>1929</v>
      </c>
      <c r="GG230" s="1148">
        <v>1165</v>
      </c>
      <c r="GH230" s="1148">
        <f>GG230+GF230</f>
        <v>3094</v>
      </c>
      <c r="GI230" s="1148">
        <f>GK230-GH230</f>
        <v>1183</v>
      </c>
      <c r="GJ230" s="1148">
        <f>GG230+GI230</f>
        <v>2348</v>
      </c>
      <c r="GK230" s="1149">
        <v>4277</v>
      </c>
      <c r="GL230" s="1279">
        <v>1066</v>
      </c>
      <c r="GM230" s="1148">
        <v>1100</v>
      </c>
      <c r="GN230" s="1279">
        <f>GL230+GM230</f>
        <v>2166</v>
      </c>
      <c r="GO230" s="1148">
        <v>1341</v>
      </c>
      <c r="GP230" s="1148">
        <f>GO230+GN230</f>
        <v>3507</v>
      </c>
      <c r="GQ230" s="1148">
        <f>GS230-GP230</f>
        <v>1321</v>
      </c>
      <c r="GR230" s="1148">
        <f>GO230+GQ230</f>
        <v>2662</v>
      </c>
      <c r="GS230" s="1149">
        <v>4828</v>
      </c>
      <c r="GT230" s="1279">
        <v>1112</v>
      </c>
      <c r="GU230" s="1148">
        <v>700</v>
      </c>
      <c r="GV230" s="1279">
        <f>GT230+GU230</f>
        <v>1812</v>
      </c>
      <c r="GW230" s="1148">
        <v>1265</v>
      </c>
      <c r="GX230" s="1148">
        <f>GW230+GV230</f>
        <v>3077</v>
      </c>
      <c r="GY230" s="1148">
        <f>HA230-GX230</f>
        <v>1288</v>
      </c>
      <c r="GZ230" s="1148">
        <f>GW230+GY230</f>
        <v>2553</v>
      </c>
      <c r="HA230" s="1149">
        <v>4365</v>
      </c>
      <c r="HB230" s="1279"/>
      <c r="HC230" s="1148"/>
      <c r="HD230" s="1148"/>
      <c r="HE230" s="1148"/>
      <c r="HF230" s="1148"/>
      <c r="HG230" s="1148"/>
      <c r="HH230" s="1148"/>
      <c r="HI230" s="1149"/>
      <c r="HJ230" s="1148"/>
      <c r="HK230" s="1148"/>
      <c r="HL230" s="1148"/>
      <c r="HM230" s="1148"/>
      <c r="HN230" s="1148"/>
      <c r="HO230" s="1148"/>
      <c r="HP230" s="1148"/>
      <c r="HQ230" s="1149"/>
      <c r="HR230" s="1148"/>
      <c r="HS230" s="1148"/>
      <c r="HT230" s="1148"/>
      <c r="HU230" s="1148"/>
      <c r="HV230" s="1148"/>
      <c r="HW230" s="1148"/>
      <c r="HX230" s="1148"/>
      <c r="HY230" s="1148"/>
      <c r="HZ230" s="1148"/>
      <c r="IA230" s="1148"/>
      <c r="IB230" s="1148"/>
      <c r="IC230" s="1148"/>
      <c r="ID230" s="1148"/>
      <c r="IE230" s="1148"/>
      <c r="IF230" s="1148"/>
      <c r="IG230" s="1149"/>
      <c r="IH230" s="1148"/>
      <c r="II230" s="1148"/>
      <c r="IJ230" s="1148"/>
      <c r="IK230" s="1148"/>
      <c r="IL230" s="1148"/>
      <c r="IM230" s="1148"/>
      <c r="IN230" s="1148"/>
      <c r="IO230" s="1149"/>
      <c r="IP230" s="1148"/>
      <c r="IQ230" s="1148"/>
      <c r="IR230" s="1148"/>
      <c r="IS230" s="1148"/>
      <c r="IT230" s="1148"/>
      <c r="IU230" s="1148"/>
      <c r="IV230" s="1148"/>
      <c r="IW230" s="1148"/>
      <c r="IX230" s="1104"/>
      <c r="IY230" s="1049"/>
      <c r="IZ230" s="1049"/>
      <c r="JA230" s="1049"/>
      <c r="JB230" s="1049"/>
      <c r="JC230" s="1049"/>
      <c r="JD230" s="1041"/>
      <c r="JE230" s="1037"/>
      <c r="JF230" s="1037"/>
      <c r="JG230" s="1037"/>
      <c r="JH230" s="1037"/>
      <c r="JI230" s="1035"/>
      <c r="JJ230" s="1035"/>
      <c r="JK230" s="1094"/>
      <c r="JL230" s="1094"/>
      <c r="JM230" s="1094"/>
      <c r="JN230" s="1094"/>
      <c r="JO230" s="1094"/>
      <c r="JP230" s="1094"/>
      <c r="JQ230" s="1094"/>
      <c r="JR230" s="1094"/>
      <c r="JS230" s="1094"/>
      <c r="JT230" s="1094"/>
      <c r="JU230" s="1035"/>
      <c r="JV230" s="1035"/>
      <c r="JW230" s="1035"/>
      <c r="JX230" s="1035"/>
      <c r="JY230" s="1035"/>
      <c r="KP230" s="1117"/>
      <c r="LV230" s="967"/>
    </row>
    <row r="231" hidden="1" spans="1:334">
      <c r="A231" s="967" t="s">
        <v>113</v>
      </c>
      <c r="AX231" s="1059"/>
      <c r="BE231" s="1060"/>
      <c r="BN231" s="1059"/>
      <c r="BU231" s="1060"/>
      <c r="BV231" s="1059"/>
      <c r="CC231" s="1060"/>
      <c r="CD231" s="1059"/>
      <c r="CJ231" s="1061"/>
      <c r="CK231" s="1060"/>
      <c r="CL231" s="1059"/>
      <c r="CS231" s="1060"/>
      <c r="CT231" s="1059"/>
      <c r="CW231" s="1062"/>
      <c r="CX231" s="1062"/>
      <c r="DE231" s="1064"/>
      <c r="DF231" s="1064"/>
      <c r="DM231" s="1064"/>
      <c r="DN231" s="1064"/>
      <c r="DU231" s="1064"/>
      <c r="DV231" s="1064"/>
      <c r="EC231" s="1064"/>
      <c r="ED231" s="1064"/>
      <c r="EH231" s="1181"/>
      <c r="EI231" s="1181"/>
      <c r="EJ231" s="1181"/>
      <c r="EK231" s="1181"/>
      <c r="EL231" s="1181"/>
      <c r="EM231" s="1181"/>
      <c r="EN231" s="1181"/>
      <c r="EO231" s="1182"/>
      <c r="EP231" s="1181"/>
      <c r="EQ231" s="1181"/>
      <c r="ER231" s="1181"/>
      <c r="ES231" s="1181"/>
      <c r="ET231" s="1181"/>
      <c r="EU231" s="1181"/>
      <c r="EV231" s="1181"/>
      <c r="EW231" s="1182"/>
      <c r="EX231" s="1181"/>
      <c r="EY231" s="1181"/>
      <c r="EZ231" s="1181"/>
      <c r="FA231" s="1181"/>
      <c r="FB231" s="1181"/>
      <c r="FC231" s="1181"/>
      <c r="FD231" s="1181"/>
      <c r="FE231" s="1182"/>
      <c r="FF231" s="1181">
        <f t="shared" ref="FF231:FM231" si="1247">FF230/EX230-1</f>
        <v>0.309192200557103</v>
      </c>
      <c r="FG231" s="1181">
        <f t="shared" si="1247"/>
        <v>0.244019138755981</v>
      </c>
      <c r="FH231" s="1181">
        <f t="shared" si="1247"/>
        <v>0.274131274131274</v>
      </c>
      <c r="FI231" s="1181">
        <f t="shared" si="1247"/>
        <v>0.314814814814815</v>
      </c>
      <c r="FJ231" s="1181">
        <f t="shared" si="1247"/>
        <v>0.28978622327791</v>
      </c>
      <c r="FK231" s="1181">
        <f t="shared" si="1247"/>
        <v>0.262054507337526</v>
      </c>
      <c r="FL231" s="1181">
        <f t="shared" si="1247"/>
        <v>0.288681204569055</v>
      </c>
      <c r="FM231" s="1182">
        <f t="shared" si="1247"/>
        <v>0.282183908045977</v>
      </c>
      <c r="FN231" s="1181">
        <f t="shared" ref="FN231:FX231" si="1248">FN230/FF230-1</f>
        <v>0.321276595744681</v>
      </c>
      <c r="FO231" s="1181">
        <f t="shared" si="1248"/>
        <v>0.294230769230769</v>
      </c>
      <c r="FP231" s="1181">
        <f t="shared" si="1248"/>
        <v>0.307070707070707</v>
      </c>
      <c r="FQ231" s="1181">
        <f t="shared" si="1248"/>
        <v>0.233176838810642</v>
      </c>
      <c r="FR231" s="1181">
        <f t="shared" si="1248"/>
        <v>0.278084714548803</v>
      </c>
      <c r="FS231" s="1181">
        <f t="shared" si="1248"/>
        <v>0.353820598006644</v>
      </c>
      <c r="FT231" s="1181">
        <f t="shared" si="1248"/>
        <v>0.291700241740532</v>
      </c>
      <c r="FU231" s="1181">
        <f t="shared" si="1248"/>
        <v>0.298520842671448</v>
      </c>
      <c r="FV231" s="1220">
        <f t="shared" si="1248"/>
        <v>0.4170692431562</v>
      </c>
      <c r="FW231" s="1181">
        <f t="shared" si="1248"/>
        <v>0.359583952451709</v>
      </c>
      <c r="FX231" s="1181">
        <f t="shared" si="1248"/>
        <v>0.387171561051005</v>
      </c>
      <c r="FY231" s="1181">
        <f t="shared" ref="FY231" si="1249">FY230/FQ230-1</f>
        <v>0.261421319796954</v>
      </c>
      <c r="FZ231" s="1181">
        <f t="shared" ref="FZ231" si="1250">FZ230/FR230-1</f>
        <v>0.339577329490874</v>
      </c>
      <c r="GA231" s="1181">
        <f t="shared" ref="GA231" si="1251">GA230/FS230-1</f>
        <v>0.293251533742331</v>
      </c>
      <c r="GB231" s="1181">
        <f t="shared" ref="GB231" si="1252">GB230/FT230-1</f>
        <v>0.277604491578291</v>
      </c>
      <c r="GC231" s="1182">
        <f t="shared" ref="GC231" si="1253">GC230/FU230-1</f>
        <v>0.326544701415257</v>
      </c>
      <c r="GD231" s="1220">
        <v>0.07</v>
      </c>
      <c r="GE231" s="1181">
        <f>GE230/FW230-1</f>
        <v>0.0765027322404361</v>
      </c>
      <c r="GF231" s="1181">
        <f>GF230/FX230-1</f>
        <v>0.0746518105849576</v>
      </c>
      <c r="GG231" s="1181">
        <f>GG230/FY230-1</f>
        <v>0.172032193158954</v>
      </c>
      <c r="GH231" s="1181">
        <f>GH230/FZ230-1</f>
        <v>0.109358192900681</v>
      </c>
      <c r="GI231" s="1181">
        <f t="shared" ref="GI231" si="1254">GI230/GA230-1</f>
        <v>0.122390891840608</v>
      </c>
      <c r="GJ231" s="1181">
        <f t="shared" ref="GJ231" si="1255">GJ230/GB230-1</f>
        <v>0.146484375</v>
      </c>
      <c r="GK231" s="1182">
        <f t="shared" ref="GK231:GP231" si="1256">GK230/GC230-1</f>
        <v>0.112932604735883</v>
      </c>
      <c r="GL231" s="1181">
        <f t="shared" si="1256"/>
        <v>0.129237288135593</v>
      </c>
      <c r="GM231" s="1181">
        <f t="shared" si="1256"/>
        <v>0.116751269035534</v>
      </c>
      <c r="GN231" s="1181">
        <f t="shared" si="1256"/>
        <v>0.122861586314153</v>
      </c>
      <c r="GO231" s="1181">
        <f t="shared" si="1256"/>
        <v>0.151072961373391</v>
      </c>
      <c r="GP231" s="1181">
        <f t="shared" si="1256"/>
        <v>0.133484162895928</v>
      </c>
      <c r="GQ231" s="1181">
        <f t="shared" ref="GQ231" si="1257">GQ230/GI230-1</f>
        <v>0.116652578191039</v>
      </c>
      <c r="GR231" s="1181">
        <f t="shared" ref="GR231" si="1258">GR230/GJ230-1</f>
        <v>0.133730834752981</v>
      </c>
      <c r="GS231" s="1182">
        <f t="shared" ref="GS231:GX231" si="1259">GS230/GK230-1</f>
        <v>0.12882861819032</v>
      </c>
      <c r="GT231" s="1181">
        <f t="shared" si="1259"/>
        <v>0.0431519699812384</v>
      </c>
      <c r="GU231" s="1181">
        <f t="shared" si="1259"/>
        <v>-0.363636363636364</v>
      </c>
      <c r="GV231" s="1181">
        <f t="shared" si="1259"/>
        <v>-0.163434903047091</v>
      </c>
      <c r="GW231" s="1181">
        <f t="shared" si="1259"/>
        <v>-0.0566741237882178</v>
      </c>
      <c r="GX231" s="1181">
        <f t="shared" si="1259"/>
        <v>-0.122611919019105</v>
      </c>
      <c r="GY231" s="1181">
        <f t="shared" ref="GY231" si="1260">GY230/GQ230-1</f>
        <v>-0.0249810749432249</v>
      </c>
      <c r="GZ231" s="1181">
        <f t="shared" ref="GZ231" si="1261">GZ230/GR230-1</f>
        <v>-0.040946656649136</v>
      </c>
      <c r="HA231" s="1182">
        <f t="shared" ref="HA231" si="1262">HA230/GS230-1</f>
        <v>-0.0958989229494615</v>
      </c>
      <c r="HB231" s="1181"/>
      <c r="HC231" s="1181"/>
      <c r="HD231" s="1181"/>
      <c r="HE231" s="1181"/>
      <c r="HF231" s="1181"/>
      <c r="HG231" s="1181"/>
      <c r="HH231" s="1181"/>
      <c r="HI231" s="1182"/>
      <c r="HJ231" s="1181"/>
      <c r="HK231" s="1181"/>
      <c r="HL231" s="1181"/>
      <c r="HM231" s="1181"/>
      <c r="HN231" s="1181"/>
      <c r="HO231" s="1181"/>
      <c r="HP231" s="1181"/>
      <c r="HQ231" s="1182"/>
      <c r="HR231" s="1181"/>
      <c r="HS231" s="1181"/>
      <c r="HT231" s="1181"/>
      <c r="HU231" s="1181"/>
      <c r="HV231" s="1181"/>
      <c r="HW231" s="1181"/>
      <c r="HX231" s="1181"/>
      <c r="HY231" s="1181"/>
      <c r="HZ231" s="1181"/>
      <c r="IA231" s="1181"/>
      <c r="IB231" s="1181"/>
      <c r="IC231" s="1181"/>
      <c r="ID231" s="1181"/>
      <c r="IE231" s="1181"/>
      <c r="IF231" s="1181"/>
      <c r="IG231" s="1182"/>
      <c r="IH231" s="1181"/>
      <c r="II231" s="1181"/>
      <c r="IJ231" s="1181"/>
      <c r="IK231" s="1181"/>
      <c r="IL231" s="1181"/>
      <c r="IM231" s="1181"/>
      <c r="IN231" s="1181"/>
      <c r="IO231" s="1182"/>
      <c r="IP231" s="1181"/>
      <c r="IQ231" s="1181"/>
      <c r="IR231" s="1181"/>
      <c r="IS231" s="1181"/>
      <c r="IT231" s="1181"/>
      <c r="IU231" s="1181"/>
      <c r="IV231" s="1181"/>
      <c r="IW231" s="1181"/>
      <c r="IX231" s="1104"/>
      <c r="IY231" s="1049"/>
      <c r="IZ231" s="1049"/>
      <c r="JB231" s="1049"/>
      <c r="JC231" s="1049"/>
      <c r="JD231" s="1041"/>
      <c r="JE231" s="1037"/>
      <c r="JF231" s="1037"/>
      <c r="JG231" s="1037"/>
      <c r="JH231" s="1037"/>
      <c r="JI231" s="1035"/>
      <c r="JJ231" s="1035"/>
      <c r="JK231" s="1035"/>
      <c r="JL231" s="1035"/>
      <c r="JM231" s="1035"/>
      <c r="JN231" s="1035"/>
      <c r="JO231" s="1035"/>
      <c r="JP231" s="1035"/>
      <c r="JQ231" s="1094"/>
      <c r="JR231" s="1094"/>
      <c r="JS231" s="1094"/>
      <c r="JT231" s="1094"/>
      <c r="JU231" s="1035"/>
      <c r="JV231" s="1035"/>
      <c r="JW231" s="1035"/>
      <c r="JX231" s="1035"/>
      <c r="JY231" s="1035"/>
      <c r="KP231" s="1117"/>
      <c r="LV231" s="967"/>
    </row>
    <row r="232" hidden="1" spans="1:334">
      <c r="A232" s="967" t="s">
        <v>100</v>
      </c>
      <c r="AX232" s="1059"/>
      <c r="BE232" s="1060"/>
      <c r="BN232" s="1059"/>
      <c r="BU232" s="1060"/>
      <c r="BV232" s="1059"/>
      <c r="CC232" s="1060"/>
      <c r="CD232" s="1059"/>
      <c r="CJ232" s="1061"/>
      <c r="CK232" s="1060"/>
      <c r="CL232" s="1059"/>
      <c r="CS232" s="1060"/>
      <c r="CT232" s="1059"/>
      <c r="CW232" s="1062"/>
      <c r="CX232" s="1062"/>
      <c r="DE232" s="1064"/>
      <c r="DF232" s="1064"/>
      <c r="DM232" s="1064"/>
      <c r="DN232" s="1064"/>
      <c r="DU232" s="1064"/>
      <c r="DV232" s="1064"/>
      <c r="EC232" s="1064"/>
      <c r="ED232" s="1064"/>
      <c r="EH232" s="1181"/>
      <c r="EI232" s="1181"/>
      <c r="EJ232" s="1181"/>
      <c r="EK232" s="1181"/>
      <c r="EL232" s="1181"/>
      <c r="EM232" s="1181"/>
      <c r="EN232" s="1181"/>
      <c r="EO232" s="1182"/>
      <c r="EP232" s="1181"/>
      <c r="EQ232" s="1181"/>
      <c r="ER232" s="1181"/>
      <c r="ES232" s="1181"/>
      <c r="ET232" s="1181"/>
      <c r="EU232" s="1181"/>
      <c r="EV232" s="1181"/>
      <c r="EW232" s="1182"/>
      <c r="EX232" s="1181"/>
      <c r="EY232" s="1181"/>
      <c r="EZ232" s="1181"/>
      <c r="FA232" s="1181"/>
      <c r="FB232" s="1181"/>
      <c r="FC232" s="1181"/>
      <c r="FD232" s="1181"/>
      <c r="FE232" s="1182"/>
      <c r="FF232" s="1181">
        <v>0.09</v>
      </c>
      <c r="FG232" s="1181">
        <f>(EZ230*FH232-EX230*FF232)/EY230</f>
        <v>0.0156459330143541</v>
      </c>
      <c r="FH232" s="1181">
        <v>0.05</v>
      </c>
      <c r="FI232" s="1181">
        <f>(FB230*FJ232-EZ230*FH232)/FA230</f>
        <v>0.127962962962963</v>
      </c>
      <c r="FJ232" s="1181">
        <v>0.08</v>
      </c>
      <c r="FK232" s="1181">
        <f>(FE230*FM232-FB230*FJ232)/FC230</f>
        <v>0.116477987421384</v>
      </c>
      <c r="FL232" s="1181">
        <f>(FE230*FM232-EZ230*FH232)/FD230</f>
        <v>0.122274143302181</v>
      </c>
      <c r="FM232" s="1182">
        <v>0.09</v>
      </c>
      <c r="FN232" s="1181">
        <v>0.31</v>
      </c>
      <c r="FO232" s="1181">
        <f>(FH230*FP232-FF230*FN232)/FG230</f>
        <v>0.329038461538462</v>
      </c>
      <c r="FP232" s="1181">
        <v>0.32</v>
      </c>
      <c r="FQ232" s="1181">
        <f>(FJ230*FR232-FH230*FP232)/FI230</f>
        <v>0.243521126760563</v>
      </c>
      <c r="FR232" s="1181">
        <v>0.29</v>
      </c>
      <c r="FS232" s="1181">
        <f>(FM230*FU232-FJ230*FR232)/FK230</f>
        <v>0.327059800664452</v>
      </c>
      <c r="FT232" s="1181">
        <f>(FM230*FU232-FH230*FP232)/FL230</f>
        <v>0.284045124899275</v>
      </c>
      <c r="FU232" s="1181">
        <v>0.3</v>
      </c>
      <c r="FV232" s="1220">
        <v>0.36</v>
      </c>
      <c r="FW232" s="1181">
        <v>0.33</v>
      </c>
      <c r="FX232" s="1218">
        <f>(FV232*FN229+FW232*FO229)/FP229</f>
        <v>0.344406332453826</v>
      </c>
      <c r="FY232" s="1181">
        <f>(FR230*FZ232-FP230*FX232)/FQ230</f>
        <v>0.306342900767448</v>
      </c>
      <c r="FZ232" s="1181">
        <v>0.33</v>
      </c>
      <c r="GA232" s="1181">
        <f>(FU230*GC232-FR230*FZ232)/FS230</f>
        <v>0.401092024539877</v>
      </c>
      <c r="GB232" s="1181">
        <f>(FU230*GC232-FP230*FX232)/FT230</f>
        <v>0.354515412230037</v>
      </c>
      <c r="GC232" s="1182">
        <v>0.35</v>
      </c>
      <c r="GD232" s="1220">
        <v>0.23</v>
      </c>
      <c r="GE232" s="1181">
        <v>0.171147540983607</v>
      </c>
      <c r="GF232" s="1218">
        <f>(GD232*FV230+GE232*FW230)/FX230</f>
        <v>0.2</v>
      </c>
      <c r="GG232" s="1181">
        <v>0.18</v>
      </c>
      <c r="GH232" s="1181"/>
      <c r="GI232" s="1181">
        <v>0.1</v>
      </c>
      <c r="GJ232" s="1181">
        <f>(GC230*GK232-FX230*GF232)/GB230</f>
        <v>0.1437060546875</v>
      </c>
      <c r="GK232" s="1182">
        <v>0.17</v>
      </c>
      <c r="GL232" s="1218">
        <v>0.05</v>
      </c>
      <c r="GM232" s="1181">
        <v>0.05</v>
      </c>
      <c r="GN232" s="1218">
        <f>(GL232*GD230+GM232*GE230)/GF230</f>
        <v>0.05</v>
      </c>
      <c r="GO232" s="1181">
        <v>0.1</v>
      </c>
      <c r="GP232" s="1181"/>
      <c r="GQ232" s="1181">
        <v>0.08</v>
      </c>
      <c r="GR232" s="1181">
        <f>(GK230*GS232-GF230*GN232)/GJ230</f>
        <v>0.0864310051107325</v>
      </c>
      <c r="GS232" s="1182">
        <v>0.07</v>
      </c>
      <c r="GT232" s="1218">
        <v>0.01</v>
      </c>
      <c r="GU232" s="1181">
        <v>-0.37</v>
      </c>
      <c r="GV232" s="1218">
        <f>(GT232*GL230+GU232*GM230)/GN230</f>
        <v>-0.182982456140351</v>
      </c>
      <c r="GW232" s="1181">
        <v>-0.01</v>
      </c>
      <c r="GX232" s="1181"/>
      <c r="GY232" s="1181">
        <v>0.04</v>
      </c>
      <c r="GZ232" s="1181">
        <f>(GS230*HA232-GN230*GV232)/GR230</f>
        <v>0.00379413974455296</v>
      </c>
      <c r="HA232" s="1182">
        <v>-0.08</v>
      </c>
      <c r="HB232" s="1218"/>
      <c r="HC232" s="1181"/>
      <c r="HD232" s="1181"/>
      <c r="HE232" s="1181"/>
      <c r="HF232" s="1181"/>
      <c r="HG232" s="1181"/>
      <c r="HH232" s="1181"/>
      <c r="HI232" s="1182"/>
      <c r="HJ232" s="1181"/>
      <c r="HK232" s="1181"/>
      <c r="HL232" s="1181"/>
      <c r="HM232" s="1181"/>
      <c r="HN232" s="1181"/>
      <c r="HO232" s="1181"/>
      <c r="HP232" s="1181"/>
      <c r="HQ232" s="1182"/>
      <c r="HR232" s="1181"/>
      <c r="HS232" s="1181"/>
      <c r="HT232" s="1181"/>
      <c r="HU232" s="1181"/>
      <c r="HV232" s="1181"/>
      <c r="HW232" s="1181"/>
      <c r="HX232" s="1181"/>
      <c r="HY232" s="1181"/>
      <c r="HZ232" s="1181"/>
      <c r="IA232" s="1181"/>
      <c r="IB232" s="1181"/>
      <c r="IC232" s="1181"/>
      <c r="ID232" s="1181"/>
      <c r="IE232" s="1181"/>
      <c r="IF232" s="1181"/>
      <c r="IG232" s="1182"/>
      <c r="IH232" s="1181"/>
      <c r="II232" s="1181"/>
      <c r="IJ232" s="1181"/>
      <c r="IK232" s="1181"/>
      <c r="IL232" s="1181"/>
      <c r="IM232" s="1181"/>
      <c r="IN232" s="1181"/>
      <c r="IO232" s="1182"/>
      <c r="IP232" s="1181"/>
      <c r="IQ232" s="1181">
        <f>(FG232+1)*(1+FO232)-1</f>
        <v>0.349832508281193</v>
      </c>
      <c r="IR232" s="1181">
        <f>(FI232+1)*(FQ232+1)-1</f>
        <v>0.402645774647887</v>
      </c>
      <c r="IS232" s="1181">
        <f>(FK232+1)*(1+FS232)-1</f>
        <v>0.48163305543367</v>
      </c>
      <c r="IT232" s="1181"/>
      <c r="IU232" s="1181"/>
      <c r="IV232" s="1181"/>
      <c r="IW232" s="1181"/>
      <c r="IX232" s="1104"/>
      <c r="IY232" s="1049"/>
      <c r="IZ232" s="1049"/>
      <c r="JA232" s="1037" t="s">
        <v>546</v>
      </c>
      <c r="JB232" s="1049"/>
      <c r="JC232" s="1049"/>
      <c r="JD232" s="1041"/>
      <c r="JE232" s="1037"/>
      <c r="JF232" s="1037"/>
      <c r="JG232" s="1037"/>
      <c r="JH232" s="1037"/>
      <c r="JI232" s="1035"/>
      <c r="JJ232" s="1035"/>
      <c r="JK232" s="1094">
        <f>(EX229*(1+FF232)*(1+FN232))/EX229-1</f>
        <v>0.4279</v>
      </c>
      <c r="JL232" s="1094">
        <f>(EY229*(1+FG232)*(1+FO232))/EY229-1</f>
        <v>0.349832508281193</v>
      </c>
      <c r="JM232" s="1094">
        <f>(EZ229*(1+FH232)*(1+FP232))/EZ229-1</f>
        <v>0.386</v>
      </c>
      <c r="JN232" s="1094">
        <f>(1+FI232)*(1+FQ232)-1</f>
        <v>0.402645774647887</v>
      </c>
      <c r="JO232" s="1094">
        <f>(FB229*(1+FJ232)*(1+FR232))/FB229-1</f>
        <v>0.3932</v>
      </c>
      <c r="JP232" s="1094">
        <f>(FC229*(1+FK232)*(1+FS232))/FC229-1</f>
        <v>0.48163305543367</v>
      </c>
      <c r="JQ232" s="1094">
        <f>(1+FN232)*(1+FV232)-1</f>
        <v>0.7816</v>
      </c>
      <c r="JR232" s="1094">
        <f>(FG229*(1+FO232)*(1+FW232))/FG229-1</f>
        <v>0.767621153846154</v>
      </c>
      <c r="JS232" s="1094">
        <f>(FI229*(1+FQ232)*(1+FY232))/FI229-1</f>
        <v>0.624464995898</v>
      </c>
      <c r="JT232" s="1094">
        <f>(FK229*(1+FS232)*(1+GA232))/FK229-1</f>
        <v>0.859332902798442</v>
      </c>
      <c r="JU232" s="1035"/>
      <c r="JV232" s="1035"/>
      <c r="JW232" s="1035"/>
      <c r="JX232" s="1035"/>
      <c r="JY232" s="1035"/>
      <c r="KP232" s="1117"/>
      <c r="LV232" s="967"/>
    </row>
    <row r="233" hidden="1" spans="1:334">
      <c r="A233" s="967" t="s">
        <v>82</v>
      </c>
      <c r="AX233" s="1059"/>
      <c r="BE233" s="1060"/>
      <c r="BN233" s="1059"/>
      <c r="BU233" s="1060"/>
      <c r="BV233" s="1059"/>
      <c r="CC233" s="1060"/>
      <c r="CD233" s="1059"/>
      <c r="CJ233" s="1061"/>
      <c r="CK233" s="1060"/>
      <c r="CL233" s="1059"/>
      <c r="CS233" s="1060"/>
      <c r="CT233" s="1059"/>
      <c r="CW233" s="1062"/>
      <c r="CX233" s="1062"/>
      <c r="DE233" s="1064"/>
      <c r="DF233" s="1064"/>
      <c r="DM233" s="1064"/>
      <c r="DN233" s="1064"/>
      <c r="DU233" s="1064"/>
      <c r="DV233" s="1064"/>
      <c r="EC233" s="1064"/>
      <c r="ED233" s="1064"/>
      <c r="EH233" s="1181"/>
      <c r="EI233" s="1181"/>
      <c r="EJ233" s="1181"/>
      <c r="EK233" s="1181"/>
      <c r="EL233" s="1181"/>
      <c r="EM233" s="1181"/>
      <c r="EN233" s="1181"/>
      <c r="EO233" s="1182"/>
      <c r="EP233" s="1181"/>
      <c r="EQ233" s="1181"/>
      <c r="ER233" s="1181"/>
      <c r="ES233" s="1181"/>
      <c r="ET233" s="1181"/>
      <c r="EU233" s="1181"/>
      <c r="EV233" s="1181"/>
      <c r="EW233" s="1182"/>
      <c r="EX233" s="1148">
        <v>103</v>
      </c>
      <c r="EY233" s="1148">
        <v>110</v>
      </c>
      <c r="EZ233" s="1148">
        <f>EX233+EY233</f>
        <v>213</v>
      </c>
      <c r="FA233" s="1148">
        <v>132</v>
      </c>
      <c r="FB233" s="1148">
        <f>EX233+EY233+FA233</f>
        <v>345</v>
      </c>
      <c r="FC233" s="1148">
        <v>132</v>
      </c>
      <c r="FD233" s="1148">
        <f>FA233+FC233</f>
        <v>264</v>
      </c>
      <c r="FE233" s="1149">
        <f>EX233+EY233+FA233+FC233</f>
        <v>477</v>
      </c>
      <c r="FF233" s="1148">
        <v>121</v>
      </c>
      <c r="FG233" s="1148">
        <f>FH233-FF233</f>
        <v>122</v>
      </c>
      <c r="FH233" s="1148">
        <v>243</v>
      </c>
      <c r="FI233" s="1148">
        <f>FJ233-FH233</f>
        <v>138</v>
      </c>
      <c r="FJ233" s="1148">
        <v>381</v>
      </c>
      <c r="FK233" s="1148">
        <f>FM233-FJ233</f>
        <v>142</v>
      </c>
      <c r="FL233" s="1148">
        <f>FI233+FK233</f>
        <v>280</v>
      </c>
      <c r="FM233" s="1149">
        <v>523</v>
      </c>
      <c r="FN233" s="1148">
        <v>106</v>
      </c>
      <c r="FO233" s="1148">
        <f>FP233-FN233</f>
        <v>115</v>
      </c>
      <c r="FP233" s="1148">
        <v>221</v>
      </c>
      <c r="FQ233" s="1148">
        <f>FR233-FP233</f>
        <v>140</v>
      </c>
      <c r="FR233" s="1148">
        <v>361</v>
      </c>
      <c r="FS233" s="1148">
        <f>FU233-FR233</f>
        <v>153</v>
      </c>
      <c r="FT233" s="1148">
        <f>FQ233+FS233</f>
        <v>293</v>
      </c>
      <c r="FU233" s="1148">
        <v>514</v>
      </c>
      <c r="FV233" s="1278">
        <v>108</v>
      </c>
      <c r="FW233" s="1148">
        <v>99</v>
      </c>
      <c r="FX233" s="1279">
        <f>FV233+FW233</f>
        <v>207</v>
      </c>
      <c r="FY233" s="1148">
        <f>FZ233-FX233</f>
        <v>105</v>
      </c>
      <c r="FZ233" s="1148">
        <v>312</v>
      </c>
      <c r="GA233" s="1148">
        <f>GC233-FZ233</f>
        <v>120</v>
      </c>
      <c r="GB233" s="1148">
        <f>FY233+GA233</f>
        <v>225</v>
      </c>
      <c r="GC233" s="1149">
        <v>432</v>
      </c>
      <c r="GD233" s="1278">
        <v>96</v>
      </c>
      <c r="GE233" s="1148">
        <v>98</v>
      </c>
      <c r="GF233" s="1279">
        <f>GD233+GE233</f>
        <v>194</v>
      </c>
      <c r="GG233" s="1148">
        <v>104</v>
      </c>
      <c r="GH233" s="1148">
        <f>GG233+GF233</f>
        <v>298</v>
      </c>
      <c r="GI233" s="1148">
        <f>GK233-GH233</f>
        <v>113</v>
      </c>
      <c r="GJ233" s="1148">
        <f>GG233+GI233</f>
        <v>217</v>
      </c>
      <c r="GK233" s="1149">
        <f>GK229-GK230</f>
        <v>411</v>
      </c>
      <c r="GL233" s="1279">
        <v>91</v>
      </c>
      <c r="GM233" s="1148">
        <v>113</v>
      </c>
      <c r="GN233" s="1279">
        <f>GL233+GM233</f>
        <v>204</v>
      </c>
      <c r="GO233" s="1148">
        <v>127</v>
      </c>
      <c r="GP233" s="1148">
        <f>GO233+GN233</f>
        <v>331</v>
      </c>
      <c r="GQ233" s="1148">
        <f>GS233-GP233</f>
        <v>154.000000000001</v>
      </c>
      <c r="GR233" s="1148">
        <f>GO233+GQ233</f>
        <v>281.000000000001</v>
      </c>
      <c r="GS233" s="1149">
        <f>GS229-GS230</f>
        <v>485.000000000001</v>
      </c>
      <c r="GT233" s="1279">
        <v>89</v>
      </c>
      <c r="GU233" s="1148">
        <v>63</v>
      </c>
      <c r="GV233" s="1279">
        <f>GT233+GU233</f>
        <v>152</v>
      </c>
      <c r="GW233" s="1148">
        <v>123</v>
      </c>
      <c r="GX233" s="1148">
        <f>GW233+GV233</f>
        <v>275</v>
      </c>
      <c r="GY233" s="1148">
        <f>HA233-GX233</f>
        <v>122</v>
      </c>
      <c r="GZ233" s="1148">
        <f>GW233+GY233</f>
        <v>245</v>
      </c>
      <c r="HA233" s="1149">
        <f>HA229-HA230</f>
        <v>397</v>
      </c>
      <c r="HB233" s="1279"/>
      <c r="HC233" s="1148"/>
      <c r="HD233" s="1148"/>
      <c r="HE233" s="1148"/>
      <c r="HF233" s="1148"/>
      <c r="HG233" s="1148"/>
      <c r="HH233" s="1148"/>
      <c r="HI233" s="1149"/>
      <c r="HJ233" s="1148"/>
      <c r="HK233" s="1148"/>
      <c r="HL233" s="1148"/>
      <c r="HM233" s="1148"/>
      <c r="HN233" s="1148"/>
      <c r="HO233" s="1148"/>
      <c r="HP233" s="1148"/>
      <c r="HQ233" s="1149"/>
      <c r="HR233" s="1148"/>
      <c r="HS233" s="1148"/>
      <c r="HT233" s="1148"/>
      <c r="HU233" s="1148"/>
      <c r="HV233" s="1148"/>
      <c r="HW233" s="1148"/>
      <c r="HX233" s="1148"/>
      <c r="HY233" s="1148"/>
      <c r="HZ233" s="1148"/>
      <c r="IA233" s="1148"/>
      <c r="IB233" s="1148"/>
      <c r="IC233" s="1148"/>
      <c r="ID233" s="1148"/>
      <c r="IE233" s="1148"/>
      <c r="IF233" s="1148"/>
      <c r="IG233" s="1149"/>
      <c r="IH233" s="1148"/>
      <c r="II233" s="1148"/>
      <c r="IJ233" s="1148"/>
      <c r="IK233" s="1148"/>
      <c r="IL233" s="1148"/>
      <c r="IM233" s="1148"/>
      <c r="IN233" s="1148"/>
      <c r="IO233" s="1149"/>
      <c r="IP233" s="1148"/>
      <c r="IQ233" s="1148"/>
      <c r="IR233" s="1148"/>
      <c r="IS233" s="1148"/>
      <c r="IT233" s="1148"/>
      <c r="IU233" s="1148"/>
      <c r="IV233" s="1148"/>
      <c r="IW233" s="1148"/>
      <c r="IX233" s="1104"/>
      <c r="IY233" s="1049"/>
      <c r="IZ233" s="1049"/>
      <c r="JA233" s="1037" t="s">
        <v>548</v>
      </c>
      <c r="JB233" s="1049"/>
      <c r="JC233" s="1049"/>
      <c r="JD233" s="1041"/>
      <c r="JE233" s="1037"/>
      <c r="JF233" s="1037"/>
      <c r="JG233" s="1037"/>
      <c r="JH233" s="1037"/>
      <c r="JI233" s="1035"/>
      <c r="JJ233" s="1035"/>
      <c r="JK233" s="1035"/>
      <c r="JL233" s="1035"/>
      <c r="JM233" s="1035"/>
      <c r="JN233" s="1035"/>
      <c r="JO233" s="1035"/>
      <c r="JP233" s="1035"/>
      <c r="JQ233" s="1094">
        <f>1*(1+FF232)*(1+FN232)*(1+FV232)-1</f>
        <v>0.941944</v>
      </c>
      <c r="JR233" s="1094">
        <f>1*(1+FG232)*(1+FO232)*(1+FW232)-1</f>
        <v>0.795277236013986</v>
      </c>
      <c r="JS233" s="1094">
        <f>1*(1+FI232)*(1+FQ232)*(1+FY232)-1</f>
        <v>0.832336350002726</v>
      </c>
      <c r="JT233" s="1094">
        <f>1*(1+FK232)*(1+FS232)*(1+GA232)-1</f>
        <v>1.07590425726276</v>
      </c>
      <c r="JU233" s="1035"/>
      <c r="JV233" s="1035"/>
      <c r="JW233" s="1035"/>
      <c r="JX233" s="1035"/>
      <c r="JY233" s="1035"/>
      <c r="KP233" s="1117"/>
      <c r="LV233" s="967"/>
    </row>
    <row r="234" hidden="1" spans="1:334">
      <c r="A234" s="967" t="s">
        <v>113</v>
      </c>
      <c r="AX234" s="1059"/>
      <c r="BE234" s="1060"/>
      <c r="BN234" s="1059"/>
      <c r="BU234" s="1060"/>
      <c r="BV234" s="1059"/>
      <c r="CC234" s="1060"/>
      <c r="CD234" s="1059"/>
      <c r="CJ234" s="1061"/>
      <c r="CK234" s="1060"/>
      <c r="CL234" s="1059"/>
      <c r="CS234" s="1060"/>
      <c r="CT234" s="1059"/>
      <c r="CW234" s="1062"/>
      <c r="CX234" s="1062"/>
      <c r="DE234" s="1064"/>
      <c r="DF234" s="1064"/>
      <c r="DM234" s="1064"/>
      <c r="DN234" s="1064"/>
      <c r="DU234" s="1064"/>
      <c r="DV234" s="1064"/>
      <c r="EC234" s="1064"/>
      <c r="ED234" s="1064"/>
      <c r="EH234" s="1181"/>
      <c r="EI234" s="1181"/>
      <c r="EJ234" s="1181"/>
      <c r="EK234" s="1181"/>
      <c r="EL234" s="1181"/>
      <c r="EM234" s="1181"/>
      <c r="EN234" s="1181"/>
      <c r="EO234" s="1182"/>
      <c r="EP234" s="1181"/>
      <c r="EQ234" s="1181"/>
      <c r="ER234" s="1181"/>
      <c r="ES234" s="1181"/>
      <c r="ET234" s="1181"/>
      <c r="EU234" s="1181"/>
      <c r="EV234" s="1181"/>
      <c r="EW234" s="1182"/>
      <c r="EX234" s="1181"/>
      <c r="EY234" s="1181"/>
      <c r="EZ234" s="1181"/>
      <c r="FA234" s="1181"/>
      <c r="FB234" s="1181"/>
      <c r="FC234" s="1181"/>
      <c r="FD234" s="1181"/>
      <c r="FE234" s="1182"/>
      <c r="FF234" s="1181">
        <f t="shared" ref="FF234:FM234" si="1263">FF233/EX233-1</f>
        <v>0.174757281553398</v>
      </c>
      <c r="FG234" s="1181">
        <f t="shared" si="1263"/>
        <v>0.109090909090909</v>
      </c>
      <c r="FH234" s="1181">
        <f t="shared" si="1263"/>
        <v>0.140845070422535</v>
      </c>
      <c r="FI234" s="1181">
        <f t="shared" si="1263"/>
        <v>0.0454545454545454</v>
      </c>
      <c r="FJ234" s="1181">
        <f t="shared" si="1263"/>
        <v>0.104347826086957</v>
      </c>
      <c r="FK234" s="1181">
        <f t="shared" si="1263"/>
        <v>0.0757575757575757</v>
      </c>
      <c r="FL234" s="1181">
        <f t="shared" si="1263"/>
        <v>0.0606060606060606</v>
      </c>
      <c r="FM234" s="1182">
        <f t="shared" si="1263"/>
        <v>0.0964360587002095</v>
      </c>
      <c r="FN234" s="1181">
        <f t="shared" ref="FN234:FX234" si="1264">FN233/FF233-1</f>
        <v>-0.12396694214876</v>
      </c>
      <c r="FO234" s="1181">
        <f t="shared" si="1264"/>
        <v>-0.0573770491803278</v>
      </c>
      <c r="FP234" s="1181">
        <f t="shared" si="1264"/>
        <v>-0.0905349794238683</v>
      </c>
      <c r="FQ234" s="1181">
        <f t="shared" si="1264"/>
        <v>0.0144927536231885</v>
      </c>
      <c r="FR234" s="1181">
        <f t="shared" si="1264"/>
        <v>-0.05249343832021</v>
      </c>
      <c r="FS234" s="1181">
        <f t="shared" si="1264"/>
        <v>0.0774647887323943</v>
      </c>
      <c r="FT234" s="1181">
        <f t="shared" si="1264"/>
        <v>0.0464285714285715</v>
      </c>
      <c r="FU234" s="1181">
        <f t="shared" si="1264"/>
        <v>-0.017208413001912</v>
      </c>
      <c r="FV234" s="1220">
        <f t="shared" si="1264"/>
        <v>0.0188679245283019</v>
      </c>
      <c r="FW234" s="1181">
        <f t="shared" si="1264"/>
        <v>-0.139130434782609</v>
      </c>
      <c r="FX234" s="1181">
        <f t="shared" si="1264"/>
        <v>-0.0633484162895928</v>
      </c>
      <c r="FY234" s="1181">
        <f t="shared" ref="FY234" si="1265">FY233/FQ233-1</f>
        <v>-0.25</v>
      </c>
      <c r="FZ234" s="1181">
        <f t="shared" ref="FZ234" si="1266">FZ233/FR233-1</f>
        <v>-0.135734072022161</v>
      </c>
      <c r="GA234" s="1181">
        <f t="shared" ref="GA234" si="1267">GA233/FS233-1</f>
        <v>-0.215686274509804</v>
      </c>
      <c r="GB234" s="1181">
        <f t="shared" ref="GB234" si="1268">GB233/FT233-1</f>
        <v>-0.232081911262799</v>
      </c>
      <c r="GC234" s="1182">
        <f t="shared" ref="GC234" si="1269">GC233/FU233-1</f>
        <v>-0.159533073929961</v>
      </c>
      <c r="GD234" s="1220">
        <v>-0.11</v>
      </c>
      <c r="GE234" s="1181">
        <f>GE233/FW233-1</f>
        <v>-0.0101010101010099</v>
      </c>
      <c r="GF234" s="1181">
        <f>GF233/FX233-1</f>
        <v>-0.0628019323671497</v>
      </c>
      <c r="GG234" s="1181">
        <f>GG233/FY233-1</f>
        <v>-0.00952380952380949</v>
      </c>
      <c r="GH234" s="1181">
        <f>GH233/FZ233-1</f>
        <v>-0.0448717948717948</v>
      </c>
      <c r="GI234" s="1181">
        <f t="shared" ref="GI234" si="1270">GI233/GA233-1</f>
        <v>-0.0583333333333333</v>
      </c>
      <c r="GJ234" s="1181">
        <f t="shared" ref="GJ234" si="1271">GJ233/GB233-1</f>
        <v>-0.0355555555555556</v>
      </c>
      <c r="GK234" s="1182">
        <f t="shared" ref="GK234:GP234" si="1272">GK233/GC233-1</f>
        <v>-0.0486111111111112</v>
      </c>
      <c r="GL234" s="1181">
        <f t="shared" si="1272"/>
        <v>-0.0520833333333334</v>
      </c>
      <c r="GM234" s="1181">
        <f t="shared" si="1272"/>
        <v>0.153061224489796</v>
      </c>
      <c r="GN234" s="1181">
        <f t="shared" si="1272"/>
        <v>0.0515463917525774</v>
      </c>
      <c r="GO234" s="1181">
        <f t="shared" si="1272"/>
        <v>0.221153846153846</v>
      </c>
      <c r="GP234" s="1181">
        <f t="shared" si="1272"/>
        <v>0.110738255033557</v>
      </c>
      <c r="GQ234" s="1181">
        <f t="shared" ref="GQ234" si="1273">GQ233/GI233-1</f>
        <v>0.362831858407088</v>
      </c>
      <c r="GR234" s="1181">
        <f t="shared" ref="GR234" si="1274">GR233/GJ233-1</f>
        <v>0.294930875576041</v>
      </c>
      <c r="GS234" s="1182">
        <f t="shared" ref="GS234:GX234" si="1275">GS233/GK233-1</f>
        <v>0.180048661800489</v>
      </c>
      <c r="GT234" s="1181">
        <f t="shared" si="1275"/>
        <v>-0.021978021978022</v>
      </c>
      <c r="GU234" s="1181">
        <f t="shared" si="1275"/>
        <v>-0.442477876106195</v>
      </c>
      <c r="GV234" s="1181">
        <f t="shared" si="1275"/>
        <v>-0.254901960784314</v>
      </c>
      <c r="GW234" s="1181">
        <f t="shared" si="1275"/>
        <v>-0.031496062992126</v>
      </c>
      <c r="GX234" s="1181">
        <f t="shared" si="1275"/>
        <v>-0.169184290030212</v>
      </c>
      <c r="GY234" s="1181">
        <f t="shared" ref="GY234" si="1276">GY233/GQ233-1</f>
        <v>-0.207792207792213</v>
      </c>
      <c r="GZ234" s="1181">
        <f t="shared" ref="GZ234" si="1277">GZ233/GR233-1</f>
        <v>-0.128113879003562</v>
      </c>
      <c r="HA234" s="1182">
        <f t="shared" ref="HA234" si="1278">HA233/GS233-1</f>
        <v>-0.181443298969074</v>
      </c>
      <c r="HB234" s="1181"/>
      <c r="HC234" s="1181"/>
      <c r="HD234" s="1181"/>
      <c r="HE234" s="1181"/>
      <c r="HF234" s="1181"/>
      <c r="HG234" s="1181"/>
      <c r="HH234" s="1181"/>
      <c r="HI234" s="1182"/>
      <c r="HJ234" s="1181"/>
      <c r="HK234" s="1181"/>
      <c r="HL234" s="1181"/>
      <c r="HM234" s="1181"/>
      <c r="HN234" s="1181"/>
      <c r="HO234" s="1181"/>
      <c r="HP234" s="1181"/>
      <c r="HQ234" s="1182"/>
      <c r="HR234" s="1181"/>
      <c r="HS234" s="1181"/>
      <c r="HT234" s="1181"/>
      <c r="HU234" s="1181"/>
      <c r="HV234" s="1181"/>
      <c r="HW234" s="1181"/>
      <c r="HX234" s="1181"/>
      <c r="HY234" s="1181"/>
      <c r="HZ234" s="1181"/>
      <c r="IA234" s="1181"/>
      <c r="IB234" s="1181"/>
      <c r="IC234" s="1181"/>
      <c r="ID234" s="1181"/>
      <c r="IE234" s="1181"/>
      <c r="IF234" s="1181"/>
      <c r="IG234" s="1182"/>
      <c r="IH234" s="1181"/>
      <c r="II234" s="1181"/>
      <c r="IJ234" s="1181"/>
      <c r="IK234" s="1181"/>
      <c r="IL234" s="1181"/>
      <c r="IM234" s="1181"/>
      <c r="IN234" s="1181"/>
      <c r="IO234" s="1182"/>
      <c r="IP234" s="1181"/>
      <c r="IQ234" s="1181"/>
      <c r="IR234" s="1181"/>
      <c r="IS234" s="1181"/>
      <c r="IT234" s="1181"/>
      <c r="IU234" s="1181"/>
      <c r="IV234" s="1181"/>
      <c r="IW234" s="1181"/>
      <c r="IX234" s="1104"/>
      <c r="IY234" s="1049"/>
      <c r="IZ234" s="1049"/>
      <c r="JA234" s="1049"/>
      <c r="JB234" s="1049"/>
      <c r="JC234" s="1049"/>
      <c r="JD234" s="1041"/>
      <c r="JE234" s="1037"/>
      <c r="JF234" s="1037"/>
      <c r="JG234" s="1037"/>
      <c r="JH234" s="1037"/>
      <c r="JI234" s="1035"/>
      <c r="JJ234" s="1035"/>
      <c r="JK234" s="1035"/>
      <c r="JL234" s="1035"/>
      <c r="JM234" s="1035"/>
      <c r="JN234" s="1035"/>
      <c r="JO234" s="1035"/>
      <c r="JP234" s="1035"/>
      <c r="JQ234" s="1035"/>
      <c r="JR234" s="1035"/>
      <c r="JS234" s="1035"/>
      <c r="JT234" s="1035"/>
      <c r="JU234" s="1035"/>
      <c r="JV234" s="1035"/>
      <c r="JW234" s="1035"/>
      <c r="JX234" s="1035"/>
      <c r="JY234" s="1035"/>
      <c r="KP234" s="1117"/>
      <c r="LV234" s="967"/>
    </row>
    <row r="235" hidden="1" spans="1:334">
      <c r="A235" s="967" t="s">
        <v>100</v>
      </c>
      <c r="AX235" s="1059"/>
      <c r="BE235" s="1060"/>
      <c r="BN235" s="1059"/>
      <c r="BU235" s="1060"/>
      <c r="BV235" s="1059"/>
      <c r="CC235" s="1060"/>
      <c r="CD235" s="1059"/>
      <c r="CJ235" s="1061"/>
      <c r="CK235" s="1060"/>
      <c r="CL235" s="1059"/>
      <c r="CS235" s="1060"/>
      <c r="CT235" s="1059"/>
      <c r="CW235" s="1062"/>
      <c r="CX235" s="1062"/>
      <c r="DE235" s="1064"/>
      <c r="DF235" s="1064"/>
      <c r="DM235" s="1064"/>
      <c r="DN235" s="1064"/>
      <c r="DU235" s="1064"/>
      <c r="DV235" s="1064"/>
      <c r="EC235" s="1064"/>
      <c r="ED235" s="1064"/>
      <c r="EH235" s="1181"/>
      <c r="EI235" s="1181"/>
      <c r="EJ235" s="1181"/>
      <c r="EK235" s="1181"/>
      <c r="EL235" s="1181"/>
      <c r="EM235" s="1181"/>
      <c r="EN235" s="1181"/>
      <c r="EO235" s="1182"/>
      <c r="EP235" s="1181"/>
      <c r="EQ235" s="1181"/>
      <c r="ER235" s="1181"/>
      <c r="ES235" s="1181"/>
      <c r="ET235" s="1181"/>
      <c r="EU235" s="1181"/>
      <c r="EV235" s="1181"/>
      <c r="EW235" s="1182"/>
      <c r="EX235" s="1181"/>
      <c r="EY235" s="1181"/>
      <c r="EZ235" s="1181"/>
      <c r="FA235" s="1181"/>
      <c r="FB235" s="1181"/>
      <c r="FC235" s="1181"/>
      <c r="FD235" s="1181"/>
      <c r="FE235" s="1182"/>
      <c r="FF235" s="1181">
        <v>0.17</v>
      </c>
      <c r="FG235" s="1181">
        <f>(EZ233*FH235-EX233*FF235)/EY233</f>
        <v>-0.275363636363636</v>
      </c>
      <c r="FH235" s="1181">
        <v>-0.06</v>
      </c>
      <c r="FI235" s="1181">
        <f>(FB233*FJ235-EZ233*FH235)/FA233</f>
        <v>-0.112272727272727</v>
      </c>
      <c r="FJ235" s="1181">
        <v>-0.08</v>
      </c>
      <c r="FK235" s="1181">
        <f>(FE233*FM235-FB233*FJ235)/FC233</f>
        <v>-0.0438636363636364</v>
      </c>
      <c r="FL235" s="1181">
        <f>(FE233*FM235-EZ233*FH235)/FD233</f>
        <v>-0.0780681818181818</v>
      </c>
      <c r="FM235" s="1182">
        <v>-0.07</v>
      </c>
      <c r="FN235" s="1181">
        <v>-0.13</v>
      </c>
      <c r="FO235" s="1181">
        <f>(FH233*FP235-FF233*FN235)/FG233</f>
        <v>-0.0304098360655738</v>
      </c>
      <c r="FP235" s="1181">
        <v>-0.08</v>
      </c>
      <c r="FQ235" s="1181">
        <f>(FJ233*FR235-FH233*FP235)/FI233</f>
        <v>0.00282608695652174</v>
      </c>
      <c r="FR235" s="1181">
        <v>-0.05</v>
      </c>
      <c r="FS235" s="1181">
        <f>(FM233*FU235-FJ233*FR235)/FK233</f>
        <v>0.0973239436619718</v>
      </c>
      <c r="FT235" s="1181">
        <f>(FM233*FU235-FH233*FP235)/FL233</f>
        <v>0.05075</v>
      </c>
      <c r="FU235" s="1181">
        <v>-0.01</v>
      </c>
      <c r="FV235" s="1220">
        <v>-0.02</v>
      </c>
      <c r="FW235" s="1181">
        <v>-0.16</v>
      </c>
      <c r="FX235" s="1218">
        <f>(FV235*FN229+FW235*FO229)/FP229</f>
        <v>-0.0927704485488127</v>
      </c>
      <c r="FY235" s="1181">
        <f>(FR233*FZ235-FP233*FX235)/FQ233</f>
        <v>-0.214555220505089</v>
      </c>
      <c r="FZ235" s="1181">
        <v>-0.14</v>
      </c>
      <c r="GA235" s="1181">
        <f>(FU233*GC235-FR233*FZ235)/FS233</f>
        <v>-0.20718954248366</v>
      </c>
      <c r="GB235" s="1181">
        <f>(FU233*GC235-FP233*FX235)/FT233</f>
        <v>-0.21070897908093</v>
      </c>
      <c r="GC235" s="1182">
        <v>-0.16</v>
      </c>
      <c r="GD235" s="1220">
        <v>0.03</v>
      </c>
      <c r="GE235" s="1181">
        <v>0.0509090909090909</v>
      </c>
      <c r="GF235" s="1218">
        <f>(GD235*FV233+GE235*FW233)/FX233</f>
        <v>0.04</v>
      </c>
      <c r="GG235" s="1181">
        <v>0</v>
      </c>
      <c r="GH235" s="1181"/>
      <c r="GI235" s="1181">
        <v>-0.07</v>
      </c>
      <c r="GJ235" s="1181">
        <f>(GC233*GK235-FX233*GF235)/GB233</f>
        <v>-0.0368</v>
      </c>
      <c r="GK235" s="1182">
        <v>0</v>
      </c>
      <c r="GL235" s="1218">
        <v>-0.12</v>
      </c>
      <c r="GM235" s="1181">
        <v>0.1</v>
      </c>
      <c r="GN235" s="1218">
        <f>(GL235*GD233+GM235*GE233)/GF233</f>
        <v>-0.00886597938144328</v>
      </c>
      <c r="GO235" s="1181">
        <v>0.17</v>
      </c>
      <c r="GP235" s="1181"/>
      <c r="GQ235" s="1181">
        <v>0.3</v>
      </c>
      <c r="GR235" s="1181">
        <f>(GK233*GS235-GF233*GN235)/GJ233</f>
        <v>0.235207373271889</v>
      </c>
      <c r="GS235" s="1182">
        <v>0.12</v>
      </c>
      <c r="GT235" s="1218">
        <v>-0.05</v>
      </c>
      <c r="GU235" s="1181">
        <v>-0.45</v>
      </c>
      <c r="GV235" s="1218">
        <f>(GT235*GL233+GU235*GM233)/GN233</f>
        <v>-0.27156862745098</v>
      </c>
      <c r="GW235" s="1181">
        <v>0.01</v>
      </c>
      <c r="GX235" s="1181"/>
      <c r="GY235" s="1181">
        <v>-0.16</v>
      </c>
      <c r="GZ235" s="1181">
        <f>(GS233*HA235-GN233*GV235)/GR233</f>
        <v>-0.0962633451957298</v>
      </c>
      <c r="HA235" s="1182">
        <v>-0.17</v>
      </c>
      <c r="HB235" s="1218"/>
      <c r="HC235" s="1181"/>
      <c r="HD235" s="1181"/>
      <c r="HE235" s="1181"/>
      <c r="HF235" s="1181"/>
      <c r="HG235" s="1181"/>
      <c r="HH235" s="1181"/>
      <c r="HI235" s="1182"/>
      <c r="HJ235" s="1181"/>
      <c r="HK235" s="1181"/>
      <c r="HL235" s="1181"/>
      <c r="HM235" s="1181"/>
      <c r="HN235" s="1181"/>
      <c r="HO235" s="1181"/>
      <c r="HP235" s="1181"/>
      <c r="HQ235" s="1182"/>
      <c r="HR235" s="1181"/>
      <c r="HS235" s="1181"/>
      <c r="HT235" s="1181"/>
      <c r="HU235" s="1181"/>
      <c r="HV235" s="1181"/>
      <c r="HW235" s="1181"/>
      <c r="HX235" s="1181"/>
      <c r="HY235" s="1181"/>
      <c r="HZ235" s="1181"/>
      <c r="IA235" s="1181"/>
      <c r="IB235" s="1181"/>
      <c r="IC235" s="1181"/>
      <c r="ID235" s="1181"/>
      <c r="IE235" s="1181"/>
      <c r="IF235" s="1181"/>
      <c r="IG235" s="1182"/>
      <c r="IH235" s="1181"/>
      <c r="II235" s="1181"/>
      <c r="IJ235" s="1181"/>
      <c r="IK235" s="1181"/>
      <c r="IL235" s="1181"/>
      <c r="IM235" s="1181"/>
      <c r="IN235" s="1181"/>
      <c r="IO235" s="1182"/>
      <c r="IP235" s="1181"/>
      <c r="IQ235" s="1181">
        <f>(FG235+1)*(1+FO235)-1</f>
        <v>-0.297399709388972</v>
      </c>
      <c r="IR235" s="1181">
        <f>(FI235+1)*(FQ235+1)-1</f>
        <v>-0.109763932806324</v>
      </c>
      <c r="IS235" s="1181">
        <f>(FK235+1)*(1+FS235)-1</f>
        <v>0.0491913252240719</v>
      </c>
      <c r="IT235" s="1181"/>
      <c r="IU235" s="1181"/>
      <c r="IV235" s="1181"/>
      <c r="IW235" s="1181"/>
      <c r="IX235" s="1104"/>
      <c r="IY235" s="1049"/>
      <c r="IZ235" s="1049"/>
      <c r="JA235" s="1037" t="s">
        <v>546</v>
      </c>
      <c r="JB235" s="1049"/>
      <c r="JC235" s="1049"/>
      <c r="JD235" s="1041"/>
      <c r="JE235" s="1037"/>
      <c r="JF235" s="1037"/>
      <c r="JG235" s="1037"/>
      <c r="JH235" s="1037"/>
      <c r="JI235" s="1035"/>
      <c r="JJ235" s="1035"/>
      <c r="JK235" s="1094">
        <f>(1+FF235)*(1+FN235)-1</f>
        <v>0.0179</v>
      </c>
      <c r="JL235" s="1094">
        <f>(1+FG235)*(1+FO235)-1</f>
        <v>-0.297399709388972</v>
      </c>
      <c r="JM235" s="1094" t="e">
        <f>(EZ232*(1+FH235)*(1+FP235))/EZ232-1</f>
        <v>#DIV/0!</v>
      </c>
      <c r="JN235" s="1094">
        <f>(1+FI235)*(1+FQ235)-1</f>
        <v>-0.109763932806324</v>
      </c>
      <c r="JO235" s="1094" t="e">
        <f>(FB232*(1+FJ235)*(1+FR235))/FB232-1</f>
        <v>#DIV/0!</v>
      </c>
      <c r="JP235" s="1094">
        <f>(1+FK235)*(1+FS235)-1</f>
        <v>0.0491913252240719</v>
      </c>
      <c r="JQ235" s="1094">
        <f>(FF232*(1+FN235)*(1+FV235))/FF232-1</f>
        <v>-0.1474</v>
      </c>
      <c r="JR235" s="1094">
        <f>(FG232*(1+FO235)*(1+FW235))/FG232-1</f>
        <v>-0.185544262295082</v>
      </c>
      <c r="JS235" s="1094">
        <f>(FI232*(1+FQ235)*(1+FY235))/FI232-1</f>
        <v>-0.21233548525869</v>
      </c>
      <c r="JT235" s="1094">
        <f>(FK232*(1+FS235)*(1+GA235))/FK232-1</f>
        <v>-0.130030102181718</v>
      </c>
      <c r="JU235" s="1035"/>
      <c r="JV235" s="1035"/>
      <c r="JW235" s="1035"/>
      <c r="JX235" s="1035"/>
      <c r="JY235" s="1035"/>
      <c r="KP235" s="1117"/>
      <c r="LV235" s="967"/>
    </row>
    <row r="236" hidden="1" spans="1:334">
      <c r="A236" s="1103" t="s">
        <v>102</v>
      </c>
      <c r="AX236" s="1059"/>
      <c r="BE236" s="1060"/>
      <c r="BN236" s="1059"/>
      <c r="BU236" s="1060"/>
      <c r="BV236" s="1059"/>
      <c r="CC236" s="1060"/>
      <c r="CD236" s="1059"/>
      <c r="CJ236" s="1061"/>
      <c r="CK236" s="1060"/>
      <c r="CL236" s="1059"/>
      <c r="CS236" s="1060"/>
      <c r="CT236" s="1059"/>
      <c r="CW236" s="1062"/>
      <c r="CX236" s="1062"/>
      <c r="DE236" s="1064"/>
      <c r="DF236" s="1064"/>
      <c r="DM236" s="1064"/>
      <c r="DN236" s="1064"/>
      <c r="DU236" s="1064"/>
      <c r="DV236" s="1064"/>
      <c r="EC236" s="1064"/>
      <c r="ED236" s="1064"/>
      <c r="EH236" s="1181"/>
      <c r="EI236" s="1181"/>
      <c r="EJ236" s="1181"/>
      <c r="EK236" s="1181"/>
      <c r="EL236" s="1181"/>
      <c r="EM236" s="1181"/>
      <c r="EN236" s="1181"/>
      <c r="EO236" s="1182"/>
      <c r="EP236" s="1181"/>
      <c r="EQ236" s="1181"/>
      <c r="ER236" s="1181"/>
      <c r="ES236" s="1181"/>
      <c r="ET236" s="1181"/>
      <c r="EU236" s="1181"/>
      <c r="EV236" s="1181"/>
      <c r="EW236" s="1182"/>
      <c r="EX236" s="1071">
        <f>EX179</f>
        <v>374</v>
      </c>
      <c r="EY236" s="1071">
        <f>EY179</f>
        <v>400</v>
      </c>
      <c r="EZ236" s="1071">
        <f>EX236+EY236</f>
        <v>774</v>
      </c>
      <c r="FA236" s="1071">
        <f>FA179</f>
        <v>426</v>
      </c>
      <c r="FB236" s="1071">
        <f>EX236+EY236+FA236</f>
        <v>1200</v>
      </c>
      <c r="FC236" s="1071">
        <f>FC179</f>
        <v>412</v>
      </c>
      <c r="FD236" s="1071">
        <f>FA236+FC236</f>
        <v>838</v>
      </c>
      <c r="FE236" s="1072">
        <f>EX236+EY236+FA236+FC236</f>
        <v>1612</v>
      </c>
      <c r="FF236" s="1071">
        <f>FF179</f>
        <v>423</v>
      </c>
      <c r="FG236" s="1071">
        <f>FG179</f>
        <v>456</v>
      </c>
      <c r="FH236" s="1071">
        <f>FF236+FG236</f>
        <v>879</v>
      </c>
      <c r="FI236" s="1071">
        <f>FI179</f>
        <v>489</v>
      </c>
      <c r="FJ236" s="1071">
        <f>FF236+FG236+FI236</f>
        <v>1368</v>
      </c>
      <c r="FK236" s="1071">
        <f>FK179</f>
        <v>415</v>
      </c>
      <c r="FL236" s="1071">
        <f>FI236+FK236</f>
        <v>904</v>
      </c>
      <c r="FM236" s="1072">
        <f>FM179</f>
        <v>1783</v>
      </c>
      <c r="FN236" s="1071">
        <f>FN179</f>
        <v>394</v>
      </c>
      <c r="FO236" s="1071">
        <f>FO179</f>
        <v>379</v>
      </c>
      <c r="FP236" s="1071">
        <f>FN236+FO236</f>
        <v>773</v>
      </c>
      <c r="FQ236" s="1071">
        <f>FQ179</f>
        <v>487</v>
      </c>
      <c r="FR236" s="1071">
        <f>FN236+FO236+FQ236</f>
        <v>1260</v>
      </c>
      <c r="FS236" s="1071">
        <f>FS179</f>
        <v>471</v>
      </c>
      <c r="FT236" s="1071">
        <f>FQ236+FS236</f>
        <v>958</v>
      </c>
      <c r="FU236" s="1071">
        <f>FU179</f>
        <v>1731</v>
      </c>
      <c r="FV236" s="1075">
        <f>FV179</f>
        <v>454</v>
      </c>
      <c r="FW236" s="1071">
        <f>FW179</f>
        <v>441</v>
      </c>
      <c r="FX236" s="1076">
        <f>FV236+FW236</f>
        <v>895</v>
      </c>
      <c r="FY236" s="1071">
        <f>FY179</f>
        <v>502</v>
      </c>
      <c r="FZ236" s="1071">
        <f>FV236+FW236+FY236</f>
        <v>1397</v>
      </c>
      <c r="GA236" s="1071">
        <f>GA179</f>
        <v>510</v>
      </c>
      <c r="GB236" s="1071">
        <f>FY236+GA236</f>
        <v>1012</v>
      </c>
      <c r="GC236" s="1072">
        <f>GC179</f>
        <v>1907</v>
      </c>
      <c r="GD236" s="1075">
        <f>GD179</f>
        <v>430</v>
      </c>
      <c r="GE236" s="1071">
        <f>GE179</f>
        <v>416</v>
      </c>
      <c r="GF236" s="1076">
        <f>GD236+GE236</f>
        <v>846</v>
      </c>
      <c r="GG236" s="1071">
        <f>GG179</f>
        <v>340</v>
      </c>
      <c r="GH236" s="1071">
        <f>GD236+GE236+GG236</f>
        <v>1186</v>
      </c>
      <c r="GI236" s="1071">
        <f>GI179</f>
        <v>447</v>
      </c>
      <c r="GJ236" s="1071">
        <f>GG236+GI236</f>
        <v>787</v>
      </c>
      <c r="GK236" s="1072">
        <f>GK179</f>
        <v>1633</v>
      </c>
      <c r="GL236" s="1076">
        <f>GL179</f>
        <v>376</v>
      </c>
      <c r="GM236" s="1071">
        <f>GM179</f>
        <v>403</v>
      </c>
      <c r="GN236" s="1076">
        <f>GL236+GM236</f>
        <v>779</v>
      </c>
      <c r="GO236" s="1071">
        <f>GO179</f>
        <v>405</v>
      </c>
      <c r="GP236" s="1071">
        <f>GL236+GM236+GO236</f>
        <v>1184</v>
      </c>
      <c r="GQ236" s="1071">
        <f>GQ179</f>
        <v>476</v>
      </c>
      <c r="GR236" s="1071">
        <f>GO236+GQ236</f>
        <v>881</v>
      </c>
      <c r="GS236" s="1072">
        <f>GS179</f>
        <v>1660</v>
      </c>
      <c r="GT236" s="1076">
        <f>GT179</f>
        <v>339</v>
      </c>
      <c r="GU236" s="1071">
        <f>GU179</f>
        <v>114</v>
      </c>
      <c r="GV236" s="1076">
        <f>GT236+GU236</f>
        <v>453</v>
      </c>
      <c r="GW236" s="1071">
        <f>GW179</f>
        <v>295.65</v>
      </c>
      <c r="GX236" s="1071">
        <f>GT236+GU236+GW236</f>
        <v>748.65</v>
      </c>
      <c r="GY236" s="1071">
        <f>GY179</f>
        <v>409.35</v>
      </c>
      <c r="GZ236" s="1071">
        <f>GW236+GY236</f>
        <v>705</v>
      </c>
      <c r="HA236" s="1072">
        <f>HA179</f>
        <v>1158</v>
      </c>
      <c r="HB236" s="1076"/>
      <c r="HC236" s="1071"/>
      <c r="HD236" s="1071"/>
      <c r="HE236" s="1071"/>
      <c r="HF236" s="1071"/>
      <c r="HG236" s="1071"/>
      <c r="HH236" s="1071"/>
      <c r="HI236" s="1072"/>
      <c r="HJ236" s="1071"/>
      <c r="HK236" s="1071"/>
      <c r="HL236" s="1071"/>
      <c r="HM236" s="1071"/>
      <c r="HN236" s="1071"/>
      <c r="HO236" s="1071"/>
      <c r="HP236" s="1071"/>
      <c r="HQ236" s="1072"/>
      <c r="HR236" s="1071"/>
      <c r="HS236" s="1071"/>
      <c r="HT236" s="1071"/>
      <c r="HU236" s="1071"/>
      <c r="HV236" s="1071"/>
      <c r="HW236" s="1071"/>
      <c r="HX236" s="1071"/>
      <c r="HY236" s="1071"/>
      <c r="HZ236" s="1071"/>
      <c r="IA236" s="1071"/>
      <c r="IB236" s="1071"/>
      <c r="IC236" s="1071"/>
      <c r="ID236" s="1071"/>
      <c r="IE236" s="1071"/>
      <c r="IF236" s="1071"/>
      <c r="IG236" s="1072"/>
      <c r="IH236" s="1071"/>
      <c r="II236" s="1071"/>
      <c r="IJ236" s="1071"/>
      <c r="IK236" s="1071"/>
      <c r="IL236" s="1071"/>
      <c r="IM236" s="1071"/>
      <c r="IN236" s="1071"/>
      <c r="IO236" s="1072"/>
      <c r="IP236" s="1071"/>
      <c r="IQ236" s="1071"/>
      <c r="IR236" s="1071"/>
      <c r="IS236" s="1071"/>
      <c r="IT236" s="1071"/>
      <c r="IU236" s="1071"/>
      <c r="IV236" s="1071"/>
      <c r="IW236" s="1071"/>
      <c r="IX236" s="1104"/>
      <c r="IY236" s="1049"/>
      <c r="IZ236" s="1049"/>
      <c r="JA236" s="1037" t="s">
        <v>548</v>
      </c>
      <c r="JB236" s="1049"/>
      <c r="JC236" s="1049"/>
      <c r="JD236" s="1041"/>
      <c r="JE236" s="1037"/>
      <c r="JF236" s="1037"/>
      <c r="JG236" s="1037"/>
      <c r="JH236" s="1037"/>
      <c r="JI236" s="1035"/>
      <c r="JJ236" s="1035"/>
      <c r="JK236" s="1035"/>
      <c r="JL236" s="1035"/>
      <c r="JM236" s="1035"/>
      <c r="JN236" s="1035"/>
      <c r="JO236" s="1035"/>
      <c r="JP236" s="1035"/>
      <c r="JQ236" s="1094">
        <f>1*(1+FF235)*(1+FN235)*(1+FV235)-1</f>
        <v>-0.00245799999999996</v>
      </c>
      <c r="JR236" s="1094">
        <f>1*(1+FG235)*(1+FO235)*(1+FW235)-1</f>
        <v>-0.409815755886736</v>
      </c>
      <c r="JS236" s="1094">
        <f>1*(1+FI235)*(1+FQ235)*(1+FY235)-1</f>
        <v>-0.300768728504646</v>
      </c>
      <c r="JT236" s="1094">
        <f>1*(1+FK235)*(1+FS235)*(1+GA235)-1</f>
        <v>-0.168190145426929</v>
      </c>
      <c r="JU236" s="1035"/>
      <c r="JV236" s="1035"/>
      <c r="JW236" s="1035"/>
      <c r="JX236" s="1035"/>
      <c r="JY236" s="1035"/>
      <c r="KP236" s="1117"/>
      <c r="LV236" s="967"/>
    </row>
    <row r="237" hidden="1" spans="1:334">
      <c r="A237" s="967" t="s">
        <v>80</v>
      </c>
      <c r="AX237" s="1059"/>
      <c r="BE237" s="1060"/>
      <c r="BN237" s="1059"/>
      <c r="BU237" s="1060"/>
      <c r="BV237" s="1059"/>
      <c r="CC237" s="1060"/>
      <c r="CD237" s="1059"/>
      <c r="CJ237" s="1061"/>
      <c r="CK237" s="1060"/>
      <c r="CL237" s="1059"/>
      <c r="CS237" s="1060"/>
      <c r="CT237" s="1059"/>
      <c r="CW237" s="1062"/>
      <c r="CX237" s="1062"/>
      <c r="DE237" s="1064"/>
      <c r="DF237" s="1064"/>
      <c r="DM237" s="1064"/>
      <c r="DN237" s="1064"/>
      <c r="DU237" s="1064"/>
      <c r="DV237" s="1064"/>
      <c r="EC237" s="1064"/>
      <c r="ED237" s="1064"/>
      <c r="EH237" s="1181"/>
      <c r="EI237" s="1181"/>
      <c r="EJ237" s="1181"/>
      <c r="EK237" s="1181"/>
      <c r="EL237" s="1181"/>
      <c r="EM237" s="1181"/>
      <c r="EN237" s="1181"/>
      <c r="EO237" s="1182"/>
      <c r="EP237" s="1181"/>
      <c r="EQ237" s="1181"/>
      <c r="ER237" s="1181"/>
      <c r="ES237" s="1181"/>
      <c r="ET237" s="1181"/>
      <c r="EU237" s="1181"/>
      <c r="EV237" s="1181"/>
      <c r="EW237" s="1182"/>
      <c r="EX237" s="1148">
        <v>325</v>
      </c>
      <c r="EY237" s="1148">
        <v>348</v>
      </c>
      <c r="EZ237" s="1148">
        <f>EX237+EY237</f>
        <v>673</v>
      </c>
      <c r="FA237" s="1148">
        <v>363</v>
      </c>
      <c r="FB237" s="1148">
        <f>EX237+EY237+FA237</f>
        <v>1036</v>
      </c>
      <c r="FC237" s="1148">
        <v>352</v>
      </c>
      <c r="FD237" s="1148">
        <f>FA237+FC237</f>
        <v>715</v>
      </c>
      <c r="FE237" s="1149">
        <f>EX237+EY237+FA237+FC237</f>
        <v>1388</v>
      </c>
      <c r="FF237" s="1148">
        <v>361</v>
      </c>
      <c r="FG237" s="1148">
        <f>FH237-FF237</f>
        <v>388</v>
      </c>
      <c r="FH237" s="1148">
        <v>749</v>
      </c>
      <c r="FI237" s="1148">
        <f>FJ237-FH237</f>
        <v>415</v>
      </c>
      <c r="FJ237" s="1148">
        <v>1164</v>
      </c>
      <c r="FK237" s="1148">
        <f>FM237-FJ237</f>
        <v>352</v>
      </c>
      <c r="FL237" s="1148">
        <f>FI237+FK237</f>
        <v>767</v>
      </c>
      <c r="FM237" s="1149">
        <v>1516</v>
      </c>
      <c r="FN237" s="1148">
        <v>350</v>
      </c>
      <c r="FO237" s="1148">
        <f>FP237-FN237</f>
        <v>330</v>
      </c>
      <c r="FP237" s="1148">
        <v>680</v>
      </c>
      <c r="FQ237" s="1148">
        <f>FR237-FP237</f>
        <v>425</v>
      </c>
      <c r="FR237" s="1148">
        <v>1105</v>
      </c>
      <c r="FS237" s="1148">
        <f>FU237-FR237</f>
        <v>410</v>
      </c>
      <c r="FT237" s="1148">
        <f>FQ237+FS237</f>
        <v>835</v>
      </c>
      <c r="FU237" s="1148">
        <v>1515</v>
      </c>
      <c r="FV237" s="1278">
        <v>397</v>
      </c>
      <c r="FW237" s="1148">
        <v>387</v>
      </c>
      <c r="FX237" s="1279">
        <f>FV237+FW237</f>
        <v>784</v>
      </c>
      <c r="FY237" s="1148">
        <f>FZ237-FX237</f>
        <v>442</v>
      </c>
      <c r="FZ237" s="1148">
        <v>1226</v>
      </c>
      <c r="GA237" s="1148">
        <f>GC237-FZ237</f>
        <v>447</v>
      </c>
      <c r="GB237" s="1148">
        <f>FY237+GA237</f>
        <v>889</v>
      </c>
      <c r="GC237" s="1149">
        <v>1673</v>
      </c>
      <c r="GD237" s="1278">
        <v>385</v>
      </c>
      <c r="GE237" s="1148">
        <v>377</v>
      </c>
      <c r="GF237" s="1279">
        <f>GD237+GE237</f>
        <v>762</v>
      </c>
      <c r="GG237" s="1148">
        <v>301</v>
      </c>
      <c r="GH237" s="1148">
        <f>GG237+GF237</f>
        <v>1063</v>
      </c>
      <c r="GI237" s="1148">
        <f>GK237-GH237</f>
        <v>400</v>
      </c>
      <c r="GJ237" s="1148">
        <f>GG237+GI237</f>
        <v>701</v>
      </c>
      <c r="GK237" s="1149">
        <v>1463</v>
      </c>
      <c r="GL237" s="1279">
        <v>337</v>
      </c>
      <c r="GM237" s="1148">
        <v>361</v>
      </c>
      <c r="GN237" s="1279">
        <f>GL237+GM237</f>
        <v>698</v>
      </c>
      <c r="GO237" s="1148">
        <v>363</v>
      </c>
      <c r="GP237" s="1148">
        <f>GO237+GN237</f>
        <v>1061</v>
      </c>
      <c r="GQ237" s="1148">
        <f>GS237-GP237</f>
        <v>429</v>
      </c>
      <c r="GR237" s="1148">
        <f>GO237+GQ237</f>
        <v>792</v>
      </c>
      <c r="GS237" s="1149">
        <v>1490</v>
      </c>
      <c r="GT237" s="1279">
        <v>302</v>
      </c>
      <c r="GU237" s="1148">
        <v>103</v>
      </c>
      <c r="GV237" s="1279">
        <f>GT237+GU237</f>
        <v>405</v>
      </c>
      <c r="GW237" s="1148">
        <v>264</v>
      </c>
      <c r="GX237" s="1148">
        <f>GW237+GV237</f>
        <v>669</v>
      </c>
      <c r="GY237" s="1148">
        <f>HA237-GX237</f>
        <v>364</v>
      </c>
      <c r="GZ237" s="1148">
        <f>GW237+GY237</f>
        <v>628</v>
      </c>
      <c r="HA237" s="1149">
        <v>1033</v>
      </c>
      <c r="HB237" s="1279"/>
      <c r="HC237" s="1148"/>
      <c r="HD237" s="1148"/>
      <c r="HE237" s="1148"/>
      <c r="HF237" s="1148"/>
      <c r="HG237" s="1148"/>
      <c r="HH237" s="1148"/>
      <c r="HI237" s="1149"/>
      <c r="HJ237" s="1148"/>
      <c r="HK237" s="1148"/>
      <c r="HL237" s="1148"/>
      <c r="HM237" s="1148"/>
      <c r="HN237" s="1148"/>
      <c r="HO237" s="1148"/>
      <c r="HP237" s="1148"/>
      <c r="HQ237" s="1149"/>
      <c r="HR237" s="1148"/>
      <c r="HS237" s="1148"/>
      <c r="HT237" s="1148"/>
      <c r="HU237" s="1148"/>
      <c r="HV237" s="1148"/>
      <c r="HW237" s="1148"/>
      <c r="HX237" s="1148"/>
      <c r="HY237" s="1148"/>
      <c r="HZ237" s="1148"/>
      <c r="IA237" s="1148"/>
      <c r="IB237" s="1148"/>
      <c r="IC237" s="1148"/>
      <c r="ID237" s="1148"/>
      <c r="IE237" s="1148"/>
      <c r="IF237" s="1148"/>
      <c r="IG237" s="1149"/>
      <c r="IH237" s="1148"/>
      <c r="II237" s="1148"/>
      <c r="IJ237" s="1148"/>
      <c r="IK237" s="1148"/>
      <c r="IL237" s="1148"/>
      <c r="IM237" s="1148"/>
      <c r="IN237" s="1148"/>
      <c r="IO237" s="1149"/>
      <c r="IP237" s="1148"/>
      <c r="IQ237" s="1148"/>
      <c r="IR237" s="1148"/>
      <c r="IS237" s="1148"/>
      <c r="IT237" s="1148"/>
      <c r="IU237" s="1148"/>
      <c r="IV237" s="1148"/>
      <c r="IW237" s="1148"/>
      <c r="IX237" s="1104"/>
      <c r="IY237" s="1049"/>
      <c r="IZ237" s="1049"/>
      <c r="JA237" s="1049"/>
      <c r="JB237" s="1049"/>
      <c r="JC237" s="1049"/>
      <c r="JD237" s="1041"/>
      <c r="JE237" s="1037"/>
      <c r="JF237" s="1037"/>
      <c r="JG237" s="1037"/>
      <c r="JH237" s="1037"/>
      <c r="JI237" s="1035"/>
      <c r="JJ237" s="1035"/>
      <c r="JK237" s="1035"/>
      <c r="JL237" s="1035"/>
      <c r="JM237" s="1035"/>
      <c r="JN237" s="1035"/>
      <c r="JO237" s="1035"/>
      <c r="JP237" s="1035"/>
      <c r="JQ237" s="1035"/>
      <c r="JR237" s="1035"/>
      <c r="JS237" s="1035"/>
      <c r="JT237" s="1035"/>
      <c r="JU237" s="1035"/>
      <c r="JV237" s="1035"/>
      <c r="JW237" s="1035"/>
      <c r="JX237" s="1035"/>
      <c r="JY237" s="1035"/>
      <c r="KP237" s="1117"/>
      <c r="LV237" s="967"/>
    </row>
    <row r="238" hidden="1" spans="1:334">
      <c r="A238" s="967" t="s">
        <v>113</v>
      </c>
      <c r="AX238" s="1059"/>
      <c r="BE238" s="1060"/>
      <c r="BN238" s="1059"/>
      <c r="BU238" s="1060"/>
      <c r="BV238" s="1059"/>
      <c r="CC238" s="1060"/>
      <c r="CD238" s="1059"/>
      <c r="CJ238" s="1061"/>
      <c r="CK238" s="1060"/>
      <c r="CL238" s="1059"/>
      <c r="CS238" s="1060"/>
      <c r="CT238" s="1059"/>
      <c r="CW238" s="1062"/>
      <c r="CX238" s="1062"/>
      <c r="DE238" s="1064"/>
      <c r="DF238" s="1064"/>
      <c r="DM238" s="1064"/>
      <c r="DN238" s="1064"/>
      <c r="DU238" s="1064"/>
      <c r="DV238" s="1064"/>
      <c r="EC238" s="1064"/>
      <c r="ED238" s="1064"/>
      <c r="EH238" s="1181"/>
      <c r="EI238" s="1181"/>
      <c r="EJ238" s="1181"/>
      <c r="EK238" s="1181"/>
      <c r="EL238" s="1181"/>
      <c r="EM238" s="1181"/>
      <c r="EN238" s="1181"/>
      <c r="EO238" s="1182"/>
      <c r="EP238" s="1181"/>
      <c r="EQ238" s="1181"/>
      <c r="ER238" s="1181"/>
      <c r="ES238" s="1181"/>
      <c r="ET238" s="1181"/>
      <c r="EU238" s="1181"/>
      <c r="EV238" s="1181"/>
      <c r="EW238" s="1182"/>
      <c r="EX238" s="1181"/>
      <c r="EY238" s="1181"/>
      <c r="EZ238" s="1181"/>
      <c r="FA238" s="1181"/>
      <c r="FB238" s="1181"/>
      <c r="FC238" s="1181"/>
      <c r="FD238" s="1181"/>
      <c r="FE238" s="1182"/>
      <c r="FF238" s="1181">
        <f t="shared" ref="FF238:FM238" si="1279">FF237/EX237-1</f>
        <v>0.110769230769231</v>
      </c>
      <c r="FG238" s="1181">
        <f t="shared" si="1279"/>
        <v>0.114942528735632</v>
      </c>
      <c r="FH238" s="1181">
        <f t="shared" si="1279"/>
        <v>0.112927191679049</v>
      </c>
      <c r="FI238" s="1181">
        <f t="shared" si="1279"/>
        <v>0.143250688705234</v>
      </c>
      <c r="FJ238" s="1181">
        <f t="shared" si="1279"/>
        <v>0.123552123552124</v>
      </c>
      <c r="FK238" s="1181">
        <f t="shared" si="1279"/>
        <v>0</v>
      </c>
      <c r="FL238" s="1181">
        <f t="shared" si="1279"/>
        <v>0.0727272727272728</v>
      </c>
      <c r="FM238" s="1182">
        <f t="shared" si="1279"/>
        <v>0.0922190201729107</v>
      </c>
      <c r="FN238" s="1181">
        <f t="shared" ref="FN238:FX238" si="1280">FN237/FF237-1</f>
        <v>-0.0304709141274239</v>
      </c>
      <c r="FO238" s="1181">
        <f t="shared" si="1280"/>
        <v>-0.149484536082474</v>
      </c>
      <c r="FP238" s="1181">
        <f t="shared" si="1280"/>
        <v>-0.0921228304405874</v>
      </c>
      <c r="FQ238" s="1181">
        <f t="shared" si="1280"/>
        <v>0.0240963855421688</v>
      </c>
      <c r="FR238" s="1181">
        <f t="shared" si="1280"/>
        <v>-0.0506872852233677</v>
      </c>
      <c r="FS238" s="1181">
        <f t="shared" si="1280"/>
        <v>0.164772727272727</v>
      </c>
      <c r="FT238" s="1181">
        <f t="shared" si="1280"/>
        <v>0.0886571056062582</v>
      </c>
      <c r="FU238" s="1181">
        <f t="shared" si="1280"/>
        <v>-0.00065963060686014</v>
      </c>
      <c r="FV238" s="1220">
        <f t="shared" si="1280"/>
        <v>0.134285714285714</v>
      </c>
      <c r="FW238" s="1181">
        <f t="shared" si="1280"/>
        <v>0.172727272727273</v>
      </c>
      <c r="FX238" s="1181">
        <f t="shared" si="1280"/>
        <v>0.152941176470588</v>
      </c>
      <c r="FY238" s="1181">
        <f t="shared" ref="FY238" si="1281">FY237/FQ237-1</f>
        <v>0.04</v>
      </c>
      <c r="FZ238" s="1181">
        <f t="shared" ref="FZ238" si="1282">FZ237/FR237-1</f>
        <v>0.109502262443439</v>
      </c>
      <c r="GA238" s="1181">
        <f t="shared" ref="GA238" si="1283">GA237/FS237-1</f>
        <v>0.0902439024390245</v>
      </c>
      <c r="GB238" s="1181">
        <f t="shared" ref="GB238" si="1284">GB237/FT237-1</f>
        <v>0.0646706586826347</v>
      </c>
      <c r="GC238" s="1182">
        <f t="shared" ref="GC238" si="1285">GC237/FU237-1</f>
        <v>0.104290429042904</v>
      </c>
      <c r="GD238" s="1220">
        <v>-0.03</v>
      </c>
      <c r="GE238" s="1181">
        <f>GE237/FW237-1</f>
        <v>-0.0258397932816538</v>
      </c>
      <c r="GF238" s="1181">
        <f>GF237/FX237-1</f>
        <v>-0.0280612244897959</v>
      </c>
      <c r="GG238" s="1181">
        <f>GG237/FY237-1</f>
        <v>-0.319004524886878</v>
      </c>
      <c r="GH238" s="1181">
        <f>GH237/FZ237-1</f>
        <v>-0.132952691680261</v>
      </c>
      <c r="GI238" s="1181">
        <f t="shared" ref="GI238" si="1286">GI237/GA237-1</f>
        <v>-0.105145413870246</v>
      </c>
      <c r="GJ238" s="1181">
        <f t="shared" ref="GJ238" si="1287">GJ237/GB237-1</f>
        <v>-0.211473565804274</v>
      </c>
      <c r="GK238" s="1182">
        <f t="shared" ref="GK238:GP238" si="1288">GK237/GC237-1</f>
        <v>-0.125523012552301</v>
      </c>
      <c r="GL238" s="1181">
        <f t="shared" si="1288"/>
        <v>-0.124675324675325</v>
      </c>
      <c r="GM238" s="1181">
        <f t="shared" si="1288"/>
        <v>-0.0424403183023873</v>
      </c>
      <c r="GN238" s="1181">
        <f t="shared" si="1288"/>
        <v>-0.083989501312336</v>
      </c>
      <c r="GO238" s="1181">
        <f t="shared" si="1288"/>
        <v>0.205980066445183</v>
      </c>
      <c r="GP238" s="1181">
        <f t="shared" si="1288"/>
        <v>-0.00188146754468488</v>
      </c>
      <c r="GQ238" s="1181">
        <f t="shared" ref="GQ238" si="1289">GQ237/GI237-1</f>
        <v>0.0725</v>
      </c>
      <c r="GR238" s="1181">
        <f t="shared" ref="GR238" si="1290">GR237/GJ237-1</f>
        <v>0.12981455064194</v>
      </c>
      <c r="GS238" s="1182">
        <f t="shared" ref="GS238:GX238" si="1291">GS237/GK237-1</f>
        <v>0.0184552289815447</v>
      </c>
      <c r="GT238" s="1181">
        <f t="shared" si="1291"/>
        <v>-0.103857566765579</v>
      </c>
      <c r="GU238" s="1181">
        <f t="shared" si="1291"/>
        <v>-0.714681440443213</v>
      </c>
      <c r="GV238" s="1181">
        <f t="shared" si="1291"/>
        <v>-0.419770773638969</v>
      </c>
      <c r="GW238" s="1181">
        <f t="shared" si="1291"/>
        <v>-0.272727272727273</v>
      </c>
      <c r="GX238" s="1181">
        <f t="shared" si="1291"/>
        <v>-0.369462770970782</v>
      </c>
      <c r="GY238" s="1181">
        <f t="shared" ref="GY238" si="1292">GY237/GQ237-1</f>
        <v>-0.151515151515151</v>
      </c>
      <c r="GZ238" s="1181">
        <f t="shared" ref="GZ238" si="1293">GZ237/GR237-1</f>
        <v>-0.207070707070707</v>
      </c>
      <c r="HA238" s="1182">
        <f t="shared" ref="HA238" si="1294">HA237/GS237-1</f>
        <v>-0.306711409395973</v>
      </c>
      <c r="HB238" s="1181"/>
      <c r="HC238" s="1181"/>
      <c r="HD238" s="1181"/>
      <c r="HE238" s="1181"/>
      <c r="HF238" s="1181"/>
      <c r="HG238" s="1181"/>
      <c r="HH238" s="1181"/>
      <c r="HI238" s="1182"/>
      <c r="HJ238" s="1181"/>
      <c r="HK238" s="1181"/>
      <c r="HL238" s="1181"/>
      <c r="HM238" s="1181"/>
      <c r="HN238" s="1181"/>
      <c r="HO238" s="1181"/>
      <c r="HP238" s="1181"/>
      <c r="HQ238" s="1182"/>
      <c r="HR238" s="1181"/>
      <c r="HS238" s="1181"/>
      <c r="HT238" s="1181"/>
      <c r="HU238" s="1181"/>
      <c r="HV238" s="1181"/>
      <c r="HW238" s="1181"/>
      <c r="HX238" s="1181"/>
      <c r="HY238" s="1181"/>
      <c r="HZ238" s="1181"/>
      <c r="IA238" s="1181"/>
      <c r="IB238" s="1181"/>
      <c r="IC238" s="1181"/>
      <c r="ID238" s="1181"/>
      <c r="IE238" s="1181"/>
      <c r="IF238" s="1181"/>
      <c r="IG238" s="1182"/>
      <c r="IH238" s="1181"/>
      <c r="II238" s="1181"/>
      <c r="IJ238" s="1181"/>
      <c r="IK238" s="1181"/>
      <c r="IL238" s="1181"/>
      <c r="IM238" s="1181"/>
      <c r="IN238" s="1181"/>
      <c r="IO238" s="1182"/>
      <c r="IP238" s="1181"/>
      <c r="IQ238" s="1181"/>
      <c r="IR238" s="1181"/>
      <c r="IS238" s="1181"/>
      <c r="IT238" s="1181"/>
      <c r="IU238" s="1181"/>
      <c r="IV238" s="1181"/>
      <c r="IW238" s="1181"/>
      <c r="IX238" s="1104"/>
      <c r="IY238" s="1049"/>
      <c r="IZ238" s="1049"/>
      <c r="JA238" s="1049"/>
      <c r="JB238" s="1049"/>
      <c r="JC238" s="1049"/>
      <c r="JD238" s="1041"/>
      <c r="JE238" s="1037"/>
      <c r="JF238" s="1037"/>
      <c r="JG238" s="1037"/>
      <c r="JH238" s="1037"/>
      <c r="JI238" s="1035"/>
      <c r="JJ238" s="1035"/>
      <c r="JK238" s="1035"/>
      <c r="JL238" s="1035"/>
      <c r="JM238" s="1035"/>
      <c r="JN238" s="1035"/>
      <c r="JO238" s="1035"/>
      <c r="JP238" s="1035"/>
      <c r="JQ238" s="1035"/>
      <c r="JR238" s="1035"/>
      <c r="JS238" s="1035"/>
      <c r="JT238" s="1035"/>
      <c r="JU238" s="1035"/>
      <c r="JV238" s="1035"/>
      <c r="JW238" s="1035"/>
      <c r="JX238" s="1035"/>
      <c r="JY238" s="1035"/>
      <c r="KP238" s="1117"/>
      <c r="LV238" s="967"/>
    </row>
    <row r="239" hidden="1" spans="1:334">
      <c r="A239" s="967" t="s">
        <v>100</v>
      </c>
      <c r="AX239" s="1059"/>
      <c r="BE239" s="1060"/>
      <c r="BN239" s="1059"/>
      <c r="BU239" s="1060"/>
      <c r="BV239" s="1059"/>
      <c r="CC239" s="1060"/>
      <c r="CD239" s="1059"/>
      <c r="CJ239" s="1061"/>
      <c r="CK239" s="1060"/>
      <c r="CL239" s="1059"/>
      <c r="CS239" s="1060"/>
      <c r="CT239" s="1059"/>
      <c r="CW239" s="1062"/>
      <c r="CX239" s="1062"/>
      <c r="DE239" s="1064"/>
      <c r="DF239" s="1064"/>
      <c r="DM239" s="1064"/>
      <c r="DN239" s="1064"/>
      <c r="DU239" s="1064"/>
      <c r="DV239" s="1064"/>
      <c r="EC239" s="1064"/>
      <c r="ED239" s="1064"/>
      <c r="EH239" s="1181"/>
      <c r="EI239" s="1181"/>
      <c r="EJ239" s="1181"/>
      <c r="EK239" s="1181"/>
      <c r="EL239" s="1181"/>
      <c r="EM239" s="1181"/>
      <c r="EN239" s="1181"/>
      <c r="EO239" s="1182"/>
      <c r="EP239" s="1181"/>
      <c r="EQ239" s="1181"/>
      <c r="ER239" s="1181"/>
      <c r="ES239" s="1181"/>
      <c r="ET239" s="1181"/>
      <c r="EU239" s="1181"/>
      <c r="EV239" s="1181"/>
      <c r="EW239" s="1182"/>
      <c r="EX239" s="1181"/>
      <c r="EY239" s="1181"/>
      <c r="EZ239" s="1181"/>
      <c r="FA239" s="1181"/>
      <c r="FB239" s="1181"/>
      <c r="FC239" s="1181"/>
      <c r="FD239" s="1181"/>
      <c r="FE239" s="1182"/>
      <c r="FF239" s="1181">
        <v>0.05</v>
      </c>
      <c r="FG239" s="1181">
        <f>(EZ237*FH239-EX237*FF239)/EY237</f>
        <v>0.0693390804597701</v>
      </c>
      <c r="FH239" s="1181">
        <v>0.06</v>
      </c>
      <c r="FI239" s="1181">
        <f>(FB237*FJ239-EZ237*FH239)/FA237</f>
        <v>0.202699724517906</v>
      </c>
      <c r="FJ239" s="1181">
        <v>0.11</v>
      </c>
      <c r="FK239" s="1181">
        <f>(FE237*FM239-FB237*FJ239)/FC237</f>
        <v>0.11</v>
      </c>
      <c r="FL239" s="1181">
        <f>(FE237*FM239-EZ237*FH239)/FD237</f>
        <v>0.157062937062937</v>
      </c>
      <c r="FM239" s="1182">
        <v>0.11</v>
      </c>
      <c r="FN239" s="1181">
        <v>0.23</v>
      </c>
      <c r="FO239" s="1181">
        <f>(FH237*FP239-FF237*FN239)/FG237</f>
        <v>0.114175257731959</v>
      </c>
      <c r="FP239" s="1181">
        <v>0.17</v>
      </c>
      <c r="FQ239" s="1181">
        <f>(FJ237*FR239-FH237*FP239)/FI237</f>
        <v>0.17</v>
      </c>
      <c r="FR239" s="1181">
        <v>0.17</v>
      </c>
      <c r="FS239" s="1181">
        <f>(FM237*FU239-FJ237*FR239)/FK237</f>
        <v>0.256136363636364</v>
      </c>
      <c r="FT239" s="1181">
        <f>(FM237*FU239-FH237*FP239)/FL237</f>
        <v>0.209530638852673</v>
      </c>
      <c r="FU239" s="1181">
        <v>0.19</v>
      </c>
      <c r="FV239" s="1220">
        <v>0.07</v>
      </c>
      <c r="FW239" s="1181">
        <v>0.14</v>
      </c>
      <c r="FX239" s="1218">
        <f>(FV239*FN236+FW239*FO236)/FP236</f>
        <v>0.104320827943079</v>
      </c>
      <c r="FY239" s="1181">
        <f>(FR237*FZ239-FP237*FX239)/FQ237</f>
        <v>0.0930866752910737</v>
      </c>
      <c r="FZ239" s="1181">
        <v>0.1</v>
      </c>
      <c r="GA239" s="1181">
        <f>(FU237*GC239-FR237*FZ239)/FS237</f>
        <v>0.17390243902439</v>
      </c>
      <c r="GB239" s="1181">
        <f>(FU237*GC239-FP237*FX239)/FT237</f>
        <v>0.132768667064319</v>
      </c>
      <c r="GC239" s="1182">
        <v>0.12</v>
      </c>
      <c r="GD239" s="1220">
        <v>0.13</v>
      </c>
      <c r="GE239" s="1181">
        <v>0.19077519379845</v>
      </c>
      <c r="GF239" s="1218">
        <f>(GD239*FV237+GE239*FW237)/FX237</f>
        <v>0.16</v>
      </c>
      <c r="GG239" s="1181">
        <v>0.01</v>
      </c>
      <c r="GH239" s="1181"/>
      <c r="GI239" s="1181">
        <v>0.01</v>
      </c>
      <c r="GJ239" s="1181">
        <f>(GC237*GK239-FX237*GF239)/GB237</f>
        <v>0.00944881889763777</v>
      </c>
      <c r="GK239" s="1182">
        <v>0.08</v>
      </c>
      <c r="GL239" s="1218">
        <v>-0.02</v>
      </c>
      <c r="GM239" s="1181">
        <v>0.04</v>
      </c>
      <c r="GN239" s="1218">
        <f>(GL239*GD237+GM239*GE237)/GF237</f>
        <v>0.00968503937007874</v>
      </c>
      <c r="GO239" s="1181">
        <v>0.06</v>
      </c>
      <c r="GP239" s="1181"/>
      <c r="GQ239" s="1181">
        <v>0.23</v>
      </c>
      <c r="GR239" s="1181">
        <f>(GK237*GS239-GF237*GN239)/GJ237</f>
        <v>0.156433666191156</v>
      </c>
      <c r="GS239" s="1182">
        <v>0.08</v>
      </c>
      <c r="GT239" s="1218">
        <v>-0.01</v>
      </c>
      <c r="GU239" s="1181">
        <v>-0.64</v>
      </c>
      <c r="GV239" s="1218">
        <f>(GT239*GL237+GU239*GM237)/GN237</f>
        <v>-0.335830945558739</v>
      </c>
      <c r="GW239" s="1181">
        <v>-0.13</v>
      </c>
      <c r="GX239" s="1181"/>
      <c r="GY239" s="1181">
        <v>-0.15</v>
      </c>
      <c r="GZ239" s="1181">
        <f>(GS237*HA239-GN237*GV239)/GR237</f>
        <v>-0.0050378787878788</v>
      </c>
      <c r="HA239" s="1182">
        <v>-0.16</v>
      </c>
      <c r="HB239" s="1218"/>
      <c r="HC239" s="1181"/>
      <c r="HD239" s="1181"/>
      <c r="HE239" s="1181"/>
      <c r="HF239" s="1181"/>
      <c r="HG239" s="1181"/>
      <c r="HH239" s="1181"/>
      <c r="HI239" s="1182"/>
      <c r="HJ239" s="1181"/>
      <c r="HK239" s="1181"/>
      <c r="HL239" s="1181"/>
      <c r="HM239" s="1181"/>
      <c r="HN239" s="1181"/>
      <c r="HO239" s="1181"/>
      <c r="HP239" s="1181"/>
      <c r="HQ239" s="1182"/>
      <c r="HR239" s="1181"/>
      <c r="HS239" s="1181"/>
      <c r="HT239" s="1181"/>
      <c r="HU239" s="1181"/>
      <c r="HV239" s="1181"/>
      <c r="HW239" s="1181"/>
      <c r="HX239" s="1181"/>
      <c r="HY239" s="1181"/>
      <c r="HZ239" s="1181"/>
      <c r="IA239" s="1181"/>
      <c r="IB239" s="1181"/>
      <c r="IC239" s="1181"/>
      <c r="ID239" s="1181"/>
      <c r="IE239" s="1181"/>
      <c r="IF239" s="1181"/>
      <c r="IG239" s="1182"/>
      <c r="IH239" s="1181"/>
      <c r="II239" s="1181"/>
      <c r="IJ239" s="1181"/>
      <c r="IK239" s="1181"/>
      <c r="IL239" s="1181"/>
      <c r="IM239" s="1181"/>
      <c r="IN239" s="1181"/>
      <c r="IO239" s="1182"/>
      <c r="IP239" s="1181"/>
      <c r="IQ239" s="1181"/>
      <c r="IR239" s="1181"/>
      <c r="IS239" s="1181"/>
      <c r="IT239" s="1181"/>
      <c r="IU239" s="1181"/>
      <c r="IV239" s="1181"/>
      <c r="IW239" s="1181"/>
      <c r="IX239" s="1104"/>
      <c r="IY239" s="1049"/>
      <c r="IZ239" s="1049"/>
      <c r="JA239" s="1049"/>
      <c r="JB239" s="1049"/>
      <c r="JC239" s="1049"/>
      <c r="JD239" s="1041"/>
      <c r="JE239" s="1037"/>
      <c r="JF239" s="1037"/>
      <c r="JG239" s="1037"/>
      <c r="JH239" s="1037"/>
      <c r="JI239" s="1035"/>
      <c r="JJ239" s="1035"/>
      <c r="JK239" s="1035"/>
      <c r="JL239" s="1035"/>
      <c r="JM239" s="1035"/>
      <c r="JN239" s="1035"/>
      <c r="JO239" s="1035"/>
      <c r="JP239" s="1035"/>
      <c r="JQ239" s="1035"/>
      <c r="JR239" s="1035"/>
      <c r="JS239" s="1035"/>
      <c r="JT239" s="1035"/>
      <c r="JU239" s="1035"/>
      <c r="JV239" s="1035"/>
      <c r="JW239" s="1035"/>
      <c r="JX239" s="1035"/>
      <c r="JY239" s="1035"/>
      <c r="KP239" s="1117"/>
      <c r="LV239" s="967"/>
    </row>
    <row r="240" hidden="1" spans="1:334">
      <c r="A240" s="967" t="s">
        <v>82</v>
      </c>
      <c r="AX240" s="1059"/>
      <c r="BE240" s="1060"/>
      <c r="BN240" s="1059"/>
      <c r="BU240" s="1060"/>
      <c r="BV240" s="1059"/>
      <c r="CC240" s="1060"/>
      <c r="CD240" s="1059"/>
      <c r="CJ240" s="1061"/>
      <c r="CK240" s="1060"/>
      <c r="CL240" s="1059"/>
      <c r="CS240" s="1060"/>
      <c r="CT240" s="1059"/>
      <c r="CW240" s="1062"/>
      <c r="CX240" s="1062"/>
      <c r="DE240" s="1064"/>
      <c r="DF240" s="1064"/>
      <c r="DM240" s="1064"/>
      <c r="DN240" s="1064"/>
      <c r="DU240" s="1064"/>
      <c r="DV240" s="1064"/>
      <c r="EC240" s="1064"/>
      <c r="ED240" s="1064"/>
      <c r="EH240" s="1181"/>
      <c r="EI240" s="1181"/>
      <c r="EJ240" s="1181"/>
      <c r="EK240" s="1181"/>
      <c r="EL240" s="1181"/>
      <c r="EM240" s="1181"/>
      <c r="EN240" s="1181"/>
      <c r="EO240" s="1182"/>
      <c r="EP240" s="1181"/>
      <c r="EQ240" s="1181"/>
      <c r="ER240" s="1181"/>
      <c r="ES240" s="1181"/>
      <c r="ET240" s="1181"/>
      <c r="EU240" s="1181"/>
      <c r="EV240" s="1181"/>
      <c r="EW240" s="1182"/>
      <c r="EX240" s="1148">
        <v>49</v>
      </c>
      <c r="EY240" s="1148">
        <v>52</v>
      </c>
      <c r="EZ240" s="1148">
        <f>EX240+EY240</f>
        <v>101</v>
      </c>
      <c r="FA240" s="1148">
        <v>62</v>
      </c>
      <c r="FB240" s="1148">
        <f>EX240+EY240+FA240</f>
        <v>163</v>
      </c>
      <c r="FC240" s="1148">
        <v>60</v>
      </c>
      <c r="FD240" s="1148">
        <f>FA240+FC240</f>
        <v>122</v>
      </c>
      <c r="FE240" s="1149">
        <f>EX240+EY240+FA240+FC240</f>
        <v>223</v>
      </c>
      <c r="FF240" s="1148">
        <v>61</v>
      </c>
      <c r="FG240" s="1148">
        <f>FH240-FF240</f>
        <v>69</v>
      </c>
      <c r="FH240" s="1148">
        <v>130</v>
      </c>
      <c r="FI240" s="1148">
        <f>FJ240-FH240</f>
        <v>74</v>
      </c>
      <c r="FJ240" s="1148">
        <v>204</v>
      </c>
      <c r="FK240" s="1148">
        <f>FM240-FJ240</f>
        <v>62</v>
      </c>
      <c r="FL240" s="1148">
        <f>FI240+FK240</f>
        <v>136</v>
      </c>
      <c r="FM240" s="1149">
        <v>266</v>
      </c>
      <c r="FN240" s="1148">
        <v>44</v>
      </c>
      <c r="FO240" s="1148">
        <f>FP240-FN240</f>
        <v>49</v>
      </c>
      <c r="FP240" s="1148">
        <v>93</v>
      </c>
      <c r="FQ240" s="1148">
        <f>FR240-FP240</f>
        <v>62</v>
      </c>
      <c r="FR240" s="1148">
        <v>155</v>
      </c>
      <c r="FS240" s="1148">
        <f>FU240-FR240</f>
        <v>61</v>
      </c>
      <c r="FT240" s="1148">
        <f>FQ240+FS240</f>
        <v>123</v>
      </c>
      <c r="FU240" s="1148">
        <v>216</v>
      </c>
      <c r="FV240" s="1278">
        <v>57</v>
      </c>
      <c r="FW240" s="1148">
        <v>53</v>
      </c>
      <c r="FX240" s="1279">
        <f>FV240+FW240</f>
        <v>110</v>
      </c>
      <c r="FY240" s="1148">
        <f>FZ240-FX240</f>
        <v>61</v>
      </c>
      <c r="FZ240" s="1148">
        <v>171</v>
      </c>
      <c r="GA240" s="1148">
        <f>GC240-FZ240</f>
        <v>64</v>
      </c>
      <c r="GB240" s="1148">
        <f>FY240+GA240</f>
        <v>125</v>
      </c>
      <c r="GC240" s="1149">
        <v>235</v>
      </c>
      <c r="GD240" s="1278">
        <v>46</v>
      </c>
      <c r="GE240" s="1148">
        <v>39</v>
      </c>
      <c r="GF240" s="1279">
        <f>GD240+GE240</f>
        <v>85</v>
      </c>
      <c r="GG240" s="1148">
        <v>39</v>
      </c>
      <c r="GH240" s="1148">
        <f>GG240+GF240</f>
        <v>124</v>
      </c>
      <c r="GI240" s="1148">
        <f>GK240-GH240</f>
        <v>46</v>
      </c>
      <c r="GJ240" s="1148">
        <f>GG240+GI240</f>
        <v>85</v>
      </c>
      <c r="GK240" s="1149">
        <f>GK236-GK237</f>
        <v>170</v>
      </c>
      <c r="GL240" s="1279">
        <v>38</v>
      </c>
      <c r="GM240" s="1148">
        <v>42</v>
      </c>
      <c r="GN240" s="1279">
        <f>GL240+GM240</f>
        <v>80</v>
      </c>
      <c r="GO240" s="1148">
        <v>43</v>
      </c>
      <c r="GP240" s="1148">
        <f>GO240+GN240</f>
        <v>123</v>
      </c>
      <c r="GQ240" s="1148">
        <f>GS240-GP240</f>
        <v>46.9999999999998</v>
      </c>
      <c r="GR240" s="1148">
        <f>GO240+GQ240</f>
        <v>89.9999999999998</v>
      </c>
      <c r="GS240" s="1149">
        <f>GS236-GS237</f>
        <v>170</v>
      </c>
      <c r="GT240" s="1279">
        <v>37</v>
      </c>
      <c r="GU240" s="1148">
        <v>12</v>
      </c>
      <c r="GV240" s="1279">
        <f>GT240+GU240</f>
        <v>49</v>
      </c>
      <c r="GW240" s="1148">
        <v>32</v>
      </c>
      <c r="GX240" s="1148">
        <f>GW240+GV240</f>
        <v>81</v>
      </c>
      <c r="GY240" s="1148">
        <f>HA240-GX240</f>
        <v>44</v>
      </c>
      <c r="GZ240" s="1148">
        <f>GW240+GY240</f>
        <v>76</v>
      </c>
      <c r="HA240" s="1149">
        <f>HA236-HA237</f>
        <v>125</v>
      </c>
      <c r="HB240" s="1279"/>
      <c r="HC240" s="1148"/>
      <c r="HD240" s="1148"/>
      <c r="HE240" s="1148"/>
      <c r="HF240" s="1148"/>
      <c r="HG240" s="1148"/>
      <c r="HH240" s="1148"/>
      <c r="HI240" s="1149"/>
      <c r="HJ240" s="1148"/>
      <c r="HK240" s="1148"/>
      <c r="HL240" s="1148"/>
      <c r="HM240" s="1148"/>
      <c r="HN240" s="1148"/>
      <c r="HO240" s="1148"/>
      <c r="HP240" s="1148"/>
      <c r="HQ240" s="1149"/>
      <c r="HR240" s="1148"/>
      <c r="HS240" s="1148"/>
      <c r="HT240" s="1148"/>
      <c r="HU240" s="1148"/>
      <c r="HV240" s="1148"/>
      <c r="HW240" s="1148"/>
      <c r="HX240" s="1148"/>
      <c r="HY240" s="1148"/>
      <c r="HZ240" s="1148"/>
      <c r="IA240" s="1148"/>
      <c r="IB240" s="1148"/>
      <c r="IC240" s="1148"/>
      <c r="ID240" s="1148"/>
      <c r="IE240" s="1148"/>
      <c r="IF240" s="1148"/>
      <c r="IG240" s="1149"/>
      <c r="IH240" s="1148"/>
      <c r="II240" s="1148"/>
      <c r="IJ240" s="1148"/>
      <c r="IK240" s="1148"/>
      <c r="IL240" s="1148"/>
      <c r="IM240" s="1148"/>
      <c r="IN240" s="1148"/>
      <c r="IO240" s="1149"/>
      <c r="IP240" s="1148"/>
      <c r="IQ240" s="1148"/>
      <c r="IR240" s="1148"/>
      <c r="IS240" s="1148"/>
      <c r="IT240" s="1148"/>
      <c r="IU240" s="1148"/>
      <c r="IV240" s="1148"/>
      <c r="IW240" s="1148"/>
      <c r="IX240" s="1104"/>
      <c r="IY240" s="1049"/>
      <c r="IZ240" s="1049"/>
      <c r="JA240" s="1049"/>
      <c r="JB240" s="1049"/>
      <c r="JC240" s="1049"/>
      <c r="JD240" s="1041"/>
      <c r="JE240" s="1037"/>
      <c r="JF240" s="1037"/>
      <c r="JG240" s="1037"/>
      <c r="JH240" s="1037"/>
      <c r="JI240" s="1035"/>
      <c r="JJ240" s="1035"/>
      <c r="JK240" s="1094"/>
      <c r="JL240" s="1094"/>
      <c r="JM240" s="1094"/>
      <c r="JN240" s="1094"/>
      <c r="JO240" s="1094"/>
      <c r="JP240" s="1094"/>
      <c r="JQ240" s="1094"/>
      <c r="JR240" s="1094"/>
      <c r="JS240" s="1094"/>
      <c r="JT240" s="1094"/>
      <c r="JU240" s="1035"/>
      <c r="JV240" s="1035"/>
      <c r="JW240" s="1035"/>
      <c r="JX240" s="1035"/>
      <c r="JY240" s="1035"/>
      <c r="KP240" s="1117"/>
      <c r="LV240" s="967"/>
    </row>
    <row r="241" hidden="1" spans="1:334">
      <c r="A241" s="967" t="s">
        <v>113</v>
      </c>
      <c r="AX241" s="1059"/>
      <c r="BE241" s="1060"/>
      <c r="BN241" s="1059"/>
      <c r="BU241" s="1060"/>
      <c r="BV241" s="1059"/>
      <c r="CC241" s="1060"/>
      <c r="CD241" s="1059"/>
      <c r="CJ241" s="1061"/>
      <c r="CK241" s="1060"/>
      <c r="CL241" s="1059"/>
      <c r="CS241" s="1060"/>
      <c r="CT241" s="1059"/>
      <c r="CW241" s="1062"/>
      <c r="CX241" s="1062"/>
      <c r="DE241" s="1064"/>
      <c r="DF241" s="1064"/>
      <c r="DM241" s="1064"/>
      <c r="DN241" s="1064"/>
      <c r="DU241" s="1064"/>
      <c r="DV241" s="1064"/>
      <c r="EC241" s="1064"/>
      <c r="ED241" s="1064"/>
      <c r="EH241" s="1181"/>
      <c r="EI241" s="1181"/>
      <c r="EJ241" s="1181"/>
      <c r="EK241" s="1181"/>
      <c r="EL241" s="1181"/>
      <c r="EM241" s="1181"/>
      <c r="EN241" s="1181"/>
      <c r="EO241" s="1182"/>
      <c r="EP241" s="1181"/>
      <c r="EQ241" s="1181"/>
      <c r="ER241" s="1181"/>
      <c r="ES241" s="1181"/>
      <c r="ET241" s="1181"/>
      <c r="EU241" s="1181"/>
      <c r="EV241" s="1181"/>
      <c r="EW241" s="1182"/>
      <c r="EX241" s="1181"/>
      <c r="EY241" s="1181"/>
      <c r="EZ241" s="1181"/>
      <c r="FA241" s="1181"/>
      <c r="FB241" s="1181"/>
      <c r="FC241" s="1181"/>
      <c r="FD241" s="1181"/>
      <c r="FE241" s="1182"/>
      <c r="FF241" s="1181">
        <f t="shared" ref="FF241:FM241" si="1295">FF240/EX240-1</f>
        <v>0.244897959183674</v>
      </c>
      <c r="FG241" s="1181">
        <f t="shared" si="1295"/>
        <v>0.326923076923077</v>
      </c>
      <c r="FH241" s="1181">
        <f t="shared" si="1295"/>
        <v>0.287128712871287</v>
      </c>
      <c r="FI241" s="1181">
        <f t="shared" si="1295"/>
        <v>0.193548387096774</v>
      </c>
      <c r="FJ241" s="1181">
        <f t="shared" si="1295"/>
        <v>0.251533742331288</v>
      </c>
      <c r="FK241" s="1181">
        <f t="shared" si="1295"/>
        <v>0.0333333333333334</v>
      </c>
      <c r="FL241" s="1181">
        <f t="shared" si="1295"/>
        <v>0.114754098360656</v>
      </c>
      <c r="FM241" s="1182">
        <f t="shared" si="1295"/>
        <v>0.192825112107623</v>
      </c>
      <c r="FN241" s="1181">
        <f t="shared" ref="FN241:FX241" si="1296">FN240/FF240-1</f>
        <v>-0.278688524590164</v>
      </c>
      <c r="FO241" s="1181">
        <f t="shared" si="1296"/>
        <v>-0.289855072463768</v>
      </c>
      <c r="FP241" s="1181">
        <f t="shared" si="1296"/>
        <v>-0.284615384615385</v>
      </c>
      <c r="FQ241" s="1181">
        <f t="shared" si="1296"/>
        <v>-0.162162162162162</v>
      </c>
      <c r="FR241" s="1181">
        <f t="shared" si="1296"/>
        <v>-0.240196078431373</v>
      </c>
      <c r="FS241" s="1181">
        <f t="shared" si="1296"/>
        <v>-0.0161290322580645</v>
      </c>
      <c r="FT241" s="1181">
        <f t="shared" si="1296"/>
        <v>-0.0955882352941176</v>
      </c>
      <c r="FU241" s="1181">
        <f t="shared" si="1296"/>
        <v>-0.18796992481203</v>
      </c>
      <c r="FV241" s="1220">
        <f t="shared" si="1296"/>
        <v>0.295454545454545</v>
      </c>
      <c r="FW241" s="1181">
        <f t="shared" si="1296"/>
        <v>0.0816326530612246</v>
      </c>
      <c r="FX241" s="1181">
        <f t="shared" si="1296"/>
        <v>0.182795698924731</v>
      </c>
      <c r="FY241" s="1181">
        <f t="shared" ref="FY241" si="1297">FY240/FQ240-1</f>
        <v>-0.0161290322580645</v>
      </c>
      <c r="FZ241" s="1181">
        <f t="shared" ref="FZ241" si="1298">FZ240/FR240-1</f>
        <v>0.103225806451613</v>
      </c>
      <c r="GA241" s="1181">
        <f t="shared" ref="GA241" si="1299">GA240/FS240-1</f>
        <v>0.0491803278688525</v>
      </c>
      <c r="GB241" s="1181">
        <f t="shared" ref="GB241" si="1300">GB240/FT240-1</f>
        <v>0.0162601626016261</v>
      </c>
      <c r="GC241" s="1182">
        <f t="shared" ref="GC241" si="1301">GC240/FU240-1</f>
        <v>0.087962962962963</v>
      </c>
      <c r="GD241" s="1220">
        <v>-0.2</v>
      </c>
      <c r="GE241" s="1181">
        <f>GE240/FW240-1</f>
        <v>-0.264150943396226</v>
      </c>
      <c r="GF241" s="1181">
        <f>GF240/FX240-1</f>
        <v>-0.227272727272727</v>
      </c>
      <c r="GG241" s="1181">
        <v>-0.35</v>
      </c>
      <c r="GH241" s="1181">
        <f>GH240/FZ240-1</f>
        <v>-0.274853801169591</v>
      </c>
      <c r="GI241" s="1181">
        <f t="shared" ref="GI241" si="1302">GI240/GA240-1</f>
        <v>-0.28125</v>
      </c>
      <c r="GJ241" s="1181">
        <f t="shared" ref="GJ241" si="1303">GJ240/GB240-1</f>
        <v>-0.32</v>
      </c>
      <c r="GK241" s="1182">
        <f t="shared" ref="GK241:GP241" si="1304">GK240/GC240-1</f>
        <v>-0.276595744680851</v>
      </c>
      <c r="GL241" s="1181">
        <f t="shared" si="1304"/>
        <v>-0.173913043478261</v>
      </c>
      <c r="GM241" s="1181">
        <f t="shared" si="1304"/>
        <v>0.0769230769230769</v>
      </c>
      <c r="GN241" s="1181">
        <f t="shared" si="1304"/>
        <v>-0.0588235294117647</v>
      </c>
      <c r="GO241" s="1181">
        <f t="shared" si="1304"/>
        <v>0.102564102564103</v>
      </c>
      <c r="GP241" s="1181">
        <f t="shared" si="1304"/>
        <v>-0.00806451612903225</v>
      </c>
      <c r="GQ241" s="1181">
        <f t="shared" ref="GQ241" si="1305">GQ240/GI240-1</f>
        <v>0.0217391304347776</v>
      </c>
      <c r="GR241" s="1181">
        <f t="shared" ref="GR241" si="1306">GR240/GJ240-1</f>
        <v>0.0588235294117621</v>
      </c>
      <c r="GS241" s="1182">
        <f t="shared" ref="GS241:GX241" si="1307">GS240/GK240-1</f>
        <v>-1.33226762955019e-15</v>
      </c>
      <c r="GT241" s="1181">
        <f t="shared" si="1307"/>
        <v>-0.0263157894736842</v>
      </c>
      <c r="GU241" s="1181">
        <f t="shared" si="1307"/>
        <v>-0.714285714285714</v>
      </c>
      <c r="GV241" s="1181">
        <f t="shared" si="1307"/>
        <v>-0.3875</v>
      </c>
      <c r="GW241" s="1181">
        <f t="shared" si="1307"/>
        <v>-0.255813953488372</v>
      </c>
      <c r="GX241" s="1181">
        <f t="shared" si="1307"/>
        <v>-0.341463414634146</v>
      </c>
      <c r="GY241" s="1181">
        <f t="shared" ref="GY241" si="1308">GY240/GQ240-1</f>
        <v>-0.063829787234038</v>
      </c>
      <c r="GZ241" s="1181">
        <f t="shared" ref="GZ241" si="1309">GZ240/GR240-1</f>
        <v>-0.155555555555553</v>
      </c>
      <c r="HA241" s="1182">
        <f t="shared" ref="HA241" si="1310">HA240/GS240-1</f>
        <v>-0.26470588235294</v>
      </c>
      <c r="HB241" s="1181"/>
      <c r="HC241" s="1181"/>
      <c r="HD241" s="1181"/>
      <c r="HE241" s="1181"/>
      <c r="HF241" s="1181"/>
      <c r="HG241" s="1181"/>
      <c r="HH241" s="1181"/>
      <c r="HI241" s="1182"/>
      <c r="HJ241" s="1181"/>
      <c r="HK241" s="1181"/>
      <c r="HL241" s="1181"/>
      <c r="HM241" s="1181"/>
      <c r="HN241" s="1181"/>
      <c r="HO241" s="1181"/>
      <c r="HP241" s="1181"/>
      <c r="HQ241" s="1182"/>
      <c r="HR241" s="1181"/>
      <c r="HS241" s="1181"/>
      <c r="HT241" s="1181"/>
      <c r="HU241" s="1181"/>
      <c r="HV241" s="1181"/>
      <c r="HW241" s="1181"/>
      <c r="HX241" s="1181"/>
      <c r="HY241" s="1181"/>
      <c r="HZ241" s="1181"/>
      <c r="IA241" s="1181"/>
      <c r="IB241" s="1181"/>
      <c r="IC241" s="1181"/>
      <c r="ID241" s="1181"/>
      <c r="IE241" s="1181"/>
      <c r="IF241" s="1181"/>
      <c r="IG241" s="1182"/>
      <c r="IH241" s="1181"/>
      <c r="II241" s="1181"/>
      <c r="IJ241" s="1181"/>
      <c r="IK241" s="1181"/>
      <c r="IL241" s="1181"/>
      <c r="IM241" s="1181"/>
      <c r="IN241" s="1181"/>
      <c r="IO241" s="1182"/>
      <c r="IP241" s="1181"/>
      <c r="IQ241" s="1181"/>
      <c r="IR241" s="1181"/>
      <c r="IS241" s="1181"/>
      <c r="IT241" s="1181"/>
      <c r="IU241" s="1181"/>
      <c r="IV241" s="1181"/>
      <c r="IW241" s="1181"/>
      <c r="IX241" s="1104"/>
      <c r="IY241" s="1049"/>
      <c r="IZ241" s="1049"/>
      <c r="JA241" s="1049"/>
      <c r="JB241" s="1049"/>
      <c r="JC241" s="1049"/>
      <c r="JD241" s="1041"/>
      <c r="JE241" s="1037"/>
      <c r="JF241" s="1037"/>
      <c r="JG241" s="1037"/>
      <c r="JH241" s="1037"/>
      <c r="JI241" s="1035"/>
      <c r="JJ241" s="1035"/>
      <c r="JK241" s="1035"/>
      <c r="JL241" s="1035"/>
      <c r="JM241" s="1035"/>
      <c r="JN241" s="1035"/>
      <c r="JO241" s="1035"/>
      <c r="JP241" s="1035"/>
      <c r="JQ241" s="1094"/>
      <c r="JR241" s="1094"/>
      <c r="JS241" s="1094"/>
      <c r="JT241" s="1094"/>
      <c r="JU241" s="1035"/>
      <c r="JV241" s="1035"/>
      <c r="JW241" s="1035"/>
      <c r="JX241" s="1035"/>
      <c r="JY241" s="1035"/>
      <c r="KP241" s="1117"/>
      <c r="LV241" s="967"/>
    </row>
    <row r="242" hidden="1" spans="1:334">
      <c r="A242" s="967" t="s">
        <v>100</v>
      </c>
      <c r="AX242" s="1059"/>
      <c r="BE242" s="1060"/>
      <c r="BN242" s="1059"/>
      <c r="BU242" s="1060"/>
      <c r="BV242" s="1059"/>
      <c r="CC242" s="1060"/>
      <c r="CD242" s="1059"/>
      <c r="CJ242" s="1061"/>
      <c r="CK242" s="1060"/>
      <c r="CL242" s="1059"/>
      <c r="CS242" s="1060"/>
      <c r="CT242" s="1059"/>
      <c r="CW242" s="1062"/>
      <c r="CX242" s="1062"/>
      <c r="DE242" s="1064"/>
      <c r="DF242" s="1064"/>
      <c r="DM242" s="1064"/>
      <c r="DN242" s="1064"/>
      <c r="DU242" s="1064"/>
      <c r="DV242" s="1064"/>
      <c r="EC242" s="1064"/>
      <c r="ED242" s="1064"/>
      <c r="EH242" s="1181"/>
      <c r="EI242" s="1181"/>
      <c r="EJ242" s="1181"/>
      <c r="EK242" s="1181"/>
      <c r="EL242" s="1181"/>
      <c r="EM242" s="1181"/>
      <c r="EN242" s="1181"/>
      <c r="EO242" s="1182"/>
      <c r="EP242" s="1181"/>
      <c r="EQ242" s="1181"/>
      <c r="ER242" s="1181"/>
      <c r="ES242" s="1181"/>
      <c r="ET242" s="1181"/>
      <c r="EU242" s="1181"/>
      <c r="EV242" s="1181"/>
      <c r="EW242" s="1182"/>
      <c r="EX242" s="1181"/>
      <c r="EY242" s="1181"/>
      <c r="EZ242" s="1181"/>
      <c r="FA242" s="1181"/>
      <c r="FB242" s="1181"/>
      <c r="FC242" s="1181"/>
      <c r="FD242" s="1181"/>
      <c r="FE242" s="1182"/>
      <c r="FF242" s="1181">
        <v>0.16</v>
      </c>
      <c r="FG242" s="1181">
        <f>(EZ240*FH242-EX240*FF242)/EY240</f>
        <v>0.218269230769231</v>
      </c>
      <c r="FH242" s="1181">
        <v>0.19</v>
      </c>
      <c r="FI242" s="1181">
        <f>(FB240*FJ242-EZ240*FH242)/FA240</f>
        <v>0.163709677419355</v>
      </c>
      <c r="FJ242" s="1181">
        <v>0.18</v>
      </c>
      <c r="FK242" s="1181">
        <f>(FE240*FM242-FB240*FJ242)/FC240</f>
        <v>0.105666666666667</v>
      </c>
      <c r="FL242" s="1181">
        <f>(FE240*FM242-EZ240*FH242)/FD240</f>
        <v>0.135163934426229</v>
      </c>
      <c r="FM242" s="1182">
        <v>0.16</v>
      </c>
      <c r="FN242" s="1181">
        <v>-0.08</v>
      </c>
      <c r="FO242" s="1181">
        <f>(FH240*FP242-FF240*FN242)/FG240</f>
        <v>-0.0611594202898551</v>
      </c>
      <c r="FP242" s="1181">
        <v>-0.07</v>
      </c>
      <c r="FQ242" s="1181">
        <f>(FJ240*FR242-FH240*FP242)/FI240</f>
        <v>0.0402702702702703</v>
      </c>
      <c r="FR242" s="1181">
        <v>-0.03</v>
      </c>
      <c r="FS242" s="1181">
        <f>(FM240*FU242-FJ240*FR242)/FK240</f>
        <v>0.141612903225806</v>
      </c>
      <c r="FT242" s="1181">
        <f>(FM240*FU242-FH240*FP242)/FL240</f>
        <v>0.0864705882352941</v>
      </c>
      <c r="FU242" s="1181">
        <v>0.01</v>
      </c>
      <c r="FV242" s="1220">
        <v>0.25</v>
      </c>
      <c r="FW242" s="1181">
        <v>0.1</v>
      </c>
      <c r="FX242" s="1218">
        <f>(FV242*FN236+FW242*FO236)/FP236</f>
        <v>0.176455368693402</v>
      </c>
      <c r="FY242" s="1181">
        <f>(FR240*FZ242-FP240*FX242)/FQ240</f>
        <v>0.0103169469598965</v>
      </c>
      <c r="FZ242" s="1181">
        <v>0.11</v>
      </c>
      <c r="GA242" s="1181">
        <f>(FU240*GC242-FR240*FZ242)/FS240</f>
        <v>0.145409836065574</v>
      </c>
      <c r="GB242" s="1181">
        <f>(FU240*GC242-FP240*FX242)/FT240</f>
        <v>0.0773142334269397</v>
      </c>
      <c r="GC242" s="1182">
        <v>0.12</v>
      </c>
      <c r="GD242" s="1220">
        <v>-0.08</v>
      </c>
      <c r="GE242" s="1181">
        <v>-0.121509433962264</v>
      </c>
      <c r="GF242" s="1218">
        <f>(GD242*FV240+GE242*FW240)/FX240</f>
        <v>-0.1</v>
      </c>
      <c r="GG242" s="1181">
        <v>-0.08</v>
      </c>
      <c r="GH242" s="1181"/>
      <c r="GI242" s="1181">
        <v>-0.19</v>
      </c>
      <c r="GJ242" s="1181">
        <f>(GC240*GK242-FX240*GF242)/GB240</f>
        <v>-0.1376</v>
      </c>
      <c r="GK242" s="1182">
        <v>-0.12</v>
      </c>
      <c r="GL242" s="1218">
        <v>-0.11</v>
      </c>
      <c r="GM242" s="1181">
        <v>0.15</v>
      </c>
      <c r="GN242" s="1218">
        <f>(GL242*GD240+GM242*GE240)/GF240</f>
        <v>0.00929411764705882</v>
      </c>
      <c r="GO242" s="1181">
        <v>-0.02</v>
      </c>
      <c r="GP242" s="1181"/>
      <c r="GQ242" s="1181">
        <v>0.1</v>
      </c>
      <c r="GR242" s="1181">
        <f>(GK240*GS242-GF240*GN242)/GJ240</f>
        <v>0.0507058823529412</v>
      </c>
      <c r="GS242" s="1182">
        <v>0.03</v>
      </c>
      <c r="GT242" s="1218">
        <v>0.04</v>
      </c>
      <c r="GU242" s="1181">
        <v>-0.66</v>
      </c>
      <c r="GV242" s="1218">
        <f>(GT242*GL240+GU242*GM240)/GN240</f>
        <v>-0.3275</v>
      </c>
      <c r="GW242" s="1181">
        <v>-0.13</v>
      </c>
      <c r="GX242" s="1181"/>
      <c r="GY242" s="1181">
        <v>-0.05</v>
      </c>
      <c r="GZ242" s="1181">
        <f>(GS240*HA242-GN240*GV242)/GR240</f>
        <v>0.0266666666666671</v>
      </c>
      <c r="HA242" s="1182">
        <v>-0.14</v>
      </c>
      <c r="HB242" s="1218"/>
      <c r="HC242" s="1181"/>
      <c r="HD242" s="1181"/>
      <c r="HE242" s="1181"/>
      <c r="HF242" s="1181"/>
      <c r="HG242" s="1181"/>
      <c r="HH242" s="1181"/>
      <c r="HI242" s="1182"/>
      <c r="HJ242" s="1181"/>
      <c r="HK242" s="1181"/>
      <c r="HL242" s="1181"/>
      <c r="HM242" s="1181"/>
      <c r="HN242" s="1181"/>
      <c r="HO242" s="1181"/>
      <c r="HP242" s="1181"/>
      <c r="HQ242" s="1182"/>
      <c r="HR242" s="1181"/>
      <c r="HS242" s="1181"/>
      <c r="HT242" s="1181"/>
      <c r="HU242" s="1181"/>
      <c r="HV242" s="1181"/>
      <c r="HW242" s="1181"/>
      <c r="HX242" s="1181"/>
      <c r="HY242" s="1181"/>
      <c r="HZ242" s="1181"/>
      <c r="IA242" s="1181"/>
      <c r="IB242" s="1181"/>
      <c r="IC242" s="1181"/>
      <c r="ID242" s="1181"/>
      <c r="IE242" s="1181"/>
      <c r="IF242" s="1181"/>
      <c r="IG242" s="1182"/>
      <c r="IH242" s="1181"/>
      <c r="II242" s="1181"/>
      <c r="IJ242" s="1181"/>
      <c r="IK242" s="1181"/>
      <c r="IL242" s="1181"/>
      <c r="IM242" s="1181"/>
      <c r="IN242" s="1181"/>
      <c r="IO242" s="1182"/>
      <c r="IP242" s="1181"/>
      <c r="IQ242" s="1181"/>
      <c r="IR242" s="1181"/>
      <c r="IS242" s="1181"/>
      <c r="IT242" s="1181"/>
      <c r="IU242" s="1181"/>
      <c r="IV242" s="1181"/>
      <c r="IW242" s="1181"/>
      <c r="IX242" s="1104"/>
      <c r="IY242" s="1049"/>
      <c r="IZ242" s="1049"/>
      <c r="JA242" s="1049"/>
      <c r="JB242" s="1049"/>
      <c r="JC242" s="1049"/>
      <c r="JD242" s="1041"/>
      <c r="JE242" s="1037"/>
      <c r="JF242" s="1037"/>
      <c r="JG242" s="1037"/>
      <c r="JH242" s="1037"/>
      <c r="JI242" s="1035"/>
      <c r="JJ242" s="1035"/>
      <c r="JK242" s="1035"/>
      <c r="JL242" s="1035"/>
      <c r="JM242" s="1035"/>
      <c r="JN242" s="1035"/>
      <c r="JO242" s="1035"/>
      <c r="JP242" s="1035"/>
      <c r="JQ242" s="1035"/>
      <c r="JR242" s="1035"/>
      <c r="JS242" s="1035"/>
      <c r="JT242" s="1035"/>
      <c r="JU242" s="1035"/>
      <c r="JV242" s="1035"/>
      <c r="JW242" s="1035"/>
      <c r="JX242" s="1035"/>
      <c r="JY242" s="1035"/>
      <c r="KP242" s="1117"/>
      <c r="LV242" s="967"/>
    </row>
    <row r="243" hidden="1" spans="1:334">
      <c r="A243" s="969" t="s">
        <v>561</v>
      </c>
      <c r="AX243" s="1059"/>
      <c r="BE243" s="1060"/>
      <c r="BN243" s="1059"/>
      <c r="BU243" s="1060"/>
      <c r="BV243" s="1059"/>
      <c r="CC243" s="1060"/>
      <c r="CD243" s="1059"/>
      <c r="CJ243" s="1061"/>
      <c r="CK243" s="1060"/>
      <c r="CL243" s="1059"/>
      <c r="CS243" s="1060"/>
      <c r="CT243" s="1059"/>
      <c r="CW243" s="1062"/>
      <c r="CX243" s="1062"/>
      <c r="DE243" s="1064"/>
      <c r="DF243" s="1064"/>
      <c r="DM243" s="1064"/>
      <c r="DN243" s="1064"/>
      <c r="DU243" s="1064"/>
      <c r="DV243" s="1064"/>
      <c r="EC243" s="1064"/>
      <c r="ED243" s="1064"/>
      <c r="EH243" s="1181"/>
      <c r="EI243" s="1181"/>
      <c r="EJ243" s="1181"/>
      <c r="EK243" s="1181"/>
      <c r="EL243" s="1181"/>
      <c r="EM243" s="1181"/>
      <c r="EN243" s="1181"/>
      <c r="EO243" s="1182"/>
      <c r="EP243" s="1181"/>
      <c r="EQ243" s="1181"/>
      <c r="ER243" s="1181"/>
      <c r="ES243" s="1181"/>
      <c r="ET243" s="1181"/>
      <c r="EU243" s="1181"/>
      <c r="EV243" s="1181"/>
      <c r="EW243" s="1182"/>
      <c r="EX243" s="1071">
        <f>EX184</f>
        <v>414</v>
      </c>
      <c r="EY243" s="1071">
        <f>EY184</f>
        <v>380</v>
      </c>
      <c r="EZ243" s="1071">
        <f>EX243+EY243</f>
        <v>794</v>
      </c>
      <c r="FA243" s="1071">
        <f>FA184</f>
        <v>510</v>
      </c>
      <c r="FB243" s="1071">
        <f>EX243+EY243+FA243</f>
        <v>1304</v>
      </c>
      <c r="FC243" s="1071">
        <f>FC184</f>
        <v>482</v>
      </c>
      <c r="FD243" s="1071">
        <f>FA243+FC243</f>
        <v>992</v>
      </c>
      <c r="FE243" s="1072">
        <f>EX243+EY243+FA243+FC243</f>
        <v>1786</v>
      </c>
      <c r="FF243" s="1071">
        <f>FF184</f>
        <v>597</v>
      </c>
      <c r="FG243" s="1071">
        <f>FG184</f>
        <v>564</v>
      </c>
      <c r="FH243" s="1071">
        <f>FF243+FG243</f>
        <v>1161</v>
      </c>
      <c r="FI243" s="1071">
        <f>FI184</f>
        <v>691</v>
      </c>
      <c r="FJ243" s="1071">
        <f>FF243+FG243+FI243</f>
        <v>1852</v>
      </c>
      <c r="FK243" s="1071">
        <f>FK184</f>
        <v>617</v>
      </c>
      <c r="FL243" s="1071">
        <f>FI243+FK243</f>
        <v>1308</v>
      </c>
      <c r="FM243" s="1072">
        <f>FM184</f>
        <v>2469</v>
      </c>
      <c r="FN243" s="1071">
        <f>FN184</f>
        <v>762</v>
      </c>
      <c r="FO243" s="1071">
        <f>FO184</f>
        <v>685</v>
      </c>
      <c r="FP243" s="1071">
        <f>FN243+FO243</f>
        <v>1447</v>
      </c>
      <c r="FQ243" s="1071">
        <f>FQ184</f>
        <v>822</v>
      </c>
      <c r="FR243" s="1071">
        <f>FN243+FO243+FQ243</f>
        <v>2269</v>
      </c>
      <c r="FS243" s="1071">
        <f>FS184</f>
        <v>741</v>
      </c>
      <c r="FT243" s="1071">
        <f>FQ243+FS243</f>
        <v>1563</v>
      </c>
      <c r="FU243" s="1071">
        <f>FU184</f>
        <v>3010</v>
      </c>
      <c r="FV243" s="1075">
        <f>FV184</f>
        <v>990</v>
      </c>
      <c r="FW243" s="1071">
        <f>FW184</f>
        <v>865</v>
      </c>
      <c r="FX243" s="1076">
        <f>FV243+FW243</f>
        <v>1855</v>
      </c>
      <c r="FY243" s="1071">
        <f>FY184</f>
        <v>1012</v>
      </c>
      <c r="FZ243" s="1071">
        <f>FV243+FW243+FY243</f>
        <v>2867</v>
      </c>
      <c r="GA243" s="1071">
        <f>GA184</f>
        <v>922</v>
      </c>
      <c r="GB243" s="1071">
        <f>FY243+GA243</f>
        <v>1934</v>
      </c>
      <c r="GC243" s="1072">
        <f>GC184</f>
        <v>3789</v>
      </c>
      <c r="GD243" s="1075">
        <f>GD184</f>
        <v>1856</v>
      </c>
      <c r="GE243" s="1071">
        <f>GE184</f>
        <v>1726</v>
      </c>
      <c r="GF243" s="1076">
        <f>GD243+GE243</f>
        <v>3582</v>
      </c>
      <c r="GG243" s="1071">
        <f>GG184</f>
        <v>1894</v>
      </c>
      <c r="GH243" s="1071">
        <f>GD243+GE243+GG243</f>
        <v>5476</v>
      </c>
      <c r="GI243" s="1071">
        <f>GI184</f>
        <v>1665</v>
      </c>
      <c r="GJ243" s="1071">
        <f>GG243+GI243</f>
        <v>3559</v>
      </c>
      <c r="GK243" s="1072">
        <f>GK184</f>
        <v>7141</v>
      </c>
      <c r="GL243" s="1076">
        <f>GL184</f>
        <v>2138</v>
      </c>
      <c r="GM243" s="1071">
        <f>GM184</f>
        <v>1872.58</v>
      </c>
      <c r="GN243" s="1076">
        <f>GL243+GM243</f>
        <v>4010.58</v>
      </c>
      <c r="GO243" s="1071">
        <f>GO184</f>
        <v>2090</v>
      </c>
      <c r="GP243" s="1071">
        <f>GL243+GM243+GO243</f>
        <v>6100.58</v>
      </c>
      <c r="GQ243" s="1071">
        <f>GQ184</f>
        <v>1930</v>
      </c>
      <c r="GR243" s="1071">
        <f>GO243+GQ243</f>
        <v>4020</v>
      </c>
      <c r="GS243" s="1072">
        <f>GS184</f>
        <v>8030.58</v>
      </c>
      <c r="GT243" s="1076">
        <f>GT184</f>
        <v>1184</v>
      </c>
      <c r="GU243" s="1071">
        <f>GU184</f>
        <v>1572</v>
      </c>
      <c r="GV243" s="1076">
        <f>GT243+GU243</f>
        <v>2756</v>
      </c>
      <c r="GW243" s="1071">
        <f>GW184</f>
        <v>1871.595</v>
      </c>
      <c r="GX243" s="1071">
        <f>GT243+GU243+GW243</f>
        <v>4627.595</v>
      </c>
      <c r="GY243" s="1071">
        <f>GY184</f>
        <v>1918.405</v>
      </c>
      <c r="GZ243" s="1071">
        <f>GW243+GY243</f>
        <v>3790</v>
      </c>
      <c r="HA243" s="1072">
        <f>HA184</f>
        <v>6546</v>
      </c>
      <c r="HB243" s="1076"/>
      <c r="HC243" s="1071"/>
      <c r="HD243" s="1071"/>
      <c r="HE243" s="1071"/>
      <c r="HF243" s="1071"/>
      <c r="HG243" s="1071"/>
      <c r="HH243" s="1071"/>
      <c r="HI243" s="1072"/>
      <c r="HJ243" s="1071"/>
      <c r="HK243" s="1071"/>
      <c r="HL243" s="1071"/>
      <c r="HM243" s="1071"/>
      <c r="HN243" s="1071"/>
      <c r="HO243" s="1071"/>
      <c r="HP243" s="1071"/>
      <c r="HQ243" s="1072"/>
      <c r="HR243" s="1071"/>
      <c r="HS243" s="1071"/>
      <c r="HT243" s="1071"/>
      <c r="HU243" s="1071"/>
      <c r="HV243" s="1071"/>
      <c r="HW243" s="1071"/>
      <c r="HX243" s="1071"/>
      <c r="HY243" s="1071"/>
      <c r="HZ243" s="1071"/>
      <c r="IA243" s="1071"/>
      <c r="IB243" s="1071"/>
      <c r="IC243" s="1071"/>
      <c r="ID243" s="1071"/>
      <c r="IE243" s="1071"/>
      <c r="IF243" s="1071"/>
      <c r="IG243" s="1072"/>
      <c r="IH243" s="1071"/>
      <c r="II243" s="1071"/>
      <c r="IJ243" s="1071"/>
      <c r="IK243" s="1071"/>
      <c r="IL243" s="1071"/>
      <c r="IM243" s="1071"/>
      <c r="IN243" s="1071"/>
      <c r="IO243" s="1072"/>
      <c r="IP243" s="1071"/>
      <c r="IQ243" s="1071"/>
      <c r="IR243" s="1071"/>
      <c r="IS243" s="1071"/>
      <c r="IT243" s="1071"/>
      <c r="IU243" s="1071"/>
      <c r="IV243" s="1071"/>
      <c r="IW243" s="1071"/>
      <c r="IX243" s="1104"/>
      <c r="IY243" s="1049"/>
      <c r="IZ243" s="1118"/>
      <c r="JA243" s="1118"/>
      <c r="JB243" s="1118"/>
      <c r="JC243" s="1049"/>
      <c r="JD243" s="1041"/>
      <c r="JE243" s="1037"/>
      <c r="JF243" s="1037"/>
      <c r="JG243" s="1037"/>
      <c r="JH243" s="1037"/>
      <c r="JI243" s="1035"/>
      <c r="JJ243" s="1035"/>
      <c r="JK243" s="1035"/>
      <c r="JL243" s="1035"/>
      <c r="JM243" s="1035"/>
      <c r="JN243" s="1035"/>
      <c r="JO243" s="1035"/>
      <c r="JP243" s="1035"/>
      <c r="JQ243" s="1035"/>
      <c r="JR243" s="1035"/>
      <c r="JS243" s="1035"/>
      <c r="JT243" s="1035"/>
      <c r="JU243" s="1035"/>
      <c r="JV243" s="1035"/>
      <c r="JW243" s="1035"/>
      <c r="JX243" s="1035"/>
      <c r="JY243" s="1035"/>
      <c r="KP243" s="1117"/>
      <c r="LV243" s="967"/>
    </row>
    <row r="244" hidden="1" spans="1:334">
      <c r="A244" s="967" t="s">
        <v>80</v>
      </c>
      <c r="AX244" s="1059"/>
      <c r="BE244" s="1060"/>
      <c r="BN244" s="1059"/>
      <c r="BU244" s="1060"/>
      <c r="BV244" s="1059"/>
      <c r="CC244" s="1060"/>
      <c r="CD244" s="1059"/>
      <c r="CJ244" s="1061"/>
      <c r="CK244" s="1060"/>
      <c r="CL244" s="1059"/>
      <c r="CS244" s="1060"/>
      <c r="CT244" s="1059"/>
      <c r="CW244" s="1062"/>
      <c r="CX244" s="1062"/>
      <c r="DE244" s="1064"/>
      <c r="DF244" s="1064"/>
      <c r="DM244" s="1064"/>
      <c r="DN244" s="1064"/>
      <c r="DU244" s="1064"/>
      <c r="DV244" s="1064"/>
      <c r="EC244" s="1064"/>
      <c r="ED244" s="1064"/>
      <c r="EH244" s="1181"/>
      <c r="EI244" s="1181"/>
      <c r="EJ244" s="1181"/>
      <c r="EK244" s="1181"/>
      <c r="EL244" s="1181"/>
      <c r="EM244" s="1181"/>
      <c r="EN244" s="1181"/>
      <c r="EO244" s="1182"/>
      <c r="EP244" s="1181"/>
      <c r="EQ244" s="1181"/>
      <c r="ER244" s="1181"/>
      <c r="ES244" s="1181"/>
      <c r="ET244" s="1181"/>
      <c r="EU244" s="1181"/>
      <c r="EV244" s="1181"/>
      <c r="EW244" s="1182"/>
      <c r="EX244" s="1148">
        <v>407</v>
      </c>
      <c r="EY244" s="1148">
        <v>374</v>
      </c>
      <c r="EZ244" s="1148">
        <f>EX244+EY244</f>
        <v>781</v>
      </c>
      <c r="FA244" s="1148">
        <v>504</v>
      </c>
      <c r="FB244" s="1148">
        <f>EX244+EY244+FA244</f>
        <v>1285</v>
      </c>
      <c r="FC244" s="1148">
        <v>475</v>
      </c>
      <c r="FD244" s="1148">
        <f>FA244+FC244</f>
        <v>979</v>
      </c>
      <c r="FE244" s="1149">
        <f>EX244+EY244+FA244+FC244</f>
        <v>1760</v>
      </c>
      <c r="FF244" s="1148">
        <v>583</v>
      </c>
      <c r="FG244" s="1148">
        <f>FH244-FF244</f>
        <v>553</v>
      </c>
      <c r="FH244" s="1148">
        <v>1136</v>
      </c>
      <c r="FI244" s="1148">
        <f>FJ244-FH244</f>
        <v>675</v>
      </c>
      <c r="FJ244" s="1148">
        <v>1811</v>
      </c>
      <c r="FK244" s="1148">
        <f>FM244-FJ244</f>
        <v>600</v>
      </c>
      <c r="FL244" s="1148">
        <f>FI244+FK244</f>
        <v>1275</v>
      </c>
      <c r="FM244" s="1149">
        <v>2411</v>
      </c>
      <c r="FN244" s="1148">
        <v>746</v>
      </c>
      <c r="FO244" s="1148">
        <f>FP244-FN244</f>
        <v>669</v>
      </c>
      <c r="FP244" s="1148">
        <v>1415</v>
      </c>
      <c r="FQ244" s="1148">
        <f>FR244-FP244</f>
        <v>803</v>
      </c>
      <c r="FR244" s="1148">
        <v>2218</v>
      </c>
      <c r="FS244" s="1148">
        <f>FU244-FR244</f>
        <v>726</v>
      </c>
      <c r="FT244" s="1148">
        <f>FQ244+FS244</f>
        <v>1529</v>
      </c>
      <c r="FU244" s="1148">
        <v>2944</v>
      </c>
      <c r="FV244" s="1278">
        <v>970</v>
      </c>
      <c r="FW244" s="1148">
        <v>846</v>
      </c>
      <c r="FX244" s="1279">
        <f>FV244+FW244</f>
        <v>1816</v>
      </c>
      <c r="FY244" s="1148">
        <f>FZ244-FX244</f>
        <v>992</v>
      </c>
      <c r="FZ244" s="1148">
        <v>2808</v>
      </c>
      <c r="GA244" s="1148">
        <f>GC244-FZ244</f>
        <v>899</v>
      </c>
      <c r="GB244" s="1148">
        <f>FY244+GA244</f>
        <v>1891</v>
      </c>
      <c r="GC244" s="1149">
        <v>3707</v>
      </c>
      <c r="GD244" s="1278">
        <v>1777</v>
      </c>
      <c r="GE244" s="1148">
        <v>1642</v>
      </c>
      <c r="GF244" s="1279">
        <f>GD244+GE244</f>
        <v>3419</v>
      </c>
      <c r="GG244" s="1148">
        <v>1815</v>
      </c>
      <c r="GH244" s="1148">
        <f>GG244+GF244</f>
        <v>5234</v>
      </c>
      <c r="GI244" s="1148">
        <f>GK244-GH244</f>
        <v>1571</v>
      </c>
      <c r="GJ244" s="1148">
        <f>GG244+GI244</f>
        <v>3386</v>
      </c>
      <c r="GK244" s="1149">
        <v>6805</v>
      </c>
      <c r="GL244" s="1279">
        <v>2063</v>
      </c>
      <c r="GM244" s="1148">
        <v>1796</v>
      </c>
      <c r="GN244" s="1279">
        <f>GL244+GM244</f>
        <v>3859</v>
      </c>
      <c r="GO244" s="1148">
        <v>2018</v>
      </c>
      <c r="GP244" s="1148">
        <f>GO244+GN244</f>
        <v>5877</v>
      </c>
      <c r="GQ244" s="1148">
        <f>GS244-GP244</f>
        <v>1859</v>
      </c>
      <c r="GR244" s="1148">
        <f>GO244+GQ244</f>
        <v>3877</v>
      </c>
      <c r="GS244" s="1149">
        <v>7736</v>
      </c>
      <c r="GT244" s="1279">
        <v>1124</v>
      </c>
      <c r="GU244" s="1148">
        <v>1516</v>
      </c>
      <c r="GV244" s="1279">
        <f>GT244+GU244</f>
        <v>2640</v>
      </c>
      <c r="GW244" s="1148">
        <v>1812</v>
      </c>
      <c r="GX244" s="1148">
        <f>GW244+GV244</f>
        <v>4452</v>
      </c>
      <c r="GY244" s="1148">
        <f>HA244-GX244</f>
        <v>1846</v>
      </c>
      <c r="GZ244" s="1148">
        <f>GW244+GY244</f>
        <v>3658</v>
      </c>
      <c r="HA244" s="1149">
        <v>6298</v>
      </c>
      <c r="HB244" s="1279"/>
      <c r="HC244" s="1148"/>
      <c r="HD244" s="1148"/>
      <c r="HE244" s="1148"/>
      <c r="HF244" s="1148"/>
      <c r="HG244" s="1148"/>
      <c r="HH244" s="1148"/>
      <c r="HI244" s="1149"/>
      <c r="HJ244" s="1148"/>
      <c r="HK244" s="1148"/>
      <c r="HL244" s="1148"/>
      <c r="HM244" s="1148"/>
      <c r="HN244" s="1148"/>
      <c r="HO244" s="1148"/>
      <c r="HP244" s="1148"/>
      <c r="HQ244" s="1149"/>
      <c r="HR244" s="1148"/>
      <c r="HS244" s="1148"/>
      <c r="HT244" s="1148"/>
      <c r="HU244" s="1148"/>
      <c r="HV244" s="1148"/>
      <c r="HW244" s="1148"/>
      <c r="HX244" s="1148"/>
      <c r="HY244" s="1148"/>
      <c r="HZ244" s="1148"/>
      <c r="IA244" s="1148"/>
      <c r="IB244" s="1148"/>
      <c r="IC244" s="1148"/>
      <c r="ID244" s="1148"/>
      <c r="IE244" s="1148"/>
      <c r="IF244" s="1148"/>
      <c r="IG244" s="1149"/>
      <c r="IH244" s="1148"/>
      <c r="II244" s="1148"/>
      <c r="IJ244" s="1148"/>
      <c r="IK244" s="1148"/>
      <c r="IL244" s="1148"/>
      <c r="IM244" s="1148"/>
      <c r="IN244" s="1148"/>
      <c r="IO244" s="1149"/>
      <c r="IP244" s="1148"/>
      <c r="IQ244" s="1148"/>
      <c r="IR244" s="1148"/>
      <c r="IS244" s="1148"/>
      <c r="IT244" s="1148"/>
      <c r="IU244" s="1148"/>
      <c r="IV244" s="1148"/>
      <c r="IW244" s="1148"/>
      <c r="IX244" s="1104"/>
      <c r="IY244" s="1049"/>
      <c r="IZ244" s="1049"/>
      <c r="JA244" s="1049"/>
      <c r="JB244" s="1049"/>
      <c r="JC244" s="1049"/>
      <c r="JD244" s="1041"/>
      <c r="JE244" s="1037"/>
      <c r="JF244" s="1037"/>
      <c r="JG244" s="1037"/>
      <c r="JH244" s="1037"/>
      <c r="JI244" s="1035"/>
      <c r="JJ244" s="1035"/>
      <c r="JK244" s="1035"/>
      <c r="JL244" s="1035"/>
      <c r="JM244" s="1035"/>
      <c r="JN244" s="1035"/>
      <c r="JO244" s="1035"/>
      <c r="JP244" s="1035"/>
      <c r="JQ244" s="1035"/>
      <c r="JR244" s="1035"/>
      <c r="JS244" s="1035"/>
      <c r="JT244" s="1035"/>
      <c r="JU244" s="1035"/>
      <c r="JV244" s="1035"/>
      <c r="JW244" s="1035"/>
      <c r="JX244" s="1035"/>
      <c r="JY244" s="1035"/>
      <c r="KP244" s="1117"/>
      <c r="LV244" s="967"/>
    </row>
    <row r="245" hidden="1" spans="1:334">
      <c r="A245" s="967" t="s">
        <v>113</v>
      </c>
      <c r="AX245" s="1059"/>
      <c r="BE245" s="1060"/>
      <c r="BN245" s="1059"/>
      <c r="BU245" s="1060"/>
      <c r="BV245" s="1059"/>
      <c r="CC245" s="1060"/>
      <c r="CD245" s="1059"/>
      <c r="CJ245" s="1061"/>
      <c r="CK245" s="1060"/>
      <c r="CL245" s="1059"/>
      <c r="CS245" s="1060"/>
      <c r="CT245" s="1059"/>
      <c r="CW245" s="1062"/>
      <c r="CX245" s="1062"/>
      <c r="DE245" s="1064"/>
      <c r="DF245" s="1064"/>
      <c r="DM245" s="1064"/>
      <c r="DN245" s="1064"/>
      <c r="DU245" s="1064"/>
      <c r="DV245" s="1064"/>
      <c r="EC245" s="1064"/>
      <c r="ED245" s="1064"/>
      <c r="EH245" s="1181"/>
      <c r="EI245" s="1181"/>
      <c r="EJ245" s="1181"/>
      <c r="EK245" s="1181"/>
      <c r="EL245" s="1181"/>
      <c r="EM245" s="1181"/>
      <c r="EN245" s="1181"/>
      <c r="EO245" s="1182"/>
      <c r="EP245" s="1181"/>
      <c r="EQ245" s="1181"/>
      <c r="ER245" s="1181"/>
      <c r="ES245" s="1181"/>
      <c r="ET245" s="1181"/>
      <c r="EU245" s="1181"/>
      <c r="EV245" s="1181"/>
      <c r="EW245" s="1182"/>
      <c r="EX245" s="1181"/>
      <c r="EY245" s="1181"/>
      <c r="EZ245" s="1181"/>
      <c r="FA245" s="1181"/>
      <c r="FB245" s="1181"/>
      <c r="FC245" s="1181"/>
      <c r="FD245" s="1181"/>
      <c r="FE245" s="1182"/>
      <c r="FF245" s="1181">
        <f t="shared" ref="FF245:FM245" si="1311">FF244/EX244-1</f>
        <v>0.432432432432432</v>
      </c>
      <c r="FG245" s="1181">
        <f t="shared" si="1311"/>
        <v>0.478609625668449</v>
      </c>
      <c r="FH245" s="1181">
        <f t="shared" si="1311"/>
        <v>0.454545454545455</v>
      </c>
      <c r="FI245" s="1181">
        <f t="shared" si="1311"/>
        <v>0.339285714285714</v>
      </c>
      <c r="FJ245" s="1181">
        <f t="shared" si="1311"/>
        <v>0.409338521400778</v>
      </c>
      <c r="FK245" s="1181">
        <f t="shared" si="1311"/>
        <v>0.263157894736842</v>
      </c>
      <c r="FL245" s="1181">
        <f t="shared" si="1311"/>
        <v>0.302349336057201</v>
      </c>
      <c r="FM245" s="1182">
        <f t="shared" si="1311"/>
        <v>0.369886363636364</v>
      </c>
      <c r="FN245" s="1181">
        <f t="shared" ref="FN245:FX245" si="1312">FN244/FF244-1</f>
        <v>0.27958833619211</v>
      </c>
      <c r="FO245" s="1181">
        <f t="shared" si="1312"/>
        <v>0.209764918625678</v>
      </c>
      <c r="FP245" s="1181">
        <f t="shared" si="1312"/>
        <v>0.245598591549296</v>
      </c>
      <c r="FQ245" s="1181">
        <f t="shared" si="1312"/>
        <v>0.18962962962963</v>
      </c>
      <c r="FR245" s="1181">
        <f t="shared" si="1312"/>
        <v>0.224737713970182</v>
      </c>
      <c r="FS245" s="1181">
        <f t="shared" si="1312"/>
        <v>0.21</v>
      </c>
      <c r="FT245" s="1181">
        <f t="shared" si="1312"/>
        <v>0.19921568627451</v>
      </c>
      <c r="FU245" s="1181">
        <f t="shared" si="1312"/>
        <v>0.221070095396101</v>
      </c>
      <c r="FV245" s="1220">
        <f t="shared" si="1312"/>
        <v>0.300268096514745</v>
      </c>
      <c r="FW245" s="1181">
        <f t="shared" si="1312"/>
        <v>0.26457399103139</v>
      </c>
      <c r="FX245" s="1181">
        <f t="shared" si="1312"/>
        <v>0.28339222614841</v>
      </c>
      <c r="FY245" s="1181">
        <f t="shared" ref="FY245" si="1313">FY244/FQ244-1</f>
        <v>0.235367372353674</v>
      </c>
      <c r="FZ245" s="1181">
        <f t="shared" ref="FZ245" si="1314">FZ244/FR244-1</f>
        <v>0.266005410279531</v>
      </c>
      <c r="GA245" s="1181">
        <f t="shared" ref="GA245" si="1315">GA244/FS244-1</f>
        <v>0.238292011019284</v>
      </c>
      <c r="GB245" s="1181">
        <f t="shared" ref="GB245" si="1316">GB244/FT244-1</f>
        <v>0.23675604970569</v>
      </c>
      <c r="GC245" s="1182">
        <f t="shared" ref="GC245" si="1317">GC244/FU244-1</f>
        <v>0.259171195652174</v>
      </c>
      <c r="GD245" s="1220">
        <v>0.08</v>
      </c>
      <c r="GE245" s="1181">
        <f>((GF245*FX244)-(GD245*FV244))/FW244</f>
        <v>0.165862884160756</v>
      </c>
      <c r="GF245" s="1181">
        <v>0.12</v>
      </c>
      <c r="GG245" s="1181">
        <v>-0.15</v>
      </c>
      <c r="GH245" s="1181">
        <f>GH244/FZ244-1</f>
        <v>0.863960113960114</v>
      </c>
      <c r="GI245" s="1181">
        <f t="shared" ref="GI245" si="1318">GI244/GA244-1</f>
        <v>0.747497219132369</v>
      </c>
      <c r="GJ245" s="1181">
        <f t="shared" ref="GJ245" si="1319">GJ244/GB244-1</f>
        <v>0.790586991010048</v>
      </c>
      <c r="GK245" s="1182">
        <f t="shared" ref="GK245:GL245" si="1320">GK244/GC244-1</f>
        <v>0.835716212570812</v>
      </c>
      <c r="GL245" s="1181">
        <f t="shared" si="1320"/>
        <v>0.160945413618458</v>
      </c>
      <c r="GM245" s="1181">
        <f t="shared" ref="GM245:GP245" si="1321">GM244/GE244-1</f>
        <v>0.0937880633373931</v>
      </c>
      <c r="GN245" s="1181">
        <f t="shared" si="1321"/>
        <v>0.12869260017549</v>
      </c>
      <c r="GO245" s="1181">
        <f t="shared" si="1321"/>
        <v>0.111845730027548</v>
      </c>
      <c r="GP245" s="1181">
        <f t="shared" si="1321"/>
        <v>0.122850592281238</v>
      </c>
      <c r="GQ245" s="1181">
        <f t="shared" ref="GQ245" si="1322">GQ244/GI244-1</f>
        <v>0.183322724379376</v>
      </c>
      <c r="GR245" s="1181">
        <f t="shared" ref="GR245" si="1323">GR244/GJ244-1</f>
        <v>0.145008860011813</v>
      </c>
      <c r="GS245" s="1182">
        <f t="shared" ref="GS245:GT245" si="1324">GS244/GK244-1</f>
        <v>0.136811168258633</v>
      </c>
      <c r="GT245" s="1181">
        <f t="shared" si="1324"/>
        <v>-0.455162384876394</v>
      </c>
      <c r="GU245" s="1181">
        <f t="shared" ref="GU245" si="1325">GU244/GM244-1</f>
        <v>-0.155902004454343</v>
      </c>
      <c r="GV245" s="1181">
        <f t="shared" ref="GV245:GX245" si="1326">GV244/GN244-1</f>
        <v>-0.315884944286084</v>
      </c>
      <c r="GW245" s="1181">
        <f t="shared" si="1326"/>
        <v>-0.102081268582755</v>
      </c>
      <c r="GX245" s="1181">
        <f t="shared" si="1326"/>
        <v>-0.242470648289944</v>
      </c>
      <c r="GY245" s="1181">
        <f t="shared" ref="GY245" si="1327">GY244/GQ244-1</f>
        <v>-0.00699300699300698</v>
      </c>
      <c r="GZ245" s="1181">
        <f t="shared" ref="GZ245" si="1328">GZ244/GR244-1</f>
        <v>-0.0564869744647923</v>
      </c>
      <c r="HA245" s="1182">
        <f t="shared" ref="HA245" si="1329">HA244/GS244-1</f>
        <v>-0.1858841778697</v>
      </c>
      <c r="HB245" s="1181"/>
      <c r="HC245" s="1181"/>
      <c r="HD245" s="1181"/>
      <c r="HE245" s="1181"/>
      <c r="HF245" s="1181"/>
      <c r="HG245" s="1181"/>
      <c r="HH245" s="1181"/>
      <c r="HI245" s="1182"/>
      <c r="HJ245" s="1181"/>
      <c r="HK245" s="1181"/>
      <c r="HL245" s="1181"/>
      <c r="HM245" s="1181"/>
      <c r="HN245" s="1181"/>
      <c r="HO245" s="1181"/>
      <c r="HP245" s="1181"/>
      <c r="HQ245" s="1182"/>
      <c r="HR245" s="1181"/>
      <c r="HS245" s="1181"/>
      <c r="HT245" s="1181"/>
      <c r="HU245" s="1181"/>
      <c r="HV245" s="1181"/>
      <c r="HW245" s="1181"/>
      <c r="HX245" s="1181"/>
      <c r="HY245" s="1181"/>
      <c r="HZ245" s="1181"/>
      <c r="IA245" s="1181"/>
      <c r="IB245" s="1181"/>
      <c r="IC245" s="1181"/>
      <c r="ID245" s="1181"/>
      <c r="IE245" s="1181"/>
      <c r="IF245" s="1181"/>
      <c r="IG245" s="1182"/>
      <c r="IH245" s="1181"/>
      <c r="II245" s="1181"/>
      <c r="IJ245" s="1181"/>
      <c r="IK245" s="1181"/>
      <c r="IL245" s="1181"/>
      <c r="IM245" s="1181"/>
      <c r="IN245" s="1181"/>
      <c r="IO245" s="1182"/>
      <c r="IP245" s="1181"/>
      <c r="IQ245" s="1181"/>
      <c r="IR245" s="1181"/>
      <c r="IS245" s="1181"/>
      <c r="IT245" s="1181"/>
      <c r="IU245" s="1181"/>
      <c r="IV245" s="1181"/>
      <c r="IW245" s="1181"/>
      <c r="IX245" s="1104"/>
      <c r="IY245" s="1049"/>
      <c r="IZ245" s="1049"/>
      <c r="JA245" s="1049"/>
      <c r="JB245" s="1049"/>
      <c r="JC245" s="1049"/>
      <c r="JD245" s="1041"/>
      <c r="JE245" s="1037"/>
      <c r="JF245" s="1037"/>
      <c r="JG245" s="1037"/>
      <c r="JH245" s="1037"/>
      <c r="JI245" s="1035"/>
      <c r="JJ245" s="1035"/>
      <c r="JK245" s="1094"/>
      <c r="JL245" s="1094"/>
      <c r="JM245" s="1094"/>
      <c r="JN245" s="1094"/>
      <c r="JO245" s="1094"/>
      <c r="JP245" s="1094"/>
      <c r="JQ245" s="1094"/>
      <c r="JR245" s="1094"/>
      <c r="JS245" s="1094"/>
      <c r="JT245" s="1094"/>
      <c r="JU245" s="1035"/>
      <c r="JV245" s="1035"/>
      <c r="JW245" s="1035"/>
      <c r="JX245" s="1035"/>
      <c r="JY245" s="1035"/>
      <c r="KP245" s="1117"/>
      <c r="LV245" s="967"/>
    </row>
    <row r="246" hidden="1" spans="1:334">
      <c r="A246" s="967" t="s">
        <v>100</v>
      </c>
      <c r="AX246" s="1059"/>
      <c r="BE246" s="1060"/>
      <c r="BN246" s="1059"/>
      <c r="BU246" s="1060"/>
      <c r="BV246" s="1059"/>
      <c r="CC246" s="1060"/>
      <c r="CD246" s="1059"/>
      <c r="CJ246" s="1061"/>
      <c r="CK246" s="1060"/>
      <c r="CL246" s="1059"/>
      <c r="CS246" s="1060"/>
      <c r="CT246" s="1059"/>
      <c r="CW246" s="1062"/>
      <c r="CX246" s="1062"/>
      <c r="DE246" s="1064"/>
      <c r="DF246" s="1064"/>
      <c r="DM246" s="1064"/>
      <c r="DN246" s="1064"/>
      <c r="DU246" s="1064"/>
      <c r="DV246" s="1064"/>
      <c r="EC246" s="1064"/>
      <c r="ED246" s="1064"/>
      <c r="EH246" s="1181"/>
      <c r="EI246" s="1181"/>
      <c r="EJ246" s="1181"/>
      <c r="EK246" s="1181"/>
      <c r="EL246" s="1181"/>
      <c r="EM246" s="1181"/>
      <c r="EN246" s="1181"/>
      <c r="EO246" s="1182"/>
      <c r="EP246" s="1181"/>
      <c r="EQ246" s="1181"/>
      <c r="ER246" s="1181"/>
      <c r="ES246" s="1181"/>
      <c r="ET246" s="1181"/>
      <c r="EU246" s="1181"/>
      <c r="EV246" s="1181"/>
      <c r="EW246" s="1182"/>
      <c r="EX246" s="1181"/>
      <c r="EY246" s="1181"/>
      <c r="EZ246" s="1181"/>
      <c r="FA246" s="1181"/>
      <c r="FB246" s="1181"/>
      <c r="FC246" s="1181"/>
      <c r="FD246" s="1181"/>
      <c r="FE246" s="1182"/>
      <c r="FF246" s="1181">
        <v>0.21</v>
      </c>
      <c r="FG246" s="1181">
        <f>(EZ244*FH246-EX244*FF246)/EY244</f>
        <v>0.189117647058824</v>
      </c>
      <c r="FH246" s="1181">
        <v>0.2</v>
      </c>
      <c r="FI246" s="1181">
        <f>(FB244*FJ246-EZ244*FH246)/FA244</f>
        <v>0.149007936507936</v>
      </c>
      <c r="FJ246" s="1181">
        <v>0.18</v>
      </c>
      <c r="FK246" s="1181">
        <f>(FE244*FM246-FB244*FJ246)/FC244</f>
        <v>0.142947368421053</v>
      </c>
      <c r="FL246" s="1181">
        <f>(FE244*FM246-EZ244*FH246)/FD244</f>
        <v>0.146067415730337</v>
      </c>
      <c r="FM246" s="1182">
        <v>0.17</v>
      </c>
      <c r="FN246" s="1181">
        <v>0.3</v>
      </c>
      <c r="FO246" s="1181">
        <f>(FH244*FP246-FF244*FN246)/FG244</f>
        <v>0.3</v>
      </c>
      <c r="FP246" s="1181">
        <v>0.3</v>
      </c>
      <c r="FQ246" s="1181">
        <f>(FJ244*FR246-FH244*FP246)/FI244</f>
        <v>0.246340740740741</v>
      </c>
      <c r="FR246" s="1181">
        <v>0.28</v>
      </c>
      <c r="FS246" s="1181">
        <f>(FM244*FU246-FJ244*FR246)/FK244</f>
        <v>0.28</v>
      </c>
      <c r="FT246" s="1181">
        <f>(FM244*FU246-FH244*FP246)/FL244</f>
        <v>0.262180392156863</v>
      </c>
      <c r="FU246" s="1181">
        <v>0.28</v>
      </c>
      <c r="FV246" s="1220">
        <v>0.31</v>
      </c>
      <c r="FW246" s="1181">
        <v>0.28</v>
      </c>
      <c r="FX246" s="1218">
        <f>(FV246*FN243+FW246*FO243)/FP243</f>
        <v>0.295798203178991</v>
      </c>
      <c r="FY246" s="1181">
        <f>(FR244*FZ246-FP244*FX246)/FQ244</f>
        <v>0.279782742841504</v>
      </c>
      <c r="FZ246" s="1181">
        <v>0.29</v>
      </c>
      <c r="GA246" s="1181">
        <f>(FU244*GC246-FR244*FZ246)/FS244</f>
        <v>0.330550964187328</v>
      </c>
      <c r="GB246" s="1181">
        <f>(FU244*GC246-FP244*FX246)/FT244</f>
        <v>0.303888517005708</v>
      </c>
      <c r="GC246" s="1182">
        <v>0.3</v>
      </c>
      <c r="GD246" s="1220">
        <v>0.17</v>
      </c>
      <c r="GE246" s="1181">
        <v>0.1932</v>
      </c>
      <c r="GF246" s="1218">
        <f>(GD246*FV244+GE246*FW244)/FX244</f>
        <v>0.180807929515418</v>
      </c>
      <c r="GG246" s="1181">
        <v>0.16</v>
      </c>
      <c r="GH246" s="1181"/>
      <c r="GI246" s="1181">
        <v>0.1</v>
      </c>
      <c r="GJ246" s="1181">
        <f>(GC244*GK246-FX244*GF246)/GB244</f>
        <v>0.140017345319937</v>
      </c>
      <c r="GK246" s="1182">
        <v>0.16</v>
      </c>
      <c r="GL246" s="1218">
        <v>0.13</v>
      </c>
      <c r="GM246" s="1181">
        <v>0.09</v>
      </c>
      <c r="GN246" s="1218">
        <f>(GL246*GD244+GM246*GE244)/GF244</f>
        <v>0.110789704591986</v>
      </c>
      <c r="GO246" s="1181">
        <v>0.09</v>
      </c>
      <c r="GP246" s="1181"/>
      <c r="GQ246" s="1181">
        <v>0.16</v>
      </c>
      <c r="GR246" s="1181">
        <f>(GK244*GS246-GF244*GN246)/GJ244</f>
        <v>0.109202598936799</v>
      </c>
      <c r="GS246" s="1182">
        <v>0.11</v>
      </c>
      <c r="GT246" s="1218">
        <v>-0.46</v>
      </c>
      <c r="GU246" s="1181">
        <v>-0.15</v>
      </c>
      <c r="GV246" s="1218">
        <f>(GT246*GL244+GU246*GM244)/GN244</f>
        <v>-0.315724280901788</v>
      </c>
      <c r="GW246" s="1181">
        <v>-0.07</v>
      </c>
      <c r="GX246" s="1181"/>
      <c r="GY246" s="1181">
        <v>0.01</v>
      </c>
      <c r="GZ246" s="1181">
        <f>(GS244*HA246-GN244*GV246)/GR244</f>
        <v>-0.0249522826928037</v>
      </c>
      <c r="HA246" s="1182">
        <v>-0.17</v>
      </c>
      <c r="HB246" s="1218"/>
      <c r="HC246" s="1181"/>
      <c r="HD246" s="1181"/>
      <c r="HE246" s="1181"/>
      <c r="HF246" s="1181"/>
      <c r="HG246" s="1181"/>
      <c r="HH246" s="1181"/>
      <c r="HI246" s="1182"/>
      <c r="HJ246" s="1181"/>
      <c r="HK246" s="1181"/>
      <c r="HL246" s="1181"/>
      <c r="HM246" s="1181"/>
      <c r="HN246" s="1181"/>
      <c r="HO246" s="1181"/>
      <c r="HP246" s="1181"/>
      <c r="HQ246" s="1182"/>
      <c r="HR246" s="1181"/>
      <c r="HS246" s="1181"/>
      <c r="HT246" s="1181"/>
      <c r="HU246" s="1181"/>
      <c r="HV246" s="1181"/>
      <c r="HW246" s="1181"/>
      <c r="HX246" s="1181"/>
      <c r="HY246" s="1181"/>
      <c r="HZ246" s="1181"/>
      <c r="IA246" s="1181"/>
      <c r="IB246" s="1181"/>
      <c r="IC246" s="1181"/>
      <c r="ID246" s="1181"/>
      <c r="IE246" s="1181"/>
      <c r="IF246" s="1181"/>
      <c r="IG246" s="1182"/>
      <c r="IH246" s="1181"/>
      <c r="II246" s="1181"/>
      <c r="IJ246" s="1181"/>
      <c r="IK246" s="1181"/>
      <c r="IL246" s="1181"/>
      <c r="IM246" s="1181"/>
      <c r="IN246" s="1181"/>
      <c r="IO246" s="1182"/>
      <c r="IP246" s="1181"/>
      <c r="IQ246" s="1181"/>
      <c r="IR246" s="1181"/>
      <c r="IS246" s="1181"/>
      <c r="IT246" s="1181"/>
      <c r="IU246" s="1181"/>
      <c r="IV246" s="1181"/>
      <c r="IW246" s="1181"/>
      <c r="IX246" s="1104"/>
      <c r="IY246" s="1049"/>
      <c r="IZ246" s="1049"/>
      <c r="JA246" s="1049"/>
      <c r="JB246" s="1049"/>
      <c r="JC246" s="1049"/>
      <c r="JD246" s="1041"/>
      <c r="JE246" s="1037"/>
      <c r="JF246" s="1037"/>
      <c r="JG246" s="1037"/>
      <c r="JH246" s="1037"/>
      <c r="JI246" s="1035"/>
      <c r="JJ246" s="1035"/>
      <c r="JK246" s="1035"/>
      <c r="JL246" s="1035"/>
      <c r="JM246" s="1035"/>
      <c r="JN246" s="1035"/>
      <c r="JO246" s="1035"/>
      <c r="JP246" s="1035"/>
      <c r="JQ246" s="1094"/>
      <c r="JR246" s="1094"/>
      <c r="JS246" s="1094"/>
      <c r="JT246" s="1094"/>
      <c r="JU246" s="1035"/>
      <c r="JV246" s="1035"/>
      <c r="JW246" s="1035"/>
      <c r="JX246" s="1035"/>
      <c r="JY246" s="1035"/>
      <c r="KP246" s="1117"/>
      <c r="LV246" s="967"/>
    </row>
    <row r="247" hidden="1" spans="1:334">
      <c r="A247" s="967" t="s">
        <v>82</v>
      </c>
      <c r="AX247" s="1059"/>
      <c r="BE247" s="1060"/>
      <c r="BN247" s="1059"/>
      <c r="BU247" s="1060"/>
      <c r="BV247" s="1059"/>
      <c r="CC247" s="1060"/>
      <c r="CD247" s="1059"/>
      <c r="CJ247" s="1061"/>
      <c r="CK247" s="1060"/>
      <c r="CL247" s="1059"/>
      <c r="CS247" s="1060"/>
      <c r="CT247" s="1059"/>
      <c r="CW247" s="1062"/>
      <c r="CX247" s="1062"/>
      <c r="DE247" s="1064"/>
      <c r="DF247" s="1064"/>
      <c r="DM247" s="1064"/>
      <c r="DN247" s="1064"/>
      <c r="DU247" s="1064"/>
      <c r="DV247" s="1064"/>
      <c r="EC247" s="1064"/>
      <c r="ED247" s="1064"/>
      <c r="EH247" s="1181"/>
      <c r="EI247" s="1181"/>
      <c r="EJ247" s="1181"/>
      <c r="EK247" s="1181"/>
      <c r="EL247" s="1181"/>
      <c r="EM247" s="1181"/>
      <c r="EN247" s="1181"/>
      <c r="EO247" s="1182"/>
      <c r="EP247" s="1181"/>
      <c r="EQ247" s="1181"/>
      <c r="ER247" s="1181"/>
      <c r="ES247" s="1181"/>
      <c r="ET247" s="1181"/>
      <c r="EU247" s="1181"/>
      <c r="EV247" s="1181"/>
      <c r="EW247" s="1182"/>
      <c r="EX247" s="1148">
        <v>7</v>
      </c>
      <c r="EY247" s="1148">
        <v>6</v>
      </c>
      <c r="EZ247" s="1148">
        <f>EX247+EY247</f>
        <v>13</v>
      </c>
      <c r="FA247" s="1148">
        <v>7</v>
      </c>
      <c r="FB247" s="1148">
        <f>EX247+EY247+FA247</f>
        <v>20</v>
      </c>
      <c r="FC247" s="1148">
        <v>7</v>
      </c>
      <c r="FD247" s="1148">
        <f>FA247+FC247</f>
        <v>14</v>
      </c>
      <c r="FE247" s="1149">
        <f>EX247+EY247+FA247+FC247</f>
        <v>27</v>
      </c>
      <c r="FF247" s="1148">
        <v>14</v>
      </c>
      <c r="FG247" s="1148">
        <f>FH247-FF247</f>
        <v>11</v>
      </c>
      <c r="FH247" s="1148">
        <v>25</v>
      </c>
      <c r="FI247" s="1148">
        <f>FJ247-FH247</f>
        <v>17</v>
      </c>
      <c r="FJ247" s="1148">
        <v>42</v>
      </c>
      <c r="FK247" s="1148">
        <f>FM247-FJ247</f>
        <v>16</v>
      </c>
      <c r="FL247" s="1148">
        <f>FI247+FK247</f>
        <v>33</v>
      </c>
      <c r="FM247" s="1149">
        <v>58</v>
      </c>
      <c r="FN247" s="1148">
        <v>17</v>
      </c>
      <c r="FO247" s="1148">
        <f>FP247-FN247</f>
        <v>15</v>
      </c>
      <c r="FP247" s="1148">
        <v>32</v>
      </c>
      <c r="FQ247" s="1148">
        <f>FR247-FP247</f>
        <v>19</v>
      </c>
      <c r="FR247" s="1148">
        <v>51</v>
      </c>
      <c r="FS247" s="1148">
        <f>FU247-FR247</f>
        <v>16</v>
      </c>
      <c r="FT247" s="1148">
        <f>FQ247+FS247</f>
        <v>35</v>
      </c>
      <c r="FU247" s="1148">
        <v>67</v>
      </c>
      <c r="FV247" s="1278">
        <v>20</v>
      </c>
      <c r="FW247" s="1148">
        <v>19</v>
      </c>
      <c r="FX247" s="1279">
        <f>FV247+FW247</f>
        <v>39</v>
      </c>
      <c r="FY247" s="1148">
        <f>FZ247-FX247</f>
        <v>20</v>
      </c>
      <c r="FZ247" s="1148">
        <v>59</v>
      </c>
      <c r="GA247" s="1148">
        <f>GC247-FZ247</f>
        <v>23</v>
      </c>
      <c r="GB247" s="1148">
        <f>FY247+GA247</f>
        <v>43</v>
      </c>
      <c r="GC247" s="1149">
        <v>82</v>
      </c>
      <c r="GD247" s="1278">
        <v>79</v>
      </c>
      <c r="GE247" s="1148">
        <v>84</v>
      </c>
      <c r="GF247" s="1279">
        <f>GD247+GE247</f>
        <v>163</v>
      </c>
      <c r="GG247" s="1148">
        <v>78</v>
      </c>
      <c r="GH247" s="1148">
        <f>GG247+GF247</f>
        <v>241</v>
      </c>
      <c r="GI247" s="1148">
        <f>GK247-GH247</f>
        <v>95.0000000000027</v>
      </c>
      <c r="GJ247" s="1148">
        <f>GG247+GI247</f>
        <v>173.000000000003</v>
      </c>
      <c r="GK247" s="1149">
        <f>GK243-GK244</f>
        <v>336.000000000003</v>
      </c>
      <c r="GL247" s="1279">
        <v>76</v>
      </c>
      <c r="GM247" s="1148">
        <v>77</v>
      </c>
      <c r="GN247" s="1279">
        <f>GL247+GM247</f>
        <v>153</v>
      </c>
      <c r="GO247" s="1148">
        <v>73</v>
      </c>
      <c r="GP247" s="1148">
        <f>GO247+GN247</f>
        <v>226</v>
      </c>
      <c r="GQ247" s="1148">
        <f>GS247-GP247</f>
        <v>68.5800000000027</v>
      </c>
      <c r="GR247" s="1148">
        <f>GO247+GQ247</f>
        <v>141.580000000003</v>
      </c>
      <c r="GS247" s="1149">
        <f>GS243-GS244</f>
        <v>294.580000000003</v>
      </c>
      <c r="GT247" s="1279">
        <v>60</v>
      </c>
      <c r="GU247" s="1148">
        <v>56</v>
      </c>
      <c r="GV247" s="1279">
        <f>GT247+GU247</f>
        <v>116</v>
      </c>
      <c r="GW247" s="1148">
        <v>60</v>
      </c>
      <c r="GX247" s="1148">
        <f>GW247+GV247</f>
        <v>176</v>
      </c>
      <c r="GY247" s="1148">
        <f>HA247-GX247</f>
        <v>72</v>
      </c>
      <c r="GZ247" s="1148">
        <f>GW247+GY247</f>
        <v>132</v>
      </c>
      <c r="HA247" s="1149">
        <f>HA243-HA244</f>
        <v>248</v>
      </c>
      <c r="HB247" s="1279"/>
      <c r="HC247" s="1148"/>
      <c r="HD247" s="1148"/>
      <c r="HE247" s="1148"/>
      <c r="HF247" s="1148"/>
      <c r="HG247" s="1148"/>
      <c r="HH247" s="1148"/>
      <c r="HI247" s="1149"/>
      <c r="HJ247" s="1148"/>
      <c r="HK247" s="1148"/>
      <c r="HL247" s="1148"/>
      <c r="HM247" s="1148"/>
      <c r="HN247" s="1148"/>
      <c r="HO247" s="1148"/>
      <c r="HP247" s="1148"/>
      <c r="HQ247" s="1149"/>
      <c r="HR247" s="1148"/>
      <c r="HS247" s="1148"/>
      <c r="HT247" s="1148"/>
      <c r="HU247" s="1148"/>
      <c r="HV247" s="1148"/>
      <c r="HW247" s="1148"/>
      <c r="HX247" s="1148"/>
      <c r="HY247" s="1148"/>
      <c r="HZ247" s="1148"/>
      <c r="IA247" s="1148"/>
      <c r="IB247" s="1148"/>
      <c r="IC247" s="1148"/>
      <c r="ID247" s="1148"/>
      <c r="IE247" s="1148"/>
      <c r="IF247" s="1148"/>
      <c r="IG247" s="1149"/>
      <c r="IH247" s="1148"/>
      <c r="II247" s="1148"/>
      <c r="IJ247" s="1148"/>
      <c r="IK247" s="1148"/>
      <c r="IL247" s="1148"/>
      <c r="IM247" s="1148"/>
      <c r="IN247" s="1148"/>
      <c r="IO247" s="1149"/>
      <c r="IP247" s="1148"/>
      <c r="IQ247" s="1148"/>
      <c r="IR247" s="1148"/>
      <c r="IS247" s="1148"/>
      <c r="IT247" s="1148"/>
      <c r="IU247" s="1148"/>
      <c r="IV247" s="1148"/>
      <c r="IW247" s="1148"/>
      <c r="IX247" s="1104"/>
      <c r="IY247" s="1049"/>
      <c r="IZ247" s="1049"/>
      <c r="JA247" s="1049"/>
      <c r="JB247" s="1049"/>
      <c r="JC247" s="1049"/>
      <c r="JD247" s="1041"/>
      <c r="JE247" s="1037"/>
      <c r="JF247" s="1037"/>
      <c r="JG247" s="1037"/>
      <c r="JH247" s="1037"/>
      <c r="JI247" s="1035"/>
      <c r="JJ247" s="1035"/>
      <c r="JK247" s="1035"/>
      <c r="JL247" s="1035"/>
      <c r="JM247" s="1035"/>
      <c r="JN247" s="1035"/>
      <c r="JO247" s="1035"/>
      <c r="JP247" s="1035"/>
      <c r="JQ247" s="1035"/>
      <c r="JR247" s="1035"/>
      <c r="JS247" s="1035"/>
      <c r="JT247" s="1035"/>
      <c r="JU247" s="1035"/>
      <c r="JV247" s="1035"/>
      <c r="JW247" s="1035"/>
      <c r="JX247" s="1035"/>
      <c r="JY247" s="1035"/>
      <c r="KP247" s="1117"/>
      <c r="LV247" s="967"/>
    </row>
    <row r="248" hidden="1" spans="1:334">
      <c r="A248" s="967" t="s">
        <v>113</v>
      </c>
      <c r="AX248" s="1059"/>
      <c r="BE248" s="1060"/>
      <c r="BN248" s="1059"/>
      <c r="BU248" s="1060"/>
      <c r="BV248" s="1059"/>
      <c r="CC248" s="1060"/>
      <c r="CD248" s="1059"/>
      <c r="CJ248" s="1061"/>
      <c r="CK248" s="1060"/>
      <c r="CL248" s="1059"/>
      <c r="CS248" s="1060"/>
      <c r="CT248" s="1059"/>
      <c r="CW248" s="1062"/>
      <c r="CX248" s="1062"/>
      <c r="DE248" s="1064"/>
      <c r="DF248" s="1064"/>
      <c r="DM248" s="1064"/>
      <c r="DN248" s="1064"/>
      <c r="DU248" s="1064"/>
      <c r="DV248" s="1064"/>
      <c r="EC248" s="1064"/>
      <c r="ED248" s="1064"/>
      <c r="EH248" s="1181"/>
      <c r="EI248" s="1181"/>
      <c r="EJ248" s="1181"/>
      <c r="EK248" s="1181"/>
      <c r="EL248" s="1181"/>
      <c r="EM248" s="1181"/>
      <c r="EN248" s="1181"/>
      <c r="EO248" s="1182"/>
      <c r="EP248" s="1181"/>
      <c r="EQ248" s="1181"/>
      <c r="ER248" s="1181"/>
      <c r="ES248" s="1181"/>
      <c r="ET248" s="1181"/>
      <c r="EU248" s="1181"/>
      <c r="EV248" s="1181"/>
      <c r="EW248" s="1182"/>
      <c r="EX248" s="1181"/>
      <c r="EY248" s="1181"/>
      <c r="EZ248" s="1181"/>
      <c r="FA248" s="1181"/>
      <c r="FB248" s="1181"/>
      <c r="FC248" s="1181"/>
      <c r="FD248" s="1181"/>
      <c r="FE248" s="1182"/>
      <c r="FF248" s="1181">
        <f t="shared" ref="FF248:FM248" si="1330">FF247/EX247-1</f>
        <v>1</v>
      </c>
      <c r="FG248" s="1181">
        <f t="shared" si="1330"/>
        <v>0.833333333333333</v>
      </c>
      <c r="FH248" s="1181">
        <f t="shared" si="1330"/>
        <v>0.923076923076923</v>
      </c>
      <c r="FI248" s="1181">
        <f t="shared" si="1330"/>
        <v>1.42857142857143</v>
      </c>
      <c r="FJ248" s="1181">
        <f t="shared" si="1330"/>
        <v>1.1</v>
      </c>
      <c r="FK248" s="1181">
        <f t="shared" si="1330"/>
        <v>1.28571428571429</v>
      </c>
      <c r="FL248" s="1181">
        <f t="shared" si="1330"/>
        <v>1.35714285714286</v>
      </c>
      <c r="FM248" s="1182">
        <f t="shared" si="1330"/>
        <v>1.14814814814815</v>
      </c>
      <c r="FN248" s="1181">
        <f t="shared" ref="FN248:FX248" si="1331">FN247/FF247-1</f>
        <v>0.214285714285714</v>
      </c>
      <c r="FO248" s="1181">
        <f t="shared" si="1331"/>
        <v>0.363636363636364</v>
      </c>
      <c r="FP248" s="1181">
        <f t="shared" si="1331"/>
        <v>0.28</v>
      </c>
      <c r="FQ248" s="1181">
        <f t="shared" si="1331"/>
        <v>0.117647058823529</v>
      </c>
      <c r="FR248" s="1181">
        <f t="shared" si="1331"/>
        <v>0.214285714285714</v>
      </c>
      <c r="FS248" s="1181">
        <f t="shared" si="1331"/>
        <v>0</v>
      </c>
      <c r="FT248" s="1181">
        <f t="shared" si="1331"/>
        <v>0.0606060606060606</v>
      </c>
      <c r="FU248" s="1181">
        <f t="shared" si="1331"/>
        <v>0.155172413793103</v>
      </c>
      <c r="FV248" s="1220">
        <f t="shared" si="1331"/>
        <v>0.176470588235294</v>
      </c>
      <c r="FW248" s="1181">
        <f t="shared" si="1331"/>
        <v>0.266666666666667</v>
      </c>
      <c r="FX248" s="1181">
        <f t="shared" si="1331"/>
        <v>0.21875</v>
      </c>
      <c r="FY248" s="1181">
        <f t="shared" ref="FY248" si="1332">FY247/FQ247-1</f>
        <v>0.0526315789473684</v>
      </c>
      <c r="FZ248" s="1181">
        <f t="shared" ref="FZ248" si="1333">FZ247/FR247-1</f>
        <v>0.156862745098039</v>
      </c>
      <c r="GA248" s="1181">
        <f t="shared" ref="GA248" si="1334">GA247/FS247-1</f>
        <v>0.4375</v>
      </c>
      <c r="GB248" s="1181">
        <f t="shared" ref="GB248" si="1335">GB247/FT247-1</f>
        <v>0.228571428571429</v>
      </c>
      <c r="GC248" s="1182">
        <f t="shared" ref="GC248" si="1336">GC247/FU247-1</f>
        <v>0.223880597014925</v>
      </c>
      <c r="GD248" s="1220">
        <v>-0.09</v>
      </c>
      <c r="GE248" s="1181">
        <f>((GF248*FX247)-(GD248*FV247))/FW247</f>
        <v>-0.09</v>
      </c>
      <c r="GF248" s="1181">
        <v>-0.09</v>
      </c>
      <c r="GG248" s="1181">
        <v>-0.02</v>
      </c>
      <c r="GH248" s="1181">
        <f>GH247/FZ247-1</f>
        <v>3.08474576271186</v>
      </c>
      <c r="GI248" s="1181">
        <f t="shared" ref="GI248" si="1337">GI247/GA247-1</f>
        <v>3.13043478260881</v>
      </c>
      <c r="GJ248" s="1181">
        <f t="shared" ref="GJ248" si="1338">GJ247/GB247-1</f>
        <v>3.02325581395355</v>
      </c>
      <c r="GK248" s="1182">
        <f t="shared" ref="GK248:GL248" si="1339">GK247/GC247-1</f>
        <v>3.09756097560979</v>
      </c>
      <c r="GL248" s="1181">
        <f t="shared" si="1339"/>
        <v>-0.0379746835443038</v>
      </c>
      <c r="GM248" s="1181">
        <f t="shared" ref="GM248:GP248" si="1340">GM247/GE247-1</f>
        <v>-0.0833333333333334</v>
      </c>
      <c r="GN248" s="1181">
        <f t="shared" ref="GN248" si="1341">GN247/GF247-1</f>
        <v>-0.0613496932515337</v>
      </c>
      <c r="GO248" s="1181">
        <f t="shared" si="1340"/>
        <v>-0.0641025641025641</v>
      </c>
      <c r="GP248" s="1181">
        <f t="shared" si="1340"/>
        <v>-0.0622406639004149</v>
      </c>
      <c r="GQ248" s="1181">
        <f t="shared" ref="GQ248" si="1342">GQ247/GI247-1</f>
        <v>-0.278105263157888</v>
      </c>
      <c r="GR248" s="1181">
        <f t="shared" ref="GR248" si="1343">GR247/GJ247-1</f>
        <v>-0.181618497109824</v>
      </c>
      <c r="GS248" s="1182">
        <f t="shared" ref="GS248:GT248" si="1344">GS247/GK247-1</f>
        <v>-0.123273809523809</v>
      </c>
      <c r="GT248" s="1181">
        <f t="shared" si="1344"/>
        <v>-0.210526315789474</v>
      </c>
      <c r="GU248" s="1181">
        <f t="shared" ref="GU248" si="1345">GU247/GM247-1</f>
        <v>-0.272727272727273</v>
      </c>
      <c r="GV248" s="1181">
        <f t="shared" ref="GV248:GX248" si="1346">GV247/GN247-1</f>
        <v>-0.241830065359477</v>
      </c>
      <c r="GW248" s="1181">
        <f t="shared" si="1346"/>
        <v>-0.178082191780822</v>
      </c>
      <c r="GX248" s="1181">
        <f t="shared" si="1346"/>
        <v>-0.221238938053097</v>
      </c>
      <c r="GY248" s="1181">
        <f t="shared" ref="GY248" si="1347">GY247/GQ247-1</f>
        <v>0.0498687664041588</v>
      </c>
      <c r="GZ248" s="1181">
        <f t="shared" ref="GZ248" si="1348">GZ247/GR247-1</f>
        <v>-0.0676649244243712</v>
      </c>
      <c r="HA248" s="1182">
        <f t="shared" ref="HA248" si="1349">HA247/GS247-1</f>
        <v>-0.158123429968098</v>
      </c>
      <c r="HB248" s="1181"/>
      <c r="HC248" s="1181"/>
      <c r="HD248" s="1181"/>
      <c r="HE248" s="1181"/>
      <c r="HF248" s="1181"/>
      <c r="HG248" s="1181"/>
      <c r="HH248" s="1181"/>
      <c r="HI248" s="1182"/>
      <c r="HJ248" s="1181"/>
      <c r="HK248" s="1181"/>
      <c r="HL248" s="1181"/>
      <c r="HM248" s="1181"/>
      <c r="HN248" s="1181"/>
      <c r="HO248" s="1181"/>
      <c r="HP248" s="1181"/>
      <c r="HQ248" s="1182"/>
      <c r="HR248" s="1181"/>
      <c r="HS248" s="1181"/>
      <c r="HT248" s="1181"/>
      <c r="HU248" s="1181"/>
      <c r="HV248" s="1181"/>
      <c r="HW248" s="1181"/>
      <c r="HX248" s="1181"/>
      <c r="HY248" s="1181"/>
      <c r="HZ248" s="1181"/>
      <c r="IA248" s="1181"/>
      <c r="IB248" s="1181"/>
      <c r="IC248" s="1181"/>
      <c r="ID248" s="1181"/>
      <c r="IE248" s="1181"/>
      <c r="IF248" s="1181"/>
      <c r="IG248" s="1182"/>
      <c r="IH248" s="1181"/>
      <c r="II248" s="1181"/>
      <c r="IJ248" s="1181"/>
      <c r="IK248" s="1181"/>
      <c r="IL248" s="1181"/>
      <c r="IM248" s="1181"/>
      <c r="IN248" s="1181"/>
      <c r="IO248" s="1182"/>
      <c r="IP248" s="1181"/>
      <c r="IQ248" s="1181"/>
      <c r="IR248" s="1181"/>
      <c r="IS248" s="1181"/>
      <c r="IT248" s="1181"/>
      <c r="IU248" s="1181"/>
      <c r="IV248" s="1181"/>
      <c r="IW248" s="1181"/>
      <c r="IX248" s="1104"/>
      <c r="IY248" s="1049"/>
      <c r="IZ248" s="1049"/>
      <c r="JA248" s="1049"/>
      <c r="JB248" s="1049"/>
      <c r="JC248" s="1049"/>
      <c r="JD248" s="1041"/>
      <c r="JE248" s="1037"/>
      <c r="JF248" s="1037"/>
      <c r="JG248" s="1037"/>
      <c r="JH248" s="1037"/>
      <c r="JI248" s="1035"/>
      <c r="JJ248" s="1035"/>
      <c r="JK248" s="1035"/>
      <c r="JL248" s="1035"/>
      <c r="JM248" s="1035"/>
      <c r="JN248" s="1035"/>
      <c r="JO248" s="1035"/>
      <c r="JP248" s="1035"/>
      <c r="JQ248" s="1035"/>
      <c r="JR248" s="1035"/>
      <c r="JS248" s="1035"/>
      <c r="JT248" s="1035"/>
      <c r="JU248" s="1035"/>
      <c r="JV248" s="1035"/>
      <c r="JW248" s="1035"/>
      <c r="JX248" s="1035"/>
      <c r="JY248" s="1035"/>
      <c r="KP248" s="1117"/>
      <c r="LV248" s="967"/>
    </row>
    <row r="249" hidden="1" spans="1:334">
      <c r="A249" s="967" t="s">
        <v>100</v>
      </c>
      <c r="AX249" s="1059"/>
      <c r="BE249" s="1060"/>
      <c r="BN249" s="1059"/>
      <c r="BU249" s="1060"/>
      <c r="BV249" s="1059"/>
      <c r="CC249" s="1060"/>
      <c r="CD249" s="1059"/>
      <c r="CJ249" s="1061"/>
      <c r="CK249" s="1060"/>
      <c r="CL249" s="1059"/>
      <c r="CS249" s="1060"/>
      <c r="CT249" s="1059"/>
      <c r="CW249" s="1062"/>
      <c r="CX249" s="1062"/>
      <c r="DE249" s="1064"/>
      <c r="DF249" s="1064"/>
      <c r="DM249" s="1064"/>
      <c r="DN249" s="1064"/>
      <c r="DU249" s="1064"/>
      <c r="DV249" s="1064"/>
      <c r="EC249" s="1064"/>
      <c r="ED249" s="1064"/>
      <c r="EH249" s="1181"/>
      <c r="EI249" s="1181"/>
      <c r="EJ249" s="1181"/>
      <c r="EK249" s="1181"/>
      <c r="EL249" s="1181"/>
      <c r="EM249" s="1181"/>
      <c r="EN249" s="1181"/>
      <c r="EO249" s="1182"/>
      <c r="EP249" s="1181"/>
      <c r="EQ249" s="1181"/>
      <c r="ER249" s="1181"/>
      <c r="ES249" s="1181"/>
      <c r="ET249" s="1181"/>
      <c r="EU249" s="1181"/>
      <c r="EV249" s="1181"/>
      <c r="EW249" s="1182"/>
      <c r="EX249" s="1181"/>
      <c r="EY249" s="1181"/>
      <c r="EZ249" s="1181"/>
      <c r="FA249" s="1181"/>
      <c r="FB249" s="1181"/>
      <c r="FC249" s="1181"/>
      <c r="FD249" s="1181"/>
      <c r="FE249" s="1182"/>
      <c r="FF249" s="1181">
        <v>0.58</v>
      </c>
      <c r="FG249" s="1181">
        <f>(EZ247*FH249-EX247*FF249)/EY247</f>
        <v>0.58</v>
      </c>
      <c r="FH249" s="1181">
        <v>0.58</v>
      </c>
      <c r="FI249" s="1181">
        <f>(FB247*FJ249-EZ247*FH249)/FA247</f>
        <v>1.03714285714286</v>
      </c>
      <c r="FJ249" s="1181">
        <v>0.74</v>
      </c>
      <c r="FK249" s="1181">
        <f>(FE247*FM249-FB247*FJ249)/FC247</f>
        <v>1.08714285714286</v>
      </c>
      <c r="FL249" s="1181">
        <f>(FE247*FM249-EZ247*FH249)/FD247</f>
        <v>1.06214285714286</v>
      </c>
      <c r="FM249" s="1182">
        <v>0.83</v>
      </c>
      <c r="FN249" s="1181">
        <v>0.22</v>
      </c>
      <c r="FO249" s="1181">
        <f>(FH247*FP249-FF247*FN249)/FG247</f>
        <v>0.379090909090909</v>
      </c>
      <c r="FP249" s="1181">
        <v>0.29</v>
      </c>
      <c r="FQ249" s="1181">
        <f>(FJ247*FR249-FH247*FP249)/FI247</f>
        <v>0.191176470588235</v>
      </c>
      <c r="FR249" s="1181">
        <v>0.25</v>
      </c>
      <c r="FS249" s="1181">
        <f>(FM247*FU249-FJ247*FR249)/FK247</f>
        <v>-0.0399999999999999</v>
      </c>
      <c r="FT249" s="1181">
        <f>(FM247*FU249-FH247*FP249)/FL247</f>
        <v>0.0790909090909092</v>
      </c>
      <c r="FU249" s="1181">
        <v>0.17</v>
      </c>
      <c r="FV249" s="1220">
        <v>0.19</v>
      </c>
      <c r="FW249" s="1181">
        <v>0.2</v>
      </c>
      <c r="FX249" s="1218">
        <f>(FV249*FN243+FW249*FO243)/FP243</f>
        <v>0.19473393227367</v>
      </c>
      <c r="FY249" s="1181">
        <f>(FR247*FZ249-FP247*FX249)/FQ247</f>
        <v>0.101500745644346</v>
      </c>
      <c r="FZ249" s="1181">
        <v>0.16</v>
      </c>
      <c r="GA249" s="1181">
        <f>(FU247*GC249-FR247*FZ249)/FS247</f>
        <v>0.536875</v>
      </c>
      <c r="GB249" s="1181">
        <f>(FU247*GC249-FP247*FX249)/FT247</f>
        <v>0.300528976206931</v>
      </c>
      <c r="GC249" s="1182">
        <v>0.25</v>
      </c>
      <c r="GD249" s="1220">
        <v>-0.17</v>
      </c>
      <c r="GE249" s="1181">
        <v>0.138</v>
      </c>
      <c r="GF249" s="1218">
        <f>(GD249*FV247+GE249*FW247)/FX247</f>
        <v>-0.0199487179487179</v>
      </c>
      <c r="GG249" s="1181">
        <v>-0.01</v>
      </c>
      <c r="GH249" s="1181"/>
      <c r="GI249" s="1181">
        <v>0.18</v>
      </c>
      <c r="GJ249" s="1181">
        <f>(GC247*GK249-FX247*GF249)/GB247</f>
        <v>0.0753023255813954</v>
      </c>
      <c r="GK249" s="1182">
        <v>0.03</v>
      </c>
      <c r="GL249" s="1218">
        <v>-0.07</v>
      </c>
      <c r="GM249" s="1181">
        <v>-0.11</v>
      </c>
      <c r="GN249" s="1218">
        <f>(GL249*GD247+GM249*GE247)/GF247</f>
        <v>-0.0906134969325153</v>
      </c>
      <c r="GO249" s="1181">
        <v>-0.11</v>
      </c>
      <c r="GP249" s="1181"/>
      <c r="GQ249" s="1181">
        <v>-0.27</v>
      </c>
      <c r="GR249" s="1181">
        <f>(GK247*GS249-GF247*GN249)/GJ247</f>
        <v>-0.205953757225433</v>
      </c>
      <c r="GS249" s="1182">
        <v>-0.15</v>
      </c>
      <c r="GT249" s="1218">
        <v>-0.23</v>
      </c>
      <c r="GU249" s="1181">
        <v>-0.28</v>
      </c>
      <c r="GV249" s="1218">
        <f>(GT249*GL247+GU249*GM247)/GN247</f>
        <v>-0.255163398692811</v>
      </c>
      <c r="GW249" s="1181">
        <v>-0.13</v>
      </c>
      <c r="GX249" s="1181"/>
      <c r="GY249" s="1181">
        <v>0.06</v>
      </c>
      <c r="GZ249" s="1181">
        <f>(GS247*HA249-GN247*GV249)/GR247</f>
        <v>-0.0363540048029403</v>
      </c>
      <c r="HA249" s="1182">
        <v>-0.15</v>
      </c>
      <c r="HB249" s="1218"/>
      <c r="HC249" s="1181"/>
      <c r="HD249" s="1181"/>
      <c r="HE249" s="1181"/>
      <c r="HF249" s="1181"/>
      <c r="HG249" s="1181"/>
      <c r="HH249" s="1181"/>
      <c r="HI249" s="1182"/>
      <c r="HJ249" s="1181"/>
      <c r="HK249" s="1181"/>
      <c r="HL249" s="1181"/>
      <c r="HM249" s="1181"/>
      <c r="HN249" s="1181"/>
      <c r="HO249" s="1181"/>
      <c r="HP249" s="1181"/>
      <c r="HQ249" s="1182"/>
      <c r="HR249" s="1181"/>
      <c r="HS249" s="1181"/>
      <c r="HT249" s="1181"/>
      <c r="HU249" s="1181"/>
      <c r="HV249" s="1181"/>
      <c r="HW249" s="1181"/>
      <c r="HX249" s="1181"/>
      <c r="HY249" s="1181"/>
      <c r="HZ249" s="1181"/>
      <c r="IA249" s="1181"/>
      <c r="IB249" s="1181"/>
      <c r="IC249" s="1181"/>
      <c r="ID249" s="1181"/>
      <c r="IE249" s="1181"/>
      <c r="IF249" s="1181"/>
      <c r="IG249" s="1182"/>
      <c r="IH249" s="1181"/>
      <c r="II249" s="1181"/>
      <c r="IJ249" s="1181"/>
      <c r="IK249" s="1181"/>
      <c r="IL249" s="1181"/>
      <c r="IM249" s="1181"/>
      <c r="IN249" s="1181"/>
      <c r="IO249" s="1182"/>
      <c r="IP249" s="1181"/>
      <c r="IQ249" s="1181"/>
      <c r="IR249" s="1181"/>
      <c r="IS249" s="1181"/>
      <c r="IT249" s="1181"/>
      <c r="IU249" s="1181"/>
      <c r="IV249" s="1181"/>
      <c r="IW249" s="1181"/>
      <c r="IX249" s="1104"/>
      <c r="IY249" s="1049"/>
      <c r="IZ249" s="1049"/>
      <c r="JA249" s="1049"/>
      <c r="JB249" s="1049"/>
      <c r="JC249" s="1049"/>
      <c r="JD249" s="1041"/>
      <c r="JE249" s="1037"/>
      <c r="JF249" s="1037"/>
      <c r="JG249" s="1037"/>
      <c r="JH249" s="1037"/>
      <c r="JI249" s="1035"/>
      <c r="JJ249" s="1035"/>
      <c r="JK249" s="1035"/>
      <c r="JL249" s="1035"/>
      <c r="JM249" s="1035"/>
      <c r="JN249" s="1035"/>
      <c r="JO249" s="1035"/>
      <c r="JP249" s="1035"/>
      <c r="JQ249" s="1035"/>
      <c r="JR249" s="1035"/>
      <c r="JS249" s="1035"/>
      <c r="JT249" s="1035"/>
      <c r="JU249" s="1035"/>
      <c r="JV249" s="1035"/>
      <c r="JW249" s="1035"/>
      <c r="JX249" s="1035"/>
      <c r="JY249" s="1035"/>
      <c r="KP249" s="1117"/>
      <c r="LV249" s="967"/>
    </row>
    <row r="250" hidden="1" spans="1:334">
      <c r="A250" s="1103" t="s">
        <v>104</v>
      </c>
      <c r="AX250" s="1059"/>
      <c r="BE250" s="1060"/>
      <c r="BN250" s="1059"/>
      <c r="BU250" s="1060"/>
      <c r="BV250" s="1059"/>
      <c r="CC250" s="1060"/>
      <c r="CD250" s="1059"/>
      <c r="CJ250" s="1061"/>
      <c r="CK250" s="1060"/>
      <c r="CL250" s="1059"/>
      <c r="CS250" s="1060"/>
      <c r="CT250" s="1059"/>
      <c r="CW250" s="1062"/>
      <c r="CX250" s="1062"/>
      <c r="DE250" s="1064"/>
      <c r="DF250" s="1064"/>
      <c r="DM250" s="1064"/>
      <c r="DN250" s="1064"/>
      <c r="DU250" s="1064"/>
      <c r="DV250" s="1064"/>
      <c r="EC250" s="1064"/>
      <c r="ED250" s="1064"/>
      <c r="EH250" s="1181"/>
      <c r="EI250" s="1181"/>
      <c r="EJ250" s="1181"/>
      <c r="EK250" s="1181"/>
      <c r="EL250" s="1181"/>
      <c r="EM250" s="1181"/>
      <c r="EN250" s="1181"/>
      <c r="EO250" s="1182"/>
      <c r="EP250" s="1181"/>
      <c r="EQ250" s="1181"/>
      <c r="ER250" s="1181"/>
      <c r="ES250" s="1181"/>
      <c r="ET250" s="1181"/>
      <c r="EU250" s="1181"/>
      <c r="EV250" s="1181"/>
      <c r="EW250" s="1182"/>
      <c r="EX250" s="1071">
        <f>EX189</f>
        <v>139</v>
      </c>
      <c r="EY250" s="1071">
        <f>EY189</f>
        <v>181</v>
      </c>
      <c r="EZ250" s="1071">
        <f>EX250+EY250</f>
        <v>320</v>
      </c>
      <c r="FA250" s="1071">
        <f>FA189</f>
        <v>173</v>
      </c>
      <c r="FB250" s="1071">
        <f>EX250+EY250+FA250</f>
        <v>493</v>
      </c>
      <c r="FC250" s="1071">
        <f>FC189</f>
        <v>251</v>
      </c>
      <c r="FD250" s="1071">
        <f>FA250+FC250</f>
        <v>424</v>
      </c>
      <c r="FE250" s="1072">
        <f>EX250+EY250+FA250+FC250</f>
        <v>744</v>
      </c>
      <c r="FF250" s="1071">
        <f>FF189</f>
        <v>155</v>
      </c>
      <c r="FG250" s="1071">
        <f>FG189</f>
        <v>178</v>
      </c>
      <c r="FH250" s="1071">
        <f>FF250+FG250</f>
        <v>333</v>
      </c>
      <c r="FI250" s="1071">
        <f>FI189</f>
        <v>186</v>
      </c>
      <c r="FJ250" s="1071">
        <f>FF250+FG250+FI250</f>
        <v>519</v>
      </c>
      <c r="FK250" s="1071">
        <f>FK189</f>
        <v>257</v>
      </c>
      <c r="FL250" s="1071">
        <f>FI250+FK250</f>
        <v>443</v>
      </c>
      <c r="FM250" s="1072">
        <f>FM189</f>
        <v>776</v>
      </c>
      <c r="FN250" s="1071">
        <f>FN189</f>
        <v>236</v>
      </c>
      <c r="FO250" s="1071">
        <f>FO189</f>
        <v>236</v>
      </c>
      <c r="FP250" s="1071">
        <f>FN250+FO250</f>
        <v>472</v>
      </c>
      <c r="FQ250" s="1071">
        <f>FQ189</f>
        <v>264</v>
      </c>
      <c r="FR250" s="1071">
        <f>FN250+FO250+FQ250</f>
        <v>736</v>
      </c>
      <c r="FS250" s="1071">
        <f>FS189</f>
        <v>271</v>
      </c>
      <c r="FT250" s="1071">
        <f>FQ250+FS250</f>
        <v>535</v>
      </c>
      <c r="FU250" s="1071">
        <f>FU189</f>
        <v>1007</v>
      </c>
      <c r="FV250" s="1075">
        <f>FV189</f>
        <v>301</v>
      </c>
      <c r="FW250" s="1071">
        <f>FW189</f>
        <v>261</v>
      </c>
      <c r="FX250" s="1076">
        <f>FV250+FW250</f>
        <v>562</v>
      </c>
      <c r="FY250" s="1071">
        <f>FY189</f>
        <v>243</v>
      </c>
      <c r="FZ250" s="1071">
        <f>FV250+FW250+FY250</f>
        <v>805</v>
      </c>
      <c r="GA250" s="1071">
        <f>GA189</f>
        <v>251</v>
      </c>
      <c r="GB250" s="1071">
        <f>FY250+GA250</f>
        <v>494</v>
      </c>
      <c r="GC250" s="1072">
        <f>GC189</f>
        <v>1056</v>
      </c>
      <c r="GD250" s="1071"/>
      <c r="GE250" s="1071"/>
      <c r="GF250" s="1076"/>
      <c r="GG250" s="1071"/>
      <c r="GH250" s="1071"/>
      <c r="GI250" s="1071"/>
      <c r="GJ250" s="1071"/>
      <c r="GK250" s="1072"/>
      <c r="GL250" s="1071"/>
      <c r="GM250" s="1071"/>
      <c r="GN250" s="1076"/>
      <c r="GO250" s="1071"/>
      <c r="GP250" s="1071"/>
      <c r="GQ250" s="1071"/>
      <c r="GR250" s="1071"/>
      <c r="GS250" s="1072"/>
      <c r="GT250" s="1071"/>
      <c r="GU250" s="1071"/>
      <c r="GV250" s="1076"/>
      <c r="GW250" s="1071"/>
      <c r="GX250" s="1071"/>
      <c r="GY250" s="1071"/>
      <c r="GZ250" s="1071"/>
      <c r="HA250" s="1072"/>
      <c r="HB250" s="1071"/>
      <c r="HC250" s="1071"/>
      <c r="HD250" s="1071"/>
      <c r="HE250" s="1071"/>
      <c r="HF250" s="1071"/>
      <c r="HG250" s="1071"/>
      <c r="HH250" s="1071"/>
      <c r="HI250" s="1072"/>
      <c r="HJ250" s="1071"/>
      <c r="HK250" s="1071"/>
      <c r="HL250" s="1071"/>
      <c r="HM250" s="1071"/>
      <c r="HN250" s="1071"/>
      <c r="HO250" s="1071"/>
      <c r="HP250" s="1071"/>
      <c r="HQ250" s="1072"/>
      <c r="HR250" s="1071"/>
      <c r="HS250" s="1071"/>
      <c r="HT250" s="1071"/>
      <c r="HU250" s="1071"/>
      <c r="HV250" s="1071"/>
      <c r="HW250" s="1071"/>
      <c r="HX250" s="1071"/>
      <c r="HY250" s="1071"/>
      <c r="HZ250" s="1071"/>
      <c r="IA250" s="1071"/>
      <c r="IB250" s="1071"/>
      <c r="IC250" s="1071"/>
      <c r="ID250" s="1071"/>
      <c r="IE250" s="1071"/>
      <c r="IF250" s="1071"/>
      <c r="IG250" s="1072"/>
      <c r="IH250" s="1071"/>
      <c r="II250" s="1071"/>
      <c r="IJ250" s="1071"/>
      <c r="IK250" s="1071"/>
      <c r="IL250" s="1071"/>
      <c r="IM250" s="1071"/>
      <c r="IN250" s="1071"/>
      <c r="IO250" s="1072"/>
      <c r="IP250" s="1071"/>
      <c r="IQ250" s="1071"/>
      <c r="IR250" s="1071"/>
      <c r="IS250" s="1071"/>
      <c r="IT250" s="1071"/>
      <c r="IU250" s="1071"/>
      <c r="IV250" s="1071"/>
      <c r="IW250" s="1071"/>
      <c r="IX250" s="1104"/>
      <c r="IY250" s="1049"/>
      <c r="IZ250" s="1049"/>
      <c r="JA250" s="1049"/>
      <c r="JB250" s="1049"/>
      <c r="JC250" s="1049"/>
      <c r="JD250" s="1041"/>
      <c r="JE250" s="1037"/>
      <c r="JF250" s="1037"/>
      <c r="JG250" s="1037"/>
      <c r="JH250" s="1037"/>
      <c r="JI250" s="1035"/>
      <c r="JJ250" s="1035"/>
      <c r="JK250" s="1094"/>
      <c r="JL250" s="1094"/>
      <c r="JM250" s="1094"/>
      <c r="JN250" s="1094"/>
      <c r="JO250" s="1094"/>
      <c r="JP250" s="1094"/>
      <c r="JQ250" s="1094"/>
      <c r="JR250" s="1094"/>
      <c r="JS250" s="1094"/>
      <c r="JT250" s="1094"/>
      <c r="JU250" s="1035"/>
      <c r="JV250" s="1035"/>
      <c r="JW250" s="1035"/>
      <c r="JX250" s="1035"/>
      <c r="JY250" s="1035"/>
      <c r="KP250" s="1117"/>
      <c r="LV250" s="967"/>
    </row>
    <row r="251" hidden="1" spans="1:334">
      <c r="A251" s="967" t="s">
        <v>80</v>
      </c>
      <c r="AX251" s="1059"/>
      <c r="BE251" s="1060"/>
      <c r="BN251" s="1059"/>
      <c r="BU251" s="1060"/>
      <c r="BV251" s="1059"/>
      <c r="CC251" s="1060"/>
      <c r="CD251" s="1059"/>
      <c r="CJ251" s="1061"/>
      <c r="CK251" s="1060"/>
      <c r="CL251" s="1059"/>
      <c r="CS251" s="1060"/>
      <c r="CT251" s="1059"/>
      <c r="CW251" s="1062"/>
      <c r="CX251" s="1062"/>
      <c r="DE251" s="1064"/>
      <c r="DF251" s="1064"/>
      <c r="DM251" s="1064"/>
      <c r="DN251" s="1064"/>
      <c r="DU251" s="1064"/>
      <c r="DV251" s="1064"/>
      <c r="EC251" s="1064"/>
      <c r="ED251" s="1064"/>
      <c r="EH251" s="1181"/>
      <c r="EI251" s="1181"/>
      <c r="EJ251" s="1181"/>
      <c r="EK251" s="1181"/>
      <c r="EL251" s="1181"/>
      <c r="EM251" s="1181"/>
      <c r="EN251" s="1181"/>
      <c r="EO251" s="1182"/>
      <c r="EP251" s="1181"/>
      <c r="EQ251" s="1181"/>
      <c r="ER251" s="1181"/>
      <c r="ES251" s="1181"/>
      <c r="ET251" s="1181"/>
      <c r="EU251" s="1181"/>
      <c r="EV251" s="1181"/>
      <c r="EW251" s="1182"/>
      <c r="EX251" s="1148">
        <v>132</v>
      </c>
      <c r="EY251" s="1148">
        <v>170</v>
      </c>
      <c r="EZ251" s="1148">
        <f>EX251+EY251</f>
        <v>302</v>
      </c>
      <c r="FA251" s="1148">
        <v>154</v>
      </c>
      <c r="FB251" s="1148">
        <f>EX251+EY251+FA251</f>
        <v>456</v>
      </c>
      <c r="FC251" s="1148">
        <v>210</v>
      </c>
      <c r="FD251" s="1148">
        <f>FA251+FC251</f>
        <v>364</v>
      </c>
      <c r="FE251" s="1149">
        <f>EX251+EY251+FA251+FC251</f>
        <v>666</v>
      </c>
      <c r="FF251" s="1148">
        <v>143</v>
      </c>
      <c r="FG251" s="1148">
        <f>FH251-FF251</f>
        <v>163</v>
      </c>
      <c r="FH251" s="1148">
        <v>306</v>
      </c>
      <c r="FI251" s="1148">
        <f>FJ251-FH251</f>
        <v>164</v>
      </c>
      <c r="FJ251" s="1148">
        <v>470</v>
      </c>
      <c r="FK251" s="1148">
        <f>FM251-FJ251</f>
        <v>226</v>
      </c>
      <c r="FL251" s="1148">
        <f>FI251+FK251</f>
        <v>390</v>
      </c>
      <c r="FM251" s="1149">
        <v>696</v>
      </c>
      <c r="FN251" s="1148">
        <v>212</v>
      </c>
      <c r="FO251" s="1148">
        <f>FP251-FN251</f>
        <v>209</v>
      </c>
      <c r="FP251" s="1148">
        <v>421</v>
      </c>
      <c r="FQ251" s="1148">
        <f>FR251-FP251</f>
        <v>239</v>
      </c>
      <c r="FR251" s="1148">
        <v>660</v>
      </c>
      <c r="FS251" s="1148">
        <f>FU251-FR251</f>
        <v>247</v>
      </c>
      <c r="FT251" s="1148">
        <f>FQ251+FS251</f>
        <v>486</v>
      </c>
      <c r="FU251" s="1148">
        <v>907</v>
      </c>
      <c r="FV251" s="1278">
        <v>270</v>
      </c>
      <c r="FW251" s="1148">
        <v>233</v>
      </c>
      <c r="FX251" s="1279">
        <f>FV251+FW251</f>
        <v>503</v>
      </c>
      <c r="FY251" s="1148">
        <f>FZ251-FX251</f>
        <v>220</v>
      </c>
      <c r="FZ251" s="1148">
        <v>723</v>
      </c>
      <c r="GA251" s="1148">
        <f>GC251-FZ251</f>
        <v>232</v>
      </c>
      <c r="GB251" s="1148">
        <f>FY251+GA251</f>
        <v>452</v>
      </c>
      <c r="GC251" s="1149">
        <v>955</v>
      </c>
      <c r="GD251" s="1148"/>
      <c r="GE251" s="1148"/>
      <c r="GF251" s="1279"/>
      <c r="GG251" s="1148"/>
      <c r="GH251" s="1148"/>
      <c r="GI251" s="1148"/>
      <c r="GJ251" s="1148"/>
      <c r="GK251" s="1149"/>
      <c r="GL251" s="1148"/>
      <c r="GM251" s="1148"/>
      <c r="GN251" s="1279"/>
      <c r="GO251" s="1148"/>
      <c r="GP251" s="1148"/>
      <c r="GQ251" s="1148"/>
      <c r="GR251" s="1148"/>
      <c r="GS251" s="1149"/>
      <c r="GT251" s="1148"/>
      <c r="GU251" s="1148"/>
      <c r="GV251" s="1279"/>
      <c r="GW251" s="1148"/>
      <c r="GX251" s="1148"/>
      <c r="GY251" s="1148"/>
      <c r="GZ251" s="1148"/>
      <c r="HA251" s="1149"/>
      <c r="HB251" s="1148"/>
      <c r="HC251" s="1148"/>
      <c r="HD251" s="1148"/>
      <c r="HE251" s="1148"/>
      <c r="HF251" s="1148"/>
      <c r="HG251" s="1148"/>
      <c r="HH251" s="1148"/>
      <c r="HI251" s="1149"/>
      <c r="HJ251" s="1148"/>
      <c r="HK251" s="1148"/>
      <c r="HL251" s="1148"/>
      <c r="HM251" s="1148"/>
      <c r="HN251" s="1148"/>
      <c r="HO251" s="1148"/>
      <c r="HP251" s="1148"/>
      <c r="HQ251" s="1149"/>
      <c r="HR251" s="1148"/>
      <c r="HS251" s="1148"/>
      <c r="HT251" s="1148"/>
      <c r="HU251" s="1148"/>
      <c r="HV251" s="1148"/>
      <c r="HW251" s="1148"/>
      <c r="HX251" s="1148"/>
      <c r="HY251" s="1148"/>
      <c r="HZ251" s="1148"/>
      <c r="IA251" s="1148"/>
      <c r="IB251" s="1148"/>
      <c r="IC251" s="1148"/>
      <c r="ID251" s="1148"/>
      <c r="IE251" s="1148"/>
      <c r="IF251" s="1148"/>
      <c r="IG251" s="1149"/>
      <c r="IH251" s="1148"/>
      <c r="II251" s="1148"/>
      <c r="IJ251" s="1148"/>
      <c r="IK251" s="1148"/>
      <c r="IL251" s="1148"/>
      <c r="IM251" s="1148"/>
      <c r="IN251" s="1148"/>
      <c r="IO251" s="1149"/>
      <c r="IP251" s="1148"/>
      <c r="IQ251" s="1148"/>
      <c r="IR251" s="1148"/>
      <c r="IS251" s="1148"/>
      <c r="IT251" s="1148"/>
      <c r="IU251" s="1148"/>
      <c r="IV251" s="1148"/>
      <c r="IW251" s="1148"/>
      <c r="IX251" s="1104"/>
      <c r="IY251" s="1049"/>
      <c r="IZ251" s="1049"/>
      <c r="JA251" s="1049"/>
      <c r="JB251" s="1049"/>
      <c r="JC251" s="1049"/>
      <c r="JD251" s="1041"/>
      <c r="JE251" s="1037"/>
      <c r="JF251" s="1037"/>
      <c r="JG251" s="1037"/>
      <c r="JH251" s="1037"/>
      <c r="JI251" s="1035"/>
      <c r="JJ251" s="1035"/>
      <c r="JK251" s="1035"/>
      <c r="JL251" s="1035"/>
      <c r="JM251" s="1035"/>
      <c r="JN251" s="1035"/>
      <c r="JO251" s="1035"/>
      <c r="JP251" s="1035"/>
      <c r="JQ251" s="1094"/>
      <c r="JR251" s="1094"/>
      <c r="JS251" s="1094"/>
      <c r="JT251" s="1094"/>
      <c r="JU251" s="1035"/>
      <c r="JV251" s="1035"/>
      <c r="JW251" s="1035"/>
      <c r="JX251" s="1035"/>
      <c r="JY251" s="1035"/>
      <c r="KP251" s="1117"/>
      <c r="LV251" s="967"/>
    </row>
    <row r="252" hidden="1" spans="1:334">
      <c r="A252" s="967" t="s">
        <v>113</v>
      </c>
      <c r="AX252" s="1059"/>
      <c r="BE252" s="1060"/>
      <c r="BN252" s="1059"/>
      <c r="BU252" s="1060"/>
      <c r="BV252" s="1059"/>
      <c r="CC252" s="1060"/>
      <c r="CD252" s="1059"/>
      <c r="CJ252" s="1061"/>
      <c r="CK252" s="1060"/>
      <c r="CL252" s="1059"/>
      <c r="CS252" s="1060"/>
      <c r="CT252" s="1059"/>
      <c r="CW252" s="1062"/>
      <c r="CX252" s="1062"/>
      <c r="DE252" s="1064"/>
      <c r="DF252" s="1064"/>
      <c r="DM252" s="1064"/>
      <c r="DN252" s="1064"/>
      <c r="DU252" s="1064"/>
      <c r="DV252" s="1064"/>
      <c r="EC252" s="1064"/>
      <c r="ED252" s="1064"/>
      <c r="EH252" s="1181"/>
      <c r="EI252" s="1181"/>
      <c r="EJ252" s="1181"/>
      <c r="EK252" s="1181"/>
      <c r="EL252" s="1181"/>
      <c r="EM252" s="1181"/>
      <c r="EN252" s="1181"/>
      <c r="EO252" s="1182"/>
      <c r="EP252" s="1181"/>
      <c r="EQ252" s="1181"/>
      <c r="ER252" s="1181"/>
      <c r="ES252" s="1181"/>
      <c r="ET252" s="1181"/>
      <c r="EU252" s="1181"/>
      <c r="EV252" s="1181"/>
      <c r="EW252" s="1182"/>
      <c r="EX252" s="1181"/>
      <c r="EY252" s="1181"/>
      <c r="EZ252" s="1181"/>
      <c r="FA252" s="1181"/>
      <c r="FB252" s="1181"/>
      <c r="FC252" s="1181"/>
      <c r="FD252" s="1181"/>
      <c r="FE252" s="1182"/>
      <c r="FF252" s="1181">
        <f t="shared" ref="FF252:FR252" si="1350">FF251/EX251-1</f>
        <v>0.0833333333333333</v>
      </c>
      <c r="FG252" s="1181">
        <f t="shared" si="1350"/>
        <v>-0.0411764705882353</v>
      </c>
      <c r="FH252" s="1181">
        <f t="shared" si="1350"/>
        <v>0.0132450331125828</v>
      </c>
      <c r="FI252" s="1181">
        <f t="shared" si="1350"/>
        <v>0.0649350649350648</v>
      </c>
      <c r="FJ252" s="1181">
        <f t="shared" si="1350"/>
        <v>0.0307017543859649</v>
      </c>
      <c r="FK252" s="1181">
        <f t="shared" si="1350"/>
        <v>0.0761904761904761</v>
      </c>
      <c r="FL252" s="1181">
        <f t="shared" si="1350"/>
        <v>0.0714285714285714</v>
      </c>
      <c r="FM252" s="1182">
        <f t="shared" si="1350"/>
        <v>0.045045045045045</v>
      </c>
      <c r="FN252" s="1181">
        <f t="shared" si="1350"/>
        <v>0.482517482517482</v>
      </c>
      <c r="FO252" s="1181">
        <f t="shared" si="1350"/>
        <v>0.282208588957055</v>
      </c>
      <c r="FP252" s="1181">
        <f t="shared" si="1350"/>
        <v>0.375816993464052</v>
      </c>
      <c r="FQ252" s="1181">
        <f t="shared" si="1350"/>
        <v>0.457317073170732</v>
      </c>
      <c r="FR252" s="1181">
        <f t="shared" si="1350"/>
        <v>0.404255319148936</v>
      </c>
      <c r="FS252" s="1181">
        <f t="shared" ref="FS252:FZ252" si="1351">FS251/FK251-1</f>
        <v>0.0929203539823009</v>
      </c>
      <c r="FT252" s="1181">
        <f t="shared" si="1351"/>
        <v>0.246153846153846</v>
      </c>
      <c r="FU252" s="1181">
        <f t="shared" si="1351"/>
        <v>0.30316091954023</v>
      </c>
      <c r="FV252" s="1220">
        <f t="shared" si="1351"/>
        <v>0.273584905660377</v>
      </c>
      <c r="FW252" s="1181">
        <f t="shared" si="1351"/>
        <v>0.114832535885167</v>
      </c>
      <c r="FX252" s="1181">
        <f t="shared" si="1351"/>
        <v>0.194774346793349</v>
      </c>
      <c r="FY252" s="1181">
        <f t="shared" si="1351"/>
        <v>-0.0794979079497908</v>
      </c>
      <c r="FZ252" s="1181">
        <f t="shared" si="1351"/>
        <v>0.0954545454545455</v>
      </c>
      <c r="GA252" s="1181">
        <f t="shared" ref="GA252" si="1352">GA251/FS251-1</f>
        <v>-0.0607287449392713</v>
      </c>
      <c r="GB252" s="1181">
        <f t="shared" ref="GB252" si="1353">GB251/FT251-1</f>
        <v>-0.0699588477366255</v>
      </c>
      <c r="GC252" s="1182">
        <f t="shared" ref="GC252" si="1354">GC251/FU251-1</f>
        <v>0.0529217199558987</v>
      </c>
      <c r="GD252" s="1181"/>
      <c r="GE252" s="1181"/>
      <c r="GF252" s="1181"/>
      <c r="GG252" s="1181"/>
      <c r="GH252" s="1181"/>
      <c r="GI252" s="1181"/>
      <c r="GJ252" s="1181"/>
      <c r="GK252" s="1182"/>
      <c r="GL252" s="1181"/>
      <c r="GM252" s="1181"/>
      <c r="GN252" s="1181"/>
      <c r="GO252" s="1181"/>
      <c r="GP252" s="1181"/>
      <c r="GQ252" s="1181"/>
      <c r="GR252" s="1181"/>
      <c r="GS252" s="1182"/>
      <c r="GT252" s="1181"/>
      <c r="GU252" s="1181"/>
      <c r="GV252" s="1181"/>
      <c r="GW252" s="1181"/>
      <c r="GX252" s="1181"/>
      <c r="GY252" s="1181"/>
      <c r="GZ252" s="1181"/>
      <c r="HA252" s="1182"/>
      <c r="HB252" s="1181"/>
      <c r="HC252" s="1181"/>
      <c r="HD252" s="1181"/>
      <c r="HE252" s="1181"/>
      <c r="HF252" s="1181"/>
      <c r="HG252" s="1181"/>
      <c r="HH252" s="1181"/>
      <c r="HI252" s="1182"/>
      <c r="HJ252" s="1181"/>
      <c r="HK252" s="1181"/>
      <c r="HL252" s="1181"/>
      <c r="HM252" s="1181"/>
      <c r="HN252" s="1181"/>
      <c r="HO252" s="1181"/>
      <c r="HP252" s="1181"/>
      <c r="HQ252" s="1182"/>
      <c r="HR252" s="1181"/>
      <c r="HS252" s="1181"/>
      <c r="HT252" s="1181"/>
      <c r="HU252" s="1181"/>
      <c r="HV252" s="1181"/>
      <c r="HW252" s="1181"/>
      <c r="HX252" s="1181"/>
      <c r="HY252" s="1181"/>
      <c r="HZ252" s="1181"/>
      <c r="IA252" s="1181"/>
      <c r="IB252" s="1181"/>
      <c r="IC252" s="1181"/>
      <c r="ID252" s="1181"/>
      <c r="IE252" s="1181"/>
      <c r="IF252" s="1181"/>
      <c r="IG252" s="1182"/>
      <c r="IH252" s="1181"/>
      <c r="II252" s="1181"/>
      <c r="IJ252" s="1181"/>
      <c r="IK252" s="1181"/>
      <c r="IL252" s="1181"/>
      <c r="IM252" s="1181"/>
      <c r="IN252" s="1181"/>
      <c r="IO252" s="1182"/>
      <c r="IP252" s="1181"/>
      <c r="IQ252" s="1181"/>
      <c r="IR252" s="1181"/>
      <c r="IS252" s="1181"/>
      <c r="IT252" s="1181"/>
      <c r="IU252" s="1181"/>
      <c r="IV252" s="1181"/>
      <c r="IW252" s="1181"/>
      <c r="IX252" s="1104"/>
      <c r="IY252" s="1049"/>
      <c r="IZ252" s="1049"/>
      <c r="JA252" s="1049"/>
      <c r="JB252" s="1049"/>
      <c r="JC252" s="1049"/>
      <c r="JD252" s="1041"/>
      <c r="JE252" s="1037"/>
      <c r="JF252" s="1037"/>
      <c r="JG252" s="1037"/>
      <c r="JH252" s="1037"/>
      <c r="JI252" s="1035"/>
      <c r="JJ252" s="1035"/>
      <c r="JK252" s="1035"/>
      <c r="JL252" s="1035"/>
      <c r="JM252" s="1035"/>
      <c r="JN252" s="1035"/>
      <c r="JO252" s="1035"/>
      <c r="JP252" s="1035"/>
      <c r="JQ252" s="1035"/>
      <c r="JR252" s="1035"/>
      <c r="JS252" s="1035"/>
      <c r="JT252" s="1035"/>
      <c r="JU252" s="1035"/>
      <c r="JV252" s="1035"/>
      <c r="JW252" s="1035"/>
      <c r="JX252" s="1035"/>
      <c r="JY252" s="1035"/>
      <c r="KP252" s="1117"/>
      <c r="LV252" s="967"/>
    </row>
    <row r="253" hidden="1" spans="1:334">
      <c r="A253" s="967" t="s">
        <v>100</v>
      </c>
      <c r="AX253" s="1059"/>
      <c r="BE253" s="1060"/>
      <c r="BN253" s="1059"/>
      <c r="BU253" s="1060"/>
      <c r="BV253" s="1059"/>
      <c r="CC253" s="1060"/>
      <c r="CD253" s="1059"/>
      <c r="CJ253" s="1061"/>
      <c r="CK253" s="1060"/>
      <c r="CL253" s="1059"/>
      <c r="CS253" s="1060"/>
      <c r="CT253" s="1059"/>
      <c r="CW253" s="1062"/>
      <c r="CX253" s="1062"/>
      <c r="DE253" s="1064"/>
      <c r="DF253" s="1064"/>
      <c r="DM253" s="1064"/>
      <c r="DN253" s="1064"/>
      <c r="DU253" s="1064"/>
      <c r="DV253" s="1064"/>
      <c r="EC253" s="1064"/>
      <c r="ED253" s="1064"/>
      <c r="EH253" s="1181"/>
      <c r="EI253" s="1181"/>
      <c r="EJ253" s="1181"/>
      <c r="EK253" s="1181"/>
      <c r="EL253" s="1181"/>
      <c r="EM253" s="1181"/>
      <c r="EN253" s="1181"/>
      <c r="EO253" s="1182"/>
      <c r="EP253" s="1181"/>
      <c r="EQ253" s="1181"/>
      <c r="ER253" s="1181"/>
      <c r="ES253" s="1181"/>
      <c r="ET253" s="1181"/>
      <c r="EU253" s="1181"/>
      <c r="EV253" s="1181"/>
      <c r="EW253" s="1182"/>
      <c r="EX253" s="1181"/>
      <c r="EY253" s="1181"/>
      <c r="EZ253" s="1181"/>
      <c r="FA253" s="1181"/>
      <c r="FB253" s="1181"/>
      <c r="FC253" s="1181"/>
      <c r="FD253" s="1181"/>
      <c r="FE253" s="1182"/>
      <c r="FF253" s="1181">
        <v>0.03</v>
      </c>
      <c r="FG253" s="1181">
        <f>(EZ251*FH253-EX251*FF253)/EY251</f>
        <v>-0.0765882352941177</v>
      </c>
      <c r="FH253" s="1181">
        <v>-0.03</v>
      </c>
      <c r="FI253" s="1181">
        <f>(FB251*FJ253-EZ251*FH253)/FA251</f>
        <v>0.0292207792207792</v>
      </c>
      <c r="FJ253" s="1181">
        <v>-0.01</v>
      </c>
      <c r="FK253" s="1181">
        <f>(FE251*FM253-FB251*FJ253)/FC251</f>
        <v>0.0217142857142857</v>
      </c>
      <c r="FL253" s="1181">
        <f>(FE251*FM253-EZ251*FH253)/FD251</f>
        <v>0.0248901098901099</v>
      </c>
      <c r="FM253" s="1182">
        <v>0</v>
      </c>
      <c r="FN253" s="1181">
        <v>0.41</v>
      </c>
      <c r="FO253" s="1181">
        <f>(FH251*FP253-FF251*FN253)/FG251</f>
        <v>0.165950920245399</v>
      </c>
      <c r="FP253" s="1181">
        <v>0.28</v>
      </c>
      <c r="FQ253" s="1181">
        <f>(FJ251*FR253-FH251*FP253)/FI251</f>
        <v>0.222682926829268</v>
      </c>
      <c r="FR253" s="1181">
        <v>0.26</v>
      </c>
      <c r="FS253" s="1181">
        <f>(FM251*FU253-FJ251*FR253)/FK251</f>
        <v>-0.0171681415929203</v>
      </c>
      <c r="FT253" s="1181">
        <f>(FM251*FU253-FH251*FP253)/FL251</f>
        <v>0.0836923076923077</v>
      </c>
      <c r="FU253" s="1181">
        <v>0.17</v>
      </c>
      <c r="FV253" s="1220">
        <v>0.21</v>
      </c>
      <c r="FW253" s="1181">
        <v>0.12</v>
      </c>
      <c r="FX253" s="1218">
        <f>(FV253*FN250+FW253*FO250)/FP250</f>
        <v>0.165</v>
      </c>
      <c r="FY253" s="1181">
        <f>(FR251*FZ253-FP251*FX253)/FQ251</f>
        <v>0.0407322175732218</v>
      </c>
      <c r="FZ253" s="1181">
        <v>0.12</v>
      </c>
      <c r="GA253" s="1181">
        <f>(FU251*GC253-FR251*FZ253)/FS251</f>
        <v>0.0465587044534413</v>
      </c>
      <c r="GB253" s="1181">
        <f>(FU251*GC253-FP251*FX253)/FT251</f>
        <v>0.0436934156378601</v>
      </c>
      <c r="GC253" s="1182">
        <v>0.1</v>
      </c>
      <c r="GD253" s="1181"/>
      <c r="GE253" s="1181"/>
      <c r="GF253" s="1218"/>
      <c r="GG253" s="1181"/>
      <c r="GH253" s="1181"/>
      <c r="GI253" s="1181"/>
      <c r="GJ253" s="1181"/>
      <c r="GK253" s="1182"/>
      <c r="GL253" s="1181"/>
      <c r="GM253" s="1181"/>
      <c r="GN253" s="1218"/>
      <c r="GO253" s="1181"/>
      <c r="GP253" s="1181"/>
      <c r="GQ253" s="1181"/>
      <c r="GR253" s="1181"/>
      <c r="GS253" s="1182"/>
      <c r="GT253" s="1181"/>
      <c r="GU253" s="1181"/>
      <c r="GV253" s="1218"/>
      <c r="GW253" s="1181"/>
      <c r="GX253" s="1181"/>
      <c r="GY253" s="1181"/>
      <c r="GZ253" s="1181"/>
      <c r="HA253" s="1182"/>
      <c r="HB253" s="1181"/>
      <c r="HC253" s="1181"/>
      <c r="HD253" s="1181"/>
      <c r="HE253" s="1181"/>
      <c r="HF253" s="1181"/>
      <c r="HG253" s="1181"/>
      <c r="HH253" s="1181"/>
      <c r="HI253" s="1182"/>
      <c r="HJ253" s="1181"/>
      <c r="HK253" s="1181"/>
      <c r="HL253" s="1181"/>
      <c r="HM253" s="1181"/>
      <c r="HN253" s="1181"/>
      <c r="HO253" s="1181"/>
      <c r="HP253" s="1181"/>
      <c r="HQ253" s="1182"/>
      <c r="HR253" s="1181"/>
      <c r="HS253" s="1181"/>
      <c r="HT253" s="1181"/>
      <c r="HU253" s="1181"/>
      <c r="HV253" s="1181"/>
      <c r="HW253" s="1181"/>
      <c r="HX253" s="1181"/>
      <c r="HY253" s="1181"/>
      <c r="HZ253" s="1181"/>
      <c r="IA253" s="1181"/>
      <c r="IB253" s="1181"/>
      <c r="IC253" s="1181"/>
      <c r="ID253" s="1181"/>
      <c r="IE253" s="1181"/>
      <c r="IF253" s="1181"/>
      <c r="IG253" s="1182"/>
      <c r="IH253" s="1181"/>
      <c r="II253" s="1181"/>
      <c r="IJ253" s="1181"/>
      <c r="IK253" s="1181"/>
      <c r="IL253" s="1181"/>
      <c r="IM253" s="1181"/>
      <c r="IN253" s="1181"/>
      <c r="IO253" s="1182"/>
      <c r="IP253" s="1181"/>
      <c r="IQ253" s="1181"/>
      <c r="IR253" s="1181"/>
      <c r="IS253" s="1181"/>
      <c r="IT253" s="1181"/>
      <c r="IU253" s="1181"/>
      <c r="IV253" s="1181"/>
      <c r="IW253" s="1181"/>
      <c r="IX253" s="1104"/>
      <c r="IY253" s="1049"/>
      <c r="IZ253" s="1049"/>
      <c r="JA253" s="1049"/>
      <c r="JB253" s="1049"/>
      <c r="JC253" s="1049"/>
      <c r="JD253" s="1041"/>
      <c r="JE253" s="1037"/>
      <c r="JF253" s="1037"/>
      <c r="JG253" s="1037"/>
      <c r="JH253" s="1037"/>
      <c r="JI253" s="1035"/>
      <c r="JJ253" s="1035"/>
      <c r="JK253" s="1035"/>
      <c r="JL253" s="1035"/>
      <c r="JM253" s="1035"/>
      <c r="JN253" s="1035"/>
      <c r="JO253" s="1035"/>
      <c r="JP253" s="1035"/>
      <c r="JQ253" s="1035"/>
      <c r="JR253" s="1035"/>
      <c r="JS253" s="1035"/>
      <c r="JT253" s="1035"/>
      <c r="JU253" s="1035"/>
      <c r="JV253" s="1035"/>
      <c r="JW253" s="1035"/>
      <c r="JX253" s="1035"/>
      <c r="JY253" s="1035"/>
      <c r="KP253" s="1117"/>
      <c r="LV253" s="967"/>
    </row>
    <row r="254" hidden="1" spans="1:334">
      <c r="A254" s="967" t="s">
        <v>82</v>
      </c>
      <c r="AX254" s="1059"/>
      <c r="BE254" s="1060"/>
      <c r="BN254" s="1059"/>
      <c r="BU254" s="1060"/>
      <c r="BV254" s="1059"/>
      <c r="CC254" s="1060"/>
      <c r="CD254" s="1059"/>
      <c r="CJ254" s="1061"/>
      <c r="CK254" s="1060"/>
      <c r="CL254" s="1059"/>
      <c r="CS254" s="1060"/>
      <c r="CT254" s="1059"/>
      <c r="CW254" s="1062"/>
      <c r="CX254" s="1062"/>
      <c r="DE254" s="1064"/>
      <c r="DF254" s="1064"/>
      <c r="DM254" s="1064"/>
      <c r="DN254" s="1064"/>
      <c r="DU254" s="1064"/>
      <c r="DV254" s="1064"/>
      <c r="EC254" s="1064"/>
      <c r="ED254" s="1064"/>
      <c r="EH254" s="1181"/>
      <c r="EI254" s="1181"/>
      <c r="EJ254" s="1181"/>
      <c r="EK254" s="1181"/>
      <c r="EL254" s="1181"/>
      <c r="EM254" s="1181"/>
      <c r="EN254" s="1181"/>
      <c r="EO254" s="1182"/>
      <c r="EP254" s="1181"/>
      <c r="EQ254" s="1181"/>
      <c r="ER254" s="1181"/>
      <c r="ES254" s="1181"/>
      <c r="ET254" s="1181"/>
      <c r="EU254" s="1181"/>
      <c r="EV254" s="1181"/>
      <c r="EW254" s="1182"/>
      <c r="EX254" s="1148">
        <v>6</v>
      </c>
      <c r="EY254" s="1148">
        <v>11</v>
      </c>
      <c r="EZ254" s="1148">
        <f>EX254+EY254</f>
        <v>17</v>
      </c>
      <c r="FA254" s="1148">
        <v>19</v>
      </c>
      <c r="FB254" s="1148">
        <f>EX254+EY254+FA254</f>
        <v>36</v>
      </c>
      <c r="FC254" s="1148">
        <v>41</v>
      </c>
      <c r="FD254" s="1148">
        <f>FA254+FC254</f>
        <v>60</v>
      </c>
      <c r="FE254" s="1149">
        <f>EX254+EY254+FA254+FC254</f>
        <v>77</v>
      </c>
      <c r="FF254" s="1148">
        <v>12</v>
      </c>
      <c r="FG254" s="1148">
        <f>FH254-FF254</f>
        <v>15</v>
      </c>
      <c r="FH254" s="1148">
        <v>27</v>
      </c>
      <c r="FI254" s="1148">
        <f>FJ254-FH254</f>
        <v>22</v>
      </c>
      <c r="FJ254" s="1148">
        <v>49</v>
      </c>
      <c r="FK254" s="1148">
        <f>FM254-FJ254</f>
        <v>31</v>
      </c>
      <c r="FL254" s="1148">
        <f>FI254+FK254</f>
        <v>53</v>
      </c>
      <c r="FM254" s="1149">
        <v>80</v>
      </c>
      <c r="FN254" s="1148">
        <v>24</v>
      </c>
      <c r="FO254" s="1148">
        <f>FP254-FN254</f>
        <v>27</v>
      </c>
      <c r="FP254" s="1148">
        <v>51</v>
      </c>
      <c r="FQ254" s="1148">
        <f>FR254-FP254</f>
        <v>26</v>
      </c>
      <c r="FR254" s="1148">
        <v>77</v>
      </c>
      <c r="FS254" s="1148">
        <f>FU254-FR254</f>
        <v>23</v>
      </c>
      <c r="FT254" s="1148">
        <f>FQ254+FS254</f>
        <v>49</v>
      </c>
      <c r="FU254" s="1148">
        <v>100</v>
      </c>
      <c r="FV254" s="1278">
        <v>30</v>
      </c>
      <c r="FW254" s="1148">
        <v>28</v>
      </c>
      <c r="FX254" s="1279">
        <f>FV254+FW254</f>
        <v>58</v>
      </c>
      <c r="FY254" s="1148">
        <f>FZ254-FX254</f>
        <v>23</v>
      </c>
      <c r="FZ254" s="1148">
        <v>81</v>
      </c>
      <c r="GA254" s="1148">
        <f>GC254-FZ254</f>
        <v>20</v>
      </c>
      <c r="GB254" s="1148">
        <f>FY254+GA254</f>
        <v>43</v>
      </c>
      <c r="GC254" s="1149">
        <v>101</v>
      </c>
      <c r="GD254" s="1148"/>
      <c r="GE254" s="1148"/>
      <c r="GF254" s="1279"/>
      <c r="GG254" s="1148"/>
      <c r="GH254" s="1148"/>
      <c r="GI254" s="1148"/>
      <c r="GJ254" s="1148"/>
      <c r="GK254" s="1149"/>
      <c r="GL254" s="1148"/>
      <c r="GM254" s="1148"/>
      <c r="GN254" s="1279"/>
      <c r="GO254" s="1148"/>
      <c r="GP254" s="1148"/>
      <c r="GQ254" s="1148"/>
      <c r="GR254" s="1148"/>
      <c r="GS254" s="1149"/>
      <c r="GT254" s="1148"/>
      <c r="GU254" s="1148"/>
      <c r="GV254" s="1279"/>
      <c r="GW254" s="1148"/>
      <c r="GX254" s="1148"/>
      <c r="GY254" s="1148"/>
      <c r="GZ254" s="1148"/>
      <c r="HA254" s="1149"/>
      <c r="HB254" s="1148"/>
      <c r="HC254" s="1148"/>
      <c r="HD254" s="1148"/>
      <c r="HE254" s="1148"/>
      <c r="HF254" s="1148"/>
      <c r="HG254" s="1148"/>
      <c r="HH254" s="1148"/>
      <c r="HI254" s="1149"/>
      <c r="HJ254" s="1148"/>
      <c r="HK254" s="1148"/>
      <c r="HL254" s="1148"/>
      <c r="HM254" s="1148"/>
      <c r="HN254" s="1148"/>
      <c r="HO254" s="1148"/>
      <c r="HP254" s="1148"/>
      <c r="HQ254" s="1149"/>
      <c r="HR254" s="1148"/>
      <c r="HS254" s="1148"/>
      <c r="HT254" s="1148"/>
      <c r="HU254" s="1148"/>
      <c r="HV254" s="1148"/>
      <c r="HW254" s="1148"/>
      <c r="HX254" s="1148"/>
      <c r="HY254" s="1148"/>
      <c r="HZ254" s="1148"/>
      <c r="IA254" s="1148"/>
      <c r="IB254" s="1148"/>
      <c r="IC254" s="1148"/>
      <c r="ID254" s="1148"/>
      <c r="IE254" s="1148"/>
      <c r="IF254" s="1148"/>
      <c r="IG254" s="1149"/>
      <c r="IH254" s="1148"/>
      <c r="II254" s="1148"/>
      <c r="IJ254" s="1148"/>
      <c r="IK254" s="1148"/>
      <c r="IL254" s="1148"/>
      <c r="IM254" s="1148"/>
      <c r="IN254" s="1148"/>
      <c r="IO254" s="1149"/>
      <c r="IP254" s="1148"/>
      <c r="IQ254" s="1148"/>
      <c r="IR254" s="1148"/>
      <c r="IS254" s="1148"/>
      <c r="IT254" s="1148"/>
      <c r="IU254" s="1148"/>
      <c r="IV254" s="1148"/>
      <c r="IW254" s="1148"/>
      <c r="IX254" s="1104"/>
      <c r="IY254" s="1049"/>
      <c r="IZ254" s="1049"/>
      <c r="JA254" s="1049"/>
      <c r="JB254" s="1049"/>
      <c r="JC254" s="1049"/>
      <c r="JD254" s="1041"/>
      <c r="JE254" s="1037"/>
      <c r="JF254" s="1037"/>
      <c r="JG254" s="1037"/>
      <c r="JH254" s="1037"/>
      <c r="JI254" s="1035"/>
      <c r="JJ254" s="1035"/>
      <c r="JK254" s="1035"/>
      <c r="JL254" s="1035"/>
      <c r="JM254" s="1035"/>
      <c r="JN254" s="1035"/>
      <c r="JO254" s="1035"/>
      <c r="JP254" s="1035"/>
      <c r="JQ254" s="1035"/>
      <c r="JR254" s="1035"/>
      <c r="JS254" s="1035"/>
      <c r="JT254" s="1035"/>
      <c r="JU254" s="1035"/>
      <c r="JV254" s="1035"/>
      <c r="JW254" s="1035"/>
      <c r="JX254" s="1035"/>
      <c r="JY254" s="1035"/>
      <c r="KP254" s="1117"/>
      <c r="LV254" s="967"/>
    </row>
    <row r="255" hidden="1" spans="1:334">
      <c r="A255" s="967" t="s">
        <v>113</v>
      </c>
      <c r="AX255" s="1059"/>
      <c r="BE255" s="1060"/>
      <c r="BN255" s="1059"/>
      <c r="BU255" s="1060"/>
      <c r="BV255" s="1059"/>
      <c r="CC255" s="1060"/>
      <c r="CD255" s="1059"/>
      <c r="CJ255" s="1061"/>
      <c r="CK255" s="1060"/>
      <c r="CL255" s="1059"/>
      <c r="CS255" s="1060"/>
      <c r="CT255" s="1059"/>
      <c r="CW255" s="1062"/>
      <c r="CX255" s="1062"/>
      <c r="DE255" s="1064"/>
      <c r="DF255" s="1064"/>
      <c r="DM255" s="1064"/>
      <c r="DN255" s="1064"/>
      <c r="DU255" s="1064"/>
      <c r="DV255" s="1064"/>
      <c r="EC255" s="1064"/>
      <c r="ED255" s="1064"/>
      <c r="EH255" s="1181"/>
      <c r="EI255" s="1181"/>
      <c r="EJ255" s="1181"/>
      <c r="EK255" s="1181"/>
      <c r="EL255" s="1181"/>
      <c r="EM255" s="1181"/>
      <c r="EN255" s="1181"/>
      <c r="EO255" s="1182"/>
      <c r="EP255" s="1181"/>
      <c r="EQ255" s="1181"/>
      <c r="ER255" s="1181"/>
      <c r="ES255" s="1181"/>
      <c r="ET255" s="1181"/>
      <c r="EU255" s="1181"/>
      <c r="EV255" s="1181"/>
      <c r="EW255" s="1182"/>
      <c r="EX255" s="1181"/>
      <c r="EY255" s="1181"/>
      <c r="EZ255" s="1181"/>
      <c r="FA255" s="1181"/>
      <c r="FB255" s="1181"/>
      <c r="FC255" s="1181"/>
      <c r="FD255" s="1181"/>
      <c r="FE255" s="1182"/>
      <c r="FF255" s="1181">
        <f t="shared" ref="FF255:FR255" si="1355">FF254/EX254-1</f>
        <v>1</v>
      </c>
      <c r="FG255" s="1181">
        <f t="shared" si="1355"/>
        <v>0.363636363636364</v>
      </c>
      <c r="FH255" s="1181">
        <f t="shared" si="1355"/>
        <v>0.588235294117647</v>
      </c>
      <c r="FI255" s="1181">
        <f t="shared" si="1355"/>
        <v>0.157894736842105</v>
      </c>
      <c r="FJ255" s="1181">
        <f t="shared" si="1355"/>
        <v>0.361111111111111</v>
      </c>
      <c r="FK255" s="1181">
        <f t="shared" si="1355"/>
        <v>-0.24390243902439</v>
      </c>
      <c r="FL255" s="1181">
        <f t="shared" si="1355"/>
        <v>-0.116666666666667</v>
      </c>
      <c r="FM255" s="1182">
        <f t="shared" si="1355"/>
        <v>0.0389610389610389</v>
      </c>
      <c r="FN255" s="1181">
        <f t="shared" si="1355"/>
        <v>1</v>
      </c>
      <c r="FO255" s="1181">
        <f t="shared" si="1355"/>
        <v>0.8</v>
      </c>
      <c r="FP255" s="1181">
        <f t="shared" si="1355"/>
        <v>0.888888888888889</v>
      </c>
      <c r="FQ255" s="1181">
        <f t="shared" si="1355"/>
        <v>0.181818181818182</v>
      </c>
      <c r="FR255" s="1181">
        <f t="shared" si="1355"/>
        <v>0.571428571428571</v>
      </c>
      <c r="FS255" s="1181">
        <f t="shared" ref="FS255:FZ255" si="1356">FS254/FK254-1</f>
        <v>-0.258064516129032</v>
      </c>
      <c r="FT255" s="1181">
        <f t="shared" si="1356"/>
        <v>-0.0754716981132075</v>
      </c>
      <c r="FU255" s="1181">
        <f t="shared" si="1356"/>
        <v>0.25</v>
      </c>
      <c r="FV255" s="1220">
        <f t="shared" si="1356"/>
        <v>0.25</v>
      </c>
      <c r="FW255" s="1181">
        <f t="shared" si="1356"/>
        <v>0.037037037037037</v>
      </c>
      <c r="FX255" s="1181">
        <f t="shared" si="1356"/>
        <v>0.137254901960784</v>
      </c>
      <c r="FY255" s="1181">
        <f t="shared" si="1356"/>
        <v>-0.115384615384615</v>
      </c>
      <c r="FZ255" s="1181">
        <f t="shared" si="1356"/>
        <v>0.051948051948052</v>
      </c>
      <c r="GA255" s="1181">
        <f t="shared" ref="GA255" si="1357">GA254/FS254-1</f>
        <v>-0.130434782608696</v>
      </c>
      <c r="GB255" s="1181">
        <f t="shared" ref="GB255" si="1358">GB254/FT254-1</f>
        <v>-0.122448979591837</v>
      </c>
      <c r="GC255" s="1182">
        <f t="shared" ref="GC255" si="1359">GC254/FU254-1</f>
        <v>0.01</v>
      </c>
      <c r="GD255" s="1181"/>
      <c r="GE255" s="1181"/>
      <c r="GF255" s="1181"/>
      <c r="GG255" s="1181"/>
      <c r="GH255" s="1181"/>
      <c r="GI255" s="1181"/>
      <c r="GJ255" s="1181"/>
      <c r="GK255" s="1182"/>
      <c r="GL255" s="1181"/>
      <c r="GM255" s="1181"/>
      <c r="GN255" s="1181"/>
      <c r="GO255" s="1181"/>
      <c r="GP255" s="1181"/>
      <c r="GQ255" s="1181"/>
      <c r="GR255" s="1181"/>
      <c r="GS255" s="1182"/>
      <c r="GT255" s="1181"/>
      <c r="GU255" s="1181"/>
      <c r="GV255" s="1181"/>
      <c r="GW255" s="1181"/>
      <c r="GX255" s="1181"/>
      <c r="GY255" s="1181"/>
      <c r="GZ255" s="1181"/>
      <c r="HA255" s="1182"/>
      <c r="HB255" s="1181"/>
      <c r="HC255" s="1181"/>
      <c r="HD255" s="1181"/>
      <c r="HE255" s="1181"/>
      <c r="HF255" s="1181"/>
      <c r="HG255" s="1181"/>
      <c r="HH255" s="1181"/>
      <c r="HI255" s="1182"/>
      <c r="HJ255" s="1181"/>
      <c r="HK255" s="1181"/>
      <c r="HL255" s="1181"/>
      <c r="HM255" s="1181"/>
      <c r="HN255" s="1181"/>
      <c r="HO255" s="1181"/>
      <c r="HP255" s="1181"/>
      <c r="HQ255" s="1182"/>
      <c r="HR255" s="1181"/>
      <c r="HS255" s="1181"/>
      <c r="HT255" s="1181"/>
      <c r="HU255" s="1181"/>
      <c r="HV255" s="1181"/>
      <c r="HW255" s="1181"/>
      <c r="HX255" s="1181"/>
      <c r="HY255" s="1181"/>
      <c r="HZ255" s="1181"/>
      <c r="IA255" s="1181"/>
      <c r="IB255" s="1181"/>
      <c r="IC255" s="1181"/>
      <c r="ID255" s="1181"/>
      <c r="IE255" s="1181"/>
      <c r="IF255" s="1181"/>
      <c r="IG255" s="1182"/>
      <c r="IH255" s="1181"/>
      <c r="II255" s="1181"/>
      <c r="IJ255" s="1181"/>
      <c r="IK255" s="1181"/>
      <c r="IL255" s="1181"/>
      <c r="IM255" s="1181"/>
      <c r="IN255" s="1181"/>
      <c r="IO255" s="1182"/>
      <c r="IP255" s="1181"/>
      <c r="IQ255" s="1181"/>
      <c r="IR255" s="1181"/>
      <c r="IS255" s="1181"/>
      <c r="IT255" s="1181"/>
      <c r="IU255" s="1181"/>
      <c r="IV255" s="1181"/>
      <c r="IW255" s="1181"/>
      <c r="IX255" s="1104"/>
      <c r="IY255" s="1049"/>
      <c r="IZ255" s="1049"/>
      <c r="JA255" s="1049"/>
      <c r="JB255" s="1049"/>
      <c r="JC255" s="1037"/>
      <c r="JD255" s="1041"/>
      <c r="JE255" s="1037"/>
      <c r="JF255" s="1037"/>
      <c r="JG255" s="1037"/>
      <c r="JH255" s="1037"/>
      <c r="JI255" s="1035"/>
      <c r="JJ255" s="1035"/>
      <c r="JK255" s="1094"/>
      <c r="JL255" s="1094"/>
      <c r="JM255" s="1094"/>
      <c r="JN255" s="1094"/>
      <c r="JO255" s="1094"/>
      <c r="JP255" s="1094"/>
      <c r="JQ255" s="1094"/>
      <c r="JR255" s="1094"/>
      <c r="JS255" s="1094"/>
      <c r="JT255" s="1094"/>
      <c r="JU255" s="1035"/>
      <c r="JV255" s="1035"/>
      <c r="JW255" s="1035"/>
      <c r="JX255" s="1035"/>
      <c r="JY255" s="1035"/>
      <c r="KP255" s="1117"/>
      <c r="LV255" s="967"/>
    </row>
    <row r="256" hidden="1" spans="1:334">
      <c r="A256" s="967" t="s">
        <v>100</v>
      </c>
      <c r="AX256" s="1059"/>
      <c r="BE256" s="1060"/>
      <c r="BN256" s="1059"/>
      <c r="BU256" s="1060"/>
      <c r="BV256" s="1059"/>
      <c r="CC256" s="1060"/>
      <c r="CD256" s="1059"/>
      <c r="CJ256" s="1061"/>
      <c r="CK256" s="1060"/>
      <c r="CL256" s="1059"/>
      <c r="CS256" s="1060"/>
      <c r="CT256" s="1059"/>
      <c r="CW256" s="1062"/>
      <c r="CX256" s="1062"/>
      <c r="DE256" s="1064"/>
      <c r="DF256" s="1064"/>
      <c r="DM256" s="1064"/>
      <c r="DN256" s="1064"/>
      <c r="DU256" s="1064"/>
      <c r="DV256" s="1064"/>
      <c r="EC256" s="1064"/>
      <c r="ED256" s="1064"/>
      <c r="EH256" s="1181"/>
      <c r="EI256" s="1181"/>
      <c r="EJ256" s="1181"/>
      <c r="EK256" s="1181"/>
      <c r="EL256" s="1181"/>
      <c r="EM256" s="1181"/>
      <c r="EN256" s="1181"/>
      <c r="EO256" s="1182"/>
      <c r="EP256" s="1181"/>
      <c r="EQ256" s="1181"/>
      <c r="ER256" s="1181"/>
      <c r="ES256" s="1181"/>
      <c r="ET256" s="1181"/>
      <c r="EU256" s="1181"/>
      <c r="EV256" s="1181"/>
      <c r="EW256" s="1182"/>
      <c r="EX256" s="1181"/>
      <c r="EY256" s="1181"/>
      <c r="EZ256" s="1181"/>
      <c r="FA256" s="1181"/>
      <c r="FB256" s="1181"/>
      <c r="FC256" s="1181"/>
      <c r="FD256" s="1181"/>
      <c r="FE256" s="1182"/>
      <c r="FF256" s="1181">
        <v>0.8</v>
      </c>
      <c r="FG256" s="1181">
        <f>(EZ254*FH256-EX254*FF256)/EY254</f>
        <v>0.274545454545454</v>
      </c>
      <c r="FH256" s="1181">
        <v>0.46</v>
      </c>
      <c r="FI256" s="1181">
        <f>(FB254*FJ256-EZ254*FH256)/FA254</f>
        <v>0.137894736842105</v>
      </c>
      <c r="FJ256" s="1181">
        <v>0.29</v>
      </c>
      <c r="FK256" s="1181">
        <f>(FE254*FM256-FB254*FJ256)/FC254</f>
        <v>-0.273414634146341</v>
      </c>
      <c r="FL256" s="1181">
        <f>(FE254*FM256-EZ254*FH256)/FD254</f>
        <v>-0.143166666666667</v>
      </c>
      <c r="FM256" s="1182">
        <v>-0.01</v>
      </c>
      <c r="FN256" s="1181">
        <v>0.86</v>
      </c>
      <c r="FO256" s="1181">
        <f>(FH254*FP256-FF254*FN256)/FG254</f>
        <v>0.662</v>
      </c>
      <c r="FP256" s="1181">
        <v>0.75</v>
      </c>
      <c r="FQ256" s="1181">
        <f>(FJ254*FR256-FH254*FP256)/FI254</f>
        <v>-0.00727272727272728</v>
      </c>
      <c r="FR256" s="1181">
        <v>0.41</v>
      </c>
      <c r="FS256" s="1181">
        <f>(FM254*FU256-FJ254*FR256)/FK254</f>
        <v>-0.338387096774194</v>
      </c>
      <c r="FT256" s="1181">
        <f>(FM254*FU256-FH254*FP256)/FL254</f>
        <v>-0.200943396226415</v>
      </c>
      <c r="FU256" s="1181">
        <v>0.12</v>
      </c>
      <c r="FV256" s="1220">
        <v>0.21</v>
      </c>
      <c r="FW256" s="1181">
        <v>0.04</v>
      </c>
      <c r="FX256" s="1218">
        <f>(FV256*FN250+FW256*FO250)/FP250</f>
        <v>0.125</v>
      </c>
      <c r="FY256" s="1181">
        <f>(FR254*FZ256-FP254*FX256)/FQ254</f>
        <v>0.0213461538461539</v>
      </c>
      <c r="FZ256" s="1181">
        <v>0.09</v>
      </c>
      <c r="GA256" s="1181">
        <f>(FU254*GC256-FR254*FZ256)/FS254</f>
        <v>-0.0404347826086956</v>
      </c>
      <c r="GB256" s="1181">
        <f>(FU254*GC256-FP254*FX256)/FT254</f>
        <v>-0.00765306122448978</v>
      </c>
      <c r="GC256" s="1182">
        <v>0.06</v>
      </c>
      <c r="GD256" s="1181"/>
      <c r="GE256" s="1181"/>
      <c r="GF256" s="1218"/>
      <c r="GG256" s="1181"/>
      <c r="GH256" s="1181"/>
      <c r="GI256" s="1181"/>
      <c r="GJ256" s="1181"/>
      <c r="GK256" s="1182"/>
      <c r="GL256" s="1181"/>
      <c r="GM256" s="1181"/>
      <c r="GN256" s="1218"/>
      <c r="GO256" s="1181"/>
      <c r="GP256" s="1181"/>
      <c r="GQ256" s="1181"/>
      <c r="GR256" s="1181"/>
      <c r="GS256" s="1182"/>
      <c r="GT256" s="1181"/>
      <c r="GU256" s="1181"/>
      <c r="GV256" s="1218"/>
      <c r="GW256" s="1181"/>
      <c r="GX256" s="1181"/>
      <c r="GY256" s="1181"/>
      <c r="GZ256" s="1181"/>
      <c r="HA256" s="1182"/>
      <c r="HB256" s="1181"/>
      <c r="HC256" s="1181"/>
      <c r="HD256" s="1181"/>
      <c r="HE256" s="1181"/>
      <c r="HF256" s="1181"/>
      <c r="HG256" s="1181"/>
      <c r="HH256" s="1181"/>
      <c r="HI256" s="1182"/>
      <c r="HJ256" s="1181"/>
      <c r="HK256" s="1181"/>
      <c r="HL256" s="1181"/>
      <c r="HM256" s="1181"/>
      <c r="HN256" s="1181"/>
      <c r="HO256" s="1181"/>
      <c r="HP256" s="1181"/>
      <c r="HQ256" s="1182"/>
      <c r="HR256" s="1181"/>
      <c r="HS256" s="1181"/>
      <c r="HT256" s="1181"/>
      <c r="HU256" s="1181"/>
      <c r="HV256" s="1181"/>
      <c r="HW256" s="1181"/>
      <c r="HX256" s="1181"/>
      <c r="HY256" s="1181"/>
      <c r="HZ256" s="1181"/>
      <c r="IA256" s="1181"/>
      <c r="IB256" s="1181"/>
      <c r="IC256" s="1181"/>
      <c r="ID256" s="1181"/>
      <c r="IE256" s="1181"/>
      <c r="IF256" s="1181"/>
      <c r="IG256" s="1182"/>
      <c r="IH256" s="1181"/>
      <c r="II256" s="1181"/>
      <c r="IJ256" s="1181"/>
      <c r="IK256" s="1181"/>
      <c r="IL256" s="1181"/>
      <c r="IM256" s="1181"/>
      <c r="IN256" s="1181"/>
      <c r="IO256" s="1182"/>
      <c r="IP256" s="1181"/>
      <c r="IQ256" s="1181"/>
      <c r="IR256" s="1181"/>
      <c r="IS256" s="1181"/>
      <c r="IT256" s="1181"/>
      <c r="IU256" s="1181"/>
      <c r="IV256" s="1181"/>
      <c r="IW256" s="1181"/>
      <c r="IX256" s="1104"/>
      <c r="IY256" s="1049"/>
      <c r="IZ256" s="1118"/>
      <c r="JA256" s="1118"/>
      <c r="JB256" s="1118"/>
      <c r="JC256" s="1049"/>
      <c r="JD256" s="1041"/>
      <c r="JE256" s="1037"/>
      <c r="JF256" s="1037"/>
      <c r="JG256" s="1037"/>
      <c r="JH256" s="1037"/>
      <c r="JI256" s="1035"/>
      <c r="JJ256" s="1035"/>
      <c r="JK256" s="1035"/>
      <c r="JL256" s="1035"/>
      <c r="JM256" s="1035"/>
      <c r="JN256" s="1035"/>
      <c r="JO256" s="1035"/>
      <c r="JP256" s="1035"/>
      <c r="JQ256" s="1094"/>
      <c r="JR256" s="1094"/>
      <c r="JS256" s="1094"/>
      <c r="JT256" s="1094"/>
      <c r="JU256" s="1035"/>
      <c r="JV256" s="1035"/>
      <c r="JW256" s="1035"/>
      <c r="JX256" s="1035"/>
      <c r="JY256" s="1035"/>
      <c r="KP256" s="1117"/>
      <c r="LV256" s="967"/>
    </row>
    <row r="257" hidden="1" spans="1:334">
      <c r="A257" s="1103" t="s">
        <v>115</v>
      </c>
      <c r="AX257" s="1059"/>
      <c r="BE257" s="1060"/>
      <c r="BN257" s="1059"/>
      <c r="BU257" s="1060"/>
      <c r="BV257" s="1059"/>
      <c r="CC257" s="1060"/>
      <c r="CD257" s="1059"/>
      <c r="CJ257" s="1061"/>
      <c r="CK257" s="1060"/>
      <c r="CL257" s="1059"/>
      <c r="CS257" s="1060"/>
      <c r="CT257" s="1059"/>
      <c r="CW257" s="1062"/>
      <c r="CX257" s="1062"/>
      <c r="DE257" s="1064"/>
      <c r="DF257" s="1064"/>
      <c r="DM257" s="1064"/>
      <c r="DN257" s="1064"/>
      <c r="DU257" s="1064"/>
      <c r="DV257" s="1064"/>
      <c r="EC257" s="1064"/>
      <c r="ED257" s="1064"/>
      <c r="EH257" s="1181"/>
      <c r="EI257" s="1181"/>
      <c r="EJ257" s="1181"/>
      <c r="EK257" s="1181"/>
      <c r="EL257" s="1181"/>
      <c r="EM257" s="1181"/>
      <c r="EN257" s="1181"/>
      <c r="EO257" s="1182"/>
      <c r="EP257" s="1181"/>
      <c r="EQ257" s="1181"/>
      <c r="ER257" s="1181"/>
      <c r="ES257" s="1181"/>
      <c r="ET257" s="1181"/>
      <c r="EU257" s="1181"/>
      <c r="EV257" s="1181"/>
      <c r="EW257" s="1182"/>
      <c r="EX257" s="1071">
        <f>EX194</f>
        <v>245</v>
      </c>
      <c r="EY257" s="1071">
        <f>EY194</f>
        <v>294</v>
      </c>
      <c r="EZ257" s="1071">
        <f>EX257+EY257</f>
        <v>539</v>
      </c>
      <c r="FA257" s="1071">
        <f>FA194</f>
        <v>296</v>
      </c>
      <c r="FB257" s="1071">
        <f>EX257+EY257+FA257</f>
        <v>835</v>
      </c>
      <c r="FC257" s="1071">
        <f>FC194</f>
        <v>263</v>
      </c>
      <c r="FD257" s="1071">
        <f>FA257+FC257</f>
        <v>559</v>
      </c>
      <c r="FE257" s="1072">
        <f>EX257+EY257+FA257+FC257</f>
        <v>1098</v>
      </c>
      <c r="FF257" s="1071">
        <f>FF194</f>
        <v>162</v>
      </c>
      <c r="FG257" s="1071">
        <f>FG194</f>
        <v>204</v>
      </c>
      <c r="FH257" s="1071">
        <f>FF257+FG257</f>
        <v>366</v>
      </c>
      <c r="FI257" s="1071">
        <f>FI194</f>
        <v>195</v>
      </c>
      <c r="FJ257" s="1071">
        <f>FF257+FG257+FI257</f>
        <v>561</v>
      </c>
      <c r="FK257" s="1071">
        <f>FK194</f>
        <v>178</v>
      </c>
      <c r="FL257" s="1071">
        <f>FI257+FK257</f>
        <v>373</v>
      </c>
      <c r="FM257" s="1072">
        <f>FM194</f>
        <v>739</v>
      </c>
      <c r="FN257" s="1071">
        <f>FN194</f>
        <v>138</v>
      </c>
      <c r="FO257" s="1071">
        <f>FO194</f>
        <v>172</v>
      </c>
      <c r="FP257" s="1071">
        <f>FN257+FO257</f>
        <v>310</v>
      </c>
      <c r="FQ257" s="1071">
        <f>FQ194</f>
        <v>195</v>
      </c>
      <c r="FR257" s="1071">
        <f>FN257+FO257+FQ257</f>
        <v>505</v>
      </c>
      <c r="FS257" s="1071">
        <f>FS194</f>
        <v>174</v>
      </c>
      <c r="FT257" s="1071">
        <f>FQ257+FS257</f>
        <v>369</v>
      </c>
      <c r="FU257" s="1071">
        <f>FU194</f>
        <v>679</v>
      </c>
      <c r="FV257" s="1075">
        <f>FV194</f>
        <v>160</v>
      </c>
      <c r="FW257" s="1071">
        <f>FW194</f>
        <v>181</v>
      </c>
      <c r="FX257" s="1076">
        <f>FV257+FW257</f>
        <v>341</v>
      </c>
      <c r="FY257" s="1071">
        <f>FY194</f>
        <v>173</v>
      </c>
      <c r="FZ257" s="1071">
        <f>FV257+FW257+FY257</f>
        <v>514</v>
      </c>
      <c r="GA257" s="1071">
        <f>GA194</f>
        <v>146</v>
      </c>
      <c r="GB257" s="1071">
        <f>FY257+GA257</f>
        <v>319</v>
      </c>
      <c r="GC257" s="1072">
        <f>GC194</f>
        <v>660</v>
      </c>
      <c r="GD257" s="1075">
        <f>GD194</f>
        <v>119</v>
      </c>
      <c r="GE257" s="1071">
        <f>GE194</f>
        <v>177</v>
      </c>
      <c r="GF257" s="1076">
        <f>GD257+GE257</f>
        <v>296</v>
      </c>
      <c r="GG257" s="1071">
        <f>GG194</f>
        <v>166</v>
      </c>
      <c r="GH257" s="1071">
        <f>GD257+GE257+GG257</f>
        <v>462</v>
      </c>
      <c r="GI257" s="1071">
        <f>GI194</f>
        <v>132</v>
      </c>
      <c r="GJ257" s="1071">
        <f>GG257+GI257</f>
        <v>298</v>
      </c>
      <c r="GK257" s="1072">
        <f>GK194</f>
        <v>594</v>
      </c>
      <c r="GL257" s="1076">
        <f>GL194</f>
        <v>136</v>
      </c>
      <c r="GM257" s="1071">
        <f>GM194</f>
        <v>171</v>
      </c>
      <c r="GN257" s="1076">
        <f>GL257+GM257</f>
        <v>307</v>
      </c>
      <c r="GO257" s="1071">
        <f>GO194</f>
        <v>199</v>
      </c>
      <c r="GP257" s="1071">
        <f>GL257+GM257+GO257</f>
        <v>506</v>
      </c>
      <c r="GQ257" s="1071">
        <f>GQ194</f>
        <v>153</v>
      </c>
      <c r="GR257" s="1071">
        <f>GO257+GQ257</f>
        <v>352</v>
      </c>
      <c r="GS257" s="1072">
        <f>GS194</f>
        <v>659</v>
      </c>
      <c r="GT257" s="1076">
        <f>GT194</f>
        <v>154</v>
      </c>
      <c r="GU257" s="1071">
        <f>GU194</f>
        <v>104</v>
      </c>
      <c r="GV257" s="1076">
        <f>GT257+GU257</f>
        <v>258</v>
      </c>
      <c r="GW257" s="1071">
        <f>GW194</f>
        <v>187.06</v>
      </c>
      <c r="GX257" s="1071">
        <f>GT257+GU257+GW257</f>
        <v>445.06</v>
      </c>
      <c r="GY257" s="1071">
        <f>GY194</f>
        <v>138.94</v>
      </c>
      <c r="GZ257" s="1071">
        <f>GW257+GY257</f>
        <v>326</v>
      </c>
      <c r="HA257" s="1072">
        <f>HA194</f>
        <v>584</v>
      </c>
      <c r="HB257" s="1071"/>
      <c r="HC257" s="1071"/>
      <c r="HD257" s="1071"/>
      <c r="HE257" s="1071"/>
      <c r="HF257" s="1071"/>
      <c r="HG257" s="1071"/>
      <c r="HH257" s="1071"/>
      <c r="HI257" s="1072"/>
      <c r="HJ257" s="1071"/>
      <c r="HK257" s="1071"/>
      <c r="HL257" s="1071"/>
      <c r="HM257" s="1071"/>
      <c r="HN257" s="1071"/>
      <c r="HO257" s="1071"/>
      <c r="HP257" s="1071"/>
      <c r="HQ257" s="1072"/>
      <c r="HR257" s="1071"/>
      <c r="HS257" s="1071"/>
      <c r="HT257" s="1071"/>
      <c r="HU257" s="1071"/>
      <c r="HV257" s="1071"/>
      <c r="HW257" s="1071"/>
      <c r="HX257" s="1071"/>
      <c r="HY257" s="1071"/>
      <c r="HZ257" s="1071"/>
      <c r="IA257" s="1071"/>
      <c r="IB257" s="1071"/>
      <c r="IC257" s="1071"/>
      <c r="ID257" s="1071"/>
      <c r="IE257" s="1071"/>
      <c r="IF257" s="1071"/>
      <c r="IG257" s="1072"/>
      <c r="IH257" s="1071"/>
      <c r="II257" s="1071"/>
      <c r="IJ257" s="1071"/>
      <c r="IK257" s="1071"/>
      <c r="IL257" s="1071"/>
      <c r="IM257" s="1071"/>
      <c r="IN257" s="1071"/>
      <c r="IO257" s="1072"/>
      <c r="IP257" s="1071"/>
      <c r="IQ257" s="1071"/>
      <c r="IR257" s="1071"/>
      <c r="IS257" s="1071"/>
      <c r="IT257" s="1071"/>
      <c r="IU257" s="1071"/>
      <c r="IV257" s="1071"/>
      <c r="IW257" s="1071"/>
      <c r="IX257" s="1104"/>
      <c r="IY257" s="1049"/>
      <c r="IZ257" s="1049"/>
      <c r="JA257" s="1049"/>
      <c r="JB257" s="1049"/>
      <c r="JC257" s="1049"/>
      <c r="JD257" s="1041"/>
      <c r="JE257" s="1037"/>
      <c r="JF257" s="1037"/>
      <c r="JG257" s="1037"/>
      <c r="JH257" s="1037"/>
      <c r="JI257" s="1035"/>
      <c r="JJ257" s="1035"/>
      <c r="JK257" s="1035"/>
      <c r="JL257" s="1035"/>
      <c r="JM257" s="1035"/>
      <c r="JN257" s="1035"/>
      <c r="JO257" s="1035"/>
      <c r="JP257" s="1035"/>
      <c r="JQ257" s="1035"/>
      <c r="JR257" s="1035"/>
      <c r="JS257" s="1035"/>
      <c r="JT257" s="1035"/>
      <c r="JU257" s="1035"/>
      <c r="JV257" s="1035"/>
      <c r="JW257" s="1035"/>
      <c r="JX257" s="1035"/>
      <c r="JY257" s="1035"/>
      <c r="KP257" s="1117"/>
      <c r="LV257" s="967"/>
    </row>
    <row r="258" hidden="1" spans="1:334">
      <c r="A258" s="967" t="s">
        <v>80</v>
      </c>
      <c r="AX258" s="1059"/>
      <c r="BE258" s="1060"/>
      <c r="BN258" s="1059"/>
      <c r="BU258" s="1060"/>
      <c r="BV258" s="1059"/>
      <c r="CC258" s="1060"/>
      <c r="CD258" s="1059"/>
      <c r="CJ258" s="1061"/>
      <c r="CK258" s="1060"/>
      <c r="CL258" s="1059"/>
      <c r="CS258" s="1060"/>
      <c r="CT258" s="1059"/>
      <c r="CW258" s="1062"/>
      <c r="CX258" s="1062"/>
      <c r="DE258" s="1064"/>
      <c r="DF258" s="1064"/>
      <c r="DM258" s="1064"/>
      <c r="DN258" s="1064"/>
      <c r="DU258" s="1064"/>
      <c r="DV258" s="1064"/>
      <c r="EC258" s="1064"/>
      <c r="ED258" s="1064"/>
      <c r="EH258" s="1181"/>
      <c r="EI258" s="1181"/>
      <c r="EJ258" s="1181"/>
      <c r="EK258" s="1181"/>
      <c r="EL258" s="1181"/>
      <c r="EM258" s="1181"/>
      <c r="EN258" s="1181"/>
      <c r="EO258" s="1182"/>
      <c r="EP258" s="1181"/>
      <c r="EQ258" s="1181"/>
      <c r="ER258" s="1181"/>
      <c r="ES258" s="1181"/>
      <c r="ET258" s="1181"/>
      <c r="EU258" s="1181"/>
      <c r="EV258" s="1181"/>
      <c r="EW258" s="1182"/>
      <c r="EX258" s="1148">
        <v>194</v>
      </c>
      <c r="EY258" s="1148">
        <v>235</v>
      </c>
      <c r="EZ258" s="1148">
        <f>EX258+EY258</f>
        <v>429</v>
      </c>
      <c r="FA258" s="1148">
        <v>234</v>
      </c>
      <c r="FB258" s="1148">
        <f>EX258+EY258+FA258</f>
        <v>663</v>
      </c>
      <c r="FC258" s="1148">
        <v>209</v>
      </c>
      <c r="FD258" s="1148">
        <f>FA258+FC258</f>
        <v>443</v>
      </c>
      <c r="FE258" s="1149">
        <f>EX258+EY258+FA258+FC258</f>
        <v>872</v>
      </c>
      <c r="FF258" s="1148">
        <v>125</v>
      </c>
      <c r="FG258" s="1148">
        <f>FH258-FF258</f>
        <v>159</v>
      </c>
      <c r="FH258" s="1148">
        <v>284</v>
      </c>
      <c r="FI258" s="1148">
        <f>FJ258-FH258</f>
        <v>153</v>
      </c>
      <c r="FJ258" s="1148">
        <v>437</v>
      </c>
      <c r="FK258" s="1148">
        <f>FM258-FJ258</f>
        <v>133</v>
      </c>
      <c r="FL258" s="1148">
        <f>FI258+FK258</f>
        <v>286</v>
      </c>
      <c r="FM258" s="1149">
        <v>570</v>
      </c>
      <c r="FN258" s="1148">
        <v>106</v>
      </c>
      <c r="FO258" s="1148">
        <f>FP258-FN258</f>
        <v>132</v>
      </c>
      <c r="FP258" s="1148">
        <v>238</v>
      </c>
      <c r="FQ258" s="1148">
        <f>FR258-FP258</f>
        <v>148</v>
      </c>
      <c r="FR258" s="1148">
        <v>386</v>
      </c>
      <c r="FS258" s="1148">
        <f>FU258-FR258</f>
        <v>128</v>
      </c>
      <c r="FT258" s="1148">
        <f>FQ258+FS258</f>
        <v>276</v>
      </c>
      <c r="FU258" s="1148">
        <v>514</v>
      </c>
      <c r="FV258" s="1278">
        <v>116</v>
      </c>
      <c r="FW258" s="1148">
        <v>135</v>
      </c>
      <c r="FX258" s="1279">
        <f>FV258+FW258</f>
        <v>251</v>
      </c>
      <c r="FY258" s="1148">
        <f>FZ258-FX258</f>
        <v>125</v>
      </c>
      <c r="FZ258" s="1148">
        <v>376</v>
      </c>
      <c r="GA258" s="1148">
        <f>GC258-FZ258</f>
        <v>102</v>
      </c>
      <c r="GB258" s="1148">
        <f>FY258+GA258</f>
        <v>227</v>
      </c>
      <c r="GC258" s="1149">
        <v>478</v>
      </c>
      <c r="GD258" s="1278">
        <v>85</v>
      </c>
      <c r="GE258" s="1148">
        <v>138</v>
      </c>
      <c r="GF258" s="1279">
        <f>GD258+GE258</f>
        <v>223</v>
      </c>
      <c r="GG258" s="1148">
        <v>127</v>
      </c>
      <c r="GH258" s="1148">
        <f>GG258+GF258</f>
        <v>350</v>
      </c>
      <c r="GI258" s="1148">
        <f>GK258-GH258</f>
        <v>96</v>
      </c>
      <c r="GJ258" s="1148">
        <f>GG258+GI258</f>
        <v>223</v>
      </c>
      <c r="GK258" s="1149">
        <v>446</v>
      </c>
      <c r="GL258" s="1279">
        <v>101</v>
      </c>
      <c r="GM258" s="1148">
        <v>128</v>
      </c>
      <c r="GN258" s="1279">
        <f>GL258+GM258</f>
        <v>229</v>
      </c>
      <c r="GO258" s="1148">
        <v>150</v>
      </c>
      <c r="GP258" s="1148">
        <f>GO258+GN258</f>
        <v>379</v>
      </c>
      <c r="GQ258" s="1148">
        <f>GS258-GP258</f>
        <v>111</v>
      </c>
      <c r="GR258" s="1148">
        <f>GO258+GQ258</f>
        <v>261</v>
      </c>
      <c r="GS258" s="1149">
        <v>490</v>
      </c>
      <c r="GT258" s="1279">
        <v>116</v>
      </c>
      <c r="GU258" s="1148">
        <v>82</v>
      </c>
      <c r="GV258" s="1279">
        <f>GT258+GU258</f>
        <v>198</v>
      </c>
      <c r="GW258" s="1148">
        <v>144</v>
      </c>
      <c r="GX258" s="1148">
        <f>GW258+GV258</f>
        <v>342</v>
      </c>
      <c r="GY258" s="1148">
        <f>HA258-GX258</f>
        <v>106</v>
      </c>
      <c r="GZ258" s="1148">
        <f>GW258+GY258</f>
        <v>250</v>
      </c>
      <c r="HA258" s="1149">
        <v>448</v>
      </c>
      <c r="HB258" s="1148"/>
      <c r="HC258" s="1148"/>
      <c r="HD258" s="1148"/>
      <c r="HE258" s="1148"/>
      <c r="HF258" s="1148"/>
      <c r="HG258" s="1148"/>
      <c r="HH258" s="1148"/>
      <c r="HI258" s="1149"/>
      <c r="HJ258" s="1148"/>
      <c r="HK258" s="1148"/>
      <c r="HL258" s="1148"/>
      <c r="HM258" s="1148"/>
      <c r="HN258" s="1148"/>
      <c r="HO258" s="1148"/>
      <c r="HP258" s="1148"/>
      <c r="HQ258" s="1149"/>
      <c r="HR258" s="1148"/>
      <c r="HS258" s="1148"/>
      <c r="HT258" s="1148"/>
      <c r="HU258" s="1148"/>
      <c r="HV258" s="1148"/>
      <c r="HW258" s="1148"/>
      <c r="HX258" s="1148"/>
      <c r="HY258" s="1148"/>
      <c r="HZ258" s="1148"/>
      <c r="IA258" s="1148"/>
      <c r="IB258" s="1148"/>
      <c r="IC258" s="1148"/>
      <c r="ID258" s="1148"/>
      <c r="IE258" s="1148"/>
      <c r="IF258" s="1148"/>
      <c r="IG258" s="1149"/>
      <c r="IH258" s="1148"/>
      <c r="II258" s="1148"/>
      <c r="IJ258" s="1148"/>
      <c r="IK258" s="1148"/>
      <c r="IL258" s="1148"/>
      <c r="IM258" s="1148"/>
      <c r="IN258" s="1148"/>
      <c r="IO258" s="1149"/>
      <c r="IP258" s="1148"/>
      <c r="IQ258" s="1148"/>
      <c r="IR258" s="1148"/>
      <c r="IS258" s="1148"/>
      <c r="IT258" s="1148"/>
      <c r="IU258" s="1148"/>
      <c r="IV258" s="1148"/>
      <c r="IW258" s="1148"/>
      <c r="IX258" s="1104"/>
      <c r="IY258" s="1049"/>
      <c r="IZ258" s="1049"/>
      <c r="JA258" s="1049"/>
      <c r="JB258" s="1049"/>
      <c r="JC258" s="1049"/>
      <c r="JD258" s="1041"/>
      <c r="JE258" s="1037"/>
      <c r="JF258" s="1037"/>
      <c r="JG258" s="1037"/>
      <c r="JH258" s="1037"/>
      <c r="JI258" s="1035"/>
      <c r="JJ258" s="1035"/>
      <c r="JK258" s="1035"/>
      <c r="JL258" s="1035"/>
      <c r="JM258" s="1035"/>
      <c r="JN258" s="1035"/>
      <c r="JO258" s="1035"/>
      <c r="JP258" s="1035"/>
      <c r="JQ258" s="1035"/>
      <c r="JR258" s="1035"/>
      <c r="JS258" s="1035"/>
      <c r="JT258" s="1035"/>
      <c r="JU258" s="1035"/>
      <c r="JV258" s="1035"/>
      <c r="JW258" s="1035"/>
      <c r="JX258" s="1035"/>
      <c r="JY258" s="1035"/>
      <c r="KP258" s="1117"/>
      <c r="LV258" s="967"/>
    </row>
    <row r="259" hidden="1" spans="1:334">
      <c r="A259" s="967" t="s">
        <v>113</v>
      </c>
      <c r="AX259" s="1059"/>
      <c r="BE259" s="1060"/>
      <c r="BN259" s="1059"/>
      <c r="BU259" s="1060"/>
      <c r="BV259" s="1059"/>
      <c r="CC259" s="1060"/>
      <c r="CD259" s="1059"/>
      <c r="CJ259" s="1061"/>
      <c r="CK259" s="1060"/>
      <c r="CL259" s="1059"/>
      <c r="CS259" s="1060"/>
      <c r="CT259" s="1059"/>
      <c r="CW259" s="1062"/>
      <c r="CX259" s="1062"/>
      <c r="DE259" s="1064"/>
      <c r="DF259" s="1064"/>
      <c r="DM259" s="1064"/>
      <c r="DN259" s="1064"/>
      <c r="DU259" s="1064"/>
      <c r="DV259" s="1064"/>
      <c r="EC259" s="1064"/>
      <c r="ED259" s="1064"/>
      <c r="EH259" s="1181"/>
      <c r="EI259" s="1181"/>
      <c r="EJ259" s="1181"/>
      <c r="EK259" s="1181"/>
      <c r="EL259" s="1181"/>
      <c r="EM259" s="1181"/>
      <c r="EN259" s="1181"/>
      <c r="EO259" s="1182"/>
      <c r="EP259" s="1181"/>
      <c r="EQ259" s="1181"/>
      <c r="ER259" s="1181"/>
      <c r="ES259" s="1181"/>
      <c r="ET259" s="1181"/>
      <c r="EU259" s="1181"/>
      <c r="EV259" s="1181"/>
      <c r="EW259" s="1182"/>
      <c r="EX259" s="1181"/>
      <c r="EY259" s="1181"/>
      <c r="EZ259" s="1181"/>
      <c r="FA259" s="1181"/>
      <c r="FB259" s="1181"/>
      <c r="FC259" s="1181"/>
      <c r="FD259" s="1181"/>
      <c r="FE259" s="1182"/>
      <c r="FF259" s="1181">
        <f t="shared" ref="FF259:FM259" si="1360">FF258/EX258-1</f>
        <v>-0.355670103092783</v>
      </c>
      <c r="FG259" s="1181">
        <f t="shared" si="1360"/>
        <v>-0.323404255319149</v>
      </c>
      <c r="FH259" s="1181">
        <f t="shared" si="1360"/>
        <v>-0.337995337995338</v>
      </c>
      <c r="FI259" s="1181">
        <f t="shared" si="1360"/>
        <v>-0.346153846153846</v>
      </c>
      <c r="FJ259" s="1181">
        <f t="shared" si="1360"/>
        <v>-0.340874811463047</v>
      </c>
      <c r="FK259" s="1181">
        <f t="shared" si="1360"/>
        <v>-0.363636363636364</v>
      </c>
      <c r="FL259" s="1181">
        <f t="shared" si="1360"/>
        <v>-0.354401805869074</v>
      </c>
      <c r="FM259" s="1182">
        <f t="shared" si="1360"/>
        <v>-0.346330275229358</v>
      </c>
      <c r="FN259" s="1181">
        <f t="shared" ref="FN259:FX259" si="1361">FN258/FF258-1</f>
        <v>-0.152</v>
      </c>
      <c r="FO259" s="1181">
        <f t="shared" si="1361"/>
        <v>-0.169811320754717</v>
      </c>
      <c r="FP259" s="1181">
        <f t="shared" si="1361"/>
        <v>-0.161971830985915</v>
      </c>
      <c r="FQ259" s="1181">
        <f t="shared" si="1361"/>
        <v>-0.0326797385620915</v>
      </c>
      <c r="FR259" s="1181">
        <f t="shared" si="1361"/>
        <v>-0.116704805491991</v>
      </c>
      <c r="FS259" s="1181">
        <f t="shared" si="1361"/>
        <v>-0.0375939849624061</v>
      </c>
      <c r="FT259" s="1181">
        <f t="shared" si="1361"/>
        <v>-0.034965034965035</v>
      </c>
      <c r="FU259" s="1181">
        <f t="shared" si="1361"/>
        <v>-0.0982456140350877</v>
      </c>
      <c r="FV259" s="1220">
        <f t="shared" si="1361"/>
        <v>0.0943396226415094</v>
      </c>
      <c r="FW259" s="1181">
        <f t="shared" si="1361"/>
        <v>0.0227272727272727</v>
      </c>
      <c r="FX259" s="1181">
        <f t="shared" si="1361"/>
        <v>0.0546218487394958</v>
      </c>
      <c r="FY259" s="1181">
        <f t="shared" ref="FY259" si="1362">FY258/FQ258-1</f>
        <v>-0.155405405405405</v>
      </c>
      <c r="FZ259" s="1181">
        <f t="shared" ref="FZ259" si="1363">FZ258/FR258-1</f>
        <v>-0.0259067357512953</v>
      </c>
      <c r="GA259" s="1181">
        <f t="shared" ref="GA259" si="1364">GA258/FS258-1</f>
        <v>-0.203125</v>
      </c>
      <c r="GB259" s="1181">
        <f t="shared" ref="GB259" si="1365">GB258/FT258-1</f>
        <v>-0.177536231884058</v>
      </c>
      <c r="GC259" s="1182">
        <f t="shared" ref="GC259" si="1366">GC258/FU258-1</f>
        <v>-0.0700389105058365</v>
      </c>
      <c r="GD259" s="1220">
        <v>-0.26</v>
      </c>
      <c r="GE259" s="1181">
        <f>((GF259*FX258)-(GD259*FV258))/FW258</f>
        <v>0.0188888888888889</v>
      </c>
      <c r="GF259" s="1181">
        <v>-0.11</v>
      </c>
      <c r="GG259" s="1181">
        <v>0.01</v>
      </c>
      <c r="GH259" s="1181">
        <f>GH258/FZ258-1</f>
        <v>-0.0691489361702128</v>
      </c>
      <c r="GI259" s="1181">
        <f t="shared" ref="GI259" si="1367">GI258/GA258-1</f>
        <v>-0.0588235294117647</v>
      </c>
      <c r="GJ259" s="1181">
        <f t="shared" ref="GJ259" si="1368">GJ258/GB258-1</f>
        <v>-0.0176211453744494</v>
      </c>
      <c r="GK259" s="1182">
        <f t="shared" ref="GK259:GL259" si="1369">GK258/GC258-1</f>
        <v>-0.0669456066945606</v>
      </c>
      <c r="GL259" s="1181">
        <f t="shared" si="1369"/>
        <v>0.188235294117647</v>
      </c>
      <c r="GM259" s="1181">
        <f t="shared" ref="GM259:GP259" si="1370">GM258/GE258-1</f>
        <v>-0.072463768115942</v>
      </c>
      <c r="GN259" s="1181">
        <f t="shared" ref="GN259" si="1371">GN258/GF258-1</f>
        <v>0.0269058295964126</v>
      </c>
      <c r="GO259" s="1181">
        <f t="shared" si="1370"/>
        <v>0.181102362204724</v>
      </c>
      <c r="GP259" s="1181">
        <f t="shared" si="1370"/>
        <v>0.082857142857143</v>
      </c>
      <c r="GQ259" s="1181">
        <f t="shared" ref="GQ259" si="1372">GQ258/GI258-1</f>
        <v>0.15625</v>
      </c>
      <c r="GR259" s="1181">
        <f t="shared" ref="GR259" si="1373">GR258/GJ258-1</f>
        <v>0.170403587443946</v>
      </c>
      <c r="GS259" s="1182">
        <f t="shared" ref="GS259:GT259" si="1374">GS258/GK258-1</f>
        <v>0.0986547085201794</v>
      </c>
      <c r="GT259" s="1181">
        <f t="shared" si="1374"/>
        <v>0.148514851485148</v>
      </c>
      <c r="GU259" s="1181">
        <f t="shared" ref="GU259" si="1375">GU258/GM258-1</f>
        <v>-0.359375</v>
      </c>
      <c r="GV259" s="1181">
        <f t="shared" ref="GV259:GX259" si="1376">GV258/GN258-1</f>
        <v>-0.135371179039301</v>
      </c>
      <c r="GW259" s="1181">
        <f t="shared" si="1376"/>
        <v>-0.04</v>
      </c>
      <c r="GX259" s="1181">
        <f t="shared" si="1376"/>
        <v>-0.0976253298153035</v>
      </c>
      <c r="GY259" s="1181">
        <f t="shared" ref="GY259" si="1377">GY258/GQ258-1</f>
        <v>-0.045045045045045</v>
      </c>
      <c r="GZ259" s="1181">
        <f t="shared" ref="GZ259" si="1378">GZ258/GR258-1</f>
        <v>-0.0421455938697318</v>
      </c>
      <c r="HA259" s="1182">
        <f t="shared" ref="HA259" si="1379">HA258/GS258-1</f>
        <v>-0.0857142857142857</v>
      </c>
      <c r="HB259" s="1181"/>
      <c r="HC259" s="1181"/>
      <c r="HD259" s="1181"/>
      <c r="HE259" s="1181"/>
      <c r="HF259" s="1181"/>
      <c r="HG259" s="1181"/>
      <c r="HH259" s="1181"/>
      <c r="HI259" s="1182"/>
      <c r="HJ259" s="1181"/>
      <c r="HK259" s="1181"/>
      <c r="HL259" s="1181"/>
      <c r="HM259" s="1181"/>
      <c r="HN259" s="1181"/>
      <c r="HO259" s="1181"/>
      <c r="HP259" s="1181"/>
      <c r="HQ259" s="1182"/>
      <c r="HR259" s="1181"/>
      <c r="HS259" s="1181"/>
      <c r="HT259" s="1181"/>
      <c r="HU259" s="1181"/>
      <c r="HV259" s="1181"/>
      <c r="HW259" s="1181"/>
      <c r="HX259" s="1181"/>
      <c r="HY259" s="1181"/>
      <c r="HZ259" s="1181"/>
      <c r="IA259" s="1181"/>
      <c r="IB259" s="1181"/>
      <c r="IC259" s="1181"/>
      <c r="ID259" s="1181"/>
      <c r="IE259" s="1181"/>
      <c r="IF259" s="1181"/>
      <c r="IG259" s="1182"/>
      <c r="IH259" s="1181"/>
      <c r="II259" s="1181"/>
      <c r="IJ259" s="1181"/>
      <c r="IK259" s="1181"/>
      <c r="IL259" s="1181"/>
      <c r="IM259" s="1181"/>
      <c r="IN259" s="1181"/>
      <c r="IO259" s="1182"/>
      <c r="IP259" s="1181"/>
      <c r="IQ259" s="1181"/>
      <c r="IR259" s="1181"/>
      <c r="IS259" s="1181"/>
      <c r="IT259" s="1181"/>
      <c r="IU259" s="1181"/>
      <c r="IV259" s="1181"/>
      <c r="IW259" s="1181"/>
      <c r="IX259" s="1104"/>
      <c r="IY259" s="1049"/>
      <c r="IZ259" s="1049"/>
      <c r="JA259" s="1049"/>
      <c r="JB259" s="1049"/>
      <c r="JC259" s="1049"/>
      <c r="JD259" s="1041"/>
      <c r="JE259" s="1037"/>
      <c r="JF259" s="1037"/>
      <c r="JG259" s="1037"/>
      <c r="JH259" s="1037"/>
      <c r="JI259" s="1035"/>
      <c r="JJ259" s="1035"/>
      <c r="JK259" s="1035"/>
      <c r="JL259" s="1035"/>
      <c r="JM259" s="1035"/>
      <c r="JN259" s="1035"/>
      <c r="JO259" s="1035"/>
      <c r="JP259" s="1035"/>
      <c r="JQ259" s="1035"/>
      <c r="JR259" s="1035"/>
      <c r="JS259" s="1035"/>
      <c r="JT259" s="1035"/>
      <c r="JU259" s="1035"/>
      <c r="JV259" s="1035"/>
      <c r="JW259" s="1035"/>
      <c r="JX259" s="1035"/>
      <c r="JY259" s="1035"/>
      <c r="KP259" s="1117"/>
      <c r="LV259" s="967"/>
    </row>
    <row r="260" hidden="1" spans="1:334">
      <c r="A260" s="967" t="s">
        <v>100</v>
      </c>
      <c r="AX260" s="1059"/>
      <c r="BE260" s="1060"/>
      <c r="BN260" s="1059"/>
      <c r="BU260" s="1060"/>
      <c r="BV260" s="1059"/>
      <c r="CC260" s="1060"/>
      <c r="CD260" s="1059"/>
      <c r="CJ260" s="1061"/>
      <c r="CK260" s="1060"/>
      <c r="CL260" s="1059"/>
      <c r="CS260" s="1060"/>
      <c r="CT260" s="1059"/>
      <c r="CW260" s="1062"/>
      <c r="CX260" s="1062"/>
      <c r="DE260" s="1064"/>
      <c r="DF260" s="1064"/>
      <c r="DM260" s="1064"/>
      <c r="DN260" s="1064"/>
      <c r="DU260" s="1064"/>
      <c r="DV260" s="1064"/>
      <c r="EC260" s="1064"/>
      <c r="ED260" s="1064"/>
      <c r="EH260" s="1181"/>
      <c r="EI260" s="1181"/>
      <c r="EJ260" s="1181"/>
      <c r="EK260" s="1181"/>
      <c r="EL260" s="1181"/>
      <c r="EM260" s="1181"/>
      <c r="EN260" s="1181"/>
      <c r="EO260" s="1182"/>
      <c r="EP260" s="1181"/>
      <c r="EQ260" s="1181"/>
      <c r="ER260" s="1181"/>
      <c r="ES260" s="1181"/>
      <c r="ET260" s="1181"/>
      <c r="EU260" s="1181"/>
      <c r="EV260" s="1181"/>
      <c r="EW260" s="1182"/>
      <c r="EX260" s="1181"/>
      <c r="EY260" s="1181"/>
      <c r="EZ260" s="1181"/>
      <c r="FA260" s="1181"/>
      <c r="FB260" s="1181"/>
      <c r="FC260" s="1181"/>
      <c r="FD260" s="1181"/>
      <c r="FE260" s="1182"/>
      <c r="FF260" s="1181">
        <v>-0.06</v>
      </c>
      <c r="FG260" s="1181">
        <f>(EZ258*FH260-EX258*FF260)/EY258</f>
        <v>-0.169531914893617</v>
      </c>
      <c r="FH260" s="1181">
        <v>-0.12</v>
      </c>
      <c r="FI260" s="1181">
        <f>(FB258*FJ260-EZ258*FH260)/FA258</f>
        <v>-0.0633333333333333</v>
      </c>
      <c r="FJ260" s="1181">
        <v>-0.1</v>
      </c>
      <c r="FK260" s="1181">
        <f>(FE258*FM260-FB258*FJ260)/FC258</f>
        <v>-0.225167464114833</v>
      </c>
      <c r="FL260" s="1181">
        <f>(FE258*FM260-EZ258*FH260)/FD258</f>
        <v>-0.139683972911964</v>
      </c>
      <c r="FM260" s="1182">
        <v>-0.13</v>
      </c>
      <c r="FN260" s="1181">
        <v>0.01</v>
      </c>
      <c r="FO260" s="1181">
        <f>(FH258*FP260-FF258*FN260)/FG258</f>
        <v>0.0635849056603774</v>
      </c>
      <c r="FP260" s="1181">
        <v>0.04</v>
      </c>
      <c r="FQ260" s="1181">
        <f>(FJ258*FR260-FH258*FP260)/FI258</f>
        <v>0.04</v>
      </c>
      <c r="FR260" s="1181">
        <v>0.04</v>
      </c>
      <c r="FS260" s="1181">
        <f>(FM258*FU260-FJ258*FR260)/FK258</f>
        <v>-0.0885714285714286</v>
      </c>
      <c r="FT260" s="1181">
        <f>(FM258*FU260-FH258*FP260)/FL258</f>
        <v>-0.0197902097902098</v>
      </c>
      <c r="FU260" s="1181">
        <v>0.01</v>
      </c>
      <c r="FV260" s="1220">
        <v>-0.15</v>
      </c>
      <c r="FW260" s="1181">
        <v>-0.13</v>
      </c>
      <c r="FX260" s="1218">
        <f>(FV260*FN257+FW260*FO257)/FP257</f>
        <v>-0.138903225806452</v>
      </c>
      <c r="FY260" s="1181">
        <f>(FR258*FZ260-FP258*FX260)/FQ258</f>
        <v>-0.193925893635571</v>
      </c>
      <c r="FZ260" s="1181">
        <v>-0.16</v>
      </c>
      <c r="GA260" s="1181">
        <f>(FU258*GC260-FR258*FZ260)/FS258</f>
        <v>-0.16</v>
      </c>
      <c r="GB260" s="1181">
        <f>(FU258*GC260-FP258*FX260)/FT258</f>
        <v>-0.178192145862553</v>
      </c>
      <c r="GC260" s="1182">
        <v>-0.16</v>
      </c>
      <c r="GD260" s="1220">
        <v>-0.17</v>
      </c>
      <c r="GE260" s="1181">
        <v>0.183259259259259</v>
      </c>
      <c r="GF260" s="1218">
        <f>(GD260*FV258+GE260*FW258)/FX258</f>
        <v>0.02</v>
      </c>
      <c r="GG260" s="1181">
        <v>0.13</v>
      </c>
      <c r="GH260" s="1181"/>
      <c r="GI260" s="1181">
        <v>0.01</v>
      </c>
      <c r="GJ260" s="1181">
        <f>(GC258*GK260-FX258*GF260)/GB258</f>
        <v>0.0831718061674009</v>
      </c>
      <c r="GK260" s="1182">
        <v>0.05</v>
      </c>
      <c r="GL260" s="1218">
        <v>0.25</v>
      </c>
      <c r="GM260" s="1181">
        <v>-0.07</v>
      </c>
      <c r="GN260" s="1218">
        <f>(GL260*GD258+GM260*GE258)/GF258</f>
        <v>0.0519730941704036</v>
      </c>
      <c r="GO260" s="1181">
        <v>0.12</v>
      </c>
      <c r="GP260" s="1181"/>
      <c r="GQ260" s="1181">
        <v>0.07</v>
      </c>
      <c r="GR260" s="1181">
        <f>(GK258*GS260-GF258*GN260)/GJ258</f>
        <v>0.0880269058295964</v>
      </c>
      <c r="GS260" s="1182">
        <v>0.07</v>
      </c>
      <c r="GT260" s="1218">
        <v>0.11</v>
      </c>
      <c r="GU260" s="1181">
        <v>-0.31</v>
      </c>
      <c r="GV260" s="1218">
        <f>(GT260*GL258+GU260*GM258)/GN258</f>
        <v>-0.124759825327511</v>
      </c>
      <c r="GW260" s="1181">
        <v>0.13</v>
      </c>
      <c r="GX260" s="1181"/>
      <c r="GY260" s="1181">
        <v>0.26</v>
      </c>
      <c r="GZ260" s="1181">
        <f>(GS258*HA260-GN258*GV260)/GR258</f>
        <v>0.165785440613027</v>
      </c>
      <c r="HA260" s="1182">
        <v>0.03</v>
      </c>
      <c r="HB260" s="1181"/>
      <c r="HC260" s="1181"/>
      <c r="HD260" s="1181"/>
      <c r="HE260" s="1181"/>
      <c r="HF260" s="1181"/>
      <c r="HG260" s="1181"/>
      <c r="HH260" s="1181"/>
      <c r="HI260" s="1182"/>
      <c r="HJ260" s="1181"/>
      <c r="HK260" s="1181"/>
      <c r="HL260" s="1181"/>
      <c r="HM260" s="1181"/>
      <c r="HN260" s="1181"/>
      <c r="HO260" s="1181"/>
      <c r="HP260" s="1181"/>
      <c r="HQ260" s="1182"/>
      <c r="HR260" s="1181"/>
      <c r="HS260" s="1181"/>
      <c r="HT260" s="1181"/>
      <c r="HU260" s="1181"/>
      <c r="HV260" s="1181"/>
      <c r="HW260" s="1181"/>
      <c r="HX260" s="1181"/>
      <c r="HY260" s="1181"/>
      <c r="HZ260" s="1181"/>
      <c r="IA260" s="1181"/>
      <c r="IB260" s="1181"/>
      <c r="IC260" s="1181"/>
      <c r="ID260" s="1181"/>
      <c r="IE260" s="1181"/>
      <c r="IF260" s="1181"/>
      <c r="IG260" s="1182"/>
      <c r="IH260" s="1181"/>
      <c r="II260" s="1181"/>
      <c r="IJ260" s="1181"/>
      <c r="IK260" s="1181"/>
      <c r="IL260" s="1181"/>
      <c r="IM260" s="1181"/>
      <c r="IN260" s="1181"/>
      <c r="IO260" s="1182"/>
      <c r="IP260" s="1181"/>
      <c r="IQ260" s="1181"/>
      <c r="IR260" s="1181"/>
      <c r="IS260" s="1181"/>
      <c r="IT260" s="1181"/>
      <c r="IU260" s="1181"/>
      <c r="IV260" s="1181"/>
      <c r="IW260" s="1181"/>
      <c r="IX260" s="1104"/>
      <c r="IY260" s="1049"/>
      <c r="IZ260" s="1049"/>
      <c r="JA260" s="1049"/>
      <c r="JB260" s="1049"/>
      <c r="JC260" s="1049"/>
      <c r="JD260" s="1041"/>
      <c r="JE260" s="1037"/>
      <c r="JF260" s="1037"/>
      <c r="JG260" s="1037"/>
      <c r="JH260" s="1037"/>
      <c r="JI260" s="1035"/>
      <c r="JJ260" s="1035"/>
      <c r="JK260" s="1094"/>
      <c r="JL260" s="1094"/>
      <c r="JM260" s="1094"/>
      <c r="JN260" s="1094"/>
      <c r="JO260" s="1094"/>
      <c r="JP260" s="1094"/>
      <c r="JQ260" s="1094"/>
      <c r="JR260" s="1094"/>
      <c r="JS260" s="1094"/>
      <c r="JT260" s="1094"/>
      <c r="JU260" s="1035"/>
      <c r="JV260" s="1035"/>
      <c r="JW260" s="1035"/>
      <c r="JX260" s="1035"/>
      <c r="JY260" s="1035"/>
      <c r="KP260" s="1117"/>
      <c r="LV260" s="967"/>
    </row>
    <row r="261" hidden="1" spans="1:334">
      <c r="A261" s="967" t="s">
        <v>82</v>
      </c>
      <c r="AX261" s="1059"/>
      <c r="BE261" s="1060"/>
      <c r="BN261" s="1059"/>
      <c r="BU261" s="1060"/>
      <c r="BV261" s="1059"/>
      <c r="CC261" s="1060"/>
      <c r="CD261" s="1059"/>
      <c r="CJ261" s="1061"/>
      <c r="CK261" s="1060"/>
      <c r="CL261" s="1059"/>
      <c r="CS261" s="1060"/>
      <c r="CT261" s="1059"/>
      <c r="CW261" s="1062"/>
      <c r="CX261" s="1062"/>
      <c r="DE261" s="1064"/>
      <c r="DF261" s="1064"/>
      <c r="DM261" s="1064"/>
      <c r="DN261" s="1064"/>
      <c r="DU261" s="1064"/>
      <c r="DV261" s="1064"/>
      <c r="EC261" s="1064"/>
      <c r="ED261" s="1064"/>
      <c r="EH261" s="1181"/>
      <c r="EI261" s="1181"/>
      <c r="EJ261" s="1181"/>
      <c r="EK261" s="1181"/>
      <c r="EL261" s="1181"/>
      <c r="EM261" s="1181"/>
      <c r="EN261" s="1181"/>
      <c r="EO261" s="1182"/>
      <c r="EP261" s="1181"/>
      <c r="EQ261" s="1181"/>
      <c r="ER261" s="1181"/>
      <c r="ES261" s="1181"/>
      <c r="ET261" s="1181"/>
      <c r="EU261" s="1181"/>
      <c r="EV261" s="1181"/>
      <c r="EW261" s="1182"/>
      <c r="EX261" s="1148">
        <v>51</v>
      </c>
      <c r="EY261" s="1148">
        <v>59</v>
      </c>
      <c r="EZ261" s="1148">
        <f>EX261+EY261</f>
        <v>110</v>
      </c>
      <c r="FA261" s="1148">
        <v>62</v>
      </c>
      <c r="FB261" s="1148">
        <f>EX261+EY261+FA261</f>
        <v>172</v>
      </c>
      <c r="FC261" s="1148">
        <v>54</v>
      </c>
      <c r="FD261" s="1148">
        <f>FA261+FC261</f>
        <v>116</v>
      </c>
      <c r="FE261" s="1149">
        <f>EX261+EY261+FA261+FC261</f>
        <v>226</v>
      </c>
      <c r="FF261" s="1148">
        <v>37</v>
      </c>
      <c r="FG261" s="1148">
        <f>FH261-FF261</f>
        <v>45</v>
      </c>
      <c r="FH261" s="1148">
        <v>82</v>
      </c>
      <c r="FI261" s="1148">
        <f>FJ261-FH261</f>
        <v>42</v>
      </c>
      <c r="FJ261" s="1148">
        <v>124</v>
      </c>
      <c r="FK261" s="1148">
        <f>FM261-FJ261</f>
        <v>46</v>
      </c>
      <c r="FL261" s="1148">
        <f>FI261+FK261</f>
        <v>88</v>
      </c>
      <c r="FM261" s="1149">
        <v>170</v>
      </c>
      <c r="FN261" s="1148">
        <v>32</v>
      </c>
      <c r="FO261" s="1148">
        <f>FP261-FN261</f>
        <v>40</v>
      </c>
      <c r="FP261" s="1148">
        <v>72</v>
      </c>
      <c r="FQ261" s="1148">
        <f>FR261-FP261</f>
        <v>47</v>
      </c>
      <c r="FR261" s="1148">
        <v>119</v>
      </c>
      <c r="FS261" s="1148">
        <f>FU261-FR261</f>
        <v>47</v>
      </c>
      <c r="FT261" s="1148">
        <f>FQ261+FS261</f>
        <v>94</v>
      </c>
      <c r="FU261" s="1148">
        <v>166</v>
      </c>
      <c r="FV261" s="1278">
        <v>44</v>
      </c>
      <c r="FW261" s="1148">
        <v>46</v>
      </c>
      <c r="FX261" s="1279">
        <f>FV261+FW261</f>
        <v>90</v>
      </c>
      <c r="FY261" s="1148">
        <f>FZ261-FX261</f>
        <v>48</v>
      </c>
      <c r="FZ261" s="1148">
        <v>138</v>
      </c>
      <c r="GA261" s="1148">
        <f>GC261-FZ261</f>
        <v>44</v>
      </c>
      <c r="GB261" s="1148">
        <f>FY261+GA261</f>
        <v>92</v>
      </c>
      <c r="GC261" s="1149">
        <v>182</v>
      </c>
      <c r="GD261" s="1278">
        <v>34</v>
      </c>
      <c r="GE261" s="1148">
        <v>40</v>
      </c>
      <c r="GF261" s="1279">
        <f>GD261+GE261</f>
        <v>74</v>
      </c>
      <c r="GG261" s="1148">
        <v>39</v>
      </c>
      <c r="GH261" s="1148">
        <f>GG261+GF261</f>
        <v>113</v>
      </c>
      <c r="GI261" s="1148">
        <f>GK261-GH261</f>
        <v>35.0000000000002</v>
      </c>
      <c r="GJ261" s="1148">
        <f>GG261+GI261</f>
        <v>74.0000000000002</v>
      </c>
      <c r="GK261" s="1149">
        <f>GK257-GK258</f>
        <v>148</v>
      </c>
      <c r="GL261" s="1279">
        <v>36</v>
      </c>
      <c r="GM261" s="1148">
        <v>43</v>
      </c>
      <c r="GN261" s="1279">
        <f>GL261+GM261</f>
        <v>79</v>
      </c>
      <c r="GO261" s="1148">
        <v>49</v>
      </c>
      <c r="GP261" s="1148">
        <f>GO261+GN261</f>
        <v>128</v>
      </c>
      <c r="GQ261" s="1148">
        <f>GS261-GP261</f>
        <v>41.0000000000002</v>
      </c>
      <c r="GR261" s="1148">
        <f>GO261+GQ261</f>
        <v>90.0000000000002</v>
      </c>
      <c r="GS261" s="1149">
        <f>GS257-GS258</f>
        <v>169</v>
      </c>
      <c r="GT261" s="1279">
        <v>38</v>
      </c>
      <c r="GU261" s="1148">
        <v>22</v>
      </c>
      <c r="GV261" s="1279">
        <f>GT261+GU261</f>
        <v>60</v>
      </c>
      <c r="GW261" s="1148">
        <v>42</v>
      </c>
      <c r="GX261" s="1148">
        <f>GW261+GV261</f>
        <v>102</v>
      </c>
      <c r="GY261" s="1148">
        <f>HA261-GX261</f>
        <v>34</v>
      </c>
      <c r="GZ261" s="1148">
        <f>GW261+GY261</f>
        <v>76</v>
      </c>
      <c r="HA261" s="1149">
        <f>HA257-HA258</f>
        <v>136</v>
      </c>
      <c r="HB261" s="1148"/>
      <c r="HC261" s="1148"/>
      <c r="HD261" s="1148"/>
      <c r="HE261" s="1148"/>
      <c r="HF261" s="1148"/>
      <c r="HG261" s="1148"/>
      <c r="HH261" s="1148"/>
      <c r="HI261" s="1149"/>
      <c r="HJ261" s="1148"/>
      <c r="HK261" s="1148"/>
      <c r="HL261" s="1148"/>
      <c r="HM261" s="1148"/>
      <c r="HN261" s="1148"/>
      <c r="HO261" s="1148"/>
      <c r="HP261" s="1148"/>
      <c r="HQ261" s="1149"/>
      <c r="HR261" s="1148"/>
      <c r="HS261" s="1148"/>
      <c r="HT261" s="1148"/>
      <c r="HU261" s="1148"/>
      <c r="HV261" s="1148"/>
      <c r="HW261" s="1148"/>
      <c r="HX261" s="1148"/>
      <c r="HY261" s="1148"/>
      <c r="HZ261" s="1148"/>
      <c r="IA261" s="1148"/>
      <c r="IB261" s="1148"/>
      <c r="IC261" s="1148"/>
      <c r="ID261" s="1148"/>
      <c r="IE261" s="1148"/>
      <c r="IF261" s="1148"/>
      <c r="IG261" s="1149"/>
      <c r="IH261" s="1148"/>
      <c r="II261" s="1148"/>
      <c r="IJ261" s="1148"/>
      <c r="IK261" s="1148"/>
      <c r="IL261" s="1148"/>
      <c r="IM261" s="1148"/>
      <c r="IN261" s="1148"/>
      <c r="IO261" s="1149"/>
      <c r="IP261" s="1148"/>
      <c r="IQ261" s="1148"/>
      <c r="IR261" s="1148"/>
      <c r="IS261" s="1148"/>
      <c r="IT261" s="1148"/>
      <c r="IU261" s="1148"/>
      <c r="IV261" s="1148"/>
      <c r="IW261" s="1148"/>
      <c r="IX261" s="1104"/>
      <c r="IY261" s="1049"/>
      <c r="IZ261" s="1049"/>
      <c r="JA261" s="1049"/>
      <c r="JB261" s="1049"/>
      <c r="JC261" s="1049"/>
      <c r="JD261" s="1041"/>
      <c r="JE261" s="1037"/>
      <c r="JF261" s="1037"/>
      <c r="JG261" s="1037"/>
      <c r="JH261" s="1037"/>
      <c r="JI261" s="1035"/>
      <c r="JJ261" s="1035"/>
      <c r="JK261" s="1035"/>
      <c r="JL261" s="1035"/>
      <c r="JM261" s="1035"/>
      <c r="JN261" s="1035"/>
      <c r="JO261" s="1035"/>
      <c r="JP261" s="1035"/>
      <c r="JQ261" s="1094"/>
      <c r="JR261" s="1094"/>
      <c r="JS261" s="1094"/>
      <c r="JT261" s="1094"/>
      <c r="JU261" s="1035"/>
      <c r="JV261" s="1035"/>
      <c r="JW261" s="1035"/>
      <c r="JX261" s="1035"/>
      <c r="JY261" s="1035"/>
      <c r="KP261" s="1117"/>
      <c r="LV261" s="967"/>
    </row>
    <row r="262" hidden="1" spans="1:334">
      <c r="A262" s="967" t="s">
        <v>113</v>
      </c>
      <c r="AX262" s="1059"/>
      <c r="BE262" s="1060"/>
      <c r="BN262" s="1059"/>
      <c r="BU262" s="1060"/>
      <c r="BV262" s="1059"/>
      <c r="CC262" s="1060"/>
      <c r="CD262" s="1059"/>
      <c r="CJ262" s="1061"/>
      <c r="CK262" s="1060"/>
      <c r="CL262" s="1059"/>
      <c r="CS262" s="1060"/>
      <c r="CT262" s="1059"/>
      <c r="CW262" s="1062"/>
      <c r="CX262" s="1062"/>
      <c r="DE262" s="1064"/>
      <c r="DF262" s="1064"/>
      <c r="DM262" s="1064"/>
      <c r="DN262" s="1064"/>
      <c r="DU262" s="1064"/>
      <c r="DV262" s="1064"/>
      <c r="EC262" s="1064"/>
      <c r="ED262" s="1064"/>
      <c r="EH262" s="1181"/>
      <c r="EI262" s="1181"/>
      <c r="EJ262" s="1181"/>
      <c r="EK262" s="1181"/>
      <c r="EL262" s="1181"/>
      <c r="EM262" s="1181"/>
      <c r="EN262" s="1181"/>
      <c r="EO262" s="1182"/>
      <c r="EP262" s="1181"/>
      <c r="EQ262" s="1181"/>
      <c r="ER262" s="1181"/>
      <c r="ES262" s="1181"/>
      <c r="ET262" s="1181"/>
      <c r="EU262" s="1181"/>
      <c r="EV262" s="1181"/>
      <c r="EW262" s="1182"/>
      <c r="EX262" s="1181"/>
      <c r="EY262" s="1181"/>
      <c r="EZ262" s="1181"/>
      <c r="FA262" s="1181"/>
      <c r="FB262" s="1181"/>
      <c r="FC262" s="1181"/>
      <c r="FD262" s="1181"/>
      <c r="FE262" s="1182"/>
      <c r="FF262" s="1181">
        <f t="shared" ref="FF262:FM262" si="1380">FF261/EX261-1</f>
        <v>-0.274509803921569</v>
      </c>
      <c r="FG262" s="1181">
        <f t="shared" si="1380"/>
        <v>-0.23728813559322</v>
      </c>
      <c r="FH262" s="1181">
        <f t="shared" si="1380"/>
        <v>-0.254545454545455</v>
      </c>
      <c r="FI262" s="1181">
        <f t="shared" si="1380"/>
        <v>-0.32258064516129</v>
      </c>
      <c r="FJ262" s="1181">
        <f t="shared" si="1380"/>
        <v>-0.279069767441861</v>
      </c>
      <c r="FK262" s="1181">
        <f t="shared" si="1380"/>
        <v>-0.148148148148148</v>
      </c>
      <c r="FL262" s="1181">
        <f t="shared" si="1380"/>
        <v>-0.241379310344828</v>
      </c>
      <c r="FM262" s="1182">
        <f t="shared" si="1380"/>
        <v>-0.247787610619469</v>
      </c>
      <c r="FN262" s="1181">
        <f t="shared" ref="FN262:FX262" si="1381">FN261/FF261-1</f>
        <v>-0.135135135135135</v>
      </c>
      <c r="FO262" s="1181">
        <f t="shared" si="1381"/>
        <v>-0.111111111111111</v>
      </c>
      <c r="FP262" s="1181">
        <f t="shared" si="1381"/>
        <v>-0.121951219512195</v>
      </c>
      <c r="FQ262" s="1181">
        <f t="shared" si="1381"/>
        <v>0.119047619047619</v>
      </c>
      <c r="FR262" s="1181">
        <f t="shared" si="1381"/>
        <v>-0.0403225806451613</v>
      </c>
      <c r="FS262" s="1181">
        <f t="shared" si="1381"/>
        <v>0.0217391304347827</v>
      </c>
      <c r="FT262" s="1181">
        <f t="shared" si="1381"/>
        <v>0.0681818181818181</v>
      </c>
      <c r="FU262" s="1181">
        <f t="shared" si="1381"/>
        <v>-0.0235294117647059</v>
      </c>
      <c r="FV262" s="1220">
        <f t="shared" si="1381"/>
        <v>0.375</v>
      </c>
      <c r="FW262" s="1181">
        <f t="shared" si="1381"/>
        <v>0.15</v>
      </c>
      <c r="FX262" s="1181">
        <f t="shared" si="1381"/>
        <v>0.25</v>
      </c>
      <c r="FY262" s="1181">
        <f t="shared" ref="FY262" si="1382">FY261/FQ261-1</f>
        <v>0.0212765957446808</v>
      </c>
      <c r="FZ262" s="1181">
        <f t="shared" ref="FZ262" si="1383">FZ261/FR261-1</f>
        <v>0.159663865546219</v>
      </c>
      <c r="GA262" s="1181">
        <f t="shared" ref="GA262" si="1384">GA261/FS261-1</f>
        <v>-0.0638297872340425</v>
      </c>
      <c r="GB262" s="1181">
        <f t="shared" ref="GB262" si="1385">GB261/FT261-1</f>
        <v>-0.0212765957446809</v>
      </c>
      <c r="GC262" s="1182">
        <f t="shared" ref="GC262" si="1386">GC261/FU261-1</f>
        <v>0.0963855421686748</v>
      </c>
      <c r="GD262" s="1220">
        <v>-0.24</v>
      </c>
      <c r="GE262" s="1181">
        <f>((GF262*FX261)-(GD262*FV261))/FW261</f>
        <v>-0.122608695652174</v>
      </c>
      <c r="GF262" s="1181">
        <v>-0.18</v>
      </c>
      <c r="GG262" s="1181">
        <v>-0.19</v>
      </c>
      <c r="GH262" s="1181">
        <f>GH261/FZ261-1</f>
        <v>-0.181159420289855</v>
      </c>
      <c r="GI262" s="1181">
        <f t="shared" ref="GI262" si="1387">GI261/GA261-1</f>
        <v>-0.204545454545449</v>
      </c>
      <c r="GJ262" s="1181">
        <f t="shared" ref="GJ262" si="1388">GJ261/GB261-1</f>
        <v>-0.195652173913041</v>
      </c>
      <c r="GK262" s="1182">
        <f t="shared" ref="GK262:GL262" si="1389">GK261/GC261-1</f>
        <v>-0.186813186813186</v>
      </c>
      <c r="GL262" s="1181">
        <f t="shared" si="1389"/>
        <v>0.0588235294117647</v>
      </c>
      <c r="GM262" s="1181">
        <f t="shared" ref="GM262:GP262" si="1390">GM261/GE261-1</f>
        <v>0.075</v>
      </c>
      <c r="GN262" s="1181">
        <f t="shared" ref="GN262" si="1391">GN261/GF261-1</f>
        <v>0.0675675675675675</v>
      </c>
      <c r="GO262" s="1181">
        <f t="shared" si="1390"/>
        <v>0.256410256410256</v>
      </c>
      <c r="GP262" s="1181">
        <f t="shared" si="1390"/>
        <v>0.132743362831858</v>
      </c>
      <c r="GQ262" s="1181">
        <f t="shared" ref="GQ262" si="1392">GQ261/GI261-1</f>
        <v>0.17142857142857</v>
      </c>
      <c r="GR262" s="1181">
        <f t="shared" ref="GR262" si="1393">GR261/GJ261-1</f>
        <v>0.216216216216216</v>
      </c>
      <c r="GS262" s="1182">
        <f t="shared" ref="GS262:GT262" si="1394">GS261/GK261-1</f>
        <v>0.141891891891892</v>
      </c>
      <c r="GT262" s="1181">
        <f t="shared" si="1394"/>
        <v>0.0555555555555556</v>
      </c>
      <c r="GU262" s="1181">
        <f t="shared" ref="GU262" si="1395">GU261/GM261-1</f>
        <v>-0.488372093023256</v>
      </c>
      <c r="GV262" s="1181">
        <f t="shared" ref="GV262:GX262" si="1396">GV261/GN261-1</f>
        <v>-0.240506329113924</v>
      </c>
      <c r="GW262" s="1181">
        <f t="shared" si="1396"/>
        <v>-0.142857142857143</v>
      </c>
      <c r="GX262" s="1181">
        <f t="shared" si="1396"/>
        <v>-0.203125</v>
      </c>
      <c r="GY262" s="1181">
        <f t="shared" ref="GY262" si="1397">GY261/GQ261-1</f>
        <v>-0.170731707317078</v>
      </c>
      <c r="GZ262" s="1181">
        <f t="shared" ref="GZ262" si="1398">GZ261/GR261-1</f>
        <v>-0.155555555555558</v>
      </c>
      <c r="HA262" s="1182">
        <f t="shared" ref="HA262" si="1399">HA261/GS261-1</f>
        <v>-0.19526627218935</v>
      </c>
      <c r="HB262" s="1181"/>
      <c r="HC262" s="1181"/>
      <c r="HD262" s="1181"/>
      <c r="HE262" s="1181"/>
      <c r="HF262" s="1181"/>
      <c r="HG262" s="1181"/>
      <c r="HH262" s="1181"/>
      <c r="HI262" s="1182"/>
      <c r="HJ262" s="1181"/>
      <c r="HK262" s="1181"/>
      <c r="HL262" s="1181"/>
      <c r="HM262" s="1181"/>
      <c r="HN262" s="1181"/>
      <c r="HO262" s="1181"/>
      <c r="HP262" s="1181"/>
      <c r="HQ262" s="1182"/>
      <c r="HR262" s="1181"/>
      <c r="HS262" s="1181"/>
      <c r="HT262" s="1181"/>
      <c r="HU262" s="1181"/>
      <c r="HV262" s="1181"/>
      <c r="HW262" s="1181"/>
      <c r="HX262" s="1181"/>
      <c r="HY262" s="1181"/>
      <c r="HZ262" s="1181"/>
      <c r="IA262" s="1181"/>
      <c r="IB262" s="1181"/>
      <c r="IC262" s="1181"/>
      <c r="ID262" s="1181"/>
      <c r="IE262" s="1181"/>
      <c r="IF262" s="1181"/>
      <c r="IG262" s="1182"/>
      <c r="IH262" s="1181"/>
      <c r="II262" s="1181"/>
      <c r="IJ262" s="1181"/>
      <c r="IK262" s="1181"/>
      <c r="IL262" s="1181"/>
      <c r="IM262" s="1181"/>
      <c r="IN262" s="1181"/>
      <c r="IO262" s="1182"/>
      <c r="IP262" s="1181"/>
      <c r="IQ262" s="1181"/>
      <c r="IR262" s="1181"/>
      <c r="IS262" s="1181"/>
      <c r="IT262" s="1181"/>
      <c r="IU262" s="1181"/>
      <c r="IV262" s="1181"/>
      <c r="IW262" s="1181"/>
      <c r="IX262" s="1104"/>
      <c r="IY262" s="1049"/>
      <c r="IZ262" s="1049"/>
      <c r="JA262" s="1049"/>
      <c r="JB262" s="1049"/>
      <c r="JC262" s="1049"/>
      <c r="JD262" s="1041"/>
      <c r="JE262" s="1037"/>
      <c r="JF262" s="1037"/>
      <c r="JG262" s="1037"/>
      <c r="JH262" s="1037"/>
      <c r="JI262" s="1035"/>
      <c r="JJ262" s="1035"/>
      <c r="JK262" s="1035"/>
      <c r="JL262" s="1035"/>
      <c r="JM262" s="1035"/>
      <c r="JN262" s="1035"/>
      <c r="JO262" s="1035"/>
      <c r="JP262" s="1035"/>
      <c r="JQ262" s="1035"/>
      <c r="JR262" s="1035"/>
      <c r="JS262" s="1035"/>
      <c r="JT262" s="1035"/>
      <c r="JU262" s="1035"/>
      <c r="JV262" s="1035"/>
      <c r="JW262" s="1035"/>
      <c r="JX262" s="1035"/>
      <c r="JY262" s="1035"/>
      <c r="KP262" s="1117"/>
      <c r="LV262" s="967"/>
    </row>
    <row r="263" hidden="1" spans="1:334">
      <c r="A263" s="967" t="s">
        <v>100</v>
      </c>
      <c r="AX263" s="1059"/>
      <c r="BE263" s="1060"/>
      <c r="BN263" s="1059"/>
      <c r="BU263" s="1060"/>
      <c r="BV263" s="1059"/>
      <c r="CC263" s="1060"/>
      <c r="CD263" s="1059"/>
      <c r="CJ263" s="1061"/>
      <c r="CK263" s="1060"/>
      <c r="CL263" s="1059"/>
      <c r="CS263" s="1060"/>
      <c r="CT263" s="1059"/>
      <c r="CW263" s="1062"/>
      <c r="CX263" s="1062"/>
      <c r="DE263" s="1064"/>
      <c r="DF263" s="1064"/>
      <c r="DM263" s="1064"/>
      <c r="DN263" s="1064"/>
      <c r="DU263" s="1064"/>
      <c r="DV263" s="1064"/>
      <c r="EC263" s="1064"/>
      <c r="ED263" s="1064"/>
      <c r="EH263" s="1181"/>
      <c r="EI263" s="1181"/>
      <c r="EJ263" s="1181"/>
      <c r="EK263" s="1181"/>
      <c r="EL263" s="1181"/>
      <c r="EM263" s="1181"/>
      <c r="EN263" s="1181"/>
      <c r="EO263" s="1182"/>
      <c r="EP263" s="1181"/>
      <c r="EQ263" s="1181"/>
      <c r="ER263" s="1181"/>
      <c r="ES263" s="1181"/>
      <c r="ET263" s="1181"/>
      <c r="EU263" s="1181"/>
      <c r="EV263" s="1181"/>
      <c r="EW263" s="1182"/>
      <c r="EX263" s="1181"/>
      <c r="EY263" s="1181"/>
      <c r="EZ263" s="1181"/>
      <c r="FA263" s="1181"/>
      <c r="FB263" s="1181"/>
      <c r="FC263" s="1181"/>
      <c r="FD263" s="1181"/>
      <c r="FE263" s="1182"/>
      <c r="FF263" s="1181">
        <v>0.06</v>
      </c>
      <c r="FG263" s="1181">
        <f>(EZ261*FH263-EX261*FF263)/EY261</f>
        <v>-0.0891525423728814</v>
      </c>
      <c r="FH263" s="1181">
        <v>-0.02</v>
      </c>
      <c r="FI263" s="1181">
        <f>(FB261*FJ263-EZ261*FH263)/FA261</f>
        <v>-0.047741935483871</v>
      </c>
      <c r="FJ263" s="1181">
        <v>-0.03</v>
      </c>
      <c r="FK263" s="1181">
        <f>(FE261*FM263-FB261*FJ263)/FC261</f>
        <v>0.0537037037037037</v>
      </c>
      <c r="FL263" s="1181">
        <f>(FE261*FM263-EZ261*FH263)/FD261</f>
        <v>-0.000517241379310345</v>
      </c>
      <c r="FM263" s="1182">
        <v>-0.01</v>
      </c>
      <c r="FN263" s="1181">
        <v>0.04</v>
      </c>
      <c r="FO263" s="1181">
        <f>(FH261*FP263-FF261*FN263)/FG261</f>
        <v>0.131111111111111</v>
      </c>
      <c r="FP263" s="1181">
        <v>0.09</v>
      </c>
      <c r="FQ263" s="1181">
        <f>(FJ261*FR263-FH261*FP263)/FI261</f>
        <v>0.208095238095238</v>
      </c>
      <c r="FR263" s="1181">
        <v>0.13</v>
      </c>
      <c r="FS263" s="1181">
        <f>(FM261*FU263-FJ261*FR263)/FK261</f>
        <v>-0.0178260869565218</v>
      </c>
      <c r="FT263" s="1181">
        <f>(FM261*FU263-FH261*FP263)/FL261</f>
        <v>0.09</v>
      </c>
      <c r="FU263" s="1181">
        <v>0.09</v>
      </c>
      <c r="FV263" s="1220">
        <v>0.06</v>
      </c>
      <c r="FW263" s="1181">
        <v>-0.01</v>
      </c>
      <c r="FX263" s="1218">
        <f>(FV263*FN257+FW263*FO257)/FP257</f>
        <v>0.0211612903225806</v>
      </c>
      <c r="FY263" s="1181">
        <f>(FR261*FZ263-FP261*FX263)/FQ261</f>
        <v>-0.032417295813315</v>
      </c>
      <c r="FZ263" s="1181">
        <v>0</v>
      </c>
      <c r="GA263" s="1181">
        <f>(FU261*GC263-FR261*FZ263)/FS261</f>
        <v>-0.0706382978723404</v>
      </c>
      <c r="GB263" s="1181">
        <f>(FU261*GC263-FP261*FX263)/FT261</f>
        <v>-0.0515277968428277</v>
      </c>
      <c r="GC263" s="1182">
        <v>-0.02</v>
      </c>
      <c r="GD263" s="1220">
        <v>-0.14</v>
      </c>
      <c r="GE263" s="1181">
        <v>-0.00304347826086956</v>
      </c>
      <c r="GF263" s="1218">
        <f>(GD263*FV261+GE263*FW261)/FX261</f>
        <v>-0.07</v>
      </c>
      <c r="GG263" s="1181">
        <v>-0.1</v>
      </c>
      <c r="GH263" s="1181"/>
      <c r="GI263" s="1181">
        <v>-0.1</v>
      </c>
      <c r="GJ263" s="1181">
        <f>(GC261*GK263-FX261*GF263)/GB261</f>
        <v>-0.0897826086956522</v>
      </c>
      <c r="GK263" s="1182">
        <v>-0.08</v>
      </c>
      <c r="GL263" s="1218">
        <v>0.12</v>
      </c>
      <c r="GM263" s="1181">
        <v>0.07</v>
      </c>
      <c r="GN263" s="1218">
        <f>(GL263*GD261+GM263*GE261)/GF261</f>
        <v>0.092972972972973</v>
      </c>
      <c r="GO263" s="1181">
        <v>0.19</v>
      </c>
      <c r="GP263" s="1181"/>
      <c r="GQ263" s="1181">
        <v>0.04</v>
      </c>
      <c r="GR263" s="1181">
        <f>(GK261*GS263-GF261*GN263)/GJ261</f>
        <v>0.127027027027027</v>
      </c>
      <c r="GS263" s="1182">
        <v>0.11</v>
      </c>
      <c r="GT263" s="1218">
        <v>0.02</v>
      </c>
      <c r="GU263" s="1181">
        <v>-0.45</v>
      </c>
      <c r="GV263" s="1218">
        <f>(GT263*GL261+GU263*GM261)/GN261</f>
        <v>-0.235822784810127</v>
      </c>
      <c r="GW263" s="1181">
        <v>0.02</v>
      </c>
      <c r="GX263" s="1181"/>
      <c r="GY263" s="1181">
        <v>0.07</v>
      </c>
      <c r="GZ263" s="1181">
        <f>(GS261*HA263-GN261*GV263)/GR261</f>
        <v>0.0379999999999997</v>
      </c>
      <c r="HA263" s="1182">
        <v>-0.09</v>
      </c>
      <c r="HB263" s="1181"/>
      <c r="HC263" s="1181"/>
      <c r="HD263" s="1181"/>
      <c r="HE263" s="1181"/>
      <c r="HF263" s="1181"/>
      <c r="HG263" s="1181"/>
      <c r="HH263" s="1181"/>
      <c r="HI263" s="1182"/>
      <c r="HJ263" s="1181"/>
      <c r="HK263" s="1181"/>
      <c r="HL263" s="1181"/>
      <c r="HM263" s="1181"/>
      <c r="HN263" s="1181"/>
      <c r="HO263" s="1181"/>
      <c r="HP263" s="1181"/>
      <c r="HQ263" s="1182"/>
      <c r="HR263" s="1181"/>
      <c r="HS263" s="1181"/>
      <c r="HT263" s="1181"/>
      <c r="HU263" s="1181"/>
      <c r="HV263" s="1181"/>
      <c r="HW263" s="1181"/>
      <c r="HX263" s="1181"/>
      <c r="HY263" s="1181"/>
      <c r="HZ263" s="1181"/>
      <c r="IA263" s="1181"/>
      <c r="IB263" s="1181"/>
      <c r="IC263" s="1181"/>
      <c r="ID263" s="1181"/>
      <c r="IE263" s="1181"/>
      <c r="IF263" s="1181"/>
      <c r="IG263" s="1182"/>
      <c r="IH263" s="1181"/>
      <c r="II263" s="1181"/>
      <c r="IJ263" s="1181"/>
      <c r="IK263" s="1181"/>
      <c r="IL263" s="1181"/>
      <c r="IM263" s="1181"/>
      <c r="IN263" s="1181"/>
      <c r="IO263" s="1182"/>
      <c r="IP263" s="1181"/>
      <c r="IQ263" s="1181"/>
      <c r="IR263" s="1181"/>
      <c r="IS263" s="1181"/>
      <c r="IT263" s="1181"/>
      <c r="IU263" s="1181"/>
      <c r="IV263" s="1181"/>
      <c r="IW263" s="1181"/>
      <c r="IX263" s="1104"/>
      <c r="IY263" s="1049"/>
      <c r="IZ263" s="1049"/>
      <c r="JA263" s="1049"/>
      <c r="JB263" s="1049"/>
      <c r="JC263" s="1049"/>
      <c r="JD263" s="1041"/>
      <c r="JE263" s="1037"/>
      <c r="JF263" s="1037"/>
      <c r="JG263" s="1037"/>
      <c r="JH263" s="1037"/>
      <c r="JI263" s="1035"/>
      <c r="JJ263" s="1035"/>
      <c r="JK263" s="1035"/>
      <c r="JL263" s="1035"/>
      <c r="JM263" s="1035"/>
      <c r="JN263" s="1035"/>
      <c r="JO263" s="1035"/>
      <c r="JP263" s="1035"/>
      <c r="JQ263" s="1035"/>
      <c r="JR263" s="1035"/>
      <c r="JS263" s="1035"/>
      <c r="JT263" s="1035"/>
      <c r="JU263" s="1035"/>
      <c r="JV263" s="1035"/>
      <c r="JW263" s="1035"/>
      <c r="JX263" s="1035"/>
      <c r="JY263" s="1035"/>
      <c r="KP263" s="1117"/>
      <c r="LV263" s="967"/>
    </row>
    <row r="264" hidden="1" spans="1:334">
      <c r="A264" s="969" t="s">
        <v>562</v>
      </c>
      <c r="AX264" s="1059"/>
      <c r="BE264" s="1060"/>
      <c r="BN264" s="1059"/>
      <c r="BU264" s="1060"/>
      <c r="BV264" s="1059"/>
      <c r="CC264" s="1060"/>
      <c r="CD264" s="1059"/>
      <c r="CJ264" s="1061"/>
      <c r="CK264" s="1060"/>
      <c r="CL264" s="1059"/>
      <c r="CS264" s="1060"/>
      <c r="CT264" s="1059"/>
      <c r="CW264" s="1062"/>
      <c r="CX264" s="1062"/>
      <c r="DE264" s="1064"/>
      <c r="DF264" s="1064"/>
      <c r="DM264" s="1064"/>
      <c r="DN264" s="1064"/>
      <c r="DU264" s="1064"/>
      <c r="DV264" s="1064"/>
      <c r="EC264" s="1064"/>
      <c r="ED264" s="1064"/>
      <c r="EH264" s="1181"/>
      <c r="EI264" s="1181"/>
      <c r="EJ264" s="1181"/>
      <c r="EK264" s="1181"/>
      <c r="EL264" s="1181"/>
      <c r="EM264" s="1181"/>
      <c r="EN264" s="1181"/>
      <c r="EO264" s="1182"/>
      <c r="EP264" s="1181"/>
      <c r="EQ264" s="1181"/>
      <c r="ER264" s="1181"/>
      <c r="ES264" s="1181"/>
      <c r="ET264" s="1181"/>
      <c r="EU264" s="1181"/>
      <c r="EV264" s="1181"/>
      <c r="EW264" s="1182"/>
      <c r="EX264" s="1071">
        <f>EX199</f>
        <v>503</v>
      </c>
      <c r="EY264" s="1071">
        <f>EY199</f>
        <v>409</v>
      </c>
      <c r="EZ264" s="1071">
        <f>EX264+EY264</f>
        <v>912</v>
      </c>
      <c r="FA264" s="1071">
        <f>FA199</f>
        <v>561</v>
      </c>
      <c r="FB264" s="1071">
        <f>EX264+EY264+FA264</f>
        <v>1473</v>
      </c>
      <c r="FC264" s="1071">
        <f>FC199</f>
        <v>452</v>
      </c>
      <c r="FD264" s="1071">
        <f>FA264+FC264</f>
        <v>1013</v>
      </c>
      <c r="FE264" s="1072">
        <f>EX264+EY264+FA264+FC264</f>
        <v>1925</v>
      </c>
      <c r="FF264" s="1071">
        <f>FF199</f>
        <v>635</v>
      </c>
      <c r="FG264" s="1071">
        <f>FG199</f>
        <v>536</v>
      </c>
      <c r="FH264" s="1071">
        <f>FF264+FG264</f>
        <v>1171</v>
      </c>
      <c r="FI264" s="1071">
        <f>FI199</f>
        <v>674</v>
      </c>
      <c r="FJ264" s="1071">
        <f>FF264+FG264+FI264</f>
        <v>1845</v>
      </c>
      <c r="FK264" s="1071">
        <f>FK199</f>
        <v>543</v>
      </c>
      <c r="FL264" s="1071">
        <f>FI264+FK264</f>
        <v>1217</v>
      </c>
      <c r="FM264" s="1072">
        <f>FM199</f>
        <v>2388</v>
      </c>
      <c r="FN264" s="1071">
        <f>FN199</f>
        <v>701</v>
      </c>
      <c r="FO264" s="1071">
        <f>FO199</f>
        <v>572</v>
      </c>
      <c r="FP264" s="1071">
        <f>FN264+FO264</f>
        <v>1273</v>
      </c>
      <c r="FQ264" s="1071">
        <f>FQ199</f>
        <v>794</v>
      </c>
      <c r="FR264" s="1071">
        <f>FN264+FO264+FQ264</f>
        <v>2067</v>
      </c>
      <c r="FS264" s="1071">
        <f>FS199</f>
        <v>618</v>
      </c>
      <c r="FT264" s="1071">
        <f>FQ264+FS264</f>
        <v>1412</v>
      </c>
      <c r="FU264" s="1071">
        <f>FU199</f>
        <v>2685</v>
      </c>
      <c r="FV264" s="1075">
        <f>FV199</f>
        <v>833</v>
      </c>
      <c r="FW264" s="1071">
        <f>FW199</f>
        <v>657</v>
      </c>
      <c r="FX264" s="1076">
        <f>FV264+FW264</f>
        <v>1490</v>
      </c>
      <c r="FY264" s="1071">
        <f>FY199</f>
        <v>801</v>
      </c>
      <c r="FZ264" s="1071">
        <f>FV264+FW264+FY264</f>
        <v>2291</v>
      </c>
      <c r="GA264" s="1071">
        <f>GA199</f>
        <v>616</v>
      </c>
      <c r="GB264" s="1071">
        <f>FY264+GA264</f>
        <v>1417</v>
      </c>
      <c r="GC264" s="1072">
        <f>GC199</f>
        <v>2907</v>
      </c>
      <c r="GD264" s="1075">
        <f>GD199</f>
        <v>308</v>
      </c>
      <c r="GE264" s="1071">
        <f>GE199</f>
        <v>251</v>
      </c>
      <c r="GF264" s="1076">
        <f>GD264+GE264</f>
        <v>559</v>
      </c>
      <c r="GG264" s="1071">
        <f>GG199</f>
        <v>329</v>
      </c>
      <c r="GH264" s="1071">
        <f>GD264+GE264+GG264</f>
        <v>888</v>
      </c>
      <c r="GI264" s="1071">
        <f>GI199</f>
        <v>256</v>
      </c>
      <c r="GJ264" s="1071">
        <f>GG264+GI264</f>
        <v>585</v>
      </c>
      <c r="GK264" s="1072">
        <f>GK199</f>
        <v>1144</v>
      </c>
      <c r="GL264" s="1076">
        <f>GL199</f>
        <v>330</v>
      </c>
      <c r="GM264" s="1071">
        <f>GM199</f>
        <v>281</v>
      </c>
      <c r="GN264" s="1076">
        <f>GL264+GM264</f>
        <v>611</v>
      </c>
      <c r="GO264" s="1071">
        <f>GO199</f>
        <v>388</v>
      </c>
      <c r="GP264" s="1071">
        <f>GL264+GM264+GO264</f>
        <v>999</v>
      </c>
      <c r="GQ264" s="1071">
        <f>GQ199</f>
        <v>303</v>
      </c>
      <c r="GR264" s="1071">
        <f>GO264+GQ264</f>
        <v>691</v>
      </c>
      <c r="GS264" s="1072">
        <f>GS199</f>
        <v>1302</v>
      </c>
      <c r="GT264" s="1076">
        <f>GT199</f>
        <v>293</v>
      </c>
      <c r="GU264" s="1071">
        <f>GU199</f>
        <v>108</v>
      </c>
      <c r="GV264" s="1076">
        <f>GT264+GU264</f>
        <v>401</v>
      </c>
      <c r="GW264" s="1071">
        <f>GW199</f>
        <v>314.28</v>
      </c>
      <c r="GX264" s="1071">
        <f>GT264+GU264+GW264</f>
        <v>715.28</v>
      </c>
      <c r="GY264" s="1071">
        <f>GY199</f>
        <v>282.72</v>
      </c>
      <c r="GZ264" s="1071">
        <f>GW264+GY264</f>
        <v>597</v>
      </c>
      <c r="HA264" s="1072">
        <f>HA199</f>
        <v>998</v>
      </c>
      <c r="HB264" s="1071"/>
      <c r="HC264" s="1071"/>
      <c r="HD264" s="1071"/>
      <c r="HE264" s="1071"/>
      <c r="HF264" s="1071"/>
      <c r="HG264" s="1071"/>
      <c r="HH264" s="1071"/>
      <c r="HI264" s="1072"/>
      <c r="HJ264" s="1071"/>
      <c r="HK264" s="1071"/>
      <c r="HL264" s="1071"/>
      <c r="HM264" s="1071"/>
      <c r="HN264" s="1071"/>
      <c r="HO264" s="1071"/>
      <c r="HP264" s="1071"/>
      <c r="HQ264" s="1072"/>
      <c r="HR264" s="1071"/>
      <c r="HS264" s="1071"/>
      <c r="HT264" s="1071"/>
      <c r="HU264" s="1071"/>
      <c r="HV264" s="1071"/>
      <c r="HW264" s="1071"/>
      <c r="HX264" s="1071"/>
      <c r="HY264" s="1071"/>
      <c r="HZ264" s="1071"/>
      <c r="IA264" s="1071"/>
      <c r="IB264" s="1071"/>
      <c r="IC264" s="1071"/>
      <c r="ID264" s="1071"/>
      <c r="IE264" s="1071"/>
      <c r="IF264" s="1071"/>
      <c r="IG264" s="1072"/>
      <c r="IH264" s="1071"/>
      <c r="II264" s="1071"/>
      <c r="IJ264" s="1071"/>
      <c r="IK264" s="1071"/>
      <c r="IL264" s="1071"/>
      <c r="IM264" s="1071"/>
      <c r="IN264" s="1071"/>
      <c r="IO264" s="1072"/>
      <c r="IP264" s="1071"/>
      <c r="IQ264" s="1071"/>
      <c r="IR264" s="1071"/>
      <c r="IS264" s="1071"/>
      <c r="IT264" s="1071"/>
      <c r="IU264" s="1071"/>
      <c r="IV264" s="1071"/>
      <c r="IW264" s="1071"/>
      <c r="IX264" s="1104"/>
      <c r="IY264" s="1049"/>
      <c r="IZ264" s="1049"/>
      <c r="JA264" s="1049"/>
      <c r="JB264" s="1049"/>
      <c r="JC264" s="1049"/>
      <c r="JD264" s="1041"/>
      <c r="JE264" s="1037"/>
      <c r="JF264" s="1037"/>
      <c r="JG264" s="1037"/>
      <c r="JH264" s="1037"/>
      <c r="JI264" s="1035"/>
      <c r="JJ264" s="1035"/>
      <c r="JK264" s="1035"/>
      <c r="JL264" s="1035"/>
      <c r="JM264" s="1035"/>
      <c r="JN264" s="1035"/>
      <c r="JO264" s="1035"/>
      <c r="JP264" s="1035"/>
      <c r="JQ264" s="1035"/>
      <c r="JR264" s="1035"/>
      <c r="JS264" s="1035"/>
      <c r="JT264" s="1035"/>
      <c r="JU264" s="1035"/>
      <c r="JV264" s="1035"/>
      <c r="JW264" s="1035"/>
      <c r="JX264" s="1035"/>
      <c r="JY264" s="1035"/>
      <c r="KP264" s="1117"/>
      <c r="LV264" s="967"/>
    </row>
    <row r="265" hidden="1" spans="1:334">
      <c r="A265" s="967" t="s">
        <v>80</v>
      </c>
      <c r="AX265" s="1059"/>
      <c r="BE265" s="1060"/>
      <c r="BN265" s="1059"/>
      <c r="BU265" s="1060"/>
      <c r="BV265" s="1059"/>
      <c r="CC265" s="1060"/>
      <c r="CD265" s="1059"/>
      <c r="CJ265" s="1061"/>
      <c r="CK265" s="1060"/>
      <c r="CL265" s="1059"/>
      <c r="CS265" s="1060"/>
      <c r="CT265" s="1059"/>
      <c r="CW265" s="1062"/>
      <c r="CX265" s="1062"/>
      <c r="DE265" s="1064"/>
      <c r="DF265" s="1064"/>
      <c r="DM265" s="1064"/>
      <c r="DN265" s="1064"/>
      <c r="DU265" s="1064"/>
      <c r="DV265" s="1064"/>
      <c r="EC265" s="1064"/>
      <c r="ED265" s="1064"/>
      <c r="EH265" s="1181"/>
      <c r="EI265" s="1181"/>
      <c r="EJ265" s="1181"/>
      <c r="EK265" s="1181"/>
      <c r="EL265" s="1181"/>
      <c r="EM265" s="1181"/>
      <c r="EN265" s="1181"/>
      <c r="EO265" s="1182"/>
      <c r="EP265" s="1181"/>
      <c r="EQ265" s="1181"/>
      <c r="ER265" s="1181"/>
      <c r="ES265" s="1181"/>
      <c r="ET265" s="1181"/>
      <c r="EU265" s="1181"/>
      <c r="EV265" s="1181"/>
      <c r="EW265" s="1182"/>
      <c r="EX265" s="1148">
        <v>452</v>
      </c>
      <c r="EY265" s="1148">
        <v>356</v>
      </c>
      <c r="EZ265" s="1148">
        <f>EX265+EY265</f>
        <v>808</v>
      </c>
      <c r="FA265" s="1148">
        <v>497</v>
      </c>
      <c r="FB265" s="1148">
        <f>EX265+EY265+FA265</f>
        <v>1305</v>
      </c>
      <c r="FC265" s="1148">
        <v>388</v>
      </c>
      <c r="FD265" s="1148">
        <f>FA265+FC265</f>
        <v>885</v>
      </c>
      <c r="FE265" s="1149">
        <f>EX265+EY265+FA265+FC265</f>
        <v>1693</v>
      </c>
      <c r="FF265" s="1148">
        <v>575</v>
      </c>
      <c r="FG265" s="1148">
        <f>FH265-FF265</f>
        <v>460</v>
      </c>
      <c r="FH265" s="1148">
        <v>1035</v>
      </c>
      <c r="FI265" s="1148">
        <f>FJ265-FH265</f>
        <v>596</v>
      </c>
      <c r="FJ265" s="1148">
        <v>1631</v>
      </c>
      <c r="FK265" s="1148">
        <f>FM265-FJ265</f>
        <v>460</v>
      </c>
      <c r="FL265" s="1148">
        <f>FI265+FK265</f>
        <v>1056</v>
      </c>
      <c r="FM265" s="1149">
        <v>2091</v>
      </c>
      <c r="FN265" s="1148">
        <v>630</v>
      </c>
      <c r="FO265" s="1148">
        <f>FP265-FN265</f>
        <v>502</v>
      </c>
      <c r="FP265" s="1148">
        <v>1132</v>
      </c>
      <c r="FQ265" s="1148">
        <f>FR265-FP265</f>
        <v>713</v>
      </c>
      <c r="FR265" s="1148">
        <v>1845</v>
      </c>
      <c r="FS265" s="1148">
        <f>FU265-FR265</f>
        <v>540</v>
      </c>
      <c r="FT265" s="1148">
        <f>FQ265+FS265</f>
        <v>1253</v>
      </c>
      <c r="FU265" s="1148">
        <v>2385</v>
      </c>
      <c r="FV265" s="1278">
        <v>751</v>
      </c>
      <c r="FW265" s="1148">
        <v>584</v>
      </c>
      <c r="FX265" s="1279">
        <f>FV265+FW265</f>
        <v>1335</v>
      </c>
      <c r="FY265" s="1148">
        <f>FZ265-FX265</f>
        <v>716</v>
      </c>
      <c r="FZ265" s="1148">
        <v>2051</v>
      </c>
      <c r="GA265" s="1148">
        <f>GC265-FZ265</f>
        <v>552</v>
      </c>
      <c r="GB265" s="1148">
        <f>FY265+GA265</f>
        <v>1268</v>
      </c>
      <c r="GC265" s="1149">
        <v>2603</v>
      </c>
      <c r="GD265" s="1278">
        <v>275</v>
      </c>
      <c r="GE265" s="1148">
        <v>223</v>
      </c>
      <c r="GF265" s="1279">
        <f>GD265+GE265</f>
        <v>498</v>
      </c>
      <c r="GG265" s="1148">
        <v>291</v>
      </c>
      <c r="GH265" s="1148">
        <f>GG265+GF265</f>
        <v>789</v>
      </c>
      <c r="GI265" s="1148">
        <f>GK265-GH265</f>
        <v>221</v>
      </c>
      <c r="GJ265" s="1148">
        <f>GG265+GI265</f>
        <v>512</v>
      </c>
      <c r="GK265" s="1149">
        <v>1010</v>
      </c>
      <c r="GL265" s="1279">
        <v>292</v>
      </c>
      <c r="GM265" s="1148">
        <v>251</v>
      </c>
      <c r="GN265" s="1279">
        <f>GL265+GM265</f>
        <v>543</v>
      </c>
      <c r="GO265" s="1148">
        <v>346</v>
      </c>
      <c r="GP265" s="1148">
        <f>GO265+GN265</f>
        <v>889</v>
      </c>
      <c r="GQ265" s="1148">
        <f>GS265-GP265</f>
        <v>257</v>
      </c>
      <c r="GR265" s="1148">
        <f>GO265+GQ265</f>
        <v>603</v>
      </c>
      <c r="GS265" s="1149">
        <v>1146</v>
      </c>
      <c r="GT265" s="1279">
        <v>266</v>
      </c>
      <c r="GU265" s="1148">
        <v>97</v>
      </c>
      <c r="GV265" s="1279">
        <f>GT265+GU265</f>
        <v>363</v>
      </c>
      <c r="GW265" s="1148">
        <v>282</v>
      </c>
      <c r="GX265" s="1148">
        <f>GW265+GV265</f>
        <v>645</v>
      </c>
      <c r="GY265" s="1148">
        <f>HA265-GX265</f>
        <v>247</v>
      </c>
      <c r="GZ265" s="1148">
        <f>GW265+GY265</f>
        <v>529</v>
      </c>
      <c r="HA265" s="1149">
        <v>892</v>
      </c>
      <c r="HB265" s="1148"/>
      <c r="HC265" s="1148"/>
      <c r="HD265" s="1148"/>
      <c r="HE265" s="1148"/>
      <c r="HF265" s="1148"/>
      <c r="HG265" s="1148"/>
      <c r="HH265" s="1148"/>
      <c r="HI265" s="1149"/>
      <c r="HJ265" s="1148"/>
      <c r="HK265" s="1148"/>
      <c r="HL265" s="1148"/>
      <c r="HM265" s="1148"/>
      <c r="HN265" s="1148"/>
      <c r="HO265" s="1148"/>
      <c r="HP265" s="1148"/>
      <c r="HQ265" s="1149"/>
      <c r="HR265" s="1148"/>
      <c r="HS265" s="1148"/>
      <c r="HT265" s="1148"/>
      <c r="HU265" s="1148"/>
      <c r="HV265" s="1148"/>
      <c r="HW265" s="1148"/>
      <c r="HX265" s="1148"/>
      <c r="HY265" s="1148"/>
      <c r="HZ265" s="1148"/>
      <c r="IA265" s="1148"/>
      <c r="IB265" s="1148"/>
      <c r="IC265" s="1148"/>
      <c r="ID265" s="1148"/>
      <c r="IE265" s="1148"/>
      <c r="IF265" s="1148"/>
      <c r="IG265" s="1149"/>
      <c r="IH265" s="1148"/>
      <c r="II265" s="1148"/>
      <c r="IJ265" s="1148"/>
      <c r="IK265" s="1148"/>
      <c r="IL265" s="1148"/>
      <c r="IM265" s="1148"/>
      <c r="IN265" s="1148"/>
      <c r="IO265" s="1149"/>
      <c r="IP265" s="1148"/>
      <c r="IQ265" s="1148"/>
      <c r="IR265" s="1148"/>
      <c r="IS265" s="1148"/>
      <c r="IT265" s="1148"/>
      <c r="IU265" s="1148"/>
      <c r="IV265" s="1148"/>
      <c r="IW265" s="1148"/>
      <c r="IX265" s="1104"/>
      <c r="IY265" s="1049"/>
      <c r="IZ265" s="1049"/>
      <c r="JA265" s="1049"/>
      <c r="JB265" s="1049"/>
      <c r="JC265" s="1049"/>
      <c r="JD265" s="1041"/>
      <c r="JE265" s="1037"/>
      <c r="JF265" s="1037"/>
      <c r="JG265" s="1037"/>
      <c r="JH265" s="1037"/>
      <c r="JI265" s="1035"/>
      <c r="JJ265" s="1035"/>
      <c r="JK265" s="1094"/>
      <c r="JL265" s="1094"/>
      <c r="JM265" s="1094"/>
      <c r="JN265" s="1094"/>
      <c r="JO265" s="1094"/>
      <c r="JP265" s="1094"/>
      <c r="JQ265" s="1094"/>
      <c r="JR265" s="1094"/>
      <c r="JS265" s="1094"/>
      <c r="JT265" s="1094"/>
      <c r="JU265" s="1035"/>
      <c r="JV265" s="1035"/>
      <c r="JW265" s="1035"/>
      <c r="JX265" s="1035"/>
      <c r="JY265" s="1035"/>
      <c r="KP265" s="1117"/>
      <c r="LV265" s="967"/>
    </row>
    <row r="266" hidden="1" spans="1:334">
      <c r="A266" s="967" t="s">
        <v>113</v>
      </c>
      <c r="AX266" s="1059"/>
      <c r="BE266" s="1060"/>
      <c r="BN266" s="1059"/>
      <c r="BU266" s="1060"/>
      <c r="BV266" s="1059"/>
      <c r="CC266" s="1060"/>
      <c r="CD266" s="1059"/>
      <c r="CJ266" s="1061"/>
      <c r="CK266" s="1060"/>
      <c r="CL266" s="1059"/>
      <c r="CS266" s="1060"/>
      <c r="CT266" s="1059"/>
      <c r="CW266" s="1062"/>
      <c r="CX266" s="1062"/>
      <c r="DE266" s="1064"/>
      <c r="DF266" s="1064"/>
      <c r="DM266" s="1064"/>
      <c r="DN266" s="1064"/>
      <c r="DU266" s="1064"/>
      <c r="DV266" s="1064"/>
      <c r="EC266" s="1064"/>
      <c r="ED266" s="1064"/>
      <c r="EH266" s="1181"/>
      <c r="EI266" s="1181"/>
      <c r="EJ266" s="1181"/>
      <c r="EK266" s="1181"/>
      <c r="EL266" s="1181"/>
      <c r="EM266" s="1181"/>
      <c r="EN266" s="1181"/>
      <c r="EO266" s="1182"/>
      <c r="EP266" s="1181"/>
      <c r="EQ266" s="1181"/>
      <c r="ER266" s="1181"/>
      <c r="ES266" s="1181"/>
      <c r="ET266" s="1181"/>
      <c r="EU266" s="1181"/>
      <c r="EV266" s="1181"/>
      <c r="EW266" s="1182"/>
      <c r="EX266" s="1181"/>
      <c r="EY266" s="1181"/>
      <c r="EZ266" s="1181"/>
      <c r="FA266" s="1181"/>
      <c r="FB266" s="1181"/>
      <c r="FC266" s="1181"/>
      <c r="FD266" s="1181"/>
      <c r="FE266" s="1182"/>
      <c r="FF266" s="1181">
        <f t="shared" ref="FF266:FM266" si="1400">FF265/EX265-1</f>
        <v>0.27212389380531</v>
      </c>
      <c r="FG266" s="1181">
        <f t="shared" si="1400"/>
        <v>0.292134831460674</v>
      </c>
      <c r="FH266" s="1181">
        <f t="shared" si="1400"/>
        <v>0.280940594059406</v>
      </c>
      <c r="FI266" s="1181">
        <f t="shared" si="1400"/>
        <v>0.199195171026157</v>
      </c>
      <c r="FJ266" s="1181">
        <f t="shared" si="1400"/>
        <v>0.249808429118774</v>
      </c>
      <c r="FK266" s="1181">
        <f t="shared" si="1400"/>
        <v>0.185567010309278</v>
      </c>
      <c r="FL266" s="1181">
        <f t="shared" si="1400"/>
        <v>0.193220338983051</v>
      </c>
      <c r="FM266" s="1182">
        <f t="shared" si="1400"/>
        <v>0.235085646780862</v>
      </c>
      <c r="FN266" s="1181">
        <f t="shared" ref="FN266:FX266" si="1401">FN265/FF265-1</f>
        <v>0.0956521739130434</v>
      </c>
      <c r="FO266" s="1181">
        <f t="shared" si="1401"/>
        <v>0.0913043478260869</v>
      </c>
      <c r="FP266" s="1181">
        <f t="shared" si="1401"/>
        <v>0.093719806763285</v>
      </c>
      <c r="FQ266" s="1181">
        <f t="shared" si="1401"/>
        <v>0.196308724832215</v>
      </c>
      <c r="FR266" s="1181">
        <f t="shared" si="1401"/>
        <v>0.131207847946045</v>
      </c>
      <c r="FS266" s="1181">
        <f t="shared" si="1401"/>
        <v>0.173913043478261</v>
      </c>
      <c r="FT266" s="1181">
        <f t="shared" si="1401"/>
        <v>0.18655303030303</v>
      </c>
      <c r="FU266" s="1181">
        <f t="shared" si="1401"/>
        <v>0.140602582496413</v>
      </c>
      <c r="FV266" s="1220">
        <f t="shared" si="1401"/>
        <v>0.192063492063492</v>
      </c>
      <c r="FW266" s="1181">
        <f t="shared" si="1401"/>
        <v>0.163346613545817</v>
      </c>
      <c r="FX266" s="1181">
        <f t="shared" si="1401"/>
        <v>0.179328621908127</v>
      </c>
      <c r="FY266" s="1181">
        <f t="shared" ref="FY266" si="1402">FY265/FQ265-1</f>
        <v>0.00420757363253865</v>
      </c>
      <c r="FZ266" s="1181">
        <f t="shared" ref="FZ266" si="1403">FZ265/FR265-1</f>
        <v>0.111653116531165</v>
      </c>
      <c r="GA266" s="1181">
        <f t="shared" ref="GA266" si="1404">GA265/FS265-1</f>
        <v>0.0222222222222221</v>
      </c>
      <c r="GB266" s="1181">
        <f t="shared" ref="GB266" si="1405">GB265/FT265-1</f>
        <v>0.0119712689545093</v>
      </c>
      <c r="GC266" s="1182">
        <f t="shared" ref="GC266" si="1406">GC265/FU265-1</f>
        <v>0.091404612159329</v>
      </c>
      <c r="GD266" s="1220">
        <v>-0.17</v>
      </c>
      <c r="GE266" s="1181">
        <f>((GF266*FX265)-(GD266*FV265))/FW265</f>
        <v>-0.0785616438356164</v>
      </c>
      <c r="GF266" s="1181">
        <v>-0.13</v>
      </c>
      <c r="GG266" s="1181">
        <v>-0.12</v>
      </c>
      <c r="GH266" s="1181">
        <f>GH265/FZ265-1</f>
        <v>-0.615309605070697</v>
      </c>
      <c r="GI266" s="1181">
        <f t="shared" ref="GI266" si="1407">GI265/GA265-1</f>
        <v>-0.59963768115942</v>
      </c>
      <c r="GJ266" s="1181">
        <f t="shared" ref="GJ266" si="1408">GJ265/GB265-1</f>
        <v>-0.596214511041009</v>
      </c>
      <c r="GK266" s="1182">
        <f t="shared" ref="GK266:GL266" si="1409">GK265/GC265-1</f>
        <v>-0.611986169804072</v>
      </c>
      <c r="GL266" s="1181">
        <f t="shared" si="1409"/>
        <v>0.0618181818181818</v>
      </c>
      <c r="GM266" s="1181">
        <f t="shared" ref="GM266:GP266" si="1410">GM265/GE265-1</f>
        <v>0.125560538116593</v>
      </c>
      <c r="GN266" s="1181">
        <f t="shared" ref="GN266" si="1411">GN265/GF265-1</f>
        <v>0.0903614457831328</v>
      </c>
      <c r="GO266" s="1181">
        <f t="shared" si="1410"/>
        <v>0.189003436426117</v>
      </c>
      <c r="GP266" s="1181">
        <f t="shared" si="1410"/>
        <v>0.126742712294043</v>
      </c>
      <c r="GQ266" s="1181">
        <f t="shared" ref="GQ266" si="1412">GQ265/GI265-1</f>
        <v>0.162895927601809</v>
      </c>
      <c r="GR266" s="1181">
        <f t="shared" ref="GR266" si="1413">GR265/GJ265-1</f>
        <v>0.177734375</v>
      </c>
      <c r="GS266" s="1182">
        <f t="shared" ref="GS266:GT266" si="1414">GS265/GK265-1</f>
        <v>0.134653465346535</v>
      </c>
      <c r="GT266" s="1181">
        <f t="shared" si="1414"/>
        <v>-0.089041095890411</v>
      </c>
      <c r="GU266" s="1181">
        <f t="shared" ref="GU266" si="1415">GU265/GM265-1</f>
        <v>-0.613545816733068</v>
      </c>
      <c r="GV266" s="1181">
        <f t="shared" ref="GV266:GX266" si="1416">GV265/GN265-1</f>
        <v>-0.331491712707182</v>
      </c>
      <c r="GW266" s="1181">
        <f t="shared" si="1416"/>
        <v>-0.184971098265896</v>
      </c>
      <c r="GX266" s="1181">
        <f t="shared" si="1416"/>
        <v>-0.274465691788526</v>
      </c>
      <c r="GY266" s="1181">
        <f t="shared" ref="GY266" si="1417">GY265/GQ265-1</f>
        <v>-0.0389105058365758</v>
      </c>
      <c r="GZ266" s="1181">
        <f t="shared" ref="GZ266" si="1418">GZ265/GR265-1</f>
        <v>-0.122719734660033</v>
      </c>
      <c r="HA266" s="1182">
        <f t="shared" ref="HA266" si="1419">HA265/GS265-1</f>
        <v>-0.221640488656195</v>
      </c>
      <c r="HB266" s="1181"/>
      <c r="HC266" s="1181"/>
      <c r="HD266" s="1181"/>
      <c r="HE266" s="1181"/>
      <c r="HF266" s="1181"/>
      <c r="HG266" s="1181"/>
      <c r="HH266" s="1181"/>
      <c r="HI266" s="1182"/>
      <c r="HJ266" s="1181"/>
      <c r="HK266" s="1181"/>
      <c r="HL266" s="1181"/>
      <c r="HM266" s="1181"/>
      <c r="HN266" s="1181"/>
      <c r="HO266" s="1181"/>
      <c r="HP266" s="1181"/>
      <c r="HQ266" s="1182"/>
      <c r="HR266" s="1181"/>
      <c r="HS266" s="1181"/>
      <c r="HT266" s="1181"/>
      <c r="HU266" s="1181"/>
      <c r="HV266" s="1181"/>
      <c r="HW266" s="1181"/>
      <c r="HX266" s="1181"/>
      <c r="HY266" s="1181"/>
      <c r="HZ266" s="1181"/>
      <c r="IA266" s="1181"/>
      <c r="IB266" s="1181"/>
      <c r="IC266" s="1181"/>
      <c r="ID266" s="1181"/>
      <c r="IE266" s="1181"/>
      <c r="IF266" s="1181"/>
      <c r="IG266" s="1182"/>
      <c r="IH266" s="1181"/>
      <c r="II266" s="1181"/>
      <c r="IJ266" s="1181"/>
      <c r="IK266" s="1181"/>
      <c r="IL266" s="1181"/>
      <c r="IM266" s="1181"/>
      <c r="IN266" s="1181"/>
      <c r="IO266" s="1182"/>
      <c r="IP266" s="1181"/>
      <c r="IQ266" s="1181"/>
      <c r="IR266" s="1181"/>
      <c r="IS266" s="1181"/>
      <c r="IT266" s="1181"/>
      <c r="IU266" s="1181"/>
      <c r="IV266" s="1181"/>
      <c r="IW266" s="1181"/>
      <c r="IX266" s="1104"/>
      <c r="IY266" s="1049"/>
      <c r="IZ266" s="1049"/>
      <c r="JA266" s="1049"/>
      <c r="JB266" s="1049"/>
      <c r="JC266" s="1049"/>
      <c r="JD266" s="1041"/>
      <c r="JE266" s="1037"/>
      <c r="JF266" s="1037"/>
      <c r="JG266" s="1037"/>
      <c r="JH266" s="1037"/>
      <c r="JI266" s="1035"/>
      <c r="JJ266" s="1035"/>
      <c r="JK266" s="1035"/>
      <c r="JL266" s="1035"/>
      <c r="JM266" s="1035"/>
      <c r="JN266" s="1035"/>
      <c r="JO266" s="1035"/>
      <c r="JP266" s="1035"/>
      <c r="JQ266" s="1094"/>
      <c r="JR266" s="1094"/>
      <c r="JS266" s="1094"/>
      <c r="JT266" s="1094"/>
      <c r="JU266" s="1035"/>
      <c r="JV266" s="1035"/>
      <c r="JW266" s="1035"/>
      <c r="JX266" s="1035"/>
      <c r="JY266" s="1035"/>
      <c r="KP266" s="1117"/>
      <c r="LV266" s="967"/>
    </row>
    <row r="267" hidden="1" spans="1:334">
      <c r="A267" s="967" t="s">
        <v>100</v>
      </c>
      <c r="AX267" s="1059"/>
      <c r="BE267" s="1060"/>
      <c r="BN267" s="1059"/>
      <c r="BU267" s="1060"/>
      <c r="BV267" s="1059"/>
      <c r="CC267" s="1060"/>
      <c r="CD267" s="1059"/>
      <c r="CJ267" s="1061"/>
      <c r="CK267" s="1060"/>
      <c r="CL267" s="1059"/>
      <c r="CS267" s="1060"/>
      <c r="CT267" s="1059"/>
      <c r="CW267" s="1062"/>
      <c r="CX267" s="1062"/>
      <c r="DE267" s="1064"/>
      <c r="DF267" s="1064"/>
      <c r="DM267" s="1064"/>
      <c r="DN267" s="1064"/>
      <c r="DU267" s="1064"/>
      <c r="DV267" s="1064"/>
      <c r="EC267" s="1064"/>
      <c r="ED267" s="1064"/>
      <c r="EH267" s="1181"/>
      <c r="EI267" s="1181"/>
      <c r="EJ267" s="1181"/>
      <c r="EK267" s="1181"/>
      <c r="EL267" s="1181"/>
      <c r="EM267" s="1181"/>
      <c r="EN267" s="1181"/>
      <c r="EO267" s="1182"/>
      <c r="EP267" s="1181"/>
      <c r="EQ267" s="1181"/>
      <c r="ER267" s="1181"/>
      <c r="ES267" s="1181"/>
      <c r="ET267" s="1181"/>
      <c r="EU267" s="1181"/>
      <c r="EV267" s="1181"/>
      <c r="EW267" s="1182"/>
      <c r="EX267" s="1181"/>
      <c r="EY267" s="1181"/>
      <c r="EZ267" s="1181"/>
      <c r="FA267" s="1181"/>
      <c r="FB267" s="1181"/>
      <c r="FC267" s="1181"/>
      <c r="FD267" s="1181"/>
      <c r="FE267" s="1182"/>
      <c r="FF267" s="1181">
        <v>0.1</v>
      </c>
      <c r="FG267" s="1181">
        <f>(EZ265*FH267-EX265*FF267)/EY265</f>
        <v>0.145393258426966</v>
      </c>
      <c r="FH267" s="1181">
        <v>0.12</v>
      </c>
      <c r="FI267" s="1181">
        <f>(FB265*FJ267-EZ265*FH267)/FA265</f>
        <v>0.14625754527163</v>
      </c>
      <c r="FJ267" s="1181">
        <v>0.13</v>
      </c>
      <c r="FK267" s="1181">
        <f>(FE265*FM267-FB265*FJ267)/FC265</f>
        <v>0.13</v>
      </c>
      <c r="FL267" s="1181">
        <f>(FE265*FM267-EZ265*FH267)/FD265</f>
        <v>0.139129943502825</v>
      </c>
      <c r="FM267" s="1182">
        <v>0.13</v>
      </c>
      <c r="FN267" s="1181">
        <v>0.16</v>
      </c>
      <c r="FO267" s="1181">
        <f>(FH265*FP267-FF265*FN267)/FG265</f>
        <v>0.1825</v>
      </c>
      <c r="FP267" s="1181">
        <v>0.17</v>
      </c>
      <c r="FQ267" s="1181">
        <f>(FJ265*FR267-FH265*FP267)/FI265</f>
        <v>0.19736577181208</v>
      </c>
      <c r="FR267" s="1181">
        <v>0.18</v>
      </c>
      <c r="FS267" s="1181">
        <f>(FM265*FU267-FJ265*FR267)/FK265</f>
        <v>0.18</v>
      </c>
      <c r="FT267" s="1181">
        <f>(FM265*FU267-FH265*FP267)/FL265</f>
        <v>0.189801136363636</v>
      </c>
      <c r="FU267" s="1181">
        <v>0.18</v>
      </c>
      <c r="FV267" s="1220">
        <v>0.16</v>
      </c>
      <c r="FW267" s="1181">
        <v>0.14</v>
      </c>
      <c r="FX267" s="1218">
        <f>(FV267*FN264+FW267*FO264)/FP264</f>
        <v>0.151013354281225</v>
      </c>
      <c r="FY267" s="1181">
        <f>(FR265*FZ267-FP265*FX267)/FQ265</f>
        <v>0.0448848288270025</v>
      </c>
      <c r="FZ267" s="1181">
        <v>0.11</v>
      </c>
      <c r="GA267" s="1181">
        <f>(FU265*GC267-FR265*FZ267)/FS265</f>
        <v>0.11</v>
      </c>
      <c r="GB267" s="1181">
        <f>(FU265*GC267-FP265*FX267)/FT265</f>
        <v>0.0729472330037133</v>
      </c>
      <c r="GC267" s="1182">
        <v>0.11</v>
      </c>
      <c r="GD267" s="1220">
        <v>-0.06</v>
      </c>
      <c r="GE267" s="1181">
        <v>0.0314383561643835</v>
      </c>
      <c r="GF267" s="1218">
        <f>(GD267*FV265+GE267*FW265)/FX265</f>
        <v>-0.02</v>
      </c>
      <c r="GG267" s="1181">
        <v>-0.01</v>
      </c>
      <c r="GH267" s="1181"/>
      <c r="GI267" s="1181">
        <v>-0.09</v>
      </c>
      <c r="GJ267" s="1181">
        <f>(GC265*GK267-FX265*GF267)/GB265</f>
        <v>-0.0610567823343849</v>
      </c>
      <c r="GK267" s="1182">
        <v>-0.04</v>
      </c>
      <c r="GL267" s="1218">
        <v>0.1</v>
      </c>
      <c r="GM267" s="1181">
        <v>0.13</v>
      </c>
      <c r="GN267" s="1218">
        <f>(GL267*GD265+GM267*GE265)/GF265</f>
        <v>0.113433734939759</v>
      </c>
      <c r="GO267" s="1181">
        <v>0.15</v>
      </c>
      <c r="GP267" s="1181"/>
      <c r="GQ267" s="1181">
        <v>0.11</v>
      </c>
      <c r="GR267" s="1181">
        <f>(GK265*GS267-GF265*GN267)/GJ265</f>
        <v>0.12638671875</v>
      </c>
      <c r="GS267" s="1182">
        <v>0.12</v>
      </c>
      <c r="GT267" s="1218">
        <v>-0.09</v>
      </c>
      <c r="GU267" s="1181">
        <v>-0.6</v>
      </c>
      <c r="GV267" s="1218">
        <f>(GT267*GL265+GU267*GM265)/GN265</f>
        <v>-0.325745856353591</v>
      </c>
      <c r="GW267" s="1181">
        <v>-0.1</v>
      </c>
      <c r="GX267" s="1181"/>
      <c r="GY267" s="1181">
        <v>0.11</v>
      </c>
      <c r="GZ267" s="1181">
        <f>(GS265*HA267-GN265*GV267)/GR265</f>
        <v>-0.0107462686567164</v>
      </c>
      <c r="HA267" s="1182">
        <v>-0.16</v>
      </c>
      <c r="HB267" s="1181"/>
      <c r="HC267" s="1181"/>
      <c r="HD267" s="1181"/>
      <c r="HE267" s="1181"/>
      <c r="HF267" s="1181"/>
      <c r="HG267" s="1181"/>
      <c r="HH267" s="1181"/>
      <c r="HI267" s="1182"/>
      <c r="HJ267" s="1181"/>
      <c r="HK267" s="1181"/>
      <c r="HL267" s="1181"/>
      <c r="HM267" s="1181"/>
      <c r="HN267" s="1181"/>
      <c r="HO267" s="1181"/>
      <c r="HP267" s="1181"/>
      <c r="HQ267" s="1182"/>
      <c r="HR267" s="1181"/>
      <c r="HS267" s="1181"/>
      <c r="HT267" s="1181"/>
      <c r="HU267" s="1181"/>
      <c r="HV267" s="1181"/>
      <c r="HW267" s="1181"/>
      <c r="HX267" s="1181"/>
      <c r="HY267" s="1181"/>
      <c r="HZ267" s="1181"/>
      <c r="IA267" s="1181"/>
      <c r="IB267" s="1181"/>
      <c r="IC267" s="1181"/>
      <c r="ID267" s="1181"/>
      <c r="IE267" s="1181"/>
      <c r="IF267" s="1181"/>
      <c r="IG267" s="1182"/>
      <c r="IH267" s="1181"/>
      <c r="II267" s="1181"/>
      <c r="IJ267" s="1181"/>
      <c r="IK267" s="1181"/>
      <c r="IL267" s="1181"/>
      <c r="IM267" s="1181"/>
      <c r="IN267" s="1181"/>
      <c r="IO267" s="1182"/>
      <c r="IP267" s="1181"/>
      <c r="IQ267" s="1181"/>
      <c r="IR267" s="1181"/>
      <c r="IS267" s="1181"/>
      <c r="IT267" s="1181"/>
      <c r="IU267" s="1181"/>
      <c r="IV267" s="1181"/>
      <c r="IW267" s="1181"/>
      <c r="IX267" s="1104"/>
      <c r="IY267" s="1049"/>
      <c r="IZ267" s="1049"/>
      <c r="JA267" s="1049"/>
      <c r="JB267" s="1049"/>
      <c r="JC267" s="1049"/>
      <c r="JD267" s="1041"/>
      <c r="JE267" s="1037"/>
      <c r="JF267" s="1037"/>
      <c r="JG267" s="1037"/>
      <c r="JH267" s="1037"/>
      <c r="JI267" s="1035"/>
      <c r="JJ267" s="1035"/>
      <c r="JK267" s="1035"/>
      <c r="JL267" s="1035"/>
      <c r="JM267" s="1035"/>
      <c r="JN267" s="1035"/>
      <c r="JO267" s="1035"/>
      <c r="JP267" s="1035"/>
      <c r="JQ267" s="1035"/>
      <c r="JR267" s="1035"/>
      <c r="JS267" s="1035"/>
      <c r="JT267" s="1035"/>
      <c r="JU267" s="1035"/>
      <c r="JV267" s="1035"/>
      <c r="JW267" s="1035"/>
      <c r="JX267" s="1035"/>
      <c r="JY267" s="1035"/>
      <c r="KP267" s="1117"/>
      <c r="LV267" s="967"/>
    </row>
    <row r="268" hidden="1" spans="1:334">
      <c r="A268" s="967" t="s">
        <v>82</v>
      </c>
      <c r="AX268" s="1059"/>
      <c r="BE268" s="1060"/>
      <c r="BN268" s="1059"/>
      <c r="BU268" s="1060"/>
      <c r="BV268" s="1059"/>
      <c r="CC268" s="1060"/>
      <c r="CD268" s="1059"/>
      <c r="CJ268" s="1061"/>
      <c r="CK268" s="1060"/>
      <c r="CL268" s="1059"/>
      <c r="CS268" s="1060"/>
      <c r="CT268" s="1059"/>
      <c r="CW268" s="1062"/>
      <c r="CX268" s="1062"/>
      <c r="DE268" s="1064"/>
      <c r="DF268" s="1064"/>
      <c r="DM268" s="1064"/>
      <c r="DN268" s="1064"/>
      <c r="DU268" s="1064"/>
      <c r="DV268" s="1064"/>
      <c r="EC268" s="1064"/>
      <c r="ED268" s="1064"/>
      <c r="EH268" s="1181"/>
      <c r="EI268" s="1181"/>
      <c r="EJ268" s="1181"/>
      <c r="EK268" s="1181"/>
      <c r="EL268" s="1181"/>
      <c r="EM268" s="1181"/>
      <c r="EN268" s="1181"/>
      <c r="EO268" s="1182"/>
      <c r="EP268" s="1181"/>
      <c r="EQ268" s="1181"/>
      <c r="ER268" s="1181"/>
      <c r="ES268" s="1181"/>
      <c r="ET268" s="1181"/>
      <c r="EU268" s="1181"/>
      <c r="EV268" s="1181"/>
      <c r="EW268" s="1182"/>
      <c r="EX268" s="1148">
        <v>51</v>
      </c>
      <c r="EY268" s="1148">
        <v>53</v>
      </c>
      <c r="EZ268" s="1148">
        <f>EX268+EY268</f>
        <v>104</v>
      </c>
      <c r="FA268" s="1148">
        <v>64</v>
      </c>
      <c r="FB268" s="1148">
        <f>EX268+EY268+FA268</f>
        <v>168</v>
      </c>
      <c r="FC268" s="1148">
        <v>64</v>
      </c>
      <c r="FD268" s="1148">
        <f>FA268+FC268</f>
        <v>128</v>
      </c>
      <c r="FE268" s="1149">
        <f>EX268+EY268+FA268+FC268</f>
        <v>232</v>
      </c>
      <c r="FF268" s="1148">
        <v>60</v>
      </c>
      <c r="FG268" s="1148">
        <f>FH268-FF268</f>
        <v>76</v>
      </c>
      <c r="FH268" s="1148">
        <v>136</v>
      </c>
      <c r="FI268" s="1148">
        <f>FJ268-FH268</f>
        <v>78</v>
      </c>
      <c r="FJ268" s="1148">
        <v>214</v>
      </c>
      <c r="FK268" s="1148">
        <f>FM268-FJ268</f>
        <v>84</v>
      </c>
      <c r="FL268" s="1148">
        <f>FI268+FK268</f>
        <v>162</v>
      </c>
      <c r="FM268" s="1149">
        <v>298</v>
      </c>
      <c r="FN268" s="1148">
        <v>71</v>
      </c>
      <c r="FO268" s="1148">
        <f>FP268-FN268</f>
        <v>70</v>
      </c>
      <c r="FP268" s="1148">
        <v>141</v>
      </c>
      <c r="FQ268" s="1148">
        <f>FR268-FP268</f>
        <v>81</v>
      </c>
      <c r="FR268" s="1148">
        <v>222</v>
      </c>
      <c r="FS268" s="1148">
        <f>FU268-FR268</f>
        <v>79</v>
      </c>
      <c r="FT268" s="1148">
        <f>FQ268+FS268</f>
        <v>160</v>
      </c>
      <c r="FU268" s="1148">
        <v>301</v>
      </c>
      <c r="FV268" s="1278">
        <v>83</v>
      </c>
      <c r="FW268" s="1148">
        <v>74</v>
      </c>
      <c r="FX268" s="1279">
        <f>FV268+FW268</f>
        <v>157</v>
      </c>
      <c r="FY268" s="1148">
        <f>FZ268-FX268</f>
        <v>85</v>
      </c>
      <c r="FZ268" s="1148">
        <v>242</v>
      </c>
      <c r="GA268" s="1148">
        <f>GC268-FZ268</f>
        <v>62</v>
      </c>
      <c r="GB268" s="1148">
        <f>FY268+GA268</f>
        <v>147</v>
      </c>
      <c r="GC268" s="1149">
        <v>304</v>
      </c>
      <c r="GD268" s="1278">
        <v>33</v>
      </c>
      <c r="GE268" s="1148">
        <v>29</v>
      </c>
      <c r="GF268" s="1279">
        <f>GD268+GE268</f>
        <v>62</v>
      </c>
      <c r="GG268" s="1148">
        <v>38</v>
      </c>
      <c r="GH268" s="1148">
        <f>GG268+GF268</f>
        <v>100</v>
      </c>
      <c r="GI268" s="1148">
        <f>GK268-GH268</f>
        <v>34</v>
      </c>
      <c r="GJ268" s="1148">
        <f>GG268+GI268</f>
        <v>72</v>
      </c>
      <c r="GK268" s="1149">
        <f>GK264-GK265</f>
        <v>134</v>
      </c>
      <c r="GL268" s="1279">
        <v>37</v>
      </c>
      <c r="GM268" s="1148">
        <v>31</v>
      </c>
      <c r="GN268" s="1279">
        <f>GL268+GM268</f>
        <v>68</v>
      </c>
      <c r="GO268" s="1148">
        <v>42</v>
      </c>
      <c r="GP268" s="1148">
        <f>GO268+GN268</f>
        <v>110</v>
      </c>
      <c r="GQ268" s="1148">
        <f>GS268-GP268</f>
        <v>45.9999999999998</v>
      </c>
      <c r="GR268" s="1148">
        <f>GO268+GQ268</f>
        <v>87.9999999999998</v>
      </c>
      <c r="GS268" s="1149">
        <f>GS264-GS265</f>
        <v>156</v>
      </c>
      <c r="GT268" s="1279">
        <v>28</v>
      </c>
      <c r="GU268" s="1148">
        <v>11</v>
      </c>
      <c r="GV268" s="1279">
        <f>GT268+GU268</f>
        <v>39</v>
      </c>
      <c r="GW268" s="1148">
        <v>32</v>
      </c>
      <c r="GX268" s="1148">
        <f>GW268+GV268</f>
        <v>71</v>
      </c>
      <c r="GY268" s="1148">
        <f>HA268-GX268</f>
        <v>35</v>
      </c>
      <c r="GZ268" s="1148">
        <f>GW268+GY268</f>
        <v>67</v>
      </c>
      <c r="HA268" s="1149">
        <f>HA264-HA265</f>
        <v>106</v>
      </c>
      <c r="HB268" s="1148"/>
      <c r="HC268" s="1148"/>
      <c r="HD268" s="1148"/>
      <c r="HE268" s="1148"/>
      <c r="HF268" s="1148"/>
      <c r="HG268" s="1148"/>
      <c r="HH268" s="1148"/>
      <c r="HI268" s="1149"/>
      <c r="HJ268" s="1148"/>
      <c r="HK268" s="1148"/>
      <c r="HL268" s="1148"/>
      <c r="HM268" s="1148"/>
      <c r="HN268" s="1148"/>
      <c r="HO268" s="1148"/>
      <c r="HP268" s="1148"/>
      <c r="HQ268" s="1149"/>
      <c r="HR268" s="1148"/>
      <c r="HS268" s="1148"/>
      <c r="HT268" s="1148"/>
      <c r="HU268" s="1148"/>
      <c r="HV268" s="1148"/>
      <c r="HW268" s="1148"/>
      <c r="HX268" s="1148"/>
      <c r="HY268" s="1148"/>
      <c r="HZ268" s="1148"/>
      <c r="IA268" s="1148"/>
      <c r="IB268" s="1148"/>
      <c r="IC268" s="1148"/>
      <c r="ID268" s="1148"/>
      <c r="IE268" s="1148"/>
      <c r="IF268" s="1148"/>
      <c r="IG268" s="1149"/>
      <c r="IH268" s="1148"/>
      <c r="II268" s="1148"/>
      <c r="IJ268" s="1148"/>
      <c r="IK268" s="1148"/>
      <c r="IL268" s="1148"/>
      <c r="IM268" s="1148"/>
      <c r="IN268" s="1148"/>
      <c r="IO268" s="1149"/>
      <c r="IP268" s="1148"/>
      <c r="IQ268" s="1148"/>
      <c r="IR268" s="1148"/>
      <c r="IS268" s="1148"/>
      <c r="IT268" s="1148"/>
      <c r="IU268" s="1148"/>
      <c r="IV268" s="1148"/>
      <c r="IW268" s="1148"/>
      <c r="IX268" s="1104"/>
      <c r="IY268" s="1049"/>
      <c r="IZ268" s="1049"/>
      <c r="JA268" s="1049"/>
      <c r="JB268" s="1049"/>
      <c r="JC268" s="1049"/>
      <c r="JD268" s="1041"/>
      <c r="JE268" s="1037"/>
      <c r="JF268" s="1037"/>
      <c r="JG268" s="1037"/>
      <c r="JH268" s="1037"/>
      <c r="JI268" s="1035"/>
      <c r="JJ268" s="1035"/>
      <c r="JK268" s="1035"/>
      <c r="JL268" s="1035"/>
      <c r="JM268" s="1035"/>
      <c r="JN268" s="1035"/>
      <c r="JO268" s="1035"/>
      <c r="JP268" s="1035"/>
      <c r="JQ268" s="1035"/>
      <c r="JR268" s="1035"/>
      <c r="JS268" s="1035"/>
      <c r="JT268" s="1035"/>
      <c r="JU268" s="1035"/>
      <c r="JV268" s="1035"/>
      <c r="JW268" s="1035"/>
      <c r="JX268" s="1035"/>
      <c r="JY268" s="1035"/>
      <c r="KP268" s="1117"/>
      <c r="LV268" s="967"/>
    </row>
    <row r="269" hidden="1" spans="1:334">
      <c r="A269" s="967" t="s">
        <v>113</v>
      </c>
      <c r="AX269" s="1059"/>
      <c r="BE269" s="1060"/>
      <c r="BN269" s="1059"/>
      <c r="BU269" s="1060"/>
      <c r="BV269" s="1059"/>
      <c r="CC269" s="1060"/>
      <c r="CD269" s="1059"/>
      <c r="CJ269" s="1061"/>
      <c r="CK269" s="1060"/>
      <c r="CL269" s="1059"/>
      <c r="CS269" s="1060"/>
      <c r="CT269" s="1059"/>
      <c r="CW269" s="1062"/>
      <c r="CX269" s="1062"/>
      <c r="DE269" s="1064"/>
      <c r="DF269" s="1064"/>
      <c r="DM269" s="1064"/>
      <c r="DN269" s="1064"/>
      <c r="DU269" s="1064"/>
      <c r="DV269" s="1064"/>
      <c r="EC269" s="1064"/>
      <c r="ED269" s="1064"/>
      <c r="EH269" s="1181"/>
      <c r="EI269" s="1181"/>
      <c r="EJ269" s="1181"/>
      <c r="EK269" s="1181"/>
      <c r="EL269" s="1181"/>
      <c r="EM269" s="1181"/>
      <c r="EN269" s="1181"/>
      <c r="EO269" s="1182"/>
      <c r="EP269" s="1181"/>
      <c r="EQ269" s="1181"/>
      <c r="ER269" s="1181"/>
      <c r="ES269" s="1181"/>
      <c r="ET269" s="1181"/>
      <c r="EU269" s="1181"/>
      <c r="EV269" s="1181"/>
      <c r="EW269" s="1182"/>
      <c r="EX269" s="1181"/>
      <c r="EY269" s="1181"/>
      <c r="EZ269" s="1181"/>
      <c r="FA269" s="1181"/>
      <c r="FB269" s="1181"/>
      <c r="FC269" s="1181"/>
      <c r="FD269" s="1181"/>
      <c r="FE269" s="1182"/>
      <c r="FF269" s="1181">
        <f t="shared" ref="FF269:FM269" si="1420">FF268/EX268-1</f>
        <v>0.176470588235294</v>
      </c>
      <c r="FG269" s="1181">
        <f t="shared" si="1420"/>
        <v>0.433962264150943</v>
      </c>
      <c r="FH269" s="1181">
        <f t="shared" si="1420"/>
        <v>0.307692307692308</v>
      </c>
      <c r="FI269" s="1181">
        <f t="shared" si="1420"/>
        <v>0.21875</v>
      </c>
      <c r="FJ269" s="1181">
        <f t="shared" si="1420"/>
        <v>0.273809523809524</v>
      </c>
      <c r="FK269" s="1181">
        <f t="shared" si="1420"/>
        <v>0.3125</v>
      </c>
      <c r="FL269" s="1181">
        <f t="shared" si="1420"/>
        <v>0.265625</v>
      </c>
      <c r="FM269" s="1182">
        <f t="shared" si="1420"/>
        <v>0.28448275862069</v>
      </c>
      <c r="FN269" s="1181">
        <f t="shared" ref="FN269:FX269" si="1421">FN268/FF268-1</f>
        <v>0.183333333333333</v>
      </c>
      <c r="FO269" s="1181">
        <f t="shared" si="1421"/>
        <v>-0.0789473684210527</v>
      </c>
      <c r="FP269" s="1181">
        <f t="shared" si="1421"/>
        <v>0.036764705882353</v>
      </c>
      <c r="FQ269" s="1181">
        <f t="shared" si="1421"/>
        <v>0.0384615384615385</v>
      </c>
      <c r="FR269" s="1181">
        <f t="shared" si="1421"/>
        <v>0.0373831775700935</v>
      </c>
      <c r="FS269" s="1181">
        <f t="shared" si="1421"/>
        <v>-0.0595238095238095</v>
      </c>
      <c r="FT269" s="1181">
        <f t="shared" si="1421"/>
        <v>-0.0123456790123457</v>
      </c>
      <c r="FU269" s="1181">
        <f t="shared" si="1421"/>
        <v>0.0100671140939597</v>
      </c>
      <c r="FV269" s="1220">
        <f t="shared" si="1421"/>
        <v>0.169014084507042</v>
      </c>
      <c r="FW269" s="1181">
        <f t="shared" si="1421"/>
        <v>0.0571428571428572</v>
      </c>
      <c r="FX269" s="1181">
        <f t="shared" si="1421"/>
        <v>0.113475177304964</v>
      </c>
      <c r="FY269" s="1181">
        <f t="shared" ref="FY269" si="1422">FY268/FQ268-1</f>
        <v>0.0493827160493827</v>
      </c>
      <c r="FZ269" s="1181">
        <f t="shared" ref="FZ269" si="1423">FZ268/FR268-1</f>
        <v>0.0900900900900901</v>
      </c>
      <c r="GA269" s="1181">
        <f t="shared" ref="GA269" si="1424">GA268/FS268-1</f>
        <v>-0.215189873417722</v>
      </c>
      <c r="GB269" s="1181">
        <f t="shared" ref="GB269" si="1425">GB268/FT268-1</f>
        <v>-0.08125</v>
      </c>
      <c r="GC269" s="1182">
        <f t="shared" ref="GC269" si="1426">GC268/FU268-1</f>
        <v>0.00996677740863783</v>
      </c>
      <c r="GD269" s="1220">
        <v>-0.1</v>
      </c>
      <c r="GE269" s="1181">
        <f>((GF269*FX268)-(GD269*FV268))/FW268</f>
        <v>-0.227297297297297</v>
      </c>
      <c r="GF269" s="1181">
        <v>-0.16</v>
      </c>
      <c r="GG269" s="1181">
        <v>-0.2</v>
      </c>
      <c r="GH269" s="1181">
        <f>GH268/FZ268-1</f>
        <v>-0.586776859504132</v>
      </c>
      <c r="GI269" s="1181">
        <f t="shared" ref="GI269" si="1427">GI268/GA268-1</f>
        <v>-0.451612903225806</v>
      </c>
      <c r="GJ269" s="1181">
        <f t="shared" ref="GJ269" si="1428">GJ268/GB268-1</f>
        <v>-0.510204081632653</v>
      </c>
      <c r="GK269" s="1182">
        <f t="shared" ref="GK269:GL269" si="1429">GK268/GC268-1</f>
        <v>-0.559210526315789</v>
      </c>
      <c r="GL269" s="1181">
        <f t="shared" si="1429"/>
        <v>0.121212121212121</v>
      </c>
      <c r="GM269" s="1181">
        <f t="shared" ref="GM269:GP269" si="1430">GM268/GE268-1</f>
        <v>0.0689655172413792</v>
      </c>
      <c r="GN269" s="1181">
        <f t="shared" ref="GN269" si="1431">GN268/GF268-1</f>
        <v>0.096774193548387</v>
      </c>
      <c r="GO269" s="1181">
        <f t="shared" si="1430"/>
        <v>0.105263157894737</v>
      </c>
      <c r="GP269" s="1181">
        <f t="shared" si="1430"/>
        <v>0.1</v>
      </c>
      <c r="GQ269" s="1181">
        <f t="shared" ref="GQ269" si="1432">GQ268/GI268-1</f>
        <v>0.352941176470582</v>
      </c>
      <c r="GR269" s="1181">
        <f t="shared" ref="GR269" si="1433">GR268/GJ268-1</f>
        <v>0.222222222222219</v>
      </c>
      <c r="GS269" s="1182">
        <f t="shared" ref="GS269:GT269" si="1434">GS268/GK268-1</f>
        <v>0.16417910447761</v>
      </c>
      <c r="GT269" s="1181">
        <f t="shared" si="1434"/>
        <v>-0.243243243243243</v>
      </c>
      <c r="GU269" s="1181">
        <f t="shared" ref="GU269" si="1435">GU268/GM268-1</f>
        <v>-0.645161290322581</v>
      </c>
      <c r="GV269" s="1181">
        <f t="shared" ref="GV269:GX269" si="1436">GV268/GN268-1</f>
        <v>-0.426470588235294</v>
      </c>
      <c r="GW269" s="1181">
        <f t="shared" si="1436"/>
        <v>-0.238095238095238</v>
      </c>
      <c r="GX269" s="1181">
        <f t="shared" si="1436"/>
        <v>-0.354545454545454</v>
      </c>
      <c r="GY269" s="1181">
        <f t="shared" ref="GY269" si="1437">GY268/GQ268-1</f>
        <v>-0.239130434782605</v>
      </c>
      <c r="GZ269" s="1181">
        <f t="shared" ref="GZ269" si="1438">GZ268/GR268-1</f>
        <v>-0.238636363636362</v>
      </c>
      <c r="HA269" s="1182">
        <f t="shared" ref="HA269" si="1439">HA268/GS268-1</f>
        <v>-0.320512820512819</v>
      </c>
      <c r="HB269" s="1181"/>
      <c r="HC269" s="1181"/>
      <c r="HD269" s="1181"/>
      <c r="HE269" s="1181"/>
      <c r="HF269" s="1181"/>
      <c r="HG269" s="1181"/>
      <c r="HH269" s="1181"/>
      <c r="HI269" s="1182"/>
      <c r="HJ269" s="1181"/>
      <c r="HK269" s="1181"/>
      <c r="HL269" s="1181"/>
      <c r="HM269" s="1181"/>
      <c r="HN269" s="1181"/>
      <c r="HO269" s="1181"/>
      <c r="HP269" s="1181"/>
      <c r="HQ269" s="1182"/>
      <c r="HR269" s="1181"/>
      <c r="HS269" s="1181"/>
      <c r="HT269" s="1181"/>
      <c r="HU269" s="1181"/>
      <c r="HV269" s="1181"/>
      <c r="HW269" s="1181"/>
      <c r="HX269" s="1181"/>
      <c r="HY269" s="1181"/>
      <c r="HZ269" s="1181"/>
      <c r="IA269" s="1181"/>
      <c r="IB269" s="1181"/>
      <c r="IC269" s="1181"/>
      <c r="ID269" s="1181"/>
      <c r="IE269" s="1181"/>
      <c r="IF269" s="1181"/>
      <c r="IG269" s="1182"/>
      <c r="IH269" s="1181"/>
      <c r="II269" s="1181"/>
      <c r="IJ269" s="1181"/>
      <c r="IK269" s="1181"/>
      <c r="IL269" s="1181"/>
      <c r="IM269" s="1181"/>
      <c r="IN269" s="1181"/>
      <c r="IO269" s="1182"/>
      <c r="IP269" s="1181"/>
      <c r="IQ269" s="1181"/>
      <c r="IR269" s="1181"/>
      <c r="IS269" s="1181"/>
      <c r="IT269" s="1181"/>
      <c r="IU269" s="1181"/>
      <c r="IV269" s="1181"/>
      <c r="IW269" s="1181"/>
      <c r="IX269" s="1104"/>
      <c r="IY269" s="1049"/>
      <c r="IZ269" s="1049"/>
      <c r="JA269" s="1049"/>
      <c r="JB269" s="1049"/>
      <c r="JC269" s="1049"/>
      <c r="JD269" s="1041"/>
      <c r="JE269" s="1037"/>
      <c r="JF269" s="1037"/>
      <c r="JG269" s="1037"/>
      <c r="JH269" s="1037"/>
      <c r="JI269" s="1035"/>
      <c r="JJ269" s="1035"/>
      <c r="JK269" s="1035"/>
      <c r="JL269" s="1035"/>
      <c r="JM269" s="1035"/>
      <c r="JN269" s="1035"/>
      <c r="JO269" s="1035"/>
      <c r="JP269" s="1035"/>
      <c r="JQ269" s="1035"/>
      <c r="JR269" s="1035"/>
      <c r="JS269" s="1035"/>
      <c r="JT269" s="1035"/>
      <c r="JU269" s="1035"/>
      <c r="JV269" s="1035"/>
      <c r="JW269" s="1035"/>
      <c r="JX269" s="1035"/>
      <c r="JY269" s="1035"/>
      <c r="KP269" s="1117"/>
      <c r="LV269" s="967"/>
    </row>
    <row r="270" hidden="1" spans="1:334">
      <c r="A270" s="967" t="s">
        <v>100</v>
      </c>
      <c r="AX270" s="1059"/>
      <c r="BE270" s="1060"/>
      <c r="BN270" s="1059"/>
      <c r="BU270" s="1060"/>
      <c r="BV270" s="1059"/>
      <c r="CC270" s="1060"/>
      <c r="CD270" s="1059"/>
      <c r="CJ270" s="1061"/>
      <c r="CK270" s="1060"/>
      <c r="CL270" s="1059"/>
      <c r="CS270" s="1060"/>
      <c r="CT270" s="1059"/>
      <c r="CW270" s="1062"/>
      <c r="CX270" s="1062"/>
      <c r="DE270" s="1064"/>
      <c r="DF270" s="1064"/>
      <c r="DM270" s="1064"/>
      <c r="DN270" s="1064"/>
      <c r="DU270" s="1064"/>
      <c r="DV270" s="1064"/>
      <c r="EC270" s="1064"/>
      <c r="ED270" s="1064"/>
      <c r="EH270" s="1181"/>
      <c r="EI270" s="1181"/>
      <c r="EJ270" s="1181"/>
      <c r="EK270" s="1181"/>
      <c r="EL270" s="1181"/>
      <c r="EM270" s="1181"/>
      <c r="EN270" s="1181"/>
      <c r="EO270" s="1182"/>
      <c r="EP270" s="1181"/>
      <c r="EQ270" s="1181"/>
      <c r="ER270" s="1181"/>
      <c r="ES270" s="1181"/>
      <c r="ET270" s="1181"/>
      <c r="EU270" s="1181"/>
      <c r="EV270" s="1181"/>
      <c r="EW270" s="1182"/>
      <c r="EX270" s="1181"/>
      <c r="EY270" s="1181"/>
      <c r="EZ270" s="1181"/>
      <c r="FA270" s="1181"/>
      <c r="FB270" s="1181"/>
      <c r="FC270" s="1181"/>
      <c r="FD270" s="1181"/>
      <c r="FE270" s="1182"/>
      <c r="FF270" s="1181">
        <v>0.03</v>
      </c>
      <c r="FG270" s="1181">
        <f>(EZ268*FH270-EX268*FF270)/EY268</f>
        <v>0.22622641509434</v>
      </c>
      <c r="FH270" s="1181">
        <v>0.13</v>
      </c>
      <c r="FI270" s="1181">
        <f>(FB268*FJ270-EZ268*FH270)/FA268</f>
        <v>0.13</v>
      </c>
      <c r="FJ270" s="1181">
        <v>0.13</v>
      </c>
      <c r="FK270" s="1181">
        <f>(FE268*FM270-FB268*FJ270)/FC268</f>
        <v>0.2025</v>
      </c>
      <c r="FL270" s="1181">
        <f>(FE268*FM270-EZ268*FH270)/FD268</f>
        <v>0.16625</v>
      </c>
      <c r="FM270" s="1182">
        <v>0.15</v>
      </c>
      <c r="FN270" s="1181">
        <v>0.24</v>
      </c>
      <c r="FO270" s="1181">
        <f>(FH268*FP270-FF268*FN270)/FG268</f>
        <v>-0.0284210526315789</v>
      </c>
      <c r="FP270" s="1181">
        <v>0.09</v>
      </c>
      <c r="FQ270" s="1181">
        <f>(FJ268*FR270-FH268*FP270)/FI268</f>
        <v>0.0351282051282052</v>
      </c>
      <c r="FR270" s="1181">
        <v>0.07</v>
      </c>
      <c r="FS270" s="1181">
        <f>(FM268*FU270-FJ268*FR270)/FK268</f>
        <v>-0.0719047619047619</v>
      </c>
      <c r="FT270" s="1181">
        <f>(FM268*FU270-FH268*FP270)/FL268</f>
        <v>-0.0203703703703704</v>
      </c>
      <c r="FU270" s="1181">
        <v>0.03</v>
      </c>
      <c r="FV270" s="1220">
        <v>0.12</v>
      </c>
      <c r="FW270" s="1181">
        <v>0.02</v>
      </c>
      <c r="FX270" s="1218">
        <f>(FV270*FN264+FW270*FO264)/FP264</f>
        <v>0.0750667714061272</v>
      </c>
      <c r="FY270" s="1181">
        <f>(FR268*FZ270-FP268*FX270)/FQ268</f>
        <v>0.0885874719967415</v>
      </c>
      <c r="FZ270" s="1181">
        <v>0.08</v>
      </c>
      <c r="GA270" s="1181">
        <f>(FU268*GC270-FR268*FZ270)/FS268</f>
        <v>-0.148607594936709</v>
      </c>
      <c r="GB270" s="1181">
        <f>(FU268*GC270-FP268*FX270)/FT268</f>
        <v>-0.0285275923016496</v>
      </c>
      <c r="GC270" s="1182">
        <v>0.02</v>
      </c>
      <c r="GD270" s="1220">
        <v>0.01</v>
      </c>
      <c r="GE270" s="1181">
        <v>-0.117297297297297</v>
      </c>
      <c r="GF270" s="1218">
        <f>(GD270*FV268+GE270*FW268)/FX268</f>
        <v>-0.05</v>
      </c>
      <c r="GG270" s="1181">
        <v>-0.11</v>
      </c>
      <c r="GH270" s="1181"/>
      <c r="GI270" s="1181">
        <v>0.33</v>
      </c>
      <c r="GJ270" s="1181">
        <f>(GC268*GK270-FX268*GF270)/GB268</f>
        <v>0.0534013605442177</v>
      </c>
      <c r="GK270" s="1182">
        <v>0</v>
      </c>
      <c r="GL270" s="1218">
        <v>0.15</v>
      </c>
      <c r="GM270" s="1181">
        <v>0.04</v>
      </c>
      <c r="GN270" s="1218">
        <f>(GL270*GD268+GM270*GE268)/GF268</f>
        <v>0.0985483870967742</v>
      </c>
      <c r="GO270" s="1181">
        <v>0.08</v>
      </c>
      <c r="GP270" s="1181"/>
      <c r="GQ270" s="1181">
        <v>0.27</v>
      </c>
      <c r="GR270" s="1181">
        <f>(GK268*GS270-GF268*GN270)/GJ268</f>
        <v>0.175694444444444</v>
      </c>
      <c r="GS270" s="1182">
        <v>0.14</v>
      </c>
      <c r="GT270" s="1218">
        <v>-0.27</v>
      </c>
      <c r="GU270" s="1181">
        <v>-0.64</v>
      </c>
      <c r="GV270" s="1218">
        <f>(GT270*GL268+GU270*GM268)/GN268</f>
        <v>-0.438676470588235</v>
      </c>
      <c r="GW270" s="1181">
        <v>-0.16</v>
      </c>
      <c r="GX270" s="1181"/>
      <c r="GY270" s="1181">
        <v>-0.14</v>
      </c>
      <c r="GZ270" s="1181">
        <f>(GS268*HA270-GN268*GV270)/GR268</f>
        <v>-0.157386363636363</v>
      </c>
      <c r="HA270" s="1182">
        <v>-0.28</v>
      </c>
      <c r="HB270" s="1181"/>
      <c r="HC270" s="1181"/>
      <c r="HD270" s="1181"/>
      <c r="HE270" s="1181"/>
      <c r="HF270" s="1181"/>
      <c r="HG270" s="1181"/>
      <c r="HH270" s="1181"/>
      <c r="HI270" s="1182"/>
      <c r="HJ270" s="1181"/>
      <c r="HK270" s="1181"/>
      <c r="HL270" s="1181"/>
      <c r="HM270" s="1181"/>
      <c r="HN270" s="1181"/>
      <c r="HO270" s="1181"/>
      <c r="HP270" s="1181"/>
      <c r="HQ270" s="1182"/>
      <c r="HR270" s="1181"/>
      <c r="HS270" s="1181"/>
      <c r="HT270" s="1181"/>
      <c r="HU270" s="1181"/>
      <c r="HV270" s="1181"/>
      <c r="HW270" s="1181"/>
      <c r="HX270" s="1181"/>
      <c r="HY270" s="1181"/>
      <c r="HZ270" s="1181"/>
      <c r="IA270" s="1181"/>
      <c r="IB270" s="1181"/>
      <c r="IC270" s="1181"/>
      <c r="ID270" s="1181"/>
      <c r="IE270" s="1181"/>
      <c r="IF270" s="1181"/>
      <c r="IG270" s="1182"/>
      <c r="IH270" s="1181"/>
      <c r="II270" s="1181"/>
      <c r="IJ270" s="1181"/>
      <c r="IK270" s="1181"/>
      <c r="IL270" s="1181"/>
      <c r="IM270" s="1181"/>
      <c r="IN270" s="1181"/>
      <c r="IO270" s="1182"/>
      <c r="IP270" s="1181"/>
      <c r="IQ270" s="1181"/>
      <c r="IR270" s="1181"/>
      <c r="IS270" s="1181"/>
      <c r="IT270" s="1181"/>
      <c r="IU270" s="1181"/>
      <c r="IV270" s="1181"/>
      <c r="IW270" s="1181"/>
      <c r="IX270" s="1104"/>
      <c r="IY270" s="1049"/>
      <c r="IZ270" s="1049"/>
      <c r="JA270" s="1049"/>
      <c r="JB270" s="1049"/>
      <c r="JC270" s="1049"/>
      <c r="JD270" s="1041"/>
      <c r="JE270" s="1037"/>
      <c r="JF270" s="1037"/>
      <c r="JG270" s="1037"/>
      <c r="JH270" s="1037"/>
      <c r="JI270" s="1035"/>
      <c r="JJ270" s="1035"/>
      <c r="JK270" s="1035"/>
      <c r="JL270" s="1035"/>
      <c r="JM270" s="1035"/>
      <c r="JN270" s="1035"/>
      <c r="JO270" s="1035"/>
      <c r="JP270" s="1035"/>
      <c r="JQ270" s="1035"/>
      <c r="JR270" s="1035"/>
      <c r="JS270" s="1035"/>
      <c r="JT270" s="1035"/>
      <c r="JU270" s="1035"/>
      <c r="JV270" s="1035"/>
      <c r="JW270" s="1035"/>
      <c r="JX270" s="1035"/>
      <c r="JY270" s="1035"/>
      <c r="KP270" s="1117"/>
      <c r="LV270" s="967"/>
    </row>
    <row r="271" hidden="1" spans="1:334">
      <c r="A271" s="1103" t="s">
        <v>117</v>
      </c>
      <c r="AX271" s="1059"/>
      <c r="BE271" s="1060"/>
      <c r="BN271" s="1059"/>
      <c r="BU271" s="1060"/>
      <c r="BV271" s="1059"/>
      <c r="CC271" s="1060"/>
      <c r="CD271" s="1059"/>
      <c r="CJ271" s="1061"/>
      <c r="CK271" s="1060"/>
      <c r="CL271" s="1059"/>
      <c r="CS271" s="1060"/>
      <c r="CT271" s="1059"/>
      <c r="CW271" s="1062"/>
      <c r="CX271" s="1062"/>
      <c r="DE271" s="1064"/>
      <c r="DF271" s="1064"/>
      <c r="DM271" s="1064"/>
      <c r="DN271" s="1064"/>
      <c r="DU271" s="1064"/>
      <c r="DV271" s="1064"/>
      <c r="EC271" s="1064"/>
      <c r="ED271" s="1064"/>
      <c r="EH271" s="1181"/>
      <c r="EI271" s="1181"/>
      <c r="EJ271" s="1181"/>
      <c r="EK271" s="1181"/>
      <c r="EL271" s="1181"/>
      <c r="EM271" s="1181"/>
      <c r="EN271" s="1181"/>
      <c r="EO271" s="1182"/>
      <c r="EP271" s="1181"/>
      <c r="EQ271" s="1181"/>
      <c r="ER271" s="1181"/>
      <c r="ES271" s="1181"/>
      <c r="ET271" s="1181"/>
      <c r="EU271" s="1181"/>
      <c r="EV271" s="1181"/>
      <c r="EW271" s="1182"/>
      <c r="EX271" s="1071">
        <f t="shared" ref="EX271:FO271" si="1440">EX223+EX230+EX237+EX244+EX251+EX258+EX265</f>
        <v>2790</v>
      </c>
      <c r="EY271" s="1071">
        <f t="shared" si="1440"/>
        <v>2678</v>
      </c>
      <c r="EZ271" s="1071">
        <f t="shared" si="1440"/>
        <v>5468</v>
      </c>
      <c r="FA271" s="1071">
        <f t="shared" si="1440"/>
        <v>3308</v>
      </c>
      <c r="FB271" s="1071">
        <f t="shared" si="1440"/>
        <v>8776</v>
      </c>
      <c r="FC271" s="1071">
        <f t="shared" si="1440"/>
        <v>2828</v>
      </c>
      <c r="FD271" s="1071">
        <f t="shared" si="1440"/>
        <v>6136</v>
      </c>
      <c r="FE271" s="1072">
        <f t="shared" si="1440"/>
        <v>11604</v>
      </c>
      <c r="FF271" s="1071">
        <f t="shared" si="1440"/>
        <v>3295</v>
      </c>
      <c r="FG271" s="1071">
        <f t="shared" si="1440"/>
        <v>3136</v>
      </c>
      <c r="FH271" s="1071">
        <f t="shared" si="1440"/>
        <v>6431</v>
      </c>
      <c r="FI271" s="1071">
        <f t="shared" si="1440"/>
        <v>3941</v>
      </c>
      <c r="FJ271" s="1071">
        <f t="shared" si="1440"/>
        <v>10372</v>
      </c>
      <c r="FK271" s="1071">
        <f t="shared" si="1440"/>
        <v>3336</v>
      </c>
      <c r="FL271" s="1071">
        <f t="shared" si="1440"/>
        <v>7277</v>
      </c>
      <c r="FM271" s="1072">
        <f t="shared" si="1440"/>
        <v>13708</v>
      </c>
      <c r="FN271" s="1071">
        <f t="shared" si="1440"/>
        <v>3959</v>
      </c>
      <c r="FO271" s="1071">
        <f t="shared" si="1440"/>
        <v>3648</v>
      </c>
      <c r="FP271" s="1071">
        <f t="shared" ref="FP271:FW271" si="1441">FP223+FP230+FP237+FP244+FP251+FP258+FP265</f>
        <v>7607</v>
      </c>
      <c r="FQ271" s="1071">
        <f t="shared" si="1441"/>
        <v>4554</v>
      </c>
      <c r="FR271" s="1071">
        <f t="shared" si="1441"/>
        <v>12161</v>
      </c>
      <c r="FS271" s="1071">
        <f t="shared" si="1441"/>
        <v>3890</v>
      </c>
      <c r="FT271" s="1071">
        <f t="shared" si="1441"/>
        <v>8444</v>
      </c>
      <c r="FU271" s="1071">
        <f t="shared" si="1441"/>
        <v>16051</v>
      </c>
      <c r="FV271" s="1075">
        <f t="shared" si="1441"/>
        <v>4758</v>
      </c>
      <c r="FW271" s="1076">
        <f t="shared" si="1441"/>
        <v>4415</v>
      </c>
      <c r="FX271" s="1076">
        <f>FV271+FW271</f>
        <v>9173</v>
      </c>
      <c r="FY271" s="1071">
        <f t="shared" ref="FY271:GE271" si="1442">FY223+FY230+FY237+FY244+FY251+FY258+FY265</f>
        <v>5001</v>
      </c>
      <c r="FZ271" s="1071">
        <f t="shared" si="1442"/>
        <v>14174</v>
      </c>
      <c r="GA271" s="1071">
        <f t="shared" si="1442"/>
        <v>4473</v>
      </c>
      <c r="GB271" s="1071">
        <f t="shared" si="1442"/>
        <v>9474</v>
      </c>
      <c r="GC271" s="1072">
        <f t="shared" si="1442"/>
        <v>18647</v>
      </c>
      <c r="GD271" s="1075">
        <f t="shared" si="1442"/>
        <v>4918</v>
      </c>
      <c r="GE271" s="1076">
        <f t="shared" si="1442"/>
        <v>4689</v>
      </c>
      <c r="GF271" s="1076">
        <f>GD271+GE271</f>
        <v>9607</v>
      </c>
      <c r="GG271" s="1076">
        <f>GG223+GG230+GG237+GG244+GG251+GG258+GG265</f>
        <v>5207</v>
      </c>
      <c r="GH271" s="1071">
        <f t="shared" ref="GH271:GM271" si="1443">GH223+GH230+GH237+GH244+GH251+GH258+GH265</f>
        <v>14814</v>
      </c>
      <c r="GI271" s="1071">
        <f t="shared" si="1443"/>
        <v>4592</v>
      </c>
      <c r="GJ271" s="1071">
        <f t="shared" si="1443"/>
        <v>9799</v>
      </c>
      <c r="GK271" s="1072">
        <f t="shared" si="1443"/>
        <v>19406</v>
      </c>
      <c r="GL271" s="1076">
        <f t="shared" si="1443"/>
        <v>5269</v>
      </c>
      <c r="GM271" s="1076">
        <f t="shared" si="1443"/>
        <v>4958</v>
      </c>
      <c r="GN271" s="1076">
        <f>GL271+GM271</f>
        <v>10227</v>
      </c>
      <c r="GO271" s="1076">
        <f>GO223+GO230+GO237+GO244+GO251+GO258+GO265</f>
        <v>5790</v>
      </c>
      <c r="GP271" s="1071">
        <f t="shared" ref="GP271:GU271" si="1444">GP223+GP230+GP237+GP244+GP251+GP258+GP265</f>
        <v>16017</v>
      </c>
      <c r="GQ271" s="1071">
        <f t="shared" si="1444"/>
        <v>5272</v>
      </c>
      <c r="GR271" s="1071">
        <f t="shared" si="1444"/>
        <v>11062</v>
      </c>
      <c r="GS271" s="1072">
        <f t="shared" si="1444"/>
        <v>21289</v>
      </c>
      <c r="GT271" s="1076">
        <f t="shared" si="1444"/>
        <v>4227</v>
      </c>
      <c r="GU271" s="1076">
        <f t="shared" si="1444"/>
        <v>3277</v>
      </c>
      <c r="GV271" s="1076">
        <f>GT271+GU271</f>
        <v>7504</v>
      </c>
      <c r="GW271" s="1076">
        <f>GW223+GW230+GW237+GW244+GW251+GW258+GW265</f>
        <v>5407</v>
      </c>
      <c r="GX271" s="1071">
        <f t="shared" ref="GX271:HA271" si="1445">GX223+GX230+GX237+GX244+GX251+GX258+GX265</f>
        <v>12911</v>
      </c>
      <c r="GY271" s="1071">
        <f t="shared" si="1445"/>
        <v>5050</v>
      </c>
      <c r="GZ271" s="1071">
        <f t="shared" si="1445"/>
        <v>10457</v>
      </c>
      <c r="HA271" s="1072">
        <f t="shared" si="1445"/>
        <v>17961</v>
      </c>
      <c r="HB271" s="1071"/>
      <c r="HC271" s="1071"/>
      <c r="HD271" s="1071"/>
      <c r="HE271" s="1071"/>
      <c r="HF271" s="1071"/>
      <c r="HG271" s="1071"/>
      <c r="HH271" s="1071"/>
      <c r="HI271" s="1072"/>
      <c r="HJ271" s="1071"/>
      <c r="HK271" s="1071"/>
      <c r="HL271" s="1071"/>
      <c r="HM271" s="1071"/>
      <c r="HN271" s="1071"/>
      <c r="HO271" s="1071"/>
      <c r="HP271" s="1071"/>
      <c r="HQ271" s="1072"/>
      <c r="HR271" s="1071"/>
      <c r="HS271" s="1071"/>
      <c r="HT271" s="1071"/>
      <c r="HU271" s="1071"/>
      <c r="HV271" s="1071"/>
      <c r="HW271" s="1071"/>
      <c r="HX271" s="1071"/>
      <c r="HY271" s="1071"/>
      <c r="HZ271" s="1071"/>
      <c r="IA271" s="1071"/>
      <c r="IB271" s="1071"/>
      <c r="IC271" s="1071"/>
      <c r="ID271" s="1071"/>
      <c r="IE271" s="1071"/>
      <c r="IF271" s="1071"/>
      <c r="IG271" s="1072"/>
      <c r="IH271" s="1071"/>
      <c r="II271" s="1071"/>
      <c r="IJ271" s="1071"/>
      <c r="IK271" s="1071"/>
      <c r="IL271" s="1071"/>
      <c r="IM271" s="1071"/>
      <c r="IN271" s="1071"/>
      <c r="IO271" s="1072"/>
      <c r="IP271" s="1071"/>
      <c r="IQ271" s="1071"/>
      <c r="IR271" s="1071"/>
      <c r="IS271" s="1071"/>
      <c r="IT271" s="1071"/>
      <c r="IU271" s="1071"/>
      <c r="IV271" s="1071"/>
      <c r="IW271" s="1071"/>
      <c r="IX271" s="1104"/>
      <c r="IY271" s="1049"/>
      <c r="IZ271" s="1049"/>
      <c r="JA271" s="1049"/>
      <c r="JB271" s="1049"/>
      <c r="JC271" s="1049"/>
      <c r="JD271" s="1041"/>
      <c r="JE271" s="1037"/>
      <c r="JF271" s="1037"/>
      <c r="JG271" s="1037"/>
      <c r="JH271" s="1037"/>
      <c r="JI271" s="1035"/>
      <c r="JJ271" s="1035"/>
      <c r="JK271" s="1035"/>
      <c r="JL271" s="1035"/>
      <c r="JM271" s="1035"/>
      <c r="JN271" s="1035"/>
      <c r="JO271" s="1035"/>
      <c r="JP271" s="1035"/>
      <c r="JQ271" s="1035"/>
      <c r="JR271" s="1035"/>
      <c r="JS271" s="1035"/>
      <c r="JT271" s="1035"/>
      <c r="JU271" s="1035"/>
      <c r="JV271" s="1035"/>
      <c r="JW271" s="1035"/>
      <c r="JX271" s="1035"/>
      <c r="JY271" s="1035"/>
      <c r="KP271" s="1117"/>
      <c r="LV271" s="967"/>
    </row>
    <row r="272" hidden="1" spans="1:334">
      <c r="A272" s="967" t="s">
        <v>113</v>
      </c>
      <c r="AX272" s="1059"/>
      <c r="BE272" s="1060"/>
      <c r="BN272" s="1059"/>
      <c r="BU272" s="1060"/>
      <c r="BV272" s="1059"/>
      <c r="CC272" s="1060"/>
      <c r="CD272" s="1059"/>
      <c r="CJ272" s="1061"/>
      <c r="CK272" s="1060"/>
      <c r="CL272" s="1059"/>
      <c r="CS272" s="1060"/>
      <c r="CT272" s="1059"/>
      <c r="CW272" s="1062"/>
      <c r="CX272" s="1062"/>
      <c r="DE272" s="1064"/>
      <c r="DF272" s="1064"/>
      <c r="DM272" s="1064"/>
      <c r="DN272" s="1064"/>
      <c r="DU272" s="1064"/>
      <c r="DV272" s="1064"/>
      <c r="EC272" s="1064"/>
      <c r="ED272" s="1064"/>
      <c r="EH272" s="1181"/>
      <c r="EI272" s="1181"/>
      <c r="EJ272" s="1181"/>
      <c r="EK272" s="1181"/>
      <c r="EL272" s="1181"/>
      <c r="EM272" s="1181"/>
      <c r="EN272" s="1181"/>
      <c r="EO272" s="1182"/>
      <c r="EP272" s="1181"/>
      <c r="EQ272" s="1181"/>
      <c r="ER272" s="1181"/>
      <c r="ES272" s="1181"/>
      <c r="ET272" s="1181"/>
      <c r="EU272" s="1181"/>
      <c r="EV272" s="1181"/>
      <c r="EW272" s="1182"/>
      <c r="EX272" s="1181"/>
      <c r="EY272" s="1181"/>
      <c r="EZ272" s="1181"/>
      <c r="FA272" s="1181"/>
      <c r="FB272" s="1181"/>
      <c r="FC272" s="1181"/>
      <c r="FD272" s="1181"/>
      <c r="FE272" s="1182"/>
      <c r="FF272" s="1181">
        <f t="shared" ref="FF272:FL272" si="1446">FF271/EX271-1</f>
        <v>0.181003584229391</v>
      </c>
      <c r="FG272" s="1181">
        <f t="shared" si="1446"/>
        <v>0.171023151605676</v>
      </c>
      <c r="FH272" s="1181">
        <f t="shared" si="1446"/>
        <v>0.176115581565472</v>
      </c>
      <c r="FI272" s="1181">
        <f t="shared" si="1446"/>
        <v>0.191354292623942</v>
      </c>
      <c r="FJ272" s="1181">
        <f t="shared" si="1446"/>
        <v>0.181859617137648</v>
      </c>
      <c r="FK272" s="1181">
        <f t="shared" si="1446"/>
        <v>0.17963224893918</v>
      </c>
      <c r="FL272" s="1181">
        <f t="shared" si="1446"/>
        <v>0.185951760104303</v>
      </c>
      <c r="FM272" s="1182">
        <f t="shared" ref="FM272:FR272" si="1447">FM271/FE271-1</f>
        <v>0.181316787314719</v>
      </c>
      <c r="FN272" s="1181">
        <f t="shared" si="1447"/>
        <v>0.201517450682853</v>
      </c>
      <c r="FO272" s="1181">
        <f t="shared" si="1447"/>
        <v>0.163265306122449</v>
      </c>
      <c r="FP272" s="1181">
        <f t="shared" si="1447"/>
        <v>0.182864251282849</v>
      </c>
      <c r="FQ272" s="1181">
        <f t="shared" si="1447"/>
        <v>0.155544278102005</v>
      </c>
      <c r="FR272" s="1181">
        <f t="shared" si="1447"/>
        <v>0.172483609718473</v>
      </c>
      <c r="FS272" s="1181">
        <f t="shared" ref="FS272:FX272" si="1448">FS271/FK271-1</f>
        <v>0.166067146282974</v>
      </c>
      <c r="FT272" s="1181">
        <f t="shared" si="1448"/>
        <v>0.160368283633365</v>
      </c>
      <c r="FU272" s="1181">
        <f t="shared" si="1448"/>
        <v>0.170922089290925</v>
      </c>
      <c r="FV272" s="1220">
        <f t="shared" si="1448"/>
        <v>0.201818641070977</v>
      </c>
      <c r="FW272" s="1218">
        <f t="shared" si="1448"/>
        <v>0.210252192982456</v>
      </c>
      <c r="FX272" s="1218">
        <f t="shared" si="1448"/>
        <v>0.205863020901801</v>
      </c>
      <c r="FY272" s="1181">
        <f t="shared" ref="FY272" si="1449">FY271/FQ271-1</f>
        <v>0.0981554677206851</v>
      </c>
      <c r="FZ272" s="1181">
        <f t="shared" ref="FZ272" si="1450">FZ271/FR271-1</f>
        <v>0.165529150563276</v>
      </c>
      <c r="GA272" s="1181">
        <f t="shared" ref="GA272" si="1451">GA271/FS271-1</f>
        <v>0.14987146529563</v>
      </c>
      <c r="GB272" s="1181">
        <f t="shared" ref="GB272" si="1452">GB271/FT271-1</f>
        <v>0.121980104216011</v>
      </c>
      <c r="GC272" s="1182">
        <f t="shared" ref="GC272" si="1453">GC271/FU271-1</f>
        <v>0.1617344713725</v>
      </c>
      <c r="GD272" s="1220">
        <v>0.03</v>
      </c>
      <c r="GE272" s="1218">
        <f>GE271/FW271-1</f>
        <v>0.0620611551528878</v>
      </c>
      <c r="GF272" s="1218">
        <f>GF271/FX271-1</f>
        <v>0.0473127657254988</v>
      </c>
      <c r="GG272" s="1218">
        <f>GG271/FY271-1</f>
        <v>0.0411917616476705</v>
      </c>
      <c r="GH272" s="1181">
        <f>GH271/FZ271-1</f>
        <v>0.0451530972202625</v>
      </c>
      <c r="GI272" s="1181">
        <f t="shared" ref="GI272" si="1454">GI271/GA271-1</f>
        <v>0.0266040688575901</v>
      </c>
      <c r="GJ272" s="1181">
        <f t="shared" ref="GJ272" si="1455">GJ271/GB271-1</f>
        <v>0.034304412075153</v>
      </c>
      <c r="GK272" s="1182">
        <f t="shared" ref="GK272:GL272" si="1456">GK271/GC271-1</f>
        <v>0.0407035984340645</v>
      </c>
      <c r="GL272" s="1181">
        <f t="shared" si="1456"/>
        <v>0.0713704758031721</v>
      </c>
      <c r="GM272" s="1181">
        <f t="shared" ref="GM272" si="1457">GM271/GE271-1</f>
        <v>0.057368308807848</v>
      </c>
      <c r="GN272" s="1181">
        <f t="shared" ref="GN272:GP272" si="1458">GN271/GF271-1</f>
        <v>0.0645362756323513</v>
      </c>
      <c r="GO272" s="1218">
        <f t="shared" si="1458"/>
        <v>0.111964662953716</v>
      </c>
      <c r="GP272" s="1181">
        <f t="shared" si="1458"/>
        <v>0.0812069663831512</v>
      </c>
      <c r="GQ272" s="1181">
        <f t="shared" ref="GQ272" si="1459">GQ271/GI271-1</f>
        <v>0.14808362369338</v>
      </c>
      <c r="GR272" s="1181">
        <f t="shared" ref="GR272" si="1460">GR271/GJ271-1</f>
        <v>0.128890703132973</v>
      </c>
      <c r="GS272" s="1182">
        <f t="shared" ref="GS272:GT272" si="1461">GS271/GK271-1</f>
        <v>0.0970318458208801</v>
      </c>
      <c r="GT272" s="1181">
        <f t="shared" si="1461"/>
        <v>-0.197760485860695</v>
      </c>
      <c r="GU272" s="1181">
        <f t="shared" ref="GU272" si="1462">GU271/GM271-1</f>
        <v>-0.339048003227108</v>
      </c>
      <c r="GV272" s="1181">
        <f t="shared" ref="GV272:GX272" si="1463">GV271/GN271-1</f>
        <v>-0.266255989048597</v>
      </c>
      <c r="GW272" s="1218">
        <f t="shared" si="1463"/>
        <v>-0.0661485319516407</v>
      </c>
      <c r="GX272" s="1181">
        <f t="shared" si="1463"/>
        <v>-0.193918961103827</v>
      </c>
      <c r="GY272" s="1181">
        <f t="shared" ref="GY272" si="1464">GY271/GQ271-1</f>
        <v>-0.0421092564491654</v>
      </c>
      <c r="GZ272" s="1181">
        <f t="shared" ref="GZ272" si="1465">GZ271/GR271-1</f>
        <v>-0.0546917374796601</v>
      </c>
      <c r="HA272" s="1182">
        <f t="shared" ref="HA272" si="1466">HA271/GS271-1</f>
        <v>-0.156324862605101</v>
      </c>
      <c r="HB272" s="1181"/>
      <c r="HC272" s="1181"/>
      <c r="HD272" s="1181"/>
      <c r="HE272" s="1181"/>
      <c r="HF272" s="1181"/>
      <c r="HG272" s="1181"/>
      <c r="HH272" s="1181"/>
      <c r="HI272" s="1182"/>
      <c r="HJ272" s="1181"/>
      <c r="HK272" s="1181"/>
      <c r="HL272" s="1181"/>
      <c r="HM272" s="1181"/>
      <c r="HN272" s="1181"/>
      <c r="HO272" s="1181"/>
      <c r="HP272" s="1181"/>
      <c r="HQ272" s="1182"/>
      <c r="HR272" s="1181"/>
      <c r="HS272" s="1181"/>
      <c r="HT272" s="1181"/>
      <c r="HU272" s="1181"/>
      <c r="HV272" s="1181"/>
      <c r="HW272" s="1181"/>
      <c r="HX272" s="1181"/>
      <c r="HY272" s="1181"/>
      <c r="HZ272" s="1181"/>
      <c r="IA272" s="1181"/>
      <c r="IB272" s="1181"/>
      <c r="IC272" s="1181"/>
      <c r="ID272" s="1181"/>
      <c r="IE272" s="1181"/>
      <c r="IF272" s="1181"/>
      <c r="IG272" s="1182"/>
      <c r="IH272" s="1181"/>
      <c r="II272" s="1181"/>
      <c r="IJ272" s="1181"/>
      <c r="IK272" s="1181"/>
      <c r="IL272" s="1181"/>
      <c r="IM272" s="1181"/>
      <c r="IN272" s="1181"/>
      <c r="IO272" s="1182"/>
      <c r="IP272" s="1181"/>
      <c r="IQ272" s="1181"/>
      <c r="IR272" s="1181"/>
      <c r="IS272" s="1181"/>
      <c r="IT272" s="1181"/>
      <c r="IU272" s="1181"/>
      <c r="IV272" s="1181"/>
      <c r="IW272" s="1181"/>
      <c r="IX272" s="1104"/>
      <c r="IY272" s="1049"/>
      <c r="IZ272" s="1049"/>
      <c r="JA272" s="1049"/>
      <c r="JB272" s="1049"/>
      <c r="JC272" s="1049"/>
      <c r="JD272" s="1049"/>
      <c r="JE272" s="1037"/>
      <c r="JF272" s="1037"/>
      <c r="JG272" s="1037"/>
      <c r="JH272" s="1037"/>
      <c r="JI272" s="1035"/>
      <c r="JJ272" s="1035"/>
      <c r="JK272" s="1035"/>
      <c r="JL272" s="1035"/>
      <c r="JM272" s="1035"/>
      <c r="JN272" s="1035"/>
      <c r="JO272" s="1035"/>
      <c r="JP272" s="1035"/>
      <c r="JQ272" s="1035"/>
      <c r="JR272" s="1035"/>
      <c r="JS272" s="1035"/>
      <c r="JT272" s="1035"/>
      <c r="JU272" s="1035"/>
      <c r="JV272" s="1035"/>
      <c r="JW272" s="1035"/>
      <c r="JX272" s="1035"/>
      <c r="JY272" s="1035"/>
      <c r="KP272" s="1117"/>
      <c r="LV272" s="967"/>
    </row>
    <row r="273" hidden="1" spans="1:334">
      <c r="A273" s="967" t="s">
        <v>100</v>
      </c>
      <c r="AX273" s="1059"/>
      <c r="BE273" s="1060"/>
      <c r="BN273" s="1059"/>
      <c r="BU273" s="1060"/>
      <c r="BV273" s="1059"/>
      <c r="CC273" s="1060"/>
      <c r="CD273" s="1059"/>
      <c r="CJ273" s="1061"/>
      <c r="CK273" s="1060"/>
      <c r="CL273" s="1059"/>
      <c r="CS273" s="1060"/>
      <c r="CT273" s="1059"/>
      <c r="CW273" s="1062"/>
      <c r="CX273" s="1062"/>
      <c r="DE273" s="1064"/>
      <c r="DF273" s="1064"/>
      <c r="DM273" s="1064"/>
      <c r="DN273" s="1064"/>
      <c r="DU273" s="1064"/>
      <c r="DV273" s="1064"/>
      <c r="EC273" s="1064"/>
      <c r="ED273" s="1064"/>
      <c r="EH273" s="1181"/>
      <c r="EI273" s="1181"/>
      <c r="EJ273" s="1181"/>
      <c r="EK273" s="1181"/>
      <c r="EL273" s="1181"/>
      <c r="EM273" s="1181"/>
      <c r="EN273" s="1181"/>
      <c r="EO273" s="1182"/>
      <c r="EP273" s="1181"/>
      <c r="EQ273" s="1181"/>
      <c r="ER273" s="1181"/>
      <c r="ES273" s="1181"/>
      <c r="ET273" s="1181"/>
      <c r="EU273" s="1181"/>
      <c r="EV273" s="1181"/>
      <c r="EW273" s="1182"/>
      <c r="EX273" s="1181"/>
      <c r="EY273" s="1181"/>
      <c r="EZ273" s="1181"/>
      <c r="FA273" s="1181"/>
      <c r="FB273" s="1181"/>
      <c r="FC273" s="1181"/>
      <c r="FD273" s="1181"/>
      <c r="FE273" s="1182"/>
      <c r="FF273" s="1181">
        <f>(EX223*FF225+EX230*FF232+EX237*FF239+EX244*FF246+EX251*FF253+EX258*FF260+EX265*FF267)/EX271</f>
        <v>0.0977992831541219</v>
      </c>
      <c r="FG273" s="1181">
        <f>(EY223*FG225+EY230*FG232+EY237*FG239+EY244*FG246+EY251*FG253+EY258*FG260+EY265*FG267)/EY271</f>
        <v>0.0757094846900672</v>
      </c>
      <c r="FH273" s="1181">
        <f>(EZ223*FH225+EZ230*FH232+EZ237*FH239+EZ244*FH246+EZ251*FH253+EZ258*FH260+EZ265*FH267)/EZ271</f>
        <v>0.0869806144842721</v>
      </c>
      <c r="FI273" s="1181">
        <f>(FA223*FI225+FA230*FI232+FA237*FI239+FA244*FI246+FA251*FI253+FA258*FI260+FA265*FI267)/FA271</f>
        <v>0.146517533252721</v>
      </c>
      <c r="FJ273" s="1181">
        <f>(FB223*FJ225+FB230*FJ232+FB237*FJ239+FB244*FJ246+FB251*FJ253+FB258*FJ260+FB265*FJ267)/FB271</f>
        <v>0.109422288058341</v>
      </c>
      <c r="FK273" s="1181">
        <f>(FE271*FM273-FB271*FJ273)/FC271</f>
        <v>0.15282531824611</v>
      </c>
      <c r="FL273" s="1181">
        <f>(FE271*FM273-EZ271*FH273)/FD271</f>
        <v>0.149424706649283</v>
      </c>
      <c r="FM273" s="1182">
        <v>0.12</v>
      </c>
      <c r="FN273" s="1181">
        <f>(FF223*FN225+FF230*FN232+FF237*FN239+FF244*FN246+FF251*FN253+FF258*FN260+FF265*FN267)/FF271</f>
        <v>0.250497723823976</v>
      </c>
      <c r="FO273" s="1181">
        <f>(FG223*FO225+FG230*FO232+FG237*FO239+FG244*FO246+FG251*FO253+FG258*FO260+FG265*FO267)/FG271</f>
        <v>0.240401785714286</v>
      </c>
      <c r="FP273" s="1181">
        <f>(FH223*FP225+FH230*FP232+FH237*FP239+FH244*FP246+FH251*FP253+FH258*FP260+FH265*FP267)/FH271</f>
        <v>0.245574560721505</v>
      </c>
      <c r="FQ273" s="1181">
        <f>(FI223*FQ225+FI230*FQ232+FI237*FQ239+FI244*FQ246+FI251*FQ253+FI258*FQ260+FI265*FQ267)/FI271</f>
        <v>0.188261862471454</v>
      </c>
      <c r="FR273" s="1181">
        <f>(FJ223*FR225+FJ230*FR232+FJ237*FR239+FJ244*FR246+FJ251*FR253+FJ258*FR260+FJ265*FR267)/FJ271</f>
        <v>0.22379772464327</v>
      </c>
      <c r="FS273" s="1181">
        <f>(FM271*FU273-FJ271*FR273)/FK271</f>
        <v>0.208192446043165</v>
      </c>
      <c r="FT273" s="1181">
        <f>(FM271*FU273-FH271*FP273)/FL271</f>
        <v>0.197398653291191</v>
      </c>
      <c r="FU273" s="1181">
        <v>0.22</v>
      </c>
      <c r="FV273" s="1220">
        <f>(FN223*FV225+FN230*FV232+FN237*FV239+FN244*FV246+FN251*FV253+FN258*FV260+FN265*FV267)/FN271</f>
        <v>0.179909067946451</v>
      </c>
      <c r="FW273" s="1218">
        <f>(FO223*FW225+FO230*FW232+FO237*FW239+FO244*FW246+FO251*FW253+FO258*FW260+FO265*FW267)/FO271</f>
        <v>0.202234100877193</v>
      </c>
      <c r="FX273" s="1218">
        <f>(FP223*FX225+FP230*FX232+FP237*FX239+FP244*FX246+FP251*FX253+FP258*FX260+FP265*FX267)/FP271</f>
        <v>0.190453845692372</v>
      </c>
      <c r="FY273" s="1181">
        <f>(FQ223*FY225+FQ230*FY232+FQ237*FY239+FQ244*FY246+FQ251*FY253+FQ258*FY260+FQ265*FY267)/FQ271</f>
        <v>0.131508035972359</v>
      </c>
      <c r="FZ273" s="1181">
        <f>(FR223*FZ225+FR230*FZ232+FR237*FZ239+FR244*FZ246+FR251*FZ253+FR258*FZ260+FR265*FZ267)/FR271</f>
        <v>0.168380067428665</v>
      </c>
      <c r="GA273" s="1181">
        <f>(FU271*GC273-FR271*FZ273)/FS271</f>
        <v>0.2163264781491</v>
      </c>
      <c r="GB273" s="1181">
        <f>(FU271*GC273-FP271*FX273)/FT271</f>
        <v>0.170582377524647</v>
      </c>
      <c r="GC273" s="1182">
        <v>0.18</v>
      </c>
      <c r="GD273" s="1220">
        <v>0.11</v>
      </c>
      <c r="GE273" s="1218">
        <f>(FW223*GE225+FW230*GE232+FW237*GE239+FW244*GE246+FW251*GE253+FW258*GE260+FW265*GE267)/FW271</f>
        <v>0.0968135530122114</v>
      </c>
      <c r="GF273" s="1218">
        <f>(FX223*GF225+FX230*GF232+FX237*GF239+FX244*GF246+FX251*GF253+FX258*GF260+FX265*GF267)/FX271</f>
        <v>0.0926917951105323</v>
      </c>
      <c r="GG273" s="1218">
        <f>(FY223*GG225+FY230*GG232+FY237*GG239+FY244*GG246+FY251*GG253+FY258*GG260+FY265*GG267)/FY271</f>
        <v>0.0671925614877024</v>
      </c>
      <c r="GH273" s="1181">
        <f>(FZ223*GH225+FZ230*GH232+FZ237*GH239+FZ244*GH246+FZ251*GH253+FZ258*GH260+FZ265*GH267)/FZ271</f>
        <v>0</v>
      </c>
      <c r="GI273" s="1181">
        <v>0.05</v>
      </c>
      <c r="GJ273" s="1181">
        <f>(GC271*GK273-FX271*GF273)/GB271</f>
        <v>0.0873937263511808</v>
      </c>
      <c r="GK273" s="1182">
        <v>0.09</v>
      </c>
      <c r="GL273" s="1218">
        <v>0.05</v>
      </c>
      <c r="GM273" s="1218">
        <v>0.04</v>
      </c>
      <c r="GN273" s="1218">
        <f>(GF223*GN225+GF230*GN232+GF237*GN239+GF244*GN246+GF251*GN253+GF258*GN260+GF265*GN267)/GF271</f>
        <v>0.0527885916519205</v>
      </c>
      <c r="GO273" s="1218">
        <f>(GG223*GO225+GG230*GO232+GG237*GO239+GG244*GO246+GG251*GO253+GG258*GO260+GG265*GO267)/GG271</f>
        <v>0.0830036489341271</v>
      </c>
      <c r="GP273" s="1181">
        <f>(GH223*GP225+GH230*GP232+GH237*GP239+GH244*GP246+GH251*GP253+GH258*GP260+GH265*GP267)/GH271</f>
        <v>0</v>
      </c>
      <c r="GQ273" s="1181">
        <v>0.109</v>
      </c>
      <c r="GR273" s="1181">
        <f>(GK271*GS273-GF271*GN273)/GJ271</f>
        <v>0.0789525461781815</v>
      </c>
      <c r="GS273" s="1182">
        <v>0.066</v>
      </c>
      <c r="GT273" s="1218">
        <v>-0.2</v>
      </c>
      <c r="GU273" s="1218">
        <v>-0.33</v>
      </c>
      <c r="GV273" s="1218">
        <f>(GN223*GV225+GN230*GV232+GN237*GV239+GN244*GV246+GN251*GV253+GN258*GV260+GN265*GV267)/GN271</f>
        <v>-0.263547472377041</v>
      </c>
      <c r="GW273" s="1218">
        <f>(GO223*GW225+GO230*GW232+GO237*GW239+GO244*GW246+GO251*GW253+GO258*GW260+GO265*GW267)/GO271</f>
        <v>-0.0238963730569948</v>
      </c>
      <c r="GX273" s="1181">
        <f>(GP223*GX225+GP230*GX232+GP237*GX239+GP244*GX246+GP251*GX253+GP258*GX260+GP265*GX267)/GP271</f>
        <v>0</v>
      </c>
      <c r="GY273" s="1181">
        <v>0.01</v>
      </c>
      <c r="GZ273" s="1181">
        <f>(GS271*HA273-GN271*GV273)/GR271</f>
        <v>-0.00653317664075208</v>
      </c>
      <c r="HA273" s="1182">
        <v>-0.13</v>
      </c>
      <c r="HB273" s="1181"/>
      <c r="HC273" s="1181"/>
      <c r="HD273" s="1181"/>
      <c r="HE273" s="1181"/>
      <c r="HF273" s="1181"/>
      <c r="HG273" s="1181"/>
      <c r="HH273" s="1181"/>
      <c r="HI273" s="1182"/>
      <c r="HJ273" s="1181"/>
      <c r="HK273" s="1181"/>
      <c r="HL273" s="1181"/>
      <c r="HM273" s="1181"/>
      <c r="HN273" s="1181"/>
      <c r="HO273" s="1181"/>
      <c r="HP273" s="1181"/>
      <c r="HQ273" s="1182"/>
      <c r="HR273" s="1181"/>
      <c r="HS273" s="1181"/>
      <c r="HT273" s="1181"/>
      <c r="HU273" s="1181"/>
      <c r="HV273" s="1181"/>
      <c r="HW273" s="1181"/>
      <c r="HX273" s="1181"/>
      <c r="HY273" s="1181"/>
      <c r="HZ273" s="1181"/>
      <c r="IA273" s="1181"/>
      <c r="IB273" s="1181"/>
      <c r="IC273" s="1181"/>
      <c r="ID273" s="1181"/>
      <c r="IE273" s="1181"/>
      <c r="IF273" s="1181"/>
      <c r="IG273" s="1182"/>
      <c r="IH273" s="1181"/>
      <c r="II273" s="1181"/>
      <c r="IJ273" s="1181"/>
      <c r="IK273" s="1181"/>
      <c r="IL273" s="1181"/>
      <c r="IM273" s="1181"/>
      <c r="IN273" s="1181"/>
      <c r="IO273" s="1182"/>
      <c r="IP273" s="1181"/>
      <c r="IQ273" s="1181"/>
      <c r="IR273" s="1181"/>
      <c r="IS273" s="1181"/>
      <c r="IT273" s="1181"/>
      <c r="IU273" s="1181"/>
      <c r="IV273" s="1181"/>
      <c r="IW273" s="1181"/>
      <c r="IX273" s="1104"/>
      <c r="IY273" s="1049"/>
      <c r="IZ273" s="1104"/>
      <c r="JA273" s="1104"/>
      <c r="JB273" s="1104"/>
      <c r="JC273" s="1104"/>
      <c r="JD273" s="1104"/>
      <c r="JE273" s="1104"/>
      <c r="JF273" s="1037"/>
      <c r="JG273" s="1037"/>
      <c r="JH273" s="1037"/>
      <c r="JI273" s="1035"/>
      <c r="JJ273" s="1035"/>
      <c r="JK273" s="1094"/>
      <c r="JL273" s="1094"/>
      <c r="JM273" s="1094"/>
      <c r="JN273" s="1094"/>
      <c r="JO273" s="1094"/>
      <c r="JP273" s="1094"/>
      <c r="JQ273" s="1094"/>
      <c r="JR273" s="1094"/>
      <c r="JS273" s="1094"/>
      <c r="JT273" s="1094"/>
      <c r="JU273" s="1035"/>
      <c r="JV273" s="1035"/>
      <c r="JW273" s="1035"/>
      <c r="JX273" s="1035"/>
      <c r="JY273" s="1035"/>
      <c r="KP273" s="1117"/>
      <c r="LV273" s="967"/>
    </row>
    <row r="274" hidden="1" spans="1:334">
      <c r="A274" s="967" t="s">
        <v>118</v>
      </c>
      <c r="AX274" s="1059"/>
      <c r="BE274" s="1060"/>
      <c r="BN274" s="1059"/>
      <c r="BU274" s="1060"/>
      <c r="BV274" s="1059"/>
      <c r="CC274" s="1060"/>
      <c r="CD274" s="1059"/>
      <c r="CJ274" s="1061"/>
      <c r="CK274" s="1060"/>
      <c r="CL274" s="1059"/>
      <c r="CS274" s="1060"/>
      <c r="CT274" s="1059"/>
      <c r="CW274" s="1062"/>
      <c r="CX274" s="1062"/>
      <c r="DE274" s="1064"/>
      <c r="DF274" s="1064"/>
      <c r="DM274" s="1064"/>
      <c r="DN274" s="1064"/>
      <c r="DU274" s="1064"/>
      <c r="DV274" s="1064"/>
      <c r="EC274" s="1064"/>
      <c r="ED274" s="1064"/>
      <c r="EH274" s="1181"/>
      <c r="EI274" s="1181"/>
      <c r="EJ274" s="1181"/>
      <c r="EK274" s="1181"/>
      <c r="EL274" s="1181"/>
      <c r="EM274" s="1181"/>
      <c r="EN274" s="1181"/>
      <c r="EO274" s="1182"/>
      <c r="EP274" s="1181"/>
      <c r="EQ274" s="1181"/>
      <c r="ER274" s="1181"/>
      <c r="ES274" s="1181"/>
      <c r="ET274" s="1181"/>
      <c r="EU274" s="1181"/>
      <c r="EV274" s="1181"/>
      <c r="EW274" s="1182"/>
      <c r="EX274" s="1181">
        <f t="shared" ref="EX274:FM274" si="1467">EX271/EX$216</f>
        <v>0.801493823613904</v>
      </c>
      <c r="EY274" s="1181">
        <f t="shared" si="1467"/>
        <v>0.788110653325486</v>
      </c>
      <c r="EZ274" s="1181">
        <f t="shared" si="1467"/>
        <v>0.794882977176915</v>
      </c>
      <c r="FA274" s="1181">
        <f t="shared" si="1467"/>
        <v>0.818001978239367</v>
      </c>
      <c r="FB274" s="1181">
        <f t="shared" si="1467"/>
        <v>0.803442277762519</v>
      </c>
      <c r="FC274" s="1181">
        <f t="shared" si="1467"/>
        <v>0.783379501385042</v>
      </c>
      <c r="FD274" s="1181">
        <f t="shared" si="1467"/>
        <v>0.801672328194408</v>
      </c>
      <c r="FE274" s="1182">
        <f t="shared" si="1467"/>
        <v>0.79845868024496</v>
      </c>
      <c r="FF274" s="1181">
        <f t="shared" si="1467"/>
        <v>0.807004653441097</v>
      </c>
      <c r="FG274" s="1181">
        <f t="shared" si="1467"/>
        <v>0.802661888917328</v>
      </c>
      <c r="FH274" s="1181">
        <f t="shared" si="1467"/>
        <v>0.804881101376721</v>
      </c>
      <c r="FI274" s="1181">
        <f t="shared" si="1467"/>
        <v>0.828463317216733</v>
      </c>
      <c r="FJ274" s="1181">
        <f t="shared" si="1467"/>
        <v>0.813681650584451</v>
      </c>
      <c r="FK274" s="1181">
        <f t="shared" si="1467"/>
        <v>0.800383877159309</v>
      </c>
      <c r="FL274" s="1181">
        <f t="shared" si="1467"/>
        <v>0.815350140056022</v>
      </c>
      <c r="FM274" s="1182">
        <f t="shared" si="1467"/>
        <v>0.810404966006503</v>
      </c>
      <c r="FN274" s="1181">
        <f t="shared" ref="FN274:FX274" si="1468">FN271/FN$216</f>
        <v>0.830153071922835</v>
      </c>
      <c r="FO274" s="1181">
        <f t="shared" si="1468"/>
        <v>0.824779561383676</v>
      </c>
      <c r="FP274" s="1181">
        <f t="shared" si="1468"/>
        <v>0.827567449956484</v>
      </c>
      <c r="FQ274" s="1181">
        <f t="shared" si="1468"/>
        <v>0.841463414634146</v>
      </c>
      <c r="FR274" s="1181">
        <f t="shared" si="1468"/>
        <v>0.832717063818132</v>
      </c>
      <c r="FS274" s="1181">
        <f t="shared" si="1468"/>
        <v>0.830132309005548</v>
      </c>
      <c r="FT274" s="1181">
        <f t="shared" si="1468"/>
        <v>0.836205189146366</v>
      </c>
      <c r="FU274" s="1181">
        <f t="shared" si="1468"/>
        <v>0.832089165370658</v>
      </c>
      <c r="FV274" s="1220">
        <f t="shared" si="1468"/>
        <v>0.873668747704737</v>
      </c>
      <c r="FW274" s="1218">
        <f t="shared" si="1468"/>
        <v>0.876339817387852</v>
      </c>
      <c r="FX274" s="1218">
        <f t="shared" si="1468"/>
        <v>0.874952308279283</v>
      </c>
      <c r="FY274" s="1181">
        <f t="shared" ref="FY274:GC274" si="1469">FY271/FY$216</f>
        <v>0.88076787601268</v>
      </c>
      <c r="FZ274" s="1181">
        <f t="shared" si="1469"/>
        <v>0.876995421358743</v>
      </c>
      <c r="GA274" s="1181">
        <f t="shared" si="1469"/>
        <v>0.884691455696203</v>
      </c>
      <c r="GB274" s="1181">
        <f t="shared" si="1469"/>
        <v>0.882615986584684</v>
      </c>
      <c r="GC274" s="1182">
        <f t="shared" si="1469"/>
        <v>0.878829295880856</v>
      </c>
      <c r="GD274" s="1220">
        <f t="shared" ref="GD274:GF274" si="1470">GD271/GD$216</f>
        <v>0.886445565969719</v>
      </c>
      <c r="GE274" s="1218">
        <f t="shared" si="1470"/>
        <v>0.891275422923399</v>
      </c>
      <c r="GF274" s="1218">
        <f t="shared" si="1470"/>
        <v>0.888796373392543</v>
      </c>
      <c r="GG274" s="1218">
        <f t="shared" ref="GG274:GN274" si="1471">GG271/GG$216</f>
        <v>0.886599693512685</v>
      </c>
      <c r="GH274" s="1181">
        <f t="shared" si="1471"/>
        <v>0.888023018822683</v>
      </c>
      <c r="GI274" s="1181">
        <f t="shared" si="1471"/>
        <v>0.877508121536404</v>
      </c>
      <c r="GJ274" s="1181">
        <f t="shared" si="1471"/>
        <v>0.882315865298037</v>
      </c>
      <c r="GK274" s="1182">
        <f t="shared" si="1471"/>
        <v>0.885512206251426</v>
      </c>
      <c r="GL274" s="1218">
        <f t="shared" si="1471"/>
        <v>0.895631480537141</v>
      </c>
      <c r="GM274" s="1218">
        <f t="shared" si="1471"/>
        <v>0.899981847885279</v>
      </c>
      <c r="GN274" s="1218">
        <f t="shared" si="1471"/>
        <v>0.897735252808989</v>
      </c>
      <c r="GO274" s="1218">
        <f t="shared" ref="GO274:GS274" si="1472">GO271/GO$216</f>
        <v>0.903276131045241</v>
      </c>
      <c r="GP274" s="1181">
        <f t="shared" si="1472"/>
        <v>0.899730367374452</v>
      </c>
      <c r="GQ274" s="1181">
        <f t="shared" si="1472"/>
        <v>0.9028943312211</v>
      </c>
      <c r="GR274" s="1181">
        <f t="shared" si="1472"/>
        <v>0.903094130133072</v>
      </c>
      <c r="GS274" s="1182">
        <f t="shared" si="1472"/>
        <v>0.900511822680936</v>
      </c>
      <c r="GT274" s="1218">
        <f t="shared" ref="GT274:HA274" si="1473">GT271/GT$216</f>
        <v>0.889333052808752</v>
      </c>
      <c r="GU274" s="1218">
        <f t="shared" si="1473"/>
        <v>0.915709205182853</v>
      </c>
      <c r="GV274" s="1218">
        <f t="shared" si="1473"/>
        <v>0.900662258014532</v>
      </c>
      <c r="GW274" s="1218">
        <f t="shared" si="1473"/>
        <v>0.906557358908523</v>
      </c>
      <c r="GX274" s="1181">
        <f t="shared" si="1473"/>
        <v>0.903121712141373</v>
      </c>
      <c r="GY274" s="1181">
        <f t="shared" si="1473"/>
        <v>0.910232837559848</v>
      </c>
      <c r="GZ274" s="1181">
        <f t="shared" si="1473"/>
        <v>0.908328644891275</v>
      </c>
      <c r="HA274" s="1182">
        <f t="shared" si="1473"/>
        <v>0.905109856883693</v>
      </c>
      <c r="HB274" s="1181"/>
      <c r="HC274" s="1181"/>
      <c r="HD274" s="1181"/>
      <c r="HE274" s="1181"/>
      <c r="HF274" s="1181"/>
      <c r="HG274" s="1181"/>
      <c r="HH274" s="1181"/>
      <c r="HI274" s="1182"/>
      <c r="HJ274" s="1181"/>
      <c r="HK274" s="1181"/>
      <c r="HL274" s="1181"/>
      <c r="HM274" s="1181"/>
      <c r="HN274" s="1181"/>
      <c r="HO274" s="1181"/>
      <c r="HP274" s="1181"/>
      <c r="HQ274" s="1182"/>
      <c r="HR274" s="1181"/>
      <c r="HS274" s="1181"/>
      <c r="HT274" s="1181"/>
      <c r="HU274" s="1181"/>
      <c r="HV274" s="1181"/>
      <c r="HW274" s="1181"/>
      <c r="HX274" s="1181"/>
      <c r="HY274" s="1181"/>
      <c r="HZ274" s="1181"/>
      <c r="IA274" s="1181"/>
      <c r="IB274" s="1181"/>
      <c r="IC274" s="1181"/>
      <c r="ID274" s="1181"/>
      <c r="IE274" s="1181"/>
      <c r="IF274" s="1181"/>
      <c r="IG274" s="1182"/>
      <c r="IH274" s="1181"/>
      <c r="II274" s="1181"/>
      <c r="IJ274" s="1181"/>
      <c r="IK274" s="1181"/>
      <c r="IL274" s="1181"/>
      <c r="IM274" s="1181"/>
      <c r="IN274" s="1181"/>
      <c r="IO274" s="1182"/>
      <c r="IP274" s="1181"/>
      <c r="IQ274" s="1181"/>
      <c r="IR274" s="1181"/>
      <c r="IS274" s="1181"/>
      <c r="IT274" s="1181"/>
      <c r="IU274" s="1181"/>
      <c r="IV274" s="1181"/>
      <c r="IW274" s="1181"/>
      <c r="IX274" s="1104"/>
      <c r="IY274" s="1049"/>
      <c r="IZ274" s="1049"/>
      <c r="JA274" s="1049"/>
      <c r="JB274" s="1049"/>
      <c r="JC274" s="1037"/>
      <c r="JD274" s="1037"/>
      <c r="JE274" s="1037"/>
      <c r="JF274" s="1037"/>
      <c r="JG274" s="1037"/>
      <c r="JH274" s="1037"/>
      <c r="JI274" s="1035"/>
      <c r="JJ274" s="1035"/>
      <c r="JK274" s="1035"/>
      <c r="JL274" s="1035"/>
      <c r="JM274" s="1035"/>
      <c r="JN274" s="1035"/>
      <c r="JO274" s="1035"/>
      <c r="JP274" s="1035"/>
      <c r="JQ274" s="1035"/>
      <c r="JR274" s="1035"/>
      <c r="JS274" s="1035"/>
      <c r="JT274" s="1035"/>
      <c r="JU274" s="1035"/>
      <c r="JV274" s="1035"/>
      <c r="JW274" s="1035"/>
      <c r="JX274" s="1035"/>
      <c r="JY274" s="1035"/>
      <c r="KP274" s="1117"/>
      <c r="LV274" s="967"/>
    </row>
    <row r="275" hidden="1" spans="1:334">
      <c r="A275" s="1103" t="s">
        <v>82</v>
      </c>
      <c r="AX275" s="1059"/>
      <c r="BE275" s="1060"/>
      <c r="BN275" s="1059"/>
      <c r="BU275" s="1060"/>
      <c r="BV275" s="1059"/>
      <c r="CC275" s="1060"/>
      <c r="CD275" s="1059"/>
      <c r="CJ275" s="1061"/>
      <c r="CK275" s="1060"/>
      <c r="CL275" s="1059"/>
      <c r="CS275" s="1060"/>
      <c r="CT275" s="1059"/>
      <c r="CW275" s="1062"/>
      <c r="CX275" s="1062"/>
      <c r="DE275" s="1064"/>
      <c r="DF275" s="1064"/>
      <c r="DM275" s="1064"/>
      <c r="DN275" s="1064"/>
      <c r="DU275" s="1064"/>
      <c r="DV275" s="1064"/>
      <c r="EC275" s="1064"/>
      <c r="ED275" s="1064"/>
      <c r="EH275" s="1181"/>
      <c r="EI275" s="1181"/>
      <c r="EJ275" s="1181"/>
      <c r="EK275" s="1181"/>
      <c r="EL275" s="1181"/>
      <c r="EM275" s="1181"/>
      <c r="EN275" s="1181"/>
      <c r="EO275" s="1182"/>
      <c r="EP275" s="1181"/>
      <c r="EQ275" s="1181"/>
      <c r="ER275" s="1181"/>
      <c r="ES275" s="1181"/>
      <c r="ET275" s="1181"/>
      <c r="EU275" s="1181"/>
      <c r="EV275" s="1181"/>
      <c r="EW275" s="1182"/>
      <c r="EX275" s="1071">
        <f t="shared" ref="EX275:FM275" si="1474">EX226+EX233+EX240+EX247+EX254+EX261+EX268</f>
        <v>357</v>
      </c>
      <c r="EY275" s="1071">
        <f t="shared" si="1474"/>
        <v>351</v>
      </c>
      <c r="EZ275" s="1071">
        <f t="shared" si="1474"/>
        <v>708</v>
      </c>
      <c r="FA275" s="1071">
        <f t="shared" si="1474"/>
        <v>445</v>
      </c>
      <c r="FB275" s="1071">
        <f t="shared" si="1474"/>
        <v>1153</v>
      </c>
      <c r="FC275" s="1071">
        <f t="shared" si="1474"/>
        <v>417</v>
      </c>
      <c r="FD275" s="1071">
        <f t="shared" si="1474"/>
        <v>862</v>
      </c>
      <c r="FE275" s="1072">
        <f t="shared" si="1474"/>
        <v>1570</v>
      </c>
      <c r="FF275" s="1071">
        <f t="shared" si="1474"/>
        <v>410</v>
      </c>
      <c r="FG275" s="1071">
        <f t="shared" si="1474"/>
        <v>406</v>
      </c>
      <c r="FH275" s="1071">
        <f t="shared" si="1474"/>
        <v>816</v>
      </c>
      <c r="FI275" s="1071">
        <f t="shared" si="1474"/>
        <v>476</v>
      </c>
      <c r="FJ275" s="1071">
        <f t="shared" si="1474"/>
        <v>1292</v>
      </c>
      <c r="FK275" s="1071">
        <f t="shared" si="1474"/>
        <v>450</v>
      </c>
      <c r="FL275" s="1071">
        <f t="shared" si="1474"/>
        <v>926</v>
      </c>
      <c r="FM275" s="1072">
        <f t="shared" si="1474"/>
        <v>1742</v>
      </c>
      <c r="FN275" s="1071">
        <f t="shared" ref="FN275:FW275" si="1475">FN226+FN233+FN240+FN247+FN254+FN261+FN268</f>
        <v>415</v>
      </c>
      <c r="FO275" s="1071">
        <f t="shared" si="1475"/>
        <v>396</v>
      </c>
      <c r="FP275" s="1071">
        <f t="shared" si="1475"/>
        <v>811</v>
      </c>
      <c r="FQ275" s="1071">
        <f t="shared" si="1475"/>
        <v>494</v>
      </c>
      <c r="FR275" s="1071">
        <f t="shared" si="1475"/>
        <v>1305</v>
      </c>
      <c r="FS275" s="1071">
        <f t="shared" si="1475"/>
        <v>461</v>
      </c>
      <c r="FT275" s="1071">
        <f t="shared" si="1475"/>
        <v>955</v>
      </c>
      <c r="FU275" s="1071">
        <f t="shared" si="1475"/>
        <v>1766</v>
      </c>
      <c r="FV275" s="1075">
        <f t="shared" si="1475"/>
        <v>491</v>
      </c>
      <c r="FW275" s="1071">
        <f t="shared" si="1475"/>
        <v>426</v>
      </c>
      <c r="FX275" s="1076">
        <f>FV275+FW275</f>
        <v>917</v>
      </c>
      <c r="FY275" s="1071">
        <f t="shared" ref="FY275:GC275" si="1476">FY226+FY233+FY240+FY247+FY254+FY261+FY268</f>
        <v>486</v>
      </c>
      <c r="FZ275" s="1071">
        <f t="shared" si="1476"/>
        <v>1403</v>
      </c>
      <c r="GA275" s="1071">
        <f t="shared" si="1476"/>
        <v>429</v>
      </c>
      <c r="GB275" s="1071">
        <f t="shared" si="1476"/>
        <v>915</v>
      </c>
      <c r="GC275" s="1072">
        <f t="shared" si="1476"/>
        <v>1832</v>
      </c>
      <c r="GD275" s="1075">
        <f t="shared" ref="GD275:GE275" si="1477">GD226+GD233+GD240+GD247+GD254+GD261+GD268</f>
        <v>439</v>
      </c>
      <c r="GE275" s="1071">
        <f t="shared" si="1477"/>
        <v>386</v>
      </c>
      <c r="GF275" s="1076">
        <f>GD275+GE275</f>
        <v>825</v>
      </c>
      <c r="GG275" s="1071">
        <f t="shared" ref="GG275:GM275" si="1478">GG226+GG233+GG240+GG247+GG254+GG261+GG268</f>
        <v>435</v>
      </c>
      <c r="GH275" s="1071">
        <f t="shared" si="1478"/>
        <v>1260</v>
      </c>
      <c r="GI275" s="1071">
        <f t="shared" si="1478"/>
        <v>418.000000000003</v>
      </c>
      <c r="GJ275" s="1071">
        <f t="shared" si="1478"/>
        <v>853.000000000003</v>
      </c>
      <c r="GK275" s="1072">
        <f t="shared" si="1478"/>
        <v>1678</v>
      </c>
      <c r="GL275" s="1076">
        <f t="shared" si="1478"/>
        <v>419</v>
      </c>
      <c r="GM275" s="1071">
        <f t="shared" si="1478"/>
        <v>406</v>
      </c>
      <c r="GN275" s="1076">
        <f>GL275+GM275</f>
        <v>825</v>
      </c>
      <c r="GO275" s="1071">
        <f t="shared" ref="GO275:GS275" si="1479">GO226+GO233+GO240+GO247+GO254+GO261+GO268</f>
        <v>459</v>
      </c>
      <c r="GP275" s="1071">
        <f t="shared" si="1479"/>
        <v>1284</v>
      </c>
      <c r="GQ275" s="1071">
        <f t="shared" si="1479"/>
        <v>463.000000000002</v>
      </c>
      <c r="GR275" s="1071">
        <f t="shared" si="1479"/>
        <v>922.000000000002</v>
      </c>
      <c r="GS275" s="1072">
        <f t="shared" si="1479"/>
        <v>1747</v>
      </c>
      <c r="GT275" s="1076">
        <f t="shared" ref="GT275:GU275" si="1480">GT226+GT233+GT240+GT247+GT254+GT261+GT268</f>
        <v>371</v>
      </c>
      <c r="GU275" s="1071">
        <f t="shared" si="1480"/>
        <v>228</v>
      </c>
      <c r="GV275" s="1076">
        <f>GT275+GU275</f>
        <v>599</v>
      </c>
      <c r="GW275" s="1071">
        <f t="shared" ref="GW275:HA275" si="1481">GW226+GW233+GW240+GW247+GW254+GW261+GW268</f>
        <v>402</v>
      </c>
      <c r="GX275" s="1071">
        <f t="shared" si="1481"/>
        <v>1001</v>
      </c>
      <c r="GY275" s="1071">
        <f t="shared" si="1481"/>
        <v>406</v>
      </c>
      <c r="GZ275" s="1071">
        <f t="shared" si="1481"/>
        <v>808</v>
      </c>
      <c r="HA275" s="1072">
        <f t="shared" si="1481"/>
        <v>1407</v>
      </c>
      <c r="HB275" s="1071"/>
      <c r="HC275" s="1071"/>
      <c r="HD275" s="1071"/>
      <c r="HE275" s="1071"/>
      <c r="HF275" s="1071"/>
      <c r="HG275" s="1071"/>
      <c r="HH275" s="1071"/>
      <c r="HI275" s="1072"/>
      <c r="HJ275" s="1071"/>
      <c r="HK275" s="1071"/>
      <c r="HL275" s="1071"/>
      <c r="HM275" s="1071"/>
      <c r="HN275" s="1071"/>
      <c r="HO275" s="1071"/>
      <c r="HP275" s="1071"/>
      <c r="HQ275" s="1072"/>
      <c r="HR275" s="1071"/>
      <c r="HS275" s="1071"/>
      <c r="HT275" s="1071"/>
      <c r="HU275" s="1071"/>
      <c r="HV275" s="1071"/>
      <c r="HW275" s="1071"/>
      <c r="HX275" s="1071"/>
      <c r="HY275" s="1071"/>
      <c r="HZ275" s="1071"/>
      <c r="IA275" s="1071"/>
      <c r="IB275" s="1071"/>
      <c r="IC275" s="1071"/>
      <c r="ID275" s="1071"/>
      <c r="IE275" s="1071"/>
      <c r="IF275" s="1071"/>
      <c r="IG275" s="1072"/>
      <c r="IH275" s="1071"/>
      <c r="II275" s="1071"/>
      <c r="IJ275" s="1071"/>
      <c r="IK275" s="1071"/>
      <c r="IL275" s="1071"/>
      <c r="IM275" s="1071"/>
      <c r="IN275" s="1071"/>
      <c r="IO275" s="1072"/>
      <c r="IP275" s="1071"/>
      <c r="IQ275" s="1071"/>
      <c r="IR275" s="1071"/>
      <c r="IS275" s="1071"/>
      <c r="IT275" s="1071"/>
      <c r="IU275" s="1071"/>
      <c r="IV275" s="1071"/>
      <c r="IW275" s="1071"/>
      <c r="IX275" s="1104"/>
      <c r="IY275" s="1049"/>
      <c r="IZ275" s="1049"/>
      <c r="JA275" s="1049"/>
      <c r="JB275" s="1049"/>
      <c r="JC275" s="1037"/>
      <c r="JD275" s="1037"/>
      <c r="JE275" s="1037"/>
      <c r="JF275" s="1037"/>
      <c r="JG275" s="1037"/>
      <c r="JH275" s="1037"/>
      <c r="JI275" s="1035"/>
      <c r="JJ275" s="1035"/>
      <c r="JK275" s="1035"/>
      <c r="JL275" s="1035"/>
      <c r="JM275" s="1035"/>
      <c r="JN275" s="1035"/>
      <c r="JO275" s="1035"/>
      <c r="JP275" s="1035"/>
      <c r="JQ275" s="1035"/>
      <c r="JR275" s="1035"/>
      <c r="JS275" s="1035"/>
      <c r="JT275" s="1035"/>
      <c r="JU275" s="1035"/>
      <c r="JV275" s="1035"/>
      <c r="JW275" s="1035"/>
      <c r="JX275" s="1035"/>
      <c r="JY275" s="1035"/>
      <c r="KP275" s="1117"/>
      <c r="LV275" s="967"/>
    </row>
    <row r="276" hidden="1" spans="1:334">
      <c r="A276" s="967" t="s">
        <v>113</v>
      </c>
      <c r="AX276" s="1059"/>
      <c r="BE276" s="1060"/>
      <c r="BN276" s="1059"/>
      <c r="BU276" s="1060"/>
      <c r="BV276" s="1059"/>
      <c r="CC276" s="1060"/>
      <c r="CD276" s="1059"/>
      <c r="CJ276" s="1061"/>
      <c r="CK276" s="1060"/>
      <c r="CL276" s="1059"/>
      <c r="CS276" s="1060"/>
      <c r="CT276" s="1059"/>
      <c r="CW276" s="1062"/>
      <c r="CX276" s="1062"/>
      <c r="DE276" s="1064"/>
      <c r="DF276" s="1064"/>
      <c r="DM276" s="1064"/>
      <c r="DN276" s="1064"/>
      <c r="DU276" s="1064"/>
      <c r="DV276" s="1064"/>
      <c r="EC276" s="1064"/>
      <c r="ED276" s="1064"/>
      <c r="EH276" s="1181"/>
      <c r="EI276" s="1181"/>
      <c r="EJ276" s="1181"/>
      <c r="EK276" s="1181"/>
      <c r="EL276" s="1181"/>
      <c r="EM276" s="1181"/>
      <c r="EN276" s="1181"/>
      <c r="EO276" s="1182"/>
      <c r="EP276" s="1181"/>
      <c r="EQ276" s="1181"/>
      <c r="ER276" s="1181"/>
      <c r="ES276" s="1181"/>
      <c r="ET276" s="1181"/>
      <c r="EU276" s="1181"/>
      <c r="EV276" s="1181"/>
      <c r="EW276" s="1182"/>
      <c r="EX276" s="1181"/>
      <c r="EY276" s="1181"/>
      <c r="EZ276" s="1181"/>
      <c r="FA276" s="1181"/>
      <c r="FB276" s="1181"/>
      <c r="FC276" s="1181"/>
      <c r="FD276" s="1181"/>
      <c r="FE276" s="1182"/>
      <c r="FF276" s="1181">
        <f t="shared" ref="FF276:FN276" si="1482">FF275/EX275-1</f>
        <v>0.148459383753501</v>
      </c>
      <c r="FG276" s="1181">
        <f t="shared" si="1482"/>
        <v>0.156695156695157</v>
      </c>
      <c r="FH276" s="1181">
        <f t="shared" si="1482"/>
        <v>0.152542372881356</v>
      </c>
      <c r="FI276" s="1181">
        <f t="shared" si="1482"/>
        <v>0.0696629213483146</v>
      </c>
      <c r="FJ276" s="1181">
        <f t="shared" si="1482"/>
        <v>0.120555073720729</v>
      </c>
      <c r="FK276" s="1181">
        <f t="shared" si="1482"/>
        <v>0.079136690647482</v>
      </c>
      <c r="FL276" s="1181">
        <f t="shared" si="1482"/>
        <v>0.074245939675174</v>
      </c>
      <c r="FM276" s="1182">
        <f t="shared" si="1482"/>
        <v>0.109554140127389</v>
      </c>
      <c r="FN276" s="1181">
        <f t="shared" si="1482"/>
        <v>0.0121951219512195</v>
      </c>
      <c r="FO276" s="1181">
        <f t="shared" ref="FO276:FX276" si="1483">FO275/FG275-1</f>
        <v>-0.0246305418719212</v>
      </c>
      <c r="FP276" s="1181">
        <f t="shared" si="1483"/>
        <v>-0.00612745098039214</v>
      </c>
      <c r="FQ276" s="1181">
        <f t="shared" si="1483"/>
        <v>0.0378151260504203</v>
      </c>
      <c r="FR276" s="1181">
        <f t="shared" si="1483"/>
        <v>0.0100619195046439</v>
      </c>
      <c r="FS276" s="1181">
        <f t="shared" si="1483"/>
        <v>0.0244444444444445</v>
      </c>
      <c r="FT276" s="1181">
        <f t="shared" si="1483"/>
        <v>0.031317494600432</v>
      </c>
      <c r="FU276" s="1181">
        <f t="shared" si="1483"/>
        <v>0.0137772675086107</v>
      </c>
      <c r="FV276" s="1220">
        <f t="shared" si="1483"/>
        <v>0.183132530120482</v>
      </c>
      <c r="FW276" s="1181">
        <f t="shared" si="1483"/>
        <v>0.0757575757575757</v>
      </c>
      <c r="FX276" s="1218">
        <f t="shared" si="1483"/>
        <v>0.130702836004932</v>
      </c>
      <c r="FY276" s="1181">
        <f t="shared" ref="FY276" si="1484">FY275/FQ275-1</f>
        <v>-0.0161943319838057</v>
      </c>
      <c r="FZ276" s="1181">
        <f t="shared" ref="FZ276" si="1485">FZ275/FR275-1</f>
        <v>0.0750957854406131</v>
      </c>
      <c r="GA276" s="1181">
        <f t="shared" ref="GA276" si="1486">GA275/FS275-1</f>
        <v>-0.0694143167028199</v>
      </c>
      <c r="GB276" s="1181">
        <f t="shared" ref="GB276" si="1487">GB275/FT275-1</f>
        <v>-0.0418848167539267</v>
      </c>
      <c r="GC276" s="1182">
        <f t="shared" ref="GC276" si="1488">GC275/FU275-1</f>
        <v>0.0373725934314835</v>
      </c>
      <c r="GD276" s="1220">
        <v>-0.11</v>
      </c>
      <c r="GE276" s="1181">
        <f>GE275/FW275-1</f>
        <v>-0.0938967136150235</v>
      </c>
      <c r="GF276" s="1181">
        <f>GF275/FX275-1</f>
        <v>-0.100327153762268</v>
      </c>
      <c r="GG276" s="1181">
        <f>GG275/FY275-1</f>
        <v>-0.104938271604938</v>
      </c>
      <c r="GH276" s="1181">
        <f>GH275/FZ275-1</f>
        <v>-0.101924447612259</v>
      </c>
      <c r="GI276" s="1181">
        <f t="shared" ref="GI276" si="1489">GI275/GA275-1</f>
        <v>-0.0256410256410188</v>
      </c>
      <c r="GJ276" s="1181">
        <f t="shared" ref="GJ276" si="1490">GJ275/GB275-1</f>
        <v>-0.0677595628415268</v>
      </c>
      <c r="GK276" s="1182">
        <f t="shared" ref="GK276:GL276" si="1491">GK275/GC275-1</f>
        <v>-0.0840611353711774</v>
      </c>
      <c r="GL276" s="1181">
        <f t="shared" si="1491"/>
        <v>-0.0455580865603644</v>
      </c>
      <c r="GM276" s="1181">
        <f t="shared" ref="GM276" si="1492">GM275/GE275-1</f>
        <v>0.0518134715025906</v>
      </c>
      <c r="GN276" s="1181">
        <f t="shared" ref="GN276:GP276" si="1493">GN275/GF275-1</f>
        <v>0</v>
      </c>
      <c r="GO276" s="1181">
        <f t="shared" si="1493"/>
        <v>0.0551724137931036</v>
      </c>
      <c r="GP276" s="1181">
        <f t="shared" si="1493"/>
        <v>0.019047619047619</v>
      </c>
      <c r="GQ276" s="1181">
        <f t="shared" ref="GQ276" si="1494">GQ275/GI275-1</f>
        <v>0.10765550239234</v>
      </c>
      <c r="GR276" s="1181">
        <f t="shared" ref="GR276" si="1495">GR275/GJ275-1</f>
        <v>0.0808909730363405</v>
      </c>
      <c r="GS276" s="1182">
        <f t="shared" ref="GS276:GT276" si="1496">GS275/GK275-1</f>
        <v>0.0411203814064354</v>
      </c>
      <c r="GT276" s="1181">
        <f t="shared" si="1496"/>
        <v>-0.114558472553699</v>
      </c>
      <c r="GU276" s="1181">
        <f t="shared" ref="GU276" si="1497">GU275/GM275-1</f>
        <v>-0.438423645320197</v>
      </c>
      <c r="GV276" s="1181">
        <f t="shared" ref="GV276:GX276" si="1498">GV275/GN275-1</f>
        <v>-0.273939393939394</v>
      </c>
      <c r="GW276" s="1181">
        <f t="shared" si="1498"/>
        <v>-0.124183006535948</v>
      </c>
      <c r="GX276" s="1181">
        <f t="shared" si="1498"/>
        <v>-0.220404984423676</v>
      </c>
      <c r="GY276" s="1181">
        <f t="shared" ref="GY276" si="1499">GY275/GQ275-1</f>
        <v>-0.123110151187908</v>
      </c>
      <c r="GZ276" s="1181">
        <f t="shared" ref="GZ276" si="1500">GZ275/GR275-1</f>
        <v>-0.1236442516269</v>
      </c>
      <c r="HA276" s="1182">
        <f t="shared" ref="HA276" si="1501">HA275/GS275-1</f>
        <v>-0.194619347452777</v>
      </c>
      <c r="HB276" s="1181"/>
      <c r="HC276" s="1181"/>
      <c r="HD276" s="1181"/>
      <c r="HE276" s="1181"/>
      <c r="HF276" s="1181"/>
      <c r="HG276" s="1181"/>
      <c r="HH276" s="1181"/>
      <c r="HI276" s="1182"/>
      <c r="HJ276" s="1181"/>
      <c r="HK276" s="1181"/>
      <c r="HL276" s="1181"/>
      <c r="HM276" s="1181"/>
      <c r="HN276" s="1181"/>
      <c r="HO276" s="1181"/>
      <c r="HP276" s="1181"/>
      <c r="HQ276" s="1182"/>
      <c r="HR276" s="1181"/>
      <c r="HS276" s="1181"/>
      <c r="HT276" s="1181"/>
      <c r="HU276" s="1181"/>
      <c r="HV276" s="1181"/>
      <c r="HW276" s="1181"/>
      <c r="HX276" s="1181"/>
      <c r="HY276" s="1181"/>
      <c r="HZ276" s="1181"/>
      <c r="IA276" s="1181"/>
      <c r="IB276" s="1181"/>
      <c r="IC276" s="1181"/>
      <c r="ID276" s="1181"/>
      <c r="IE276" s="1181"/>
      <c r="IF276" s="1181"/>
      <c r="IG276" s="1182"/>
      <c r="IH276" s="1181"/>
      <c r="II276" s="1181"/>
      <c r="IJ276" s="1181"/>
      <c r="IK276" s="1181"/>
      <c r="IL276" s="1181"/>
      <c r="IM276" s="1181"/>
      <c r="IN276" s="1181"/>
      <c r="IO276" s="1182"/>
      <c r="IP276" s="1181"/>
      <c r="IQ276" s="1181"/>
      <c r="IR276" s="1181"/>
      <c r="IS276" s="1181"/>
      <c r="IT276" s="1181"/>
      <c r="IU276" s="1181"/>
      <c r="IV276" s="1181"/>
      <c r="IW276" s="1181"/>
      <c r="IX276" s="1104"/>
      <c r="IY276" s="1049"/>
      <c r="IZ276" s="1049"/>
      <c r="JA276" s="1049"/>
      <c r="JB276" s="1049"/>
      <c r="JC276" s="1037"/>
      <c r="JD276" s="1037"/>
      <c r="JE276" s="1037"/>
      <c r="JF276" s="1037"/>
      <c r="JG276" s="1037"/>
      <c r="JH276" s="1037"/>
      <c r="JI276" s="1035"/>
      <c r="JJ276" s="1035"/>
      <c r="JK276" s="1035"/>
      <c r="JL276" s="1035"/>
      <c r="JM276" s="1035"/>
      <c r="JN276" s="1035"/>
      <c r="JO276" s="1035"/>
      <c r="JP276" s="1035"/>
      <c r="JQ276" s="1035"/>
      <c r="JR276" s="1035"/>
      <c r="JS276" s="1035"/>
      <c r="JT276" s="1035"/>
      <c r="JU276" s="1035"/>
      <c r="JV276" s="1035"/>
      <c r="JW276" s="1035"/>
      <c r="JX276" s="1035"/>
      <c r="JY276" s="1035"/>
      <c r="KP276" s="1117"/>
      <c r="LV276" s="967"/>
    </row>
    <row r="277" hidden="1" spans="1:334">
      <c r="A277" s="967" t="s">
        <v>100</v>
      </c>
      <c r="AX277" s="1059"/>
      <c r="BE277" s="1060"/>
      <c r="BN277" s="1059"/>
      <c r="BU277" s="1060"/>
      <c r="BV277" s="1059"/>
      <c r="CC277" s="1060"/>
      <c r="CD277" s="1059"/>
      <c r="CJ277" s="1061"/>
      <c r="CK277" s="1060"/>
      <c r="CL277" s="1059"/>
      <c r="CS277" s="1060"/>
      <c r="CT277" s="1059"/>
      <c r="CW277" s="1062"/>
      <c r="CX277" s="1062"/>
      <c r="DE277" s="1064"/>
      <c r="DF277" s="1064"/>
      <c r="DM277" s="1064"/>
      <c r="DN277" s="1064"/>
      <c r="DU277" s="1064"/>
      <c r="DV277" s="1064"/>
      <c r="EC277" s="1064"/>
      <c r="ED277" s="1064"/>
      <c r="EH277" s="1181"/>
      <c r="EI277" s="1181"/>
      <c r="EJ277" s="1181"/>
      <c r="EK277" s="1181"/>
      <c r="EL277" s="1181"/>
      <c r="EM277" s="1181"/>
      <c r="EN277" s="1181"/>
      <c r="EO277" s="1182"/>
      <c r="EP277" s="1181"/>
      <c r="EQ277" s="1181"/>
      <c r="ER277" s="1181"/>
      <c r="ES277" s="1181"/>
      <c r="ET277" s="1181"/>
      <c r="EU277" s="1181"/>
      <c r="EV277" s="1181"/>
      <c r="EW277" s="1182"/>
      <c r="EX277" s="1181"/>
      <c r="EY277" s="1181"/>
      <c r="EZ277" s="1181"/>
      <c r="FA277" s="1181"/>
      <c r="FB277" s="1181"/>
      <c r="FC277" s="1181"/>
      <c r="FD277" s="1181"/>
      <c r="FE277" s="1182"/>
      <c r="FF277" s="1181">
        <f>(EX226*FF228+EX233*FF235+EX240*FF242+EX247*FF249+EX254*FF256+EX261*FF263+EX268*FF270)/EX275</f>
        <v>0.149019607843137</v>
      </c>
      <c r="FG277" s="1181">
        <f>(EY226*FG228+EY233*FG235+EY240*FG242+EY247*FG249+EY254*FG256+EY261*FG263+EY268*FG270)/EY275</f>
        <v>-0.00173789173789173</v>
      </c>
      <c r="FH277" s="1181">
        <f>(EZ226*FH228+EZ233*FH235+EZ240*FH242+EZ247*FH249+EZ254*FH256+EZ261*FH263+EZ268*FH270)/EZ275</f>
        <v>0.0742796610169492</v>
      </c>
      <c r="FI277" s="1181">
        <f>(FA226*FI228+FA233*FI235+FA240*FI242+FA247*FI249+FA254*FI256+FA261*FI263+FA268*FI270)/FA275</f>
        <v>0.0358876404494382</v>
      </c>
      <c r="FJ277" s="1181">
        <f>(FB226*FJ228+FB233*FJ235+FB240*FJ242+FB247*FJ249+FB254*FJ256+FB261*FJ263+FB268*FJ270)/FB275</f>
        <v>0.0594622723330442</v>
      </c>
      <c r="FK277" s="1181">
        <f>(FE275*FM277-FB275*FJ277)/FC275</f>
        <v>0.0614868105515588</v>
      </c>
      <c r="FL277" s="1181">
        <f>(FE275*FM277-EZ275*FH277)/FD275</f>
        <v>0.0482714617169374</v>
      </c>
      <c r="FM277" s="1182">
        <v>0.06</v>
      </c>
      <c r="FN277" s="1181">
        <f>(FF226*FN228+FF233*FN235+FF240*FN242+FF247*FN249+FF254*FN256+FF261*FN263+FF268*FN270)/FF275</f>
        <v>0.0595609756097561</v>
      </c>
      <c r="FO277" s="1181">
        <f>(FG226*FO228+FG233*FO235+FG240*FO242+FG247*FO249+FG254*FO256+FG261*FO263+FG268*FO270)/FG275</f>
        <v>0.0623152709359606</v>
      </c>
      <c r="FP277" s="1181">
        <f>(FH226*FP228+FH233*FP235+FH240*FP242+FH247*FP249+FH254*FP256+FH261*FP263+FH268*FP270)/FH275</f>
        <v>0.0609313725490196</v>
      </c>
      <c r="FQ277" s="1181">
        <f>(FI226*FQ228+FI233*FQ235+FI240*FQ242+FI247*FQ249+FI254*FQ256+FI261*FQ263+FI268*FQ270)/FI275</f>
        <v>0.0715546218487395</v>
      </c>
      <c r="FR277" s="1181">
        <f>(FJ226*FR228+FJ233*FR235+FJ240*FR242+FJ247*FR249+FJ254*FR256+FJ261*FR263+FJ268*FR270)/FJ275</f>
        <v>0.0648452012383901</v>
      </c>
      <c r="FS277" s="1181">
        <f>(FM275*FU277-FJ275*FR277)/FK275</f>
        <v>0.0460888888888888</v>
      </c>
      <c r="FT277" s="1181">
        <f>(FM275*FU277-FH275*FP277)/FL275</f>
        <v>0.0591792656587473</v>
      </c>
      <c r="FU277" s="1181">
        <v>0.06</v>
      </c>
      <c r="FV277" s="1220">
        <f>(FN226*FV228+FN233*FV235+FN240*FV242+FN247*FV249+FN254*FV256+FN261*FV263+FN268*FV270)/FN275</f>
        <v>0.139373493975904</v>
      </c>
      <c r="FW277" s="1181">
        <f>(FO226*FW228+FO233*FW235+FO240*FW242+FO247*FW249+FO254*FW256+FO261*FW263+FO268*FW270)/FO275</f>
        <v>0.0454040404040404</v>
      </c>
      <c r="FX277" s="1218">
        <f>(FP222*FX228+FP229*FX235+FP236*FX242+FP243*FX249+FP250*FX256+FP257*FX263+FP264*FX270)/FP271</f>
        <v>0.156800315498883</v>
      </c>
      <c r="FY277" s="1181">
        <f>(FQ226*FY228+FQ233*FY235+FQ240*FY242+FQ247*FY249+FQ254*FY256+FQ261*FY263+FQ268*FY270)/FQ275</f>
        <v>0.00862202121998528</v>
      </c>
      <c r="FZ277" s="1181">
        <f>(FR226*FZ228+FR233*FZ235+FR240*FZ242+FR247*FZ249+FR254*FZ256+FR261*FZ263+FR268*FZ270)/FR275</f>
        <v>0.0632643678160919</v>
      </c>
      <c r="GA277" s="1181">
        <f>(FU275*GC277-FR275*FZ277)/FS275</f>
        <v>-0.0258568329718004</v>
      </c>
      <c r="GB277" s="1181">
        <f>(FU275*GC277-FP275*FX277)/FT275</f>
        <v>-0.0591885401775851</v>
      </c>
      <c r="GC277" s="1182">
        <v>0.04</v>
      </c>
      <c r="GD277" s="1220">
        <v>-0.03</v>
      </c>
      <c r="GE277" s="1181">
        <f>(FW226*GE228+FW233*GE235+FW240*GE242+FW247*GE249+FW254*GE256+FW261*GE263+FW268*GE270)/FW275</f>
        <v>-0.0278826291079812</v>
      </c>
      <c r="GF277" s="1181">
        <f>(FX226*GF228+FX233*GF235+FX240*GF242+FX247*GF249+FX254*GF256+FX261*GF263+FX268*GF270)/FX275</f>
        <v>-0.0222878953107961</v>
      </c>
      <c r="GG277" s="1181">
        <f>(FY226*GG228+FY233*GG235+FY240*GG242+FY247*GG249+FY254*GG256+FY261*GG263+FY268*GG270)/FY275</f>
        <v>-0.0543827160493827</v>
      </c>
      <c r="GH277" s="1181">
        <f>(FZ226*GH228+FZ233*GH235+FZ240*GH242+FZ247*GH249+FZ254*GH256+FZ261*GH263+FZ268*GH270)/FZ275</f>
        <v>0</v>
      </c>
      <c r="GI277" s="1181">
        <v>-0.01</v>
      </c>
      <c r="GJ277" s="1181">
        <f>(GC275*GK277-FX275*GF277)/GB275</f>
        <v>-0.0377289617486339</v>
      </c>
      <c r="GK277" s="1182">
        <v>-0.03</v>
      </c>
      <c r="GL277" s="1218">
        <v>-0.06</v>
      </c>
      <c r="GM277" s="1181">
        <v>0.03</v>
      </c>
      <c r="GN277" s="1181">
        <f>(GF226*GN228+GF233*GN235+GF240*GN242+GF247*GN249+GF254*GN256+GF261*GN263+GF268*GN270)/GF275</f>
        <v>-0.0114424242424242</v>
      </c>
      <c r="GO277" s="1181">
        <f>(GG226*GO228+GG233*GO235+GG240*GO242+GG247*GO249+GG254*GO256+GG261*GO263+GG268*GO270)/GG275</f>
        <v>0.0179540229885057</v>
      </c>
      <c r="GP277" s="1181">
        <f>(GH226*GP228+GH233*GP235+GH240*GP242+GH247*GP249+GH254*GP256+GH261*GP263+GH268*GP270)/GH275</f>
        <v>0</v>
      </c>
      <c r="GQ277" s="1181">
        <v>0.074</v>
      </c>
      <c r="GR277" s="1181">
        <f>(GK275*GS277-GF275*GN277)/GJ275</f>
        <v>0.0425416178194606</v>
      </c>
      <c r="GS277" s="1182">
        <v>0.016</v>
      </c>
      <c r="GT277" s="1218">
        <v>-0.12</v>
      </c>
      <c r="GU277" s="1181">
        <v>-0.42</v>
      </c>
      <c r="GV277" s="1181">
        <f>(GN226*GV228+GN233*GV235+GN240*GV242+GN247*GV249+GN254*GV256+GN261*GV263+GN268*GV270)/GN275</f>
        <v>-0.247393939393939</v>
      </c>
      <c r="GW277" s="1181">
        <f>(GO226*GW228+GO233*GW235+GO240*GW242+GO247*GW249+GO254*GW256+GO261*GW263+GO268*GW270)/GO275</f>
        <v>-0.0671023965141612</v>
      </c>
      <c r="GX277" s="1181">
        <f>(GP226*GX228+GP233*GX235+GP240*GX242+GP247*GX249+GP254*GX256+GP261*GX263+GP268*GX270)/GP275</f>
        <v>0</v>
      </c>
      <c r="GY277" s="1181">
        <v>-0.05</v>
      </c>
      <c r="GZ277" s="1181">
        <f>(GS275*HA277-GN275*GV277)/GR275</f>
        <v>-0.0818004338394795</v>
      </c>
      <c r="HA277" s="1182">
        <v>-0.16</v>
      </c>
      <c r="HB277" s="1181"/>
      <c r="HC277" s="1181"/>
      <c r="HD277" s="1181"/>
      <c r="HE277" s="1181"/>
      <c r="HF277" s="1181"/>
      <c r="HG277" s="1181"/>
      <c r="HH277" s="1181"/>
      <c r="HI277" s="1182"/>
      <c r="HJ277" s="1181"/>
      <c r="HK277" s="1181"/>
      <c r="HL277" s="1181"/>
      <c r="HM277" s="1181"/>
      <c r="HN277" s="1181"/>
      <c r="HO277" s="1181"/>
      <c r="HP277" s="1181"/>
      <c r="HQ277" s="1182"/>
      <c r="HR277" s="1181"/>
      <c r="HS277" s="1181"/>
      <c r="HT277" s="1181"/>
      <c r="HU277" s="1181"/>
      <c r="HV277" s="1181"/>
      <c r="HW277" s="1181"/>
      <c r="HX277" s="1181"/>
      <c r="HY277" s="1181"/>
      <c r="HZ277" s="1181"/>
      <c r="IA277" s="1181"/>
      <c r="IB277" s="1181"/>
      <c r="IC277" s="1181"/>
      <c r="ID277" s="1181"/>
      <c r="IE277" s="1181"/>
      <c r="IF277" s="1181"/>
      <c r="IG277" s="1182"/>
      <c r="IH277" s="1181"/>
      <c r="II277" s="1181"/>
      <c r="IJ277" s="1181"/>
      <c r="IK277" s="1181"/>
      <c r="IL277" s="1181"/>
      <c r="IM277" s="1181"/>
      <c r="IN277" s="1181"/>
      <c r="IO277" s="1182"/>
      <c r="IP277" s="1181"/>
      <c r="IQ277" s="1181"/>
      <c r="IR277" s="1181"/>
      <c r="IS277" s="1181"/>
      <c r="IT277" s="1181"/>
      <c r="IU277" s="1181"/>
      <c r="IV277" s="1181"/>
      <c r="IW277" s="1181"/>
      <c r="IX277" s="1104"/>
      <c r="IY277" s="1049"/>
      <c r="IZ277" s="1104"/>
      <c r="JA277" s="1104"/>
      <c r="JB277" s="1104"/>
      <c r="JC277" s="1104"/>
      <c r="JD277" s="1104"/>
      <c r="JE277" s="1037"/>
      <c r="JF277" s="1037"/>
      <c r="JG277" s="1037"/>
      <c r="JH277" s="1037"/>
      <c r="JI277" s="1035"/>
      <c r="JJ277" s="1035"/>
      <c r="JK277" s="1082"/>
      <c r="JL277" s="1082"/>
      <c r="JM277" s="1082"/>
      <c r="JN277" s="1082"/>
      <c r="JO277" s="1082"/>
      <c r="JP277" s="1082"/>
      <c r="JQ277" s="1082"/>
      <c r="JR277" s="1082"/>
      <c r="JS277" s="1082"/>
      <c r="JT277" s="1082"/>
      <c r="JU277" s="1035"/>
      <c r="JV277" s="1035"/>
      <c r="JW277" s="1035"/>
      <c r="JX277" s="1035"/>
      <c r="JY277" s="1035"/>
      <c r="KP277" s="1117"/>
      <c r="LV277" s="967"/>
    </row>
    <row r="278" hidden="1" spans="1:334">
      <c r="A278" s="967" t="s">
        <v>118</v>
      </c>
      <c r="AX278" s="1059"/>
      <c r="BE278" s="1060"/>
      <c r="BN278" s="1059"/>
      <c r="BU278" s="1060"/>
      <c r="BV278" s="1059"/>
      <c r="CC278" s="1060"/>
      <c r="CD278" s="1059"/>
      <c r="CJ278" s="1061"/>
      <c r="CK278" s="1060"/>
      <c r="CL278" s="1059"/>
      <c r="CS278" s="1060"/>
      <c r="CT278" s="1059"/>
      <c r="CW278" s="1062"/>
      <c r="CX278" s="1062"/>
      <c r="DE278" s="1064"/>
      <c r="DF278" s="1064"/>
      <c r="DM278" s="1064"/>
      <c r="DN278" s="1064"/>
      <c r="DU278" s="1064"/>
      <c r="DV278" s="1064"/>
      <c r="EC278" s="1064"/>
      <c r="ED278" s="1064"/>
      <c r="EH278" s="1181"/>
      <c r="EI278" s="1181"/>
      <c r="EJ278" s="1181"/>
      <c r="EK278" s="1181"/>
      <c r="EL278" s="1181"/>
      <c r="EM278" s="1181"/>
      <c r="EN278" s="1181"/>
      <c r="EO278" s="1182"/>
      <c r="EP278" s="1181"/>
      <c r="EQ278" s="1181"/>
      <c r="ER278" s="1181"/>
      <c r="ES278" s="1181"/>
      <c r="ET278" s="1181"/>
      <c r="EU278" s="1181"/>
      <c r="EV278" s="1181"/>
      <c r="EW278" s="1182"/>
      <c r="EX278" s="1181">
        <f t="shared" ref="EX278:FM278" si="1502">EX275/EX$216</f>
        <v>0.102556736569951</v>
      </c>
      <c r="EY278" s="1181">
        <f t="shared" si="1502"/>
        <v>0.103296056503826</v>
      </c>
      <c r="EZ278" s="1181">
        <f t="shared" si="1502"/>
        <v>0.102921936327955</v>
      </c>
      <c r="FA278" s="1181">
        <f t="shared" si="1502"/>
        <v>0.110039564787339</v>
      </c>
      <c r="FB278" s="1181">
        <f t="shared" si="1502"/>
        <v>0.105557081387897</v>
      </c>
      <c r="FC278" s="1181">
        <f t="shared" si="1502"/>
        <v>0.115512465373961</v>
      </c>
      <c r="FD278" s="1181">
        <f t="shared" si="1502"/>
        <v>0.112620851842174</v>
      </c>
      <c r="FE278" s="1182">
        <f t="shared" si="1502"/>
        <v>0.108030000688089</v>
      </c>
      <c r="FF278" s="1181">
        <f t="shared" si="1502"/>
        <v>0.100416360519226</v>
      </c>
      <c r="FG278" s="1181">
        <f t="shared" si="1502"/>
        <v>0.103916048118761</v>
      </c>
      <c r="FH278" s="1181">
        <f t="shared" si="1502"/>
        <v>0.102127659574468</v>
      </c>
      <c r="FI278" s="1181">
        <f t="shared" si="1502"/>
        <v>0.100063064956906</v>
      </c>
      <c r="FJ278" s="1181">
        <f t="shared" si="1502"/>
        <v>0.101357182082059</v>
      </c>
      <c r="FK278" s="1181">
        <f t="shared" si="1502"/>
        <v>0.107965451055662</v>
      </c>
      <c r="FL278" s="1181">
        <f t="shared" si="1502"/>
        <v>0.10375350140056</v>
      </c>
      <c r="FM278" s="1182">
        <f t="shared" si="1502"/>
        <v>0.102985515814366</v>
      </c>
      <c r="FN278" s="1181">
        <f t="shared" ref="FN278:FX278" si="1503">FN275/FN$216</f>
        <v>0.0870203396938562</v>
      </c>
      <c r="FO278" s="1181">
        <f t="shared" si="1503"/>
        <v>0.089531991860728</v>
      </c>
      <c r="FP278" s="1181">
        <f t="shared" si="1503"/>
        <v>0.0882288946910357</v>
      </c>
      <c r="FQ278" s="1181">
        <f t="shared" si="1503"/>
        <v>0.0912786400591279</v>
      </c>
      <c r="FR278" s="1181">
        <f t="shared" si="1503"/>
        <v>0.0893590797041906</v>
      </c>
      <c r="FS278" s="1181">
        <f t="shared" si="1503"/>
        <v>0.0983781476739223</v>
      </c>
      <c r="FT278" s="1181">
        <f t="shared" si="1503"/>
        <v>0.0945731828084769</v>
      </c>
      <c r="FU278" s="1181">
        <f t="shared" si="1503"/>
        <v>0.0915500259201659</v>
      </c>
      <c r="FV278" s="1220">
        <f t="shared" si="1503"/>
        <v>0.0901579140653691</v>
      </c>
      <c r="FW278" s="1181">
        <f t="shared" si="1503"/>
        <v>0.0845573640333466</v>
      </c>
      <c r="FX278" s="1218">
        <f t="shared" si="1503"/>
        <v>0.0874666157954979</v>
      </c>
      <c r="FY278" s="1181">
        <f t="shared" ref="FY278:GC278" si="1504">FY275/FY$216</f>
        <v>0.0855935188446636</v>
      </c>
      <c r="FZ278" s="1181">
        <f t="shared" si="1504"/>
        <v>0.0868085632966217</v>
      </c>
      <c r="GA278" s="1181">
        <f t="shared" si="1504"/>
        <v>0.0848496835443038</v>
      </c>
      <c r="GB278" s="1181">
        <f t="shared" si="1504"/>
        <v>0.0852431525992174</v>
      </c>
      <c r="GC278" s="1182">
        <f t="shared" si="1504"/>
        <v>0.0863417852766519</v>
      </c>
      <c r="GD278" s="1220">
        <f t="shared" ref="GD278:GF278" si="1505">GD275/GD$216</f>
        <v>0.079127613554434</v>
      </c>
      <c r="GE278" s="1181">
        <f t="shared" si="1505"/>
        <v>0.0733700817335107</v>
      </c>
      <c r="GF278" s="1218">
        <f t="shared" si="1505"/>
        <v>0.0763252844851513</v>
      </c>
      <c r="GG278" s="1181">
        <f t="shared" ref="GG278:GN278" si="1506">GG275/GG$216</f>
        <v>0.0740677677507236</v>
      </c>
      <c r="GH278" s="1181">
        <f t="shared" si="1506"/>
        <v>0.0755305119290253</v>
      </c>
      <c r="GI278" s="1181">
        <f t="shared" si="1506"/>
        <v>0.0798776992165112</v>
      </c>
      <c r="GJ278" s="1181">
        <f t="shared" si="1506"/>
        <v>0.0768053304520082</v>
      </c>
      <c r="GK278" s="1182">
        <f t="shared" si="1506"/>
        <v>0.0765685603467946</v>
      </c>
      <c r="GL278" s="1218">
        <f t="shared" si="1506"/>
        <v>0.0712221655617882</v>
      </c>
      <c r="GM278" s="1181">
        <f t="shared" si="1506"/>
        <v>0.0736975857687421</v>
      </c>
      <c r="GN278" s="1218">
        <f t="shared" si="1506"/>
        <v>0.0724192415730337</v>
      </c>
      <c r="GO278" s="1181">
        <f t="shared" ref="GO278:GS278" si="1507">GO275/GO$216</f>
        <v>0.071606864274571</v>
      </c>
      <c r="GP278" s="1181">
        <f t="shared" si="1507"/>
        <v>0.0721267273340074</v>
      </c>
      <c r="GQ278" s="1181">
        <f t="shared" si="1507"/>
        <v>0.0792943997259807</v>
      </c>
      <c r="GR278" s="1181">
        <f t="shared" si="1507"/>
        <v>0.075271450730672</v>
      </c>
      <c r="GS278" s="1182">
        <f t="shared" si="1507"/>
        <v>0.0738970432722813</v>
      </c>
      <c r="GT278" s="1218">
        <f t="shared" ref="GT278:HA278" si="1508">GT275/GT$216</f>
        <v>0.0780559646539028</v>
      </c>
      <c r="GU278" s="1181">
        <f t="shared" si="1508"/>
        <v>0.0637112294115625</v>
      </c>
      <c r="GV278" s="1218">
        <f t="shared" si="1508"/>
        <v>0.0718945485808508</v>
      </c>
      <c r="GW278" s="1181">
        <f t="shared" si="1508"/>
        <v>0.0674007875496997</v>
      </c>
      <c r="GX278" s="1181">
        <f t="shared" si="1508"/>
        <v>0.0700197377316641</v>
      </c>
      <c r="GY278" s="1181">
        <f t="shared" si="1508"/>
        <v>0.0731791152572868</v>
      </c>
      <c r="GZ278" s="1181">
        <f t="shared" si="1508"/>
        <v>0.0701854781555083</v>
      </c>
      <c r="HA278" s="1182">
        <f t="shared" si="1508"/>
        <v>0.0709030437411812</v>
      </c>
      <c r="HB278" s="1181"/>
      <c r="HC278" s="1181"/>
      <c r="HD278" s="1181"/>
      <c r="HE278" s="1181"/>
      <c r="HF278" s="1181"/>
      <c r="HG278" s="1181"/>
      <c r="HH278" s="1181"/>
      <c r="HI278" s="1182"/>
      <c r="HJ278" s="1181"/>
      <c r="HK278" s="1181"/>
      <c r="HL278" s="1181"/>
      <c r="HM278" s="1181"/>
      <c r="HN278" s="1181"/>
      <c r="HO278" s="1181"/>
      <c r="HP278" s="1181"/>
      <c r="HQ278" s="1182"/>
      <c r="HR278" s="1181"/>
      <c r="HS278" s="1181"/>
      <c r="HT278" s="1181"/>
      <c r="HU278" s="1181"/>
      <c r="HV278" s="1181"/>
      <c r="HW278" s="1181"/>
      <c r="HX278" s="1181"/>
      <c r="HY278" s="1181"/>
      <c r="HZ278" s="1181"/>
      <c r="IA278" s="1181"/>
      <c r="IB278" s="1181"/>
      <c r="IC278" s="1181"/>
      <c r="ID278" s="1181"/>
      <c r="IE278" s="1181"/>
      <c r="IF278" s="1181"/>
      <c r="IG278" s="1182"/>
      <c r="IH278" s="1181"/>
      <c r="II278" s="1181"/>
      <c r="IJ278" s="1181"/>
      <c r="IK278" s="1181"/>
      <c r="IL278" s="1181"/>
      <c r="IM278" s="1181"/>
      <c r="IN278" s="1181"/>
      <c r="IO278" s="1182"/>
      <c r="IP278" s="1181"/>
      <c r="IQ278" s="1181"/>
      <c r="IR278" s="1181"/>
      <c r="IS278" s="1181"/>
      <c r="IT278" s="1181"/>
      <c r="IU278" s="1181"/>
      <c r="IV278" s="1181"/>
      <c r="IW278" s="1181"/>
      <c r="IX278" s="1104"/>
      <c r="IY278" s="1049"/>
      <c r="IZ278" s="1049"/>
      <c r="JA278" s="1049"/>
      <c r="JB278" s="1049"/>
      <c r="JC278" s="1049"/>
      <c r="JD278" s="1049"/>
      <c r="JE278" s="1037"/>
      <c r="JF278" s="1037"/>
      <c r="JG278" s="1037"/>
      <c r="JH278" s="1037"/>
      <c r="JI278" s="1035"/>
      <c r="JJ278" s="1035"/>
      <c r="JK278" s="1035"/>
      <c r="JL278" s="1035"/>
      <c r="JM278" s="1035"/>
      <c r="JN278" s="1035"/>
      <c r="JO278" s="1035"/>
      <c r="JP278" s="1035"/>
      <c r="JQ278" s="1035"/>
      <c r="JR278" s="1035"/>
      <c r="JS278" s="1035"/>
      <c r="JT278" s="1035"/>
      <c r="JU278" s="1035"/>
      <c r="JV278" s="1035"/>
      <c r="JW278" s="1035"/>
      <c r="JX278" s="1035"/>
      <c r="JY278" s="1035"/>
      <c r="KP278" s="1117"/>
      <c r="LV278" s="967"/>
    </row>
    <row r="279" hidden="1" spans="1:334">
      <c r="A279" s="1103" t="s">
        <v>563</v>
      </c>
      <c r="AX279" s="1059"/>
      <c r="BE279" s="1060"/>
      <c r="BN279" s="1059"/>
      <c r="BU279" s="1060"/>
      <c r="BV279" s="1059"/>
      <c r="CC279" s="1060"/>
      <c r="CD279" s="1059"/>
      <c r="CJ279" s="1061"/>
      <c r="CK279" s="1060"/>
      <c r="CL279" s="1059"/>
      <c r="CS279" s="1060"/>
      <c r="CT279" s="1059"/>
      <c r="CW279" s="1062"/>
      <c r="CX279" s="1062"/>
      <c r="DE279" s="1064"/>
      <c r="DF279" s="1064"/>
      <c r="DM279" s="1064"/>
      <c r="DN279" s="1064"/>
      <c r="DU279" s="1064"/>
      <c r="DV279" s="1064"/>
      <c r="EC279" s="1064"/>
      <c r="ED279" s="1064"/>
      <c r="EH279" s="1181"/>
      <c r="EI279" s="1181"/>
      <c r="EJ279" s="1181"/>
      <c r="EK279" s="1181"/>
      <c r="EL279" s="1181"/>
      <c r="EM279" s="1181"/>
      <c r="EN279" s="1181"/>
      <c r="EO279" s="1182"/>
      <c r="EP279" s="1181"/>
      <c r="EQ279" s="1181"/>
      <c r="ER279" s="1181"/>
      <c r="ES279" s="1181"/>
      <c r="ET279" s="1181"/>
      <c r="EU279" s="1181"/>
      <c r="EV279" s="1181"/>
      <c r="EW279" s="1182"/>
      <c r="EX279" s="1071">
        <f>EX209</f>
        <v>333</v>
      </c>
      <c r="EY279" s="1071">
        <f>EY209</f>
        <v>369</v>
      </c>
      <c r="EZ279" s="1071">
        <f>EX279+EY279</f>
        <v>702</v>
      </c>
      <c r="FA279" s="1071">
        <f>FA209</f>
        <v>290</v>
      </c>
      <c r="FB279" s="1071">
        <f>EX279+EY279+FA279</f>
        <v>992</v>
      </c>
      <c r="FC279" s="1071">
        <f>FC209</f>
        <v>366</v>
      </c>
      <c r="FD279" s="1071">
        <f>FA279+FC279</f>
        <v>656</v>
      </c>
      <c r="FE279" s="1072">
        <f>EX279+EY279+FA279+FC279</f>
        <v>1358</v>
      </c>
      <c r="FF279" s="1071">
        <f>FF209</f>
        <v>377</v>
      </c>
      <c r="FG279" s="1071">
        <f>FG209</f>
        <v>365</v>
      </c>
      <c r="FH279" s="1071">
        <f>FF279+FG279</f>
        <v>742</v>
      </c>
      <c r="FI279" s="1071">
        <f>FI209</f>
        <v>342</v>
      </c>
      <c r="FJ279" s="1071">
        <f>FF279+FG279+FI279</f>
        <v>1084</v>
      </c>
      <c r="FK279" s="1071">
        <f>FK209</f>
        <v>383</v>
      </c>
      <c r="FL279" s="1071">
        <f>FI279+FK279</f>
        <v>725</v>
      </c>
      <c r="FM279" s="1072">
        <f>FM209</f>
        <v>1467</v>
      </c>
      <c r="FN279" s="1071">
        <f>FN209</f>
        <v>396</v>
      </c>
      <c r="FO279" s="1071">
        <f>FO209</f>
        <v>377</v>
      </c>
      <c r="FP279" s="1071">
        <f>FP209</f>
        <v>773</v>
      </c>
      <c r="FQ279" s="1071">
        <f>FQ209</f>
        <v>366</v>
      </c>
      <c r="FR279" s="1071">
        <f>FN279+FO279+FQ279</f>
        <v>1139</v>
      </c>
      <c r="FS279" s="1071">
        <f>FS209</f>
        <v>336</v>
      </c>
      <c r="FT279" s="1071">
        <f>FQ279+FS279</f>
        <v>702</v>
      </c>
      <c r="FU279" s="1071">
        <f>FU209</f>
        <v>1475</v>
      </c>
      <c r="FV279" s="1075">
        <v>197</v>
      </c>
      <c r="FW279" s="1071">
        <f>FW209</f>
        <v>198</v>
      </c>
      <c r="FX279" s="1076">
        <f>FV279+FW279</f>
        <v>395</v>
      </c>
      <c r="FY279" s="1071">
        <f>FY209</f>
        <v>192</v>
      </c>
      <c r="FZ279" s="1071">
        <f>FV279+FW279+FY279</f>
        <v>587</v>
      </c>
      <c r="GA279" s="1071">
        <f>GA209</f>
        <v>154</v>
      </c>
      <c r="GB279" s="1071">
        <f>FY279+GA279</f>
        <v>346</v>
      </c>
      <c r="GC279" s="1072">
        <f>GC209</f>
        <v>741</v>
      </c>
      <c r="GD279" s="1075">
        <f>GD209</f>
        <v>190</v>
      </c>
      <c r="GE279" s="1071">
        <f>GE209</f>
        <v>189</v>
      </c>
      <c r="GF279" s="1076">
        <f>GD279+GE279</f>
        <v>379</v>
      </c>
      <c r="GG279" s="1071">
        <f>GG209</f>
        <v>230</v>
      </c>
      <c r="GH279" s="1071">
        <f>GD279+GE279+GG279</f>
        <v>609</v>
      </c>
      <c r="GI279" s="1071">
        <f>GI209</f>
        <v>220</v>
      </c>
      <c r="GJ279" s="1071">
        <f>GG279+GI279</f>
        <v>450</v>
      </c>
      <c r="GK279" s="1072">
        <f>GK209</f>
        <v>829</v>
      </c>
      <c r="GL279" s="1076">
        <f>GL209</f>
        <v>195</v>
      </c>
      <c r="GM279" s="1071">
        <f>GM209</f>
        <v>147</v>
      </c>
      <c r="GN279" s="1076">
        <f>GL279+GM279</f>
        <v>342</v>
      </c>
      <c r="GO279" s="1071">
        <f>GO209</f>
        <v>162</v>
      </c>
      <c r="GP279" s="1071">
        <f>GL279+GM279+GO279</f>
        <v>504</v>
      </c>
      <c r="GQ279" s="1071">
        <f>GQ209</f>
        <v>101</v>
      </c>
      <c r="GR279" s="1071">
        <f>GO279+GQ279</f>
        <v>263</v>
      </c>
      <c r="GS279" s="1072">
        <f>GS209</f>
        <v>605</v>
      </c>
      <c r="GT279" s="1076">
        <f>GT209</f>
        <v>156</v>
      </c>
      <c r="GU279" s="1071">
        <f>GU209</f>
        <v>73.647</v>
      </c>
      <c r="GV279" s="1076">
        <f>GT279+GU279</f>
        <v>229.647</v>
      </c>
      <c r="GW279" s="1071">
        <f>GW209</f>
        <v>153.09</v>
      </c>
      <c r="GX279" s="1071">
        <f>GT279+GU279+GW279</f>
        <v>382.737</v>
      </c>
      <c r="GY279" s="1071">
        <f>GY209</f>
        <v>93.263</v>
      </c>
      <c r="GZ279" s="1071">
        <f>GW279+GY279</f>
        <v>246.353</v>
      </c>
      <c r="HA279" s="1072">
        <f>HA209</f>
        <v>476</v>
      </c>
      <c r="HB279" s="1071"/>
      <c r="HC279" s="1071"/>
      <c r="HD279" s="1071"/>
      <c r="HE279" s="1071"/>
      <c r="HF279" s="1071"/>
      <c r="HG279" s="1071"/>
      <c r="HH279" s="1071"/>
      <c r="HI279" s="1072"/>
      <c r="HJ279" s="1071"/>
      <c r="HK279" s="1071"/>
      <c r="HL279" s="1071"/>
      <c r="HM279" s="1071"/>
      <c r="HN279" s="1071"/>
      <c r="HO279" s="1071"/>
      <c r="HP279" s="1071"/>
      <c r="HQ279" s="1072"/>
      <c r="HR279" s="1071"/>
      <c r="HS279" s="1071"/>
      <c r="HT279" s="1071"/>
      <c r="HU279" s="1071"/>
      <c r="HV279" s="1071"/>
      <c r="HW279" s="1071"/>
      <c r="HX279" s="1071"/>
      <c r="HY279" s="1071"/>
      <c r="HZ279" s="1071"/>
      <c r="IA279" s="1071"/>
      <c r="IB279" s="1071"/>
      <c r="IC279" s="1071"/>
      <c r="ID279" s="1071"/>
      <c r="IE279" s="1071"/>
      <c r="IF279" s="1071"/>
      <c r="IG279" s="1072"/>
      <c r="IH279" s="1071"/>
      <c r="II279" s="1071"/>
      <c r="IJ279" s="1071"/>
      <c r="IK279" s="1071"/>
      <c r="IL279" s="1071"/>
      <c r="IM279" s="1071"/>
      <c r="IN279" s="1071"/>
      <c r="IO279" s="1072"/>
      <c r="IP279" s="1071"/>
      <c r="IQ279" s="1071"/>
      <c r="IR279" s="1071"/>
      <c r="IS279" s="1071"/>
      <c r="IT279" s="1071"/>
      <c r="IU279" s="1071"/>
      <c r="IV279" s="1071"/>
      <c r="IW279" s="1071"/>
      <c r="IX279" s="1104"/>
      <c r="IY279" s="1049"/>
      <c r="IZ279" s="1049"/>
      <c r="JA279" s="1049"/>
      <c r="JB279" s="1049"/>
      <c r="JC279" s="1049"/>
      <c r="JD279" s="1049"/>
      <c r="JE279" s="1037"/>
      <c r="JF279" s="1037"/>
      <c r="JG279" s="1037"/>
      <c r="JH279" s="1037"/>
      <c r="JI279" s="1035"/>
      <c r="JJ279" s="1035"/>
      <c r="JK279" s="1035"/>
      <c r="JL279" s="1035"/>
      <c r="JM279" s="1035"/>
      <c r="JN279" s="1035"/>
      <c r="JO279" s="1035"/>
      <c r="JP279" s="1035"/>
      <c r="JQ279" s="1035"/>
      <c r="JR279" s="1035"/>
      <c r="JS279" s="1035"/>
      <c r="JT279" s="1035"/>
      <c r="JU279" s="1035"/>
      <c r="JV279" s="1035"/>
      <c r="JW279" s="1035"/>
      <c r="JX279" s="1035"/>
      <c r="JY279" s="1035"/>
      <c r="KP279" s="1117"/>
      <c r="LV279" s="967"/>
    </row>
    <row r="280" hidden="1" spans="1:334">
      <c r="A280" s="967" t="s">
        <v>119</v>
      </c>
      <c r="AX280" s="1059"/>
      <c r="BE280" s="1060"/>
      <c r="BN280" s="1059"/>
      <c r="BU280" s="1060"/>
      <c r="BV280" s="1059"/>
      <c r="CC280" s="1060"/>
      <c r="CD280" s="1059"/>
      <c r="CJ280" s="1061"/>
      <c r="CK280" s="1060"/>
      <c r="CL280" s="1059"/>
      <c r="CS280" s="1060"/>
      <c r="CT280" s="1059"/>
      <c r="CW280" s="1062"/>
      <c r="CX280" s="1062"/>
      <c r="DE280" s="1064"/>
      <c r="DF280" s="1064"/>
      <c r="DM280" s="1064"/>
      <c r="DN280" s="1064"/>
      <c r="DU280" s="1064"/>
      <c r="DV280" s="1064"/>
      <c r="EC280" s="1064"/>
      <c r="ED280" s="1064"/>
      <c r="EH280" s="1181"/>
      <c r="EI280" s="1181"/>
      <c r="EJ280" s="1181"/>
      <c r="EK280" s="1181"/>
      <c r="EL280" s="1181"/>
      <c r="EM280" s="1181"/>
      <c r="EN280" s="1181"/>
      <c r="EO280" s="1182"/>
      <c r="EP280" s="1181"/>
      <c r="EQ280" s="1181"/>
      <c r="ER280" s="1181"/>
      <c r="ES280" s="1181"/>
      <c r="ET280" s="1181"/>
      <c r="EU280" s="1181"/>
      <c r="EV280" s="1181"/>
      <c r="EW280" s="1182"/>
      <c r="EX280" s="1148">
        <v>264</v>
      </c>
      <c r="EY280" s="1148">
        <v>272</v>
      </c>
      <c r="EZ280" s="1148">
        <f>EX280+EY280</f>
        <v>536</v>
      </c>
      <c r="FA280" s="1148">
        <v>138</v>
      </c>
      <c r="FB280" s="1148">
        <f>EX280+EY280+FA280</f>
        <v>674</v>
      </c>
      <c r="FC280" s="1148">
        <v>240</v>
      </c>
      <c r="FD280" s="1148">
        <f>FA280+FC280</f>
        <v>378</v>
      </c>
      <c r="FE280" s="1149">
        <f>EX280+EY280+FA280+FC280</f>
        <v>914</v>
      </c>
      <c r="FF280" s="1148">
        <v>280</v>
      </c>
      <c r="FG280" s="1148">
        <f>FH280-FF280</f>
        <v>239</v>
      </c>
      <c r="FH280" s="1148">
        <v>519</v>
      </c>
      <c r="FI280" s="1148">
        <v>159</v>
      </c>
      <c r="FJ280" s="1148">
        <f>FF280+FG280+FI280</f>
        <v>678</v>
      </c>
      <c r="FK280" s="1148">
        <f>FM280-FJ280</f>
        <v>224</v>
      </c>
      <c r="FL280" s="1148">
        <f>FI280+FK280</f>
        <v>383</v>
      </c>
      <c r="FM280" s="1149">
        <v>902</v>
      </c>
      <c r="FN280" s="1148">
        <v>275</v>
      </c>
      <c r="FO280" s="1148">
        <f>FP280-FN280</f>
        <v>248</v>
      </c>
      <c r="FP280" s="1148">
        <v>523</v>
      </c>
      <c r="FQ280" s="1148">
        <f>FR280-FP280</f>
        <v>170</v>
      </c>
      <c r="FR280" s="1148">
        <v>693</v>
      </c>
      <c r="FS280" s="1148">
        <f>FU280-FR280</f>
        <v>199</v>
      </c>
      <c r="FT280" s="1148">
        <f>FQ280+FS280</f>
        <v>369</v>
      </c>
      <c r="FU280" s="1148">
        <v>892</v>
      </c>
      <c r="FV280" s="1278"/>
      <c r="FW280" s="1279"/>
      <c r="FX280" s="1279"/>
      <c r="FY280" s="1148"/>
      <c r="FZ280" s="1148"/>
      <c r="GA280" s="1148"/>
      <c r="GB280" s="1148"/>
      <c r="GC280" s="1149"/>
      <c r="GD280" s="1278"/>
      <c r="GE280" s="1148"/>
      <c r="GF280" s="1148"/>
      <c r="GG280" s="1148"/>
      <c r="GH280" s="1148"/>
      <c r="GI280" s="1148"/>
      <c r="GJ280" s="1148"/>
      <c r="GK280" s="1149"/>
      <c r="GL280" s="1148"/>
      <c r="GM280" s="1148"/>
      <c r="GN280" s="1148"/>
      <c r="GO280" s="1148"/>
      <c r="GP280" s="1148"/>
      <c r="GQ280" s="1148"/>
      <c r="GR280" s="1148"/>
      <c r="GS280" s="1149"/>
      <c r="GT280" s="1148"/>
      <c r="GU280" s="1148"/>
      <c r="GV280" s="1148"/>
      <c r="GW280" s="1148"/>
      <c r="GX280" s="1148"/>
      <c r="GY280" s="1148"/>
      <c r="GZ280" s="1148"/>
      <c r="HA280" s="1149"/>
      <c r="HB280" s="1148"/>
      <c r="HC280" s="1148"/>
      <c r="HD280" s="1148"/>
      <c r="HE280" s="1148"/>
      <c r="HF280" s="1148"/>
      <c r="HG280" s="1148"/>
      <c r="HH280" s="1148"/>
      <c r="HI280" s="1149"/>
      <c r="HJ280" s="1148"/>
      <c r="HK280" s="1148"/>
      <c r="HL280" s="1148"/>
      <c r="HM280" s="1148"/>
      <c r="HN280" s="1148"/>
      <c r="HO280" s="1148"/>
      <c r="HP280" s="1148"/>
      <c r="HQ280" s="1149"/>
      <c r="HR280" s="1148"/>
      <c r="HS280" s="1148"/>
      <c r="HT280" s="1148"/>
      <c r="HU280" s="1148"/>
      <c r="HV280" s="1148"/>
      <c r="HW280" s="1148"/>
      <c r="HX280" s="1148"/>
      <c r="HY280" s="1148"/>
      <c r="HZ280" s="1148"/>
      <c r="IA280" s="1148"/>
      <c r="IB280" s="1148"/>
      <c r="IC280" s="1148"/>
      <c r="ID280" s="1148"/>
      <c r="IE280" s="1148"/>
      <c r="IF280" s="1148"/>
      <c r="IG280" s="1149"/>
      <c r="IH280" s="1148"/>
      <c r="II280" s="1148"/>
      <c r="IJ280" s="1148"/>
      <c r="IK280" s="1148"/>
      <c r="IL280" s="1148"/>
      <c r="IM280" s="1148"/>
      <c r="IN280" s="1148"/>
      <c r="IO280" s="1149"/>
      <c r="IP280" s="1148"/>
      <c r="IQ280" s="1148"/>
      <c r="IR280" s="1148"/>
      <c r="IS280" s="1148"/>
      <c r="IT280" s="1148"/>
      <c r="IU280" s="1148"/>
      <c r="IV280" s="1148"/>
      <c r="IW280" s="1148"/>
      <c r="IX280" s="1104"/>
      <c r="IY280" s="1071"/>
      <c r="IZ280" s="1071"/>
      <c r="JA280" s="1071"/>
      <c r="JB280" s="1071"/>
      <c r="JC280" s="1071"/>
      <c r="JD280" s="1071"/>
      <c r="JE280" s="1071"/>
      <c r="JF280" s="1037"/>
      <c r="JG280" s="1071"/>
      <c r="JH280" s="1035" t="s">
        <v>411</v>
      </c>
      <c r="JI280" s="1035"/>
      <c r="JJ280" s="1035"/>
      <c r="JK280" s="1035"/>
      <c r="JL280" s="1035"/>
      <c r="JM280" s="1035"/>
      <c r="JN280" s="1035"/>
      <c r="JO280" s="1035"/>
      <c r="JP280" s="1035"/>
      <c r="JQ280" s="1035"/>
      <c r="JR280" s="1035"/>
      <c r="JS280" s="1035"/>
      <c r="JT280" s="1035"/>
      <c r="JU280" s="1035"/>
      <c r="JV280" s="1035"/>
      <c r="JW280" s="1035"/>
      <c r="JX280" s="1035"/>
      <c r="JY280" s="1035"/>
      <c r="KP280" s="1117"/>
      <c r="LV280" s="967"/>
    </row>
    <row r="281" hidden="1" spans="1:334">
      <c r="A281" s="967" t="s">
        <v>113</v>
      </c>
      <c r="AX281" s="1059"/>
      <c r="BE281" s="1060"/>
      <c r="BN281" s="1059"/>
      <c r="BU281" s="1060"/>
      <c r="BV281" s="1059"/>
      <c r="CC281" s="1060"/>
      <c r="CD281" s="1059"/>
      <c r="CJ281" s="1061"/>
      <c r="CK281" s="1060"/>
      <c r="CL281" s="1059"/>
      <c r="CS281" s="1060"/>
      <c r="CT281" s="1059"/>
      <c r="CW281" s="1062"/>
      <c r="CX281" s="1062"/>
      <c r="DE281" s="1064"/>
      <c r="DF281" s="1064"/>
      <c r="DM281" s="1064"/>
      <c r="DN281" s="1064"/>
      <c r="DU281" s="1064"/>
      <c r="DV281" s="1064"/>
      <c r="EC281" s="1064"/>
      <c r="ED281" s="1064"/>
      <c r="EH281" s="1181"/>
      <c r="EI281" s="1181"/>
      <c r="EJ281" s="1181"/>
      <c r="EK281" s="1181"/>
      <c r="EL281" s="1181"/>
      <c r="EM281" s="1181"/>
      <c r="EN281" s="1181"/>
      <c r="EO281" s="1182"/>
      <c r="EP281" s="1181"/>
      <c r="EQ281" s="1181"/>
      <c r="ER281" s="1181"/>
      <c r="ES281" s="1181"/>
      <c r="ET281" s="1181"/>
      <c r="EU281" s="1181"/>
      <c r="EV281" s="1181"/>
      <c r="EW281" s="1182"/>
      <c r="EX281" s="1181"/>
      <c r="EY281" s="1181"/>
      <c r="EZ281" s="1181"/>
      <c r="FA281" s="1181"/>
      <c r="FB281" s="1181"/>
      <c r="FC281" s="1181"/>
      <c r="FD281" s="1181"/>
      <c r="FE281" s="1182"/>
      <c r="FF281" s="1181">
        <f t="shared" ref="FF281:FM281" si="1509">FF280/EX280-1</f>
        <v>0.0606060606060606</v>
      </c>
      <c r="FG281" s="1181">
        <f t="shared" si="1509"/>
        <v>-0.121323529411765</v>
      </c>
      <c r="FH281" s="1181">
        <f t="shared" si="1509"/>
        <v>-0.0317164179104478</v>
      </c>
      <c r="FI281" s="1181">
        <f t="shared" si="1509"/>
        <v>0.152173913043478</v>
      </c>
      <c r="FJ281" s="1181">
        <f t="shared" si="1509"/>
        <v>0.00593471810089019</v>
      </c>
      <c r="FK281" s="1181">
        <f t="shared" si="1509"/>
        <v>-0.0666666666666667</v>
      </c>
      <c r="FL281" s="1181">
        <f t="shared" si="1509"/>
        <v>0.0132275132275133</v>
      </c>
      <c r="FM281" s="1182">
        <f t="shared" si="1509"/>
        <v>-0.013129102844639</v>
      </c>
      <c r="FN281" s="1181">
        <f t="shared" ref="FN281:FU281" si="1510">FN280/FF280-1</f>
        <v>-0.0178571428571429</v>
      </c>
      <c r="FO281" s="1181">
        <f t="shared" si="1510"/>
        <v>0.0376569037656904</v>
      </c>
      <c r="FP281" s="1181">
        <f t="shared" si="1510"/>
        <v>0.0077071290944124</v>
      </c>
      <c r="FQ281" s="1181">
        <f t="shared" si="1510"/>
        <v>0.0691823899371069</v>
      </c>
      <c r="FR281" s="1181">
        <f t="shared" si="1510"/>
        <v>0.0221238938053097</v>
      </c>
      <c r="FS281" s="1181">
        <f t="shared" si="1510"/>
        <v>-0.111607142857143</v>
      </c>
      <c r="FT281" s="1181">
        <f t="shared" si="1510"/>
        <v>-0.0365535248041775</v>
      </c>
      <c r="FU281" s="1181">
        <f t="shared" si="1510"/>
        <v>-0.0110864745011087</v>
      </c>
      <c r="FV281" s="1220"/>
      <c r="FW281" s="1218"/>
      <c r="FX281" s="1087"/>
      <c r="FY281" s="1181"/>
      <c r="FZ281" s="1181"/>
      <c r="GA281" s="1181"/>
      <c r="GB281" s="1181"/>
      <c r="GC281" s="1182"/>
      <c r="GD281" s="1220"/>
      <c r="GE281" s="1181"/>
      <c r="GF281" s="1181"/>
      <c r="GG281" s="1181"/>
      <c r="GH281" s="1181"/>
      <c r="GI281" s="1181"/>
      <c r="GJ281" s="1181"/>
      <c r="GK281" s="1182"/>
      <c r="GL281" s="1181"/>
      <c r="GM281" s="1181"/>
      <c r="GN281" s="1181"/>
      <c r="GO281" s="1181"/>
      <c r="GP281" s="1181"/>
      <c r="GQ281" s="1181"/>
      <c r="GR281" s="1181"/>
      <c r="GS281" s="1182"/>
      <c r="GT281" s="1181"/>
      <c r="GU281" s="1181"/>
      <c r="GV281" s="1181"/>
      <c r="GW281" s="1181"/>
      <c r="GX281" s="1181"/>
      <c r="GY281" s="1181"/>
      <c r="GZ281" s="1181"/>
      <c r="HA281" s="1182"/>
      <c r="HB281" s="1181"/>
      <c r="HC281" s="1181"/>
      <c r="HD281" s="1181"/>
      <c r="HE281" s="1181"/>
      <c r="HF281" s="1181"/>
      <c r="HG281" s="1181"/>
      <c r="HH281" s="1181"/>
      <c r="HI281" s="1182"/>
      <c r="HJ281" s="1181"/>
      <c r="HK281" s="1181"/>
      <c r="HL281" s="1181"/>
      <c r="HM281" s="1181"/>
      <c r="HN281" s="1181"/>
      <c r="HO281" s="1181"/>
      <c r="HP281" s="1181"/>
      <c r="HQ281" s="1182"/>
      <c r="HR281" s="1181"/>
      <c r="HS281" s="1181"/>
      <c r="HT281" s="1181"/>
      <c r="HU281" s="1181"/>
      <c r="HV281" s="1181"/>
      <c r="HW281" s="1181"/>
      <c r="HX281" s="1181"/>
      <c r="HY281" s="1181"/>
      <c r="HZ281" s="1181"/>
      <c r="IA281" s="1181"/>
      <c r="IB281" s="1181"/>
      <c r="IC281" s="1181"/>
      <c r="ID281" s="1181"/>
      <c r="IE281" s="1181"/>
      <c r="IF281" s="1181"/>
      <c r="IG281" s="1182"/>
      <c r="IH281" s="1181"/>
      <c r="II281" s="1181"/>
      <c r="IJ281" s="1181"/>
      <c r="IK281" s="1181"/>
      <c r="IL281" s="1181"/>
      <c r="IM281" s="1181"/>
      <c r="IN281" s="1181"/>
      <c r="IO281" s="1182"/>
      <c r="IP281" s="1181"/>
      <c r="IQ281" s="1181"/>
      <c r="IR281" s="1181"/>
      <c r="IS281" s="1181"/>
      <c r="IT281" s="1181"/>
      <c r="IU281" s="1181"/>
      <c r="IV281" s="1181"/>
      <c r="IW281" s="1181"/>
      <c r="IX281" s="1104"/>
      <c r="IY281" s="1071"/>
      <c r="IZ281" s="1181"/>
      <c r="JA281" s="1181"/>
      <c r="JB281" s="1181"/>
      <c r="JC281" s="1181"/>
      <c r="JD281" s="1181"/>
      <c r="JE281" s="1080"/>
      <c r="JF281" s="1080"/>
      <c r="JG281" s="1080"/>
      <c r="JH281" s="1037"/>
      <c r="JI281" s="1035"/>
      <c r="JJ281" s="1035"/>
      <c r="JK281" s="1035"/>
      <c r="JL281" s="1035"/>
      <c r="JM281" s="1035"/>
      <c r="JN281" s="1035"/>
      <c r="JO281" s="1035"/>
      <c r="JP281" s="1035"/>
      <c r="JQ281" s="1035"/>
      <c r="JR281" s="1035"/>
      <c r="JS281" s="1035"/>
      <c r="JT281" s="1035"/>
      <c r="JU281" s="1035"/>
      <c r="JV281" s="1035"/>
      <c r="JW281" s="1035"/>
      <c r="JX281" s="1035"/>
      <c r="JY281" s="1035"/>
      <c r="KP281" s="1117"/>
      <c r="LV281" s="967"/>
    </row>
    <row r="282" hidden="1" spans="1:334">
      <c r="A282" s="967" t="s">
        <v>100</v>
      </c>
      <c r="AX282" s="1059"/>
      <c r="BE282" s="1060"/>
      <c r="BN282" s="1059"/>
      <c r="BU282" s="1060"/>
      <c r="BV282" s="1059"/>
      <c r="CC282" s="1060"/>
      <c r="CD282" s="1059"/>
      <c r="CJ282" s="1061"/>
      <c r="CK282" s="1060"/>
      <c r="CL282" s="1059"/>
      <c r="CS282" s="1060"/>
      <c r="CT282" s="1059"/>
      <c r="CW282" s="1062"/>
      <c r="CX282" s="1062"/>
      <c r="DE282" s="1064"/>
      <c r="DF282" s="1064"/>
      <c r="DM282" s="1064"/>
      <c r="DN282" s="1064"/>
      <c r="DU282" s="1064"/>
      <c r="DV282" s="1064"/>
      <c r="EC282" s="1064"/>
      <c r="ED282" s="1064"/>
      <c r="EH282" s="1181"/>
      <c r="EI282" s="1181"/>
      <c r="EJ282" s="1181"/>
      <c r="EK282" s="1181"/>
      <c r="EL282" s="1181"/>
      <c r="EM282" s="1181"/>
      <c r="EN282" s="1181"/>
      <c r="EO282" s="1182"/>
      <c r="EP282" s="1181"/>
      <c r="EQ282" s="1181"/>
      <c r="ER282" s="1181"/>
      <c r="ES282" s="1181"/>
      <c r="ET282" s="1181"/>
      <c r="EU282" s="1181"/>
      <c r="EV282" s="1181"/>
      <c r="EW282" s="1182"/>
      <c r="EX282" s="1181"/>
      <c r="EY282" s="1181"/>
      <c r="EZ282" s="1181"/>
      <c r="FA282" s="1181"/>
      <c r="FB282" s="1181"/>
      <c r="FC282" s="1181"/>
      <c r="FD282" s="1181"/>
      <c r="FE282" s="1182"/>
      <c r="FF282" s="1181">
        <v>-0.09</v>
      </c>
      <c r="FG282" s="1181">
        <f>(EZ280*FH282-EX280*FF282)/EY280</f>
        <v>-0.247647058823529</v>
      </c>
      <c r="FH282" s="1181">
        <v>-0.17</v>
      </c>
      <c r="FI282" s="1181">
        <v>0.065</v>
      </c>
      <c r="FJ282" s="1181">
        <v>-0.127</v>
      </c>
      <c r="FK282" s="1181">
        <f>(FE280*FM282-FB280*FJ282)/FC280</f>
        <v>-0.138425</v>
      </c>
      <c r="FL282" s="1181">
        <f>(FE280*FM282-EZ280*FH282)/FD280</f>
        <v>-0.0732804232804233</v>
      </c>
      <c r="FM282" s="1182">
        <v>-0.13</v>
      </c>
      <c r="FN282" s="1181">
        <v>-0.01</v>
      </c>
      <c r="FO282" s="1181">
        <f>(FH280*FP282-FF280*FN282)/FG280</f>
        <v>0.0638326359832636</v>
      </c>
      <c r="FP282" s="1181">
        <v>0.024</v>
      </c>
      <c r="FQ282" s="1181">
        <v>0.065</v>
      </c>
      <c r="FR282" s="1181">
        <v>0.03</v>
      </c>
      <c r="FS282" s="1181">
        <f>(FM280*FU282-FJ280*FR282)/FK280</f>
        <v>-0.131071428571429</v>
      </c>
      <c r="FT282" s="1181">
        <f>(FM280*FU282-FH280*FP282)/FL280</f>
        <v>-0.0560731070496084</v>
      </c>
      <c r="FU282" s="1181">
        <v>-0.01</v>
      </c>
      <c r="FV282" s="1220"/>
      <c r="FW282" s="1218"/>
      <c r="FX282" s="1218"/>
      <c r="FY282" s="1181"/>
      <c r="FZ282" s="1181"/>
      <c r="GA282" s="1181"/>
      <c r="GB282" s="1181"/>
      <c r="GC282" s="1182"/>
      <c r="GD282" s="1220"/>
      <c r="GE282" s="1181"/>
      <c r="GF282" s="1181"/>
      <c r="GG282" s="1181"/>
      <c r="GH282" s="1181"/>
      <c r="GI282" s="1181"/>
      <c r="GJ282" s="1181"/>
      <c r="GK282" s="1182"/>
      <c r="GL282" s="1181"/>
      <c r="GM282" s="1181"/>
      <c r="GN282" s="1181"/>
      <c r="GO282" s="1181"/>
      <c r="GP282" s="1181"/>
      <c r="GQ282" s="1181"/>
      <c r="GR282" s="1181"/>
      <c r="GS282" s="1182"/>
      <c r="GT282" s="1181"/>
      <c r="GU282" s="1181"/>
      <c r="GV282" s="1181"/>
      <c r="GW282" s="1181"/>
      <c r="GX282" s="1181"/>
      <c r="GY282" s="1181"/>
      <c r="GZ282" s="1181"/>
      <c r="HA282" s="1182"/>
      <c r="HB282" s="1181"/>
      <c r="HC282" s="1181"/>
      <c r="HD282" s="1181"/>
      <c r="HE282" s="1181"/>
      <c r="HF282" s="1181"/>
      <c r="HG282" s="1181"/>
      <c r="HH282" s="1181"/>
      <c r="HI282" s="1182"/>
      <c r="HJ282" s="1181"/>
      <c r="HK282" s="1181"/>
      <c r="HL282" s="1181"/>
      <c r="HM282" s="1181"/>
      <c r="HN282" s="1181"/>
      <c r="HO282" s="1181"/>
      <c r="HP282" s="1181"/>
      <c r="HQ282" s="1182"/>
      <c r="HR282" s="1181"/>
      <c r="HS282" s="1181"/>
      <c r="HT282" s="1181"/>
      <c r="HU282" s="1181"/>
      <c r="HV282" s="1181"/>
      <c r="HW282" s="1181"/>
      <c r="HX282" s="1181"/>
      <c r="HY282" s="1181"/>
      <c r="HZ282" s="1181"/>
      <c r="IA282" s="1181"/>
      <c r="IB282" s="1181"/>
      <c r="IC282" s="1181"/>
      <c r="ID282" s="1181"/>
      <c r="IE282" s="1181"/>
      <c r="IF282" s="1181"/>
      <c r="IG282" s="1182"/>
      <c r="IH282" s="1181"/>
      <c r="II282" s="1181"/>
      <c r="IJ282" s="1181"/>
      <c r="IK282" s="1181"/>
      <c r="IL282" s="1181"/>
      <c r="IM282" s="1181"/>
      <c r="IN282" s="1181"/>
      <c r="IO282" s="1182"/>
      <c r="IP282" s="1181"/>
      <c r="IQ282" s="1181"/>
      <c r="IR282" s="1181"/>
      <c r="IS282" s="1181"/>
      <c r="IT282" s="1181"/>
      <c r="IU282" s="1181"/>
      <c r="IV282" s="1181"/>
      <c r="IW282" s="1181"/>
      <c r="IX282" s="1104"/>
      <c r="IY282" s="1071"/>
      <c r="IZ282" s="1277"/>
      <c r="JA282" s="1277"/>
      <c r="JB282" s="1277"/>
      <c r="JC282" s="1277"/>
      <c r="JD282" s="1181"/>
      <c r="JE282" s="1080"/>
      <c r="JF282" s="1080"/>
      <c r="JG282" s="1080"/>
      <c r="JH282" s="1037"/>
      <c r="JI282" s="1035"/>
      <c r="JJ282" s="1035"/>
      <c r="JK282" s="1035"/>
      <c r="JL282" s="1035"/>
      <c r="JM282" s="1035"/>
      <c r="JN282" s="1035"/>
      <c r="JO282" s="1035"/>
      <c r="JP282" s="1035"/>
      <c r="JQ282" s="1035"/>
      <c r="JR282" s="1035"/>
      <c r="JS282" s="1035"/>
      <c r="JT282" s="1035"/>
      <c r="JU282" s="1035"/>
      <c r="JV282" s="1035"/>
      <c r="JW282" s="1035"/>
      <c r="JX282" s="1035"/>
      <c r="JY282" s="1035"/>
      <c r="KP282" s="1117"/>
      <c r="LV282" s="967"/>
    </row>
    <row r="283" hidden="1" spans="1:334">
      <c r="A283" s="967" t="s">
        <v>564</v>
      </c>
      <c r="AX283" s="1059"/>
      <c r="BE283" s="1060"/>
      <c r="BN283" s="1059"/>
      <c r="BU283" s="1060"/>
      <c r="BV283" s="1059"/>
      <c r="CC283" s="1060"/>
      <c r="CD283" s="1059"/>
      <c r="CJ283" s="1061"/>
      <c r="CK283" s="1060"/>
      <c r="CL283" s="1059"/>
      <c r="CS283" s="1060"/>
      <c r="CT283" s="1059"/>
      <c r="CW283" s="1062"/>
      <c r="CX283" s="1062"/>
      <c r="DE283" s="1064"/>
      <c r="DF283" s="1064"/>
      <c r="DM283" s="1064"/>
      <c r="DN283" s="1064"/>
      <c r="DU283" s="1064"/>
      <c r="DV283" s="1064"/>
      <c r="EC283" s="1064"/>
      <c r="ED283" s="1064"/>
      <c r="EH283" s="1181"/>
      <c r="EI283" s="1181"/>
      <c r="EJ283" s="1181"/>
      <c r="EK283" s="1181"/>
      <c r="EL283" s="1181"/>
      <c r="EM283" s="1181"/>
      <c r="EN283" s="1181"/>
      <c r="EO283" s="1182"/>
      <c r="EP283" s="1181"/>
      <c r="EQ283" s="1181"/>
      <c r="ER283" s="1181"/>
      <c r="ES283" s="1181"/>
      <c r="ET283" s="1181"/>
      <c r="EU283" s="1181"/>
      <c r="EV283" s="1181"/>
      <c r="EW283" s="1182"/>
      <c r="EX283" s="1181"/>
      <c r="EY283" s="1181"/>
      <c r="EZ283" s="1181"/>
      <c r="FA283" s="1181"/>
      <c r="FB283" s="1181"/>
      <c r="FC283" s="1181"/>
      <c r="FD283" s="1181"/>
      <c r="FE283" s="1182"/>
      <c r="FF283" s="1181">
        <f>FF280/FF$279</f>
        <v>0.742705570291777</v>
      </c>
      <c r="FG283" s="1181">
        <f t="shared" ref="FG283:FM283" si="1511">FG280/FG$279</f>
        <v>0.654794520547945</v>
      </c>
      <c r="FH283" s="1181">
        <f t="shared" si="1511"/>
        <v>0.699460916442049</v>
      </c>
      <c r="FI283" s="1181">
        <f t="shared" si="1511"/>
        <v>0.464912280701754</v>
      </c>
      <c r="FJ283" s="1181">
        <f t="shared" si="1511"/>
        <v>0.625461254612546</v>
      </c>
      <c r="FK283" s="1181">
        <f t="shared" si="1511"/>
        <v>0.584856396866841</v>
      </c>
      <c r="FL283" s="1181">
        <f t="shared" si="1511"/>
        <v>0.528275862068965</v>
      </c>
      <c r="FM283" s="1182">
        <f t="shared" si="1511"/>
        <v>0.614860259032038</v>
      </c>
      <c r="FN283" s="1181">
        <f t="shared" ref="FN283:FU283" si="1512">FN280/FN$279</f>
        <v>0.694444444444444</v>
      </c>
      <c r="FO283" s="1181">
        <f t="shared" si="1512"/>
        <v>0.657824933687003</v>
      </c>
      <c r="FP283" s="1181">
        <f t="shared" si="1512"/>
        <v>0.676584734799483</v>
      </c>
      <c r="FQ283" s="1181">
        <f t="shared" si="1512"/>
        <v>0.46448087431694</v>
      </c>
      <c r="FR283" s="1181">
        <f t="shared" si="1512"/>
        <v>0.608428446005268</v>
      </c>
      <c r="FS283" s="1181">
        <f t="shared" si="1512"/>
        <v>0.592261904761905</v>
      </c>
      <c r="FT283" s="1181">
        <f t="shared" si="1512"/>
        <v>0.525641025641026</v>
      </c>
      <c r="FU283" s="1181">
        <f t="shared" si="1512"/>
        <v>0.604745762711864</v>
      </c>
      <c r="FV283" s="1220"/>
      <c r="FW283" s="1218"/>
      <c r="FX283" s="1218"/>
      <c r="FY283" s="1181"/>
      <c r="FZ283" s="1181"/>
      <c r="GA283" s="1181"/>
      <c r="GB283" s="1181"/>
      <c r="GC283" s="1182"/>
      <c r="GD283" s="1220"/>
      <c r="GE283" s="1181"/>
      <c r="GF283" s="1181"/>
      <c r="GG283" s="1181"/>
      <c r="GH283" s="1181"/>
      <c r="GI283" s="1181"/>
      <c r="GJ283" s="1181"/>
      <c r="GK283" s="1182"/>
      <c r="GL283" s="1181"/>
      <c r="GM283" s="1181"/>
      <c r="GN283" s="1181"/>
      <c r="GO283" s="1181"/>
      <c r="GP283" s="1181"/>
      <c r="GQ283" s="1181"/>
      <c r="GR283" s="1181"/>
      <c r="GS283" s="1182"/>
      <c r="GT283" s="1181"/>
      <c r="GU283" s="1181"/>
      <c r="GV283" s="1181"/>
      <c r="GW283" s="1181"/>
      <c r="GX283" s="1181"/>
      <c r="GY283" s="1181"/>
      <c r="GZ283" s="1181"/>
      <c r="HA283" s="1182"/>
      <c r="HB283" s="1181"/>
      <c r="HC283" s="1181"/>
      <c r="HD283" s="1181"/>
      <c r="HE283" s="1181"/>
      <c r="HF283" s="1181"/>
      <c r="HG283" s="1181"/>
      <c r="HH283" s="1181"/>
      <c r="HI283" s="1182"/>
      <c r="HJ283" s="1181"/>
      <c r="HK283" s="1181"/>
      <c r="HL283" s="1181"/>
      <c r="HM283" s="1181"/>
      <c r="HN283" s="1181"/>
      <c r="HO283" s="1181"/>
      <c r="HP283" s="1181"/>
      <c r="HQ283" s="1182"/>
      <c r="HR283" s="1181"/>
      <c r="HS283" s="1181"/>
      <c r="HT283" s="1181"/>
      <c r="HU283" s="1181"/>
      <c r="HV283" s="1181"/>
      <c r="HW283" s="1181"/>
      <c r="HX283" s="1181"/>
      <c r="HY283" s="1181"/>
      <c r="HZ283" s="1181"/>
      <c r="IA283" s="1181"/>
      <c r="IB283" s="1181"/>
      <c r="IC283" s="1181"/>
      <c r="ID283" s="1181"/>
      <c r="IE283" s="1181"/>
      <c r="IF283" s="1181"/>
      <c r="IG283" s="1182"/>
      <c r="IH283" s="1181"/>
      <c r="II283" s="1181"/>
      <c r="IJ283" s="1181"/>
      <c r="IK283" s="1181"/>
      <c r="IL283" s="1181"/>
      <c r="IM283" s="1181"/>
      <c r="IN283" s="1181"/>
      <c r="IO283" s="1182"/>
      <c r="IP283" s="1181"/>
      <c r="IQ283" s="1181"/>
      <c r="IR283" s="1181"/>
      <c r="IS283" s="1181"/>
      <c r="IT283" s="1181"/>
      <c r="IU283" s="1181"/>
      <c r="IV283" s="1181"/>
      <c r="IW283" s="1181"/>
      <c r="IX283" s="1104"/>
      <c r="IY283" s="1049"/>
      <c r="IZ283" s="1049"/>
      <c r="JA283" s="1049"/>
      <c r="JB283" s="1049"/>
      <c r="JC283" s="1049"/>
      <c r="JD283" s="1041"/>
      <c r="JE283" s="1037"/>
      <c r="JF283" s="1037"/>
      <c r="JG283" s="1037"/>
      <c r="JH283" s="1037"/>
      <c r="JI283" s="1035"/>
      <c r="JJ283" s="1035"/>
      <c r="JK283" s="1035"/>
      <c r="JL283" s="1035"/>
      <c r="JM283" s="1035"/>
      <c r="JN283" s="1035"/>
      <c r="JO283" s="1035"/>
      <c r="JP283" s="1035"/>
      <c r="JQ283" s="1035"/>
      <c r="JR283" s="1035"/>
      <c r="JS283" s="1035"/>
      <c r="JT283" s="1035"/>
      <c r="JU283" s="1035"/>
      <c r="JV283" s="1035"/>
      <c r="JW283" s="1035"/>
      <c r="JX283" s="1035"/>
      <c r="JY283" s="1035"/>
      <c r="KP283" s="1117"/>
      <c r="LV283" s="967"/>
    </row>
    <row r="284" hidden="1" spans="1:334">
      <c r="A284" s="967" t="s">
        <v>120</v>
      </c>
      <c r="AX284" s="1059"/>
      <c r="BE284" s="1060"/>
      <c r="BN284" s="1059"/>
      <c r="BU284" s="1060"/>
      <c r="BV284" s="1059"/>
      <c r="CC284" s="1060"/>
      <c r="CD284" s="1059"/>
      <c r="CJ284" s="1061"/>
      <c r="CK284" s="1060"/>
      <c r="CL284" s="1059"/>
      <c r="CS284" s="1060"/>
      <c r="CT284" s="1059"/>
      <c r="CW284" s="1062"/>
      <c r="CX284" s="1062"/>
      <c r="DE284" s="1064"/>
      <c r="DF284" s="1064"/>
      <c r="DM284" s="1064"/>
      <c r="DN284" s="1064"/>
      <c r="DU284" s="1064"/>
      <c r="DV284" s="1064"/>
      <c r="EC284" s="1064"/>
      <c r="ED284" s="1064"/>
      <c r="EH284" s="1181"/>
      <c r="EI284" s="1181"/>
      <c r="EJ284" s="1181"/>
      <c r="EK284" s="1181"/>
      <c r="EL284" s="1181"/>
      <c r="EM284" s="1181"/>
      <c r="EN284" s="1181"/>
      <c r="EO284" s="1182"/>
      <c r="EP284" s="1181"/>
      <c r="EQ284" s="1181"/>
      <c r="ER284" s="1181"/>
      <c r="ES284" s="1181"/>
      <c r="ET284" s="1181"/>
      <c r="EU284" s="1181"/>
      <c r="EV284" s="1181"/>
      <c r="EW284" s="1182"/>
      <c r="EX284" s="1148">
        <v>32</v>
      </c>
      <c r="EY284" s="1148">
        <v>61</v>
      </c>
      <c r="EZ284" s="1148">
        <f>EX284+EY284</f>
        <v>93</v>
      </c>
      <c r="FA284" s="1148">
        <v>95</v>
      </c>
      <c r="FB284" s="1148">
        <f>EX284+EY284+FA284</f>
        <v>188</v>
      </c>
      <c r="FC284" s="1148">
        <v>81</v>
      </c>
      <c r="FD284" s="1148">
        <f>FA284+FC284</f>
        <v>176</v>
      </c>
      <c r="FE284" s="1149">
        <f>EX284+EY284+FA284+FC284</f>
        <v>269</v>
      </c>
      <c r="FF284" s="1148">
        <v>39</v>
      </c>
      <c r="FG284" s="1148">
        <f>FH284-FF284</f>
        <v>81</v>
      </c>
      <c r="FH284" s="1148">
        <v>120</v>
      </c>
      <c r="FI284" s="1148">
        <v>112</v>
      </c>
      <c r="FJ284" s="1148">
        <f>FF284+FG284+FI284</f>
        <v>232</v>
      </c>
      <c r="FK284" s="1148">
        <f>FM284-FJ284</f>
        <v>85</v>
      </c>
      <c r="FL284" s="1148">
        <f>FI284+FK284</f>
        <v>197</v>
      </c>
      <c r="FM284" s="1149">
        <v>317</v>
      </c>
      <c r="FN284" s="1148">
        <v>38</v>
      </c>
      <c r="FO284" s="1148">
        <f>FP284-FN284</f>
        <v>64</v>
      </c>
      <c r="FP284" s="1148">
        <v>102</v>
      </c>
      <c r="FQ284" s="1148">
        <f>FR284-FP284</f>
        <v>103</v>
      </c>
      <c r="FR284" s="1148">
        <v>205</v>
      </c>
      <c r="FS284" s="1148">
        <f>FU284-FR284</f>
        <v>66</v>
      </c>
      <c r="FT284" s="1148">
        <f>FQ284+FS284</f>
        <v>169</v>
      </c>
      <c r="FU284" s="1148">
        <v>271</v>
      </c>
      <c r="FV284" s="1278"/>
      <c r="FW284" s="1279"/>
      <c r="FX284" s="1279"/>
      <c r="FY284" s="1148"/>
      <c r="FZ284" s="1148"/>
      <c r="GA284" s="1148"/>
      <c r="GB284" s="1148"/>
      <c r="GC284" s="1149"/>
      <c r="GD284" s="1278"/>
      <c r="GE284" s="1148"/>
      <c r="GF284" s="1148"/>
      <c r="GG284" s="1148"/>
      <c r="GH284" s="1148"/>
      <c r="GI284" s="1148"/>
      <c r="GJ284" s="1148"/>
      <c r="GK284" s="1149"/>
      <c r="GL284" s="1148"/>
      <c r="GM284" s="1148"/>
      <c r="GN284" s="1148"/>
      <c r="GO284" s="1148"/>
      <c r="GP284" s="1148"/>
      <c r="GQ284" s="1148"/>
      <c r="GR284" s="1148"/>
      <c r="GS284" s="1149"/>
      <c r="GT284" s="1148"/>
      <c r="GU284" s="1148"/>
      <c r="GV284" s="1148"/>
      <c r="GW284" s="1148"/>
      <c r="GX284" s="1148"/>
      <c r="GY284" s="1148"/>
      <c r="GZ284" s="1148"/>
      <c r="HA284" s="1149"/>
      <c r="HB284" s="1148"/>
      <c r="HC284" s="1148"/>
      <c r="HD284" s="1148"/>
      <c r="HE284" s="1148"/>
      <c r="HF284" s="1148"/>
      <c r="HG284" s="1148"/>
      <c r="HH284" s="1148"/>
      <c r="HI284" s="1149"/>
      <c r="HJ284" s="1148"/>
      <c r="HK284" s="1148"/>
      <c r="HL284" s="1148"/>
      <c r="HM284" s="1148"/>
      <c r="HN284" s="1148"/>
      <c r="HO284" s="1148"/>
      <c r="HP284" s="1148"/>
      <c r="HQ284" s="1149"/>
      <c r="HR284" s="1148"/>
      <c r="HS284" s="1148"/>
      <c r="HT284" s="1148"/>
      <c r="HU284" s="1148"/>
      <c r="HV284" s="1148"/>
      <c r="HW284" s="1148"/>
      <c r="HX284" s="1148"/>
      <c r="HY284" s="1148"/>
      <c r="HZ284" s="1148"/>
      <c r="IA284" s="1148"/>
      <c r="IB284" s="1148"/>
      <c r="IC284" s="1148"/>
      <c r="ID284" s="1148"/>
      <c r="IE284" s="1148"/>
      <c r="IF284" s="1148"/>
      <c r="IG284" s="1149"/>
      <c r="IH284" s="1148"/>
      <c r="II284" s="1148"/>
      <c r="IJ284" s="1148"/>
      <c r="IK284" s="1148"/>
      <c r="IL284" s="1148"/>
      <c r="IM284" s="1148"/>
      <c r="IN284" s="1148"/>
      <c r="IO284" s="1149"/>
      <c r="IP284" s="1148"/>
      <c r="IQ284" s="1148"/>
      <c r="IR284" s="1148"/>
      <c r="IS284" s="1148"/>
      <c r="IT284" s="1148"/>
      <c r="IU284" s="1148"/>
      <c r="IV284" s="1148"/>
      <c r="IW284" s="1148"/>
      <c r="IX284" s="1104"/>
      <c r="IY284" s="1049"/>
      <c r="IZ284" s="1049"/>
      <c r="JA284" s="1049"/>
      <c r="JB284" s="1049"/>
      <c r="JC284" s="1049"/>
      <c r="JD284" s="1041"/>
      <c r="JE284" s="1037"/>
      <c r="JF284" s="1037"/>
      <c r="JG284" s="1037"/>
      <c r="JH284" s="1037"/>
      <c r="JI284" s="1035"/>
      <c r="JJ284" s="1035"/>
      <c r="JK284" s="1035"/>
      <c r="JL284" s="1035"/>
      <c r="JM284" s="1035"/>
      <c r="JN284" s="1035"/>
      <c r="JO284" s="1035"/>
      <c r="JP284" s="1035"/>
      <c r="JQ284" s="1035"/>
      <c r="JR284" s="1035"/>
      <c r="JS284" s="1035"/>
      <c r="JT284" s="1035"/>
      <c r="JU284" s="1035"/>
      <c r="JV284" s="1035"/>
      <c r="JW284" s="1035"/>
      <c r="JX284" s="1035"/>
      <c r="JY284" s="1035"/>
      <c r="KP284" s="1117"/>
      <c r="LV284" s="967"/>
    </row>
    <row r="285" hidden="1" spans="1:334">
      <c r="A285" s="967" t="s">
        <v>113</v>
      </c>
      <c r="AX285" s="1059"/>
      <c r="BE285" s="1060"/>
      <c r="BN285" s="1059"/>
      <c r="BU285" s="1060"/>
      <c r="BV285" s="1059"/>
      <c r="CC285" s="1060"/>
      <c r="CD285" s="1059"/>
      <c r="CJ285" s="1061"/>
      <c r="CK285" s="1060"/>
      <c r="CL285" s="1059"/>
      <c r="CS285" s="1060"/>
      <c r="CT285" s="1059"/>
      <c r="CW285" s="1062"/>
      <c r="CX285" s="1062"/>
      <c r="DE285" s="1064"/>
      <c r="DF285" s="1064"/>
      <c r="DM285" s="1064"/>
      <c r="DN285" s="1064"/>
      <c r="DU285" s="1064"/>
      <c r="DV285" s="1064"/>
      <c r="EC285" s="1064"/>
      <c r="ED285" s="1064"/>
      <c r="EH285" s="1181"/>
      <c r="EI285" s="1181"/>
      <c r="EJ285" s="1181"/>
      <c r="EK285" s="1181"/>
      <c r="EL285" s="1181"/>
      <c r="EM285" s="1181"/>
      <c r="EN285" s="1181"/>
      <c r="EO285" s="1182"/>
      <c r="EP285" s="1181"/>
      <c r="EQ285" s="1181"/>
      <c r="ER285" s="1181"/>
      <c r="ES285" s="1181"/>
      <c r="ET285" s="1181"/>
      <c r="EU285" s="1181"/>
      <c r="EV285" s="1181"/>
      <c r="EW285" s="1182"/>
      <c r="EX285" s="1181"/>
      <c r="EY285" s="1181"/>
      <c r="EZ285" s="1181"/>
      <c r="FA285" s="1181"/>
      <c r="FB285" s="1181"/>
      <c r="FC285" s="1181"/>
      <c r="FD285" s="1181"/>
      <c r="FE285" s="1182"/>
      <c r="FF285" s="1181">
        <f t="shared" ref="FF285:FU285" si="1513">FF284/EX284-1</f>
        <v>0.21875</v>
      </c>
      <c r="FG285" s="1181">
        <f t="shared" si="1513"/>
        <v>0.327868852459016</v>
      </c>
      <c r="FH285" s="1181">
        <f t="shared" si="1513"/>
        <v>0.290322580645161</v>
      </c>
      <c r="FI285" s="1181">
        <f t="shared" si="1513"/>
        <v>0.178947368421053</v>
      </c>
      <c r="FJ285" s="1181">
        <f t="shared" si="1513"/>
        <v>0.234042553191489</v>
      </c>
      <c r="FK285" s="1181">
        <f t="shared" si="1513"/>
        <v>0.0493827160493827</v>
      </c>
      <c r="FL285" s="1181">
        <f t="shared" si="1513"/>
        <v>0.119318181818182</v>
      </c>
      <c r="FM285" s="1182">
        <f t="shared" si="1513"/>
        <v>0.178438661710037</v>
      </c>
      <c r="FN285" s="1181">
        <f t="shared" si="1513"/>
        <v>-0.0256410256410257</v>
      </c>
      <c r="FO285" s="1181">
        <f t="shared" si="1513"/>
        <v>-0.209876543209877</v>
      </c>
      <c r="FP285" s="1181">
        <f t="shared" si="1513"/>
        <v>-0.15</v>
      </c>
      <c r="FQ285" s="1181">
        <f t="shared" si="1513"/>
        <v>-0.0803571428571429</v>
      </c>
      <c r="FR285" s="1181">
        <f t="shared" si="1513"/>
        <v>-0.116379310344828</v>
      </c>
      <c r="FS285" s="1181">
        <f t="shared" si="1513"/>
        <v>-0.223529411764706</v>
      </c>
      <c r="FT285" s="1181">
        <f t="shared" si="1513"/>
        <v>-0.142131979695431</v>
      </c>
      <c r="FU285" s="1181">
        <f t="shared" si="1513"/>
        <v>-0.145110410094637</v>
      </c>
      <c r="FV285" s="1220"/>
      <c r="FW285" s="1218"/>
      <c r="FX285" s="1218"/>
      <c r="FY285" s="1181"/>
      <c r="FZ285" s="1181"/>
      <c r="GA285" s="1181"/>
      <c r="GB285" s="1181"/>
      <c r="GC285" s="1182"/>
      <c r="GD285" s="1220"/>
      <c r="GE285" s="1181"/>
      <c r="GF285" s="1181"/>
      <c r="GG285" s="1181"/>
      <c r="GH285" s="1181"/>
      <c r="GI285" s="1181"/>
      <c r="GJ285" s="1181"/>
      <c r="GK285" s="1182"/>
      <c r="GL285" s="1181"/>
      <c r="GM285" s="1181"/>
      <c r="GN285" s="1181"/>
      <c r="GO285" s="1181"/>
      <c r="GP285" s="1181"/>
      <c r="GQ285" s="1181"/>
      <c r="GR285" s="1181"/>
      <c r="GS285" s="1182"/>
      <c r="GT285" s="1181"/>
      <c r="GU285" s="1181"/>
      <c r="GV285" s="1181"/>
      <c r="GW285" s="1181"/>
      <c r="GX285" s="1181"/>
      <c r="GY285" s="1181"/>
      <c r="GZ285" s="1181"/>
      <c r="HA285" s="1182"/>
      <c r="HB285" s="1181"/>
      <c r="HC285" s="1181"/>
      <c r="HD285" s="1181"/>
      <c r="HE285" s="1181"/>
      <c r="HF285" s="1181"/>
      <c r="HG285" s="1181"/>
      <c r="HH285" s="1181"/>
      <c r="HI285" s="1182"/>
      <c r="HJ285" s="1181"/>
      <c r="HK285" s="1181"/>
      <c r="HL285" s="1181"/>
      <c r="HM285" s="1181"/>
      <c r="HN285" s="1181"/>
      <c r="HO285" s="1181"/>
      <c r="HP285" s="1181"/>
      <c r="HQ285" s="1182"/>
      <c r="HR285" s="1181"/>
      <c r="HS285" s="1181"/>
      <c r="HT285" s="1181"/>
      <c r="HU285" s="1181"/>
      <c r="HV285" s="1181"/>
      <c r="HW285" s="1181"/>
      <c r="HX285" s="1181"/>
      <c r="HY285" s="1181"/>
      <c r="HZ285" s="1181"/>
      <c r="IA285" s="1181"/>
      <c r="IB285" s="1181"/>
      <c r="IC285" s="1181"/>
      <c r="ID285" s="1181"/>
      <c r="IE285" s="1181"/>
      <c r="IF285" s="1181"/>
      <c r="IG285" s="1182"/>
      <c r="IH285" s="1181"/>
      <c r="II285" s="1181"/>
      <c r="IJ285" s="1181"/>
      <c r="IK285" s="1181"/>
      <c r="IL285" s="1181"/>
      <c r="IM285" s="1181"/>
      <c r="IN285" s="1181"/>
      <c r="IO285" s="1182"/>
      <c r="IP285" s="1181"/>
      <c r="IQ285" s="1181"/>
      <c r="IR285" s="1181"/>
      <c r="IS285" s="1181"/>
      <c r="IT285" s="1181"/>
      <c r="IU285" s="1181"/>
      <c r="IV285" s="1181"/>
      <c r="IW285" s="1181"/>
      <c r="IX285" s="1104"/>
      <c r="IY285" s="1049"/>
      <c r="IZ285" s="1049"/>
      <c r="JA285" s="1049"/>
      <c r="JB285" s="1049"/>
      <c r="JC285" s="1049"/>
      <c r="JD285" s="1041"/>
      <c r="JE285" s="1037"/>
      <c r="JF285" s="1037"/>
      <c r="JG285" s="1037"/>
      <c r="JH285" s="1037"/>
      <c r="JI285" s="1035"/>
      <c r="JJ285" s="1035"/>
      <c r="JK285" s="1035"/>
      <c r="JL285" s="1035"/>
      <c r="JM285" s="1035"/>
      <c r="JN285" s="1035"/>
      <c r="JO285" s="1035"/>
      <c r="JP285" s="1035"/>
      <c r="JQ285" s="1035"/>
      <c r="JR285" s="1035"/>
      <c r="JS285" s="1035"/>
      <c r="JT285" s="1035"/>
      <c r="JU285" s="1035"/>
      <c r="JV285" s="1035"/>
      <c r="JW285" s="1035"/>
      <c r="JX285" s="1035"/>
      <c r="JY285" s="1035"/>
      <c r="KP285" s="1117"/>
      <c r="LV285" s="967"/>
    </row>
    <row r="286" hidden="1" spans="1:334">
      <c r="A286" s="967" t="s">
        <v>564</v>
      </c>
      <c r="AX286" s="1059"/>
      <c r="BE286" s="1060"/>
      <c r="BN286" s="1059"/>
      <c r="BU286" s="1060"/>
      <c r="BV286" s="1059"/>
      <c r="CC286" s="1060"/>
      <c r="CD286" s="1059"/>
      <c r="CJ286" s="1061"/>
      <c r="CK286" s="1060"/>
      <c r="CL286" s="1059"/>
      <c r="CS286" s="1060"/>
      <c r="CT286" s="1059"/>
      <c r="CW286" s="1062"/>
      <c r="CX286" s="1062"/>
      <c r="DE286" s="1064"/>
      <c r="DF286" s="1064"/>
      <c r="DM286" s="1064"/>
      <c r="DN286" s="1064"/>
      <c r="DU286" s="1064"/>
      <c r="DV286" s="1064"/>
      <c r="EC286" s="1064"/>
      <c r="ED286" s="1064"/>
      <c r="EH286" s="1181"/>
      <c r="EI286" s="1181"/>
      <c r="EJ286" s="1181"/>
      <c r="EK286" s="1181"/>
      <c r="EL286" s="1181"/>
      <c r="EM286" s="1181"/>
      <c r="EN286" s="1181"/>
      <c r="EO286" s="1182"/>
      <c r="EP286" s="1181"/>
      <c r="EQ286" s="1181"/>
      <c r="ER286" s="1181"/>
      <c r="ES286" s="1181"/>
      <c r="ET286" s="1181"/>
      <c r="EU286" s="1181"/>
      <c r="EV286" s="1181"/>
      <c r="EW286" s="1182"/>
      <c r="EX286" s="1181"/>
      <c r="EY286" s="1181"/>
      <c r="EZ286" s="1181"/>
      <c r="FA286" s="1181"/>
      <c r="FB286" s="1181"/>
      <c r="FC286" s="1181"/>
      <c r="FD286" s="1181"/>
      <c r="FE286" s="1182"/>
      <c r="FF286" s="1181">
        <f>FF284/FF$279</f>
        <v>0.103448275862069</v>
      </c>
      <c r="FG286" s="1181">
        <f t="shared" ref="FG286:FM286" si="1514">FG284/FG$279</f>
        <v>0.221917808219178</v>
      </c>
      <c r="FH286" s="1181">
        <f t="shared" si="1514"/>
        <v>0.161725067385445</v>
      </c>
      <c r="FI286" s="1181">
        <f t="shared" si="1514"/>
        <v>0.327485380116959</v>
      </c>
      <c r="FJ286" s="1181">
        <f t="shared" si="1514"/>
        <v>0.214022140221402</v>
      </c>
      <c r="FK286" s="1181">
        <f t="shared" si="1514"/>
        <v>0.221932114882507</v>
      </c>
      <c r="FL286" s="1181">
        <f t="shared" si="1514"/>
        <v>0.271724137931035</v>
      </c>
      <c r="FM286" s="1182">
        <f t="shared" si="1514"/>
        <v>0.216087252897069</v>
      </c>
      <c r="FN286" s="1181">
        <f t="shared" ref="FN286:FU286" si="1515">FN284/FN$279</f>
        <v>0.095959595959596</v>
      </c>
      <c r="FO286" s="1181">
        <f t="shared" si="1515"/>
        <v>0.169761273209549</v>
      </c>
      <c r="FP286" s="1181">
        <f t="shared" si="1515"/>
        <v>0.131953428201811</v>
      </c>
      <c r="FQ286" s="1181">
        <f t="shared" si="1515"/>
        <v>0.281420765027322</v>
      </c>
      <c r="FR286" s="1181">
        <f t="shared" si="1515"/>
        <v>0.179982440737489</v>
      </c>
      <c r="FS286" s="1181">
        <f t="shared" si="1515"/>
        <v>0.196428571428571</v>
      </c>
      <c r="FT286" s="1181">
        <f t="shared" si="1515"/>
        <v>0.240740740740741</v>
      </c>
      <c r="FU286" s="1181">
        <f t="shared" si="1515"/>
        <v>0.183728813559322</v>
      </c>
      <c r="FV286" s="1220"/>
      <c r="FW286" s="1218"/>
      <c r="FX286" s="1218"/>
      <c r="FY286" s="1181"/>
      <c r="FZ286" s="1181"/>
      <c r="GA286" s="1181"/>
      <c r="GB286" s="1181"/>
      <c r="GC286" s="1182"/>
      <c r="GD286" s="1220"/>
      <c r="GE286" s="1181"/>
      <c r="GF286" s="1181"/>
      <c r="GG286" s="1181"/>
      <c r="GH286" s="1181"/>
      <c r="GI286" s="1181"/>
      <c r="GJ286" s="1181"/>
      <c r="GK286" s="1182"/>
      <c r="GL286" s="1181"/>
      <c r="GM286" s="1181"/>
      <c r="GN286" s="1181"/>
      <c r="GO286" s="1181"/>
      <c r="GP286" s="1181"/>
      <c r="GQ286" s="1181"/>
      <c r="GR286" s="1181"/>
      <c r="GS286" s="1182"/>
      <c r="GT286" s="1181"/>
      <c r="GU286" s="1181"/>
      <c r="GV286" s="1181"/>
      <c r="GW286" s="1181"/>
      <c r="GX286" s="1181"/>
      <c r="GY286" s="1181"/>
      <c r="GZ286" s="1181"/>
      <c r="HA286" s="1182"/>
      <c r="HB286" s="1181"/>
      <c r="HC286" s="1181"/>
      <c r="HD286" s="1181"/>
      <c r="HE286" s="1181"/>
      <c r="HF286" s="1181"/>
      <c r="HG286" s="1181"/>
      <c r="HH286" s="1181"/>
      <c r="HI286" s="1182"/>
      <c r="HJ286" s="1181"/>
      <c r="HK286" s="1181"/>
      <c r="HL286" s="1181"/>
      <c r="HM286" s="1181"/>
      <c r="HN286" s="1181"/>
      <c r="HO286" s="1181"/>
      <c r="HP286" s="1181"/>
      <c r="HQ286" s="1182"/>
      <c r="HR286" s="1181"/>
      <c r="HS286" s="1181"/>
      <c r="HT286" s="1181"/>
      <c r="HU286" s="1181"/>
      <c r="HV286" s="1181"/>
      <c r="HW286" s="1181"/>
      <c r="HX286" s="1181"/>
      <c r="HY286" s="1181"/>
      <c r="HZ286" s="1181"/>
      <c r="IA286" s="1181"/>
      <c r="IB286" s="1181"/>
      <c r="IC286" s="1181"/>
      <c r="ID286" s="1181"/>
      <c r="IE286" s="1181"/>
      <c r="IF286" s="1181"/>
      <c r="IG286" s="1182"/>
      <c r="IH286" s="1181"/>
      <c r="II286" s="1181"/>
      <c r="IJ286" s="1181"/>
      <c r="IK286" s="1181"/>
      <c r="IL286" s="1181"/>
      <c r="IM286" s="1181"/>
      <c r="IN286" s="1181"/>
      <c r="IO286" s="1182"/>
      <c r="IP286" s="1181"/>
      <c r="IQ286" s="1181"/>
      <c r="IR286" s="1181"/>
      <c r="IS286" s="1181"/>
      <c r="IT286" s="1181"/>
      <c r="IU286" s="1181"/>
      <c r="IV286" s="1181"/>
      <c r="IW286" s="1181"/>
      <c r="IX286" s="1104"/>
      <c r="IY286" s="1049"/>
      <c r="IZ286" s="1049"/>
      <c r="JA286" s="1049"/>
      <c r="JB286" s="1049"/>
      <c r="JC286" s="1049"/>
      <c r="JD286" s="1041"/>
      <c r="JE286" s="1037"/>
      <c r="JF286" s="1037"/>
      <c r="JG286" s="1037"/>
      <c r="JH286" s="1037"/>
      <c r="JI286" s="1035"/>
      <c r="JJ286" s="1035"/>
      <c r="JK286" s="1035"/>
      <c r="JL286" s="1035"/>
      <c r="JM286" s="1035"/>
      <c r="JN286" s="1035"/>
      <c r="JO286" s="1035"/>
      <c r="JP286" s="1035"/>
      <c r="JQ286" s="1035"/>
      <c r="JR286" s="1035"/>
      <c r="JS286" s="1035"/>
      <c r="JT286" s="1035"/>
      <c r="JU286" s="1035"/>
      <c r="JV286" s="1035"/>
      <c r="JW286" s="1035"/>
      <c r="JX286" s="1035"/>
      <c r="JY286" s="1035"/>
      <c r="KP286" s="1117"/>
      <c r="LV286" s="967"/>
    </row>
    <row r="287" hidden="1" spans="1:334">
      <c r="A287" s="967" t="s">
        <v>121</v>
      </c>
      <c r="AX287" s="1059"/>
      <c r="BE287" s="1060"/>
      <c r="BN287" s="1059"/>
      <c r="BU287" s="1060"/>
      <c r="BV287" s="1059"/>
      <c r="CC287" s="1060"/>
      <c r="CD287" s="1059"/>
      <c r="CJ287" s="1061"/>
      <c r="CK287" s="1060"/>
      <c r="CL287" s="1059"/>
      <c r="CS287" s="1060"/>
      <c r="CT287" s="1059"/>
      <c r="CW287" s="1062"/>
      <c r="CX287" s="1062"/>
      <c r="DE287" s="1064"/>
      <c r="DF287" s="1064"/>
      <c r="DM287" s="1064"/>
      <c r="DN287" s="1064"/>
      <c r="DU287" s="1064"/>
      <c r="DV287" s="1064"/>
      <c r="EC287" s="1064"/>
      <c r="ED287" s="1064"/>
      <c r="EH287" s="1181"/>
      <c r="EI287" s="1181"/>
      <c r="EJ287" s="1181"/>
      <c r="EK287" s="1181"/>
      <c r="EL287" s="1181"/>
      <c r="EM287" s="1181"/>
      <c r="EN287" s="1181"/>
      <c r="EO287" s="1182"/>
      <c r="EP287" s="1181"/>
      <c r="EQ287" s="1181"/>
      <c r="ER287" s="1181"/>
      <c r="ES287" s="1181"/>
      <c r="ET287" s="1181"/>
      <c r="EU287" s="1181"/>
      <c r="EV287" s="1181"/>
      <c r="EW287" s="1182"/>
      <c r="EX287" s="1148">
        <v>37</v>
      </c>
      <c r="EY287" s="1148">
        <v>37</v>
      </c>
      <c r="EZ287" s="1148">
        <f>EX287+EY287</f>
        <v>74</v>
      </c>
      <c r="FA287" s="1148">
        <v>57</v>
      </c>
      <c r="FB287" s="1148">
        <f>EX287+EY287+FA287</f>
        <v>131</v>
      </c>
      <c r="FC287" s="1148">
        <v>45</v>
      </c>
      <c r="FD287" s="1148">
        <f>FA287+FC287</f>
        <v>102</v>
      </c>
      <c r="FE287" s="1149">
        <f>EX287+EY287+FA287+FC287</f>
        <v>176</v>
      </c>
      <c r="FF287" s="1148">
        <v>58</v>
      </c>
      <c r="FG287" s="1148">
        <f>FH287-FF287</f>
        <v>46</v>
      </c>
      <c r="FH287" s="1148">
        <v>104</v>
      </c>
      <c r="FI287" s="1148">
        <f>FJ287-FH287</f>
        <v>67</v>
      </c>
      <c r="FJ287" s="1148">
        <v>171</v>
      </c>
      <c r="FK287" s="1148">
        <f>FM287-FJ287</f>
        <v>71</v>
      </c>
      <c r="FL287" s="1148">
        <f>FI287+FK287</f>
        <v>138</v>
      </c>
      <c r="FM287" s="1149">
        <v>242</v>
      </c>
      <c r="FN287" s="1148">
        <v>78</v>
      </c>
      <c r="FO287" s="1148">
        <f>FP287-FN287</f>
        <v>60</v>
      </c>
      <c r="FP287" s="1148">
        <v>138</v>
      </c>
      <c r="FQ287" s="1148">
        <f>FR287-FP287</f>
        <v>86</v>
      </c>
      <c r="FR287" s="1148">
        <v>224</v>
      </c>
      <c r="FS287" s="1148">
        <f>FU287-FR287</f>
        <v>65</v>
      </c>
      <c r="FT287" s="1148">
        <f>FQ287+FS287</f>
        <v>151</v>
      </c>
      <c r="FU287" s="1148">
        <v>289</v>
      </c>
      <c r="FV287" s="1278">
        <v>85</v>
      </c>
      <c r="FW287" s="1279">
        <f>FX287-FV287</f>
        <v>88</v>
      </c>
      <c r="FX287" s="1279">
        <v>173</v>
      </c>
      <c r="FY287" s="1148">
        <f>FZ287-FX287</f>
        <v>91</v>
      </c>
      <c r="FZ287" s="1148">
        <v>264</v>
      </c>
      <c r="GA287" s="1148"/>
      <c r="GB287" s="1148"/>
      <c r="GC287" s="1149"/>
      <c r="GD287" s="1278"/>
      <c r="GE287" s="1148"/>
      <c r="GF287" s="1148"/>
      <c r="GG287" s="1148"/>
      <c r="GH287" s="1148"/>
      <c r="GI287" s="1148"/>
      <c r="GJ287" s="1148"/>
      <c r="GK287" s="1149"/>
      <c r="GL287" s="1148"/>
      <c r="GM287" s="1148"/>
      <c r="GN287" s="1148"/>
      <c r="GO287" s="1148"/>
      <c r="GP287" s="1148"/>
      <c r="GQ287" s="1148"/>
      <c r="GR287" s="1148"/>
      <c r="GS287" s="1149"/>
      <c r="GT287" s="1148"/>
      <c r="GU287" s="1148"/>
      <c r="GV287" s="1148"/>
      <c r="GW287" s="1148"/>
      <c r="GX287" s="1148"/>
      <c r="GY287" s="1148"/>
      <c r="GZ287" s="1148"/>
      <c r="HA287" s="1149"/>
      <c r="HB287" s="1148"/>
      <c r="HC287" s="1148"/>
      <c r="HD287" s="1148"/>
      <c r="HE287" s="1148"/>
      <c r="HF287" s="1148"/>
      <c r="HG287" s="1148"/>
      <c r="HH287" s="1148"/>
      <c r="HI287" s="1149"/>
      <c r="HJ287" s="1148"/>
      <c r="HK287" s="1148"/>
      <c r="HL287" s="1148"/>
      <c r="HM287" s="1148"/>
      <c r="HN287" s="1148"/>
      <c r="HO287" s="1148"/>
      <c r="HP287" s="1148"/>
      <c r="HQ287" s="1149"/>
      <c r="HR287" s="1148"/>
      <c r="HS287" s="1148"/>
      <c r="HT287" s="1148"/>
      <c r="HU287" s="1148"/>
      <c r="HV287" s="1148"/>
      <c r="HW287" s="1148"/>
      <c r="HX287" s="1148"/>
      <c r="HY287" s="1148"/>
      <c r="HZ287" s="1148"/>
      <c r="IA287" s="1148"/>
      <c r="IB287" s="1148"/>
      <c r="IC287" s="1148"/>
      <c r="ID287" s="1148"/>
      <c r="IE287" s="1148"/>
      <c r="IF287" s="1148"/>
      <c r="IG287" s="1149"/>
      <c r="IH287" s="1148"/>
      <c r="II287" s="1148"/>
      <c r="IJ287" s="1148"/>
      <c r="IK287" s="1148"/>
      <c r="IL287" s="1148"/>
      <c r="IM287" s="1148"/>
      <c r="IN287" s="1148"/>
      <c r="IO287" s="1149"/>
      <c r="IP287" s="1148"/>
      <c r="IQ287" s="1148"/>
      <c r="IR287" s="1148"/>
      <c r="IS287" s="1148"/>
      <c r="IT287" s="1148"/>
      <c r="IU287" s="1148"/>
      <c r="IV287" s="1148"/>
      <c r="IW287" s="1148"/>
      <c r="IX287" s="1104"/>
      <c r="IY287" s="1049"/>
      <c r="IZ287" s="1049"/>
      <c r="JA287" s="1049"/>
      <c r="JB287" s="1049"/>
      <c r="JC287" s="1049"/>
      <c r="JD287" s="1041"/>
      <c r="JE287" s="1037"/>
      <c r="JF287" s="1037"/>
      <c r="JG287" s="1037"/>
      <c r="JH287" s="1037"/>
      <c r="JI287" s="1035"/>
      <c r="JJ287" s="1035"/>
      <c r="JK287" s="1035"/>
      <c r="JL287" s="1035"/>
      <c r="JM287" s="1035"/>
      <c r="JN287" s="1035"/>
      <c r="JO287" s="1035"/>
      <c r="JP287" s="1035"/>
      <c r="JQ287" s="1035"/>
      <c r="JR287" s="1035"/>
      <c r="JS287" s="1035"/>
      <c r="JT287" s="1035"/>
      <c r="JU287" s="1035"/>
      <c r="JV287" s="1035"/>
      <c r="JW287" s="1035"/>
      <c r="JX287" s="1035"/>
      <c r="JY287" s="1035"/>
      <c r="KP287" s="1117"/>
      <c r="LV287" s="967"/>
    </row>
    <row r="288" hidden="1" spans="1:334">
      <c r="A288" s="967" t="s">
        <v>564</v>
      </c>
      <c r="AX288" s="1059"/>
      <c r="BE288" s="1060"/>
      <c r="BN288" s="1059"/>
      <c r="BU288" s="1060"/>
      <c r="BV288" s="1059"/>
      <c r="CC288" s="1060"/>
      <c r="CD288" s="1059"/>
      <c r="CJ288" s="1061"/>
      <c r="CK288" s="1060"/>
      <c r="CL288" s="1059"/>
      <c r="CS288" s="1060"/>
      <c r="CT288" s="1059"/>
      <c r="CW288" s="1062"/>
      <c r="CX288" s="1062"/>
      <c r="DE288" s="1064"/>
      <c r="DF288" s="1064"/>
      <c r="DM288" s="1064"/>
      <c r="DN288" s="1064"/>
      <c r="DU288" s="1064"/>
      <c r="DV288" s="1064"/>
      <c r="EC288" s="1064"/>
      <c r="ED288" s="1064"/>
      <c r="EH288" s="1181"/>
      <c r="EI288" s="1181"/>
      <c r="EJ288" s="1181"/>
      <c r="EK288" s="1181"/>
      <c r="EL288" s="1181"/>
      <c r="EM288" s="1181"/>
      <c r="EN288" s="1181"/>
      <c r="EO288" s="1182"/>
      <c r="EP288" s="1181"/>
      <c r="EQ288" s="1181"/>
      <c r="ER288" s="1181"/>
      <c r="ES288" s="1181"/>
      <c r="ET288" s="1181"/>
      <c r="EU288" s="1181"/>
      <c r="EV288" s="1181"/>
      <c r="EW288" s="1182"/>
      <c r="EX288" s="1148"/>
      <c r="EY288" s="1148"/>
      <c r="EZ288" s="1148"/>
      <c r="FA288" s="1148"/>
      <c r="FB288" s="1148"/>
      <c r="FC288" s="1148"/>
      <c r="FD288" s="1148"/>
      <c r="FE288" s="1149"/>
      <c r="FF288" s="1181">
        <f>FF287/FF$279</f>
        <v>0.153846153846154</v>
      </c>
      <c r="FG288" s="1181">
        <f t="shared" ref="FG288:FM288" si="1516">FG287/FG$279</f>
        <v>0.126027397260274</v>
      </c>
      <c r="FH288" s="1181">
        <f t="shared" si="1516"/>
        <v>0.140161725067385</v>
      </c>
      <c r="FI288" s="1181">
        <f t="shared" si="1516"/>
        <v>0.195906432748538</v>
      </c>
      <c r="FJ288" s="1181">
        <f t="shared" si="1516"/>
        <v>0.157749077490775</v>
      </c>
      <c r="FK288" s="1181">
        <f t="shared" si="1516"/>
        <v>0.185378590078329</v>
      </c>
      <c r="FL288" s="1181">
        <f t="shared" si="1516"/>
        <v>0.190344827586207</v>
      </c>
      <c r="FM288" s="1182">
        <f t="shared" si="1516"/>
        <v>0.164962508520791</v>
      </c>
      <c r="FN288" s="1181">
        <f t="shared" ref="FN288:FX288" si="1517">FN287/FN$279</f>
        <v>0.196969696969697</v>
      </c>
      <c r="FO288" s="1181">
        <f t="shared" si="1517"/>
        <v>0.159151193633952</v>
      </c>
      <c r="FP288" s="1181">
        <f t="shared" si="1517"/>
        <v>0.178525226390686</v>
      </c>
      <c r="FQ288" s="1080">
        <f t="shared" si="1517"/>
        <v>0.234972677595628</v>
      </c>
      <c r="FR288" s="1080">
        <f t="shared" si="1517"/>
        <v>0.196663740122915</v>
      </c>
      <c r="FS288" s="1181">
        <f t="shared" si="1517"/>
        <v>0.193452380952381</v>
      </c>
      <c r="FT288" s="1181">
        <f t="shared" si="1517"/>
        <v>0.215099715099715</v>
      </c>
      <c r="FU288" s="1181">
        <f t="shared" si="1517"/>
        <v>0.195932203389831</v>
      </c>
      <c r="FV288" s="1220">
        <f t="shared" si="1517"/>
        <v>0.431472081218274</v>
      </c>
      <c r="FW288" s="1218">
        <f t="shared" si="1517"/>
        <v>0.444444444444444</v>
      </c>
      <c r="FX288" s="1218">
        <f t="shared" si="1517"/>
        <v>0.437974683544304</v>
      </c>
      <c r="FY288" s="1080">
        <f t="shared" ref="FY288:FZ288" si="1518">FY287/FY$279</f>
        <v>0.473958333333333</v>
      </c>
      <c r="FZ288" s="1080">
        <f t="shared" si="1518"/>
        <v>0.449744463373083</v>
      </c>
      <c r="GA288" s="1181"/>
      <c r="GB288" s="1181"/>
      <c r="GC288" s="1182"/>
      <c r="GD288" s="1220"/>
      <c r="GE288" s="1181"/>
      <c r="GF288" s="1181"/>
      <c r="GG288" s="1181"/>
      <c r="GH288" s="1181"/>
      <c r="GI288" s="1181"/>
      <c r="GJ288" s="1181"/>
      <c r="GK288" s="1182"/>
      <c r="GL288" s="1181"/>
      <c r="GM288" s="1181"/>
      <c r="GN288" s="1181"/>
      <c r="GO288" s="1181"/>
      <c r="GP288" s="1181"/>
      <c r="GQ288" s="1181"/>
      <c r="GR288" s="1181"/>
      <c r="GS288" s="1182"/>
      <c r="GT288" s="1181"/>
      <c r="GU288" s="1181"/>
      <c r="GV288" s="1181"/>
      <c r="GW288" s="1181"/>
      <c r="GX288" s="1181"/>
      <c r="GY288" s="1181"/>
      <c r="GZ288" s="1181"/>
      <c r="HA288" s="1182"/>
      <c r="HB288" s="1181"/>
      <c r="HC288" s="1181"/>
      <c r="HD288" s="1181"/>
      <c r="HE288" s="1181"/>
      <c r="HF288" s="1181"/>
      <c r="HG288" s="1181"/>
      <c r="HH288" s="1181"/>
      <c r="HI288" s="1182"/>
      <c r="HJ288" s="1181"/>
      <c r="HK288" s="1181"/>
      <c r="HL288" s="1181"/>
      <c r="HM288" s="1181"/>
      <c r="HN288" s="1181"/>
      <c r="HO288" s="1181"/>
      <c r="HP288" s="1181"/>
      <c r="HQ288" s="1182"/>
      <c r="HR288" s="1181"/>
      <c r="HS288" s="1181"/>
      <c r="HT288" s="1181"/>
      <c r="HU288" s="1181"/>
      <c r="HV288" s="1181"/>
      <c r="HW288" s="1181"/>
      <c r="HX288" s="1181"/>
      <c r="HY288" s="1181"/>
      <c r="HZ288" s="1181"/>
      <c r="IA288" s="1181"/>
      <c r="IB288" s="1181"/>
      <c r="IC288" s="1181"/>
      <c r="ID288" s="1181"/>
      <c r="IE288" s="1181"/>
      <c r="IF288" s="1181"/>
      <c r="IG288" s="1182"/>
      <c r="IH288" s="1181"/>
      <c r="II288" s="1181"/>
      <c r="IJ288" s="1181"/>
      <c r="IK288" s="1181"/>
      <c r="IL288" s="1181"/>
      <c r="IM288" s="1181"/>
      <c r="IN288" s="1181"/>
      <c r="IO288" s="1182"/>
      <c r="IP288" s="1181"/>
      <c r="IQ288" s="1148"/>
      <c r="IR288" s="1148"/>
      <c r="IS288" s="1148"/>
      <c r="IT288" s="1148"/>
      <c r="IU288" s="1148"/>
      <c r="IV288" s="1148"/>
      <c r="IW288" s="1148"/>
      <c r="IX288" s="1104"/>
      <c r="IY288" s="1049"/>
      <c r="IZ288" s="1049"/>
      <c r="JA288" s="1049"/>
      <c r="JB288" s="1049"/>
      <c r="JC288" s="1049"/>
      <c r="JD288" s="1041"/>
      <c r="JE288" s="1037"/>
      <c r="JF288" s="1037"/>
      <c r="JG288" s="1037"/>
      <c r="JH288" s="1037"/>
      <c r="JI288" s="1035"/>
      <c r="JJ288" s="1035"/>
      <c r="JK288" s="1035"/>
      <c r="JL288" s="1035"/>
      <c r="JM288" s="1035"/>
      <c r="JN288" s="1035"/>
      <c r="JO288" s="1035"/>
      <c r="JP288" s="1035"/>
      <c r="JQ288" s="1035"/>
      <c r="JR288" s="1035"/>
      <c r="JS288" s="1035"/>
      <c r="JT288" s="1035"/>
      <c r="JU288" s="1035"/>
      <c r="JV288" s="1035"/>
      <c r="JW288" s="1035"/>
      <c r="JX288" s="1035"/>
      <c r="JY288" s="1035"/>
      <c r="KP288" s="1117"/>
      <c r="LV288" s="967"/>
    </row>
    <row r="289" hidden="1" spans="1:334">
      <c r="A289" s="967" t="s">
        <v>118</v>
      </c>
      <c r="AX289" s="1059"/>
      <c r="BE289" s="1060"/>
      <c r="BN289" s="1059"/>
      <c r="BU289" s="1060"/>
      <c r="BV289" s="1059"/>
      <c r="CC289" s="1060"/>
      <c r="CD289" s="1059"/>
      <c r="CJ289" s="1061"/>
      <c r="CK289" s="1060"/>
      <c r="CL289" s="1059"/>
      <c r="CS289" s="1060"/>
      <c r="CT289" s="1059"/>
      <c r="CW289" s="1062"/>
      <c r="CX289" s="1062"/>
      <c r="DE289" s="1064"/>
      <c r="DF289" s="1064"/>
      <c r="DM289" s="1064"/>
      <c r="DN289" s="1064"/>
      <c r="DU289" s="1064"/>
      <c r="DV289" s="1064"/>
      <c r="EC289" s="1064"/>
      <c r="ED289" s="1064"/>
      <c r="EH289" s="1181"/>
      <c r="EI289" s="1181"/>
      <c r="EJ289" s="1181"/>
      <c r="EK289" s="1181"/>
      <c r="EL289" s="1181"/>
      <c r="EM289" s="1181"/>
      <c r="EN289" s="1181"/>
      <c r="EO289" s="1182"/>
      <c r="EP289" s="1181"/>
      <c r="EQ289" s="1181"/>
      <c r="ER289" s="1181"/>
      <c r="ES289" s="1181"/>
      <c r="ET289" s="1181"/>
      <c r="EU289" s="1181"/>
      <c r="EV289" s="1181"/>
      <c r="EW289" s="1182"/>
      <c r="EX289" s="1181">
        <f>EX279/EX$216</f>
        <v>0.0956621660442402</v>
      </c>
      <c r="EY289" s="1181">
        <f t="shared" ref="EY289:FL289" si="1519">EY279/EY$216</f>
        <v>0.108593290170689</v>
      </c>
      <c r="EZ289" s="1181">
        <f t="shared" si="1519"/>
        <v>0.102049716528565</v>
      </c>
      <c r="FA289" s="1181">
        <f t="shared" si="1519"/>
        <v>0.0717111770524233</v>
      </c>
      <c r="FB289" s="1181">
        <f t="shared" si="1519"/>
        <v>0.0908175409685984</v>
      </c>
      <c r="FC289" s="1181">
        <f t="shared" si="1519"/>
        <v>0.101385041551247</v>
      </c>
      <c r="FD289" s="1181">
        <f t="shared" si="1519"/>
        <v>0.0857068199634178</v>
      </c>
      <c r="FE289" s="1182">
        <f t="shared" si="1519"/>
        <v>0.0934425101493154</v>
      </c>
      <c r="FF289" s="1181">
        <f t="shared" si="1519"/>
        <v>0.0923340680871908</v>
      </c>
      <c r="FG289" s="1181">
        <f t="shared" si="1519"/>
        <v>0.0934220629639109</v>
      </c>
      <c r="FH289" s="1181">
        <f t="shared" si="1519"/>
        <v>0.0928660826032541</v>
      </c>
      <c r="FI289" s="1181">
        <f t="shared" si="1519"/>
        <v>0.0718940508723986</v>
      </c>
      <c r="FJ289" s="1181">
        <f t="shared" si="1519"/>
        <v>0.0850396171648231</v>
      </c>
      <c r="FK289" s="1181">
        <f t="shared" si="1519"/>
        <v>0.0918905950095969</v>
      </c>
      <c r="FL289" s="1181">
        <f t="shared" si="1519"/>
        <v>0.0812324929971989</v>
      </c>
      <c r="FM289" s="1182">
        <f t="shared" ref="FM289:FR289" si="1520">FM279/FM$216</f>
        <v>0.0867277564292048</v>
      </c>
      <c r="FN289" s="1181">
        <f t="shared" si="1520"/>
        <v>0.0830362759488362</v>
      </c>
      <c r="FO289" s="1181">
        <f t="shared" si="1520"/>
        <v>0.0852362649785214</v>
      </c>
      <c r="FP289" s="1181">
        <f t="shared" si="1520"/>
        <v>0.084094865100087</v>
      </c>
      <c r="FQ289" s="1181">
        <f t="shared" si="1520"/>
        <v>0.0676274944567627</v>
      </c>
      <c r="FR289" s="1181">
        <f t="shared" si="1520"/>
        <v>0.0779923308682553</v>
      </c>
      <c r="FS289" s="1181">
        <f t="shared" ref="FS289:FZ289" si="1521">FS279/FS$216</f>
        <v>0.0717029449423816</v>
      </c>
      <c r="FT289" s="1181">
        <f t="shared" si="1521"/>
        <v>0.0695187165775401</v>
      </c>
      <c r="FU289" s="1181">
        <f t="shared" si="1521"/>
        <v>0.076464489372732</v>
      </c>
      <c r="FV289" s="1220">
        <f t="shared" si="1521"/>
        <v>0.0361733382298935</v>
      </c>
      <c r="FW289" s="1218">
        <f t="shared" si="1521"/>
        <v>0.0393013100436681</v>
      </c>
      <c r="FX289" s="1218">
        <f t="shared" si="1521"/>
        <v>0.0376764593666539</v>
      </c>
      <c r="FY289" s="1181">
        <f t="shared" si="1521"/>
        <v>0.0338147234941881</v>
      </c>
      <c r="FZ289" s="1181">
        <f t="shared" si="1521"/>
        <v>0.0363197624056429</v>
      </c>
      <c r="GA289" s="1181"/>
      <c r="GB289" s="1181"/>
      <c r="GC289" s="1182"/>
      <c r="GD289" s="1220">
        <f t="shared" ref="GD289" si="1522">GD279/GD$216</f>
        <v>0.0342465753424658</v>
      </c>
      <c r="GE289" s="1181"/>
      <c r="GF289" s="1181"/>
      <c r="GG289" s="1181"/>
      <c r="GH289" s="1181"/>
      <c r="GI289" s="1181"/>
      <c r="GJ289" s="1181"/>
      <c r="GK289" s="1182"/>
      <c r="GL289" s="1181"/>
      <c r="GM289" s="1181"/>
      <c r="GN289" s="1181"/>
      <c r="GO289" s="1181"/>
      <c r="GP289" s="1181"/>
      <c r="GQ289" s="1181"/>
      <c r="GR289" s="1181"/>
      <c r="GS289" s="1182"/>
      <c r="GT289" s="1181"/>
      <c r="GU289" s="1181"/>
      <c r="GV289" s="1181"/>
      <c r="GW289" s="1181"/>
      <c r="GX289" s="1181"/>
      <c r="GY289" s="1181"/>
      <c r="GZ289" s="1181"/>
      <c r="HA289" s="1182"/>
      <c r="HB289" s="1181"/>
      <c r="HC289" s="1181"/>
      <c r="HD289" s="1181"/>
      <c r="HE289" s="1181"/>
      <c r="HF289" s="1181"/>
      <c r="HG289" s="1181"/>
      <c r="HH289" s="1181"/>
      <c r="HI289" s="1182"/>
      <c r="HJ289" s="1181"/>
      <c r="HK289" s="1181"/>
      <c r="HL289" s="1181"/>
      <c r="HM289" s="1181"/>
      <c r="HN289" s="1181"/>
      <c r="HO289" s="1181"/>
      <c r="HP289" s="1181"/>
      <c r="HQ289" s="1182"/>
      <c r="HR289" s="1181"/>
      <c r="HS289" s="1181"/>
      <c r="HT289" s="1181"/>
      <c r="HU289" s="1181"/>
      <c r="HV289" s="1181"/>
      <c r="HW289" s="1181"/>
      <c r="HX289" s="1181"/>
      <c r="HY289" s="1181"/>
      <c r="HZ289" s="1181"/>
      <c r="IA289" s="1181"/>
      <c r="IB289" s="1181"/>
      <c r="IC289" s="1181"/>
      <c r="ID289" s="1181"/>
      <c r="IE289" s="1181"/>
      <c r="IF289" s="1181"/>
      <c r="IG289" s="1182"/>
      <c r="IH289" s="1181"/>
      <c r="II289" s="1181"/>
      <c r="IJ289" s="1181"/>
      <c r="IK289" s="1181"/>
      <c r="IL289" s="1181"/>
      <c r="IM289" s="1181"/>
      <c r="IN289" s="1181"/>
      <c r="IO289" s="1182"/>
      <c r="IP289" s="1181"/>
      <c r="IQ289" s="1181"/>
      <c r="IR289" s="1181"/>
      <c r="IS289" s="1181"/>
      <c r="IT289" s="1181"/>
      <c r="IU289" s="1181"/>
      <c r="IV289" s="1181"/>
      <c r="IW289" s="1181"/>
      <c r="IX289" s="1104"/>
      <c r="IY289" s="1049"/>
      <c r="IZ289" s="1049"/>
      <c r="JA289" s="1049"/>
      <c r="JB289" s="1049"/>
      <c r="JC289" s="1049"/>
      <c r="JD289" s="1041"/>
      <c r="JE289" s="1037"/>
      <c r="JF289" s="1037"/>
      <c r="JG289" s="1037"/>
      <c r="JH289" s="1037"/>
      <c r="JI289" s="1035"/>
      <c r="JJ289" s="1035"/>
      <c r="JK289" s="1035"/>
      <c r="JL289" s="1035"/>
      <c r="JM289" s="1035"/>
      <c r="JN289" s="1035"/>
      <c r="JO289" s="1035"/>
      <c r="JP289" s="1035"/>
      <c r="JQ289" s="1035"/>
      <c r="JR289" s="1035"/>
      <c r="JS289" s="1035"/>
      <c r="JT289" s="1035"/>
      <c r="JU289" s="1035"/>
      <c r="JV289" s="1035"/>
      <c r="JW289" s="1035"/>
      <c r="JX289" s="1035"/>
      <c r="JY289" s="1035"/>
      <c r="KP289" s="1117"/>
      <c r="LV289" s="967"/>
    </row>
    <row r="290" spans="1:334">
      <c r="A290" s="967"/>
      <c r="AX290" s="1059"/>
      <c r="BE290" s="1060"/>
      <c r="BN290" s="1059"/>
      <c r="BU290" s="1060"/>
      <c r="BV290" s="1059"/>
      <c r="CC290" s="1060"/>
      <c r="CD290" s="1059"/>
      <c r="CJ290" s="1061"/>
      <c r="CK290" s="1060"/>
      <c r="CL290" s="1059"/>
      <c r="CS290" s="1060"/>
      <c r="CT290" s="1059"/>
      <c r="CW290" s="1062"/>
      <c r="CX290" s="1062"/>
      <c r="DE290" s="1064"/>
      <c r="DF290" s="1064"/>
      <c r="DM290" s="1064"/>
      <c r="DN290" s="1064"/>
      <c r="DU290" s="1064"/>
      <c r="DV290" s="1064"/>
      <c r="EC290" s="1064"/>
      <c r="ED290" s="1064"/>
      <c r="EH290" s="1181"/>
      <c r="EI290" s="1181"/>
      <c r="EJ290" s="1181"/>
      <c r="EK290" s="1181"/>
      <c r="EL290" s="1181"/>
      <c r="EM290" s="1181"/>
      <c r="EN290" s="1181"/>
      <c r="EO290" s="1182"/>
      <c r="EP290" s="1181"/>
      <c r="EQ290" s="1181"/>
      <c r="ER290" s="1181"/>
      <c r="ES290" s="1181"/>
      <c r="ET290" s="1181"/>
      <c r="EU290" s="1181"/>
      <c r="EV290" s="1181"/>
      <c r="EW290" s="1182"/>
      <c r="EX290" s="1181"/>
      <c r="EY290" s="1181"/>
      <c r="EZ290" s="1181"/>
      <c r="FA290" s="1181"/>
      <c r="FB290" s="1181"/>
      <c r="FC290" s="1181"/>
      <c r="FD290" s="1181"/>
      <c r="FE290" s="1182"/>
      <c r="FF290" s="1181"/>
      <c r="FG290" s="1181"/>
      <c r="FH290" s="1181"/>
      <c r="FI290" s="1181"/>
      <c r="FJ290" s="1181"/>
      <c r="FK290" s="1083"/>
      <c r="FL290" s="1181"/>
      <c r="FM290" s="1182"/>
      <c r="FN290" s="1181"/>
      <c r="FO290" s="1181"/>
      <c r="FP290" s="1181"/>
      <c r="FQ290" s="1181"/>
      <c r="FR290" s="1181"/>
      <c r="FS290" s="1181"/>
      <c r="FT290" s="1181"/>
      <c r="FU290" s="1181"/>
      <c r="FV290" s="1186"/>
      <c r="FW290" s="1181"/>
      <c r="FX290" s="1181"/>
      <c r="FY290" s="1181"/>
      <c r="FZ290" s="1181"/>
      <c r="GA290" s="1181"/>
      <c r="GB290" s="1181"/>
      <c r="GC290" s="1182"/>
      <c r="GD290" s="1181"/>
      <c r="GE290" s="1181"/>
      <c r="GF290" s="1181"/>
      <c r="GG290" s="1181"/>
      <c r="GH290" s="1181"/>
      <c r="GI290" s="1181"/>
      <c r="GJ290" s="1181"/>
      <c r="GK290" s="1182"/>
      <c r="GL290" s="1181"/>
      <c r="GM290" s="1181"/>
      <c r="GN290" s="1181"/>
      <c r="GO290" s="1181"/>
      <c r="GP290" s="1181"/>
      <c r="GQ290" s="1181"/>
      <c r="GR290" s="1181"/>
      <c r="GS290" s="1182"/>
      <c r="GT290" s="1181"/>
      <c r="GU290" s="1181"/>
      <c r="GV290" s="1181"/>
      <c r="GW290" s="1181"/>
      <c r="GX290" s="1181"/>
      <c r="GY290" s="1181"/>
      <c r="GZ290" s="1181"/>
      <c r="HA290" s="1182"/>
      <c r="HB290" s="1181"/>
      <c r="HC290" s="1181"/>
      <c r="HD290" s="1181"/>
      <c r="HE290" s="1181"/>
      <c r="HF290" s="1181"/>
      <c r="HG290" s="1181"/>
      <c r="HH290" s="1181"/>
      <c r="HI290" s="1182"/>
      <c r="HJ290" s="1181"/>
      <c r="HK290" s="1181"/>
      <c r="HL290" s="1181"/>
      <c r="HM290" s="1181"/>
      <c r="HN290" s="1181"/>
      <c r="HO290" s="1181"/>
      <c r="HP290" s="1181"/>
      <c r="HQ290" s="1182"/>
      <c r="HR290" s="1181"/>
      <c r="HS290" s="1181"/>
      <c r="HT290" s="1181"/>
      <c r="HU290" s="1181"/>
      <c r="HV290" s="1181"/>
      <c r="HW290" s="1181"/>
      <c r="HX290" s="1181"/>
      <c r="HY290" s="1181"/>
      <c r="HZ290" s="1181"/>
      <c r="IA290" s="1181"/>
      <c r="IB290" s="1181"/>
      <c r="IC290" s="1181"/>
      <c r="ID290" s="1181"/>
      <c r="IE290" s="1181"/>
      <c r="IF290" s="1181"/>
      <c r="IG290" s="1182"/>
      <c r="IH290" s="1181"/>
      <c r="II290" s="1181"/>
      <c r="IJ290" s="1181"/>
      <c r="IK290" s="1181"/>
      <c r="IL290" s="1181"/>
      <c r="IM290" s="1181"/>
      <c r="IN290" s="1181"/>
      <c r="IO290" s="1182"/>
      <c r="IP290" s="1181"/>
      <c r="IQ290" s="1181"/>
      <c r="IR290" s="1181"/>
      <c r="IS290" s="1181"/>
      <c r="IT290" s="1181"/>
      <c r="IU290" s="1181"/>
      <c r="IV290" s="1181"/>
      <c r="IW290" s="1181"/>
      <c r="IX290" s="1104"/>
      <c r="IY290" s="1049"/>
      <c r="IZ290" s="1049"/>
      <c r="JA290" s="1049"/>
      <c r="JB290" s="1049"/>
      <c r="JC290" s="1049"/>
      <c r="JD290" s="1041"/>
      <c r="JE290" s="1037"/>
      <c r="JF290" s="1037"/>
      <c r="JG290" s="1037"/>
      <c r="JH290" s="1037"/>
      <c r="JI290" s="1035"/>
      <c r="JJ290" s="1035"/>
      <c r="JK290" s="1035"/>
      <c r="JL290" s="1035"/>
      <c r="JM290" s="1035"/>
      <c r="JN290" s="1035"/>
      <c r="JO290" s="1035"/>
      <c r="JP290" s="1035"/>
      <c r="JQ290" s="1035"/>
      <c r="JR290" s="1035"/>
      <c r="JS290" s="1035"/>
      <c r="JT290" s="1035"/>
      <c r="JU290" s="1035"/>
      <c r="JV290" s="1035"/>
      <c r="JW290" s="1035"/>
      <c r="JX290" s="1035"/>
      <c r="JY290" s="1035"/>
      <c r="KP290" s="1117"/>
      <c r="LV290" s="967"/>
    </row>
    <row r="291" spans="1:334">
      <c r="A291" s="1051" t="s">
        <v>565</v>
      </c>
      <c r="B291" s="1197"/>
      <c r="C291" s="1197"/>
      <c r="D291" s="1197"/>
      <c r="E291" s="1197"/>
      <c r="F291" s="1197"/>
      <c r="G291" s="1197"/>
      <c r="H291" s="1197"/>
      <c r="I291" s="1197"/>
      <c r="J291" s="1197"/>
      <c r="K291" s="1197"/>
      <c r="L291" s="1197"/>
      <c r="M291" s="1197"/>
      <c r="N291" s="1197"/>
      <c r="O291" s="1197"/>
      <c r="P291" s="1197"/>
      <c r="Q291" s="1197"/>
      <c r="R291" s="1197"/>
      <c r="S291" s="1197"/>
      <c r="T291" s="1197"/>
      <c r="U291" s="1197"/>
      <c r="V291" s="1197"/>
      <c r="W291" s="1197"/>
      <c r="X291" s="1197"/>
      <c r="Y291" s="1197"/>
      <c r="Z291" s="1197"/>
      <c r="AA291" s="1197"/>
      <c r="AB291" s="1197"/>
      <c r="AC291" s="1197"/>
      <c r="AD291" s="1197"/>
      <c r="AE291" s="1197"/>
      <c r="AF291" s="1197"/>
      <c r="AG291" s="1197"/>
      <c r="AH291" s="1197"/>
      <c r="AI291" s="1197"/>
      <c r="AJ291" s="1197"/>
      <c r="AK291" s="1197"/>
      <c r="AL291" s="1197"/>
      <c r="AM291" s="1197"/>
      <c r="AN291" s="1197"/>
      <c r="AO291" s="1197"/>
      <c r="AP291" s="1197"/>
      <c r="AQ291" s="1197"/>
      <c r="AR291" s="1197"/>
      <c r="AS291" s="1197"/>
      <c r="AT291" s="1197"/>
      <c r="AU291" s="1197"/>
      <c r="AV291" s="1197"/>
      <c r="AW291" s="1197"/>
      <c r="AX291" s="1198"/>
      <c r="AY291" s="1197"/>
      <c r="AZ291" s="1197"/>
      <c r="BA291" s="1197"/>
      <c r="BB291" s="1197"/>
      <c r="BC291" s="1197"/>
      <c r="BD291" s="1197"/>
      <c r="BE291" s="1199"/>
      <c r="BF291" s="1197"/>
      <c r="BG291" s="1197"/>
      <c r="BH291" s="1197"/>
      <c r="BI291" s="1197"/>
      <c r="BJ291" s="1197"/>
      <c r="BK291" s="1197"/>
      <c r="BL291" s="1197"/>
      <c r="BM291" s="1197"/>
      <c r="BN291" s="1198"/>
      <c r="BO291" s="1197"/>
      <c r="BP291" s="1197"/>
      <c r="BQ291" s="1197"/>
      <c r="BR291" s="1197"/>
      <c r="BS291" s="1197"/>
      <c r="BT291" s="1197"/>
      <c r="BU291" s="1199"/>
      <c r="BV291" s="1198"/>
      <c r="BW291" s="1197"/>
      <c r="BX291" s="1197"/>
      <c r="BY291" s="1197"/>
      <c r="BZ291" s="1197"/>
      <c r="CA291" s="1197"/>
      <c r="CB291" s="1197"/>
      <c r="CC291" s="1199"/>
      <c r="CD291" s="1198"/>
      <c r="CE291" s="1197"/>
      <c r="CF291" s="1197"/>
      <c r="CG291" s="1197"/>
      <c r="CH291" s="1197"/>
      <c r="CI291" s="1197"/>
      <c r="CJ291" s="1197"/>
      <c r="CK291" s="1199"/>
      <c r="CL291" s="1198"/>
      <c r="CM291" s="1197"/>
      <c r="CN291" s="1197"/>
      <c r="CO291" s="1197"/>
      <c r="CP291" s="1197"/>
      <c r="CQ291" s="1197"/>
      <c r="CR291" s="1197"/>
      <c r="CS291" s="1199"/>
      <c r="CT291" s="1198"/>
      <c r="CU291" s="1197"/>
      <c r="CV291" s="1197"/>
      <c r="CW291" s="1197"/>
      <c r="CX291" s="1197"/>
      <c r="CY291" s="1197"/>
      <c r="CZ291" s="1197"/>
      <c r="DA291" s="1199"/>
      <c r="DB291" s="1200"/>
      <c r="DC291" s="1201"/>
      <c r="DD291" s="1201"/>
      <c r="DE291" s="1201"/>
      <c r="DF291" s="1201"/>
      <c r="DG291" s="1201"/>
      <c r="DH291" s="1201"/>
      <c r="DI291" s="1202"/>
      <c r="DJ291" s="1201"/>
      <c r="DK291" s="1201"/>
      <c r="DL291" s="1201"/>
      <c r="DM291" s="1201"/>
      <c r="DN291" s="1201"/>
      <c r="DO291" s="1201"/>
      <c r="DP291" s="1201"/>
      <c r="DQ291" s="1202"/>
      <c r="DR291" s="1201"/>
      <c r="DS291" s="1201"/>
      <c r="DT291" s="1201"/>
      <c r="DU291" s="1201"/>
      <c r="DV291" s="1201"/>
      <c r="DW291" s="1201"/>
      <c r="DX291" s="1201"/>
      <c r="DY291" s="1202"/>
      <c r="DZ291" s="1201"/>
      <c r="EA291" s="1201"/>
      <c r="EB291" s="1201"/>
      <c r="EC291" s="1201"/>
      <c r="ED291" s="1201"/>
      <c r="EE291" s="1201"/>
      <c r="EF291" s="1201"/>
      <c r="EG291" s="1202"/>
      <c r="EH291" s="1201"/>
      <c r="EI291" s="1201"/>
      <c r="EJ291" s="1201"/>
      <c r="EK291" s="1201"/>
      <c r="EL291" s="1201"/>
      <c r="EM291" s="1201"/>
      <c r="EN291" s="1201"/>
      <c r="EO291" s="1202"/>
      <c r="EP291" s="1047"/>
      <c r="EQ291" s="1047"/>
      <c r="ER291" s="1047"/>
      <c r="ES291" s="1047"/>
      <c r="ET291" s="1047"/>
      <c r="EU291" s="1047"/>
      <c r="EV291" s="1047"/>
      <c r="EW291" s="1048"/>
      <c r="EX291" s="1047"/>
      <c r="EY291" s="1047"/>
      <c r="EZ291" s="1047"/>
      <c r="FA291" s="1047"/>
      <c r="FB291" s="1047"/>
      <c r="FC291" s="1047"/>
      <c r="FD291" s="1047"/>
      <c r="FE291" s="1048"/>
      <c r="FF291" s="1047"/>
      <c r="FG291" s="1047"/>
      <c r="FH291" s="1047"/>
      <c r="FI291" s="1047"/>
      <c r="FJ291" s="1047"/>
      <c r="FK291" s="1047"/>
      <c r="FL291" s="1047"/>
      <c r="FM291" s="1048"/>
      <c r="FN291" s="1047"/>
      <c r="FO291" s="1047"/>
      <c r="FP291" s="1047"/>
      <c r="FQ291" s="1047"/>
      <c r="FR291" s="1047"/>
      <c r="FS291" s="1047"/>
      <c r="FT291" s="1047"/>
      <c r="FU291" s="1047"/>
      <c r="FV291" s="1055"/>
      <c r="FW291" s="1047"/>
      <c r="FX291" s="1047"/>
      <c r="FY291" s="1047"/>
      <c r="FZ291" s="1047"/>
      <c r="GA291" s="1047"/>
      <c r="GB291" s="1047"/>
      <c r="GC291" s="1048"/>
      <c r="GD291" s="1047"/>
      <c r="GE291" s="1047"/>
      <c r="GF291" s="1047"/>
      <c r="GG291" s="1047"/>
      <c r="GH291" s="1047"/>
      <c r="GI291" s="1047"/>
      <c r="GJ291" s="1047"/>
      <c r="GK291" s="1048"/>
      <c r="GL291" s="1047"/>
      <c r="GM291" s="1047"/>
      <c r="GN291" s="1047"/>
      <c r="GO291" s="1047"/>
      <c r="GP291" s="1047"/>
      <c r="GQ291" s="1047"/>
      <c r="GR291" s="1047"/>
      <c r="GS291" s="1048"/>
      <c r="GT291" s="1047" t="s">
        <v>440</v>
      </c>
      <c r="GU291" s="1047" t="s">
        <v>441</v>
      </c>
      <c r="GV291" s="1047" t="s">
        <v>442</v>
      </c>
      <c r="GW291" s="1047" t="s">
        <v>443</v>
      </c>
      <c r="GX291" s="1047" t="s">
        <v>532</v>
      </c>
      <c r="GY291" s="1047" t="s">
        <v>445</v>
      </c>
      <c r="GZ291" s="1047" t="s">
        <v>543</v>
      </c>
      <c r="HA291" s="1048" t="s">
        <v>447</v>
      </c>
      <c r="HB291" s="1047" t="s">
        <v>448</v>
      </c>
      <c r="HC291" s="1047" t="s">
        <v>449</v>
      </c>
      <c r="HD291" s="1047" t="s">
        <v>450</v>
      </c>
      <c r="HE291" s="1047" t="s">
        <v>451</v>
      </c>
      <c r="HF291" s="1047" t="s">
        <v>452</v>
      </c>
      <c r="HG291" s="1047" t="s">
        <v>453</v>
      </c>
      <c r="HH291" s="1047" t="s">
        <v>454</v>
      </c>
      <c r="HI291" s="1048" t="s">
        <v>455</v>
      </c>
      <c r="HJ291" s="1047" t="s">
        <v>456</v>
      </c>
      <c r="HK291" s="1047" t="s">
        <v>457</v>
      </c>
      <c r="HL291" s="1047" t="s">
        <v>458</v>
      </c>
      <c r="HM291" s="1047" t="s">
        <v>459</v>
      </c>
      <c r="HN291" s="1047" t="s">
        <v>460</v>
      </c>
      <c r="HO291" s="1047" t="s">
        <v>461</v>
      </c>
      <c r="HP291" s="1047" t="s">
        <v>462</v>
      </c>
      <c r="HQ291" s="1048" t="s">
        <v>463</v>
      </c>
      <c r="HR291" s="1047" t="str">
        <f>HR168</f>
        <v>1Q23</v>
      </c>
      <c r="HS291" s="1047" t="s">
        <v>465</v>
      </c>
      <c r="HT291" s="1047" t="s">
        <v>466</v>
      </c>
      <c r="HU291" s="1047" t="s">
        <v>467</v>
      </c>
      <c r="HV291" s="1047" t="s">
        <v>468</v>
      </c>
      <c r="HW291" s="1047" t="s">
        <v>469</v>
      </c>
      <c r="HX291" s="1047" t="s">
        <v>470</v>
      </c>
      <c r="HY291" s="1048" t="s">
        <v>471</v>
      </c>
      <c r="HZ291" s="1047"/>
      <c r="IA291" s="1047"/>
      <c r="IB291" s="1047"/>
      <c r="IC291" s="1047"/>
      <c r="ID291" s="1047"/>
      <c r="IE291" s="1047"/>
      <c r="IF291" s="1047"/>
      <c r="IG291" s="1048"/>
      <c r="IH291" s="1047"/>
      <c r="II291" s="1047"/>
      <c r="IJ291" s="1047"/>
      <c r="IK291" s="1047"/>
      <c r="IL291" s="1047"/>
      <c r="IM291" s="1047"/>
      <c r="IN291" s="1047"/>
      <c r="IO291" s="1048"/>
      <c r="IP291" s="1047"/>
      <c r="IQ291" s="1047"/>
      <c r="IR291" s="1047"/>
      <c r="IS291" s="1047"/>
      <c r="IT291" s="1047"/>
      <c r="IU291" s="1047"/>
      <c r="IV291" s="1047"/>
      <c r="IW291" s="1047"/>
      <c r="IX291" s="1049"/>
      <c r="IY291" s="1049"/>
      <c r="IZ291" s="1049"/>
      <c r="JA291" s="1049"/>
      <c r="JB291" s="1049"/>
      <c r="JC291" s="1049"/>
      <c r="JD291" s="1041"/>
      <c r="JE291" s="1037"/>
      <c r="JF291" s="1037"/>
      <c r="JG291" s="1037"/>
      <c r="JH291" s="1037"/>
      <c r="JI291" s="1035"/>
      <c r="JJ291" s="1035"/>
      <c r="JK291" s="1035"/>
      <c r="JL291" s="1035"/>
      <c r="JM291" s="1035"/>
      <c r="JN291" s="1035"/>
      <c r="JO291" s="1035"/>
      <c r="JP291" s="1035"/>
      <c r="JQ291" s="1035"/>
      <c r="JR291" s="1035"/>
      <c r="JS291" s="1035"/>
      <c r="JT291" s="1035"/>
      <c r="JU291" s="1035"/>
      <c r="JV291" s="1035"/>
      <c r="JW291" s="1035"/>
      <c r="JX291" s="1035"/>
      <c r="JY291" s="1035"/>
      <c r="KD291" s="1049"/>
      <c r="KE291" s="1049"/>
      <c r="KF291" s="1049"/>
      <c r="KG291" s="1089"/>
      <c r="KH291" s="1089"/>
      <c r="KI291" s="1037"/>
    </row>
    <row r="292" spans="1:334">
      <c r="A292" s="1281" t="s">
        <v>112</v>
      </c>
      <c r="B292" s="1255"/>
      <c r="C292" s="1255"/>
      <c r="D292" s="1255"/>
      <c r="E292" s="1255"/>
      <c r="F292" s="1255"/>
      <c r="G292" s="1255"/>
      <c r="H292" s="1255"/>
      <c r="I292" s="1255"/>
      <c r="J292" s="1255"/>
      <c r="K292" s="1255"/>
      <c r="L292" s="1255"/>
      <c r="M292" s="1255"/>
      <c r="N292" s="1255"/>
      <c r="O292" s="1255"/>
      <c r="P292" s="1255"/>
      <c r="Q292" s="1255"/>
      <c r="R292" s="1255"/>
      <c r="S292" s="1255"/>
      <c r="T292" s="1255"/>
      <c r="U292" s="1255"/>
      <c r="V292" s="1255"/>
      <c r="W292" s="1255"/>
      <c r="X292" s="1255"/>
      <c r="Y292" s="1255"/>
      <c r="Z292" s="1255"/>
      <c r="AA292" s="1255"/>
      <c r="AB292" s="1255"/>
      <c r="AC292" s="1255"/>
      <c r="AD292" s="1255"/>
      <c r="AE292" s="1255"/>
      <c r="AF292" s="1255"/>
      <c r="AG292" s="1255"/>
      <c r="AH292" s="1255"/>
      <c r="AI292" s="1255"/>
      <c r="AJ292" s="1255"/>
      <c r="AK292" s="1255"/>
      <c r="AL292" s="1255"/>
      <c r="AM292" s="1255"/>
      <c r="AN292" s="1255"/>
      <c r="AO292" s="1255"/>
      <c r="AP292" s="1255"/>
      <c r="AQ292" s="1255"/>
      <c r="AR292" s="1255"/>
      <c r="AS292" s="1255"/>
      <c r="AT292" s="1255"/>
      <c r="AU292" s="1255"/>
      <c r="AV292" s="1255"/>
      <c r="AW292" s="1255"/>
      <c r="AX292" s="1256"/>
      <c r="AY292" s="1255"/>
      <c r="AZ292" s="1255"/>
      <c r="BA292" s="1255"/>
      <c r="BB292" s="1255"/>
      <c r="BC292" s="1255"/>
      <c r="BD292" s="1255"/>
      <c r="BE292" s="1257"/>
      <c r="BF292" s="1255"/>
      <c r="BG292" s="1255"/>
      <c r="BH292" s="1255"/>
      <c r="BI292" s="1255"/>
      <c r="BJ292" s="1255"/>
      <c r="BK292" s="1255"/>
      <c r="BL292" s="1255"/>
      <c r="BM292" s="1255"/>
      <c r="BN292" s="1256"/>
      <c r="BO292" s="1255"/>
      <c r="BP292" s="1255"/>
      <c r="BQ292" s="1255"/>
      <c r="BR292" s="1255"/>
      <c r="BS292" s="1255"/>
      <c r="BT292" s="1255"/>
      <c r="BU292" s="1257"/>
      <c r="BV292" s="1256"/>
      <c r="BW292" s="1255"/>
      <c r="BX292" s="1255"/>
      <c r="BY292" s="1255"/>
      <c r="BZ292" s="1255"/>
      <c r="CA292" s="1255"/>
      <c r="CB292" s="1255"/>
      <c r="CC292" s="1257"/>
      <c r="CD292" s="1256"/>
      <c r="CE292" s="1255"/>
      <c r="CF292" s="1255"/>
      <c r="CG292" s="1255"/>
      <c r="CH292" s="1255"/>
      <c r="CI292" s="1255"/>
      <c r="CJ292" s="1258"/>
      <c r="CK292" s="1257"/>
      <c r="CL292" s="1256"/>
      <c r="CM292" s="1255"/>
      <c r="CN292" s="1255"/>
      <c r="CO292" s="1255"/>
      <c r="CP292" s="1255"/>
      <c r="CQ292" s="1255"/>
      <c r="CR292" s="1255"/>
      <c r="CS292" s="1257"/>
      <c r="CT292" s="1256"/>
      <c r="CU292" s="1255"/>
      <c r="CV292" s="1255"/>
      <c r="CW292" s="1259"/>
      <c r="CX292" s="1259"/>
      <c r="CY292" s="1255"/>
      <c r="CZ292" s="1255"/>
      <c r="DA292" s="1255"/>
      <c r="DB292" s="1260"/>
      <c r="DC292" s="1260"/>
      <c r="DD292" s="1260"/>
      <c r="DE292" s="1261"/>
      <c r="DF292" s="1261"/>
      <c r="DG292" s="1260"/>
      <c r="DH292" s="1260"/>
      <c r="DI292" s="1262"/>
      <c r="DJ292" s="1260"/>
      <c r="DK292" s="1260"/>
      <c r="DL292" s="1260"/>
      <c r="DM292" s="1261"/>
      <c r="DN292" s="1261"/>
      <c r="DO292" s="1260"/>
      <c r="DP292" s="1260"/>
      <c r="DQ292" s="1262"/>
      <c r="DR292" s="1260"/>
      <c r="DS292" s="1260"/>
      <c r="DT292" s="1260"/>
      <c r="DU292" s="1261"/>
      <c r="DV292" s="1261"/>
      <c r="DW292" s="1260"/>
      <c r="DX292" s="1260"/>
      <c r="DY292" s="1262"/>
      <c r="DZ292" s="1260"/>
      <c r="EA292" s="1260"/>
      <c r="EB292" s="1260"/>
      <c r="EC292" s="1261"/>
      <c r="ED292" s="1261"/>
      <c r="EE292" s="1260"/>
      <c r="EF292" s="1260"/>
      <c r="EG292" s="1262"/>
      <c r="EH292" s="1282"/>
      <c r="EI292" s="1282"/>
      <c r="EJ292" s="1282"/>
      <c r="EK292" s="1282"/>
      <c r="EL292" s="1282"/>
      <c r="EM292" s="1282"/>
      <c r="EN292" s="1282"/>
      <c r="EO292" s="1283"/>
      <c r="EP292" s="1282"/>
      <c r="EQ292" s="1282"/>
      <c r="ER292" s="1282"/>
      <c r="ES292" s="1282"/>
      <c r="ET292" s="1282"/>
      <c r="EU292" s="1282"/>
      <c r="EV292" s="1282"/>
      <c r="EW292" s="1283"/>
      <c r="EX292" s="1282"/>
      <c r="EY292" s="1282"/>
      <c r="EZ292" s="1282"/>
      <c r="FA292" s="1282"/>
      <c r="FB292" s="1282"/>
      <c r="FC292" s="1282"/>
      <c r="FD292" s="1282"/>
      <c r="FE292" s="1283"/>
      <c r="FF292" s="1282"/>
      <c r="FG292" s="1282"/>
      <c r="FH292" s="1282"/>
      <c r="FI292" s="1282"/>
      <c r="FJ292" s="1282"/>
      <c r="FK292" s="1284"/>
      <c r="FL292" s="1282"/>
      <c r="FM292" s="1283"/>
      <c r="FN292" s="1282"/>
      <c r="FO292" s="1282"/>
      <c r="FP292" s="1282"/>
      <c r="FQ292" s="1282"/>
      <c r="FR292" s="1282"/>
      <c r="FS292" s="1282"/>
      <c r="FT292" s="1282"/>
      <c r="FU292" s="1282"/>
      <c r="FV292" s="1285"/>
      <c r="FW292" s="1282"/>
      <c r="FX292" s="1282"/>
      <c r="FY292" s="1282"/>
      <c r="FZ292" s="1282"/>
      <c r="GA292" s="1282"/>
      <c r="GB292" s="1282"/>
      <c r="GC292" s="1283"/>
      <c r="GD292" s="1282"/>
      <c r="GE292" s="1282"/>
      <c r="GF292" s="1282"/>
      <c r="GG292" s="1282"/>
      <c r="GH292" s="1282"/>
      <c r="GI292" s="1282"/>
      <c r="GJ292" s="1282"/>
      <c r="GK292" s="1283"/>
      <c r="GL292" s="1282"/>
      <c r="GM292" s="1282"/>
      <c r="GN292" s="1282"/>
      <c r="GO292" s="1282"/>
      <c r="GP292" s="1282"/>
      <c r="GQ292" s="1282"/>
      <c r="GR292" s="1282"/>
      <c r="GS292" s="1283"/>
      <c r="GT292" s="1282"/>
      <c r="GU292" s="1282"/>
      <c r="GV292" s="1282"/>
      <c r="GW292" s="1282"/>
      <c r="GX292" s="1282"/>
      <c r="GY292" s="1282"/>
      <c r="GZ292" s="1282"/>
      <c r="HA292" s="1283"/>
      <c r="HB292" s="1282"/>
      <c r="HC292" s="1282"/>
      <c r="HD292" s="1282"/>
      <c r="HE292" s="1282"/>
      <c r="HF292" s="1282"/>
      <c r="HG292" s="1282"/>
      <c r="HH292" s="1282"/>
      <c r="HI292" s="1283"/>
      <c r="HJ292" s="1282"/>
      <c r="HK292" s="1282"/>
      <c r="HL292" s="1282"/>
      <c r="HM292" s="1282"/>
      <c r="HN292" s="1282"/>
      <c r="HO292" s="1282"/>
      <c r="HP292" s="1282"/>
      <c r="HQ292" s="1283"/>
      <c r="HR292" s="1282"/>
      <c r="HS292" s="1282"/>
      <c r="HT292" s="1282"/>
      <c r="HU292" s="1282"/>
      <c r="HV292" s="1282"/>
      <c r="HW292" s="1282"/>
      <c r="HX292" s="1282"/>
      <c r="HY292" s="1282"/>
      <c r="HZ292" s="1282"/>
      <c r="IA292" s="1282"/>
      <c r="IB292" s="1282"/>
      <c r="IC292" s="1282"/>
      <c r="ID292" s="1282"/>
      <c r="IE292" s="1282"/>
      <c r="IF292" s="1282"/>
      <c r="IG292" s="1283"/>
      <c r="IH292" s="1282"/>
      <c r="II292" s="1282"/>
      <c r="IJ292" s="1282"/>
      <c r="IK292" s="1282"/>
      <c r="IL292" s="1282"/>
      <c r="IM292" s="1282"/>
      <c r="IN292" s="1282"/>
      <c r="IO292" s="1283"/>
      <c r="IP292" s="1282"/>
      <c r="IQ292" s="1282"/>
      <c r="IR292" s="1282"/>
      <c r="IS292" s="1282"/>
      <c r="IT292" s="1282"/>
      <c r="IU292" s="1282"/>
      <c r="IV292" s="1282"/>
      <c r="IW292" s="1282"/>
      <c r="IX292" s="1104"/>
      <c r="IY292" s="1049"/>
      <c r="IZ292" s="1049"/>
      <c r="JA292" s="1049"/>
      <c r="JB292" s="1049"/>
      <c r="JC292" s="1049"/>
      <c r="JD292" s="1041"/>
      <c r="JE292" s="1037"/>
      <c r="JF292" s="1037"/>
      <c r="JG292" s="1037"/>
      <c r="JH292" s="1037"/>
      <c r="JI292" s="1035"/>
      <c r="JJ292" s="1035"/>
      <c r="JK292" s="1035"/>
      <c r="JL292" s="1035"/>
      <c r="JM292" s="1035"/>
      <c r="JN292" s="1035"/>
      <c r="JO292" s="1035"/>
      <c r="JP292" s="1035"/>
      <c r="JQ292" s="1035"/>
      <c r="JR292" s="1035"/>
      <c r="JS292" s="1035"/>
      <c r="JT292" s="1035"/>
      <c r="JU292" s="1035"/>
      <c r="JV292" s="1035"/>
      <c r="JW292" s="1035"/>
      <c r="JX292" s="1035"/>
      <c r="JY292" s="1035"/>
      <c r="KP292" s="1117"/>
      <c r="LV292" s="967"/>
    </row>
    <row r="293" spans="1:334">
      <c r="A293" s="967" t="s">
        <v>126</v>
      </c>
      <c r="AX293" s="1059"/>
      <c r="BE293" s="1060"/>
      <c r="BN293" s="1059"/>
      <c r="BU293" s="1060"/>
      <c r="BV293" s="1059"/>
      <c r="CC293" s="1060"/>
      <c r="CD293" s="1059"/>
      <c r="CJ293" s="1061"/>
      <c r="CK293" s="1060"/>
      <c r="CL293" s="1059"/>
      <c r="CS293" s="1060"/>
      <c r="CT293" s="1059"/>
      <c r="CW293" s="1062"/>
      <c r="CX293" s="1062"/>
      <c r="DE293" s="1064"/>
      <c r="DF293" s="1064"/>
      <c r="DM293" s="1064"/>
      <c r="DN293" s="1064"/>
      <c r="DU293" s="1064"/>
      <c r="DV293" s="1064"/>
      <c r="EC293" s="1064"/>
      <c r="ED293" s="1064"/>
      <c r="EH293" s="1181"/>
      <c r="EI293" s="1181"/>
      <c r="EJ293" s="1181"/>
      <c r="EK293" s="1181"/>
      <c r="EL293" s="1181"/>
      <c r="EM293" s="1181"/>
      <c r="EN293" s="1181"/>
      <c r="EO293" s="1182"/>
      <c r="EP293" s="1181"/>
      <c r="EQ293" s="1181"/>
      <c r="ER293" s="1181"/>
      <c r="ES293" s="1181"/>
      <c r="ET293" s="1181"/>
      <c r="EU293" s="1181"/>
      <c r="EV293" s="1181"/>
      <c r="EW293" s="1182"/>
      <c r="EX293" s="1148">
        <f>EX222-EX294</f>
        <v>543</v>
      </c>
      <c r="EY293" s="1148">
        <f t="shared" ref="EY293:FE293" si="1523">EY222-EY294</f>
        <v>454</v>
      </c>
      <c r="EZ293" s="1148">
        <f t="shared" si="1523"/>
        <v>997</v>
      </c>
      <c r="FA293" s="1148">
        <f t="shared" si="1523"/>
        <v>646</v>
      </c>
      <c r="FB293" s="1148">
        <f t="shared" si="1523"/>
        <v>1643</v>
      </c>
      <c r="FC293" s="1148">
        <f t="shared" si="1523"/>
        <v>427</v>
      </c>
      <c r="FD293" s="1148">
        <f t="shared" si="1523"/>
        <v>1073</v>
      </c>
      <c r="FE293" s="1149">
        <f t="shared" si="1523"/>
        <v>2070</v>
      </c>
      <c r="FF293" s="1148">
        <f t="shared" ref="FF293:FT293" si="1524">FF222-FF294</f>
        <v>593</v>
      </c>
      <c r="FG293" s="1148">
        <f t="shared" si="1524"/>
        <v>508</v>
      </c>
      <c r="FH293" s="1148">
        <f t="shared" si="1524"/>
        <v>1101</v>
      </c>
      <c r="FI293" s="1148">
        <f t="shared" si="1524"/>
        <v>736</v>
      </c>
      <c r="FJ293" s="1148">
        <f t="shared" si="1524"/>
        <v>1837</v>
      </c>
      <c r="FK293" s="1148">
        <f t="shared" si="1524"/>
        <v>545</v>
      </c>
      <c r="FL293" s="1148">
        <f t="shared" si="1524"/>
        <v>1281</v>
      </c>
      <c r="FM293" s="1149">
        <f>FM169-FM294</f>
        <v>2382</v>
      </c>
      <c r="FN293" s="1148">
        <f t="shared" si="1524"/>
        <v>763</v>
      </c>
      <c r="FO293" s="1148">
        <f t="shared" si="1524"/>
        <v>680</v>
      </c>
      <c r="FP293" s="1148">
        <f t="shared" si="1524"/>
        <v>1443</v>
      </c>
      <c r="FQ293" s="1148">
        <f t="shared" si="1524"/>
        <v>881</v>
      </c>
      <c r="FR293" s="1148">
        <f t="shared" si="1524"/>
        <v>2324</v>
      </c>
      <c r="FS293" s="1148">
        <f t="shared" si="1524"/>
        <v>617</v>
      </c>
      <c r="FT293" s="1148">
        <f t="shared" si="1524"/>
        <v>1498</v>
      </c>
      <c r="FU293" s="1148">
        <f>FU169-FU294</f>
        <v>2941</v>
      </c>
      <c r="FV293" s="1151">
        <f t="shared" ref="FV293:GB293" si="1525">FV222-FV294</f>
        <v>845</v>
      </c>
      <c r="FW293" s="1148">
        <f t="shared" si="1525"/>
        <v>784</v>
      </c>
      <c r="FX293" s="1148">
        <f t="shared" si="1525"/>
        <v>1629</v>
      </c>
      <c r="FY293" s="1148">
        <f t="shared" si="1525"/>
        <v>908</v>
      </c>
      <c r="FZ293" s="1148">
        <f t="shared" si="1525"/>
        <v>2537</v>
      </c>
      <c r="GA293" s="1148">
        <f t="shared" si="1525"/>
        <v>667</v>
      </c>
      <c r="GB293" s="1148">
        <f t="shared" si="1525"/>
        <v>1575</v>
      </c>
      <c r="GC293" s="1149">
        <f>GC169-GC294</f>
        <v>3204</v>
      </c>
      <c r="GD293" s="1151">
        <f>GD222-GD294</f>
        <v>871</v>
      </c>
      <c r="GE293" s="1148">
        <f t="shared" ref="GE293:GF293" si="1526">GE222-GE294</f>
        <v>735</v>
      </c>
      <c r="GF293" s="1148">
        <f t="shared" si="1526"/>
        <v>1606</v>
      </c>
      <c r="GG293" s="1148">
        <f t="shared" ref="GG293:GJ293" si="1527">GG222-GG294</f>
        <v>842</v>
      </c>
      <c r="GH293" s="1148">
        <f t="shared" si="1527"/>
        <v>2448</v>
      </c>
      <c r="GI293" s="1148">
        <f t="shared" si="1527"/>
        <v>632</v>
      </c>
      <c r="GJ293" s="1148">
        <f t="shared" si="1527"/>
        <v>1474</v>
      </c>
      <c r="GK293" s="1149">
        <f>GK169-GK294</f>
        <v>3080</v>
      </c>
      <c r="GL293" s="1148">
        <f>GL222-GL294</f>
        <v>748.999999999998</v>
      </c>
      <c r="GM293" s="1148">
        <f t="shared" ref="GM293:GR293" si="1528">GM222-GM294</f>
        <v>680.42</v>
      </c>
      <c r="GN293" s="1148">
        <f t="shared" si="1528"/>
        <v>1429.42</v>
      </c>
      <c r="GO293" s="1148">
        <f t="shared" si="1528"/>
        <v>833</v>
      </c>
      <c r="GP293" s="1148">
        <f t="shared" si="1528"/>
        <v>2262.42</v>
      </c>
      <c r="GQ293" s="1148">
        <f t="shared" si="1528"/>
        <v>681</v>
      </c>
      <c r="GR293" s="1148">
        <f t="shared" si="1528"/>
        <v>1514</v>
      </c>
      <c r="GS293" s="1149">
        <f>GS169-GS294</f>
        <v>2943.42</v>
      </c>
      <c r="GT293" s="1148">
        <f>GT222-GT294</f>
        <v>714</v>
      </c>
      <c r="GU293" s="1148">
        <f t="shared" ref="GU293:GX293" si="1529">GU222-GU294</f>
        <v>423</v>
      </c>
      <c r="GV293" s="1148">
        <f t="shared" si="1529"/>
        <v>1137</v>
      </c>
      <c r="GW293" s="1148">
        <f t="shared" si="1529"/>
        <v>939.185</v>
      </c>
      <c r="GX293" s="1148">
        <f t="shared" si="1529"/>
        <v>2076.185</v>
      </c>
      <c r="GY293" s="1148"/>
      <c r="GZ293" s="1148"/>
      <c r="HA293" s="1149"/>
      <c r="HB293" s="1148">
        <f t="shared" ref="HB293:HG293" si="1530">HB169-HB294</f>
        <v>876</v>
      </c>
      <c r="HC293" s="1148">
        <f t="shared" si="1530"/>
        <v>934</v>
      </c>
      <c r="HD293" s="1148">
        <f t="shared" si="1530"/>
        <v>1810</v>
      </c>
      <c r="HE293" s="1148">
        <f t="shared" si="1530"/>
        <v>1125</v>
      </c>
      <c r="HF293" s="1148">
        <f t="shared" si="1530"/>
        <v>2935</v>
      </c>
      <c r="HG293" s="1148">
        <f t="shared" si="1530"/>
        <v>882</v>
      </c>
      <c r="HH293" s="1148"/>
      <c r="HI293" s="1149">
        <f>HG293+HF293</f>
        <v>3817</v>
      </c>
      <c r="HJ293" s="1148">
        <f>HJ169-HJ294</f>
        <v>932.999999999999</v>
      </c>
      <c r="HK293" s="1148">
        <f>HK169-HK294</f>
        <v>1029</v>
      </c>
      <c r="HL293" s="1148"/>
      <c r="HM293" s="1148"/>
      <c r="HN293" s="1148"/>
      <c r="HO293" s="1148"/>
      <c r="HP293" s="1148"/>
      <c r="HQ293" s="1149"/>
      <c r="HR293" s="1148"/>
      <c r="HS293" s="1148"/>
      <c r="HT293" s="1148"/>
      <c r="HU293" s="1148"/>
      <c r="HV293" s="1148"/>
      <c r="HW293" s="1148"/>
      <c r="HX293" s="1148"/>
      <c r="HY293" s="1148"/>
      <c r="HZ293" s="1148"/>
      <c r="IA293" s="1148"/>
      <c r="IB293" s="1148"/>
      <c r="IC293" s="1148"/>
      <c r="ID293" s="1148"/>
      <c r="IE293" s="1148"/>
      <c r="IF293" s="1148"/>
      <c r="IG293" s="1149"/>
      <c r="IH293" s="1148"/>
      <c r="II293" s="1148"/>
      <c r="IJ293" s="1148"/>
      <c r="IK293" s="1148"/>
      <c r="IL293" s="1148"/>
      <c r="IM293" s="1148"/>
      <c r="IN293" s="1148"/>
      <c r="IO293" s="1149"/>
      <c r="IP293" s="1148"/>
      <c r="IQ293" s="1148"/>
      <c r="IR293" s="1148"/>
      <c r="IS293" s="1148"/>
      <c r="IT293" s="1148"/>
      <c r="IU293" s="1148"/>
      <c r="IV293" s="1148"/>
      <c r="IW293" s="1148"/>
      <c r="IX293" s="1104"/>
      <c r="IY293" s="1049"/>
      <c r="IZ293" s="1049"/>
      <c r="JA293" s="1049"/>
      <c r="JB293" s="1049"/>
      <c r="JC293" s="1049"/>
      <c r="JD293" s="1041"/>
      <c r="JE293" s="1037"/>
      <c r="JF293" s="1037"/>
      <c r="JG293" s="1037"/>
      <c r="JH293" s="1037"/>
      <c r="JI293" s="1035"/>
      <c r="JJ293" s="1035"/>
      <c r="JK293" s="1035"/>
      <c r="JL293" s="1035"/>
      <c r="JM293" s="1035"/>
      <c r="JN293" s="1035"/>
      <c r="JO293" s="1035"/>
      <c r="JP293" s="1035"/>
      <c r="JQ293" s="1035"/>
      <c r="JR293" s="1035"/>
      <c r="JS293" s="1035"/>
      <c r="JT293" s="1035"/>
      <c r="JU293" s="1035"/>
      <c r="JV293" s="1035"/>
      <c r="JW293" s="1035"/>
      <c r="JX293" s="1035"/>
      <c r="JY293" s="1035"/>
      <c r="KP293" s="1117"/>
      <c r="LV293" s="967"/>
    </row>
    <row r="294" spans="1:334">
      <c r="A294" s="1103" t="s">
        <v>127</v>
      </c>
      <c r="AX294" s="1059"/>
      <c r="BE294" s="1060"/>
      <c r="BN294" s="1059"/>
      <c r="BU294" s="1060"/>
      <c r="BV294" s="1059"/>
      <c r="CC294" s="1060"/>
      <c r="CD294" s="1059"/>
      <c r="CJ294" s="1061"/>
      <c r="CK294" s="1060"/>
      <c r="CL294" s="1059"/>
      <c r="CS294" s="1060"/>
      <c r="CT294" s="1059"/>
      <c r="CW294" s="1062"/>
      <c r="CX294" s="1062"/>
      <c r="DE294" s="1064"/>
      <c r="DF294" s="1064"/>
      <c r="DM294" s="1064"/>
      <c r="DN294" s="1064"/>
      <c r="DU294" s="1064"/>
      <c r="DV294" s="1064"/>
      <c r="EC294" s="1064"/>
      <c r="ED294" s="1064"/>
      <c r="EH294" s="1181"/>
      <c r="EI294" s="1181"/>
      <c r="EJ294" s="1181"/>
      <c r="EK294" s="1181"/>
      <c r="EL294" s="1181"/>
      <c r="EM294" s="1181"/>
      <c r="EN294" s="1181"/>
      <c r="EO294" s="1182"/>
      <c r="EP294" s="1181"/>
      <c r="EQ294" s="1181"/>
      <c r="ER294" s="1181"/>
      <c r="ES294" s="1181"/>
      <c r="ET294" s="1181"/>
      <c r="EU294" s="1181"/>
      <c r="EV294" s="1181"/>
      <c r="EW294" s="1182"/>
      <c r="EX294" s="1071">
        <v>468</v>
      </c>
      <c r="EY294" s="1071">
        <v>383</v>
      </c>
      <c r="EZ294" s="1071">
        <f>EX294+EY294</f>
        <v>851</v>
      </c>
      <c r="FA294" s="1071">
        <v>523</v>
      </c>
      <c r="FB294" s="1071">
        <f>EX294+EY294+FA294</f>
        <v>1374</v>
      </c>
      <c r="FC294" s="1071">
        <v>349</v>
      </c>
      <c r="FD294" s="1071">
        <f>FA294+FC294</f>
        <v>872</v>
      </c>
      <c r="FE294" s="1072">
        <f>EX294+EY294+FA294+FC294</f>
        <v>1723</v>
      </c>
      <c r="FF294" s="1071">
        <v>550</v>
      </c>
      <c r="FG294" s="1071">
        <f>FH294-FF294</f>
        <v>453</v>
      </c>
      <c r="FH294" s="1071">
        <v>1003</v>
      </c>
      <c r="FI294" s="1071">
        <f>FJ294-FH294</f>
        <v>668</v>
      </c>
      <c r="FJ294" s="1071">
        <v>1671</v>
      </c>
      <c r="FK294" s="1071">
        <f>FM294-FJ294</f>
        <v>486</v>
      </c>
      <c r="FL294" s="1071">
        <f>FI294+FK294</f>
        <v>1154</v>
      </c>
      <c r="FM294" s="1072">
        <v>2157</v>
      </c>
      <c r="FN294" s="1071">
        <v>651</v>
      </c>
      <c r="FO294" s="1071">
        <f>FP294-FN294</f>
        <v>534</v>
      </c>
      <c r="FP294" s="1071">
        <v>1185</v>
      </c>
      <c r="FQ294" s="1071">
        <f>FR294-FP294</f>
        <v>676</v>
      </c>
      <c r="FR294" s="1071">
        <v>1861</v>
      </c>
      <c r="FS294" s="1071">
        <f>FU294-FR294</f>
        <v>489</v>
      </c>
      <c r="FT294" s="1071">
        <f>FQ294+FS294</f>
        <v>1165</v>
      </c>
      <c r="FU294" s="1071">
        <v>2350</v>
      </c>
      <c r="FV294" s="1177">
        <v>678</v>
      </c>
      <c r="FW294" s="1071">
        <f>FX294-FV294</f>
        <v>637</v>
      </c>
      <c r="FX294" s="1071">
        <v>1315</v>
      </c>
      <c r="FY294" s="1071">
        <f>FZ294-FX294</f>
        <v>748</v>
      </c>
      <c r="FZ294" s="1071">
        <v>2063</v>
      </c>
      <c r="GA294" s="1071">
        <f>GC294-FZ294</f>
        <v>616</v>
      </c>
      <c r="GB294" s="1071">
        <f>FY294+GA294</f>
        <v>1364</v>
      </c>
      <c r="GC294" s="1072">
        <v>2679</v>
      </c>
      <c r="GD294" s="1177">
        <v>732</v>
      </c>
      <c r="GE294" s="1071">
        <f>GF294-GD294</f>
        <v>685</v>
      </c>
      <c r="GF294" s="1071">
        <v>1417</v>
      </c>
      <c r="GG294" s="1071">
        <v>803</v>
      </c>
      <c r="GH294" s="1071">
        <f>GG294+GF294</f>
        <v>2220</v>
      </c>
      <c r="GI294" s="1071">
        <f>GK294-GH294</f>
        <v>584</v>
      </c>
      <c r="GJ294" s="1071">
        <f>GG294+GI294</f>
        <v>1387</v>
      </c>
      <c r="GK294" s="1072">
        <v>2804</v>
      </c>
      <c r="GL294" s="1071">
        <v>802</v>
      </c>
      <c r="GM294" s="1071">
        <v>741</v>
      </c>
      <c r="GN294" s="1071">
        <f>GM294+GL294</f>
        <v>1543</v>
      </c>
      <c r="GO294" s="1071">
        <v>865</v>
      </c>
      <c r="GP294" s="1071">
        <f>GO294+GN294</f>
        <v>2408</v>
      </c>
      <c r="GQ294" s="1071">
        <f>GS294-GP294</f>
        <v>720</v>
      </c>
      <c r="GR294" s="1071">
        <f>GO294+GQ294</f>
        <v>1585</v>
      </c>
      <c r="GS294" s="1072">
        <v>3128</v>
      </c>
      <c r="GT294" s="1071">
        <v>712</v>
      </c>
      <c r="GU294" s="1071">
        <v>421</v>
      </c>
      <c r="GV294" s="1071">
        <f>GU294+GT294</f>
        <v>1133</v>
      </c>
      <c r="GW294" s="1071">
        <v>814</v>
      </c>
      <c r="GX294" s="1071">
        <f>GW294+GV294</f>
        <v>1947</v>
      </c>
      <c r="GY294" s="1071"/>
      <c r="GZ294" s="1071"/>
      <c r="HA294" s="1072"/>
      <c r="HB294" s="1071">
        <v>894</v>
      </c>
      <c r="HC294" s="1071">
        <v>976</v>
      </c>
      <c r="HD294" s="1071">
        <f>HC294+HB294</f>
        <v>1870</v>
      </c>
      <c r="HE294" s="1071">
        <v>1123</v>
      </c>
      <c r="HF294" s="1071">
        <f>HE294+HD294</f>
        <v>2993</v>
      </c>
      <c r="HG294" s="1071">
        <v>950</v>
      </c>
      <c r="HH294" s="1071"/>
      <c r="HI294" s="1072">
        <f>HG294+HF294</f>
        <v>3943</v>
      </c>
      <c r="HJ294" s="1071">
        <v>1002</v>
      </c>
      <c r="HK294" s="1071">
        <v>1050</v>
      </c>
      <c r="HL294" s="1071"/>
      <c r="HM294" s="1071"/>
      <c r="HN294" s="1071"/>
      <c r="HO294" s="1071"/>
      <c r="HP294" s="1071"/>
      <c r="HQ294" s="1072"/>
      <c r="HR294" s="1071"/>
      <c r="HS294" s="1071"/>
      <c r="HT294" s="1071"/>
      <c r="HU294" s="1071"/>
      <c r="HV294" s="1071"/>
      <c r="HW294" s="1071"/>
      <c r="HX294" s="1071"/>
      <c r="HY294" s="1071"/>
      <c r="HZ294" s="1071"/>
      <c r="IA294" s="1071"/>
      <c r="IB294" s="1071"/>
      <c r="IC294" s="1071"/>
      <c r="ID294" s="1071"/>
      <c r="IE294" s="1071"/>
      <c r="IF294" s="1071"/>
      <c r="IG294" s="1072"/>
      <c r="IH294" s="1071"/>
      <c r="II294" s="1071"/>
      <c r="IJ294" s="1071"/>
      <c r="IK294" s="1071"/>
      <c r="IL294" s="1071"/>
      <c r="IM294" s="1071"/>
      <c r="IN294" s="1071"/>
      <c r="IO294" s="1072"/>
      <c r="IP294" s="1071"/>
      <c r="IQ294" s="1071"/>
      <c r="IR294" s="1071"/>
      <c r="IS294" s="1071"/>
      <c r="IT294" s="1071"/>
      <c r="IU294" s="1071"/>
      <c r="IV294" s="1071"/>
      <c r="IW294" s="1071"/>
      <c r="IX294" s="1104"/>
      <c r="IY294" s="1049"/>
      <c r="IZ294" s="1049"/>
      <c r="JA294" s="1049"/>
      <c r="JB294" s="1049"/>
      <c r="JC294" s="1049"/>
      <c r="JD294" s="1041"/>
      <c r="JE294" s="1037"/>
      <c r="JF294" s="1037"/>
      <c r="JG294" s="1037"/>
      <c r="JH294" s="1037"/>
      <c r="JI294" s="1035"/>
      <c r="JJ294" s="1035"/>
      <c r="JK294" s="1035"/>
      <c r="JL294" s="1035"/>
      <c r="JM294" s="1035"/>
      <c r="JN294" s="1035"/>
      <c r="JO294" s="1035"/>
      <c r="JP294" s="1035"/>
      <c r="JQ294" s="1035"/>
      <c r="JR294" s="1035"/>
      <c r="JS294" s="1035"/>
      <c r="JT294" s="1035"/>
      <c r="JU294" s="1035"/>
      <c r="JV294" s="1035"/>
      <c r="JW294" s="1035"/>
      <c r="JX294" s="1035"/>
      <c r="JY294" s="1035"/>
      <c r="KP294" s="1117"/>
      <c r="LV294" s="967"/>
    </row>
    <row r="295" spans="1:334">
      <c r="A295" s="967" t="s">
        <v>61</v>
      </c>
      <c r="AX295" s="1059"/>
      <c r="BE295" s="1060"/>
      <c r="BN295" s="1059"/>
      <c r="BU295" s="1060"/>
      <c r="BV295" s="1059"/>
      <c r="CC295" s="1060"/>
      <c r="CD295" s="1059"/>
      <c r="CJ295" s="1061"/>
      <c r="CK295" s="1060"/>
      <c r="CL295" s="1059"/>
      <c r="CS295" s="1060"/>
      <c r="CT295" s="1059"/>
      <c r="CW295" s="1062"/>
      <c r="CX295" s="1062"/>
      <c r="DE295" s="1064"/>
      <c r="DF295" s="1064"/>
      <c r="DM295" s="1064"/>
      <c r="DN295" s="1064"/>
      <c r="DU295" s="1064"/>
      <c r="DV295" s="1064"/>
      <c r="EC295" s="1064"/>
      <c r="ED295" s="1064"/>
      <c r="EH295" s="1181"/>
      <c r="EI295" s="1181"/>
      <c r="EJ295" s="1181"/>
      <c r="EK295" s="1181"/>
      <c r="EL295" s="1181"/>
      <c r="EM295" s="1181"/>
      <c r="EN295" s="1181"/>
      <c r="EO295" s="1182"/>
      <c r="EP295" s="1181"/>
      <c r="EQ295" s="1181"/>
      <c r="ER295" s="1181"/>
      <c r="ES295" s="1181"/>
      <c r="ET295" s="1181"/>
      <c r="EU295" s="1181"/>
      <c r="EV295" s="1181"/>
      <c r="EW295" s="1182"/>
      <c r="EX295" s="1094"/>
      <c r="EY295" s="1094"/>
      <c r="EZ295" s="1094"/>
      <c r="FA295" s="1094"/>
      <c r="FB295" s="1094"/>
      <c r="FC295" s="1094"/>
      <c r="FD295" s="1094"/>
      <c r="FE295" s="1093"/>
      <c r="FF295" s="1094">
        <f t="shared" ref="FF295:FN295" si="1531">FF294/EX294-1</f>
        <v>0.175213675213675</v>
      </c>
      <c r="FG295" s="1094">
        <f t="shared" si="1531"/>
        <v>0.182767624020888</v>
      </c>
      <c r="FH295" s="1094">
        <f t="shared" si="1531"/>
        <v>0.1786133960047</v>
      </c>
      <c r="FI295" s="1094">
        <f t="shared" si="1531"/>
        <v>0.277246653919694</v>
      </c>
      <c r="FJ295" s="1094">
        <f t="shared" si="1531"/>
        <v>0.216157205240175</v>
      </c>
      <c r="FK295" s="1094">
        <f t="shared" si="1531"/>
        <v>0.392550143266476</v>
      </c>
      <c r="FL295" s="1094">
        <f t="shared" si="1531"/>
        <v>0.323394495412844</v>
      </c>
      <c r="FM295" s="1093">
        <f t="shared" si="1531"/>
        <v>0.251886244921648</v>
      </c>
      <c r="FN295" s="1094">
        <f t="shared" si="1531"/>
        <v>0.183636363636364</v>
      </c>
      <c r="FO295" s="1094">
        <f t="shared" ref="FO295:FX295" si="1532">FO294/FG294-1</f>
        <v>0.178807947019868</v>
      </c>
      <c r="FP295" s="1094">
        <f t="shared" si="1532"/>
        <v>0.181455633100698</v>
      </c>
      <c r="FQ295" s="1094">
        <f t="shared" si="1532"/>
        <v>0.0119760479041917</v>
      </c>
      <c r="FR295" s="1094">
        <f t="shared" si="1532"/>
        <v>0.113704368641532</v>
      </c>
      <c r="FS295" s="1094">
        <f t="shared" si="1532"/>
        <v>0.00617283950617287</v>
      </c>
      <c r="FT295" s="1094">
        <f t="shared" si="1532"/>
        <v>0.00953206239168103</v>
      </c>
      <c r="FU295" s="1094">
        <f t="shared" si="1532"/>
        <v>0.0894761242466389</v>
      </c>
      <c r="FV295" s="1275">
        <f t="shared" si="1532"/>
        <v>0.0414746543778801</v>
      </c>
      <c r="FW295" s="1094">
        <f t="shared" si="1532"/>
        <v>0.192883895131086</v>
      </c>
      <c r="FX295" s="1094">
        <f t="shared" si="1532"/>
        <v>0.109704641350211</v>
      </c>
      <c r="FY295" s="1094">
        <f t="shared" ref="FY295" si="1533">FY294/FQ294-1</f>
        <v>0.106508875739645</v>
      </c>
      <c r="FZ295" s="1094">
        <f t="shared" ref="FZ295" si="1534">FZ294/FR294-1</f>
        <v>0.108543793659323</v>
      </c>
      <c r="GA295" s="1094">
        <f t="shared" ref="GA295" si="1535">GA294/FS294-1</f>
        <v>0.259713701431493</v>
      </c>
      <c r="GB295" s="1094">
        <f t="shared" ref="GB295" si="1536">GB294/FT294-1</f>
        <v>0.170815450643777</v>
      </c>
      <c r="GC295" s="1093">
        <f t="shared" ref="GC295" si="1537">GC294/FU294-1</f>
        <v>0.14</v>
      </c>
      <c r="GD295" s="1275">
        <f>GD294/686-1</f>
        <v>0.0670553935860059</v>
      </c>
      <c r="GE295" s="1094">
        <f>GE294/FW294-1</f>
        <v>0.0753532182103611</v>
      </c>
      <c r="GF295" s="1094">
        <f>GF294/FX294-1</f>
        <v>0.0775665399239545</v>
      </c>
      <c r="GG295" s="1094">
        <f>GG294/FY294-1</f>
        <v>0.0735294117647058</v>
      </c>
      <c r="GH295" s="1094">
        <f>GH294/FZ294-1</f>
        <v>0.0761027629665536</v>
      </c>
      <c r="GI295" s="1094">
        <f t="shared" ref="GI295" si="1538">GI294/GA294-1</f>
        <v>-0.051948051948052</v>
      </c>
      <c r="GJ295" s="1094">
        <f t="shared" ref="GJ295" si="1539">GJ294/GB294-1</f>
        <v>0.0168621700879765</v>
      </c>
      <c r="GK295" s="1093">
        <f t="shared" ref="GK295:GP295" si="1540">GK294/GC294-1</f>
        <v>0.0466592011944755</v>
      </c>
      <c r="GL295" s="1094">
        <f t="shared" si="1540"/>
        <v>0.0956284153005464</v>
      </c>
      <c r="GM295" s="1094">
        <f t="shared" si="1540"/>
        <v>0.0817518248175182</v>
      </c>
      <c r="GN295" s="1094">
        <f t="shared" si="1540"/>
        <v>0.0889202540578686</v>
      </c>
      <c r="GO295" s="1094">
        <f t="shared" si="1540"/>
        <v>0.0772104607721047</v>
      </c>
      <c r="GP295" s="1094">
        <f t="shared" si="1540"/>
        <v>0.0846846846846847</v>
      </c>
      <c r="GQ295" s="1094">
        <f t="shared" ref="GQ295" si="1541">GQ294/GI294-1</f>
        <v>0.232876712328767</v>
      </c>
      <c r="GR295" s="1094">
        <f t="shared" ref="GR295" si="1542">GR294/GJ294-1</f>
        <v>0.142754145638068</v>
      </c>
      <c r="GS295" s="1093">
        <f t="shared" ref="GS295:GX295" si="1543">GS294/GK294-1</f>
        <v>0.115549215406562</v>
      </c>
      <c r="GT295" s="1094">
        <f t="shared" si="1543"/>
        <v>-0.112219451371571</v>
      </c>
      <c r="GU295" s="1094">
        <f t="shared" si="1543"/>
        <v>-0.431848852901484</v>
      </c>
      <c r="GV295" s="1094">
        <f t="shared" si="1543"/>
        <v>-0.265716137394686</v>
      </c>
      <c r="GW295" s="1094">
        <f t="shared" si="1543"/>
        <v>-0.0589595375722544</v>
      </c>
      <c r="GX295" s="1094">
        <f t="shared" si="1543"/>
        <v>-0.191445182724252</v>
      </c>
      <c r="GY295" s="1094"/>
      <c r="GZ295" s="1094"/>
      <c r="HA295" s="1093"/>
      <c r="HB295" s="1094"/>
      <c r="HC295" s="1094"/>
      <c r="HD295" s="1094"/>
      <c r="HE295" s="1094"/>
      <c r="HF295" s="1094"/>
      <c r="HG295" s="1094"/>
      <c r="HH295" s="1094"/>
      <c r="HI295" s="1093"/>
      <c r="HJ295" s="1094">
        <f>HJ294/HB294-1</f>
        <v>0.120805369127517</v>
      </c>
      <c r="HK295" s="1094">
        <f>HK294/HC294-1</f>
        <v>0.0758196721311475</v>
      </c>
      <c r="HL295" s="1094"/>
      <c r="HM295" s="1094"/>
      <c r="HN295" s="1094"/>
      <c r="HO295" s="1094"/>
      <c r="HP295" s="1094"/>
      <c r="HQ295" s="1093"/>
      <c r="HR295" s="1094"/>
      <c r="HS295" s="1094"/>
      <c r="HT295" s="1094"/>
      <c r="HU295" s="1094"/>
      <c r="HV295" s="1094"/>
      <c r="HW295" s="1094"/>
      <c r="HX295" s="1094"/>
      <c r="HY295" s="1094"/>
      <c r="HZ295" s="1094"/>
      <c r="IA295" s="1094"/>
      <c r="IB295" s="1094"/>
      <c r="IC295" s="1094"/>
      <c r="ID295" s="1094"/>
      <c r="IE295" s="1094"/>
      <c r="IF295" s="1094"/>
      <c r="IG295" s="1093"/>
      <c r="IH295" s="1094"/>
      <c r="II295" s="1094"/>
      <c r="IJ295" s="1094"/>
      <c r="IK295" s="1094"/>
      <c r="IL295" s="1094"/>
      <c r="IM295" s="1094"/>
      <c r="IN295" s="1094"/>
      <c r="IO295" s="1093"/>
      <c r="IP295" s="1094"/>
      <c r="IQ295" s="1094"/>
      <c r="IR295" s="1094"/>
      <c r="IS295" s="1094"/>
      <c r="IT295" s="1094"/>
      <c r="IU295" s="1094"/>
      <c r="IV295" s="1094"/>
      <c r="IW295" s="1094"/>
      <c r="IX295" s="1104"/>
      <c r="IY295" s="1049"/>
      <c r="IZ295" s="1049"/>
      <c r="JA295" s="1049"/>
      <c r="JB295" s="1049"/>
      <c r="JC295" s="1049"/>
      <c r="JD295" s="1041"/>
      <c r="JE295" s="1037"/>
      <c r="JF295" s="1037"/>
      <c r="JG295" s="1037"/>
      <c r="JH295" s="1037"/>
      <c r="JI295" s="1035"/>
      <c r="JJ295" s="1035"/>
      <c r="JK295" s="1035"/>
      <c r="JL295" s="1035"/>
      <c r="JM295" s="1035"/>
      <c r="JN295" s="1035"/>
      <c r="JO295" s="1035"/>
      <c r="JP295" s="1035"/>
      <c r="JQ295" s="1035"/>
      <c r="JR295" s="1035"/>
      <c r="JS295" s="1035"/>
      <c r="JT295" s="1035"/>
      <c r="JU295" s="1035"/>
      <c r="JV295" s="1035"/>
      <c r="JW295" s="1035"/>
      <c r="JX295" s="1035"/>
      <c r="JY295" s="1035"/>
      <c r="KP295" s="1117"/>
      <c r="LV295" s="967"/>
    </row>
    <row r="296" spans="1:334">
      <c r="A296" s="967" t="s">
        <v>128</v>
      </c>
      <c r="AX296" s="1059"/>
      <c r="BE296" s="1060"/>
      <c r="BN296" s="1059"/>
      <c r="BU296" s="1060"/>
      <c r="BV296" s="1059"/>
      <c r="CC296" s="1060"/>
      <c r="CD296" s="1059"/>
      <c r="CJ296" s="1061"/>
      <c r="CK296" s="1060"/>
      <c r="CL296" s="1059"/>
      <c r="CS296" s="1060"/>
      <c r="CT296" s="1059"/>
      <c r="CW296" s="1062"/>
      <c r="CX296" s="1062"/>
      <c r="DE296" s="1064"/>
      <c r="DF296" s="1064"/>
      <c r="DM296" s="1064"/>
      <c r="DN296" s="1064"/>
      <c r="DU296" s="1064"/>
      <c r="DV296" s="1064"/>
      <c r="EC296" s="1064"/>
      <c r="ED296" s="1064"/>
      <c r="EH296" s="1181"/>
      <c r="EI296" s="1181"/>
      <c r="EJ296" s="1181"/>
      <c r="EK296" s="1181"/>
      <c r="EL296" s="1181"/>
      <c r="EM296" s="1181"/>
      <c r="EN296" s="1181"/>
      <c r="EO296" s="1182"/>
      <c r="EP296" s="1181"/>
      <c r="EQ296" s="1181"/>
      <c r="ER296" s="1181"/>
      <c r="ES296" s="1181"/>
      <c r="ET296" s="1181"/>
      <c r="EU296" s="1181"/>
      <c r="EV296" s="1181"/>
      <c r="EW296" s="1182"/>
      <c r="EX296" s="1094">
        <f>EX294/EX222</f>
        <v>0.462908011869436</v>
      </c>
      <c r="EY296" s="1094">
        <f t="shared" ref="EY296:FK296" si="1544">EY294/EY222</f>
        <v>0.457586618876941</v>
      </c>
      <c r="EZ296" s="1094">
        <f t="shared" si="1544"/>
        <v>0.460497835497836</v>
      </c>
      <c r="FA296" s="1094">
        <f t="shared" si="1544"/>
        <v>0.447390932420873</v>
      </c>
      <c r="FB296" s="1094">
        <f t="shared" si="1544"/>
        <v>0.455419290686112</v>
      </c>
      <c r="FC296" s="1094">
        <f t="shared" si="1544"/>
        <v>0.449742268041237</v>
      </c>
      <c r="FD296" s="1094">
        <f t="shared" si="1544"/>
        <v>0.448329048843188</v>
      </c>
      <c r="FE296" s="1093">
        <f t="shared" si="1544"/>
        <v>0.454257843395729</v>
      </c>
      <c r="FF296" s="1094">
        <f t="shared" si="1544"/>
        <v>0.481189851268591</v>
      </c>
      <c r="FG296" s="1094">
        <f t="shared" si="1544"/>
        <v>0.471383975026015</v>
      </c>
      <c r="FH296" s="1094">
        <f t="shared" si="1544"/>
        <v>0.47671102661597</v>
      </c>
      <c r="FI296" s="1094">
        <f t="shared" si="1544"/>
        <v>0.475783475783476</v>
      </c>
      <c r="FJ296" s="1094">
        <f t="shared" si="1544"/>
        <v>0.476339794754846</v>
      </c>
      <c r="FK296" s="1094">
        <f t="shared" si="1544"/>
        <v>0.471387002909796</v>
      </c>
      <c r="FL296" s="1094">
        <f>FL294/FL169</f>
        <v>0.473921971252567</v>
      </c>
      <c r="FM296" s="1093">
        <f>FM294/FM169</f>
        <v>0.475214805023133</v>
      </c>
      <c r="FN296" s="1094">
        <f t="shared" ref="FN296:FS296" si="1545">FN294/FN222</f>
        <v>0.46039603960396</v>
      </c>
      <c r="FO296" s="1094">
        <f t="shared" si="1545"/>
        <v>0.439868204283361</v>
      </c>
      <c r="FP296" s="1094">
        <f t="shared" si="1545"/>
        <v>0.450913242009132</v>
      </c>
      <c r="FQ296" s="1094">
        <f t="shared" si="1545"/>
        <v>0.434168272318561</v>
      </c>
      <c r="FR296" s="1094">
        <f t="shared" si="1545"/>
        <v>0.44468339307049</v>
      </c>
      <c r="FS296" s="1094">
        <f t="shared" si="1545"/>
        <v>0.442133815551537</v>
      </c>
      <c r="FT296" s="1094">
        <f>FT294/FT169</f>
        <v>0.437476530229065</v>
      </c>
      <c r="FU296" s="1094">
        <f>FU294/FU169</f>
        <v>0.444150444150444</v>
      </c>
      <c r="FV296" s="1275">
        <f>FV294/FV222</f>
        <v>0.445173998686802</v>
      </c>
      <c r="FW296" s="1094">
        <f>FW294/FW222</f>
        <v>0.448275862068966</v>
      </c>
      <c r="FX296" s="1094">
        <f>FX294/FX222</f>
        <v>0.446671195652174</v>
      </c>
      <c r="FY296" s="1094">
        <f t="shared" ref="FY296:GA296" si="1546">FY294/FY222</f>
        <v>0.451690821256039</v>
      </c>
      <c r="FZ296" s="1094">
        <f t="shared" si="1546"/>
        <v>0.448478260869565</v>
      </c>
      <c r="GA296" s="1094">
        <f t="shared" si="1546"/>
        <v>0.48012470771629</v>
      </c>
      <c r="GB296" s="1094">
        <f>GB294/GB169</f>
        <v>0.464103436543042</v>
      </c>
      <c r="GC296" s="1093">
        <f>GC294/GC169</f>
        <v>0.455379908210097</v>
      </c>
      <c r="GD296" s="1275">
        <f>GD294/GD222</f>
        <v>0.456643792888334</v>
      </c>
      <c r="GE296" s="1094">
        <f>GE294/GE222</f>
        <v>0.482394366197183</v>
      </c>
      <c r="GF296" s="1094">
        <f>GF294/GF222</f>
        <v>0.468739662586834</v>
      </c>
      <c r="GG296" s="1094">
        <f>GG294/GG222</f>
        <v>0.488145896656535</v>
      </c>
      <c r="GH296" s="1094">
        <f t="shared" ref="GH296:GI296" si="1547">GH294/GH222</f>
        <v>0.475578406169666</v>
      </c>
      <c r="GI296" s="1094">
        <f t="shared" si="1547"/>
        <v>0.480263157894737</v>
      </c>
      <c r="GJ296" s="1094">
        <f>GJ294/GJ169</f>
        <v>0.484795526039846</v>
      </c>
      <c r="GK296" s="1093">
        <f>GK294/GK169</f>
        <v>0.476546566961251</v>
      </c>
      <c r="GL296" s="1094">
        <f>GL294/GL222</f>
        <v>0.517085751128305</v>
      </c>
      <c r="GM296" s="1094">
        <f>GM294/GM222</f>
        <v>0.521309676239254</v>
      </c>
      <c r="GN296" s="1094">
        <f>GN294/GN222</f>
        <v>0.519105644558979</v>
      </c>
      <c r="GO296" s="1094">
        <f>GO294/GO222</f>
        <v>0.50942285041225</v>
      </c>
      <c r="GP296" s="1094">
        <f t="shared" ref="GP296:GQ296" si="1548">GP294/GP222</f>
        <v>0.515585322090947</v>
      </c>
      <c r="GQ296" s="1094">
        <f t="shared" si="1548"/>
        <v>0.513918629550321</v>
      </c>
      <c r="GR296" s="1094">
        <f>GR294/GR169</f>
        <v>0.511455308163924</v>
      </c>
      <c r="GS296" s="1093">
        <f>GS294/GS169</f>
        <v>0.515200727342203</v>
      </c>
      <c r="GT296" s="1094">
        <f>GT294/GT222</f>
        <v>0.49929873772791</v>
      </c>
      <c r="GU296" s="1094">
        <f>GU294/GU222</f>
        <v>0.498815165876777</v>
      </c>
      <c r="GV296" s="1094">
        <f>GV294/GV222</f>
        <v>0.499118942731278</v>
      </c>
      <c r="GW296" s="1094">
        <f>GW294/GW222</f>
        <v>0.464297835083006</v>
      </c>
      <c r="GX296" s="1094">
        <f t="shared" ref="GX296" si="1549">GX294/GX222</f>
        <v>0.483944934175286</v>
      </c>
      <c r="GY296" s="1094"/>
      <c r="GZ296" s="1094"/>
      <c r="HA296" s="1093"/>
      <c r="HB296" s="1094">
        <f t="shared" ref="HB296:HG296" si="1550">HB294/HB169</f>
        <v>0.505084745762712</v>
      </c>
      <c r="HC296" s="1094">
        <f t="shared" si="1550"/>
        <v>0.510994764397906</v>
      </c>
      <c r="HD296" s="1094">
        <f t="shared" si="1550"/>
        <v>0.508152173913043</v>
      </c>
      <c r="HE296" s="1094">
        <f t="shared" si="1550"/>
        <v>0.499555160142349</v>
      </c>
      <c r="HF296" s="1094">
        <f t="shared" si="1550"/>
        <v>0.504892037786775</v>
      </c>
      <c r="HG296" s="1094">
        <f t="shared" si="1550"/>
        <v>0.518558951965065</v>
      </c>
      <c r="HH296" s="1094"/>
      <c r="HI296" s="1093">
        <f>HI294/HI169</f>
        <v>0.508118556701031</v>
      </c>
      <c r="HJ296" s="1094">
        <f>HJ294/HJ169</f>
        <v>0.517829457364341</v>
      </c>
      <c r="HK296" s="1094">
        <f>HK294/HK169</f>
        <v>0.505050505050505</v>
      </c>
      <c r="HL296" s="1094"/>
      <c r="HM296" s="1094"/>
      <c r="HN296" s="1094"/>
      <c r="HO296" s="1094"/>
      <c r="HP296" s="1094"/>
      <c r="HQ296" s="1093"/>
      <c r="HR296" s="1094"/>
      <c r="HS296" s="1094"/>
      <c r="HT296" s="1094"/>
      <c r="HU296" s="1094"/>
      <c r="HV296" s="1094"/>
      <c r="HW296" s="1094"/>
      <c r="HX296" s="1094"/>
      <c r="HY296" s="1094"/>
      <c r="HZ296" s="1094"/>
      <c r="IA296" s="1094"/>
      <c r="IB296" s="1094"/>
      <c r="IC296" s="1094"/>
      <c r="ID296" s="1094"/>
      <c r="IE296" s="1094"/>
      <c r="IF296" s="1094"/>
      <c r="IG296" s="1093"/>
      <c r="IH296" s="1094"/>
      <c r="II296" s="1094"/>
      <c r="IJ296" s="1094"/>
      <c r="IK296" s="1094"/>
      <c r="IL296" s="1094"/>
      <c r="IM296" s="1094"/>
      <c r="IN296" s="1094"/>
      <c r="IO296" s="1093"/>
      <c r="IP296" s="1094"/>
      <c r="IQ296" s="1094"/>
      <c r="IR296" s="1094"/>
      <c r="IS296" s="1094"/>
      <c r="IT296" s="1094"/>
      <c r="IU296" s="1094"/>
      <c r="IV296" s="1094"/>
      <c r="IW296" s="1094"/>
      <c r="IX296" s="1104"/>
      <c r="IY296" s="1049"/>
      <c r="IZ296" s="1049"/>
      <c r="JA296" s="1049"/>
      <c r="JB296" s="1049"/>
      <c r="JC296" s="1049"/>
      <c r="JD296" s="1041"/>
      <c r="JE296" s="1037"/>
      <c r="JF296" s="1037"/>
      <c r="JG296" s="1037"/>
      <c r="JH296" s="1037"/>
      <c r="JI296" s="1035"/>
      <c r="JJ296" s="1035"/>
      <c r="JK296" s="1035"/>
      <c r="JL296" s="1035"/>
      <c r="JM296" s="1035"/>
      <c r="JN296" s="1035"/>
      <c r="JO296" s="1035"/>
      <c r="JP296" s="1035"/>
      <c r="JQ296" s="1035"/>
      <c r="JR296" s="1035"/>
      <c r="JS296" s="1035"/>
      <c r="JT296" s="1035"/>
      <c r="JU296" s="1035"/>
      <c r="JV296" s="1035"/>
      <c r="JW296" s="1035"/>
      <c r="JX296" s="1035"/>
      <c r="JY296" s="1035"/>
      <c r="KP296" s="1117"/>
      <c r="LV296" s="967"/>
    </row>
    <row r="297" spans="1:334">
      <c r="A297" s="967" t="s">
        <v>129</v>
      </c>
      <c r="AX297" s="1059"/>
      <c r="BE297" s="1060"/>
      <c r="BN297" s="1059"/>
      <c r="BU297" s="1060"/>
      <c r="BV297" s="1059"/>
      <c r="CC297" s="1060"/>
      <c r="CD297" s="1059"/>
      <c r="CJ297" s="1061"/>
      <c r="CK297" s="1060"/>
      <c r="CL297" s="1059"/>
      <c r="CS297" s="1060"/>
      <c r="CT297" s="1059"/>
      <c r="CW297" s="1062"/>
      <c r="CX297" s="1062"/>
      <c r="DE297" s="1064"/>
      <c r="DF297" s="1064"/>
      <c r="DM297" s="1064"/>
      <c r="DN297" s="1064"/>
      <c r="DU297" s="1064"/>
      <c r="DV297" s="1064"/>
      <c r="EC297" s="1064"/>
      <c r="ED297" s="1064"/>
      <c r="EH297" s="1181"/>
      <c r="EI297" s="1181"/>
      <c r="EJ297" s="1181"/>
      <c r="EK297" s="1181"/>
      <c r="EL297" s="1181"/>
      <c r="EM297" s="1181"/>
      <c r="EN297" s="1181"/>
      <c r="EO297" s="1182"/>
      <c r="EP297" s="1181"/>
      <c r="EQ297" s="1181"/>
      <c r="ER297" s="1181"/>
      <c r="ES297" s="1181"/>
      <c r="ET297" s="1181"/>
      <c r="EU297" s="1181"/>
      <c r="EV297" s="1181"/>
      <c r="EW297" s="1182"/>
      <c r="EX297" s="1148">
        <f>EX294-EX300</f>
        <v>241</v>
      </c>
      <c r="EY297" s="1148">
        <f t="shared" ref="EY297:FE297" si="1551">EY294-EY300</f>
        <v>257</v>
      </c>
      <c r="EZ297" s="1148">
        <f t="shared" si="1551"/>
        <v>498</v>
      </c>
      <c r="FA297" s="1148">
        <f t="shared" si="1551"/>
        <v>277</v>
      </c>
      <c r="FB297" s="1148">
        <f t="shared" si="1551"/>
        <v>775</v>
      </c>
      <c r="FC297" s="1148">
        <f t="shared" si="1551"/>
        <v>281</v>
      </c>
      <c r="FD297" s="1148">
        <f t="shared" si="1551"/>
        <v>558</v>
      </c>
      <c r="FE297" s="1149">
        <f t="shared" si="1551"/>
        <v>1056</v>
      </c>
      <c r="FF297" s="1148">
        <f t="shared" ref="FF297:FR297" si="1552">FF294-FF300</f>
        <v>270</v>
      </c>
      <c r="FG297" s="1148">
        <f t="shared" si="1552"/>
        <v>273</v>
      </c>
      <c r="FH297" s="1148">
        <f t="shared" si="1552"/>
        <v>543</v>
      </c>
      <c r="FI297" s="1148">
        <f t="shared" si="1552"/>
        <v>323</v>
      </c>
      <c r="FJ297" s="1148">
        <f t="shared" si="1552"/>
        <v>866</v>
      </c>
      <c r="FK297" s="1148">
        <f t="shared" si="1552"/>
        <v>382</v>
      </c>
      <c r="FL297" s="1148">
        <f t="shared" si="1552"/>
        <v>705</v>
      </c>
      <c r="FM297" s="1149">
        <f t="shared" si="1552"/>
        <v>1248</v>
      </c>
      <c r="FN297" s="1148">
        <f t="shared" si="1552"/>
        <v>338</v>
      </c>
      <c r="FO297" s="1148">
        <f t="shared" si="1552"/>
        <v>324</v>
      </c>
      <c r="FP297" s="1148">
        <f t="shared" si="1552"/>
        <v>662</v>
      </c>
      <c r="FQ297" s="1148">
        <f t="shared" si="1552"/>
        <v>342</v>
      </c>
      <c r="FR297" s="1148">
        <f t="shared" si="1552"/>
        <v>1004</v>
      </c>
      <c r="FS297" s="1148">
        <f t="shared" ref="FS297:FZ297" si="1553">FS294-FS300</f>
        <v>395</v>
      </c>
      <c r="FT297" s="1148">
        <f t="shared" si="1553"/>
        <v>737</v>
      </c>
      <c r="FU297" s="1148">
        <f t="shared" si="1553"/>
        <v>1399</v>
      </c>
      <c r="FV297" s="1151">
        <f t="shared" si="1553"/>
        <v>350</v>
      </c>
      <c r="FW297" s="1148">
        <f t="shared" si="1553"/>
        <v>352</v>
      </c>
      <c r="FX297" s="1148">
        <f t="shared" si="1553"/>
        <v>702</v>
      </c>
      <c r="FY297" s="1148">
        <f t="shared" si="1553"/>
        <v>364</v>
      </c>
      <c r="FZ297" s="1148">
        <f t="shared" si="1553"/>
        <v>1066</v>
      </c>
      <c r="GA297" s="1148">
        <f t="shared" ref="GA297:GC297" si="1554">GA294-GA300</f>
        <v>435</v>
      </c>
      <c r="GB297" s="1148">
        <f t="shared" si="1554"/>
        <v>799</v>
      </c>
      <c r="GC297" s="1149">
        <f t="shared" si="1554"/>
        <v>1501</v>
      </c>
      <c r="GD297" s="1151">
        <f t="shared" ref="GD297:GF297" si="1555">GD294-GD300</f>
        <v>385</v>
      </c>
      <c r="GE297" s="1148">
        <f t="shared" si="1555"/>
        <v>388</v>
      </c>
      <c r="GF297" s="1148">
        <f t="shared" si="1555"/>
        <v>773</v>
      </c>
      <c r="GG297" s="1148">
        <f t="shared" ref="GG297:GN297" si="1556">GG294-GG300</f>
        <v>402</v>
      </c>
      <c r="GH297" s="1148">
        <f t="shared" si="1556"/>
        <v>1175</v>
      </c>
      <c r="GI297" s="1148">
        <f t="shared" si="1556"/>
        <v>453</v>
      </c>
      <c r="GJ297" s="1148">
        <f t="shared" si="1556"/>
        <v>855</v>
      </c>
      <c r="GK297" s="1149">
        <f t="shared" si="1556"/>
        <v>1628</v>
      </c>
      <c r="GL297" s="1148">
        <f t="shared" si="1556"/>
        <v>395</v>
      </c>
      <c r="GM297" s="1148">
        <f t="shared" si="1556"/>
        <v>382</v>
      </c>
      <c r="GN297" s="1148">
        <f t="shared" si="1556"/>
        <v>777</v>
      </c>
      <c r="GO297" s="1148">
        <f t="shared" ref="GO297:GV297" si="1557">GO294-GO300</f>
        <v>423</v>
      </c>
      <c r="GP297" s="1148">
        <f t="shared" si="1557"/>
        <v>1200</v>
      </c>
      <c r="GQ297" s="1148">
        <f t="shared" si="1557"/>
        <v>520</v>
      </c>
      <c r="GR297" s="1148">
        <f t="shared" si="1557"/>
        <v>943</v>
      </c>
      <c r="GS297" s="1149">
        <f t="shared" si="1557"/>
        <v>1720</v>
      </c>
      <c r="GT297" s="1148">
        <f t="shared" si="1557"/>
        <v>405</v>
      </c>
      <c r="GU297" s="1148">
        <f t="shared" si="1557"/>
        <v>398</v>
      </c>
      <c r="GV297" s="1148">
        <f t="shared" si="1557"/>
        <v>803</v>
      </c>
      <c r="GW297" s="1148">
        <f t="shared" ref="GW297:GX297" si="1558">GW294-GW300</f>
        <v>431</v>
      </c>
      <c r="GX297" s="1148">
        <f t="shared" si="1558"/>
        <v>1234</v>
      </c>
      <c r="GY297" s="1148"/>
      <c r="GZ297" s="1148"/>
      <c r="HA297" s="1149"/>
      <c r="HB297" s="1148">
        <f t="shared" ref="HB297:HG297" si="1559">HB294-HB300</f>
        <v>510</v>
      </c>
      <c r="HC297" s="1148">
        <f t="shared" si="1559"/>
        <v>568</v>
      </c>
      <c r="HD297" s="1148">
        <f t="shared" si="1559"/>
        <v>1078</v>
      </c>
      <c r="HE297" s="1148">
        <f t="shared" si="1559"/>
        <v>590</v>
      </c>
      <c r="HF297" s="1148">
        <f t="shared" si="1559"/>
        <v>1668</v>
      </c>
      <c r="HG297" s="1148">
        <f t="shared" si="1559"/>
        <v>617</v>
      </c>
      <c r="HH297" s="1148"/>
      <c r="HI297" s="1149">
        <f>HG297+HF297</f>
        <v>2285</v>
      </c>
      <c r="HJ297" s="1148">
        <f t="shared" ref="HJ297:HK297" si="1560">HJ294-HJ300</f>
        <v>576</v>
      </c>
      <c r="HK297" s="1148">
        <f t="shared" si="1560"/>
        <v>623</v>
      </c>
      <c r="HL297" s="1148"/>
      <c r="HM297" s="1148"/>
      <c r="HN297" s="1148"/>
      <c r="HO297" s="1148"/>
      <c r="HP297" s="1148"/>
      <c r="HQ297" s="1149"/>
      <c r="HR297" s="1148"/>
      <c r="HS297" s="1148"/>
      <c r="HT297" s="1148"/>
      <c r="HU297" s="1148"/>
      <c r="HV297" s="1148"/>
      <c r="HW297" s="1148"/>
      <c r="HX297" s="1148"/>
      <c r="HY297" s="1148"/>
      <c r="HZ297" s="1148"/>
      <c r="IA297" s="1148"/>
      <c r="IB297" s="1148"/>
      <c r="IC297" s="1148"/>
      <c r="ID297" s="1148"/>
      <c r="IE297" s="1148"/>
      <c r="IF297" s="1148"/>
      <c r="IG297" s="1149"/>
      <c r="IH297" s="1148"/>
      <c r="II297" s="1148"/>
      <c r="IJ297" s="1148"/>
      <c r="IK297" s="1148"/>
      <c r="IL297" s="1148"/>
      <c r="IM297" s="1148"/>
      <c r="IN297" s="1148"/>
      <c r="IO297" s="1149"/>
      <c r="IP297" s="1148"/>
      <c r="IQ297" s="1148"/>
      <c r="IR297" s="1148"/>
      <c r="IS297" s="1148"/>
      <c r="IT297" s="1148"/>
      <c r="IU297" s="1148"/>
      <c r="IV297" s="1148"/>
      <c r="IW297" s="1148"/>
      <c r="IX297" s="1104"/>
      <c r="IY297" s="1049"/>
      <c r="IZ297" s="1049"/>
      <c r="JA297" s="1049"/>
      <c r="JB297" s="1049"/>
      <c r="JC297" s="1049"/>
      <c r="JD297" s="1041"/>
      <c r="JE297" s="1037"/>
      <c r="JF297" s="1037"/>
      <c r="JG297" s="1037"/>
      <c r="JH297" s="1037"/>
      <c r="JI297" s="1035"/>
      <c r="JJ297" s="1035"/>
      <c r="JK297" s="1035"/>
      <c r="JL297" s="1035"/>
      <c r="JM297" s="1035"/>
      <c r="JN297" s="1035"/>
      <c r="JO297" s="1035"/>
      <c r="JP297" s="1035"/>
      <c r="JQ297" s="1035"/>
      <c r="JR297" s="1035"/>
      <c r="JS297" s="1035"/>
      <c r="JT297" s="1035"/>
      <c r="JU297" s="1035"/>
      <c r="JV297" s="1035"/>
      <c r="JW297" s="1035"/>
      <c r="JX297" s="1035"/>
      <c r="JY297" s="1035"/>
      <c r="KP297" s="1117"/>
      <c r="LV297" s="967"/>
    </row>
    <row r="298" spans="1:334">
      <c r="A298" s="967" t="s">
        <v>61</v>
      </c>
      <c r="AX298" s="1059"/>
      <c r="BE298" s="1060"/>
      <c r="BN298" s="1059"/>
      <c r="BU298" s="1060"/>
      <c r="BV298" s="1059"/>
      <c r="CC298" s="1060"/>
      <c r="CD298" s="1059"/>
      <c r="CJ298" s="1061"/>
      <c r="CK298" s="1060"/>
      <c r="CL298" s="1059"/>
      <c r="CS298" s="1060"/>
      <c r="CT298" s="1059"/>
      <c r="CW298" s="1062"/>
      <c r="CX298" s="1062"/>
      <c r="DE298" s="1064"/>
      <c r="DF298" s="1064"/>
      <c r="DM298" s="1064"/>
      <c r="DN298" s="1064"/>
      <c r="DU298" s="1064"/>
      <c r="DV298" s="1064"/>
      <c r="EC298" s="1064"/>
      <c r="ED298" s="1064"/>
      <c r="EH298" s="1181"/>
      <c r="EI298" s="1181"/>
      <c r="EJ298" s="1181"/>
      <c r="EK298" s="1181"/>
      <c r="EL298" s="1181"/>
      <c r="EM298" s="1181"/>
      <c r="EN298" s="1181"/>
      <c r="EO298" s="1182"/>
      <c r="EP298" s="1181"/>
      <c r="EQ298" s="1181"/>
      <c r="ER298" s="1181"/>
      <c r="ES298" s="1181"/>
      <c r="ET298" s="1181"/>
      <c r="EU298" s="1181"/>
      <c r="EV298" s="1181"/>
      <c r="EW298" s="1182"/>
      <c r="EX298" s="1094"/>
      <c r="EY298" s="1094"/>
      <c r="EZ298" s="1094"/>
      <c r="FA298" s="1094"/>
      <c r="FB298" s="1094"/>
      <c r="FC298" s="1094"/>
      <c r="FD298" s="1094"/>
      <c r="FE298" s="1093"/>
      <c r="FF298" s="1094">
        <f t="shared" ref="FF298:FR298" si="1561">FF297/EX297-1</f>
        <v>0.120331950207469</v>
      </c>
      <c r="FG298" s="1094">
        <f t="shared" si="1561"/>
        <v>0.0622568093385214</v>
      </c>
      <c r="FH298" s="1094">
        <f t="shared" si="1561"/>
        <v>0.0903614457831325</v>
      </c>
      <c r="FI298" s="1094">
        <f t="shared" si="1561"/>
        <v>0.166064981949458</v>
      </c>
      <c r="FJ298" s="1094">
        <f t="shared" si="1561"/>
        <v>0.11741935483871</v>
      </c>
      <c r="FK298" s="1094">
        <f t="shared" si="1561"/>
        <v>0.359430604982206</v>
      </c>
      <c r="FL298" s="1094">
        <f t="shared" si="1561"/>
        <v>0.263440860215054</v>
      </c>
      <c r="FM298" s="1093">
        <f t="shared" si="1561"/>
        <v>0.181818181818182</v>
      </c>
      <c r="FN298" s="1094">
        <f t="shared" si="1561"/>
        <v>0.251851851851852</v>
      </c>
      <c r="FO298" s="1094">
        <f t="shared" si="1561"/>
        <v>0.186813186813187</v>
      </c>
      <c r="FP298" s="1094">
        <f t="shared" si="1561"/>
        <v>0.219152854511971</v>
      </c>
      <c r="FQ298" s="1094">
        <f t="shared" si="1561"/>
        <v>0.0588235294117647</v>
      </c>
      <c r="FR298" s="1094">
        <f t="shared" si="1561"/>
        <v>0.159353348729792</v>
      </c>
      <c r="FS298" s="1094">
        <f t="shared" ref="FS298:FX298" si="1562">FS297/FK297-1</f>
        <v>0.0340314136125655</v>
      </c>
      <c r="FT298" s="1094">
        <f t="shared" si="1562"/>
        <v>0.0453900709219859</v>
      </c>
      <c r="FU298" s="1094">
        <f t="shared" si="1562"/>
        <v>0.12099358974359</v>
      </c>
      <c r="FV298" s="1275">
        <f t="shared" si="1562"/>
        <v>0.0355029585798816</v>
      </c>
      <c r="FW298" s="1094">
        <f t="shared" si="1562"/>
        <v>0.0864197530864197</v>
      </c>
      <c r="FX298" s="1094">
        <f t="shared" si="1562"/>
        <v>0.0604229607250755</v>
      </c>
      <c r="FY298" s="1094">
        <f t="shared" ref="FY298" si="1563">FY297/FQ297-1</f>
        <v>0.064327485380117</v>
      </c>
      <c r="FZ298" s="1094">
        <f t="shared" ref="FZ298" si="1564">FZ297/FR297-1</f>
        <v>0.0617529880478087</v>
      </c>
      <c r="GA298" s="1094">
        <f t="shared" ref="GA298" si="1565">GA297/FS297-1</f>
        <v>0.10126582278481</v>
      </c>
      <c r="GB298" s="1094">
        <f t="shared" ref="GB298" si="1566">GB297/FT297-1</f>
        <v>0.0841248303934872</v>
      </c>
      <c r="GC298" s="1093">
        <f t="shared" ref="GC298" si="1567">GC297/FU297-1</f>
        <v>0.0729092208720514</v>
      </c>
      <c r="GD298" s="1275">
        <f>GD297/354-1</f>
        <v>0.0875706214689265</v>
      </c>
      <c r="GE298" s="1094">
        <f>GE297/FW297-1</f>
        <v>0.102272727272727</v>
      </c>
      <c r="GF298" s="1094">
        <f>GF297/FX297-1</f>
        <v>0.101139601139601</v>
      </c>
      <c r="GG298" s="1094">
        <f>GG297/FY297-1</f>
        <v>0.104395604395604</v>
      </c>
      <c r="GH298" s="1094">
        <f>GH297/FZ297-1</f>
        <v>0.102251407129456</v>
      </c>
      <c r="GI298" s="1094">
        <f t="shared" ref="GI298" si="1568">GI297/GA297-1</f>
        <v>0.0413793103448277</v>
      </c>
      <c r="GJ298" s="1094">
        <f t="shared" ref="GJ298" si="1569">GJ297/GB297-1</f>
        <v>0.0700876095118899</v>
      </c>
      <c r="GK298" s="1093">
        <f t="shared" ref="GK298:GP298" si="1570">GK297/GC297-1</f>
        <v>0.0846102598267822</v>
      </c>
      <c r="GL298" s="1094">
        <f t="shared" si="1570"/>
        <v>0.025974025974026</v>
      </c>
      <c r="GM298" s="1094">
        <f t="shared" si="1570"/>
        <v>-0.0154639175257731</v>
      </c>
      <c r="GN298" s="1094">
        <f t="shared" si="1570"/>
        <v>0.00517464424320835</v>
      </c>
      <c r="GO298" s="1094">
        <f t="shared" si="1570"/>
        <v>0.0522388059701493</v>
      </c>
      <c r="GP298" s="1094">
        <f t="shared" si="1570"/>
        <v>0.0212765957446808</v>
      </c>
      <c r="GQ298" s="1094">
        <f t="shared" ref="GQ298" si="1571">GQ297/GI297-1</f>
        <v>0.147902869757174</v>
      </c>
      <c r="GR298" s="1094">
        <f t="shared" ref="GR298" si="1572">GR297/GJ297-1</f>
        <v>0.102923976608187</v>
      </c>
      <c r="GS298" s="1093">
        <f t="shared" ref="GS298:GX298" si="1573">GS297/GK297-1</f>
        <v>0.0565110565110565</v>
      </c>
      <c r="GT298" s="1094">
        <f t="shared" si="1573"/>
        <v>0.0253164556962024</v>
      </c>
      <c r="GU298" s="1094">
        <f t="shared" si="1573"/>
        <v>0.0418848167539267</v>
      </c>
      <c r="GV298" s="1094">
        <f t="shared" si="1573"/>
        <v>0.0334620334620335</v>
      </c>
      <c r="GW298" s="1094">
        <f t="shared" si="1573"/>
        <v>0.0189125295508275</v>
      </c>
      <c r="GX298" s="1094">
        <f t="shared" si="1573"/>
        <v>0.0283333333333333</v>
      </c>
      <c r="GY298" s="1094"/>
      <c r="GZ298" s="1094"/>
      <c r="HA298" s="1093"/>
      <c r="HB298" s="1094"/>
      <c r="HC298" s="1094"/>
      <c r="HD298" s="1094"/>
      <c r="HE298" s="1094"/>
      <c r="HF298" s="1094"/>
      <c r="HG298" s="1094"/>
      <c r="HH298" s="1094"/>
      <c r="HI298" s="1093"/>
      <c r="HJ298" s="1094">
        <f>HJ297/HB297-1</f>
        <v>0.129411764705882</v>
      </c>
      <c r="HK298" s="1094">
        <f>HK297/HC297-1</f>
        <v>0.096830985915493</v>
      </c>
      <c r="HL298" s="1094"/>
      <c r="HM298" s="1094"/>
      <c r="HN298" s="1094"/>
      <c r="HO298" s="1094"/>
      <c r="HP298" s="1094"/>
      <c r="HQ298" s="1093"/>
      <c r="HR298" s="1094"/>
      <c r="HS298" s="1094"/>
      <c r="HT298" s="1094"/>
      <c r="HU298" s="1094"/>
      <c r="HV298" s="1094"/>
      <c r="HW298" s="1094"/>
      <c r="HX298" s="1094"/>
      <c r="HY298" s="1094"/>
      <c r="HZ298" s="1094"/>
      <c r="IA298" s="1094"/>
      <c r="IB298" s="1094"/>
      <c r="IC298" s="1094"/>
      <c r="ID298" s="1094"/>
      <c r="IE298" s="1094"/>
      <c r="IF298" s="1094"/>
      <c r="IG298" s="1093"/>
      <c r="IH298" s="1094"/>
      <c r="II298" s="1094"/>
      <c r="IJ298" s="1094"/>
      <c r="IK298" s="1094"/>
      <c r="IL298" s="1094"/>
      <c r="IM298" s="1094"/>
      <c r="IN298" s="1094"/>
      <c r="IO298" s="1093"/>
      <c r="IP298" s="1094"/>
      <c r="IQ298" s="1094"/>
      <c r="IR298" s="1094"/>
      <c r="IS298" s="1094"/>
      <c r="IT298" s="1094"/>
      <c r="IU298" s="1094"/>
      <c r="IV298" s="1094"/>
      <c r="IW298" s="1094"/>
      <c r="IX298" s="1104"/>
      <c r="IY298" s="1049"/>
      <c r="IZ298" s="1049"/>
      <c r="JA298" s="1049"/>
      <c r="JB298" s="1049"/>
      <c r="JC298" s="1049"/>
      <c r="JD298" s="1041"/>
      <c r="JE298" s="1037"/>
      <c r="JF298" s="1037"/>
      <c r="JG298" s="1037"/>
      <c r="JH298" s="1037"/>
      <c r="JI298" s="1035"/>
      <c r="JJ298" s="1035"/>
      <c r="JK298" s="1035"/>
      <c r="JL298" s="1035"/>
      <c r="JM298" s="1035"/>
      <c r="JN298" s="1035"/>
      <c r="JO298" s="1035"/>
      <c r="JP298" s="1035"/>
      <c r="JQ298" s="1035"/>
      <c r="JR298" s="1035"/>
      <c r="JS298" s="1035"/>
      <c r="JT298" s="1035"/>
      <c r="JU298" s="1035"/>
      <c r="JV298" s="1035"/>
      <c r="JW298" s="1035"/>
      <c r="JX298" s="1035"/>
      <c r="JY298" s="1035"/>
      <c r="KP298" s="1117"/>
      <c r="LV298" s="967"/>
    </row>
    <row r="299" spans="1:334">
      <c r="A299" s="967" t="s">
        <v>130</v>
      </c>
      <c r="AX299" s="1059"/>
      <c r="BE299" s="1060"/>
      <c r="BN299" s="1059"/>
      <c r="BU299" s="1060"/>
      <c r="BV299" s="1059"/>
      <c r="CC299" s="1060"/>
      <c r="CD299" s="1059"/>
      <c r="CJ299" s="1061"/>
      <c r="CK299" s="1060"/>
      <c r="CL299" s="1059"/>
      <c r="CS299" s="1060"/>
      <c r="CT299" s="1059"/>
      <c r="CW299" s="1062"/>
      <c r="CX299" s="1062"/>
      <c r="DE299" s="1064"/>
      <c r="DF299" s="1064"/>
      <c r="DM299" s="1064"/>
      <c r="DN299" s="1064"/>
      <c r="DU299" s="1064"/>
      <c r="DV299" s="1064"/>
      <c r="EC299" s="1064"/>
      <c r="ED299" s="1064"/>
      <c r="EH299" s="1181"/>
      <c r="EI299" s="1181"/>
      <c r="EJ299" s="1181"/>
      <c r="EK299" s="1181"/>
      <c r="EL299" s="1181"/>
      <c r="EM299" s="1181"/>
      <c r="EN299" s="1181"/>
      <c r="EO299" s="1182"/>
      <c r="EP299" s="1181"/>
      <c r="EQ299" s="1181"/>
      <c r="ER299" s="1181"/>
      <c r="ES299" s="1181"/>
      <c r="ET299" s="1181"/>
      <c r="EU299" s="1181"/>
      <c r="EV299" s="1181"/>
      <c r="EW299" s="1182"/>
      <c r="EX299" s="1094">
        <f>EX297/EX222</f>
        <v>0.23837784371909</v>
      </c>
      <c r="EY299" s="1094">
        <f t="shared" ref="EY299:FE299" si="1574">EY297/EY222</f>
        <v>0.307048984468339</v>
      </c>
      <c r="EZ299" s="1094">
        <f t="shared" si="1574"/>
        <v>0.269480519480519</v>
      </c>
      <c r="FA299" s="1094">
        <f t="shared" si="1574"/>
        <v>0.236954662104363</v>
      </c>
      <c r="FB299" s="1094">
        <f t="shared" si="1574"/>
        <v>0.256877693072589</v>
      </c>
      <c r="FC299" s="1094">
        <f t="shared" si="1574"/>
        <v>0.362113402061856</v>
      </c>
      <c r="FD299" s="1094">
        <f t="shared" si="1574"/>
        <v>0.286889460154242</v>
      </c>
      <c r="FE299" s="1093">
        <f t="shared" si="1574"/>
        <v>0.278407592934353</v>
      </c>
      <c r="FF299" s="1094">
        <f t="shared" ref="FF299:FR299" si="1575">FF297/FF222</f>
        <v>0.236220472440945</v>
      </c>
      <c r="FG299" s="1094">
        <f t="shared" si="1575"/>
        <v>0.284079084287201</v>
      </c>
      <c r="FH299" s="1094">
        <f t="shared" si="1575"/>
        <v>0.258079847908745</v>
      </c>
      <c r="FI299" s="1094">
        <f t="shared" si="1575"/>
        <v>0.23005698005698</v>
      </c>
      <c r="FJ299" s="1094">
        <f t="shared" si="1575"/>
        <v>0.246864310148233</v>
      </c>
      <c r="FK299" s="1094">
        <f t="shared" si="1575"/>
        <v>0.370514064015519</v>
      </c>
      <c r="FL299" s="1094">
        <f t="shared" si="1575"/>
        <v>0.28952772073922</v>
      </c>
      <c r="FM299" s="1093">
        <f t="shared" si="1575"/>
        <v>0.274950429610046</v>
      </c>
      <c r="FN299" s="1094">
        <f t="shared" si="1575"/>
        <v>0.239038189533239</v>
      </c>
      <c r="FO299" s="1094">
        <f t="shared" si="1575"/>
        <v>0.266886326194399</v>
      </c>
      <c r="FP299" s="1094">
        <f t="shared" si="1575"/>
        <v>0.251902587519026</v>
      </c>
      <c r="FQ299" s="1094">
        <f t="shared" si="1575"/>
        <v>0.219653179190751</v>
      </c>
      <c r="FR299" s="1094">
        <f t="shared" si="1575"/>
        <v>0.239904420549582</v>
      </c>
      <c r="FS299" s="1094">
        <f t="shared" ref="FS299:FZ299" si="1576">FS297/FS222</f>
        <v>0.357142857142857</v>
      </c>
      <c r="FT299" s="1094">
        <f t="shared" si="1576"/>
        <v>0.276755538865941</v>
      </c>
      <c r="FU299" s="1094">
        <f t="shared" si="1576"/>
        <v>0.264411264411264</v>
      </c>
      <c r="FV299" s="1275">
        <f t="shared" si="1576"/>
        <v>0.229809586342745</v>
      </c>
      <c r="FW299" s="1094">
        <f t="shared" si="1576"/>
        <v>0.24771287825475</v>
      </c>
      <c r="FX299" s="1094">
        <f t="shared" si="1576"/>
        <v>0.238451086956522</v>
      </c>
      <c r="FY299" s="1094">
        <f t="shared" si="1576"/>
        <v>0.219806763285024</v>
      </c>
      <c r="FZ299" s="1094">
        <f t="shared" si="1576"/>
        <v>0.231739130434783</v>
      </c>
      <c r="GA299" s="1094">
        <f t="shared" ref="GA299:GC299" si="1577">GA297/GA222</f>
        <v>0.339049103663289</v>
      </c>
      <c r="GB299" s="1094">
        <f t="shared" si="1577"/>
        <v>0.271861177271181</v>
      </c>
      <c r="GC299" s="1093">
        <f t="shared" si="1577"/>
        <v>0.255141934387217</v>
      </c>
      <c r="GD299" s="1275">
        <f t="shared" ref="GD299:GF299" si="1578">GD297/GD222</f>
        <v>0.240174672489083</v>
      </c>
      <c r="GE299" s="1094">
        <f t="shared" si="1578"/>
        <v>0.273239436619718</v>
      </c>
      <c r="GF299" s="1094">
        <f t="shared" si="1578"/>
        <v>0.255706252067483</v>
      </c>
      <c r="GG299" s="1094">
        <f t="shared" ref="GG299:GN299" si="1579">GG297/GG222</f>
        <v>0.244376899696049</v>
      </c>
      <c r="GH299" s="1094">
        <f t="shared" si="1579"/>
        <v>0.251713796058269</v>
      </c>
      <c r="GI299" s="1094">
        <f t="shared" si="1579"/>
        <v>0.372532894736842</v>
      </c>
      <c r="GJ299" s="1094">
        <f t="shared" si="1579"/>
        <v>0.29884655714785</v>
      </c>
      <c r="GK299" s="1093">
        <f t="shared" si="1579"/>
        <v>0.27668252889191</v>
      </c>
      <c r="GL299" s="1094">
        <f t="shared" si="1579"/>
        <v>0.254674403610574</v>
      </c>
      <c r="GM299" s="1094">
        <f t="shared" si="1579"/>
        <v>0.268745339167874</v>
      </c>
      <c r="GN299" s="1094">
        <f t="shared" si="1579"/>
        <v>0.261403166443504</v>
      </c>
      <c r="GO299" s="1094">
        <f t="shared" ref="GO299:GV299" si="1580">GO297/GO222</f>
        <v>0.249116607773852</v>
      </c>
      <c r="GP299" s="1094">
        <f t="shared" si="1580"/>
        <v>0.256936207022067</v>
      </c>
      <c r="GQ299" s="1094">
        <f t="shared" si="1580"/>
        <v>0.371163454675232</v>
      </c>
      <c r="GR299" s="1094">
        <f t="shared" si="1580"/>
        <v>0.304291707002259</v>
      </c>
      <c r="GS299" s="1093">
        <f t="shared" si="1580"/>
        <v>0.28329451759226</v>
      </c>
      <c r="GT299" s="1094">
        <f t="shared" si="1580"/>
        <v>0.284011220196353</v>
      </c>
      <c r="GU299" s="1094">
        <f t="shared" si="1580"/>
        <v>0.471563981042654</v>
      </c>
      <c r="GV299" s="1094">
        <f t="shared" si="1580"/>
        <v>0.35374449339207</v>
      </c>
      <c r="GW299" s="1094">
        <f t="shared" ref="GW299:GX299" si="1581">GW297/GW222</f>
        <v>0.245838288600461</v>
      </c>
      <c r="GX299" s="1094">
        <f t="shared" si="1581"/>
        <v>0.306722161670418</v>
      </c>
      <c r="GY299" s="1094"/>
      <c r="GZ299" s="1094"/>
      <c r="HA299" s="1093"/>
      <c r="HB299" s="1094">
        <f t="shared" ref="HB299:HG299" si="1582">HB297/HB169</f>
        <v>0.288135593220339</v>
      </c>
      <c r="HC299" s="1094">
        <f t="shared" si="1582"/>
        <v>0.297382198952879</v>
      </c>
      <c r="HD299" s="1094">
        <f t="shared" si="1582"/>
        <v>0.292934782608696</v>
      </c>
      <c r="HE299" s="1094">
        <f t="shared" si="1582"/>
        <v>0.262455516014235</v>
      </c>
      <c r="HF299" s="1094">
        <f t="shared" si="1582"/>
        <v>0.281376518218623</v>
      </c>
      <c r="HG299" s="1094">
        <f t="shared" si="1582"/>
        <v>0.3367903930131</v>
      </c>
      <c r="HH299" s="1094"/>
      <c r="HI299" s="1093">
        <f>HI297/HI169</f>
        <v>0.294458762886598</v>
      </c>
      <c r="HJ299" s="1094">
        <f>HJ297/HJ169</f>
        <v>0.297674418604651</v>
      </c>
      <c r="HK299" s="1094">
        <f>HK297/HK169</f>
        <v>0.2996632996633</v>
      </c>
      <c r="HL299" s="1094"/>
      <c r="HM299" s="1094"/>
      <c r="HN299" s="1094"/>
      <c r="HO299" s="1094"/>
      <c r="HP299" s="1094"/>
      <c r="HQ299" s="1093"/>
      <c r="HR299" s="1094"/>
      <c r="HS299" s="1094"/>
      <c r="HT299" s="1094"/>
      <c r="HU299" s="1094"/>
      <c r="HV299" s="1094"/>
      <c r="HW299" s="1094"/>
      <c r="HX299" s="1094"/>
      <c r="HY299" s="1094"/>
      <c r="HZ299" s="1094"/>
      <c r="IA299" s="1094"/>
      <c r="IB299" s="1094"/>
      <c r="IC299" s="1094"/>
      <c r="ID299" s="1094"/>
      <c r="IE299" s="1094"/>
      <c r="IF299" s="1094"/>
      <c r="IG299" s="1093"/>
      <c r="IH299" s="1094"/>
      <c r="II299" s="1094"/>
      <c r="IJ299" s="1094"/>
      <c r="IK299" s="1094"/>
      <c r="IL299" s="1094"/>
      <c r="IM299" s="1094"/>
      <c r="IN299" s="1094"/>
      <c r="IO299" s="1093"/>
      <c r="IP299" s="1094"/>
      <c r="IQ299" s="1094"/>
      <c r="IR299" s="1094"/>
      <c r="IS299" s="1094"/>
      <c r="IT299" s="1094"/>
      <c r="IU299" s="1094"/>
      <c r="IV299" s="1094"/>
      <c r="IW299" s="1094"/>
      <c r="IX299" s="1104"/>
      <c r="IY299" s="1049"/>
      <c r="IZ299" s="1049"/>
      <c r="JA299" s="1049"/>
      <c r="JB299" s="1049"/>
      <c r="JC299" s="1049"/>
      <c r="JD299" s="1041"/>
      <c r="JE299" s="1037"/>
      <c r="JF299" s="1037"/>
      <c r="JG299" s="1037"/>
      <c r="JH299" s="1037"/>
      <c r="JI299" s="1035"/>
      <c r="JJ299" s="1035"/>
      <c r="JK299" s="1035"/>
      <c r="JL299" s="1035"/>
      <c r="JM299" s="1035"/>
      <c r="JN299" s="1035"/>
      <c r="JO299" s="1035"/>
      <c r="JP299" s="1035"/>
      <c r="JQ299" s="1035"/>
      <c r="JR299" s="1035"/>
      <c r="JS299" s="1035"/>
      <c r="JT299" s="1035"/>
      <c r="JU299" s="1035"/>
      <c r="JV299" s="1035"/>
      <c r="JW299" s="1035"/>
      <c r="JX299" s="1035"/>
      <c r="JY299" s="1035"/>
      <c r="KP299" s="1117"/>
      <c r="LV299" s="967"/>
    </row>
    <row r="300" spans="1:334">
      <c r="A300" s="1103" t="s">
        <v>131</v>
      </c>
      <c r="AX300" s="1059"/>
      <c r="BE300" s="1060"/>
      <c r="BN300" s="1059"/>
      <c r="BU300" s="1060"/>
      <c r="BV300" s="1059"/>
      <c r="CC300" s="1060"/>
      <c r="CD300" s="1059"/>
      <c r="CJ300" s="1061"/>
      <c r="CK300" s="1060"/>
      <c r="CL300" s="1059"/>
      <c r="CS300" s="1060"/>
      <c r="CT300" s="1059"/>
      <c r="CW300" s="1062"/>
      <c r="CX300" s="1062"/>
      <c r="DE300" s="1064"/>
      <c r="DF300" s="1064"/>
      <c r="DM300" s="1064"/>
      <c r="DN300" s="1064"/>
      <c r="DU300" s="1064"/>
      <c r="DV300" s="1064"/>
      <c r="EC300" s="1064"/>
      <c r="ED300" s="1064"/>
      <c r="EH300" s="1181"/>
      <c r="EI300" s="1181"/>
      <c r="EJ300" s="1181"/>
      <c r="EK300" s="1181"/>
      <c r="EL300" s="1181"/>
      <c r="EM300" s="1181"/>
      <c r="EN300" s="1181"/>
      <c r="EO300" s="1182"/>
      <c r="EP300" s="1181"/>
      <c r="EQ300" s="1181"/>
      <c r="ER300" s="1181"/>
      <c r="ES300" s="1181"/>
      <c r="ET300" s="1181"/>
      <c r="EU300" s="1181"/>
      <c r="EV300" s="1181"/>
      <c r="EW300" s="1182"/>
      <c r="EX300" s="1071">
        <v>227</v>
      </c>
      <c r="EY300" s="1071">
        <v>126</v>
      </c>
      <c r="EZ300" s="1071">
        <f>EX300+EY300</f>
        <v>353</v>
      </c>
      <c r="FA300" s="1071">
        <v>246</v>
      </c>
      <c r="FB300" s="1071">
        <f>EX300+EY300+FA300</f>
        <v>599</v>
      </c>
      <c r="FC300" s="1071">
        <v>68</v>
      </c>
      <c r="FD300" s="1071">
        <f>FA300+FC300</f>
        <v>314</v>
      </c>
      <c r="FE300" s="1072">
        <f>EX300+EY300+FA300+FC300</f>
        <v>667</v>
      </c>
      <c r="FF300" s="1071">
        <v>280</v>
      </c>
      <c r="FG300" s="1071">
        <f>FH300-FF300</f>
        <v>180</v>
      </c>
      <c r="FH300" s="1071">
        <v>460</v>
      </c>
      <c r="FI300" s="1071">
        <f>FJ300-FH300</f>
        <v>345</v>
      </c>
      <c r="FJ300" s="1071">
        <v>805</v>
      </c>
      <c r="FK300" s="1071">
        <f>FM300-FJ300</f>
        <v>104</v>
      </c>
      <c r="FL300" s="1071">
        <f>FI300+FK300</f>
        <v>449</v>
      </c>
      <c r="FM300" s="1072">
        <v>909</v>
      </c>
      <c r="FN300" s="1071">
        <v>313</v>
      </c>
      <c r="FO300" s="1071">
        <f>FP300-FN300</f>
        <v>210</v>
      </c>
      <c r="FP300" s="1071">
        <v>523</v>
      </c>
      <c r="FQ300" s="1071">
        <f>FR300-FP300</f>
        <v>334</v>
      </c>
      <c r="FR300" s="1071">
        <v>857</v>
      </c>
      <c r="FS300" s="1071">
        <f>FU300-FR300</f>
        <v>94</v>
      </c>
      <c r="FT300" s="1071">
        <f>FQ300+FS300</f>
        <v>428</v>
      </c>
      <c r="FU300" s="1071">
        <v>951</v>
      </c>
      <c r="FV300" s="1177">
        <v>328</v>
      </c>
      <c r="FW300" s="1071">
        <f>FX300-FV300</f>
        <v>285</v>
      </c>
      <c r="FX300" s="1071">
        <v>613</v>
      </c>
      <c r="FY300" s="1071">
        <f>FZ300-FX300</f>
        <v>384</v>
      </c>
      <c r="FZ300" s="1071">
        <v>997</v>
      </c>
      <c r="GA300" s="1071">
        <f>GC300-FZ300</f>
        <v>181</v>
      </c>
      <c r="GB300" s="1071">
        <f>FY300+GA300</f>
        <v>565</v>
      </c>
      <c r="GC300" s="1072">
        <v>1178</v>
      </c>
      <c r="GD300" s="1177">
        <v>347</v>
      </c>
      <c r="GE300" s="1071">
        <f>GF300-GD300</f>
        <v>297</v>
      </c>
      <c r="GF300" s="1071">
        <v>644</v>
      </c>
      <c r="GG300" s="1071">
        <v>401</v>
      </c>
      <c r="GH300" s="1071">
        <f>GG300+GF300</f>
        <v>1045</v>
      </c>
      <c r="GI300" s="1071">
        <f>GK300-GH300</f>
        <v>131</v>
      </c>
      <c r="GJ300" s="1071">
        <f>GG300+GI300</f>
        <v>532</v>
      </c>
      <c r="GK300" s="1072">
        <v>1176</v>
      </c>
      <c r="GL300" s="1071">
        <v>407</v>
      </c>
      <c r="GM300" s="1071">
        <v>359</v>
      </c>
      <c r="GN300" s="1071">
        <f>GM300+GL300</f>
        <v>766</v>
      </c>
      <c r="GO300" s="1071">
        <v>442</v>
      </c>
      <c r="GP300" s="1071">
        <f>GO300+GN300</f>
        <v>1208</v>
      </c>
      <c r="GQ300" s="1071">
        <f>GS300-GP300</f>
        <v>200</v>
      </c>
      <c r="GR300" s="1071">
        <f>GO300+GQ300</f>
        <v>642</v>
      </c>
      <c r="GS300" s="1072">
        <v>1408</v>
      </c>
      <c r="GT300" s="1071">
        <v>307</v>
      </c>
      <c r="GU300" s="1071">
        <v>23</v>
      </c>
      <c r="GV300" s="1071">
        <f>GU300+GT300</f>
        <v>330</v>
      </c>
      <c r="GW300" s="1071">
        <v>383</v>
      </c>
      <c r="GX300" s="1071">
        <f>GW300+GV300</f>
        <v>713</v>
      </c>
      <c r="GY300" s="1071"/>
      <c r="GZ300" s="1071"/>
      <c r="HA300" s="1072"/>
      <c r="HB300" s="1071">
        <v>384</v>
      </c>
      <c r="HC300" s="1071">
        <v>408</v>
      </c>
      <c r="HD300" s="1071">
        <f>HC300+HB300</f>
        <v>792</v>
      </c>
      <c r="HE300" s="1071">
        <v>533</v>
      </c>
      <c r="HF300" s="1071">
        <f>HE300+HD300</f>
        <v>1325</v>
      </c>
      <c r="HG300" s="1071">
        <v>333</v>
      </c>
      <c r="HH300" s="1071"/>
      <c r="HI300" s="1072">
        <f>HG300+HF300</f>
        <v>1658</v>
      </c>
      <c r="HJ300" s="1071">
        <v>426</v>
      </c>
      <c r="HK300" s="1071">
        <v>427</v>
      </c>
      <c r="HL300" s="1071"/>
      <c r="HM300" s="1071"/>
      <c r="HN300" s="1071"/>
      <c r="HO300" s="1071"/>
      <c r="HP300" s="1071"/>
      <c r="HQ300" s="1072"/>
      <c r="HR300" s="1071"/>
      <c r="HS300" s="1071"/>
      <c r="HT300" s="1071"/>
      <c r="HU300" s="1071"/>
      <c r="HV300" s="1071"/>
      <c r="HW300" s="1071"/>
      <c r="HX300" s="1071"/>
      <c r="HY300" s="1071"/>
      <c r="HZ300" s="1071"/>
      <c r="IA300" s="1071"/>
      <c r="IB300" s="1071"/>
      <c r="IC300" s="1071"/>
      <c r="ID300" s="1071"/>
      <c r="IE300" s="1071"/>
      <c r="IF300" s="1071"/>
      <c r="IG300" s="1072"/>
      <c r="IH300" s="1071"/>
      <c r="II300" s="1071"/>
      <c r="IJ300" s="1071"/>
      <c r="IK300" s="1071"/>
      <c r="IL300" s="1071"/>
      <c r="IM300" s="1071"/>
      <c r="IN300" s="1071"/>
      <c r="IO300" s="1072"/>
      <c r="IP300" s="1071"/>
      <c r="IQ300" s="1071"/>
      <c r="IR300" s="1071"/>
      <c r="IS300" s="1071"/>
      <c r="IT300" s="1071"/>
      <c r="IU300" s="1071"/>
      <c r="IV300" s="1071"/>
      <c r="IW300" s="1071"/>
      <c r="IX300" s="1104"/>
      <c r="IY300" s="1049"/>
      <c r="IZ300" s="1049"/>
      <c r="JA300" s="1049"/>
      <c r="JB300" s="1049"/>
      <c r="JC300" s="1049"/>
      <c r="JD300" s="1041"/>
      <c r="JE300" s="1037"/>
      <c r="JF300" s="1037"/>
      <c r="JG300" s="1037"/>
      <c r="JH300" s="1037"/>
      <c r="JI300" s="1035"/>
      <c r="JJ300" s="1035"/>
      <c r="JK300" s="1035"/>
      <c r="JL300" s="1035"/>
      <c r="JM300" s="1035"/>
      <c r="JN300" s="1035"/>
      <c r="JO300" s="1035"/>
      <c r="JP300" s="1035"/>
      <c r="JQ300" s="1035"/>
      <c r="JR300" s="1035"/>
      <c r="JS300" s="1035"/>
      <c r="JT300" s="1035"/>
      <c r="JU300" s="1035"/>
      <c r="JV300" s="1035"/>
      <c r="JW300" s="1035"/>
      <c r="JX300" s="1035"/>
      <c r="JY300" s="1035"/>
      <c r="KP300" s="1117"/>
      <c r="LV300" s="967"/>
    </row>
    <row r="301" spans="1:334">
      <c r="A301" s="967" t="s">
        <v>61</v>
      </c>
      <c r="AX301" s="1059"/>
      <c r="BE301" s="1060"/>
      <c r="BN301" s="1059"/>
      <c r="BU301" s="1060"/>
      <c r="BV301" s="1059"/>
      <c r="CC301" s="1060"/>
      <c r="CD301" s="1059"/>
      <c r="CJ301" s="1061"/>
      <c r="CK301" s="1060"/>
      <c r="CL301" s="1059"/>
      <c r="CS301" s="1060"/>
      <c r="CT301" s="1059"/>
      <c r="CW301" s="1062"/>
      <c r="CX301" s="1062"/>
      <c r="DE301" s="1064"/>
      <c r="DF301" s="1064"/>
      <c r="DM301" s="1064"/>
      <c r="DN301" s="1064"/>
      <c r="DU301" s="1064"/>
      <c r="DV301" s="1064"/>
      <c r="EC301" s="1064"/>
      <c r="ED301" s="1064"/>
      <c r="EH301" s="1181"/>
      <c r="EI301" s="1181"/>
      <c r="EJ301" s="1181"/>
      <c r="EK301" s="1181"/>
      <c r="EL301" s="1181"/>
      <c r="EM301" s="1181"/>
      <c r="EN301" s="1181"/>
      <c r="EO301" s="1182"/>
      <c r="EP301" s="1181"/>
      <c r="EQ301" s="1181"/>
      <c r="ER301" s="1181"/>
      <c r="ES301" s="1181"/>
      <c r="ET301" s="1181"/>
      <c r="EU301" s="1181"/>
      <c r="EV301" s="1181"/>
      <c r="EW301" s="1182"/>
      <c r="EX301" s="1094"/>
      <c r="EY301" s="1094"/>
      <c r="EZ301" s="1094"/>
      <c r="FA301" s="1094"/>
      <c r="FB301" s="1094"/>
      <c r="FC301" s="1094"/>
      <c r="FD301" s="1094"/>
      <c r="FE301" s="1093"/>
      <c r="FF301" s="1094">
        <f t="shared" ref="FF301:FR301" si="1583">FF300/EX300-1</f>
        <v>0.233480176211454</v>
      </c>
      <c r="FG301" s="1094">
        <f t="shared" si="1583"/>
        <v>0.428571428571429</v>
      </c>
      <c r="FH301" s="1094">
        <f t="shared" si="1583"/>
        <v>0.303116147308782</v>
      </c>
      <c r="FI301" s="1094">
        <f t="shared" si="1583"/>
        <v>0.402439024390244</v>
      </c>
      <c r="FJ301" s="1094">
        <f t="shared" si="1583"/>
        <v>0.343906510851419</v>
      </c>
      <c r="FK301" s="1094">
        <f t="shared" si="1583"/>
        <v>0.529411764705882</v>
      </c>
      <c r="FL301" s="1094">
        <f t="shared" si="1583"/>
        <v>0.429936305732484</v>
      </c>
      <c r="FM301" s="1093">
        <f t="shared" si="1583"/>
        <v>0.362818590704648</v>
      </c>
      <c r="FN301" s="1094">
        <f t="shared" si="1583"/>
        <v>0.117857142857143</v>
      </c>
      <c r="FO301" s="1094">
        <f t="shared" si="1583"/>
        <v>0.166666666666667</v>
      </c>
      <c r="FP301" s="1094">
        <f t="shared" si="1583"/>
        <v>0.13695652173913</v>
      </c>
      <c r="FQ301" s="1094">
        <f t="shared" si="1583"/>
        <v>-0.0318840579710145</v>
      </c>
      <c r="FR301" s="1094">
        <f t="shared" si="1583"/>
        <v>0.0645962732919254</v>
      </c>
      <c r="FS301" s="1094">
        <f t="shared" ref="FS301:FX301" si="1584">FS300/FK300-1</f>
        <v>-0.0961538461538461</v>
      </c>
      <c r="FT301" s="1094">
        <f t="shared" si="1584"/>
        <v>-0.0467706013363028</v>
      </c>
      <c r="FU301" s="1094">
        <f t="shared" si="1584"/>
        <v>0.0462046204620461</v>
      </c>
      <c r="FV301" s="1275">
        <f t="shared" si="1584"/>
        <v>0.0479233226837061</v>
      </c>
      <c r="FW301" s="1094">
        <f t="shared" si="1584"/>
        <v>0.357142857142857</v>
      </c>
      <c r="FX301" s="1094">
        <f t="shared" si="1584"/>
        <v>0.17208413001912</v>
      </c>
      <c r="FY301" s="1094">
        <f t="shared" ref="FY301" si="1585">FY300/FQ300-1</f>
        <v>0.149700598802395</v>
      </c>
      <c r="FZ301" s="1094">
        <f t="shared" ref="FZ301" si="1586">FZ300/FR300-1</f>
        <v>0.163360560093349</v>
      </c>
      <c r="GA301" s="1094">
        <f t="shared" ref="GA301" si="1587">GA300/FS300-1</f>
        <v>0.925531914893617</v>
      </c>
      <c r="GB301" s="1094">
        <f t="shared" ref="GB301" si="1588">GB300/FT300-1</f>
        <v>0.320093457943925</v>
      </c>
      <c r="GC301" s="1093">
        <f t="shared" ref="GC301" si="1589">GC300/FU300-1</f>
        <v>0.23869610935857</v>
      </c>
      <c r="GD301" s="1275">
        <f>GD300/332-1</f>
        <v>0.0451807228915662</v>
      </c>
      <c r="GE301" s="1094">
        <f>GE300/FW300-1</f>
        <v>0.0421052631578946</v>
      </c>
      <c r="GF301" s="1094">
        <f>GF300/FX300-1</f>
        <v>0.0505709624796085</v>
      </c>
      <c r="GG301" s="1094">
        <f>GG300/FY300-1</f>
        <v>0.0442708333333333</v>
      </c>
      <c r="GH301" s="1094">
        <f>GH300/FZ300-1</f>
        <v>0.0481444332998997</v>
      </c>
      <c r="GI301" s="1094">
        <f t="shared" ref="GI301" si="1590">GI300/GA300-1</f>
        <v>-0.276243093922652</v>
      </c>
      <c r="GJ301" s="1094">
        <f t="shared" ref="GJ301" si="1591">GJ300/GB300-1</f>
        <v>-0.0584070796460177</v>
      </c>
      <c r="GK301" s="1093">
        <f t="shared" ref="GK301:GP301" si="1592">GK300/GC300-1</f>
        <v>-0.00169779286926997</v>
      </c>
      <c r="GL301" s="1094">
        <f t="shared" si="1592"/>
        <v>0.172910662824207</v>
      </c>
      <c r="GM301" s="1094">
        <f t="shared" si="1592"/>
        <v>0.208754208754209</v>
      </c>
      <c r="GN301" s="1094">
        <f t="shared" si="1592"/>
        <v>0.18944099378882</v>
      </c>
      <c r="GO301" s="1094">
        <f t="shared" si="1592"/>
        <v>0.102244389027431</v>
      </c>
      <c r="GP301" s="1094">
        <f t="shared" si="1592"/>
        <v>0.155980861244019</v>
      </c>
      <c r="GQ301" s="1094">
        <f t="shared" ref="GQ301" si="1593">GQ300/GI300-1</f>
        <v>0.526717557251908</v>
      </c>
      <c r="GR301" s="1094">
        <f t="shared" ref="GR301" si="1594">GR300/GJ300-1</f>
        <v>0.206766917293233</v>
      </c>
      <c r="GS301" s="1093">
        <f t="shared" ref="GS301:GX301" si="1595">GS300/GK300-1</f>
        <v>0.197278911564626</v>
      </c>
      <c r="GT301" s="1094">
        <f t="shared" si="1595"/>
        <v>-0.245700245700246</v>
      </c>
      <c r="GU301" s="1094">
        <f t="shared" si="1595"/>
        <v>-0.935933147632312</v>
      </c>
      <c r="GV301" s="1094">
        <f t="shared" si="1595"/>
        <v>-0.569190600522193</v>
      </c>
      <c r="GW301" s="1094">
        <f t="shared" si="1595"/>
        <v>-0.133484162895928</v>
      </c>
      <c r="GX301" s="1094">
        <f t="shared" si="1595"/>
        <v>-0.40976821192053</v>
      </c>
      <c r="GY301" s="1094"/>
      <c r="GZ301" s="1094"/>
      <c r="HA301" s="1093"/>
      <c r="HB301" s="1094"/>
      <c r="HC301" s="1094"/>
      <c r="HD301" s="1094"/>
      <c r="HE301" s="1094"/>
      <c r="HF301" s="1094"/>
      <c r="HG301" s="1094"/>
      <c r="HH301" s="1094"/>
      <c r="HI301" s="1093"/>
      <c r="HJ301" s="1094">
        <f>HJ300/HB300-1</f>
        <v>0.109375</v>
      </c>
      <c r="HK301" s="1094">
        <f>HK300/HC300-1</f>
        <v>0.0465686274509804</v>
      </c>
      <c r="HL301" s="1094"/>
      <c r="HM301" s="1094"/>
      <c r="HN301" s="1094"/>
      <c r="HO301" s="1094"/>
      <c r="HP301" s="1094"/>
      <c r="HQ301" s="1093"/>
      <c r="HR301" s="1094"/>
      <c r="HS301" s="1094"/>
      <c r="HT301" s="1094"/>
      <c r="HU301" s="1094"/>
      <c r="HV301" s="1094"/>
      <c r="HW301" s="1094"/>
      <c r="HX301" s="1094"/>
      <c r="HY301" s="1094"/>
      <c r="HZ301" s="1094"/>
      <c r="IA301" s="1094"/>
      <c r="IB301" s="1094"/>
      <c r="IC301" s="1094"/>
      <c r="ID301" s="1094"/>
      <c r="IE301" s="1094"/>
      <c r="IF301" s="1094"/>
      <c r="IG301" s="1093"/>
      <c r="IH301" s="1094"/>
      <c r="II301" s="1094"/>
      <c r="IJ301" s="1094"/>
      <c r="IK301" s="1094"/>
      <c r="IL301" s="1094"/>
      <c r="IM301" s="1094"/>
      <c r="IN301" s="1094"/>
      <c r="IO301" s="1093"/>
      <c r="IP301" s="1094"/>
      <c r="IQ301" s="1094"/>
      <c r="IR301" s="1094"/>
      <c r="IS301" s="1094"/>
      <c r="IT301" s="1094"/>
      <c r="IU301" s="1094"/>
      <c r="IV301" s="1094"/>
      <c r="IW301" s="1094"/>
      <c r="IX301" s="1104"/>
      <c r="IY301" s="1049"/>
      <c r="IZ301" s="1049"/>
      <c r="JA301" s="1049"/>
      <c r="JB301" s="1049"/>
      <c r="JC301" s="1049"/>
      <c r="JD301" s="1041"/>
      <c r="JE301" s="1037"/>
      <c r="JF301" s="1037"/>
      <c r="JG301" s="1037"/>
      <c r="JH301" s="1037"/>
      <c r="JI301" s="1035"/>
      <c r="JJ301" s="1035"/>
      <c r="JK301" s="1035"/>
      <c r="JL301" s="1035"/>
      <c r="JM301" s="1035"/>
      <c r="JN301" s="1035"/>
      <c r="JO301" s="1035"/>
      <c r="JP301" s="1035"/>
      <c r="JQ301" s="1035"/>
      <c r="JR301" s="1035"/>
      <c r="JS301" s="1035"/>
      <c r="JT301" s="1035"/>
      <c r="JU301" s="1035"/>
      <c r="JV301" s="1035"/>
      <c r="JW301" s="1035"/>
      <c r="JX301" s="1035"/>
      <c r="JY301" s="1035"/>
      <c r="KP301" s="1117"/>
      <c r="LV301" s="967"/>
    </row>
    <row r="302" spans="1:334">
      <c r="A302" s="967" t="s">
        <v>132</v>
      </c>
      <c r="AX302" s="1059"/>
      <c r="BE302" s="1060"/>
      <c r="BN302" s="1059"/>
      <c r="BU302" s="1060"/>
      <c r="BV302" s="1059"/>
      <c r="CC302" s="1060"/>
      <c r="CD302" s="1059"/>
      <c r="CJ302" s="1061"/>
      <c r="CK302" s="1060"/>
      <c r="CL302" s="1059"/>
      <c r="CS302" s="1060"/>
      <c r="CT302" s="1059"/>
      <c r="CW302" s="1062"/>
      <c r="CX302" s="1062"/>
      <c r="DE302" s="1064"/>
      <c r="DF302" s="1064"/>
      <c r="DM302" s="1064"/>
      <c r="DN302" s="1064"/>
      <c r="DU302" s="1064"/>
      <c r="DV302" s="1064"/>
      <c r="EC302" s="1064"/>
      <c r="ED302" s="1064"/>
      <c r="EH302" s="1181"/>
      <c r="EI302" s="1181"/>
      <c r="EJ302" s="1181"/>
      <c r="EK302" s="1181"/>
      <c r="EL302" s="1181"/>
      <c r="EM302" s="1181"/>
      <c r="EN302" s="1181"/>
      <c r="EO302" s="1182"/>
      <c r="EP302" s="1181"/>
      <c r="EQ302" s="1181"/>
      <c r="ER302" s="1181"/>
      <c r="ES302" s="1181"/>
      <c r="ET302" s="1181"/>
      <c r="EU302" s="1181"/>
      <c r="EV302" s="1181"/>
      <c r="EW302" s="1182"/>
      <c r="EX302" s="1094">
        <f>EX300/EX222</f>
        <v>0.224530168150346</v>
      </c>
      <c r="EY302" s="1094">
        <f t="shared" ref="EY302:FH302" si="1596">EY300/EY222</f>
        <v>0.150537634408602</v>
      </c>
      <c r="EZ302" s="1094">
        <f t="shared" si="1596"/>
        <v>0.191017316017316</v>
      </c>
      <c r="FA302" s="1094">
        <f t="shared" si="1596"/>
        <v>0.21043627031651</v>
      </c>
      <c r="FB302" s="1094">
        <f t="shared" si="1596"/>
        <v>0.198541597613523</v>
      </c>
      <c r="FC302" s="1094">
        <f t="shared" si="1596"/>
        <v>0.0876288659793814</v>
      </c>
      <c r="FD302" s="1094">
        <f t="shared" si="1596"/>
        <v>0.161439588688946</v>
      </c>
      <c r="FE302" s="1093">
        <f t="shared" si="1596"/>
        <v>0.175850250461376</v>
      </c>
      <c r="FF302" s="1094">
        <f t="shared" si="1596"/>
        <v>0.244969378827647</v>
      </c>
      <c r="FG302" s="1094">
        <f t="shared" si="1596"/>
        <v>0.187304890738814</v>
      </c>
      <c r="FH302" s="1094">
        <f t="shared" si="1596"/>
        <v>0.218631178707224</v>
      </c>
      <c r="FI302" s="1094">
        <f t="shared" ref="FI302:FR302" si="1597">FI300/FI222</f>
        <v>0.245726495726496</v>
      </c>
      <c r="FJ302" s="1094">
        <f t="shared" si="1597"/>
        <v>0.229475484606613</v>
      </c>
      <c r="FK302" s="1094">
        <f t="shared" si="1597"/>
        <v>0.100872938894277</v>
      </c>
      <c r="FL302" s="1094">
        <f t="shared" si="1597"/>
        <v>0.184394250513347</v>
      </c>
      <c r="FM302" s="1093">
        <f t="shared" si="1597"/>
        <v>0.200264375413087</v>
      </c>
      <c r="FN302" s="1094">
        <f t="shared" si="1597"/>
        <v>0.221357850070721</v>
      </c>
      <c r="FO302" s="1094">
        <f t="shared" si="1597"/>
        <v>0.172981878088962</v>
      </c>
      <c r="FP302" s="1094">
        <f t="shared" si="1597"/>
        <v>0.199010654490107</v>
      </c>
      <c r="FQ302" s="1094">
        <f t="shared" si="1597"/>
        <v>0.21451509312781</v>
      </c>
      <c r="FR302" s="1094">
        <f t="shared" si="1597"/>
        <v>0.204778972520908</v>
      </c>
      <c r="FS302" s="1094">
        <f t="shared" ref="FS302:FZ302" si="1598">FS300/FS222</f>
        <v>0.0849909584086799</v>
      </c>
      <c r="FT302" s="1094">
        <f t="shared" si="1598"/>
        <v>0.160720991363124</v>
      </c>
      <c r="FU302" s="1094">
        <f t="shared" si="1598"/>
        <v>0.17973917973918</v>
      </c>
      <c r="FV302" s="1275">
        <f t="shared" si="1598"/>
        <v>0.215364412344058</v>
      </c>
      <c r="FW302" s="1094">
        <f t="shared" si="1598"/>
        <v>0.200562983814215</v>
      </c>
      <c r="FX302" s="1094">
        <f t="shared" si="1598"/>
        <v>0.208220108695652</v>
      </c>
      <c r="FY302" s="1094">
        <f t="shared" si="1598"/>
        <v>0.231884057971015</v>
      </c>
      <c r="FZ302" s="1094">
        <f t="shared" si="1598"/>
        <v>0.216739130434783</v>
      </c>
      <c r="GA302" s="1094">
        <f t="shared" ref="GA302:GC302" si="1599">GA300/GA222</f>
        <v>0.141075604053001</v>
      </c>
      <c r="GB302" s="1094">
        <f t="shared" si="1599"/>
        <v>0.192242259271861</v>
      </c>
      <c r="GC302" s="1093">
        <f t="shared" si="1599"/>
        <v>0.200237973822879</v>
      </c>
      <c r="GD302" s="1275">
        <f t="shared" ref="GD302:GF302" si="1600">GD300/GD222</f>
        <v>0.216469120399251</v>
      </c>
      <c r="GE302" s="1094">
        <f t="shared" si="1600"/>
        <v>0.209154929577465</v>
      </c>
      <c r="GF302" s="1094">
        <f t="shared" si="1600"/>
        <v>0.213033410519352</v>
      </c>
      <c r="GG302" s="1094">
        <f t="shared" ref="GG302:GN302" si="1601">GG300/GG222</f>
        <v>0.243768996960486</v>
      </c>
      <c r="GH302" s="1094">
        <f t="shared" si="1601"/>
        <v>0.223864610111397</v>
      </c>
      <c r="GI302" s="1094">
        <f t="shared" si="1601"/>
        <v>0.107730263157895</v>
      </c>
      <c r="GJ302" s="1094">
        <f t="shared" si="1601"/>
        <v>0.185948968891996</v>
      </c>
      <c r="GK302" s="1093">
        <f t="shared" si="1601"/>
        <v>0.199864038069341</v>
      </c>
      <c r="GL302" s="1094">
        <f t="shared" si="1601"/>
        <v>0.262411347517731</v>
      </c>
      <c r="GM302" s="1094">
        <f t="shared" si="1601"/>
        <v>0.252564337071379</v>
      </c>
      <c r="GN302" s="1094">
        <f t="shared" si="1601"/>
        <v>0.257702478115475</v>
      </c>
      <c r="GO302" s="1094">
        <f t="shared" ref="GO302:GV302" si="1602">GO300/GO222</f>
        <v>0.260306242638398</v>
      </c>
      <c r="GP302" s="1094">
        <f t="shared" si="1602"/>
        <v>0.25864911506888</v>
      </c>
      <c r="GQ302" s="1094">
        <f t="shared" si="1602"/>
        <v>0.142755174875089</v>
      </c>
      <c r="GR302" s="1094">
        <f t="shared" si="1602"/>
        <v>0.207163601161665</v>
      </c>
      <c r="GS302" s="1093">
        <f t="shared" si="1602"/>
        <v>0.231906209749943</v>
      </c>
      <c r="GT302" s="1094">
        <f t="shared" si="1602"/>
        <v>0.215287517531557</v>
      </c>
      <c r="GU302" s="1094">
        <f t="shared" si="1602"/>
        <v>0.0272511848341232</v>
      </c>
      <c r="GV302" s="1094">
        <f t="shared" si="1602"/>
        <v>0.145374449339207</v>
      </c>
      <c r="GW302" s="1094">
        <f t="shared" ref="GW302:GX302" si="1603">GW300/GW222</f>
        <v>0.218459546482545</v>
      </c>
      <c r="GX302" s="1094">
        <f t="shared" si="1603"/>
        <v>0.177222772504869</v>
      </c>
      <c r="GY302" s="1094"/>
      <c r="GZ302" s="1094"/>
      <c r="HA302" s="1093"/>
      <c r="HB302" s="1094">
        <f t="shared" ref="HB302:HG302" si="1604">HB300/HB169</f>
        <v>0.216949152542373</v>
      </c>
      <c r="HC302" s="1094">
        <f t="shared" si="1604"/>
        <v>0.213612565445026</v>
      </c>
      <c r="HD302" s="1094">
        <f t="shared" si="1604"/>
        <v>0.215217391304348</v>
      </c>
      <c r="HE302" s="1094">
        <f t="shared" si="1604"/>
        <v>0.237099644128114</v>
      </c>
      <c r="HF302" s="1094">
        <f t="shared" si="1604"/>
        <v>0.223515519568151</v>
      </c>
      <c r="HG302" s="1094">
        <f t="shared" si="1604"/>
        <v>0.181768558951965</v>
      </c>
      <c r="HH302" s="1094"/>
      <c r="HI302" s="1093">
        <f>HI300/HI169</f>
        <v>0.213659793814433</v>
      </c>
      <c r="HJ302" s="1094">
        <f>HJ300/HJ169</f>
        <v>0.22015503875969</v>
      </c>
      <c r="HK302" s="1094">
        <f>HK300/HK169</f>
        <v>0.205387205387205</v>
      </c>
      <c r="HL302" s="1094"/>
      <c r="HM302" s="1094"/>
      <c r="HN302" s="1094"/>
      <c r="HO302" s="1094"/>
      <c r="HP302" s="1094"/>
      <c r="HQ302" s="1093"/>
      <c r="HR302" s="1094"/>
      <c r="HS302" s="1094"/>
      <c r="HT302" s="1094"/>
      <c r="HU302" s="1094"/>
      <c r="HV302" s="1094"/>
      <c r="HW302" s="1094"/>
      <c r="HX302" s="1094"/>
      <c r="HY302" s="1094"/>
      <c r="HZ302" s="1094"/>
      <c r="IA302" s="1094"/>
      <c r="IB302" s="1094"/>
      <c r="IC302" s="1094"/>
      <c r="ID302" s="1094"/>
      <c r="IE302" s="1094"/>
      <c r="IF302" s="1094"/>
      <c r="IG302" s="1093"/>
      <c r="IH302" s="1094"/>
      <c r="II302" s="1094"/>
      <c r="IJ302" s="1094"/>
      <c r="IK302" s="1094"/>
      <c r="IL302" s="1094"/>
      <c r="IM302" s="1094"/>
      <c r="IN302" s="1094"/>
      <c r="IO302" s="1093"/>
      <c r="IP302" s="1094"/>
      <c r="IQ302" s="1094"/>
      <c r="IR302" s="1094"/>
      <c r="IS302" s="1094"/>
      <c r="IT302" s="1094"/>
      <c r="IU302" s="1094"/>
      <c r="IV302" s="1094"/>
      <c r="IW302" s="1094"/>
      <c r="IX302" s="1104"/>
      <c r="IY302" s="1049"/>
      <c r="IZ302" s="1049"/>
      <c r="JA302" s="1049"/>
      <c r="JB302" s="1049"/>
      <c r="JC302" s="1049"/>
      <c r="JD302" s="1041"/>
      <c r="JE302" s="1037"/>
      <c r="JF302" s="1037"/>
      <c r="JG302" s="1037"/>
      <c r="JH302" s="1037"/>
      <c r="JI302" s="1035"/>
      <c r="JJ302" s="1035"/>
      <c r="JK302" s="1035"/>
      <c r="JL302" s="1035"/>
      <c r="JM302" s="1035"/>
      <c r="JN302" s="1035"/>
      <c r="JO302" s="1035"/>
      <c r="JP302" s="1035"/>
      <c r="JQ302" s="1035"/>
      <c r="JR302" s="1035"/>
      <c r="JS302" s="1035"/>
      <c r="JT302" s="1035"/>
      <c r="JU302" s="1035"/>
      <c r="JV302" s="1035"/>
      <c r="JW302" s="1035"/>
      <c r="JX302" s="1035"/>
      <c r="JY302" s="1035"/>
      <c r="KP302" s="1117"/>
      <c r="LV302" s="967"/>
    </row>
    <row r="303" spans="1:334">
      <c r="A303" s="1281" t="s">
        <v>101</v>
      </c>
      <c r="B303" s="1255"/>
      <c r="C303" s="1255"/>
      <c r="D303" s="1255"/>
      <c r="E303" s="1255"/>
      <c r="F303" s="1255"/>
      <c r="G303" s="1255"/>
      <c r="H303" s="1255"/>
      <c r="I303" s="1255"/>
      <c r="J303" s="1255"/>
      <c r="K303" s="1255"/>
      <c r="L303" s="1255"/>
      <c r="M303" s="1255"/>
      <c r="N303" s="1255"/>
      <c r="O303" s="1255"/>
      <c r="P303" s="1255"/>
      <c r="Q303" s="1255"/>
      <c r="R303" s="1255"/>
      <c r="S303" s="1255"/>
      <c r="T303" s="1255"/>
      <c r="U303" s="1255"/>
      <c r="V303" s="1255"/>
      <c r="W303" s="1255"/>
      <c r="X303" s="1255"/>
      <c r="Y303" s="1255"/>
      <c r="Z303" s="1255"/>
      <c r="AA303" s="1255"/>
      <c r="AB303" s="1255"/>
      <c r="AC303" s="1255"/>
      <c r="AD303" s="1255"/>
      <c r="AE303" s="1255"/>
      <c r="AF303" s="1255"/>
      <c r="AG303" s="1255"/>
      <c r="AH303" s="1255"/>
      <c r="AI303" s="1255"/>
      <c r="AJ303" s="1255"/>
      <c r="AK303" s="1255"/>
      <c r="AL303" s="1255"/>
      <c r="AM303" s="1255"/>
      <c r="AN303" s="1255"/>
      <c r="AO303" s="1255"/>
      <c r="AP303" s="1255"/>
      <c r="AQ303" s="1255"/>
      <c r="AR303" s="1255"/>
      <c r="AS303" s="1255"/>
      <c r="AT303" s="1255"/>
      <c r="AU303" s="1255"/>
      <c r="AV303" s="1255"/>
      <c r="AW303" s="1255"/>
      <c r="AX303" s="1256"/>
      <c r="AY303" s="1255"/>
      <c r="AZ303" s="1255"/>
      <c r="BA303" s="1255"/>
      <c r="BB303" s="1255"/>
      <c r="BC303" s="1255"/>
      <c r="BD303" s="1255"/>
      <c r="BE303" s="1257"/>
      <c r="BF303" s="1255"/>
      <c r="BG303" s="1255"/>
      <c r="BH303" s="1255"/>
      <c r="BI303" s="1255"/>
      <c r="BJ303" s="1255"/>
      <c r="BK303" s="1255"/>
      <c r="BL303" s="1255"/>
      <c r="BM303" s="1255"/>
      <c r="BN303" s="1256"/>
      <c r="BO303" s="1255"/>
      <c r="BP303" s="1255"/>
      <c r="BQ303" s="1255"/>
      <c r="BR303" s="1255"/>
      <c r="BS303" s="1255"/>
      <c r="BT303" s="1255"/>
      <c r="BU303" s="1257"/>
      <c r="BV303" s="1256"/>
      <c r="BW303" s="1255"/>
      <c r="BX303" s="1255"/>
      <c r="BY303" s="1255"/>
      <c r="BZ303" s="1255"/>
      <c r="CA303" s="1255"/>
      <c r="CB303" s="1255"/>
      <c r="CC303" s="1257"/>
      <c r="CD303" s="1256"/>
      <c r="CE303" s="1255"/>
      <c r="CF303" s="1255"/>
      <c r="CG303" s="1255"/>
      <c r="CH303" s="1255"/>
      <c r="CI303" s="1255"/>
      <c r="CJ303" s="1258"/>
      <c r="CK303" s="1257"/>
      <c r="CL303" s="1256"/>
      <c r="CM303" s="1255"/>
      <c r="CN303" s="1255"/>
      <c r="CO303" s="1255"/>
      <c r="CP303" s="1255"/>
      <c r="CQ303" s="1255"/>
      <c r="CR303" s="1255"/>
      <c r="CS303" s="1257"/>
      <c r="CT303" s="1256"/>
      <c r="CU303" s="1255"/>
      <c r="CV303" s="1255"/>
      <c r="CW303" s="1259"/>
      <c r="CX303" s="1259"/>
      <c r="CY303" s="1255"/>
      <c r="CZ303" s="1255"/>
      <c r="DA303" s="1255"/>
      <c r="DB303" s="1260"/>
      <c r="DC303" s="1260"/>
      <c r="DD303" s="1260"/>
      <c r="DE303" s="1261"/>
      <c r="DF303" s="1261"/>
      <c r="DG303" s="1260"/>
      <c r="DH303" s="1260"/>
      <c r="DI303" s="1262"/>
      <c r="DJ303" s="1260"/>
      <c r="DK303" s="1260"/>
      <c r="DL303" s="1260"/>
      <c r="DM303" s="1261"/>
      <c r="DN303" s="1261"/>
      <c r="DO303" s="1260"/>
      <c r="DP303" s="1260"/>
      <c r="DQ303" s="1262"/>
      <c r="DR303" s="1260"/>
      <c r="DS303" s="1260"/>
      <c r="DT303" s="1260"/>
      <c r="DU303" s="1261"/>
      <c r="DV303" s="1261"/>
      <c r="DW303" s="1260"/>
      <c r="DX303" s="1260"/>
      <c r="DY303" s="1262"/>
      <c r="DZ303" s="1260"/>
      <c r="EA303" s="1260"/>
      <c r="EB303" s="1260"/>
      <c r="EC303" s="1261"/>
      <c r="ED303" s="1261"/>
      <c r="EE303" s="1260"/>
      <c r="EF303" s="1260"/>
      <c r="EG303" s="1262"/>
      <c r="EH303" s="1282"/>
      <c r="EI303" s="1282"/>
      <c r="EJ303" s="1282"/>
      <c r="EK303" s="1282"/>
      <c r="EL303" s="1282"/>
      <c r="EM303" s="1282"/>
      <c r="EN303" s="1282"/>
      <c r="EO303" s="1283"/>
      <c r="EP303" s="1282"/>
      <c r="EQ303" s="1282"/>
      <c r="ER303" s="1282"/>
      <c r="ES303" s="1282"/>
      <c r="ET303" s="1282"/>
      <c r="EU303" s="1282"/>
      <c r="EV303" s="1282"/>
      <c r="EW303" s="1283"/>
      <c r="EX303" s="1282"/>
      <c r="EY303" s="1282"/>
      <c r="EZ303" s="1282"/>
      <c r="FA303" s="1282"/>
      <c r="FB303" s="1282"/>
      <c r="FC303" s="1282"/>
      <c r="FD303" s="1282"/>
      <c r="FE303" s="1283"/>
      <c r="FF303" s="1282"/>
      <c r="FG303" s="1282"/>
      <c r="FH303" s="1282"/>
      <c r="FI303" s="1282"/>
      <c r="FJ303" s="1282"/>
      <c r="FK303" s="1282"/>
      <c r="FL303" s="1282"/>
      <c r="FM303" s="1283"/>
      <c r="FN303" s="1282"/>
      <c r="FO303" s="1282"/>
      <c r="FP303" s="1282"/>
      <c r="FQ303" s="1282"/>
      <c r="FR303" s="1282"/>
      <c r="FS303" s="1282"/>
      <c r="FT303" s="1282"/>
      <c r="FU303" s="1282"/>
      <c r="FV303" s="1285"/>
      <c r="FW303" s="1282"/>
      <c r="FX303" s="1282"/>
      <c r="FY303" s="1282"/>
      <c r="FZ303" s="1282"/>
      <c r="GA303" s="1282"/>
      <c r="GB303" s="1282"/>
      <c r="GC303" s="1283"/>
      <c r="GD303" s="1285"/>
      <c r="GE303" s="1282"/>
      <c r="GF303" s="1282"/>
      <c r="GG303" s="1282"/>
      <c r="GH303" s="1282"/>
      <c r="GI303" s="1282"/>
      <c r="GJ303" s="1282"/>
      <c r="GK303" s="1283"/>
      <c r="GL303" s="1282"/>
      <c r="GM303" s="1282"/>
      <c r="GN303" s="1282"/>
      <c r="GO303" s="1282"/>
      <c r="GP303" s="1282"/>
      <c r="GQ303" s="1282"/>
      <c r="GR303" s="1282"/>
      <c r="GS303" s="1283"/>
      <c r="GT303" s="1282"/>
      <c r="GU303" s="1282"/>
      <c r="GV303" s="1282"/>
      <c r="GW303" s="1282"/>
      <c r="GX303" s="1282"/>
      <c r="GY303" s="1282"/>
      <c r="GZ303" s="1282"/>
      <c r="HA303" s="1283"/>
      <c r="HB303" s="1282"/>
      <c r="HC303" s="1282"/>
      <c r="HD303" s="1282"/>
      <c r="HE303" s="1282"/>
      <c r="HF303" s="1282"/>
      <c r="HG303" s="1282"/>
      <c r="HH303" s="1282"/>
      <c r="HI303" s="1283"/>
      <c r="HJ303" s="1282"/>
      <c r="HK303" s="1282"/>
      <c r="HL303" s="1282"/>
      <c r="HM303" s="1282"/>
      <c r="HN303" s="1282"/>
      <c r="HO303" s="1282"/>
      <c r="HP303" s="1282"/>
      <c r="HQ303" s="1283"/>
      <c r="HR303" s="1282"/>
      <c r="HS303" s="1282"/>
      <c r="HT303" s="1282"/>
      <c r="HU303" s="1282"/>
      <c r="HV303" s="1282"/>
      <c r="HW303" s="1282"/>
      <c r="HX303" s="1282"/>
      <c r="HY303" s="1282"/>
      <c r="HZ303" s="1282"/>
      <c r="IA303" s="1282"/>
      <c r="IB303" s="1282"/>
      <c r="IC303" s="1282"/>
      <c r="ID303" s="1282"/>
      <c r="IE303" s="1282"/>
      <c r="IF303" s="1282"/>
      <c r="IG303" s="1283"/>
      <c r="IH303" s="1282"/>
      <c r="II303" s="1282"/>
      <c r="IJ303" s="1282"/>
      <c r="IK303" s="1282"/>
      <c r="IL303" s="1282"/>
      <c r="IM303" s="1282"/>
      <c r="IN303" s="1282"/>
      <c r="IO303" s="1283"/>
      <c r="IP303" s="1282"/>
      <c r="IQ303" s="1282"/>
      <c r="IR303" s="1282"/>
      <c r="IS303" s="1282"/>
      <c r="IT303" s="1282"/>
      <c r="IU303" s="1282"/>
      <c r="IV303" s="1282"/>
      <c r="IW303" s="1282"/>
      <c r="IX303" s="1049"/>
      <c r="IY303" s="1049"/>
      <c r="IZ303" s="1049"/>
      <c r="JA303" s="1049"/>
      <c r="JB303" s="1049"/>
      <c r="JC303" s="1049"/>
      <c r="JD303" s="1041"/>
      <c r="JE303" s="1037"/>
      <c r="JF303" s="1037"/>
      <c r="JG303" s="1037"/>
      <c r="JH303" s="1037"/>
      <c r="JI303" s="1035"/>
      <c r="JJ303" s="1035"/>
      <c r="JK303" s="1035"/>
      <c r="JL303" s="1035"/>
      <c r="JM303" s="1035"/>
      <c r="JN303" s="1035"/>
      <c r="JO303" s="1035"/>
      <c r="JP303" s="1035"/>
      <c r="JQ303" s="1035"/>
      <c r="JR303" s="1035"/>
      <c r="JS303" s="1035"/>
      <c r="JT303" s="1035"/>
      <c r="JU303" s="1035"/>
      <c r="JV303" s="1035"/>
      <c r="JW303" s="1035"/>
      <c r="JX303" s="1035"/>
      <c r="JY303" s="1035"/>
      <c r="KP303" s="1117"/>
      <c r="LV303" s="967"/>
    </row>
    <row r="304" spans="1:334">
      <c r="A304" s="967" t="s">
        <v>126</v>
      </c>
      <c r="AX304" s="1059"/>
      <c r="BE304" s="1060"/>
      <c r="BN304" s="1059"/>
      <c r="BU304" s="1060"/>
      <c r="BV304" s="1059"/>
      <c r="CC304" s="1060"/>
      <c r="CD304" s="1059"/>
      <c r="CJ304" s="1061"/>
      <c r="CK304" s="1060"/>
      <c r="CL304" s="1059"/>
      <c r="CS304" s="1060"/>
      <c r="CT304" s="1059"/>
      <c r="CW304" s="1062"/>
      <c r="CX304" s="1062"/>
      <c r="DE304" s="1064"/>
      <c r="DF304" s="1064"/>
      <c r="DM304" s="1064"/>
      <c r="DN304" s="1064"/>
      <c r="DU304" s="1064"/>
      <c r="DV304" s="1064"/>
      <c r="EC304" s="1064"/>
      <c r="ED304" s="1064"/>
      <c r="EH304" s="1181"/>
      <c r="EI304" s="1181"/>
      <c r="EJ304" s="1181"/>
      <c r="EK304" s="1181"/>
      <c r="EL304" s="1181"/>
      <c r="EM304" s="1181"/>
      <c r="EN304" s="1181"/>
      <c r="EO304" s="1182"/>
      <c r="EP304" s="1181"/>
      <c r="EQ304" s="1181"/>
      <c r="ER304" s="1181"/>
      <c r="ES304" s="1181"/>
      <c r="ET304" s="1181"/>
      <c r="EU304" s="1181"/>
      <c r="EV304" s="1181"/>
      <c r="EW304" s="1182"/>
      <c r="EX304" s="1148">
        <f>EX229-EX305</f>
        <v>289</v>
      </c>
      <c r="EY304" s="1148">
        <f t="shared" ref="EY304:FJ304" si="1605">EY229-EY305</f>
        <v>337</v>
      </c>
      <c r="EZ304" s="1148">
        <f t="shared" si="1605"/>
        <v>626</v>
      </c>
      <c r="FA304" s="1148">
        <f t="shared" si="1605"/>
        <v>400</v>
      </c>
      <c r="FB304" s="1148">
        <f t="shared" si="1605"/>
        <v>1026</v>
      </c>
      <c r="FC304" s="1148">
        <f t="shared" si="1605"/>
        <v>405</v>
      </c>
      <c r="FD304" s="1148">
        <f t="shared" si="1605"/>
        <v>805</v>
      </c>
      <c r="FE304" s="1149">
        <f t="shared" si="1605"/>
        <v>1431</v>
      </c>
      <c r="FF304" s="1148">
        <f t="shared" si="1605"/>
        <v>376</v>
      </c>
      <c r="FG304" s="1148">
        <f t="shared" si="1605"/>
        <v>407</v>
      </c>
      <c r="FH304" s="1148">
        <f t="shared" si="1605"/>
        <v>783</v>
      </c>
      <c r="FI304" s="1148">
        <f t="shared" si="1605"/>
        <v>487</v>
      </c>
      <c r="FJ304" s="1148">
        <f t="shared" si="1605"/>
        <v>1270</v>
      </c>
      <c r="FK304" s="1148">
        <f>FK174-FK305</f>
        <v>476</v>
      </c>
      <c r="FL304" s="1148">
        <f>FL174-FL305</f>
        <v>963</v>
      </c>
      <c r="FM304" s="1149">
        <f>FM174-FM305</f>
        <v>1746</v>
      </c>
      <c r="FN304" s="1148">
        <f>FN229-FN305</f>
        <v>454</v>
      </c>
      <c r="FO304" s="1148">
        <f>FO229-FO305</f>
        <v>482</v>
      </c>
      <c r="FP304" s="1148">
        <f>FP229-FP305</f>
        <v>936</v>
      </c>
      <c r="FQ304" s="1148">
        <f>FQ229-FQ305</f>
        <v>581</v>
      </c>
      <c r="FR304" s="1148">
        <f>FR229-FR305</f>
        <v>1517</v>
      </c>
      <c r="FS304" s="1148">
        <f>FS174-FS305</f>
        <v>609</v>
      </c>
      <c r="FT304" s="1148">
        <f>FT174-FT305</f>
        <v>1190</v>
      </c>
      <c r="FU304" s="1148">
        <f>FU174-FU305</f>
        <v>2126</v>
      </c>
      <c r="FV304" s="1151">
        <f>FV229-FV305</f>
        <v>612</v>
      </c>
      <c r="FW304" s="1148">
        <f>FW229-FW305</f>
        <v>594</v>
      </c>
      <c r="FX304" s="1148">
        <f>FX229-FX305</f>
        <v>1206</v>
      </c>
      <c r="FY304" s="1148">
        <f>FY229-FY305</f>
        <v>662</v>
      </c>
      <c r="FZ304" s="1148">
        <f>FZ229-FZ305</f>
        <v>1868</v>
      </c>
      <c r="GA304" s="1148">
        <f>GA174-GA305</f>
        <v>718</v>
      </c>
      <c r="GB304" s="1148">
        <f>GB174-GB305</f>
        <v>1380</v>
      </c>
      <c r="GC304" s="1149">
        <f>GC174-GC305</f>
        <v>2586</v>
      </c>
      <c r="GD304" s="1151">
        <f>GD229-GD305</f>
        <v>647</v>
      </c>
      <c r="GE304" s="1148">
        <f>GE229-GE305</f>
        <v>640</v>
      </c>
      <c r="GF304" s="1148">
        <f>GF229-GF305</f>
        <v>1287</v>
      </c>
      <c r="GG304" s="1148">
        <f>GG229-GG305</f>
        <v>736</v>
      </c>
      <c r="GH304" s="1148">
        <f>GH229-GH305</f>
        <v>2023</v>
      </c>
      <c r="GI304" s="1148">
        <f>GI174-GI305</f>
        <v>734</v>
      </c>
      <c r="GJ304" s="1148">
        <f>GJ174-GJ305</f>
        <v>1470</v>
      </c>
      <c r="GK304" s="1149">
        <f>GK174-GK305</f>
        <v>2757</v>
      </c>
      <c r="GL304" s="1148">
        <f>GL229-GL305</f>
        <v>713.999999999999</v>
      </c>
      <c r="GM304" s="1148">
        <f>GM229-GM305</f>
        <v>737</v>
      </c>
      <c r="GN304" s="1148">
        <f>GN229-GN305</f>
        <v>1451</v>
      </c>
      <c r="GO304" s="1148">
        <f>GO229-GO305</f>
        <v>863.000000000002</v>
      </c>
      <c r="GP304" s="1148">
        <f>GP229-GP305</f>
        <v>2314</v>
      </c>
      <c r="GQ304" s="1148">
        <f>GQ174-GQ305</f>
        <v>876</v>
      </c>
      <c r="GR304" s="1148">
        <f>GR174-GR305</f>
        <v>1739</v>
      </c>
      <c r="GS304" s="1149">
        <f>GS174-GS305</f>
        <v>3190</v>
      </c>
      <c r="GT304" s="1148">
        <f>GT229-GT305</f>
        <v>707</v>
      </c>
      <c r="GU304" s="1148">
        <f>GU229-GU305</f>
        <v>453</v>
      </c>
      <c r="GV304" s="1148">
        <f>GV229-GV305</f>
        <v>1160</v>
      </c>
      <c r="GW304" s="1148">
        <f>GW229-GW305</f>
        <v>791.462000000002</v>
      </c>
      <c r="GX304" s="1148">
        <f>GX229-GX305</f>
        <v>1951.462</v>
      </c>
      <c r="GY304" s="1148"/>
      <c r="GZ304" s="1148"/>
      <c r="HA304" s="1149"/>
      <c r="HB304" s="1148">
        <f t="shared" ref="HB304:HG304" si="1606">HB174-HB305</f>
        <v>638.000000000001</v>
      </c>
      <c r="HC304" s="1148">
        <f t="shared" si="1606"/>
        <v>673</v>
      </c>
      <c r="HD304" s="1148">
        <f t="shared" si="1606"/>
        <v>1311</v>
      </c>
      <c r="HE304" s="1148">
        <f t="shared" si="1606"/>
        <v>754</v>
      </c>
      <c r="HF304" s="1148">
        <f t="shared" si="1606"/>
        <v>2065</v>
      </c>
      <c r="HG304" s="1148">
        <f t="shared" si="1606"/>
        <v>681</v>
      </c>
      <c r="HH304" s="1148"/>
      <c r="HI304" s="1149">
        <f>HG304+HF304</f>
        <v>2746</v>
      </c>
      <c r="HJ304" s="1148">
        <f>HJ174-HJ305</f>
        <v>781</v>
      </c>
      <c r="HK304" s="1148">
        <f>HK174-HK305</f>
        <v>925</v>
      </c>
      <c r="HL304" s="1148"/>
      <c r="HM304" s="1148"/>
      <c r="HN304" s="1148"/>
      <c r="HO304" s="1148"/>
      <c r="HP304" s="1148"/>
      <c r="HQ304" s="1149"/>
      <c r="HR304" s="1148"/>
      <c r="HS304" s="1148"/>
      <c r="HT304" s="1148"/>
      <c r="HU304" s="1148"/>
      <c r="HV304" s="1148"/>
      <c r="HW304" s="1148"/>
      <c r="HX304" s="1148"/>
      <c r="HY304" s="1148"/>
      <c r="HZ304" s="1148"/>
      <c r="IA304" s="1148"/>
      <c r="IB304" s="1148"/>
      <c r="IC304" s="1148"/>
      <c r="ID304" s="1148"/>
      <c r="IE304" s="1148"/>
      <c r="IF304" s="1148"/>
      <c r="IG304" s="1149"/>
      <c r="IH304" s="1148"/>
      <c r="II304" s="1148"/>
      <c r="IJ304" s="1148"/>
      <c r="IK304" s="1148"/>
      <c r="IL304" s="1148"/>
      <c r="IM304" s="1148"/>
      <c r="IN304" s="1148"/>
      <c r="IO304" s="1149"/>
      <c r="IP304" s="1148"/>
      <c r="IQ304" s="1148"/>
      <c r="IR304" s="1148"/>
      <c r="IS304" s="1148"/>
      <c r="IT304" s="1148"/>
      <c r="IU304" s="1148"/>
      <c r="IV304" s="1148"/>
      <c r="IW304" s="1148"/>
      <c r="IX304" s="1104"/>
      <c r="IY304" s="1049"/>
      <c r="IZ304" s="1049"/>
      <c r="JA304" s="1049"/>
      <c r="JB304" s="1049"/>
      <c r="JC304" s="1049"/>
      <c r="JD304" s="1041"/>
      <c r="JE304" s="1037"/>
      <c r="JF304" s="1037"/>
      <c r="JG304" s="1037"/>
      <c r="JH304" s="1037"/>
      <c r="JI304" s="1035"/>
      <c r="JJ304" s="1035"/>
      <c r="JK304" s="1035"/>
      <c r="JL304" s="1035"/>
      <c r="JM304" s="1035"/>
      <c r="JN304" s="1035"/>
      <c r="JO304" s="1035"/>
      <c r="JP304" s="1035"/>
      <c r="JQ304" s="1035"/>
      <c r="JR304" s="1035"/>
      <c r="JS304" s="1035"/>
      <c r="JT304" s="1035"/>
      <c r="JU304" s="1035"/>
      <c r="JV304" s="1035"/>
      <c r="JW304" s="1035"/>
      <c r="JX304" s="1035"/>
      <c r="JY304" s="1035"/>
      <c r="KP304" s="1117"/>
      <c r="LV304" s="967"/>
    </row>
    <row r="305" spans="1:334">
      <c r="A305" s="1103" t="s">
        <v>127</v>
      </c>
      <c r="AX305" s="1059"/>
      <c r="BE305" s="1060"/>
      <c r="BN305" s="1059"/>
      <c r="BU305" s="1060"/>
      <c r="BV305" s="1059"/>
      <c r="CC305" s="1060"/>
      <c r="CD305" s="1059"/>
      <c r="CJ305" s="1061"/>
      <c r="CK305" s="1060"/>
      <c r="CL305" s="1059"/>
      <c r="CS305" s="1060"/>
      <c r="CT305" s="1059"/>
      <c r="CW305" s="1062"/>
      <c r="CX305" s="1062"/>
      <c r="DE305" s="1064"/>
      <c r="DF305" s="1064"/>
      <c r="DM305" s="1064"/>
      <c r="DN305" s="1064"/>
      <c r="DU305" s="1064"/>
      <c r="DV305" s="1064"/>
      <c r="EC305" s="1064"/>
      <c r="ED305" s="1064"/>
      <c r="EH305" s="1181"/>
      <c r="EI305" s="1181"/>
      <c r="EJ305" s="1181"/>
      <c r="EK305" s="1181"/>
      <c r="EL305" s="1181"/>
      <c r="EM305" s="1181"/>
      <c r="EN305" s="1181"/>
      <c r="EO305" s="1182"/>
      <c r="EP305" s="1181"/>
      <c r="EQ305" s="1181"/>
      <c r="ER305" s="1181"/>
      <c r="ES305" s="1181"/>
      <c r="ET305" s="1181"/>
      <c r="EU305" s="1181"/>
      <c r="EV305" s="1181"/>
      <c r="EW305" s="1182"/>
      <c r="EX305" s="1071">
        <v>173</v>
      </c>
      <c r="EY305" s="1071">
        <v>191</v>
      </c>
      <c r="EZ305" s="1071">
        <f>EX305+EY305</f>
        <v>364</v>
      </c>
      <c r="FA305" s="1071">
        <v>219</v>
      </c>
      <c r="FB305" s="1071">
        <f>EX305+EY305+FA305</f>
        <v>583</v>
      </c>
      <c r="FC305" s="1071">
        <v>203</v>
      </c>
      <c r="FD305" s="1071">
        <f>FA305+FC305</f>
        <v>422</v>
      </c>
      <c r="FE305" s="1072">
        <f>EX305+EY305+FA305+FC305</f>
        <v>786</v>
      </c>
      <c r="FF305" s="1071">
        <v>215</v>
      </c>
      <c r="FG305" s="1071">
        <f>FH305-FF305</f>
        <v>236</v>
      </c>
      <c r="FH305" s="1071">
        <v>451</v>
      </c>
      <c r="FI305" s="1071">
        <f>FJ305-FH305</f>
        <v>289</v>
      </c>
      <c r="FJ305" s="1071">
        <v>740</v>
      </c>
      <c r="FK305" s="1071">
        <f>FM305-FJ305</f>
        <v>268</v>
      </c>
      <c r="FL305" s="1071">
        <f>FI305+FK305</f>
        <v>557</v>
      </c>
      <c r="FM305" s="1072">
        <v>1008</v>
      </c>
      <c r="FN305" s="1071">
        <v>274</v>
      </c>
      <c r="FO305" s="1071">
        <f>FP305-FN305</f>
        <v>306</v>
      </c>
      <c r="FP305" s="1071">
        <v>580</v>
      </c>
      <c r="FQ305" s="1071">
        <f>FR305-FP305</f>
        <v>346</v>
      </c>
      <c r="FR305" s="1071">
        <v>926</v>
      </c>
      <c r="FS305" s="1071">
        <f>FU305-FR305</f>
        <v>360</v>
      </c>
      <c r="FT305" s="1071">
        <f>FQ305+FS305</f>
        <v>706</v>
      </c>
      <c r="FU305" s="1071">
        <v>1286</v>
      </c>
      <c r="FV305" s="1177">
        <v>376</v>
      </c>
      <c r="FW305" s="1071">
        <f>FX305-FV305</f>
        <v>420</v>
      </c>
      <c r="FX305" s="1071">
        <v>796</v>
      </c>
      <c r="FY305" s="1071">
        <f>FZ305-FX305</f>
        <v>437</v>
      </c>
      <c r="FZ305" s="1071">
        <v>1233</v>
      </c>
      <c r="GA305" s="1071">
        <f>GC305-FZ305</f>
        <v>456</v>
      </c>
      <c r="GB305" s="1071">
        <f>FY305+GA305</f>
        <v>893</v>
      </c>
      <c r="GC305" s="1072">
        <v>1689</v>
      </c>
      <c r="GD305" s="1177">
        <v>393</v>
      </c>
      <c r="GE305" s="1071">
        <f>GF305-GD305</f>
        <v>442</v>
      </c>
      <c r="GF305" s="1071">
        <v>835</v>
      </c>
      <c r="GG305" s="1071">
        <v>533</v>
      </c>
      <c r="GH305" s="1071">
        <f>GG305+GF305</f>
        <v>1368</v>
      </c>
      <c r="GI305" s="1071">
        <f>GK305-GH305</f>
        <v>563</v>
      </c>
      <c r="GJ305" s="1071">
        <f>GG305+GI305</f>
        <v>1096</v>
      </c>
      <c r="GK305" s="1072">
        <v>1931</v>
      </c>
      <c r="GL305" s="1071">
        <v>443</v>
      </c>
      <c r="GM305" s="1071">
        <v>476</v>
      </c>
      <c r="GN305" s="1071">
        <f>GM305+GL305</f>
        <v>919</v>
      </c>
      <c r="GO305" s="1071">
        <v>605</v>
      </c>
      <c r="GP305" s="1071">
        <f>GO305+GN305</f>
        <v>1524</v>
      </c>
      <c r="GQ305" s="1071">
        <f>GS305-GP305</f>
        <v>599</v>
      </c>
      <c r="GR305" s="1071">
        <f>GO305+GQ305</f>
        <v>1204</v>
      </c>
      <c r="GS305" s="1072">
        <v>2123</v>
      </c>
      <c r="GT305" s="1071">
        <v>494</v>
      </c>
      <c r="GU305" s="1071">
        <v>310</v>
      </c>
      <c r="GV305" s="1071">
        <f>GU305+GT305</f>
        <v>804</v>
      </c>
      <c r="GW305" s="1071">
        <v>598</v>
      </c>
      <c r="GX305" s="1071">
        <f>GW305+GV305</f>
        <v>1402</v>
      </c>
      <c r="GY305" s="1071"/>
      <c r="GZ305" s="1071"/>
      <c r="HA305" s="1072"/>
      <c r="HB305" s="1071">
        <v>519</v>
      </c>
      <c r="HC305" s="1071">
        <v>576</v>
      </c>
      <c r="HD305" s="1071">
        <f>HC305+HB305</f>
        <v>1095</v>
      </c>
      <c r="HE305" s="1071">
        <v>642</v>
      </c>
      <c r="HF305" s="1071">
        <f>HE305+HD305</f>
        <v>1737</v>
      </c>
      <c r="HG305" s="1071">
        <v>622</v>
      </c>
      <c r="HH305" s="1071"/>
      <c r="HI305" s="1072">
        <f>HG305+HF305</f>
        <v>2359</v>
      </c>
      <c r="HJ305" s="1071">
        <v>621</v>
      </c>
      <c r="HK305" s="1071">
        <v>781</v>
      </c>
      <c r="HL305" s="1071"/>
      <c r="HM305" s="1071"/>
      <c r="HN305" s="1071"/>
      <c r="HO305" s="1071"/>
      <c r="HP305" s="1071"/>
      <c r="HQ305" s="1072"/>
      <c r="HR305" s="1071"/>
      <c r="HS305" s="1071"/>
      <c r="HT305" s="1071"/>
      <c r="HU305" s="1071"/>
      <c r="HV305" s="1071"/>
      <c r="HW305" s="1071"/>
      <c r="HX305" s="1071"/>
      <c r="HY305" s="1071"/>
      <c r="HZ305" s="1071"/>
      <c r="IA305" s="1071"/>
      <c r="IB305" s="1071"/>
      <c r="IC305" s="1071"/>
      <c r="ID305" s="1071"/>
      <c r="IE305" s="1071"/>
      <c r="IF305" s="1071"/>
      <c r="IG305" s="1072"/>
      <c r="IH305" s="1071"/>
      <c r="II305" s="1071"/>
      <c r="IJ305" s="1071"/>
      <c r="IK305" s="1071"/>
      <c r="IL305" s="1071"/>
      <c r="IM305" s="1071"/>
      <c r="IN305" s="1071"/>
      <c r="IO305" s="1072"/>
      <c r="IP305" s="1071"/>
      <c r="IQ305" s="1071"/>
      <c r="IR305" s="1071"/>
      <c r="IS305" s="1071"/>
      <c r="IT305" s="1071"/>
      <c r="IU305" s="1071"/>
      <c r="IV305" s="1071"/>
      <c r="IW305" s="1071"/>
      <c r="IX305" s="1104"/>
      <c r="IY305" s="1049"/>
      <c r="IZ305" s="1049"/>
      <c r="JA305" s="1049"/>
      <c r="JB305" s="1049"/>
      <c r="JC305" s="1049"/>
      <c r="JD305" s="1041"/>
      <c r="JE305" s="1037"/>
      <c r="JF305" s="1037"/>
      <c r="JG305" s="1037"/>
      <c r="JH305" s="1037"/>
      <c r="JI305" s="1035"/>
      <c r="JJ305" s="1035"/>
      <c r="JK305" s="1035"/>
      <c r="JL305" s="1035"/>
      <c r="JM305" s="1035"/>
      <c r="JN305" s="1035"/>
      <c r="JO305" s="1035"/>
      <c r="JP305" s="1035"/>
      <c r="JQ305" s="1035"/>
      <c r="JR305" s="1035"/>
      <c r="JS305" s="1035"/>
      <c r="JT305" s="1035"/>
      <c r="JU305" s="1035"/>
      <c r="JV305" s="1035"/>
      <c r="JW305" s="1035"/>
      <c r="JX305" s="1035"/>
      <c r="JY305" s="1035"/>
      <c r="KP305" s="1117"/>
      <c r="LV305" s="967"/>
    </row>
    <row r="306" spans="1:334">
      <c r="A306" s="967" t="s">
        <v>61</v>
      </c>
      <c r="AX306" s="1059"/>
      <c r="BE306" s="1060"/>
      <c r="BN306" s="1059"/>
      <c r="BU306" s="1060"/>
      <c r="BV306" s="1059"/>
      <c r="CC306" s="1060"/>
      <c r="CD306" s="1059"/>
      <c r="CJ306" s="1061"/>
      <c r="CK306" s="1060"/>
      <c r="CL306" s="1059"/>
      <c r="CS306" s="1060"/>
      <c r="CT306" s="1059"/>
      <c r="CW306" s="1062"/>
      <c r="CX306" s="1062"/>
      <c r="DE306" s="1064"/>
      <c r="DF306" s="1064"/>
      <c r="DM306" s="1064"/>
      <c r="DN306" s="1064"/>
      <c r="DU306" s="1064"/>
      <c r="DV306" s="1064"/>
      <c r="EC306" s="1064"/>
      <c r="ED306" s="1064"/>
      <c r="EH306" s="1181"/>
      <c r="EI306" s="1181"/>
      <c r="EJ306" s="1181"/>
      <c r="EK306" s="1181"/>
      <c r="EL306" s="1181"/>
      <c r="EM306" s="1181"/>
      <c r="EN306" s="1181"/>
      <c r="EO306" s="1182"/>
      <c r="EP306" s="1181"/>
      <c r="EQ306" s="1181"/>
      <c r="ER306" s="1181"/>
      <c r="ES306" s="1181"/>
      <c r="ET306" s="1181"/>
      <c r="EU306" s="1181"/>
      <c r="EV306" s="1181"/>
      <c r="EW306" s="1182"/>
      <c r="EX306" s="1094"/>
      <c r="EY306" s="1094"/>
      <c r="EZ306" s="1094"/>
      <c r="FA306" s="1094"/>
      <c r="FB306" s="1094"/>
      <c r="FC306" s="1094"/>
      <c r="FD306" s="1094"/>
      <c r="FE306" s="1093"/>
      <c r="FF306" s="1094">
        <f t="shared" ref="FF306:FN306" si="1607">FF305/EX305-1</f>
        <v>0.242774566473988</v>
      </c>
      <c r="FG306" s="1094">
        <f t="shared" si="1607"/>
        <v>0.235602094240838</v>
      </c>
      <c r="FH306" s="1094">
        <f t="shared" si="1607"/>
        <v>0.239010989010989</v>
      </c>
      <c r="FI306" s="1094">
        <f t="shared" si="1607"/>
        <v>0.319634703196347</v>
      </c>
      <c r="FJ306" s="1094">
        <f t="shared" si="1607"/>
        <v>0.269296740994854</v>
      </c>
      <c r="FK306" s="1094">
        <f t="shared" si="1607"/>
        <v>0.320197044334975</v>
      </c>
      <c r="FL306" s="1094">
        <f t="shared" si="1607"/>
        <v>0.319905213270142</v>
      </c>
      <c r="FM306" s="1093">
        <f t="shared" si="1607"/>
        <v>0.282442748091603</v>
      </c>
      <c r="FN306" s="1094">
        <f t="shared" si="1607"/>
        <v>0.274418604651163</v>
      </c>
      <c r="FO306" s="1094">
        <f t="shared" ref="FO306:FX306" si="1608">FO305/FG305-1</f>
        <v>0.296610169491526</v>
      </c>
      <c r="FP306" s="1094">
        <f t="shared" si="1608"/>
        <v>0.286031042128603</v>
      </c>
      <c r="FQ306" s="1094">
        <f t="shared" si="1608"/>
        <v>0.197231833910035</v>
      </c>
      <c r="FR306" s="1094">
        <f t="shared" si="1608"/>
        <v>0.251351351351351</v>
      </c>
      <c r="FS306" s="1094">
        <f t="shared" si="1608"/>
        <v>0.343283582089552</v>
      </c>
      <c r="FT306" s="1094">
        <f t="shared" si="1608"/>
        <v>0.267504488330341</v>
      </c>
      <c r="FU306" s="1094">
        <f t="shared" si="1608"/>
        <v>0.275793650793651</v>
      </c>
      <c r="FV306" s="1275">
        <f t="shared" si="1608"/>
        <v>0.372262773722628</v>
      </c>
      <c r="FW306" s="1094">
        <f t="shared" si="1608"/>
        <v>0.372549019607843</v>
      </c>
      <c r="FX306" s="1094">
        <f t="shared" si="1608"/>
        <v>0.372413793103448</v>
      </c>
      <c r="FY306" s="1094">
        <f t="shared" ref="FY306" si="1609">FY305/FQ305-1</f>
        <v>0.263005780346821</v>
      </c>
      <c r="FZ306" s="1094">
        <f t="shared" ref="FZ306" si="1610">FZ305/FR305-1</f>
        <v>0.331533477321814</v>
      </c>
      <c r="GA306" s="1094">
        <f t="shared" ref="GA306" si="1611">GA305/FS305-1</f>
        <v>0.266666666666667</v>
      </c>
      <c r="GB306" s="1094">
        <f t="shared" ref="GB306" si="1612">GB305/FT305-1</f>
        <v>0.264872521246459</v>
      </c>
      <c r="GC306" s="1093">
        <f t="shared" ref="GC306" si="1613">GC305/FU305-1</f>
        <v>0.313374805598756</v>
      </c>
      <c r="GD306" s="1275">
        <f>GD305/376-1</f>
        <v>0.0452127659574468</v>
      </c>
      <c r="GE306" s="1094">
        <f>GE305/FW305-1</f>
        <v>0.0523809523809524</v>
      </c>
      <c r="GF306" s="1094">
        <f>GF305/FX305-1</f>
        <v>0.0489949748743719</v>
      </c>
      <c r="GG306" s="1094">
        <f>GG305/FY305-1</f>
        <v>0.219679633867277</v>
      </c>
      <c r="GH306" s="1094">
        <f>GH305/FZ305-1</f>
        <v>0.10948905109489</v>
      </c>
      <c r="GI306" s="1094">
        <f t="shared" ref="GI306" si="1614">GI305/GA305-1</f>
        <v>0.234649122807018</v>
      </c>
      <c r="GJ306" s="1094">
        <f t="shared" ref="GJ306" si="1615">GJ305/GB305-1</f>
        <v>0.227323628219485</v>
      </c>
      <c r="GK306" s="1093">
        <f t="shared" ref="GK306:GP306" si="1616">GK305/GC305-1</f>
        <v>0.143280047365305</v>
      </c>
      <c r="GL306" s="1094">
        <f t="shared" si="1616"/>
        <v>0.127226463104326</v>
      </c>
      <c r="GM306" s="1094">
        <f t="shared" si="1616"/>
        <v>0.0769230769230769</v>
      </c>
      <c r="GN306" s="1094">
        <f t="shared" si="1616"/>
        <v>0.10059880239521</v>
      </c>
      <c r="GO306" s="1094">
        <f t="shared" si="1616"/>
        <v>0.135084427767355</v>
      </c>
      <c r="GP306" s="1094">
        <f t="shared" si="1616"/>
        <v>0.114035087719298</v>
      </c>
      <c r="GQ306" s="1094">
        <f t="shared" ref="GQ306" si="1617">GQ305/GI305-1</f>
        <v>0.0639431616341031</v>
      </c>
      <c r="GR306" s="1094">
        <f t="shared" ref="GR306" si="1618">GR305/GJ305-1</f>
        <v>0.0985401459854014</v>
      </c>
      <c r="GS306" s="1093">
        <f t="shared" ref="GS306:GX306" si="1619">GS305/GK305-1</f>
        <v>0.0994303469704816</v>
      </c>
      <c r="GT306" s="1094">
        <f t="shared" si="1619"/>
        <v>0.115124153498871</v>
      </c>
      <c r="GU306" s="1094">
        <f t="shared" si="1619"/>
        <v>-0.348739495798319</v>
      </c>
      <c r="GV306" s="1094">
        <f t="shared" si="1619"/>
        <v>-0.125136017410229</v>
      </c>
      <c r="GW306" s="1094">
        <f t="shared" si="1619"/>
        <v>-0.0115702479338843</v>
      </c>
      <c r="GX306" s="1094">
        <f t="shared" si="1619"/>
        <v>-0.0800524934383202</v>
      </c>
      <c r="GY306" s="1094"/>
      <c r="GZ306" s="1094"/>
      <c r="HA306" s="1093"/>
      <c r="HB306" s="1094"/>
      <c r="HC306" s="1094"/>
      <c r="HD306" s="1094"/>
      <c r="HE306" s="1094"/>
      <c r="HF306" s="1094"/>
      <c r="HG306" s="1094"/>
      <c r="HH306" s="1094"/>
      <c r="HI306" s="1093"/>
      <c r="HJ306" s="1094">
        <f>HJ305/HB305-1</f>
        <v>0.196531791907514</v>
      </c>
      <c r="HK306" s="1094">
        <f>HK305/HC305-1</f>
        <v>0.355902777777778</v>
      </c>
      <c r="HL306" s="1094"/>
      <c r="HM306" s="1094"/>
      <c r="HN306" s="1094"/>
      <c r="HO306" s="1094"/>
      <c r="HP306" s="1094"/>
      <c r="HQ306" s="1093"/>
      <c r="HR306" s="1094"/>
      <c r="HS306" s="1094"/>
      <c r="HT306" s="1094"/>
      <c r="HU306" s="1094"/>
      <c r="HV306" s="1094"/>
      <c r="HW306" s="1094"/>
      <c r="HX306" s="1094"/>
      <c r="HY306" s="1094"/>
      <c r="HZ306" s="1094"/>
      <c r="IA306" s="1094"/>
      <c r="IB306" s="1094"/>
      <c r="IC306" s="1094"/>
      <c r="ID306" s="1094"/>
      <c r="IE306" s="1094"/>
      <c r="IF306" s="1094"/>
      <c r="IG306" s="1093"/>
      <c r="IH306" s="1094"/>
      <c r="II306" s="1094"/>
      <c r="IJ306" s="1094"/>
      <c r="IK306" s="1094"/>
      <c r="IL306" s="1094"/>
      <c r="IM306" s="1094"/>
      <c r="IN306" s="1094"/>
      <c r="IO306" s="1093"/>
      <c r="IP306" s="1094"/>
      <c r="IQ306" s="1094"/>
      <c r="IR306" s="1094"/>
      <c r="IS306" s="1094"/>
      <c r="IT306" s="1094"/>
      <c r="IU306" s="1094"/>
      <c r="IV306" s="1094"/>
      <c r="IW306" s="1094"/>
      <c r="IX306" s="1104"/>
      <c r="IY306" s="1049"/>
      <c r="IZ306" s="1049"/>
      <c r="JA306" s="1049"/>
      <c r="JB306" s="1049"/>
      <c r="JC306" s="1049"/>
      <c r="JD306" s="1041"/>
      <c r="JE306" s="1037"/>
      <c r="JF306" s="1037"/>
      <c r="JG306" s="1037"/>
      <c r="JH306" s="1037"/>
      <c r="JI306" s="1035"/>
      <c r="JJ306" s="1035"/>
      <c r="JK306" s="1035"/>
      <c r="JL306" s="1035"/>
      <c r="JM306" s="1035"/>
      <c r="JN306" s="1035"/>
      <c r="JO306" s="1035"/>
      <c r="JP306" s="1035"/>
      <c r="JQ306" s="1035"/>
      <c r="JR306" s="1035"/>
      <c r="JS306" s="1035"/>
      <c r="JT306" s="1035"/>
      <c r="JU306" s="1035"/>
      <c r="JV306" s="1035"/>
      <c r="JW306" s="1035"/>
      <c r="JX306" s="1035"/>
      <c r="JY306" s="1035"/>
      <c r="KP306" s="1117"/>
      <c r="LV306" s="967"/>
    </row>
    <row r="307" spans="1:334">
      <c r="A307" s="967" t="s">
        <v>128</v>
      </c>
      <c r="AX307" s="1059"/>
      <c r="BE307" s="1060"/>
      <c r="BN307" s="1059"/>
      <c r="BU307" s="1060"/>
      <c r="BV307" s="1059"/>
      <c r="CC307" s="1060"/>
      <c r="CD307" s="1059"/>
      <c r="CJ307" s="1061"/>
      <c r="CK307" s="1060"/>
      <c r="CL307" s="1059"/>
      <c r="CS307" s="1060"/>
      <c r="CT307" s="1059"/>
      <c r="CW307" s="1062"/>
      <c r="CX307" s="1062"/>
      <c r="DE307" s="1064"/>
      <c r="DF307" s="1064"/>
      <c r="DM307" s="1064"/>
      <c r="DN307" s="1064"/>
      <c r="DU307" s="1064"/>
      <c r="DV307" s="1064"/>
      <c r="EC307" s="1064"/>
      <c r="ED307" s="1064"/>
      <c r="EH307" s="1181"/>
      <c r="EI307" s="1181"/>
      <c r="EJ307" s="1181"/>
      <c r="EK307" s="1181"/>
      <c r="EL307" s="1181"/>
      <c r="EM307" s="1181"/>
      <c r="EN307" s="1181"/>
      <c r="EO307" s="1182"/>
      <c r="EP307" s="1181"/>
      <c r="EQ307" s="1181"/>
      <c r="ER307" s="1181"/>
      <c r="ES307" s="1181"/>
      <c r="ET307" s="1181"/>
      <c r="EU307" s="1181"/>
      <c r="EV307" s="1181"/>
      <c r="EW307" s="1182"/>
      <c r="EX307" s="1094">
        <f>EX305/EX$229</f>
        <v>0.374458874458874</v>
      </c>
      <c r="EY307" s="1094">
        <f t="shared" ref="EY307:FK307" si="1620">EY305/EY$229</f>
        <v>0.361742424242424</v>
      </c>
      <c r="EZ307" s="1094">
        <f t="shared" si="1620"/>
        <v>0.367676767676768</v>
      </c>
      <c r="FA307" s="1094">
        <f t="shared" si="1620"/>
        <v>0.353796445880452</v>
      </c>
      <c r="FB307" s="1094">
        <f t="shared" si="1620"/>
        <v>0.362336855189559</v>
      </c>
      <c r="FC307" s="1094">
        <f t="shared" si="1620"/>
        <v>0.333881578947368</v>
      </c>
      <c r="FD307" s="1094">
        <f t="shared" si="1620"/>
        <v>0.343928280358598</v>
      </c>
      <c r="FE307" s="1093">
        <f t="shared" si="1620"/>
        <v>0.354533152909337</v>
      </c>
      <c r="FF307" s="1094">
        <f t="shared" si="1620"/>
        <v>0.363790186125212</v>
      </c>
      <c r="FG307" s="1094">
        <f t="shared" si="1620"/>
        <v>0.367029548989114</v>
      </c>
      <c r="FH307" s="1094">
        <f t="shared" si="1620"/>
        <v>0.36547811993517</v>
      </c>
      <c r="FI307" s="1094">
        <f t="shared" si="1620"/>
        <v>0.372422680412371</v>
      </c>
      <c r="FJ307" s="1094">
        <f t="shared" si="1620"/>
        <v>0.368159203980099</v>
      </c>
      <c r="FK307" s="1094">
        <f t="shared" si="1620"/>
        <v>0.360215053763441</v>
      </c>
      <c r="FL307" s="1094">
        <f>FL305/FL174</f>
        <v>0.366447368421053</v>
      </c>
      <c r="FM307" s="1093">
        <f>FM305/FM174</f>
        <v>0.366013071895425</v>
      </c>
      <c r="FN307" s="1094">
        <f t="shared" ref="FN307:FS307" si="1621">FN305/FN$229</f>
        <v>0.376373626373626</v>
      </c>
      <c r="FO307" s="1094">
        <f t="shared" si="1621"/>
        <v>0.388324873096447</v>
      </c>
      <c r="FP307" s="1094">
        <f t="shared" si="1621"/>
        <v>0.382585751978892</v>
      </c>
      <c r="FQ307" s="1094">
        <f t="shared" si="1621"/>
        <v>0.373247033441208</v>
      </c>
      <c r="FR307" s="1094">
        <f t="shared" si="1621"/>
        <v>0.379042161277118</v>
      </c>
      <c r="FS307" s="1094">
        <f t="shared" si="1621"/>
        <v>0.371517027863777</v>
      </c>
      <c r="FT307" s="1094">
        <f>FT305/FT174</f>
        <v>0.372362869198312</v>
      </c>
      <c r="FU307" s="1094">
        <f>FU305/FU174</f>
        <v>0.376905041031653</v>
      </c>
      <c r="FV307" s="1275">
        <f>FV305/FV$229</f>
        <v>0.380566801619433</v>
      </c>
      <c r="FW307" s="1094">
        <f>FW305/FW$229</f>
        <v>0.414201183431953</v>
      </c>
      <c r="FX307" s="1094">
        <f>FX305/FX$229</f>
        <v>0.397602397602398</v>
      </c>
      <c r="FY307" s="1094">
        <f t="shared" ref="FY307:GA307" si="1622">FY305/FY$229</f>
        <v>0.397634212920837</v>
      </c>
      <c r="FZ307" s="1094">
        <f t="shared" si="1622"/>
        <v>0.397613673008707</v>
      </c>
      <c r="GA307" s="1094">
        <f t="shared" si="1622"/>
        <v>0.388415672913118</v>
      </c>
      <c r="GB307" s="1094">
        <f>GB305/GB174</f>
        <v>0.392872855257369</v>
      </c>
      <c r="GC307" s="1093">
        <f>GC305/GC174</f>
        <v>0.395087719298246</v>
      </c>
      <c r="GD307" s="1275">
        <f>GD305/GD$229</f>
        <v>0.377884615384615</v>
      </c>
      <c r="GE307" s="1094">
        <f>GE305/GE$229</f>
        <v>0.408502772643253</v>
      </c>
      <c r="GF307" s="1094">
        <f>GF305/GF$229</f>
        <v>0.393496701225259</v>
      </c>
      <c r="GG307" s="1094">
        <f>GG305/GG$229</f>
        <v>0.420015760441292</v>
      </c>
      <c r="GH307" s="1094">
        <f>GH305/GH$229</f>
        <v>0.403420819817163</v>
      </c>
      <c r="GI307" s="1094">
        <f t="shared" ref="GI307" si="1623">GI305/GI$229</f>
        <v>0.434078643022359</v>
      </c>
      <c r="GJ307" s="1094">
        <f>GJ305/GJ174</f>
        <v>0.427123928293063</v>
      </c>
      <c r="GK307" s="1093">
        <f>GK305/GK174</f>
        <v>0.411902730375427</v>
      </c>
      <c r="GL307" s="1094">
        <f>GL305/GL$229</f>
        <v>0.382886776145203</v>
      </c>
      <c r="GM307" s="1094">
        <f>GM305/GM$229</f>
        <v>0.392415498763396</v>
      </c>
      <c r="GN307" s="1094">
        <f>GN305/GN$229</f>
        <v>0.387763713080169</v>
      </c>
      <c r="GO307" s="1094">
        <f>GO305/GO$229</f>
        <v>0.412125340599455</v>
      </c>
      <c r="GP307" s="1094">
        <f>GP305/GP$229</f>
        <v>0.397081813444502</v>
      </c>
      <c r="GQ307" s="1094">
        <f t="shared" ref="GQ307" si="1624">GQ305/GQ$229</f>
        <v>0.406101694915254</v>
      </c>
      <c r="GR307" s="1094">
        <f>GR305/GR174</f>
        <v>0.409106354060482</v>
      </c>
      <c r="GS307" s="1093">
        <f>GS305/GS174</f>
        <v>0.399585921325052</v>
      </c>
      <c r="GT307" s="1094">
        <f>GT305/GT$229</f>
        <v>0.411323896752706</v>
      </c>
      <c r="GU307" s="1094">
        <f>GU305/GU$229</f>
        <v>0.406290956749672</v>
      </c>
      <c r="GV307" s="1094">
        <f>GV305/GV$229</f>
        <v>0.409368635437882</v>
      </c>
      <c r="GW307" s="1094">
        <f>GW305/GW$229</f>
        <v>0.430382407003573</v>
      </c>
      <c r="GX307" s="1094">
        <f>GX305/GX$229</f>
        <v>0.418075409830199</v>
      </c>
      <c r="GY307" s="1094"/>
      <c r="GZ307" s="1094"/>
      <c r="HA307" s="1093"/>
      <c r="HB307" s="1094">
        <f t="shared" ref="HB307:HG307" si="1625">HB305/HB174</f>
        <v>0.4485738980121</v>
      </c>
      <c r="HC307" s="1094">
        <f t="shared" si="1625"/>
        <v>0.461168935148119</v>
      </c>
      <c r="HD307" s="1094">
        <f t="shared" si="1625"/>
        <v>0.455112219451371</v>
      </c>
      <c r="HE307" s="1094">
        <f t="shared" si="1625"/>
        <v>0.459885386819484</v>
      </c>
      <c r="HF307" s="1094">
        <f t="shared" si="1625"/>
        <v>0.456864807995792</v>
      </c>
      <c r="HG307" s="1094">
        <f t="shared" si="1625"/>
        <v>0.477359938603223</v>
      </c>
      <c r="HH307" s="1094"/>
      <c r="HI307" s="1093">
        <f>HI305/HI174</f>
        <v>0.462095984329089</v>
      </c>
      <c r="HJ307" s="1094">
        <f>HJ305/HJ174</f>
        <v>0.442938659058488</v>
      </c>
      <c r="HK307" s="1094">
        <f>HK305/HK174</f>
        <v>0.457796014067995</v>
      </c>
      <c r="HL307" s="1094"/>
      <c r="HM307" s="1094"/>
      <c r="HN307" s="1094"/>
      <c r="HO307" s="1094"/>
      <c r="HP307" s="1094"/>
      <c r="HQ307" s="1093"/>
      <c r="HR307" s="1094"/>
      <c r="HS307" s="1094"/>
      <c r="HT307" s="1094"/>
      <c r="HU307" s="1094"/>
      <c r="HV307" s="1094"/>
      <c r="HW307" s="1094"/>
      <c r="HX307" s="1094"/>
      <c r="HY307" s="1094"/>
      <c r="HZ307" s="1094"/>
      <c r="IA307" s="1094"/>
      <c r="IB307" s="1094"/>
      <c r="IC307" s="1094"/>
      <c r="ID307" s="1094"/>
      <c r="IE307" s="1094"/>
      <c r="IF307" s="1094"/>
      <c r="IG307" s="1093"/>
      <c r="IH307" s="1094"/>
      <c r="II307" s="1094"/>
      <c r="IJ307" s="1094"/>
      <c r="IK307" s="1094"/>
      <c r="IL307" s="1094"/>
      <c r="IM307" s="1094"/>
      <c r="IN307" s="1094"/>
      <c r="IO307" s="1093"/>
      <c r="IP307" s="1094"/>
      <c r="IQ307" s="1094"/>
      <c r="IR307" s="1094"/>
      <c r="IS307" s="1094"/>
      <c r="IT307" s="1094"/>
      <c r="IU307" s="1094"/>
      <c r="IV307" s="1094"/>
      <c r="IW307" s="1094"/>
      <c r="IX307" s="1104"/>
      <c r="IY307" s="1049"/>
      <c r="IZ307" s="1049"/>
      <c r="JA307" s="1049"/>
      <c r="JB307" s="1049"/>
      <c r="JC307" s="1049"/>
      <c r="JD307" s="1041"/>
      <c r="JE307" s="1037"/>
      <c r="JF307" s="1037"/>
      <c r="JG307" s="1037"/>
      <c r="JH307" s="1037"/>
      <c r="JI307" s="1035"/>
      <c r="JJ307" s="1035"/>
      <c r="JK307" s="1035"/>
      <c r="JL307" s="1035"/>
      <c r="JM307" s="1035"/>
      <c r="JN307" s="1035"/>
      <c r="JO307" s="1035"/>
      <c r="JP307" s="1035"/>
      <c r="JQ307" s="1035"/>
      <c r="JR307" s="1035"/>
      <c r="JS307" s="1035"/>
      <c r="JT307" s="1035"/>
      <c r="JU307" s="1035"/>
      <c r="JV307" s="1035"/>
      <c r="JW307" s="1035"/>
      <c r="JX307" s="1035"/>
      <c r="JY307" s="1035"/>
      <c r="KP307" s="1117"/>
      <c r="LV307" s="967"/>
    </row>
    <row r="308" spans="1:334">
      <c r="A308" s="967" t="s">
        <v>129</v>
      </c>
      <c r="AX308" s="1059"/>
      <c r="BE308" s="1060"/>
      <c r="BN308" s="1059"/>
      <c r="BU308" s="1060"/>
      <c r="BV308" s="1059"/>
      <c r="CC308" s="1060"/>
      <c r="CD308" s="1059"/>
      <c r="CJ308" s="1061"/>
      <c r="CK308" s="1060"/>
      <c r="CL308" s="1059"/>
      <c r="CS308" s="1060"/>
      <c r="CT308" s="1059"/>
      <c r="CW308" s="1062"/>
      <c r="CX308" s="1062"/>
      <c r="DE308" s="1064"/>
      <c r="DF308" s="1064"/>
      <c r="DM308" s="1064"/>
      <c r="DN308" s="1064"/>
      <c r="DU308" s="1064"/>
      <c r="DV308" s="1064"/>
      <c r="EC308" s="1064"/>
      <c r="ED308" s="1064"/>
      <c r="EH308" s="1181"/>
      <c r="EI308" s="1181"/>
      <c r="EJ308" s="1181"/>
      <c r="EK308" s="1181"/>
      <c r="EL308" s="1181"/>
      <c r="EM308" s="1181"/>
      <c r="EN308" s="1181"/>
      <c r="EO308" s="1182"/>
      <c r="EP308" s="1181"/>
      <c r="EQ308" s="1181"/>
      <c r="ER308" s="1181"/>
      <c r="ES308" s="1181"/>
      <c r="ET308" s="1181"/>
      <c r="EU308" s="1181"/>
      <c r="EV308" s="1181"/>
      <c r="EW308" s="1182"/>
      <c r="EX308" s="1148">
        <f>EX305-EX311</f>
        <v>160</v>
      </c>
      <c r="EY308" s="1148">
        <f t="shared" ref="EY308:FE308" si="1626">EY305-EY311</f>
        <v>162</v>
      </c>
      <c r="EZ308" s="1148">
        <f t="shared" si="1626"/>
        <v>322</v>
      </c>
      <c r="FA308" s="1148">
        <f t="shared" si="1626"/>
        <v>180</v>
      </c>
      <c r="FB308" s="1148">
        <f t="shared" si="1626"/>
        <v>502</v>
      </c>
      <c r="FC308" s="1148">
        <f t="shared" si="1626"/>
        <v>163</v>
      </c>
      <c r="FD308" s="1148">
        <f t="shared" si="1626"/>
        <v>343</v>
      </c>
      <c r="FE308" s="1149">
        <f t="shared" si="1626"/>
        <v>665</v>
      </c>
      <c r="FF308" s="1148">
        <f t="shared" ref="FF308:FR308" si="1627">FF305-FF311</f>
        <v>224</v>
      </c>
      <c r="FG308" s="1148">
        <f t="shared" si="1627"/>
        <v>219</v>
      </c>
      <c r="FH308" s="1148">
        <f t="shared" si="1627"/>
        <v>443</v>
      </c>
      <c r="FI308" s="1148">
        <f t="shared" si="1627"/>
        <v>234</v>
      </c>
      <c r="FJ308" s="1148">
        <f t="shared" si="1627"/>
        <v>677</v>
      </c>
      <c r="FK308" s="1148">
        <f t="shared" si="1627"/>
        <v>262</v>
      </c>
      <c r="FL308" s="1148">
        <f t="shared" si="1627"/>
        <v>496</v>
      </c>
      <c r="FM308" s="1149">
        <f t="shared" si="1627"/>
        <v>939</v>
      </c>
      <c r="FN308" s="1148">
        <f t="shared" si="1627"/>
        <v>255</v>
      </c>
      <c r="FO308" s="1148">
        <f t="shared" si="1627"/>
        <v>231</v>
      </c>
      <c r="FP308" s="1148">
        <f t="shared" si="1627"/>
        <v>486</v>
      </c>
      <c r="FQ308" s="1148">
        <f t="shared" si="1627"/>
        <v>275</v>
      </c>
      <c r="FR308" s="1148">
        <f t="shared" si="1627"/>
        <v>761</v>
      </c>
      <c r="FS308" s="1148">
        <f t="shared" ref="FS308:FZ308" si="1628">FS305-FS311</f>
        <v>311</v>
      </c>
      <c r="FT308" s="1148">
        <f t="shared" si="1628"/>
        <v>586</v>
      </c>
      <c r="FU308" s="1148">
        <f t="shared" si="1628"/>
        <v>1072</v>
      </c>
      <c r="FV308" s="1151">
        <f t="shared" si="1628"/>
        <v>279</v>
      </c>
      <c r="FW308" s="1148">
        <f t="shared" si="1628"/>
        <v>289</v>
      </c>
      <c r="FX308" s="1148">
        <f t="shared" si="1628"/>
        <v>568</v>
      </c>
      <c r="FY308" s="1148">
        <f t="shared" si="1628"/>
        <v>313</v>
      </c>
      <c r="FZ308" s="1148">
        <f t="shared" si="1628"/>
        <v>881</v>
      </c>
      <c r="GA308" s="1148">
        <f t="shared" ref="GA308:GC308" si="1629">GA305-GA311</f>
        <v>340</v>
      </c>
      <c r="GB308" s="1148">
        <f t="shared" si="1629"/>
        <v>653</v>
      </c>
      <c r="GC308" s="1149">
        <f t="shared" si="1629"/>
        <v>1221</v>
      </c>
      <c r="GD308" s="1151">
        <f t="shared" ref="GD308:GF308" si="1630">GD305-GD311</f>
        <v>295</v>
      </c>
      <c r="GE308" s="1148">
        <f t="shared" si="1630"/>
        <v>261</v>
      </c>
      <c r="GF308" s="1148">
        <f t="shared" si="1630"/>
        <v>556</v>
      </c>
      <c r="GG308" s="1148">
        <f t="shared" ref="GG308:GN308" si="1631">GG305-GG311</f>
        <v>304</v>
      </c>
      <c r="GH308" s="1148">
        <f t="shared" si="1631"/>
        <v>860</v>
      </c>
      <c r="GI308" s="1148">
        <f t="shared" si="1631"/>
        <v>373</v>
      </c>
      <c r="GJ308" s="1148">
        <f t="shared" si="1631"/>
        <v>677</v>
      </c>
      <c r="GK308" s="1149">
        <f t="shared" si="1631"/>
        <v>1233</v>
      </c>
      <c r="GL308" s="1148">
        <f t="shared" si="1631"/>
        <v>318</v>
      </c>
      <c r="GM308" s="1148">
        <f t="shared" si="1631"/>
        <v>338</v>
      </c>
      <c r="GN308" s="1148">
        <f t="shared" si="1631"/>
        <v>656</v>
      </c>
      <c r="GO308" s="1148">
        <f t="shared" ref="GO308:GV308" si="1632">GO305-GO311</f>
        <v>368</v>
      </c>
      <c r="GP308" s="1148">
        <f t="shared" si="1632"/>
        <v>1024</v>
      </c>
      <c r="GQ308" s="1148">
        <f t="shared" si="1632"/>
        <v>384</v>
      </c>
      <c r="GR308" s="1148">
        <f t="shared" si="1632"/>
        <v>752</v>
      </c>
      <c r="GS308" s="1149">
        <f t="shared" si="1632"/>
        <v>1408</v>
      </c>
      <c r="GT308" s="1148">
        <f t="shared" si="1632"/>
        <v>409</v>
      </c>
      <c r="GU308" s="1148">
        <f t="shared" si="1632"/>
        <v>324</v>
      </c>
      <c r="GV308" s="1148">
        <f t="shared" si="1632"/>
        <v>733</v>
      </c>
      <c r="GW308" s="1148">
        <f t="shared" ref="GW308:GX308" si="1633">GW305-GW311</f>
        <v>296</v>
      </c>
      <c r="GX308" s="1148">
        <f t="shared" si="1633"/>
        <v>1029</v>
      </c>
      <c r="GY308" s="1148"/>
      <c r="GZ308" s="1148"/>
      <c r="HA308" s="1149"/>
      <c r="HB308" s="1148">
        <f t="shared" ref="HB308:HG308" si="1634">HB305-HB311</f>
        <v>313</v>
      </c>
      <c r="HC308" s="1148">
        <f t="shared" si="1634"/>
        <v>335</v>
      </c>
      <c r="HD308" s="1148">
        <f t="shared" si="1634"/>
        <v>648</v>
      </c>
      <c r="HE308" s="1148">
        <f t="shared" si="1634"/>
        <v>359</v>
      </c>
      <c r="HF308" s="1148">
        <f t="shared" si="1634"/>
        <v>1007</v>
      </c>
      <c r="HG308" s="1148">
        <f t="shared" si="1634"/>
        <v>392</v>
      </c>
      <c r="HH308" s="1148"/>
      <c r="HI308" s="1149">
        <f>HG308+HF308</f>
        <v>1399</v>
      </c>
      <c r="HJ308" s="1148">
        <f t="shared" ref="HJ308:HK308" si="1635">HJ305-HJ311</f>
        <v>364</v>
      </c>
      <c r="HK308" s="1148">
        <f t="shared" si="1635"/>
        <v>420</v>
      </c>
      <c r="HL308" s="1148"/>
      <c r="HM308" s="1148"/>
      <c r="HN308" s="1148"/>
      <c r="HO308" s="1148"/>
      <c r="HP308" s="1148"/>
      <c r="HQ308" s="1149"/>
      <c r="HR308" s="1148"/>
      <c r="HS308" s="1148"/>
      <c r="HT308" s="1148"/>
      <c r="HU308" s="1148"/>
      <c r="HV308" s="1148"/>
      <c r="HW308" s="1148"/>
      <c r="HX308" s="1148"/>
      <c r="HY308" s="1148"/>
      <c r="HZ308" s="1148"/>
      <c r="IA308" s="1148"/>
      <c r="IB308" s="1148"/>
      <c r="IC308" s="1148"/>
      <c r="ID308" s="1148"/>
      <c r="IE308" s="1148"/>
      <c r="IF308" s="1148"/>
      <c r="IG308" s="1149"/>
      <c r="IH308" s="1148"/>
      <c r="II308" s="1148"/>
      <c r="IJ308" s="1148"/>
      <c r="IK308" s="1148"/>
      <c r="IL308" s="1148"/>
      <c r="IM308" s="1148"/>
      <c r="IN308" s="1148"/>
      <c r="IO308" s="1149"/>
      <c r="IP308" s="1148"/>
      <c r="IQ308" s="1148"/>
      <c r="IR308" s="1148"/>
      <c r="IS308" s="1148"/>
      <c r="IT308" s="1148"/>
      <c r="IU308" s="1148"/>
      <c r="IV308" s="1148"/>
      <c r="IW308" s="1148"/>
      <c r="IX308" s="1104"/>
      <c r="IY308" s="1049"/>
      <c r="IZ308" s="1049"/>
      <c r="JA308" s="1049"/>
      <c r="JB308" s="1049"/>
      <c r="JC308" s="1049"/>
      <c r="JD308" s="1041"/>
      <c r="JE308" s="1037"/>
      <c r="JF308" s="1037"/>
      <c r="JG308" s="1037"/>
      <c r="JH308" s="1037"/>
      <c r="JI308" s="1035"/>
      <c r="JJ308" s="1035"/>
      <c r="JK308" s="1035"/>
      <c r="JL308" s="1035"/>
      <c r="JM308" s="1035"/>
      <c r="JN308" s="1035"/>
      <c r="JO308" s="1035"/>
      <c r="JP308" s="1035"/>
      <c r="JQ308" s="1035"/>
      <c r="JR308" s="1035"/>
      <c r="JS308" s="1035"/>
      <c r="JT308" s="1035"/>
      <c r="JU308" s="1035"/>
      <c r="JV308" s="1035"/>
      <c r="JW308" s="1035"/>
      <c r="JX308" s="1035"/>
      <c r="JY308" s="1035"/>
      <c r="KP308" s="1117"/>
      <c r="LV308" s="967"/>
    </row>
    <row r="309" spans="1:334">
      <c r="A309" s="967" t="s">
        <v>61</v>
      </c>
      <c r="AX309" s="1059"/>
      <c r="BE309" s="1060"/>
      <c r="BN309" s="1059"/>
      <c r="BU309" s="1060"/>
      <c r="BV309" s="1059"/>
      <c r="CC309" s="1060"/>
      <c r="CD309" s="1059"/>
      <c r="CJ309" s="1061"/>
      <c r="CK309" s="1060"/>
      <c r="CL309" s="1059"/>
      <c r="CS309" s="1060"/>
      <c r="CT309" s="1059"/>
      <c r="CW309" s="1062"/>
      <c r="CX309" s="1062"/>
      <c r="DE309" s="1064"/>
      <c r="DF309" s="1064"/>
      <c r="DM309" s="1064"/>
      <c r="DN309" s="1064"/>
      <c r="DU309" s="1064"/>
      <c r="DV309" s="1064"/>
      <c r="EC309" s="1064"/>
      <c r="ED309" s="1064"/>
      <c r="EH309" s="1181"/>
      <c r="EI309" s="1181"/>
      <c r="EJ309" s="1181"/>
      <c r="EK309" s="1181"/>
      <c r="EL309" s="1181"/>
      <c r="EM309" s="1181"/>
      <c r="EN309" s="1181"/>
      <c r="EO309" s="1182"/>
      <c r="EP309" s="1181"/>
      <c r="EQ309" s="1181"/>
      <c r="ER309" s="1181"/>
      <c r="ES309" s="1181"/>
      <c r="ET309" s="1181"/>
      <c r="EU309" s="1181"/>
      <c r="EV309" s="1181"/>
      <c r="EW309" s="1182"/>
      <c r="EX309" s="1094"/>
      <c r="EY309" s="1094"/>
      <c r="EZ309" s="1094"/>
      <c r="FA309" s="1094"/>
      <c r="FB309" s="1094"/>
      <c r="FC309" s="1094"/>
      <c r="FD309" s="1094"/>
      <c r="FE309" s="1093"/>
      <c r="FF309" s="1094">
        <f t="shared" ref="FF309:FR309" si="1636">FF308/EX308-1</f>
        <v>0.4</v>
      </c>
      <c r="FG309" s="1094">
        <f t="shared" si="1636"/>
        <v>0.351851851851852</v>
      </c>
      <c r="FH309" s="1094">
        <f t="shared" si="1636"/>
        <v>0.375776397515528</v>
      </c>
      <c r="FI309" s="1094">
        <f t="shared" si="1636"/>
        <v>0.3</v>
      </c>
      <c r="FJ309" s="1094">
        <f t="shared" si="1636"/>
        <v>0.348605577689243</v>
      </c>
      <c r="FK309" s="1094">
        <f t="shared" si="1636"/>
        <v>0.607361963190184</v>
      </c>
      <c r="FL309" s="1094">
        <f t="shared" si="1636"/>
        <v>0.446064139941691</v>
      </c>
      <c r="FM309" s="1093">
        <f t="shared" si="1636"/>
        <v>0.41203007518797</v>
      </c>
      <c r="FN309" s="1094">
        <f t="shared" si="1636"/>
        <v>0.138392857142857</v>
      </c>
      <c r="FO309" s="1094">
        <f t="shared" si="1636"/>
        <v>0.0547945205479452</v>
      </c>
      <c r="FP309" s="1094">
        <f t="shared" si="1636"/>
        <v>0.0970654627539504</v>
      </c>
      <c r="FQ309" s="1094">
        <f t="shared" si="1636"/>
        <v>0.175213675213675</v>
      </c>
      <c r="FR309" s="1094">
        <f t="shared" si="1636"/>
        <v>0.124076809453471</v>
      </c>
      <c r="FS309" s="1094">
        <f t="shared" ref="FS309:FX309" si="1637">FS308/FK308-1</f>
        <v>0.187022900763359</v>
      </c>
      <c r="FT309" s="1094">
        <f t="shared" si="1637"/>
        <v>0.181451612903226</v>
      </c>
      <c r="FU309" s="1094">
        <f t="shared" si="1637"/>
        <v>0.141640042598509</v>
      </c>
      <c r="FV309" s="1275">
        <f t="shared" si="1637"/>
        <v>0.0941176470588236</v>
      </c>
      <c r="FW309" s="1094">
        <f t="shared" si="1637"/>
        <v>0.251082251082251</v>
      </c>
      <c r="FX309" s="1094">
        <f t="shared" si="1637"/>
        <v>0.168724279835391</v>
      </c>
      <c r="FY309" s="1094">
        <f t="shared" ref="FY309" si="1638">FY308/FQ308-1</f>
        <v>0.138181818181818</v>
      </c>
      <c r="FZ309" s="1094">
        <f t="shared" ref="FZ309" si="1639">FZ308/FR308-1</f>
        <v>0.157687253613666</v>
      </c>
      <c r="GA309" s="1094">
        <f t="shared" ref="GA309" si="1640">GA308/FS308-1</f>
        <v>0.0932475884244373</v>
      </c>
      <c r="GB309" s="1094">
        <f t="shared" ref="GB309" si="1641">GB308/FT308-1</f>
        <v>0.114334470989761</v>
      </c>
      <c r="GC309" s="1093">
        <f t="shared" ref="GC309" si="1642">GC308/FU308-1</f>
        <v>0.138992537313433</v>
      </c>
      <c r="GD309" s="1275">
        <f>GD308/294-1</f>
        <v>0.00340136054421758</v>
      </c>
      <c r="GE309" s="1094">
        <f>GE308/FW308-1</f>
        <v>-0.096885813148789</v>
      </c>
      <c r="GF309" s="1094">
        <f>GF308/FX308-1</f>
        <v>-0.0211267605633803</v>
      </c>
      <c r="GG309" s="1094">
        <f>GG308/FY308-1</f>
        <v>-0.0287539936102237</v>
      </c>
      <c r="GH309" s="1094">
        <f>GH308/FZ308-1</f>
        <v>-0.0238365493757094</v>
      </c>
      <c r="GI309" s="1094">
        <f t="shared" ref="GI309" si="1643">GI308/GA308-1</f>
        <v>0.0970588235294119</v>
      </c>
      <c r="GJ309" s="1094">
        <f t="shared" ref="GJ309" si="1644">GJ308/GB308-1</f>
        <v>0.0367534456355283</v>
      </c>
      <c r="GK309" s="1093">
        <f t="shared" ref="GK309:GP309" si="1645">GK308/GC308-1</f>
        <v>0.00982800982800991</v>
      </c>
      <c r="GL309" s="1094">
        <f t="shared" si="1645"/>
        <v>0.0779661016949154</v>
      </c>
      <c r="GM309" s="1094">
        <f t="shared" si="1645"/>
        <v>0.295019157088123</v>
      </c>
      <c r="GN309" s="1094">
        <f t="shared" si="1645"/>
        <v>0.179856115107914</v>
      </c>
      <c r="GO309" s="1094">
        <f t="shared" si="1645"/>
        <v>0.210526315789474</v>
      </c>
      <c r="GP309" s="1094">
        <f t="shared" si="1645"/>
        <v>0.190697674418605</v>
      </c>
      <c r="GQ309" s="1094">
        <f t="shared" ref="GQ309" si="1646">GQ308/GI308-1</f>
        <v>0.0294906166219839</v>
      </c>
      <c r="GR309" s="1094">
        <f t="shared" ref="GR309" si="1647">GR308/GJ308-1</f>
        <v>0.110782865583456</v>
      </c>
      <c r="GS309" s="1093">
        <f t="shared" ref="GS309:GX309" si="1648">GS308/GK308-1</f>
        <v>0.141930251419303</v>
      </c>
      <c r="GT309" s="1094">
        <f t="shared" si="1648"/>
        <v>0.286163522012579</v>
      </c>
      <c r="GU309" s="1094">
        <f t="shared" si="1648"/>
        <v>-0.0414201183431953</v>
      </c>
      <c r="GV309" s="1094">
        <f t="shared" si="1648"/>
        <v>0.117378048780488</v>
      </c>
      <c r="GW309" s="1094">
        <f t="shared" si="1648"/>
        <v>-0.195652173913043</v>
      </c>
      <c r="GX309" s="1094">
        <f t="shared" si="1648"/>
        <v>0.0048828125</v>
      </c>
      <c r="GY309" s="1094"/>
      <c r="GZ309" s="1094"/>
      <c r="HA309" s="1093"/>
      <c r="HB309" s="1094"/>
      <c r="HC309" s="1094"/>
      <c r="HD309" s="1094"/>
      <c r="HE309" s="1094"/>
      <c r="HF309" s="1094"/>
      <c r="HG309" s="1094"/>
      <c r="HH309" s="1094"/>
      <c r="HI309" s="1093"/>
      <c r="HJ309" s="1094">
        <f>HJ308/HB308-1</f>
        <v>0.162939297124601</v>
      </c>
      <c r="HK309" s="1094">
        <f>HK308/HC308-1</f>
        <v>0.253731343283582</v>
      </c>
      <c r="HL309" s="1094"/>
      <c r="HM309" s="1094"/>
      <c r="HN309" s="1094"/>
      <c r="HO309" s="1094"/>
      <c r="HP309" s="1094"/>
      <c r="HQ309" s="1093"/>
      <c r="HR309" s="1094"/>
      <c r="HS309" s="1094"/>
      <c r="HT309" s="1094"/>
      <c r="HU309" s="1094"/>
      <c r="HV309" s="1094"/>
      <c r="HW309" s="1094"/>
      <c r="HX309" s="1094"/>
      <c r="HY309" s="1094"/>
      <c r="HZ309" s="1094"/>
      <c r="IA309" s="1094"/>
      <c r="IB309" s="1094"/>
      <c r="IC309" s="1094"/>
      <c r="ID309" s="1094"/>
      <c r="IE309" s="1094"/>
      <c r="IF309" s="1094"/>
      <c r="IG309" s="1093"/>
      <c r="IH309" s="1094"/>
      <c r="II309" s="1094"/>
      <c r="IJ309" s="1094"/>
      <c r="IK309" s="1094"/>
      <c r="IL309" s="1094"/>
      <c r="IM309" s="1094"/>
      <c r="IN309" s="1094"/>
      <c r="IO309" s="1093"/>
      <c r="IP309" s="1094"/>
      <c r="IQ309" s="1094"/>
      <c r="IR309" s="1094"/>
      <c r="IS309" s="1094"/>
      <c r="IT309" s="1094"/>
      <c r="IU309" s="1094"/>
      <c r="IV309" s="1094"/>
      <c r="IW309" s="1094"/>
      <c r="IX309" s="1104"/>
      <c r="IY309" s="1049"/>
      <c r="IZ309" s="1049"/>
      <c r="JA309" s="1049"/>
      <c r="JB309" s="1049"/>
      <c r="JC309" s="1049"/>
      <c r="JD309" s="1041"/>
      <c r="JE309" s="1037"/>
      <c r="JF309" s="1037"/>
      <c r="JG309" s="1037"/>
      <c r="JH309" s="1037"/>
      <c r="JI309" s="1035"/>
      <c r="JJ309" s="1035"/>
      <c r="JK309" s="1035"/>
      <c r="JL309" s="1035"/>
      <c r="JM309" s="1035"/>
      <c r="JN309" s="1035"/>
      <c r="JO309" s="1035"/>
      <c r="JP309" s="1035"/>
      <c r="JQ309" s="1035"/>
      <c r="JR309" s="1035"/>
      <c r="JS309" s="1035"/>
      <c r="JT309" s="1035"/>
      <c r="JU309" s="1035"/>
      <c r="JV309" s="1035"/>
      <c r="JW309" s="1035"/>
      <c r="JX309" s="1035"/>
      <c r="JY309" s="1035"/>
      <c r="KP309" s="1117"/>
      <c r="LV309" s="967"/>
    </row>
    <row r="310" spans="1:334">
      <c r="A310" s="967" t="s">
        <v>130</v>
      </c>
      <c r="AX310" s="1059"/>
      <c r="BE310" s="1060"/>
      <c r="BN310" s="1059"/>
      <c r="BU310" s="1060"/>
      <c r="BV310" s="1059"/>
      <c r="CC310" s="1060"/>
      <c r="CD310" s="1059"/>
      <c r="CJ310" s="1061"/>
      <c r="CK310" s="1060"/>
      <c r="CL310" s="1059"/>
      <c r="CS310" s="1060"/>
      <c r="CT310" s="1059"/>
      <c r="CW310" s="1062"/>
      <c r="CX310" s="1062"/>
      <c r="DE310" s="1064"/>
      <c r="DF310" s="1064"/>
      <c r="DM310" s="1064"/>
      <c r="DN310" s="1064"/>
      <c r="DU310" s="1064"/>
      <c r="DV310" s="1064"/>
      <c r="EC310" s="1064"/>
      <c r="ED310" s="1064"/>
      <c r="EH310" s="1181"/>
      <c r="EI310" s="1181"/>
      <c r="EJ310" s="1181"/>
      <c r="EK310" s="1181"/>
      <c r="EL310" s="1181"/>
      <c r="EM310" s="1181"/>
      <c r="EN310" s="1181"/>
      <c r="EO310" s="1182"/>
      <c r="EP310" s="1181"/>
      <c r="EQ310" s="1181"/>
      <c r="ER310" s="1181"/>
      <c r="ES310" s="1181"/>
      <c r="ET310" s="1181"/>
      <c r="EU310" s="1181"/>
      <c r="EV310" s="1181"/>
      <c r="EW310" s="1182"/>
      <c r="EX310" s="1094">
        <f>EX308/EX$229</f>
        <v>0.346320346320346</v>
      </c>
      <c r="EY310" s="1094">
        <f t="shared" ref="EY310:FH310" si="1649">EY308/EY$229</f>
        <v>0.306818181818182</v>
      </c>
      <c r="EZ310" s="1094">
        <f t="shared" si="1649"/>
        <v>0.325252525252525</v>
      </c>
      <c r="FA310" s="1094">
        <f t="shared" si="1649"/>
        <v>0.290791599353796</v>
      </c>
      <c r="FB310" s="1094">
        <f t="shared" si="1649"/>
        <v>0.311995027967682</v>
      </c>
      <c r="FC310" s="1094">
        <f t="shared" si="1649"/>
        <v>0.268092105263158</v>
      </c>
      <c r="FD310" s="1094">
        <f t="shared" si="1649"/>
        <v>0.279543602281989</v>
      </c>
      <c r="FE310" s="1093">
        <f t="shared" si="1649"/>
        <v>0.299954894000902</v>
      </c>
      <c r="FF310" s="1094">
        <f t="shared" si="1649"/>
        <v>0.379018612521151</v>
      </c>
      <c r="FG310" s="1094">
        <f t="shared" si="1649"/>
        <v>0.340590979782271</v>
      </c>
      <c r="FH310" s="1094">
        <f t="shared" si="1649"/>
        <v>0.358995137763371</v>
      </c>
      <c r="FI310" s="1094">
        <f t="shared" ref="FI310:FR310" si="1650">FI308/FI$229</f>
        <v>0.301546391752577</v>
      </c>
      <c r="FJ310" s="1094">
        <f t="shared" si="1650"/>
        <v>0.33681592039801</v>
      </c>
      <c r="FK310" s="1094">
        <f t="shared" si="1650"/>
        <v>0.352150537634409</v>
      </c>
      <c r="FL310" s="1094">
        <f t="shared" si="1650"/>
        <v>0.326315789473684</v>
      </c>
      <c r="FM310" s="1093">
        <f t="shared" si="1650"/>
        <v>0.340958605664488</v>
      </c>
      <c r="FN310" s="1094">
        <f t="shared" si="1650"/>
        <v>0.350274725274725</v>
      </c>
      <c r="FO310" s="1094">
        <f t="shared" si="1650"/>
        <v>0.293147208121827</v>
      </c>
      <c r="FP310" s="1094">
        <f t="shared" si="1650"/>
        <v>0.320580474934037</v>
      </c>
      <c r="FQ310" s="1094">
        <f t="shared" si="1650"/>
        <v>0.296655879180151</v>
      </c>
      <c r="FR310" s="1094">
        <f t="shared" si="1650"/>
        <v>0.311502251330332</v>
      </c>
      <c r="FS310" s="1094">
        <f t="shared" ref="FS310:FZ310" si="1651">FS308/FS$229</f>
        <v>0.320949432404541</v>
      </c>
      <c r="FT310" s="1094">
        <f t="shared" si="1651"/>
        <v>0.309071729957806</v>
      </c>
      <c r="FU310" s="1094">
        <f t="shared" si="1651"/>
        <v>0.314185228604924</v>
      </c>
      <c r="FV310" s="1275">
        <f t="shared" si="1651"/>
        <v>0.282388663967611</v>
      </c>
      <c r="FW310" s="1094">
        <f t="shared" si="1651"/>
        <v>0.285009861932939</v>
      </c>
      <c r="FX310" s="1094">
        <f t="shared" si="1651"/>
        <v>0.283716283716284</v>
      </c>
      <c r="FY310" s="1094">
        <f t="shared" si="1651"/>
        <v>0.284804367606915</v>
      </c>
      <c r="FZ310" s="1094">
        <f t="shared" si="1651"/>
        <v>0.284101902612061</v>
      </c>
      <c r="GA310" s="1094">
        <f t="shared" ref="GA310:GC310" si="1652">GA308/GA$229</f>
        <v>0.289608177172061</v>
      </c>
      <c r="GB310" s="1094">
        <f t="shared" si="1652"/>
        <v>0.287285525736912</v>
      </c>
      <c r="GC310" s="1093">
        <f t="shared" si="1652"/>
        <v>0.285614035087719</v>
      </c>
      <c r="GD310" s="1275">
        <f t="shared" ref="GD310:GF310" si="1653">GD308/GD$229</f>
        <v>0.283653846153846</v>
      </c>
      <c r="GE310" s="1094">
        <f t="shared" si="1653"/>
        <v>0.241219963031423</v>
      </c>
      <c r="GF310" s="1094">
        <f t="shared" si="1653"/>
        <v>0.262016965127238</v>
      </c>
      <c r="GG310" s="1094">
        <f t="shared" ref="GG310:GN310" si="1654">GG308/GG$229</f>
        <v>0.239558707643814</v>
      </c>
      <c r="GH310" s="1094">
        <f t="shared" si="1654"/>
        <v>0.253612503686228</v>
      </c>
      <c r="GI310" s="1094">
        <f t="shared" si="1654"/>
        <v>0.287586738627602</v>
      </c>
      <c r="GJ310" s="1094">
        <f t="shared" si="1654"/>
        <v>0.263834762275916</v>
      </c>
      <c r="GK310" s="1093">
        <f t="shared" si="1654"/>
        <v>0.263011945392491</v>
      </c>
      <c r="GL310" s="1094">
        <f t="shared" si="1654"/>
        <v>0.274848746758859</v>
      </c>
      <c r="GM310" s="1094">
        <f t="shared" si="1654"/>
        <v>0.278647980214345</v>
      </c>
      <c r="GN310" s="1094">
        <f t="shared" si="1654"/>
        <v>0.276793248945148</v>
      </c>
      <c r="GO310" s="1094">
        <f t="shared" ref="GO310:GV310" si="1655">GO308/GO$229</f>
        <v>0.250681198910081</v>
      </c>
      <c r="GP310" s="1094">
        <f t="shared" si="1655"/>
        <v>0.266805627931214</v>
      </c>
      <c r="GQ310" s="1094">
        <f t="shared" si="1655"/>
        <v>0.260338983050847</v>
      </c>
      <c r="GR310" s="1094">
        <f t="shared" si="1655"/>
        <v>0.255521576622494</v>
      </c>
      <c r="GS310" s="1093">
        <f t="shared" si="1655"/>
        <v>0.265010351966874</v>
      </c>
      <c r="GT310" s="1094">
        <f t="shared" si="1655"/>
        <v>0.340549542048293</v>
      </c>
      <c r="GU310" s="1094">
        <f t="shared" si="1655"/>
        <v>0.424639580602883</v>
      </c>
      <c r="GV310" s="1094">
        <f t="shared" si="1655"/>
        <v>0.373217922606925</v>
      </c>
      <c r="GW310" s="1094">
        <f t="shared" ref="GW310:GX310" si="1656">GW308/GW$229</f>
        <v>0.213032094436551</v>
      </c>
      <c r="GX310" s="1094">
        <f t="shared" si="1656"/>
        <v>0.306847073263392</v>
      </c>
      <c r="GY310" s="1094"/>
      <c r="GZ310" s="1094"/>
      <c r="HA310" s="1093"/>
      <c r="HB310" s="1094">
        <f t="shared" ref="HB310:HG310" si="1657">HB308/HB174</f>
        <v>0.270527225583405</v>
      </c>
      <c r="HC310" s="1094">
        <f t="shared" si="1657"/>
        <v>0.268214571657326</v>
      </c>
      <c r="HD310" s="1094">
        <f t="shared" si="1657"/>
        <v>0.26932668329177</v>
      </c>
      <c r="HE310" s="1094">
        <f t="shared" si="1657"/>
        <v>0.257163323782235</v>
      </c>
      <c r="HF310" s="1094">
        <f t="shared" si="1657"/>
        <v>0.264860599684377</v>
      </c>
      <c r="HG310" s="1094">
        <f t="shared" si="1657"/>
        <v>0.300844205679202</v>
      </c>
      <c r="HH310" s="1094"/>
      <c r="HI310" s="1093">
        <f>HI308/HI174</f>
        <v>0.274045053868756</v>
      </c>
      <c r="HJ310" s="1094">
        <f>HJ308/HJ174</f>
        <v>0.25962910128388</v>
      </c>
      <c r="HK310" s="1094">
        <f>HK308/HK174</f>
        <v>0.246189917936694</v>
      </c>
      <c r="HL310" s="1094"/>
      <c r="HM310" s="1094"/>
      <c r="HN310" s="1094"/>
      <c r="HO310" s="1094"/>
      <c r="HP310" s="1094"/>
      <c r="HQ310" s="1093"/>
      <c r="HR310" s="1094"/>
      <c r="HS310" s="1094"/>
      <c r="HT310" s="1094"/>
      <c r="HU310" s="1094"/>
      <c r="HV310" s="1094"/>
      <c r="HW310" s="1094"/>
      <c r="HX310" s="1094"/>
      <c r="HY310" s="1094"/>
      <c r="HZ310" s="1094"/>
      <c r="IA310" s="1094"/>
      <c r="IB310" s="1094"/>
      <c r="IC310" s="1094"/>
      <c r="ID310" s="1094"/>
      <c r="IE310" s="1094"/>
      <c r="IF310" s="1094"/>
      <c r="IG310" s="1093"/>
      <c r="IH310" s="1094"/>
      <c r="II310" s="1094"/>
      <c r="IJ310" s="1094"/>
      <c r="IK310" s="1094"/>
      <c r="IL310" s="1094"/>
      <c r="IM310" s="1094"/>
      <c r="IN310" s="1094"/>
      <c r="IO310" s="1093"/>
      <c r="IP310" s="1094"/>
      <c r="IQ310" s="1094"/>
      <c r="IR310" s="1094"/>
      <c r="IS310" s="1094"/>
      <c r="IT310" s="1094"/>
      <c r="IU310" s="1094"/>
      <c r="IV310" s="1094"/>
      <c r="IW310" s="1094"/>
      <c r="IX310" s="1104"/>
      <c r="IY310" s="1049"/>
      <c r="IZ310" s="1049"/>
      <c r="JA310" s="1049"/>
      <c r="JB310" s="1049"/>
      <c r="JC310" s="1049"/>
      <c r="JD310" s="1041"/>
      <c r="JE310" s="1037"/>
      <c r="JF310" s="1037"/>
      <c r="JG310" s="1037"/>
      <c r="JH310" s="1037"/>
      <c r="JI310" s="1035"/>
      <c r="JJ310" s="1035"/>
      <c r="JK310" s="1035"/>
      <c r="JL310" s="1035"/>
      <c r="JM310" s="1035"/>
      <c r="JN310" s="1035"/>
      <c r="JO310" s="1035"/>
      <c r="JP310" s="1035"/>
      <c r="JQ310" s="1035"/>
      <c r="JR310" s="1035"/>
      <c r="JS310" s="1035"/>
      <c r="JT310" s="1035"/>
      <c r="JU310" s="1035"/>
      <c r="JV310" s="1035"/>
      <c r="JW310" s="1035"/>
      <c r="JX310" s="1035"/>
      <c r="JY310" s="1035"/>
      <c r="KP310" s="1117"/>
      <c r="LV310" s="967"/>
    </row>
    <row r="311" spans="1:334">
      <c r="A311" s="1103" t="s">
        <v>131</v>
      </c>
      <c r="AX311" s="1059"/>
      <c r="BE311" s="1060"/>
      <c r="BN311" s="1059"/>
      <c r="BU311" s="1060"/>
      <c r="BV311" s="1059"/>
      <c r="CC311" s="1060"/>
      <c r="CD311" s="1059"/>
      <c r="CJ311" s="1061"/>
      <c r="CK311" s="1060"/>
      <c r="CL311" s="1059"/>
      <c r="CS311" s="1060"/>
      <c r="CT311" s="1059"/>
      <c r="CW311" s="1062"/>
      <c r="CX311" s="1062"/>
      <c r="DE311" s="1064"/>
      <c r="DF311" s="1064"/>
      <c r="DM311" s="1064"/>
      <c r="DN311" s="1064"/>
      <c r="DU311" s="1064"/>
      <c r="DV311" s="1064"/>
      <c r="EC311" s="1064"/>
      <c r="ED311" s="1064"/>
      <c r="EH311" s="1181"/>
      <c r="EI311" s="1181"/>
      <c r="EJ311" s="1181"/>
      <c r="EK311" s="1181"/>
      <c r="EL311" s="1181"/>
      <c r="EM311" s="1181"/>
      <c r="EN311" s="1181"/>
      <c r="EO311" s="1182"/>
      <c r="EP311" s="1181"/>
      <c r="EQ311" s="1181"/>
      <c r="ER311" s="1181"/>
      <c r="ES311" s="1181"/>
      <c r="ET311" s="1181"/>
      <c r="EU311" s="1181"/>
      <c r="EV311" s="1181"/>
      <c r="EW311" s="1182"/>
      <c r="EX311" s="1071">
        <v>13</v>
      </c>
      <c r="EY311" s="1071">
        <v>29</v>
      </c>
      <c r="EZ311" s="1071">
        <f>EX311+EY311</f>
        <v>42</v>
      </c>
      <c r="FA311" s="1071">
        <v>39</v>
      </c>
      <c r="FB311" s="1071">
        <f>EX311+EY311+FA311</f>
        <v>81</v>
      </c>
      <c r="FC311" s="1071">
        <v>40</v>
      </c>
      <c r="FD311" s="1071">
        <f>FA311+FC311</f>
        <v>79</v>
      </c>
      <c r="FE311" s="1072">
        <f>EX311+EY311+FA311+FC311</f>
        <v>121</v>
      </c>
      <c r="FF311" s="1071">
        <v>-9</v>
      </c>
      <c r="FG311" s="1071">
        <f>FH311-FF311</f>
        <v>17</v>
      </c>
      <c r="FH311" s="1071">
        <v>8</v>
      </c>
      <c r="FI311" s="1071">
        <f>FJ311-FH311</f>
        <v>55</v>
      </c>
      <c r="FJ311" s="1071">
        <v>63</v>
      </c>
      <c r="FK311" s="1071">
        <f>FM311-FJ311</f>
        <v>6</v>
      </c>
      <c r="FL311" s="1071">
        <f>FI311+FK311</f>
        <v>61</v>
      </c>
      <c r="FM311" s="1072">
        <v>69</v>
      </c>
      <c r="FN311" s="1071">
        <v>19</v>
      </c>
      <c r="FO311" s="1071">
        <f>FP311-FN311</f>
        <v>75</v>
      </c>
      <c r="FP311" s="1071">
        <v>94</v>
      </c>
      <c r="FQ311" s="1071">
        <f>FR311-FP311</f>
        <v>71</v>
      </c>
      <c r="FR311" s="1071">
        <v>165</v>
      </c>
      <c r="FS311" s="1071">
        <f>FU311-FR311</f>
        <v>49</v>
      </c>
      <c r="FT311" s="1071">
        <f>FQ311+FS311</f>
        <v>120</v>
      </c>
      <c r="FU311" s="1071">
        <v>214</v>
      </c>
      <c r="FV311" s="1177">
        <v>97</v>
      </c>
      <c r="FW311" s="1071">
        <f>FX311-FV311</f>
        <v>131</v>
      </c>
      <c r="FX311" s="1071">
        <v>228</v>
      </c>
      <c r="FY311" s="1071">
        <f>FZ311-FX311</f>
        <v>124</v>
      </c>
      <c r="FZ311" s="1071">
        <v>352</v>
      </c>
      <c r="GA311" s="1071">
        <f>GC311-FZ311</f>
        <v>116</v>
      </c>
      <c r="GB311" s="1071">
        <f>FY311+GA311</f>
        <v>240</v>
      </c>
      <c r="GC311" s="1072">
        <v>468</v>
      </c>
      <c r="GD311" s="1177">
        <v>98</v>
      </c>
      <c r="GE311" s="1071">
        <f>GF311-GD311</f>
        <v>181</v>
      </c>
      <c r="GF311" s="1071">
        <v>279</v>
      </c>
      <c r="GG311" s="1071">
        <v>229</v>
      </c>
      <c r="GH311" s="1071">
        <f>GG311+GF311</f>
        <v>508</v>
      </c>
      <c r="GI311" s="1071">
        <f>GK311-GH311</f>
        <v>190</v>
      </c>
      <c r="GJ311" s="1071">
        <f>GG311+GI311</f>
        <v>419</v>
      </c>
      <c r="GK311" s="1072">
        <v>698</v>
      </c>
      <c r="GL311" s="1071">
        <v>125</v>
      </c>
      <c r="GM311" s="1071">
        <v>138</v>
      </c>
      <c r="GN311" s="1071">
        <f>GM311+GL311</f>
        <v>263</v>
      </c>
      <c r="GO311" s="1071">
        <v>237</v>
      </c>
      <c r="GP311" s="1071">
        <f>GO311+GN311</f>
        <v>500</v>
      </c>
      <c r="GQ311" s="1071">
        <f>GS311-GP311</f>
        <v>215</v>
      </c>
      <c r="GR311" s="1071">
        <f>GO311+GQ311</f>
        <v>452</v>
      </c>
      <c r="GS311" s="1072">
        <v>715</v>
      </c>
      <c r="GT311" s="1071">
        <v>85</v>
      </c>
      <c r="GU311" s="1071">
        <v>-14</v>
      </c>
      <c r="GV311" s="1071">
        <f>GU311+GT311</f>
        <v>71</v>
      </c>
      <c r="GW311" s="1071">
        <v>302</v>
      </c>
      <c r="GX311" s="1071">
        <f>GW311+GV311</f>
        <v>373</v>
      </c>
      <c r="GY311" s="1071"/>
      <c r="GZ311" s="1071"/>
      <c r="HA311" s="1072"/>
      <c r="HB311" s="1071">
        <v>206</v>
      </c>
      <c r="HC311" s="1071">
        <v>241</v>
      </c>
      <c r="HD311" s="1071">
        <f>HC311+HB311</f>
        <v>447</v>
      </c>
      <c r="HE311" s="1071">
        <v>283</v>
      </c>
      <c r="HF311" s="1071">
        <f>HE311+HD311</f>
        <v>730</v>
      </c>
      <c r="HG311" s="1071">
        <v>230</v>
      </c>
      <c r="HH311" s="1071"/>
      <c r="HI311" s="1072">
        <f>HG311+HF311</f>
        <v>960</v>
      </c>
      <c r="HJ311" s="1071">
        <v>257</v>
      </c>
      <c r="HK311" s="1071">
        <v>361</v>
      </c>
      <c r="HL311" s="1071"/>
      <c r="HM311" s="1071"/>
      <c r="HN311" s="1071"/>
      <c r="HO311" s="1071"/>
      <c r="HP311" s="1071"/>
      <c r="HQ311" s="1072"/>
      <c r="HR311" s="1071"/>
      <c r="HS311" s="1071"/>
      <c r="HT311" s="1071"/>
      <c r="HU311" s="1071"/>
      <c r="HV311" s="1071"/>
      <c r="HW311" s="1071"/>
      <c r="HX311" s="1071"/>
      <c r="HY311" s="1071"/>
      <c r="HZ311" s="1071"/>
      <c r="IA311" s="1071"/>
      <c r="IB311" s="1071"/>
      <c r="IC311" s="1071"/>
      <c r="ID311" s="1071"/>
      <c r="IE311" s="1071"/>
      <c r="IF311" s="1071"/>
      <c r="IG311" s="1072"/>
      <c r="IH311" s="1071"/>
      <c r="II311" s="1071"/>
      <c r="IJ311" s="1071"/>
      <c r="IK311" s="1071"/>
      <c r="IL311" s="1071"/>
      <c r="IM311" s="1071"/>
      <c r="IN311" s="1071"/>
      <c r="IO311" s="1072"/>
      <c r="IP311" s="1071"/>
      <c r="IQ311" s="1071"/>
      <c r="IR311" s="1071"/>
      <c r="IS311" s="1071"/>
      <c r="IT311" s="1071"/>
      <c r="IU311" s="1071"/>
      <c r="IV311" s="1071"/>
      <c r="IW311" s="1071"/>
      <c r="IX311" s="1104"/>
      <c r="IY311" s="1049"/>
      <c r="IZ311" s="1049"/>
      <c r="JA311" s="1049"/>
      <c r="JB311" s="1049"/>
      <c r="JC311" s="1049"/>
      <c r="JD311" s="1041"/>
      <c r="JE311" s="1037"/>
      <c r="JF311" s="1037"/>
      <c r="JG311" s="1037"/>
      <c r="JH311" s="1037"/>
      <c r="JI311" s="1035"/>
      <c r="JJ311" s="1035"/>
      <c r="JK311" s="1035"/>
      <c r="JL311" s="1035"/>
      <c r="JM311" s="1035"/>
      <c r="JN311" s="1035"/>
      <c r="JO311" s="1035"/>
      <c r="JP311" s="1035"/>
      <c r="JQ311" s="1035"/>
      <c r="JR311" s="1035"/>
      <c r="JS311" s="1035"/>
      <c r="JT311" s="1035"/>
      <c r="JU311" s="1035"/>
      <c r="JV311" s="1035"/>
      <c r="JW311" s="1035"/>
      <c r="JX311" s="1035"/>
      <c r="JY311" s="1035"/>
      <c r="KP311" s="1117"/>
      <c r="LV311" s="967"/>
    </row>
    <row r="312" spans="1:334">
      <c r="A312" s="967" t="s">
        <v>61</v>
      </c>
      <c r="AX312" s="1059"/>
      <c r="BE312" s="1060"/>
      <c r="BN312" s="1059"/>
      <c r="BU312" s="1060"/>
      <c r="BV312" s="1059"/>
      <c r="CC312" s="1060"/>
      <c r="CD312" s="1059"/>
      <c r="CJ312" s="1061"/>
      <c r="CK312" s="1060"/>
      <c r="CL312" s="1059"/>
      <c r="CS312" s="1060"/>
      <c r="CT312" s="1059"/>
      <c r="CW312" s="1062"/>
      <c r="CX312" s="1062"/>
      <c r="DE312" s="1064"/>
      <c r="DF312" s="1064"/>
      <c r="DM312" s="1064"/>
      <c r="DN312" s="1064"/>
      <c r="DU312" s="1064"/>
      <c r="DV312" s="1064"/>
      <c r="EC312" s="1064"/>
      <c r="ED312" s="1064"/>
      <c r="EH312" s="1181"/>
      <c r="EI312" s="1181"/>
      <c r="EJ312" s="1181"/>
      <c r="EK312" s="1181"/>
      <c r="EL312" s="1181"/>
      <c r="EM312" s="1181"/>
      <c r="EN312" s="1181"/>
      <c r="EO312" s="1182"/>
      <c r="EP312" s="1181"/>
      <c r="EQ312" s="1181"/>
      <c r="ER312" s="1181"/>
      <c r="ES312" s="1181"/>
      <c r="ET312" s="1181"/>
      <c r="EU312" s="1181"/>
      <c r="EV312" s="1181"/>
      <c r="EW312" s="1182"/>
      <c r="EX312" s="1094"/>
      <c r="EY312" s="1094"/>
      <c r="EZ312" s="1094"/>
      <c r="FA312" s="1094"/>
      <c r="FB312" s="1094"/>
      <c r="FC312" s="1094"/>
      <c r="FD312" s="1094"/>
      <c r="FE312" s="1093"/>
      <c r="FF312" s="1094">
        <f t="shared" ref="FF312:FR312" si="1658">FF311/EX311-1</f>
        <v>-1.69230769230769</v>
      </c>
      <c r="FG312" s="1094">
        <f t="shared" si="1658"/>
        <v>-0.413793103448276</v>
      </c>
      <c r="FH312" s="1094">
        <f t="shared" si="1658"/>
        <v>-0.80952380952381</v>
      </c>
      <c r="FI312" s="1094">
        <f t="shared" si="1658"/>
        <v>0.41025641025641</v>
      </c>
      <c r="FJ312" s="1094">
        <f t="shared" si="1658"/>
        <v>-0.222222222222222</v>
      </c>
      <c r="FK312" s="1094">
        <f t="shared" si="1658"/>
        <v>-0.85</v>
      </c>
      <c r="FL312" s="1094">
        <f t="shared" si="1658"/>
        <v>-0.227848101265823</v>
      </c>
      <c r="FM312" s="1093">
        <f t="shared" si="1658"/>
        <v>-0.429752066115702</v>
      </c>
      <c r="FN312" s="1094">
        <f t="shared" si="1658"/>
        <v>-3.11111111111111</v>
      </c>
      <c r="FO312" s="1094">
        <f t="shared" si="1658"/>
        <v>3.41176470588235</v>
      </c>
      <c r="FP312" s="1094">
        <f t="shared" si="1658"/>
        <v>10.75</v>
      </c>
      <c r="FQ312" s="1094">
        <f t="shared" si="1658"/>
        <v>0.290909090909091</v>
      </c>
      <c r="FR312" s="1094">
        <f t="shared" si="1658"/>
        <v>1.61904761904762</v>
      </c>
      <c r="FS312" s="1094">
        <f t="shared" ref="FS312:FX312" si="1659">FS311/FK311-1</f>
        <v>7.16666666666667</v>
      </c>
      <c r="FT312" s="1094">
        <f t="shared" si="1659"/>
        <v>0.967213114754098</v>
      </c>
      <c r="FU312" s="1094">
        <f t="shared" si="1659"/>
        <v>2.10144927536232</v>
      </c>
      <c r="FV312" s="1275">
        <f t="shared" si="1659"/>
        <v>4.10526315789474</v>
      </c>
      <c r="FW312" s="1094">
        <f t="shared" si="1659"/>
        <v>0.746666666666667</v>
      </c>
      <c r="FX312" s="1094">
        <f t="shared" si="1659"/>
        <v>1.42553191489362</v>
      </c>
      <c r="FY312" s="1094">
        <f t="shared" ref="FY312" si="1660">FY311/FQ311-1</f>
        <v>0.746478873239437</v>
      </c>
      <c r="FZ312" s="1094">
        <f t="shared" ref="FZ312" si="1661">FZ311/FR311-1</f>
        <v>1.13333333333333</v>
      </c>
      <c r="GA312" s="1094">
        <f t="shared" ref="GA312" si="1662">GA311/FS311-1</f>
        <v>1.36734693877551</v>
      </c>
      <c r="GB312" s="1094">
        <f t="shared" ref="GB312" si="1663">GB311/FT311-1</f>
        <v>1</v>
      </c>
      <c r="GC312" s="1093">
        <f t="shared" ref="GC312" si="1664">GC311/FU311-1</f>
        <v>1.18691588785047</v>
      </c>
      <c r="GD312" s="1275">
        <f>GD311/97-1</f>
        <v>0.0103092783505154</v>
      </c>
      <c r="GE312" s="1094">
        <f>GE311/FW311-1</f>
        <v>0.381679389312977</v>
      </c>
      <c r="GF312" s="1094">
        <f>GF311/FX311-1</f>
        <v>0.223684210526316</v>
      </c>
      <c r="GG312" s="1094">
        <f>GG311/FY311-1</f>
        <v>0.846774193548387</v>
      </c>
      <c r="GH312" s="1094">
        <f>GH311/FZ311-1</f>
        <v>0.443181818181818</v>
      </c>
      <c r="GI312" s="1094">
        <f t="shared" ref="GI312" si="1665">GI311/GA311-1</f>
        <v>0.637931034482759</v>
      </c>
      <c r="GJ312" s="1094">
        <f t="shared" ref="GJ312" si="1666">GJ311/GB311-1</f>
        <v>0.745833333333333</v>
      </c>
      <c r="GK312" s="1093">
        <f t="shared" ref="GK312:GP312" si="1667">GK311/GC311-1</f>
        <v>0.491452991452991</v>
      </c>
      <c r="GL312" s="1094">
        <f t="shared" si="1667"/>
        <v>0.275510204081633</v>
      </c>
      <c r="GM312" s="1094">
        <f t="shared" si="1667"/>
        <v>-0.237569060773481</v>
      </c>
      <c r="GN312" s="1094">
        <f t="shared" si="1667"/>
        <v>-0.057347670250896</v>
      </c>
      <c r="GO312" s="1094">
        <f t="shared" si="1667"/>
        <v>0.034934497816594</v>
      </c>
      <c r="GP312" s="1094">
        <f t="shared" si="1667"/>
        <v>-0.015748031496063</v>
      </c>
      <c r="GQ312" s="1094">
        <f t="shared" ref="GQ312" si="1668">GQ311/GI311-1</f>
        <v>0.131578947368421</v>
      </c>
      <c r="GR312" s="1094">
        <f t="shared" ref="GR312" si="1669">GR311/GJ311-1</f>
        <v>0.0787589498806682</v>
      </c>
      <c r="GS312" s="1093">
        <f t="shared" ref="GS312:GX312" si="1670">GS311/GK311-1</f>
        <v>0.0243553008595989</v>
      </c>
      <c r="GT312" s="1094">
        <f t="shared" si="1670"/>
        <v>-0.32</v>
      </c>
      <c r="GU312" s="1094">
        <f t="shared" si="1670"/>
        <v>-1.10144927536232</v>
      </c>
      <c r="GV312" s="1094">
        <f t="shared" si="1670"/>
        <v>-0.730038022813688</v>
      </c>
      <c r="GW312" s="1094">
        <f t="shared" si="1670"/>
        <v>0.274261603375527</v>
      </c>
      <c r="GX312" s="1094">
        <f t="shared" si="1670"/>
        <v>-0.254</v>
      </c>
      <c r="GY312" s="1094"/>
      <c r="GZ312" s="1094"/>
      <c r="HA312" s="1093"/>
      <c r="HB312" s="1094"/>
      <c r="HC312" s="1094"/>
      <c r="HD312" s="1094"/>
      <c r="HE312" s="1094"/>
      <c r="HF312" s="1094"/>
      <c r="HG312" s="1094"/>
      <c r="HH312" s="1094"/>
      <c r="HI312" s="1093"/>
      <c r="HJ312" s="1094">
        <f>HJ311/HB311-1</f>
        <v>0.24757281553398</v>
      </c>
      <c r="HK312" s="1094">
        <f>HK311/HC311-1</f>
        <v>0.49792531120332</v>
      </c>
      <c r="HL312" s="1094"/>
      <c r="HM312" s="1094"/>
      <c r="HN312" s="1094"/>
      <c r="HO312" s="1094"/>
      <c r="HP312" s="1094"/>
      <c r="HQ312" s="1093"/>
      <c r="HR312" s="1094"/>
      <c r="HS312" s="1094"/>
      <c r="HT312" s="1094"/>
      <c r="HU312" s="1094"/>
      <c r="HV312" s="1094"/>
      <c r="HW312" s="1094"/>
      <c r="HX312" s="1094"/>
      <c r="HY312" s="1094"/>
      <c r="HZ312" s="1094"/>
      <c r="IA312" s="1094"/>
      <c r="IB312" s="1094"/>
      <c r="IC312" s="1094"/>
      <c r="ID312" s="1094"/>
      <c r="IE312" s="1094"/>
      <c r="IF312" s="1094"/>
      <c r="IG312" s="1093"/>
      <c r="IH312" s="1094"/>
      <c r="II312" s="1094"/>
      <c r="IJ312" s="1094"/>
      <c r="IK312" s="1094"/>
      <c r="IL312" s="1094"/>
      <c r="IM312" s="1094"/>
      <c r="IN312" s="1094"/>
      <c r="IO312" s="1093"/>
      <c r="IP312" s="1094"/>
      <c r="IQ312" s="1094"/>
      <c r="IR312" s="1094"/>
      <c r="IS312" s="1094"/>
      <c r="IT312" s="1094"/>
      <c r="IU312" s="1094"/>
      <c r="IV312" s="1094"/>
      <c r="IW312" s="1094"/>
      <c r="IX312" s="1104"/>
      <c r="IY312" s="1049"/>
      <c r="IZ312" s="1049"/>
      <c r="JA312" s="1049"/>
      <c r="JB312" s="1049"/>
      <c r="JC312" s="1049"/>
      <c r="JD312" s="1041"/>
      <c r="JE312" s="1037"/>
      <c r="JF312" s="1037"/>
      <c r="JG312" s="1037"/>
      <c r="JH312" s="1037"/>
      <c r="JI312" s="1035"/>
      <c r="JJ312" s="1035"/>
      <c r="JK312" s="1035"/>
      <c r="JL312" s="1035"/>
      <c r="JM312" s="1035"/>
      <c r="JN312" s="1035"/>
      <c r="JO312" s="1035"/>
      <c r="JP312" s="1035"/>
      <c r="JQ312" s="1035"/>
      <c r="JR312" s="1035"/>
      <c r="JS312" s="1035"/>
      <c r="JT312" s="1035"/>
      <c r="JU312" s="1035"/>
      <c r="JV312" s="1035"/>
      <c r="JW312" s="1035"/>
      <c r="JX312" s="1035"/>
      <c r="JY312" s="1035"/>
      <c r="KP312" s="1117"/>
      <c r="LV312" s="967"/>
    </row>
    <row r="313" spans="1:334">
      <c r="A313" s="967" t="s">
        <v>132</v>
      </c>
      <c r="AX313" s="1059"/>
      <c r="BE313" s="1060"/>
      <c r="BN313" s="1059"/>
      <c r="BU313" s="1060"/>
      <c r="BV313" s="1059"/>
      <c r="CC313" s="1060"/>
      <c r="CD313" s="1059"/>
      <c r="CJ313" s="1061"/>
      <c r="CK313" s="1060"/>
      <c r="CL313" s="1059"/>
      <c r="CS313" s="1060"/>
      <c r="CT313" s="1059"/>
      <c r="CW313" s="1062"/>
      <c r="CX313" s="1062"/>
      <c r="DE313" s="1064"/>
      <c r="DF313" s="1064"/>
      <c r="DM313" s="1064"/>
      <c r="DN313" s="1064"/>
      <c r="DU313" s="1064"/>
      <c r="DV313" s="1064"/>
      <c r="EC313" s="1064"/>
      <c r="ED313" s="1064"/>
      <c r="EH313" s="1181"/>
      <c r="EI313" s="1181"/>
      <c r="EJ313" s="1181"/>
      <c r="EK313" s="1181"/>
      <c r="EL313" s="1181"/>
      <c r="EM313" s="1181"/>
      <c r="EN313" s="1181"/>
      <c r="EO313" s="1182"/>
      <c r="EP313" s="1181"/>
      <c r="EQ313" s="1181"/>
      <c r="ER313" s="1181"/>
      <c r="ES313" s="1181"/>
      <c r="ET313" s="1181"/>
      <c r="EU313" s="1181"/>
      <c r="EV313" s="1181"/>
      <c r="EW313" s="1182"/>
      <c r="EX313" s="1094">
        <f>EX311/EX$229</f>
        <v>0.0281385281385281</v>
      </c>
      <c r="EY313" s="1094">
        <f t="shared" ref="EY313:FH313" si="1671">EY311/EY$229</f>
        <v>0.0549242424242424</v>
      </c>
      <c r="EZ313" s="1094">
        <f t="shared" si="1671"/>
        <v>0.0424242424242424</v>
      </c>
      <c r="FA313" s="1094">
        <f t="shared" si="1671"/>
        <v>0.0630048465266559</v>
      </c>
      <c r="FB313" s="1094">
        <f t="shared" si="1671"/>
        <v>0.0503418272218769</v>
      </c>
      <c r="FC313" s="1094">
        <f t="shared" si="1671"/>
        <v>0.0657894736842105</v>
      </c>
      <c r="FD313" s="1094">
        <f t="shared" si="1671"/>
        <v>0.0643846780766096</v>
      </c>
      <c r="FE313" s="1093">
        <f t="shared" si="1671"/>
        <v>0.0545782589084348</v>
      </c>
      <c r="FF313" s="1094">
        <f t="shared" si="1671"/>
        <v>-0.0152284263959391</v>
      </c>
      <c r="FG313" s="1094">
        <f t="shared" si="1671"/>
        <v>0.0264385692068429</v>
      </c>
      <c r="FH313" s="1094">
        <f t="shared" si="1671"/>
        <v>0.00648298217179903</v>
      </c>
      <c r="FI313" s="1094">
        <f t="shared" ref="FI313:FR313" si="1672">FI311/FI$229</f>
        <v>0.0708762886597938</v>
      </c>
      <c r="FJ313" s="1094">
        <f t="shared" si="1672"/>
        <v>0.0313432835820895</v>
      </c>
      <c r="FK313" s="1094">
        <f t="shared" si="1672"/>
        <v>0.00806451612903226</v>
      </c>
      <c r="FL313" s="1094">
        <f t="shared" si="1672"/>
        <v>0.0401315789473684</v>
      </c>
      <c r="FM313" s="1093">
        <f t="shared" si="1672"/>
        <v>0.0250544662309368</v>
      </c>
      <c r="FN313" s="1094">
        <f t="shared" si="1672"/>
        <v>0.0260989010989011</v>
      </c>
      <c r="FO313" s="1094">
        <f t="shared" si="1672"/>
        <v>0.0951776649746193</v>
      </c>
      <c r="FP313" s="1094">
        <f t="shared" si="1672"/>
        <v>0.0620052770448549</v>
      </c>
      <c r="FQ313" s="1094">
        <f t="shared" si="1672"/>
        <v>0.0765911542610572</v>
      </c>
      <c r="FR313" s="1094">
        <f t="shared" si="1672"/>
        <v>0.0675399099467867</v>
      </c>
      <c r="FS313" s="1094">
        <f t="shared" ref="FS313:FZ313" si="1673">FS311/FS$229</f>
        <v>0.0505675954592363</v>
      </c>
      <c r="FT313" s="1094">
        <f t="shared" si="1673"/>
        <v>0.0632911392405063</v>
      </c>
      <c r="FU313" s="1094">
        <f t="shared" si="1673"/>
        <v>0.0627198124267292</v>
      </c>
      <c r="FV313" s="1275">
        <f t="shared" si="1673"/>
        <v>0.0981781376518219</v>
      </c>
      <c r="FW313" s="1094">
        <f t="shared" si="1673"/>
        <v>0.129191321499014</v>
      </c>
      <c r="FX313" s="1094">
        <f t="shared" si="1673"/>
        <v>0.113886113886114</v>
      </c>
      <c r="FY313" s="1094">
        <f t="shared" si="1673"/>
        <v>0.112829845313922</v>
      </c>
      <c r="FZ313" s="1094">
        <f t="shared" si="1673"/>
        <v>0.113511770396646</v>
      </c>
      <c r="GA313" s="1094">
        <f t="shared" ref="GA313:GC313" si="1674">GA311/GA$229</f>
        <v>0.0988074957410562</v>
      </c>
      <c r="GB313" s="1094">
        <f t="shared" si="1674"/>
        <v>0.105587329520458</v>
      </c>
      <c r="GC313" s="1093">
        <f t="shared" si="1674"/>
        <v>0.109473684210526</v>
      </c>
      <c r="GD313" s="1275">
        <f t="shared" ref="GD313:GF313" si="1675">GD311/GD$229</f>
        <v>0.0942307692307693</v>
      </c>
      <c r="GE313" s="1094">
        <f t="shared" si="1675"/>
        <v>0.16728280961183</v>
      </c>
      <c r="GF313" s="1094">
        <f t="shared" si="1675"/>
        <v>0.131479736098021</v>
      </c>
      <c r="GG313" s="1094">
        <f t="shared" ref="GG313:GN313" si="1676">GG311/GG$229</f>
        <v>0.180457052797478</v>
      </c>
      <c r="GH313" s="1094">
        <f t="shared" si="1676"/>
        <v>0.149808316130935</v>
      </c>
      <c r="GI313" s="1094">
        <f t="shared" si="1676"/>
        <v>0.146491904394757</v>
      </c>
      <c r="GJ313" s="1094">
        <f t="shared" si="1676"/>
        <v>0.163289166017147</v>
      </c>
      <c r="GK313" s="1093">
        <f t="shared" si="1676"/>
        <v>0.148890784982935</v>
      </c>
      <c r="GL313" s="1094">
        <f t="shared" si="1676"/>
        <v>0.108038029386344</v>
      </c>
      <c r="GM313" s="1094">
        <f t="shared" si="1676"/>
        <v>0.113767518549052</v>
      </c>
      <c r="GN313" s="1094">
        <f t="shared" si="1676"/>
        <v>0.110970464135021</v>
      </c>
      <c r="GO313" s="1094">
        <f t="shared" ref="GO313:GV313" si="1677">GO311/GO$229</f>
        <v>0.161444141689373</v>
      </c>
      <c r="GP313" s="1094">
        <f t="shared" si="1677"/>
        <v>0.130276185513288</v>
      </c>
      <c r="GQ313" s="1094">
        <f t="shared" si="1677"/>
        <v>0.145762711864407</v>
      </c>
      <c r="GR313" s="1094">
        <f t="shared" si="1677"/>
        <v>0.153584777437988</v>
      </c>
      <c r="GS313" s="1093">
        <f t="shared" si="1677"/>
        <v>0.134575569358178</v>
      </c>
      <c r="GT313" s="1094">
        <f t="shared" si="1677"/>
        <v>0.070774354704413</v>
      </c>
      <c r="GU313" s="1094">
        <f t="shared" si="1677"/>
        <v>-0.018348623853211</v>
      </c>
      <c r="GV313" s="1094">
        <f t="shared" si="1677"/>
        <v>0.0361507128309572</v>
      </c>
      <c r="GW313" s="1094">
        <f t="shared" ref="GW313:GX313" si="1678">GW311/GW$229</f>
        <v>0.217350312567022</v>
      </c>
      <c r="GX313" s="1094">
        <f t="shared" si="1678"/>
        <v>0.111228336566808</v>
      </c>
      <c r="GY313" s="1094"/>
      <c r="GZ313" s="1094"/>
      <c r="HA313" s="1093"/>
      <c r="HB313" s="1094">
        <f t="shared" ref="HB313:HG313" si="1679">HB311/HB174</f>
        <v>0.178046672428695</v>
      </c>
      <c r="HC313" s="1094">
        <f t="shared" si="1679"/>
        <v>0.192954363490793</v>
      </c>
      <c r="HD313" s="1094">
        <f t="shared" si="1679"/>
        <v>0.185785536159601</v>
      </c>
      <c r="HE313" s="1094">
        <f t="shared" si="1679"/>
        <v>0.202722063037249</v>
      </c>
      <c r="HF313" s="1094">
        <f t="shared" si="1679"/>
        <v>0.192004208311415</v>
      </c>
      <c r="HG313" s="1094">
        <f t="shared" si="1679"/>
        <v>0.176515732924021</v>
      </c>
      <c r="HH313" s="1094"/>
      <c r="HI313" s="1093">
        <f>HI311/HI174</f>
        <v>0.188050930460333</v>
      </c>
      <c r="HJ313" s="1094">
        <f>HJ311/HJ174</f>
        <v>0.183309557774608</v>
      </c>
      <c r="HK313" s="1094">
        <f>HK311/HK174</f>
        <v>0.211606096131301</v>
      </c>
      <c r="HL313" s="1094"/>
      <c r="HM313" s="1094"/>
      <c r="HN313" s="1094"/>
      <c r="HO313" s="1094"/>
      <c r="HP313" s="1094"/>
      <c r="HQ313" s="1093"/>
      <c r="HR313" s="1094"/>
      <c r="HS313" s="1094"/>
      <c r="HT313" s="1094"/>
      <c r="HU313" s="1094"/>
      <c r="HV313" s="1094"/>
      <c r="HW313" s="1094"/>
      <c r="HX313" s="1094"/>
      <c r="HY313" s="1094"/>
      <c r="HZ313" s="1094"/>
      <c r="IA313" s="1094"/>
      <c r="IB313" s="1094"/>
      <c r="IC313" s="1094"/>
      <c r="ID313" s="1094"/>
      <c r="IE313" s="1094"/>
      <c r="IF313" s="1094"/>
      <c r="IG313" s="1093"/>
      <c r="IH313" s="1094"/>
      <c r="II313" s="1094"/>
      <c r="IJ313" s="1094"/>
      <c r="IK313" s="1094"/>
      <c r="IL313" s="1094"/>
      <c r="IM313" s="1094"/>
      <c r="IN313" s="1094"/>
      <c r="IO313" s="1093"/>
      <c r="IP313" s="1094"/>
      <c r="IQ313" s="1094"/>
      <c r="IR313" s="1094"/>
      <c r="IS313" s="1094"/>
      <c r="IT313" s="1094"/>
      <c r="IU313" s="1094"/>
      <c r="IV313" s="1094"/>
      <c r="IW313" s="1094"/>
      <c r="IX313" s="1104"/>
      <c r="IY313" s="1049"/>
      <c r="IZ313" s="1049"/>
      <c r="JA313" s="1049"/>
      <c r="JB313" s="1049"/>
      <c r="JC313" s="1049"/>
      <c r="JD313" s="1041"/>
      <c r="JE313" s="1037"/>
      <c r="JF313" s="1037"/>
      <c r="JG313" s="1037"/>
      <c r="JH313" s="1037"/>
      <c r="JI313" s="1035"/>
      <c r="JJ313" s="1035"/>
      <c r="JK313" s="1035"/>
      <c r="JL313" s="1035"/>
      <c r="JM313" s="1035"/>
      <c r="JN313" s="1035"/>
      <c r="JO313" s="1035"/>
      <c r="JP313" s="1035"/>
      <c r="JQ313" s="1035"/>
      <c r="JR313" s="1035"/>
      <c r="JS313" s="1035"/>
      <c r="JT313" s="1035"/>
      <c r="JU313" s="1035"/>
      <c r="JV313" s="1035"/>
      <c r="JW313" s="1035"/>
      <c r="JX313" s="1035"/>
      <c r="JY313" s="1035"/>
      <c r="KP313" s="1117"/>
      <c r="LV313" s="967"/>
    </row>
    <row r="314" spans="1:334">
      <c r="A314" s="1281" t="s">
        <v>102</v>
      </c>
      <c r="B314" s="1255"/>
      <c r="C314" s="1255"/>
      <c r="D314" s="1255"/>
      <c r="E314" s="1255"/>
      <c r="F314" s="1255"/>
      <c r="G314" s="1255"/>
      <c r="H314" s="1255"/>
      <c r="I314" s="1255"/>
      <c r="J314" s="1255"/>
      <c r="K314" s="1255"/>
      <c r="L314" s="1255"/>
      <c r="M314" s="1255"/>
      <c r="N314" s="1255"/>
      <c r="O314" s="1255"/>
      <c r="P314" s="1255"/>
      <c r="Q314" s="1255"/>
      <c r="R314" s="1255"/>
      <c r="S314" s="1255"/>
      <c r="T314" s="1255"/>
      <c r="U314" s="1255"/>
      <c r="V314" s="1255"/>
      <c r="W314" s="1255"/>
      <c r="X314" s="1255"/>
      <c r="Y314" s="1255"/>
      <c r="Z314" s="1255"/>
      <c r="AA314" s="1255"/>
      <c r="AB314" s="1255"/>
      <c r="AC314" s="1255"/>
      <c r="AD314" s="1255"/>
      <c r="AE314" s="1255"/>
      <c r="AF314" s="1255"/>
      <c r="AG314" s="1255"/>
      <c r="AH314" s="1255"/>
      <c r="AI314" s="1255"/>
      <c r="AJ314" s="1255"/>
      <c r="AK314" s="1255"/>
      <c r="AL314" s="1255"/>
      <c r="AM314" s="1255"/>
      <c r="AN314" s="1255"/>
      <c r="AO314" s="1255"/>
      <c r="AP314" s="1255"/>
      <c r="AQ314" s="1255"/>
      <c r="AR314" s="1255"/>
      <c r="AS314" s="1255"/>
      <c r="AT314" s="1255"/>
      <c r="AU314" s="1255"/>
      <c r="AV314" s="1255"/>
      <c r="AW314" s="1255"/>
      <c r="AX314" s="1256"/>
      <c r="AY314" s="1255"/>
      <c r="AZ314" s="1255"/>
      <c r="BA314" s="1255"/>
      <c r="BB314" s="1255"/>
      <c r="BC314" s="1255"/>
      <c r="BD314" s="1255"/>
      <c r="BE314" s="1257"/>
      <c r="BF314" s="1255"/>
      <c r="BG314" s="1255"/>
      <c r="BH314" s="1255"/>
      <c r="BI314" s="1255"/>
      <c r="BJ314" s="1255"/>
      <c r="BK314" s="1255"/>
      <c r="BL314" s="1255"/>
      <c r="BM314" s="1255"/>
      <c r="BN314" s="1256"/>
      <c r="BO314" s="1255"/>
      <c r="BP314" s="1255"/>
      <c r="BQ314" s="1255"/>
      <c r="BR314" s="1255"/>
      <c r="BS314" s="1255"/>
      <c r="BT314" s="1255"/>
      <c r="BU314" s="1257"/>
      <c r="BV314" s="1256"/>
      <c r="BW314" s="1255"/>
      <c r="BX314" s="1255"/>
      <c r="BY314" s="1255"/>
      <c r="BZ314" s="1255"/>
      <c r="CA314" s="1255"/>
      <c r="CB314" s="1255"/>
      <c r="CC314" s="1257"/>
      <c r="CD314" s="1256"/>
      <c r="CE314" s="1255"/>
      <c r="CF314" s="1255"/>
      <c r="CG314" s="1255"/>
      <c r="CH314" s="1255"/>
      <c r="CI314" s="1255"/>
      <c r="CJ314" s="1258"/>
      <c r="CK314" s="1257"/>
      <c r="CL314" s="1256"/>
      <c r="CM314" s="1255"/>
      <c r="CN314" s="1255"/>
      <c r="CO314" s="1255"/>
      <c r="CP314" s="1255"/>
      <c r="CQ314" s="1255"/>
      <c r="CR314" s="1255"/>
      <c r="CS314" s="1257"/>
      <c r="CT314" s="1256"/>
      <c r="CU314" s="1255"/>
      <c r="CV314" s="1255"/>
      <c r="CW314" s="1259"/>
      <c r="CX314" s="1259"/>
      <c r="CY314" s="1255"/>
      <c r="CZ314" s="1255"/>
      <c r="DA314" s="1255"/>
      <c r="DB314" s="1260"/>
      <c r="DC314" s="1260"/>
      <c r="DD314" s="1260"/>
      <c r="DE314" s="1261"/>
      <c r="DF314" s="1261"/>
      <c r="DG314" s="1260"/>
      <c r="DH314" s="1260"/>
      <c r="DI314" s="1262"/>
      <c r="DJ314" s="1260"/>
      <c r="DK314" s="1260"/>
      <c r="DL314" s="1260"/>
      <c r="DM314" s="1261"/>
      <c r="DN314" s="1261"/>
      <c r="DO314" s="1260"/>
      <c r="DP314" s="1260"/>
      <c r="DQ314" s="1262"/>
      <c r="DR314" s="1260"/>
      <c r="DS314" s="1260"/>
      <c r="DT314" s="1260"/>
      <c r="DU314" s="1261"/>
      <c r="DV314" s="1261"/>
      <c r="DW314" s="1260"/>
      <c r="DX314" s="1260"/>
      <c r="DY314" s="1262"/>
      <c r="DZ314" s="1260"/>
      <c r="EA314" s="1260"/>
      <c r="EB314" s="1260"/>
      <c r="EC314" s="1261"/>
      <c r="ED314" s="1261"/>
      <c r="EE314" s="1260"/>
      <c r="EF314" s="1260"/>
      <c r="EG314" s="1262"/>
      <c r="EH314" s="1282"/>
      <c r="EI314" s="1282"/>
      <c r="EJ314" s="1282"/>
      <c r="EK314" s="1282"/>
      <c r="EL314" s="1282"/>
      <c r="EM314" s="1282"/>
      <c r="EN314" s="1282"/>
      <c r="EO314" s="1283"/>
      <c r="EP314" s="1282"/>
      <c r="EQ314" s="1282"/>
      <c r="ER314" s="1282"/>
      <c r="ES314" s="1282"/>
      <c r="ET314" s="1282"/>
      <c r="EU314" s="1282"/>
      <c r="EV314" s="1282"/>
      <c r="EW314" s="1283"/>
      <c r="EX314" s="1282"/>
      <c r="EY314" s="1282"/>
      <c r="EZ314" s="1282"/>
      <c r="FA314" s="1282"/>
      <c r="FB314" s="1282"/>
      <c r="FC314" s="1282"/>
      <c r="FD314" s="1282"/>
      <c r="FE314" s="1283"/>
      <c r="FF314" s="1282"/>
      <c r="FG314" s="1282"/>
      <c r="FH314" s="1282"/>
      <c r="FI314" s="1282"/>
      <c r="FJ314" s="1282"/>
      <c r="FK314" s="1282"/>
      <c r="FL314" s="1282"/>
      <c r="FM314" s="1283"/>
      <c r="FN314" s="1282"/>
      <c r="FO314" s="1282"/>
      <c r="FP314" s="1282"/>
      <c r="FQ314" s="1282"/>
      <c r="FR314" s="1282"/>
      <c r="FS314" s="1282"/>
      <c r="FT314" s="1282"/>
      <c r="FU314" s="1282"/>
      <c r="FV314" s="1285"/>
      <c r="FW314" s="1282"/>
      <c r="FX314" s="1282"/>
      <c r="FY314" s="1282"/>
      <c r="FZ314" s="1282"/>
      <c r="GA314" s="1282"/>
      <c r="GB314" s="1282"/>
      <c r="GC314" s="1283"/>
      <c r="GD314" s="1285"/>
      <c r="GE314" s="1282"/>
      <c r="GF314" s="1282"/>
      <c r="GG314" s="1282"/>
      <c r="GH314" s="1282"/>
      <c r="GI314" s="1282"/>
      <c r="GJ314" s="1282"/>
      <c r="GK314" s="1283"/>
      <c r="GL314" s="1282"/>
      <c r="GM314" s="1282"/>
      <c r="GN314" s="1282"/>
      <c r="GO314" s="1282"/>
      <c r="GP314" s="1282"/>
      <c r="GQ314" s="1282"/>
      <c r="GR314" s="1282"/>
      <c r="GS314" s="1283"/>
      <c r="GT314" s="1282"/>
      <c r="GU314" s="1282"/>
      <c r="GV314" s="1282"/>
      <c r="GW314" s="1282"/>
      <c r="GX314" s="1282"/>
      <c r="GY314" s="1282"/>
      <c r="GZ314" s="1282"/>
      <c r="HA314" s="1283"/>
      <c r="HB314" s="1282"/>
      <c r="HC314" s="1282"/>
      <c r="HD314" s="1282"/>
      <c r="HE314" s="1282"/>
      <c r="HF314" s="1282"/>
      <c r="HG314" s="1282"/>
      <c r="HH314" s="1282"/>
      <c r="HI314" s="1283"/>
      <c r="HJ314" s="1282"/>
      <c r="HK314" s="1282"/>
      <c r="HL314" s="1282"/>
      <c r="HM314" s="1282"/>
      <c r="HN314" s="1282"/>
      <c r="HO314" s="1282"/>
      <c r="HP314" s="1282"/>
      <c r="HQ314" s="1283"/>
      <c r="HR314" s="1282"/>
      <c r="HS314" s="1282"/>
      <c r="HT314" s="1282"/>
      <c r="HU314" s="1282"/>
      <c r="HV314" s="1282"/>
      <c r="HW314" s="1282"/>
      <c r="HX314" s="1282"/>
      <c r="HY314" s="1282"/>
      <c r="HZ314" s="1282"/>
      <c r="IA314" s="1282"/>
      <c r="IB314" s="1282"/>
      <c r="IC314" s="1282"/>
      <c r="ID314" s="1282"/>
      <c r="IE314" s="1282"/>
      <c r="IF314" s="1282"/>
      <c r="IG314" s="1283"/>
      <c r="IH314" s="1282"/>
      <c r="II314" s="1282"/>
      <c r="IJ314" s="1282"/>
      <c r="IK314" s="1282"/>
      <c r="IL314" s="1282"/>
      <c r="IM314" s="1282"/>
      <c r="IN314" s="1282"/>
      <c r="IO314" s="1283"/>
      <c r="IP314" s="1282"/>
      <c r="IQ314" s="1282"/>
      <c r="IR314" s="1282"/>
      <c r="IS314" s="1282"/>
      <c r="IT314" s="1282"/>
      <c r="IU314" s="1282"/>
      <c r="IV314" s="1282"/>
      <c r="IW314" s="1282"/>
      <c r="IX314" s="1104"/>
      <c r="IY314" s="1049"/>
      <c r="IZ314" s="1049"/>
      <c r="JA314" s="1049"/>
      <c r="JB314" s="1049"/>
      <c r="JC314" s="1049"/>
      <c r="JD314" s="1041"/>
      <c r="JE314" s="1037"/>
      <c r="JF314" s="1037"/>
      <c r="JG314" s="1037"/>
      <c r="JH314" s="1037"/>
      <c r="JI314" s="1035"/>
      <c r="JJ314" s="1035"/>
      <c r="JK314" s="1035"/>
      <c r="JL314" s="1035"/>
      <c r="JM314" s="1035"/>
      <c r="JN314" s="1035"/>
      <c r="JO314" s="1035"/>
      <c r="JP314" s="1035"/>
      <c r="JQ314" s="1035"/>
      <c r="JR314" s="1035"/>
      <c r="JS314" s="1035"/>
      <c r="JT314" s="1035"/>
      <c r="JU314" s="1035"/>
      <c r="JV314" s="1035"/>
      <c r="JW314" s="1035"/>
      <c r="JX314" s="1035"/>
      <c r="JY314" s="1035"/>
      <c r="KP314" s="1117"/>
      <c r="LV314" s="967"/>
    </row>
    <row r="315" spans="1:334">
      <c r="A315" s="967" t="s">
        <v>126</v>
      </c>
      <c r="AX315" s="1059"/>
      <c r="BE315" s="1060"/>
      <c r="BN315" s="1059"/>
      <c r="BU315" s="1060"/>
      <c r="BV315" s="1059"/>
      <c r="CC315" s="1060"/>
      <c r="CD315" s="1059"/>
      <c r="CJ315" s="1061"/>
      <c r="CK315" s="1060"/>
      <c r="CL315" s="1059"/>
      <c r="CS315" s="1060"/>
      <c r="CT315" s="1059"/>
      <c r="CW315" s="1062"/>
      <c r="CX315" s="1062"/>
      <c r="DE315" s="1064"/>
      <c r="DF315" s="1064"/>
      <c r="DM315" s="1064"/>
      <c r="DN315" s="1064"/>
      <c r="DU315" s="1064"/>
      <c r="DV315" s="1064"/>
      <c r="EC315" s="1064"/>
      <c r="ED315" s="1064"/>
      <c r="EH315" s="1181"/>
      <c r="EI315" s="1181"/>
      <c r="EJ315" s="1181"/>
      <c r="EK315" s="1181"/>
      <c r="EL315" s="1181"/>
      <c r="EM315" s="1181"/>
      <c r="EN315" s="1181"/>
      <c r="EO315" s="1182"/>
      <c r="EP315" s="1181"/>
      <c r="EQ315" s="1181"/>
      <c r="ER315" s="1181"/>
      <c r="ES315" s="1181"/>
      <c r="ET315" s="1181"/>
      <c r="EU315" s="1181"/>
      <c r="EV315" s="1181"/>
      <c r="EW315" s="1182"/>
      <c r="EX315" s="1148">
        <f>EX236-EX316</f>
        <v>223</v>
      </c>
      <c r="EY315" s="1148">
        <f t="shared" ref="EY315:FJ315" si="1680">EY236-EY316</f>
        <v>241</v>
      </c>
      <c r="EZ315" s="1148">
        <f t="shared" si="1680"/>
        <v>464</v>
      </c>
      <c r="FA315" s="1148">
        <f t="shared" si="1680"/>
        <v>258</v>
      </c>
      <c r="FB315" s="1148">
        <f t="shared" si="1680"/>
        <v>722</v>
      </c>
      <c r="FC315" s="1148">
        <f t="shared" si="1680"/>
        <v>241</v>
      </c>
      <c r="FD315" s="1148">
        <f t="shared" si="1680"/>
        <v>499</v>
      </c>
      <c r="FE315" s="1149">
        <f t="shared" si="1680"/>
        <v>963</v>
      </c>
      <c r="FF315" s="1148">
        <f t="shared" si="1680"/>
        <v>244</v>
      </c>
      <c r="FG315" s="1148">
        <f t="shared" si="1680"/>
        <v>261</v>
      </c>
      <c r="FH315" s="1148">
        <f t="shared" si="1680"/>
        <v>505</v>
      </c>
      <c r="FI315" s="1148">
        <f t="shared" si="1680"/>
        <v>274</v>
      </c>
      <c r="FJ315" s="1148">
        <f t="shared" si="1680"/>
        <v>779</v>
      </c>
      <c r="FK315" s="1148">
        <f>FK179-FK316</f>
        <v>248</v>
      </c>
      <c r="FL315" s="1148">
        <f>FL179-FL316</f>
        <v>522</v>
      </c>
      <c r="FM315" s="1149">
        <f>FM179-FM316</f>
        <v>1027</v>
      </c>
      <c r="FN315" s="1148">
        <f>FN236-FN316</f>
        <v>216</v>
      </c>
      <c r="FO315" s="1148">
        <f>FO236-FO316</f>
        <v>223</v>
      </c>
      <c r="FP315" s="1148">
        <f>FP236-FP316</f>
        <v>439</v>
      </c>
      <c r="FQ315" s="1148">
        <f>FQ236-FQ316</f>
        <v>292</v>
      </c>
      <c r="FR315" s="1148">
        <f>FR236-FR316</f>
        <v>731</v>
      </c>
      <c r="FS315" s="1148">
        <f>FS179-FS316</f>
        <v>266</v>
      </c>
      <c r="FT315" s="1148">
        <f>FT179-FT316</f>
        <v>558</v>
      </c>
      <c r="FU315" s="1148">
        <f>FU179-FU316</f>
        <v>997</v>
      </c>
      <c r="FV315" s="1151">
        <f>FV236-FV316</f>
        <v>273</v>
      </c>
      <c r="FW315" s="1148">
        <f>FW236-FW316</f>
        <v>268</v>
      </c>
      <c r="FX315" s="1148">
        <f>FX236-FX316</f>
        <v>541</v>
      </c>
      <c r="FY315" s="1148">
        <f>FY236-FY316</f>
        <v>302</v>
      </c>
      <c r="FZ315" s="1148">
        <f>FZ236-FZ316</f>
        <v>843</v>
      </c>
      <c r="GA315" s="1148">
        <f>GA179-GA316</f>
        <v>261</v>
      </c>
      <c r="GB315" s="1148">
        <f>GB179-GB316</f>
        <v>563</v>
      </c>
      <c r="GC315" s="1149">
        <f>GC179-GC316</f>
        <v>1104</v>
      </c>
      <c r="GD315" s="1151">
        <f>GD236-GD316</f>
        <v>239</v>
      </c>
      <c r="GE315" s="1148">
        <f>GE236-GE316</f>
        <v>233</v>
      </c>
      <c r="GF315" s="1148">
        <f>GF236-GF316</f>
        <v>472</v>
      </c>
      <c r="GG315" s="1148">
        <f>GG236-GG316</f>
        <v>192</v>
      </c>
      <c r="GH315" s="1148">
        <f>GH236-GH316</f>
        <v>664</v>
      </c>
      <c r="GI315" s="1148">
        <f>GI179-GI316</f>
        <v>236</v>
      </c>
      <c r="GJ315" s="1148">
        <f>GJ179-GJ316</f>
        <v>428</v>
      </c>
      <c r="GK315" s="1149">
        <f>GK179-GK316</f>
        <v>900</v>
      </c>
      <c r="GL315" s="1148">
        <f>GL236-GL316</f>
        <v>202</v>
      </c>
      <c r="GM315" s="1148">
        <f>GM236-GM316</f>
        <v>226</v>
      </c>
      <c r="GN315" s="1148">
        <f>GN236-GN316</f>
        <v>428</v>
      </c>
      <c r="GO315" s="1148">
        <f>GO236-GO316</f>
        <v>226</v>
      </c>
      <c r="GP315" s="1148">
        <f>GP236-GP316</f>
        <v>654</v>
      </c>
      <c r="GQ315" s="1148">
        <f>GQ179-GQ316</f>
        <v>268</v>
      </c>
      <c r="GR315" s="1148">
        <f>GR179-GR316</f>
        <v>494</v>
      </c>
      <c r="GS315" s="1149">
        <f>GS179-GS316</f>
        <v>922</v>
      </c>
      <c r="GT315" s="1148">
        <f>GT236-GT316</f>
        <v>189</v>
      </c>
      <c r="GU315" s="1148">
        <f>GU236-GU316</f>
        <v>52</v>
      </c>
      <c r="GV315" s="1148">
        <f>GV236-GV316</f>
        <v>241</v>
      </c>
      <c r="GW315" s="1148">
        <f>GW236-GW316</f>
        <v>170.65</v>
      </c>
      <c r="GX315" s="1148">
        <f>GX236-GX316</f>
        <v>411.65</v>
      </c>
      <c r="GY315" s="1148"/>
      <c r="GZ315" s="1148"/>
      <c r="HA315" s="1149"/>
      <c r="HB315" s="1148">
        <f t="shared" ref="HB315:HG315" si="1681">HB179-HB316</f>
        <v>153</v>
      </c>
      <c r="HC315" s="1148">
        <f t="shared" si="1681"/>
        <v>181</v>
      </c>
      <c r="HD315" s="1148">
        <f t="shared" si="1681"/>
        <v>334</v>
      </c>
      <c r="HE315" s="1148">
        <f t="shared" si="1681"/>
        <v>213</v>
      </c>
      <c r="HF315" s="1148">
        <f t="shared" si="1681"/>
        <v>547</v>
      </c>
      <c r="HG315" s="1148">
        <f t="shared" si="1681"/>
        <v>203</v>
      </c>
      <c r="HH315" s="1148"/>
      <c r="HI315" s="1149">
        <f>HG315+HF315</f>
        <v>750</v>
      </c>
      <c r="HJ315" s="1148">
        <f>HJ179-HJ316</f>
        <v>234</v>
      </c>
      <c r="HK315" s="1148">
        <f>HK179-HK316</f>
        <v>261.000000000001</v>
      </c>
      <c r="HL315" s="1148"/>
      <c r="HM315" s="1148"/>
      <c r="HN315" s="1148"/>
      <c r="HO315" s="1148"/>
      <c r="HP315" s="1148"/>
      <c r="HQ315" s="1149"/>
      <c r="HR315" s="1148"/>
      <c r="HS315" s="1148"/>
      <c r="HT315" s="1148"/>
      <c r="HU315" s="1148"/>
      <c r="HV315" s="1148"/>
      <c r="HW315" s="1148"/>
      <c r="HX315" s="1148"/>
      <c r="HY315" s="1148"/>
      <c r="HZ315" s="1148"/>
      <c r="IA315" s="1148"/>
      <c r="IB315" s="1148"/>
      <c r="IC315" s="1148"/>
      <c r="ID315" s="1148"/>
      <c r="IE315" s="1148"/>
      <c r="IF315" s="1148"/>
      <c r="IG315" s="1149"/>
      <c r="IH315" s="1148"/>
      <c r="II315" s="1148"/>
      <c r="IJ315" s="1148"/>
      <c r="IK315" s="1148"/>
      <c r="IL315" s="1148"/>
      <c r="IM315" s="1148"/>
      <c r="IN315" s="1148"/>
      <c r="IO315" s="1149"/>
      <c r="IP315" s="1148"/>
      <c r="IQ315" s="1148"/>
      <c r="IR315" s="1148"/>
      <c r="IS315" s="1148"/>
      <c r="IT315" s="1148"/>
      <c r="IU315" s="1148"/>
      <c r="IV315" s="1148"/>
      <c r="IW315" s="1148"/>
      <c r="IX315" s="1104"/>
      <c r="IY315" s="1049"/>
      <c r="IZ315" s="1049"/>
      <c r="JA315" s="1049"/>
      <c r="JB315" s="1049"/>
      <c r="JC315" s="1049"/>
      <c r="JD315" s="1041"/>
      <c r="JE315" s="1037"/>
      <c r="JF315" s="1037"/>
      <c r="JG315" s="1037"/>
      <c r="JH315" s="1037"/>
      <c r="JI315" s="1035"/>
      <c r="JJ315" s="1035"/>
      <c r="JK315" s="1035"/>
      <c r="JL315" s="1035"/>
      <c r="JM315" s="1035"/>
      <c r="JN315" s="1035"/>
      <c r="JO315" s="1035"/>
      <c r="JP315" s="1035"/>
      <c r="JQ315" s="1035"/>
      <c r="JR315" s="1035"/>
      <c r="JS315" s="1035"/>
      <c r="JT315" s="1035"/>
      <c r="JU315" s="1035"/>
      <c r="JV315" s="1035"/>
      <c r="JW315" s="1035"/>
      <c r="JX315" s="1035"/>
      <c r="JY315" s="1035"/>
      <c r="KP315" s="1117"/>
      <c r="LV315" s="967"/>
    </row>
    <row r="316" spans="1:334">
      <c r="A316" s="1103" t="s">
        <v>127</v>
      </c>
      <c r="AX316" s="1059"/>
      <c r="BE316" s="1060"/>
      <c r="BN316" s="1059"/>
      <c r="BU316" s="1060"/>
      <c r="BV316" s="1059"/>
      <c r="CC316" s="1060"/>
      <c r="CD316" s="1059"/>
      <c r="CJ316" s="1061"/>
      <c r="CK316" s="1060"/>
      <c r="CL316" s="1059"/>
      <c r="CS316" s="1060"/>
      <c r="CT316" s="1059"/>
      <c r="CW316" s="1062"/>
      <c r="CX316" s="1062"/>
      <c r="DE316" s="1064"/>
      <c r="DF316" s="1064"/>
      <c r="DM316" s="1064"/>
      <c r="DN316" s="1064"/>
      <c r="DU316" s="1064"/>
      <c r="DV316" s="1064"/>
      <c r="EC316" s="1064"/>
      <c r="ED316" s="1064"/>
      <c r="EH316" s="1181"/>
      <c r="EI316" s="1181"/>
      <c r="EJ316" s="1181"/>
      <c r="EK316" s="1181"/>
      <c r="EL316" s="1181"/>
      <c r="EM316" s="1181"/>
      <c r="EN316" s="1181"/>
      <c r="EO316" s="1182"/>
      <c r="EP316" s="1181"/>
      <c r="EQ316" s="1181"/>
      <c r="ER316" s="1181"/>
      <c r="ES316" s="1181"/>
      <c r="ET316" s="1181"/>
      <c r="EU316" s="1181"/>
      <c r="EV316" s="1181"/>
      <c r="EW316" s="1182"/>
      <c r="EX316" s="1071">
        <v>151</v>
      </c>
      <c r="EY316" s="1071">
        <v>159</v>
      </c>
      <c r="EZ316" s="1071">
        <f>EX316+EY316</f>
        <v>310</v>
      </c>
      <c r="FA316" s="1071">
        <v>168</v>
      </c>
      <c r="FB316" s="1071">
        <f>EX316+EY316+FA316</f>
        <v>478</v>
      </c>
      <c r="FC316" s="1071">
        <v>171</v>
      </c>
      <c r="FD316" s="1071">
        <f>FA316+FC316</f>
        <v>339</v>
      </c>
      <c r="FE316" s="1072">
        <f>EX316+EY316+FA316+FC316</f>
        <v>649</v>
      </c>
      <c r="FF316" s="1071">
        <v>179</v>
      </c>
      <c r="FG316" s="1071">
        <f>FH316-FF316</f>
        <v>195</v>
      </c>
      <c r="FH316" s="1071">
        <v>374</v>
      </c>
      <c r="FI316" s="1071">
        <f>FJ316-FH316</f>
        <v>215</v>
      </c>
      <c r="FJ316" s="1071">
        <v>589</v>
      </c>
      <c r="FK316" s="1071">
        <f>FM316-FJ316</f>
        <v>167</v>
      </c>
      <c r="FL316" s="1071">
        <f>FI316+FK316</f>
        <v>382</v>
      </c>
      <c r="FM316" s="1072">
        <v>756</v>
      </c>
      <c r="FN316" s="1071">
        <v>178</v>
      </c>
      <c r="FO316" s="1071">
        <f>FP316-FN316</f>
        <v>156</v>
      </c>
      <c r="FP316" s="1071">
        <v>334</v>
      </c>
      <c r="FQ316" s="1071">
        <f>FR316-FP316</f>
        <v>195</v>
      </c>
      <c r="FR316" s="1071">
        <v>529</v>
      </c>
      <c r="FS316" s="1071">
        <f>FU316-FR316</f>
        <v>205</v>
      </c>
      <c r="FT316" s="1071">
        <f>FQ316+FS316</f>
        <v>400</v>
      </c>
      <c r="FU316" s="1071">
        <v>734</v>
      </c>
      <c r="FV316" s="1177">
        <v>181</v>
      </c>
      <c r="FW316" s="1071">
        <f>FX316-FV316</f>
        <v>173</v>
      </c>
      <c r="FX316" s="1071">
        <v>354</v>
      </c>
      <c r="FY316" s="1071">
        <f>FZ316-FX316</f>
        <v>200</v>
      </c>
      <c r="FZ316" s="1071">
        <v>554</v>
      </c>
      <c r="GA316" s="1071">
        <f>GC316-FZ316</f>
        <v>249</v>
      </c>
      <c r="GB316" s="1071">
        <f>FY316+GA316</f>
        <v>449</v>
      </c>
      <c r="GC316" s="1072">
        <v>803</v>
      </c>
      <c r="GD316" s="1177">
        <v>191</v>
      </c>
      <c r="GE316" s="1071">
        <f>GF316-GD316</f>
        <v>183</v>
      </c>
      <c r="GF316" s="1071">
        <v>374</v>
      </c>
      <c r="GG316" s="1071">
        <v>148</v>
      </c>
      <c r="GH316" s="1071">
        <f>GG316+GF316</f>
        <v>522</v>
      </c>
      <c r="GI316" s="1071">
        <f>GK316-GH316</f>
        <v>211</v>
      </c>
      <c r="GJ316" s="1071">
        <f>GG316+GI316</f>
        <v>359</v>
      </c>
      <c r="GK316" s="1072">
        <v>733</v>
      </c>
      <c r="GL316" s="1071">
        <v>174</v>
      </c>
      <c r="GM316" s="1071">
        <v>177</v>
      </c>
      <c r="GN316" s="1071">
        <f>GM316+GL316</f>
        <v>351</v>
      </c>
      <c r="GO316" s="1071">
        <v>179</v>
      </c>
      <c r="GP316" s="1071">
        <f>GO316+GN316</f>
        <v>530</v>
      </c>
      <c r="GQ316" s="1071">
        <f>GS316-GP316</f>
        <v>208</v>
      </c>
      <c r="GR316" s="1071">
        <f>GO316+GQ316</f>
        <v>387</v>
      </c>
      <c r="GS316" s="1072">
        <v>738</v>
      </c>
      <c r="GT316" s="1071">
        <v>150</v>
      </c>
      <c r="GU316" s="1071">
        <v>62</v>
      </c>
      <c r="GV316" s="1071">
        <f>GU316+GT316</f>
        <v>212</v>
      </c>
      <c r="GW316" s="1071">
        <v>125</v>
      </c>
      <c r="GX316" s="1071">
        <f>GW316+GV316</f>
        <v>337</v>
      </c>
      <c r="GY316" s="1071"/>
      <c r="GZ316" s="1071"/>
      <c r="HA316" s="1072"/>
      <c r="HB316" s="1071">
        <v>144</v>
      </c>
      <c r="HC316" s="1071">
        <v>167</v>
      </c>
      <c r="HD316" s="1071">
        <f>HC316+HB316</f>
        <v>311</v>
      </c>
      <c r="HE316" s="1071">
        <v>192</v>
      </c>
      <c r="HF316" s="1071">
        <f>HE316+HD316</f>
        <v>503</v>
      </c>
      <c r="HG316" s="1071">
        <v>194</v>
      </c>
      <c r="HH316" s="1071"/>
      <c r="HI316" s="1072">
        <f>HG316+HF316</f>
        <v>697</v>
      </c>
      <c r="HJ316" s="1071">
        <v>185</v>
      </c>
      <c r="HK316" s="1071">
        <v>253</v>
      </c>
      <c r="HL316" s="1071"/>
      <c r="HM316" s="1071"/>
      <c r="HN316" s="1071"/>
      <c r="HO316" s="1071"/>
      <c r="HP316" s="1071"/>
      <c r="HQ316" s="1072"/>
      <c r="HR316" s="1071"/>
      <c r="HS316" s="1071"/>
      <c r="HT316" s="1071"/>
      <c r="HU316" s="1071"/>
      <c r="HV316" s="1071"/>
      <c r="HW316" s="1071"/>
      <c r="HX316" s="1071"/>
      <c r="HY316" s="1071"/>
      <c r="HZ316" s="1071"/>
      <c r="IA316" s="1071"/>
      <c r="IB316" s="1071"/>
      <c r="IC316" s="1071"/>
      <c r="ID316" s="1071"/>
      <c r="IE316" s="1071"/>
      <c r="IF316" s="1071"/>
      <c r="IG316" s="1072"/>
      <c r="IH316" s="1071"/>
      <c r="II316" s="1071"/>
      <c r="IJ316" s="1071"/>
      <c r="IK316" s="1071"/>
      <c r="IL316" s="1071"/>
      <c r="IM316" s="1071"/>
      <c r="IN316" s="1071"/>
      <c r="IO316" s="1072"/>
      <c r="IP316" s="1071"/>
      <c r="IQ316" s="1071"/>
      <c r="IR316" s="1071"/>
      <c r="IS316" s="1071"/>
      <c r="IT316" s="1071"/>
      <c r="IU316" s="1071"/>
      <c r="IV316" s="1071"/>
      <c r="IW316" s="1071"/>
      <c r="IX316" s="1104"/>
      <c r="IY316" s="1049"/>
      <c r="IZ316" s="1049"/>
      <c r="JA316" s="1049"/>
      <c r="JB316" s="1049"/>
      <c r="JC316" s="1049"/>
      <c r="JD316" s="1041"/>
      <c r="JE316" s="1037"/>
      <c r="JF316" s="1037"/>
      <c r="JG316" s="1037"/>
      <c r="JH316" s="1037"/>
      <c r="JI316" s="1035"/>
      <c r="JJ316" s="1035"/>
      <c r="JK316" s="1035"/>
      <c r="JL316" s="1035"/>
      <c r="JM316" s="1035"/>
      <c r="JN316" s="1035"/>
      <c r="JO316" s="1035"/>
      <c r="JP316" s="1035"/>
      <c r="JQ316" s="1035"/>
      <c r="JR316" s="1035"/>
      <c r="JS316" s="1035"/>
      <c r="JT316" s="1035"/>
      <c r="JU316" s="1035"/>
      <c r="JV316" s="1035"/>
      <c r="JW316" s="1035"/>
      <c r="JX316" s="1035"/>
      <c r="JY316" s="1035"/>
      <c r="KP316" s="1117"/>
      <c r="LV316" s="967"/>
    </row>
    <row r="317" spans="1:334">
      <c r="A317" s="967" t="s">
        <v>61</v>
      </c>
      <c r="AX317" s="1059"/>
      <c r="BE317" s="1060"/>
      <c r="BN317" s="1059"/>
      <c r="BU317" s="1060"/>
      <c r="BV317" s="1059"/>
      <c r="CC317" s="1060"/>
      <c r="CD317" s="1059"/>
      <c r="CJ317" s="1061"/>
      <c r="CK317" s="1060"/>
      <c r="CL317" s="1059"/>
      <c r="CS317" s="1060"/>
      <c r="CT317" s="1059"/>
      <c r="CW317" s="1062"/>
      <c r="CX317" s="1062"/>
      <c r="DE317" s="1064"/>
      <c r="DF317" s="1064"/>
      <c r="DM317" s="1064"/>
      <c r="DN317" s="1064"/>
      <c r="DU317" s="1064"/>
      <c r="DV317" s="1064"/>
      <c r="EC317" s="1064"/>
      <c r="ED317" s="1064"/>
      <c r="EH317" s="1181"/>
      <c r="EI317" s="1181"/>
      <c r="EJ317" s="1181"/>
      <c r="EK317" s="1181"/>
      <c r="EL317" s="1181"/>
      <c r="EM317" s="1181"/>
      <c r="EN317" s="1181"/>
      <c r="EO317" s="1182"/>
      <c r="EP317" s="1181"/>
      <c r="EQ317" s="1181"/>
      <c r="ER317" s="1181"/>
      <c r="ES317" s="1181"/>
      <c r="ET317" s="1181"/>
      <c r="EU317" s="1181"/>
      <c r="EV317" s="1181"/>
      <c r="EW317" s="1182"/>
      <c r="EX317" s="1094"/>
      <c r="EY317" s="1094"/>
      <c r="EZ317" s="1094"/>
      <c r="FA317" s="1094"/>
      <c r="FB317" s="1094"/>
      <c r="FC317" s="1094"/>
      <c r="FD317" s="1094"/>
      <c r="FE317" s="1093"/>
      <c r="FF317" s="1094">
        <f t="shared" ref="FF317:FN317" si="1682">FF316/EX316-1</f>
        <v>0.185430463576159</v>
      </c>
      <c r="FG317" s="1094">
        <f t="shared" si="1682"/>
        <v>0.226415094339623</v>
      </c>
      <c r="FH317" s="1094">
        <f t="shared" si="1682"/>
        <v>0.206451612903226</v>
      </c>
      <c r="FI317" s="1094">
        <f t="shared" si="1682"/>
        <v>0.279761904761905</v>
      </c>
      <c r="FJ317" s="1094">
        <f t="shared" si="1682"/>
        <v>0.232217573221757</v>
      </c>
      <c r="FK317" s="1094">
        <f t="shared" si="1682"/>
        <v>-0.0233918128654971</v>
      </c>
      <c r="FL317" s="1094">
        <f t="shared" si="1682"/>
        <v>0.126843657817109</v>
      </c>
      <c r="FM317" s="1093">
        <f t="shared" si="1682"/>
        <v>0.164869029275809</v>
      </c>
      <c r="FN317" s="1094">
        <f t="shared" si="1682"/>
        <v>-0.005586592178771</v>
      </c>
      <c r="FO317" s="1094">
        <f t="shared" ref="FO317:FX317" si="1683">FO316/FG316-1</f>
        <v>-0.2</v>
      </c>
      <c r="FP317" s="1094">
        <f t="shared" si="1683"/>
        <v>-0.106951871657754</v>
      </c>
      <c r="FQ317" s="1094">
        <f t="shared" si="1683"/>
        <v>-0.0930232558139535</v>
      </c>
      <c r="FR317" s="1094">
        <f t="shared" si="1683"/>
        <v>-0.101867572156197</v>
      </c>
      <c r="FS317" s="1094">
        <f t="shared" si="1683"/>
        <v>0.227544910179641</v>
      </c>
      <c r="FT317" s="1094">
        <f t="shared" si="1683"/>
        <v>0.0471204188481675</v>
      </c>
      <c r="FU317" s="1094">
        <f t="shared" si="1683"/>
        <v>-0.0291005291005291</v>
      </c>
      <c r="FV317" s="1275">
        <f t="shared" si="1683"/>
        <v>0.0168539325842696</v>
      </c>
      <c r="FW317" s="1094">
        <f t="shared" si="1683"/>
        <v>0.108974358974359</v>
      </c>
      <c r="FX317" s="1094">
        <f t="shared" si="1683"/>
        <v>0.0598802395209581</v>
      </c>
      <c r="FY317" s="1094">
        <f t="shared" ref="FY317" si="1684">FY316/FQ316-1</f>
        <v>0.0256410256410255</v>
      </c>
      <c r="FZ317" s="1094">
        <f t="shared" ref="FZ317" si="1685">FZ316/FR316-1</f>
        <v>0.0472589792060492</v>
      </c>
      <c r="GA317" s="1094">
        <f t="shared" ref="GA317" si="1686">GA316/FS316-1</f>
        <v>0.214634146341463</v>
      </c>
      <c r="GB317" s="1094">
        <f t="shared" ref="GB317" si="1687">GB316/FT316-1</f>
        <v>0.1225</v>
      </c>
      <c r="GC317" s="1093">
        <f t="shared" ref="GC317" si="1688">GC316/FU316-1</f>
        <v>0.0940054495912805</v>
      </c>
      <c r="GD317" s="1275">
        <f>GD316/181-1</f>
        <v>0.0552486187845305</v>
      </c>
      <c r="GE317" s="1094">
        <f>GE316/FW316-1</f>
        <v>0.0578034682080926</v>
      </c>
      <c r="GF317" s="1094">
        <f>GF316/FX316-1</f>
        <v>0.0564971751412429</v>
      </c>
      <c r="GG317" s="1094">
        <f>GG316/FY316-1</f>
        <v>-0.26</v>
      </c>
      <c r="GH317" s="1094">
        <f>GH316/FZ316-1</f>
        <v>-0.0577617328519856</v>
      </c>
      <c r="GI317" s="1094">
        <f t="shared" ref="GI317" si="1689">GI316/GA316-1</f>
        <v>-0.152610441767068</v>
      </c>
      <c r="GJ317" s="1094">
        <f t="shared" ref="GJ317" si="1690">GJ316/GB316-1</f>
        <v>-0.200445434298441</v>
      </c>
      <c r="GK317" s="1093">
        <f t="shared" ref="GK317:GP317" si="1691">GK316/GC316-1</f>
        <v>-0.087173100871731</v>
      </c>
      <c r="GL317" s="1094">
        <f t="shared" si="1691"/>
        <v>-0.0890052356020943</v>
      </c>
      <c r="GM317" s="1094">
        <f t="shared" si="1691"/>
        <v>-0.0327868852459017</v>
      </c>
      <c r="GN317" s="1094">
        <f t="shared" si="1691"/>
        <v>-0.0614973262032086</v>
      </c>
      <c r="GO317" s="1094">
        <f t="shared" si="1691"/>
        <v>0.209459459459459</v>
      </c>
      <c r="GP317" s="1094">
        <f t="shared" si="1691"/>
        <v>0.0153256704980842</v>
      </c>
      <c r="GQ317" s="1094">
        <f t="shared" ref="GQ317" si="1692">GQ316/GI316-1</f>
        <v>-0.014218009478673</v>
      </c>
      <c r="GR317" s="1094">
        <f t="shared" ref="GR317" si="1693">GR316/GJ316-1</f>
        <v>0.0779944289693593</v>
      </c>
      <c r="GS317" s="1093">
        <f t="shared" ref="GS317:GX317" si="1694">GS316/GK316-1</f>
        <v>0.00682128240109137</v>
      </c>
      <c r="GT317" s="1094">
        <f t="shared" si="1694"/>
        <v>-0.137931034482759</v>
      </c>
      <c r="GU317" s="1094">
        <f t="shared" si="1694"/>
        <v>-0.649717514124294</v>
      </c>
      <c r="GV317" s="1094">
        <f t="shared" si="1694"/>
        <v>-0.396011396011396</v>
      </c>
      <c r="GW317" s="1094">
        <f t="shared" si="1694"/>
        <v>-0.301675977653631</v>
      </c>
      <c r="GX317" s="1094">
        <f t="shared" si="1694"/>
        <v>-0.364150943396226</v>
      </c>
      <c r="GY317" s="1094"/>
      <c r="GZ317" s="1094"/>
      <c r="HA317" s="1093"/>
      <c r="HB317" s="1094"/>
      <c r="HC317" s="1094"/>
      <c r="HD317" s="1094"/>
      <c r="HE317" s="1094"/>
      <c r="HF317" s="1094"/>
      <c r="HG317" s="1094"/>
      <c r="HH317" s="1094"/>
      <c r="HI317" s="1093"/>
      <c r="HJ317" s="1094">
        <f>HJ316/HB316-1</f>
        <v>0.284722222222222</v>
      </c>
      <c r="HK317" s="1094">
        <f>HK316/HC316-1</f>
        <v>0.51497005988024</v>
      </c>
      <c r="HL317" s="1094"/>
      <c r="HM317" s="1094"/>
      <c r="HN317" s="1094"/>
      <c r="HO317" s="1094"/>
      <c r="HP317" s="1094"/>
      <c r="HQ317" s="1093"/>
      <c r="HR317" s="1094"/>
      <c r="HS317" s="1094"/>
      <c r="HT317" s="1094"/>
      <c r="HU317" s="1094"/>
      <c r="HV317" s="1094"/>
      <c r="HW317" s="1094"/>
      <c r="HX317" s="1094"/>
      <c r="HY317" s="1094"/>
      <c r="HZ317" s="1094"/>
      <c r="IA317" s="1094"/>
      <c r="IB317" s="1094"/>
      <c r="IC317" s="1094"/>
      <c r="ID317" s="1094"/>
      <c r="IE317" s="1094"/>
      <c r="IF317" s="1094"/>
      <c r="IG317" s="1093"/>
      <c r="IH317" s="1094"/>
      <c r="II317" s="1094"/>
      <c r="IJ317" s="1094"/>
      <c r="IK317" s="1094"/>
      <c r="IL317" s="1094"/>
      <c r="IM317" s="1094"/>
      <c r="IN317" s="1094"/>
      <c r="IO317" s="1093"/>
      <c r="IP317" s="1094"/>
      <c r="IQ317" s="1094"/>
      <c r="IR317" s="1094"/>
      <c r="IS317" s="1094"/>
      <c r="IT317" s="1094"/>
      <c r="IU317" s="1094"/>
      <c r="IV317" s="1094"/>
      <c r="IW317" s="1094"/>
      <c r="IX317" s="1104"/>
      <c r="IY317" s="1049"/>
      <c r="IZ317" s="1049"/>
      <c r="JA317" s="1049"/>
      <c r="JB317" s="1049"/>
      <c r="JC317" s="1049"/>
      <c r="JD317" s="1041"/>
      <c r="JE317" s="1037"/>
      <c r="JF317" s="1037"/>
      <c r="JG317" s="1037"/>
      <c r="JH317" s="1037"/>
      <c r="JI317" s="1035"/>
      <c r="JJ317" s="1035"/>
      <c r="JK317" s="1035"/>
      <c r="JL317" s="1035"/>
      <c r="JM317" s="1035"/>
      <c r="JN317" s="1035"/>
      <c r="JO317" s="1035"/>
      <c r="JP317" s="1035"/>
      <c r="JQ317" s="1035"/>
      <c r="JR317" s="1035"/>
      <c r="JS317" s="1035"/>
      <c r="JT317" s="1035"/>
      <c r="JU317" s="1035"/>
      <c r="JV317" s="1035"/>
      <c r="JW317" s="1035"/>
      <c r="JX317" s="1035"/>
      <c r="JY317" s="1035"/>
      <c r="KP317" s="1117"/>
      <c r="LV317" s="967"/>
    </row>
    <row r="318" spans="1:334">
      <c r="A318" s="967" t="s">
        <v>128</v>
      </c>
      <c r="AX318" s="1059"/>
      <c r="BE318" s="1060"/>
      <c r="BN318" s="1059"/>
      <c r="BU318" s="1060"/>
      <c r="BV318" s="1059"/>
      <c r="CC318" s="1060"/>
      <c r="CD318" s="1059"/>
      <c r="CJ318" s="1061"/>
      <c r="CK318" s="1060"/>
      <c r="CL318" s="1059"/>
      <c r="CS318" s="1060"/>
      <c r="CT318" s="1059"/>
      <c r="CW318" s="1062"/>
      <c r="CX318" s="1062"/>
      <c r="DE318" s="1064"/>
      <c r="DF318" s="1064"/>
      <c r="DM318" s="1064"/>
      <c r="DN318" s="1064"/>
      <c r="DU318" s="1064"/>
      <c r="DV318" s="1064"/>
      <c r="EC318" s="1064"/>
      <c r="ED318" s="1064"/>
      <c r="EH318" s="1181"/>
      <c r="EI318" s="1181"/>
      <c r="EJ318" s="1181"/>
      <c r="EK318" s="1181"/>
      <c r="EL318" s="1181"/>
      <c r="EM318" s="1181"/>
      <c r="EN318" s="1181"/>
      <c r="EO318" s="1182"/>
      <c r="EP318" s="1181"/>
      <c r="EQ318" s="1181"/>
      <c r="ER318" s="1181"/>
      <c r="ES318" s="1181"/>
      <c r="ET318" s="1181"/>
      <c r="EU318" s="1181"/>
      <c r="EV318" s="1181"/>
      <c r="EW318" s="1182"/>
      <c r="EX318" s="1094">
        <f>EX316/EX$236</f>
        <v>0.403743315508021</v>
      </c>
      <c r="EY318" s="1094">
        <f t="shared" ref="EY318:FL318" si="1695">EY316/EY$236</f>
        <v>0.3975</v>
      </c>
      <c r="EZ318" s="1094">
        <f t="shared" si="1695"/>
        <v>0.400516795865633</v>
      </c>
      <c r="FA318" s="1094">
        <f t="shared" si="1695"/>
        <v>0.394366197183099</v>
      </c>
      <c r="FB318" s="1094">
        <f t="shared" si="1695"/>
        <v>0.398333333333333</v>
      </c>
      <c r="FC318" s="1094">
        <f t="shared" si="1695"/>
        <v>0.41504854368932</v>
      </c>
      <c r="FD318" s="1094">
        <f t="shared" si="1695"/>
        <v>0.404534606205251</v>
      </c>
      <c r="FE318" s="1093">
        <f t="shared" si="1695"/>
        <v>0.402605459057072</v>
      </c>
      <c r="FF318" s="1094">
        <f t="shared" si="1695"/>
        <v>0.423167848699764</v>
      </c>
      <c r="FG318" s="1094">
        <f t="shared" si="1695"/>
        <v>0.427631578947368</v>
      </c>
      <c r="FH318" s="1094">
        <f t="shared" si="1695"/>
        <v>0.425483503981798</v>
      </c>
      <c r="FI318" s="1094">
        <f t="shared" si="1695"/>
        <v>0.439672801635992</v>
      </c>
      <c r="FJ318" s="1094">
        <f t="shared" si="1695"/>
        <v>0.430555555555556</v>
      </c>
      <c r="FK318" s="1094">
        <f t="shared" si="1695"/>
        <v>0.402409638554217</v>
      </c>
      <c r="FL318" s="1094">
        <f t="shared" si="1695"/>
        <v>0.422566371681416</v>
      </c>
      <c r="FM318" s="1093">
        <f>FM316/FM179</f>
        <v>0.424004486819966</v>
      </c>
      <c r="FN318" s="1094">
        <f t="shared" ref="FN318:FT318" si="1696">FN316/FN$236</f>
        <v>0.451776649746193</v>
      </c>
      <c r="FO318" s="1094">
        <f t="shared" si="1696"/>
        <v>0.411609498680739</v>
      </c>
      <c r="FP318" s="1094">
        <f t="shared" si="1696"/>
        <v>0.432082794307891</v>
      </c>
      <c r="FQ318" s="1094">
        <f t="shared" si="1696"/>
        <v>0.40041067761807</v>
      </c>
      <c r="FR318" s="1094">
        <f t="shared" si="1696"/>
        <v>0.41984126984127</v>
      </c>
      <c r="FS318" s="1094">
        <f t="shared" si="1696"/>
        <v>0.435244161358811</v>
      </c>
      <c r="FT318" s="1094">
        <f t="shared" si="1696"/>
        <v>0.417536534446764</v>
      </c>
      <c r="FU318" s="1094">
        <f>FU316/FU236</f>
        <v>0.424032351242057</v>
      </c>
      <c r="FV318" s="1275">
        <f>FV316/FV$236</f>
        <v>0.398678414096916</v>
      </c>
      <c r="FW318" s="1094">
        <f>FW316/FW$236</f>
        <v>0.392290249433107</v>
      </c>
      <c r="FX318" s="1094">
        <f>FX316/FX$236</f>
        <v>0.395530726256983</v>
      </c>
      <c r="FY318" s="1094">
        <f t="shared" ref="FY318:GB318" si="1697">FY316/FY$236</f>
        <v>0.398406374501992</v>
      </c>
      <c r="FZ318" s="1094">
        <f t="shared" si="1697"/>
        <v>0.396564065855404</v>
      </c>
      <c r="GA318" s="1094">
        <f t="shared" si="1697"/>
        <v>0.488235294117647</v>
      </c>
      <c r="GB318" s="1094">
        <f t="shared" si="1697"/>
        <v>0.443675889328063</v>
      </c>
      <c r="GC318" s="1093">
        <f>GC316/GC236</f>
        <v>0.421080230728894</v>
      </c>
      <c r="GD318" s="1275">
        <f>GD316/GD$236</f>
        <v>0.444186046511628</v>
      </c>
      <c r="GE318" s="1094">
        <f>GE316/GE$236</f>
        <v>0.439903846153846</v>
      </c>
      <c r="GF318" s="1094">
        <f>GF316/GF$236</f>
        <v>0.442080378250591</v>
      </c>
      <c r="GG318" s="1094">
        <f>GG316/GG$236</f>
        <v>0.435294117647059</v>
      </c>
      <c r="GH318" s="1094">
        <f t="shared" ref="GH318:GJ318" si="1698">GH316/GH$236</f>
        <v>0.440134907251265</v>
      </c>
      <c r="GI318" s="1094">
        <f t="shared" si="1698"/>
        <v>0.472035794183445</v>
      </c>
      <c r="GJ318" s="1094">
        <f t="shared" si="1698"/>
        <v>0.456162642947903</v>
      </c>
      <c r="GK318" s="1093">
        <f>GK316/GK236</f>
        <v>0.448867115737906</v>
      </c>
      <c r="GL318" s="1094">
        <f>GL316/GL$236</f>
        <v>0.462765957446808</v>
      </c>
      <c r="GM318" s="1094">
        <f>GM316/GM$236</f>
        <v>0.439205955334988</v>
      </c>
      <c r="GN318" s="1094">
        <f>GN316/GN$236</f>
        <v>0.450577663671374</v>
      </c>
      <c r="GO318" s="1094">
        <f>GO316/GO$236</f>
        <v>0.441975308641975</v>
      </c>
      <c r="GP318" s="1094">
        <f t="shared" ref="GP318:GR318" si="1699">GP316/GP$236</f>
        <v>0.447635135135135</v>
      </c>
      <c r="GQ318" s="1094">
        <f t="shared" si="1699"/>
        <v>0.436974789915966</v>
      </c>
      <c r="GR318" s="1094">
        <f t="shared" si="1699"/>
        <v>0.439273552780931</v>
      </c>
      <c r="GS318" s="1093">
        <f>GS316/GS236</f>
        <v>0.444578313253012</v>
      </c>
      <c r="GT318" s="1094">
        <f>GT316/GT$236</f>
        <v>0.442477876106195</v>
      </c>
      <c r="GU318" s="1094">
        <f>GU316/GU$236</f>
        <v>0.543859649122807</v>
      </c>
      <c r="GV318" s="1094">
        <f>GV316/GV$236</f>
        <v>0.467991169977925</v>
      </c>
      <c r="GW318" s="1094">
        <f>GW316/GW$236</f>
        <v>0.422797226450195</v>
      </c>
      <c r="GX318" s="1094">
        <f t="shared" ref="GX318" si="1700">GX316/GX$236</f>
        <v>0.450143591798571</v>
      </c>
      <c r="GY318" s="1094"/>
      <c r="GZ318" s="1094"/>
      <c r="HA318" s="1093"/>
      <c r="HB318" s="1094">
        <f t="shared" ref="HB318:HG318" si="1701">HB316/HB179</f>
        <v>0.484848484848485</v>
      </c>
      <c r="HC318" s="1094">
        <f t="shared" si="1701"/>
        <v>0.479885057471264</v>
      </c>
      <c r="HD318" s="1094">
        <f t="shared" si="1701"/>
        <v>0.482170542635659</v>
      </c>
      <c r="HE318" s="1094">
        <f t="shared" si="1701"/>
        <v>0.474074074074074</v>
      </c>
      <c r="HF318" s="1094">
        <f t="shared" si="1701"/>
        <v>0.479047619047619</v>
      </c>
      <c r="HG318" s="1094">
        <f t="shared" si="1701"/>
        <v>0.488664987405541</v>
      </c>
      <c r="HH318" s="1094"/>
      <c r="HI318" s="1093">
        <f>HI316/HI179</f>
        <v>0.481686247408431</v>
      </c>
      <c r="HJ318" s="1094">
        <f>HJ316/HJ179</f>
        <v>0.441527446300716</v>
      </c>
      <c r="HK318" s="1094">
        <f>HK316/HK179</f>
        <v>0.492217898832684</v>
      </c>
      <c r="HL318" s="1094"/>
      <c r="HM318" s="1094"/>
      <c r="HN318" s="1094"/>
      <c r="HO318" s="1094"/>
      <c r="HP318" s="1094"/>
      <c r="HQ318" s="1093"/>
      <c r="HR318" s="1094"/>
      <c r="HS318" s="1094"/>
      <c r="HT318" s="1094"/>
      <c r="HU318" s="1094"/>
      <c r="HV318" s="1094"/>
      <c r="HW318" s="1094"/>
      <c r="HX318" s="1094"/>
      <c r="HY318" s="1094"/>
      <c r="HZ318" s="1094"/>
      <c r="IA318" s="1094"/>
      <c r="IB318" s="1094"/>
      <c r="IC318" s="1094"/>
      <c r="ID318" s="1094"/>
      <c r="IE318" s="1094"/>
      <c r="IF318" s="1094"/>
      <c r="IG318" s="1093"/>
      <c r="IH318" s="1094"/>
      <c r="II318" s="1094"/>
      <c r="IJ318" s="1094"/>
      <c r="IK318" s="1094"/>
      <c r="IL318" s="1094"/>
      <c r="IM318" s="1094"/>
      <c r="IN318" s="1094"/>
      <c r="IO318" s="1093"/>
      <c r="IP318" s="1094"/>
      <c r="IQ318" s="1094"/>
      <c r="IR318" s="1094"/>
      <c r="IS318" s="1094"/>
      <c r="IT318" s="1094"/>
      <c r="IU318" s="1094"/>
      <c r="IV318" s="1094"/>
      <c r="IW318" s="1094"/>
      <c r="IX318" s="1104"/>
      <c r="IY318" s="1049"/>
      <c r="IZ318" s="1049"/>
      <c r="JA318" s="1049"/>
      <c r="JB318" s="1049"/>
      <c r="JC318" s="1049"/>
      <c r="JD318" s="1041"/>
      <c r="JE318" s="1037"/>
      <c r="JF318" s="1037"/>
      <c r="JG318" s="1037"/>
      <c r="JH318" s="1037"/>
      <c r="JI318" s="1035"/>
      <c r="JJ318" s="1035"/>
      <c r="JK318" s="1035"/>
      <c r="JL318" s="1035"/>
      <c r="JM318" s="1035"/>
      <c r="JN318" s="1035"/>
      <c r="JO318" s="1035"/>
      <c r="JP318" s="1035"/>
      <c r="JQ318" s="1035"/>
      <c r="JR318" s="1035"/>
      <c r="JS318" s="1035"/>
      <c r="JT318" s="1035"/>
      <c r="JU318" s="1035"/>
      <c r="JV318" s="1035"/>
      <c r="JW318" s="1035"/>
      <c r="JX318" s="1035"/>
      <c r="JY318" s="1035"/>
      <c r="KP318" s="1117"/>
      <c r="LV318" s="967"/>
    </row>
    <row r="319" spans="1:334">
      <c r="A319" s="967" t="s">
        <v>129</v>
      </c>
      <c r="AX319" s="1059"/>
      <c r="BE319" s="1060"/>
      <c r="BN319" s="1059"/>
      <c r="BU319" s="1060"/>
      <c r="BV319" s="1059"/>
      <c r="CC319" s="1060"/>
      <c r="CD319" s="1059"/>
      <c r="CJ319" s="1061"/>
      <c r="CK319" s="1060"/>
      <c r="CL319" s="1059"/>
      <c r="CS319" s="1060"/>
      <c r="CT319" s="1059"/>
      <c r="CW319" s="1062"/>
      <c r="CX319" s="1062"/>
      <c r="DE319" s="1064"/>
      <c r="DF319" s="1064"/>
      <c r="DM319" s="1064"/>
      <c r="DN319" s="1064"/>
      <c r="DU319" s="1064"/>
      <c r="DV319" s="1064"/>
      <c r="EC319" s="1064"/>
      <c r="ED319" s="1064"/>
      <c r="EH319" s="1181"/>
      <c r="EI319" s="1181"/>
      <c r="EJ319" s="1181"/>
      <c r="EK319" s="1181"/>
      <c r="EL319" s="1181"/>
      <c r="EM319" s="1181"/>
      <c r="EN319" s="1181"/>
      <c r="EO319" s="1182"/>
      <c r="EP319" s="1181"/>
      <c r="EQ319" s="1181"/>
      <c r="ER319" s="1181"/>
      <c r="ES319" s="1181"/>
      <c r="ET319" s="1181"/>
      <c r="EU319" s="1181"/>
      <c r="EV319" s="1181"/>
      <c r="EW319" s="1182"/>
      <c r="EX319" s="1148">
        <f>EX316-EX322</f>
        <v>95</v>
      </c>
      <c r="EY319" s="1148">
        <f t="shared" ref="EY319:FE319" si="1702">EY316-EY322</f>
        <v>106</v>
      </c>
      <c r="EZ319" s="1148">
        <f t="shared" si="1702"/>
        <v>201</v>
      </c>
      <c r="FA319" s="1148">
        <f t="shared" si="1702"/>
        <v>111</v>
      </c>
      <c r="FB319" s="1148">
        <f t="shared" si="1702"/>
        <v>312</v>
      </c>
      <c r="FC319" s="1148">
        <f t="shared" si="1702"/>
        <v>138</v>
      </c>
      <c r="FD319" s="1148">
        <f t="shared" si="1702"/>
        <v>249</v>
      </c>
      <c r="FE319" s="1149">
        <f t="shared" si="1702"/>
        <v>450</v>
      </c>
      <c r="FF319" s="1148">
        <f t="shared" ref="FF319:FR319" si="1703">FF316-FF322</f>
        <v>121</v>
      </c>
      <c r="FG319" s="1148">
        <f t="shared" si="1703"/>
        <v>126</v>
      </c>
      <c r="FH319" s="1148">
        <f t="shared" si="1703"/>
        <v>247</v>
      </c>
      <c r="FI319" s="1148">
        <f t="shared" si="1703"/>
        <v>154</v>
      </c>
      <c r="FJ319" s="1148">
        <f t="shared" si="1703"/>
        <v>401</v>
      </c>
      <c r="FK319" s="1148">
        <f t="shared" si="1703"/>
        <v>120</v>
      </c>
      <c r="FL319" s="1148">
        <f t="shared" si="1703"/>
        <v>274</v>
      </c>
      <c r="FM319" s="1149">
        <f t="shared" si="1703"/>
        <v>521</v>
      </c>
      <c r="FN319" s="1148">
        <f t="shared" si="1703"/>
        <v>122</v>
      </c>
      <c r="FO319" s="1148">
        <f t="shared" si="1703"/>
        <v>117</v>
      </c>
      <c r="FP319" s="1148">
        <f t="shared" si="1703"/>
        <v>239</v>
      </c>
      <c r="FQ319" s="1148">
        <f t="shared" si="1703"/>
        <v>123</v>
      </c>
      <c r="FR319" s="1148">
        <f t="shared" si="1703"/>
        <v>362</v>
      </c>
      <c r="FS319" s="1148">
        <f t="shared" ref="FS319:FZ319" si="1704">FS316-FS322</f>
        <v>145</v>
      </c>
      <c r="FT319" s="1148">
        <f t="shared" si="1704"/>
        <v>268</v>
      </c>
      <c r="FU319" s="1148">
        <f t="shared" si="1704"/>
        <v>507</v>
      </c>
      <c r="FV319" s="1151">
        <f t="shared" si="1704"/>
        <v>132</v>
      </c>
      <c r="FW319" s="1148">
        <f t="shared" si="1704"/>
        <v>126</v>
      </c>
      <c r="FX319" s="1148">
        <f t="shared" si="1704"/>
        <v>258</v>
      </c>
      <c r="FY319" s="1148">
        <f t="shared" si="1704"/>
        <v>132</v>
      </c>
      <c r="FZ319" s="1148">
        <f t="shared" si="1704"/>
        <v>390</v>
      </c>
      <c r="GA319" s="1148">
        <f t="shared" ref="GA319:GC319" si="1705">GA316-GA322</f>
        <v>145</v>
      </c>
      <c r="GB319" s="1148">
        <f t="shared" si="1705"/>
        <v>277</v>
      </c>
      <c r="GC319" s="1149">
        <f t="shared" si="1705"/>
        <v>535</v>
      </c>
      <c r="GD319" s="1151">
        <f t="shared" ref="GD319:GF319" si="1706">GD316-GD322</f>
        <v>116</v>
      </c>
      <c r="GE319" s="1148">
        <f t="shared" si="1706"/>
        <v>115</v>
      </c>
      <c r="GF319" s="1148">
        <f t="shared" si="1706"/>
        <v>231</v>
      </c>
      <c r="GG319" s="1148">
        <f t="shared" ref="GG319:GN319" si="1707">GG316-GG322</f>
        <v>85</v>
      </c>
      <c r="GH319" s="1148">
        <f t="shared" si="1707"/>
        <v>316</v>
      </c>
      <c r="GI319" s="1148">
        <f t="shared" si="1707"/>
        <v>138</v>
      </c>
      <c r="GJ319" s="1148">
        <f t="shared" si="1707"/>
        <v>223</v>
      </c>
      <c r="GK319" s="1149">
        <f t="shared" si="1707"/>
        <v>454</v>
      </c>
      <c r="GL319" s="1148">
        <f t="shared" si="1707"/>
        <v>112</v>
      </c>
      <c r="GM319" s="1148">
        <f t="shared" si="1707"/>
        <v>118</v>
      </c>
      <c r="GN319" s="1148">
        <f t="shared" si="1707"/>
        <v>230</v>
      </c>
      <c r="GO319" s="1148">
        <f t="shared" ref="GO319:GV319" si="1708">GO316-GO322</f>
        <v>110</v>
      </c>
      <c r="GP319" s="1148">
        <f t="shared" si="1708"/>
        <v>340</v>
      </c>
      <c r="GQ319" s="1148">
        <f t="shared" si="1708"/>
        <v>103</v>
      </c>
      <c r="GR319" s="1148">
        <f t="shared" si="1708"/>
        <v>213</v>
      </c>
      <c r="GS319" s="1149">
        <f t="shared" si="1708"/>
        <v>443</v>
      </c>
      <c r="GT319" s="1148">
        <f t="shared" si="1708"/>
        <v>111</v>
      </c>
      <c r="GU319" s="1148">
        <f t="shared" si="1708"/>
        <v>74</v>
      </c>
      <c r="GV319" s="1148">
        <f t="shared" si="1708"/>
        <v>185</v>
      </c>
      <c r="GW319" s="1148">
        <f t="shared" ref="GW319:GX319" si="1709">GW316-GW322</f>
        <v>92</v>
      </c>
      <c r="GX319" s="1148">
        <f t="shared" si="1709"/>
        <v>277</v>
      </c>
      <c r="GY319" s="1148"/>
      <c r="GZ319" s="1148"/>
      <c r="HA319" s="1149"/>
      <c r="HB319" s="1148">
        <f t="shared" ref="HB319:HG319" si="1710">HB316-HB322</f>
        <v>85</v>
      </c>
      <c r="HC319" s="1148">
        <f t="shared" si="1710"/>
        <v>104</v>
      </c>
      <c r="HD319" s="1148">
        <f t="shared" si="1710"/>
        <v>189</v>
      </c>
      <c r="HE319" s="1148">
        <f t="shared" si="1710"/>
        <v>110</v>
      </c>
      <c r="HF319" s="1148">
        <f t="shared" si="1710"/>
        <v>299</v>
      </c>
      <c r="HG319" s="1148">
        <f t="shared" si="1710"/>
        <v>132</v>
      </c>
      <c r="HH319" s="1148"/>
      <c r="HI319" s="1149">
        <f>HG319+HF319</f>
        <v>431</v>
      </c>
      <c r="HJ319" s="1148">
        <f t="shared" ref="HJ319:HK319" si="1711">HJ316-HJ322</f>
        <v>102</v>
      </c>
      <c r="HK319" s="1148">
        <f t="shared" si="1711"/>
        <v>127</v>
      </c>
      <c r="HL319" s="1148"/>
      <c r="HM319" s="1148"/>
      <c r="HN319" s="1148"/>
      <c r="HO319" s="1148"/>
      <c r="HP319" s="1148"/>
      <c r="HQ319" s="1149"/>
      <c r="HR319" s="1148"/>
      <c r="HS319" s="1148"/>
      <c r="HT319" s="1148"/>
      <c r="HU319" s="1148"/>
      <c r="HV319" s="1148"/>
      <c r="HW319" s="1148"/>
      <c r="HX319" s="1148"/>
      <c r="HY319" s="1148"/>
      <c r="HZ319" s="1148"/>
      <c r="IA319" s="1148"/>
      <c r="IB319" s="1148"/>
      <c r="IC319" s="1148"/>
      <c r="ID319" s="1148"/>
      <c r="IE319" s="1148"/>
      <c r="IF319" s="1148"/>
      <c r="IG319" s="1149"/>
      <c r="IH319" s="1148"/>
      <c r="II319" s="1148"/>
      <c r="IJ319" s="1148"/>
      <c r="IK319" s="1148"/>
      <c r="IL319" s="1148"/>
      <c r="IM319" s="1148"/>
      <c r="IN319" s="1148"/>
      <c r="IO319" s="1149"/>
      <c r="IP319" s="1148"/>
      <c r="IQ319" s="1148"/>
      <c r="IR319" s="1148"/>
      <c r="IS319" s="1148"/>
      <c r="IT319" s="1148"/>
      <c r="IU319" s="1148"/>
      <c r="IV319" s="1148"/>
      <c r="IW319" s="1148"/>
      <c r="IX319" s="1104"/>
      <c r="IY319" s="1049"/>
      <c r="IZ319" s="1049"/>
      <c r="JA319" s="1049"/>
      <c r="JB319" s="1049"/>
      <c r="JC319" s="1049"/>
      <c r="JD319" s="1041"/>
      <c r="JE319" s="1037"/>
      <c r="JF319" s="1037"/>
      <c r="JG319" s="1037"/>
      <c r="JH319" s="1037"/>
      <c r="JI319" s="1035"/>
      <c r="JJ319" s="1035"/>
      <c r="JK319" s="1035"/>
      <c r="JL319" s="1035"/>
      <c r="JM319" s="1035"/>
      <c r="JN319" s="1035"/>
      <c r="JO319" s="1035"/>
      <c r="JP319" s="1035"/>
      <c r="JQ319" s="1035"/>
      <c r="JR319" s="1035"/>
      <c r="JS319" s="1035"/>
      <c r="JT319" s="1035"/>
      <c r="JU319" s="1035"/>
      <c r="JV319" s="1035"/>
      <c r="JW319" s="1035"/>
      <c r="JX319" s="1035"/>
      <c r="JY319" s="1035"/>
      <c r="KP319" s="1117"/>
      <c r="LV319" s="967"/>
    </row>
    <row r="320" spans="1:334">
      <c r="A320" s="967" t="s">
        <v>61</v>
      </c>
      <c r="AX320" s="1059"/>
      <c r="BE320" s="1060"/>
      <c r="BN320" s="1059"/>
      <c r="BU320" s="1060"/>
      <c r="BV320" s="1059"/>
      <c r="CC320" s="1060"/>
      <c r="CD320" s="1059"/>
      <c r="CJ320" s="1061"/>
      <c r="CK320" s="1060"/>
      <c r="CL320" s="1059"/>
      <c r="CS320" s="1060"/>
      <c r="CT320" s="1059"/>
      <c r="CW320" s="1062"/>
      <c r="CX320" s="1062"/>
      <c r="DE320" s="1064"/>
      <c r="DF320" s="1064"/>
      <c r="DM320" s="1064"/>
      <c r="DN320" s="1064"/>
      <c r="DU320" s="1064"/>
      <c r="DV320" s="1064"/>
      <c r="EC320" s="1064"/>
      <c r="ED320" s="1064"/>
      <c r="EH320" s="1181"/>
      <c r="EI320" s="1181"/>
      <c r="EJ320" s="1181"/>
      <c r="EK320" s="1181"/>
      <c r="EL320" s="1181"/>
      <c r="EM320" s="1181"/>
      <c r="EN320" s="1181"/>
      <c r="EO320" s="1182"/>
      <c r="EP320" s="1181"/>
      <c r="EQ320" s="1181"/>
      <c r="ER320" s="1181"/>
      <c r="ES320" s="1181"/>
      <c r="ET320" s="1181"/>
      <c r="EU320" s="1181"/>
      <c r="EV320" s="1181"/>
      <c r="EW320" s="1182"/>
      <c r="EX320" s="1094"/>
      <c r="EY320" s="1094"/>
      <c r="EZ320" s="1094"/>
      <c r="FA320" s="1094"/>
      <c r="FB320" s="1094"/>
      <c r="FC320" s="1094"/>
      <c r="FD320" s="1094"/>
      <c r="FE320" s="1093"/>
      <c r="FF320" s="1094">
        <f t="shared" ref="FF320:FR320" si="1712">FF319/EX319-1</f>
        <v>0.273684210526316</v>
      </c>
      <c r="FG320" s="1094">
        <f t="shared" si="1712"/>
        <v>0.188679245283019</v>
      </c>
      <c r="FH320" s="1094">
        <f t="shared" si="1712"/>
        <v>0.228855721393035</v>
      </c>
      <c r="FI320" s="1094">
        <f t="shared" si="1712"/>
        <v>0.387387387387387</v>
      </c>
      <c r="FJ320" s="1094">
        <f t="shared" si="1712"/>
        <v>0.28525641025641</v>
      </c>
      <c r="FK320" s="1094">
        <f t="shared" si="1712"/>
        <v>-0.130434782608696</v>
      </c>
      <c r="FL320" s="1094">
        <f t="shared" si="1712"/>
        <v>0.100401606425703</v>
      </c>
      <c r="FM320" s="1093">
        <f t="shared" si="1712"/>
        <v>0.157777777777778</v>
      </c>
      <c r="FN320" s="1094">
        <f t="shared" si="1712"/>
        <v>0.00826446280991733</v>
      </c>
      <c r="FO320" s="1094">
        <f t="shared" si="1712"/>
        <v>-0.0714285714285714</v>
      </c>
      <c r="FP320" s="1094">
        <f t="shared" si="1712"/>
        <v>-0.0323886639676113</v>
      </c>
      <c r="FQ320" s="1094">
        <f t="shared" si="1712"/>
        <v>-0.201298701298701</v>
      </c>
      <c r="FR320" s="1094">
        <f t="shared" si="1712"/>
        <v>-0.0972568578553616</v>
      </c>
      <c r="FS320" s="1094">
        <f t="shared" ref="FS320:FX320" si="1713">FS319/FK319-1</f>
        <v>0.208333333333333</v>
      </c>
      <c r="FT320" s="1094">
        <f t="shared" si="1713"/>
        <v>-0.0218978102189781</v>
      </c>
      <c r="FU320" s="1094">
        <f t="shared" si="1713"/>
        <v>-0.0268714011516314</v>
      </c>
      <c r="FV320" s="1275">
        <f t="shared" si="1713"/>
        <v>0.0819672131147542</v>
      </c>
      <c r="FW320" s="1094">
        <f t="shared" si="1713"/>
        <v>0.0769230769230769</v>
      </c>
      <c r="FX320" s="1094">
        <f t="shared" si="1713"/>
        <v>0.0794979079497908</v>
      </c>
      <c r="FY320" s="1094">
        <f t="shared" ref="FY320" si="1714">FY319/FQ319-1</f>
        <v>0.0731707317073171</v>
      </c>
      <c r="FZ320" s="1094">
        <f t="shared" ref="FZ320" si="1715">FZ319/FR319-1</f>
        <v>0.0773480662983426</v>
      </c>
      <c r="GA320" s="1094">
        <f t="shared" ref="GA320" si="1716">GA319/FS319-1</f>
        <v>0</v>
      </c>
      <c r="GB320" s="1094">
        <f t="shared" ref="GB320" si="1717">GB319/FT319-1</f>
        <v>0.0335820895522387</v>
      </c>
      <c r="GC320" s="1093">
        <f t="shared" ref="GC320" si="1718">GC319/FU319-1</f>
        <v>0.0552268244575937</v>
      </c>
      <c r="GD320" s="1275">
        <f>GD319/132-1</f>
        <v>-0.121212121212121</v>
      </c>
      <c r="GE320" s="1094">
        <f>GE319/FW319-1</f>
        <v>-0.0873015873015873</v>
      </c>
      <c r="GF320" s="1094">
        <f>GF319/FX319-1</f>
        <v>-0.104651162790698</v>
      </c>
      <c r="GG320" s="1094">
        <f>GG319/FY319-1</f>
        <v>-0.356060606060606</v>
      </c>
      <c r="GH320" s="1094">
        <f>GH319/FZ319-1</f>
        <v>-0.18974358974359</v>
      </c>
      <c r="GI320" s="1094">
        <f t="shared" ref="GI320" si="1719">GI319/GA319-1</f>
        <v>-0.0482758620689655</v>
      </c>
      <c r="GJ320" s="1094">
        <f t="shared" ref="GJ320" si="1720">GJ319/GB319-1</f>
        <v>-0.194945848375451</v>
      </c>
      <c r="GK320" s="1093">
        <f t="shared" ref="GK320:GP320" si="1721">GK319/GC319-1</f>
        <v>-0.151401869158879</v>
      </c>
      <c r="GL320" s="1094">
        <f t="shared" si="1721"/>
        <v>-0.0344827586206896</v>
      </c>
      <c r="GM320" s="1094">
        <f t="shared" si="1721"/>
        <v>0.0260869565217392</v>
      </c>
      <c r="GN320" s="1094">
        <f t="shared" si="1721"/>
        <v>-0.00432900432900429</v>
      </c>
      <c r="GO320" s="1094">
        <f t="shared" si="1721"/>
        <v>0.294117647058824</v>
      </c>
      <c r="GP320" s="1094">
        <f t="shared" si="1721"/>
        <v>0.0759493670886076</v>
      </c>
      <c r="GQ320" s="1094">
        <f t="shared" ref="GQ320" si="1722">GQ319/GI319-1</f>
        <v>-0.253623188405797</v>
      </c>
      <c r="GR320" s="1094">
        <f t="shared" ref="GR320" si="1723">GR319/GJ319-1</f>
        <v>-0.0448430493273543</v>
      </c>
      <c r="GS320" s="1093">
        <f t="shared" ref="GS320:GX320" si="1724">GS319/GK319-1</f>
        <v>-0.0242290748898678</v>
      </c>
      <c r="GT320" s="1094">
        <f t="shared" si="1724"/>
        <v>-0.0089285714285714</v>
      </c>
      <c r="GU320" s="1094">
        <f t="shared" si="1724"/>
        <v>-0.372881355932203</v>
      </c>
      <c r="GV320" s="1094">
        <f t="shared" si="1724"/>
        <v>-0.195652173913043</v>
      </c>
      <c r="GW320" s="1094">
        <f t="shared" si="1724"/>
        <v>-0.163636363636364</v>
      </c>
      <c r="GX320" s="1094">
        <f t="shared" si="1724"/>
        <v>-0.185294117647059</v>
      </c>
      <c r="GY320" s="1094"/>
      <c r="GZ320" s="1094"/>
      <c r="HA320" s="1093"/>
      <c r="HB320" s="1094"/>
      <c r="HC320" s="1094"/>
      <c r="HD320" s="1094"/>
      <c r="HE320" s="1094"/>
      <c r="HF320" s="1094"/>
      <c r="HG320" s="1094"/>
      <c r="HH320" s="1094"/>
      <c r="HI320" s="1093"/>
      <c r="HJ320" s="1094">
        <f>HJ319/HB319-1</f>
        <v>0.2</v>
      </c>
      <c r="HK320" s="1094">
        <f>HK319/HC319-1</f>
        <v>0.221153846153846</v>
      </c>
      <c r="HL320" s="1094"/>
      <c r="HM320" s="1094"/>
      <c r="HN320" s="1094"/>
      <c r="HO320" s="1094"/>
      <c r="HP320" s="1094"/>
      <c r="HQ320" s="1093"/>
      <c r="HR320" s="1094"/>
      <c r="HS320" s="1094"/>
      <c r="HT320" s="1094"/>
      <c r="HU320" s="1094"/>
      <c r="HV320" s="1094"/>
      <c r="HW320" s="1094"/>
      <c r="HX320" s="1094"/>
      <c r="HY320" s="1094"/>
      <c r="HZ320" s="1094"/>
      <c r="IA320" s="1094"/>
      <c r="IB320" s="1094"/>
      <c r="IC320" s="1094"/>
      <c r="ID320" s="1094"/>
      <c r="IE320" s="1094"/>
      <c r="IF320" s="1094"/>
      <c r="IG320" s="1093"/>
      <c r="IH320" s="1094"/>
      <c r="II320" s="1094"/>
      <c r="IJ320" s="1094"/>
      <c r="IK320" s="1094"/>
      <c r="IL320" s="1094"/>
      <c r="IM320" s="1094"/>
      <c r="IN320" s="1094"/>
      <c r="IO320" s="1093"/>
      <c r="IP320" s="1094"/>
      <c r="IQ320" s="1094"/>
      <c r="IR320" s="1094"/>
      <c r="IS320" s="1094"/>
      <c r="IT320" s="1094"/>
      <c r="IU320" s="1094"/>
      <c r="IV320" s="1094"/>
      <c r="IW320" s="1094"/>
      <c r="IX320" s="1104"/>
      <c r="IY320" s="1049"/>
      <c r="IZ320" s="1049"/>
      <c r="JA320" s="1049"/>
      <c r="JB320" s="1049"/>
      <c r="JC320" s="1049"/>
      <c r="JD320" s="1041"/>
      <c r="JE320" s="1037"/>
      <c r="JF320" s="1037"/>
      <c r="JG320" s="1037"/>
      <c r="JH320" s="1037"/>
      <c r="JI320" s="1035"/>
      <c r="JJ320" s="1035"/>
      <c r="JK320" s="1035"/>
      <c r="JL320" s="1035"/>
      <c r="JM320" s="1035"/>
      <c r="JN320" s="1035"/>
      <c r="JO320" s="1035"/>
      <c r="JP320" s="1035"/>
      <c r="JQ320" s="1035"/>
      <c r="JR320" s="1035"/>
      <c r="JS320" s="1035"/>
      <c r="JT320" s="1035"/>
      <c r="JU320" s="1035"/>
      <c r="JV320" s="1035"/>
      <c r="JW320" s="1035"/>
      <c r="JX320" s="1035"/>
      <c r="JY320" s="1035"/>
      <c r="KP320" s="1117"/>
      <c r="LV320" s="967"/>
    </row>
    <row r="321" spans="1:334">
      <c r="A321" s="967" t="s">
        <v>130</v>
      </c>
      <c r="AX321" s="1059"/>
      <c r="BE321" s="1060"/>
      <c r="BN321" s="1059"/>
      <c r="BU321" s="1060"/>
      <c r="BV321" s="1059"/>
      <c r="CC321" s="1060"/>
      <c r="CD321" s="1059"/>
      <c r="CJ321" s="1061"/>
      <c r="CK321" s="1060"/>
      <c r="CL321" s="1059"/>
      <c r="CS321" s="1060"/>
      <c r="CT321" s="1059"/>
      <c r="CW321" s="1062"/>
      <c r="CX321" s="1062"/>
      <c r="DE321" s="1064"/>
      <c r="DF321" s="1064"/>
      <c r="DM321" s="1064"/>
      <c r="DN321" s="1064"/>
      <c r="DU321" s="1064"/>
      <c r="DV321" s="1064"/>
      <c r="EC321" s="1064"/>
      <c r="ED321" s="1064"/>
      <c r="EH321" s="1181"/>
      <c r="EI321" s="1181"/>
      <c r="EJ321" s="1181"/>
      <c r="EK321" s="1181"/>
      <c r="EL321" s="1181"/>
      <c r="EM321" s="1181"/>
      <c r="EN321" s="1181"/>
      <c r="EO321" s="1182"/>
      <c r="EP321" s="1181"/>
      <c r="EQ321" s="1181"/>
      <c r="ER321" s="1181"/>
      <c r="ES321" s="1181"/>
      <c r="ET321" s="1181"/>
      <c r="EU321" s="1181"/>
      <c r="EV321" s="1181"/>
      <c r="EW321" s="1182"/>
      <c r="EX321" s="1094">
        <f>EX319/EX$236</f>
        <v>0.254010695187166</v>
      </c>
      <c r="EY321" s="1094">
        <f t="shared" ref="EY321:FH321" si="1725">EY319/EY$236</f>
        <v>0.265</v>
      </c>
      <c r="EZ321" s="1094">
        <f t="shared" si="1725"/>
        <v>0.25968992248062</v>
      </c>
      <c r="FA321" s="1094">
        <f t="shared" si="1725"/>
        <v>0.26056338028169</v>
      </c>
      <c r="FB321" s="1094">
        <f t="shared" si="1725"/>
        <v>0.26</v>
      </c>
      <c r="FC321" s="1094">
        <f t="shared" si="1725"/>
        <v>0.33495145631068</v>
      </c>
      <c r="FD321" s="1094">
        <f t="shared" si="1725"/>
        <v>0.297136038186158</v>
      </c>
      <c r="FE321" s="1093">
        <f t="shared" si="1725"/>
        <v>0.279156327543424</v>
      </c>
      <c r="FF321" s="1094">
        <f t="shared" si="1725"/>
        <v>0.286052009456265</v>
      </c>
      <c r="FG321" s="1094">
        <f t="shared" si="1725"/>
        <v>0.276315789473684</v>
      </c>
      <c r="FH321" s="1094">
        <f t="shared" si="1725"/>
        <v>0.281001137656428</v>
      </c>
      <c r="FI321" s="1094">
        <f t="shared" ref="FI321:FR321" si="1726">FI319/FI$236</f>
        <v>0.314928425357873</v>
      </c>
      <c r="FJ321" s="1094">
        <f t="shared" si="1726"/>
        <v>0.29312865497076</v>
      </c>
      <c r="FK321" s="1094">
        <f t="shared" si="1726"/>
        <v>0.289156626506024</v>
      </c>
      <c r="FL321" s="1094">
        <f t="shared" si="1726"/>
        <v>0.303097345132743</v>
      </c>
      <c r="FM321" s="1093">
        <f t="shared" si="1726"/>
        <v>0.292204150308469</v>
      </c>
      <c r="FN321" s="1094">
        <f t="shared" si="1726"/>
        <v>0.309644670050761</v>
      </c>
      <c r="FO321" s="1094">
        <f t="shared" si="1726"/>
        <v>0.308707124010554</v>
      </c>
      <c r="FP321" s="1094">
        <f t="shared" si="1726"/>
        <v>0.309184993531695</v>
      </c>
      <c r="FQ321" s="1094">
        <f t="shared" si="1726"/>
        <v>0.252566735112936</v>
      </c>
      <c r="FR321" s="1094">
        <f t="shared" si="1726"/>
        <v>0.287301587301587</v>
      </c>
      <c r="FS321" s="1094">
        <f t="shared" ref="FS321:FZ321" si="1727">FS319/FS$236</f>
        <v>0.307855626326964</v>
      </c>
      <c r="FT321" s="1094">
        <f t="shared" si="1727"/>
        <v>0.279749478079332</v>
      </c>
      <c r="FU321" s="1094">
        <f t="shared" si="1727"/>
        <v>0.292894280762565</v>
      </c>
      <c r="FV321" s="1275">
        <f t="shared" si="1727"/>
        <v>0.290748898678414</v>
      </c>
      <c r="FW321" s="1094">
        <f t="shared" si="1727"/>
        <v>0.285714285714286</v>
      </c>
      <c r="FX321" s="1094">
        <f t="shared" si="1727"/>
        <v>0.288268156424581</v>
      </c>
      <c r="FY321" s="1094">
        <f t="shared" si="1727"/>
        <v>0.262948207171315</v>
      </c>
      <c r="FZ321" s="1094">
        <f t="shared" si="1727"/>
        <v>0.279169649248389</v>
      </c>
      <c r="GA321" s="1094">
        <f t="shared" ref="GA321:GC321" si="1728">GA319/GA$236</f>
        <v>0.284313725490196</v>
      </c>
      <c r="GB321" s="1094">
        <f t="shared" si="1728"/>
        <v>0.273715415019763</v>
      </c>
      <c r="GC321" s="1093">
        <f t="shared" si="1728"/>
        <v>0.280545359202937</v>
      </c>
      <c r="GD321" s="1275">
        <f t="shared" ref="GD321:GF321" si="1729">GD319/GD$236</f>
        <v>0.269767441860465</v>
      </c>
      <c r="GE321" s="1094">
        <f t="shared" si="1729"/>
        <v>0.276442307692308</v>
      </c>
      <c r="GF321" s="1094">
        <f t="shared" si="1729"/>
        <v>0.273049645390071</v>
      </c>
      <c r="GG321" s="1094">
        <f t="shared" ref="GG321:GN321" si="1730">GG319/GG$236</f>
        <v>0.25</v>
      </c>
      <c r="GH321" s="1094">
        <f t="shared" si="1730"/>
        <v>0.266441821247892</v>
      </c>
      <c r="GI321" s="1094">
        <f t="shared" si="1730"/>
        <v>0.308724832214765</v>
      </c>
      <c r="GJ321" s="1094">
        <f t="shared" si="1730"/>
        <v>0.283354510800508</v>
      </c>
      <c r="GK321" s="1093">
        <f t="shared" si="1730"/>
        <v>0.278015921616656</v>
      </c>
      <c r="GL321" s="1094">
        <f t="shared" si="1730"/>
        <v>0.297872340425532</v>
      </c>
      <c r="GM321" s="1094">
        <f t="shared" si="1730"/>
        <v>0.292803970223325</v>
      </c>
      <c r="GN321" s="1094">
        <f t="shared" si="1730"/>
        <v>0.295250320924262</v>
      </c>
      <c r="GO321" s="1094">
        <f t="shared" ref="GO321:GV321" si="1731">GO319/GO$236</f>
        <v>0.271604938271605</v>
      </c>
      <c r="GP321" s="1094">
        <f t="shared" si="1731"/>
        <v>0.287162162162162</v>
      </c>
      <c r="GQ321" s="1094">
        <f t="shared" si="1731"/>
        <v>0.216386554621849</v>
      </c>
      <c r="GR321" s="1094">
        <f t="shared" si="1731"/>
        <v>0.241770715096481</v>
      </c>
      <c r="GS321" s="1093">
        <f t="shared" si="1731"/>
        <v>0.266867469879518</v>
      </c>
      <c r="GT321" s="1094">
        <f t="shared" si="1731"/>
        <v>0.327433628318584</v>
      </c>
      <c r="GU321" s="1094">
        <f t="shared" si="1731"/>
        <v>0.649122807017544</v>
      </c>
      <c r="GV321" s="1094">
        <f t="shared" si="1731"/>
        <v>0.408388520971302</v>
      </c>
      <c r="GW321" s="1094">
        <f t="shared" ref="GW321:GX321" si="1732">GW319/GW$236</f>
        <v>0.311178758667343</v>
      </c>
      <c r="GX321" s="1094">
        <f t="shared" si="1732"/>
        <v>0.369999332131169</v>
      </c>
      <c r="GY321" s="1094"/>
      <c r="GZ321" s="1094"/>
      <c r="HA321" s="1093"/>
      <c r="HB321" s="1094">
        <f t="shared" ref="HB321:HG321" si="1733">HB319/HB179</f>
        <v>0.286195286195286</v>
      </c>
      <c r="HC321" s="1094">
        <f t="shared" si="1733"/>
        <v>0.298850574712644</v>
      </c>
      <c r="HD321" s="1094">
        <f t="shared" si="1733"/>
        <v>0.293023255813953</v>
      </c>
      <c r="HE321" s="1094">
        <f t="shared" si="1733"/>
        <v>0.271604938271605</v>
      </c>
      <c r="HF321" s="1094">
        <f t="shared" si="1733"/>
        <v>0.284761904761905</v>
      </c>
      <c r="HG321" s="1094">
        <f t="shared" si="1733"/>
        <v>0.332493702770781</v>
      </c>
      <c r="HH321" s="1094"/>
      <c r="HI321" s="1093">
        <f>HI319/HI179</f>
        <v>0.297857636489288</v>
      </c>
      <c r="HJ321" s="1094">
        <f>HJ319/HJ179</f>
        <v>0.243436754176611</v>
      </c>
      <c r="HK321" s="1094">
        <f>HK319/HK179</f>
        <v>0.247081712062256</v>
      </c>
      <c r="HL321" s="1094"/>
      <c r="HM321" s="1094"/>
      <c r="HN321" s="1094"/>
      <c r="HO321" s="1094"/>
      <c r="HP321" s="1094"/>
      <c r="HQ321" s="1093"/>
      <c r="HR321" s="1094"/>
      <c r="HS321" s="1094"/>
      <c r="HT321" s="1094"/>
      <c r="HU321" s="1094"/>
      <c r="HV321" s="1094"/>
      <c r="HW321" s="1094"/>
      <c r="HX321" s="1094"/>
      <c r="HY321" s="1094"/>
      <c r="HZ321" s="1094"/>
      <c r="IA321" s="1094"/>
      <c r="IB321" s="1094"/>
      <c r="IC321" s="1094"/>
      <c r="ID321" s="1094"/>
      <c r="IE321" s="1094"/>
      <c r="IF321" s="1094"/>
      <c r="IG321" s="1093"/>
      <c r="IH321" s="1094"/>
      <c r="II321" s="1094"/>
      <c r="IJ321" s="1094"/>
      <c r="IK321" s="1094"/>
      <c r="IL321" s="1094"/>
      <c r="IM321" s="1094"/>
      <c r="IN321" s="1094"/>
      <c r="IO321" s="1093"/>
      <c r="IP321" s="1094"/>
      <c r="IQ321" s="1094"/>
      <c r="IR321" s="1094"/>
      <c r="IS321" s="1094"/>
      <c r="IT321" s="1094"/>
      <c r="IU321" s="1094"/>
      <c r="IV321" s="1094"/>
      <c r="IW321" s="1094"/>
      <c r="IX321" s="1104"/>
      <c r="IY321" s="1049"/>
      <c r="IZ321" s="1049"/>
      <c r="JA321" s="1049"/>
      <c r="JB321" s="1049"/>
      <c r="JC321" s="1049"/>
      <c r="JD321" s="1041"/>
      <c r="JE321" s="1037"/>
      <c r="JF321" s="1037"/>
      <c r="JG321" s="1037"/>
      <c r="JH321" s="1037"/>
      <c r="JI321" s="1035"/>
      <c r="JJ321" s="1035"/>
      <c r="JK321" s="1035"/>
      <c r="JL321" s="1035"/>
      <c r="JM321" s="1035"/>
      <c r="JN321" s="1035"/>
      <c r="JO321" s="1035"/>
      <c r="JP321" s="1035"/>
      <c r="JQ321" s="1035"/>
      <c r="JR321" s="1035"/>
      <c r="JS321" s="1035"/>
      <c r="JT321" s="1035"/>
      <c r="JU321" s="1035"/>
      <c r="JV321" s="1035"/>
      <c r="JW321" s="1035"/>
      <c r="JX321" s="1035"/>
      <c r="JY321" s="1035"/>
      <c r="KP321" s="1117"/>
      <c r="LV321" s="967"/>
    </row>
    <row r="322" spans="1:334">
      <c r="A322" s="1103" t="s">
        <v>131</v>
      </c>
      <c r="AX322" s="1059"/>
      <c r="BE322" s="1060"/>
      <c r="BN322" s="1059"/>
      <c r="BU322" s="1060"/>
      <c r="BV322" s="1059"/>
      <c r="CC322" s="1060"/>
      <c r="CD322" s="1059"/>
      <c r="CJ322" s="1061"/>
      <c r="CK322" s="1060"/>
      <c r="CL322" s="1059"/>
      <c r="CS322" s="1060"/>
      <c r="CT322" s="1059"/>
      <c r="CW322" s="1062"/>
      <c r="CX322" s="1062"/>
      <c r="DE322" s="1064"/>
      <c r="DF322" s="1064"/>
      <c r="DM322" s="1064"/>
      <c r="DN322" s="1064"/>
      <c r="DU322" s="1064"/>
      <c r="DV322" s="1064"/>
      <c r="EC322" s="1064"/>
      <c r="ED322" s="1064"/>
      <c r="EH322" s="1181"/>
      <c r="EI322" s="1181"/>
      <c r="EJ322" s="1181"/>
      <c r="EK322" s="1181"/>
      <c r="EL322" s="1181"/>
      <c r="EM322" s="1181"/>
      <c r="EN322" s="1181"/>
      <c r="EO322" s="1182"/>
      <c r="EP322" s="1181"/>
      <c r="EQ322" s="1181"/>
      <c r="ER322" s="1181"/>
      <c r="ES322" s="1181"/>
      <c r="ET322" s="1181"/>
      <c r="EU322" s="1181"/>
      <c r="EV322" s="1181"/>
      <c r="EW322" s="1182"/>
      <c r="EX322" s="1071">
        <v>56</v>
      </c>
      <c r="EY322" s="1071">
        <v>53</v>
      </c>
      <c r="EZ322" s="1071">
        <f>EX322+EY322</f>
        <v>109</v>
      </c>
      <c r="FA322" s="1071">
        <v>57</v>
      </c>
      <c r="FB322" s="1071">
        <f>EX322+EY322+FA322</f>
        <v>166</v>
      </c>
      <c r="FC322" s="1071">
        <v>33</v>
      </c>
      <c r="FD322" s="1071">
        <f>FA322+FC322</f>
        <v>90</v>
      </c>
      <c r="FE322" s="1072">
        <f>EX322+EY322+FA322+FC322</f>
        <v>199</v>
      </c>
      <c r="FF322" s="1071">
        <v>58</v>
      </c>
      <c r="FG322" s="1071">
        <f>FH322-FF322</f>
        <v>69</v>
      </c>
      <c r="FH322" s="1071">
        <v>127</v>
      </c>
      <c r="FI322" s="1071">
        <f>FJ322-FH322</f>
        <v>61</v>
      </c>
      <c r="FJ322" s="1071">
        <v>188</v>
      </c>
      <c r="FK322" s="1071">
        <f>FM322-FJ322</f>
        <v>47</v>
      </c>
      <c r="FL322" s="1071">
        <f>FI322+FK322</f>
        <v>108</v>
      </c>
      <c r="FM322" s="1072">
        <v>235</v>
      </c>
      <c r="FN322" s="1071">
        <v>56</v>
      </c>
      <c r="FO322" s="1071">
        <f>FP322-FN322</f>
        <v>39</v>
      </c>
      <c r="FP322" s="1071">
        <v>95</v>
      </c>
      <c r="FQ322" s="1071">
        <f>FR322-FP322</f>
        <v>72</v>
      </c>
      <c r="FR322" s="1071">
        <v>167</v>
      </c>
      <c r="FS322" s="1071">
        <f>FU322-FR322</f>
        <v>60</v>
      </c>
      <c r="FT322" s="1071">
        <f>FQ322+FS322</f>
        <v>132</v>
      </c>
      <c r="FU322" s="1071">
        <v>227</v>
      </c>
      <c r="FV322" s="1177">
        <v>49</v>
      </c>
      <c r="FW322" s="1071">
        <f>FX322-FV322</f>
        <v>47</v>
      </c>
      <c r="FX322" s="1071">
        <v>96</v>
      </c>
      <c r="FY322" s="1071">
        <f>FZ322-FX322</f>
        <v>68</v>
      </c>
      <c r="FZ322" s="1071">
        <v>164</v>
      </c>
      <c r="GA322" s="1071">
        <f>GC322-FZ322</f>
        <v>104</v>
      </c>
      <c r="GB322" s="1071">
        <f>FY322+GA322</f>
        <v>172</v>
      </c>
      <c r="GC322" s="1072">
        <v>268</v>
      </c>
      <c r="GD322" s="1177">
        <v>75</v>
      </c>
      <c r="GE322" s="1071">
        <f>GF322-GD322</f>
        <v>68</v>
      </c>
      <c r="GF322" s="1071">
        <v>143</v>
      </c>
      <c r="GG322" s="1071">
        <v>63</v>
      </c>
      <c r="GH322" s="1071">
        <f>GG322+GF322</f>
        <v>206</v>
      </c>
      <c r="GI322" s="1071">
        <f>GK322-GH322</f>
        <v>73</v>
      </c>
      <c r="GJ322" s="1071">
        <f>GG322+GI322</f>
        <v>136</v>
      </c>
      <c r="GK322" s="1072">
        <v>279</v>
      </c>
      <c r="GL322" s="1071">
        <v>62</v>
      </c>
      <c r="GM322" s="1071">
        <v>59</v>
      </c>
      <c r="GN322" s="1071">
        <f>GM322+GL322</f>
        <v>121</v>
      </c>
      <c r="GO322" s="1071">
        <v>69</v>
      </c>
      <c r="GP322" s="1071">
        <f>GO322+GN322</f>
        <v>190</v>
      </c>
      <c r="GQ322" s="1071">
        <f>GS322-GP322</f>
        <v>105</v>
      </c>
      <c r="GR322" s="1071">
        <f>GO322+GQ322</f>
        <v>174</v>
      </c>
      <c r="GS322" s="1072">
        <v>295</v>
      </c>
      <c r="GT322" s="1071">
        <v>39</v>
      </c>
      <c r="GU322" s="1071">
        <v>-12</v>
      </c>
      <c r="GV322" s="1071">
        <f>GU322+GT322</f>
        <v>27</v>
      </c>
      <c r="GW322" s="1071">
        <v>33</v>
      </c>
      <c r="GX322" s="1071">
        <f>GW322+GV322</f>
        <v>60</v>
      </c>
      <c r="GY322" s="1071"/>
      <c r="GZ322" s="1071"/>
      <c r="HA322" s="1072"/>
      <c r="HB322" s="1071">
        <v>59</v>
      </c>
      <c r="HC322" s="1071">
        <v>63</v>
      </c>
      <c r="HD322" s="1071">
        <f>HC322+HB322</f>
        <v>122</v>
      </c>
      <c r="HE322" s="1071">
        <v>82</v>
      </c>
      <c r="HF322" s="1071">
        <f>HE322+HD322</f>
        <v>204</v>
      </c>
      <c r="HG322" s="1071">
        <v>62</v>
      </c>
      <c r="HH322" s="1071"/>
      <c r="HI322" s="1072">
        <f>HG322+HF322</f>
        <v>266</v>
      </c>
      <c r="HJ322" s="1071">
        <v>83</v>
      </c>
      <c r="HK322" s="1071">
        <v>126</v>
      </c>
      <c r="HL322" s="1071"/>
      <c r="HM322" s="1071"/>
      <c r="HN322" s="1071"/>
      <c r="HO322" s="1071"/>
      <c r="HP322" s="1071"/>
      <c r="HQ322" s="1072"/>
      <c r="HR322" s="1071"/>
      <c r="HS322" s="1071"/>
      <c r="HT322" s="1071"/>
      <c r="HU322" s="1071"/>
      <c r="HV322" s="1071"/>
      <c r="HW322" s="1071"/>
      <c r="HX322" s="1071"/>
      <c r="HY322" s="1071"/>
      <c r="HZ322" s="1071"/>
      <c r="IA322" s="1071"/>
      <c r="IB322" s="1071"/>
      <c r="IC322" s="1071"/>
      <c r="ID322" s="1071"/>
      <c r="IE322" s="1071"/>
      <c r="IF322" s="1071"/>
      <c r="IG322" s="1072"/>
      <c r="IH322" s="1071"/>
      <c r="II322" s="1071"/>
      <c r="IJ322" s="1071"/>
      <c r="IK322" s="1071"/>
      <c r="IL322" s="1071"/>
      <c r="IM322" s="1071"/>
      <c r="IN322" s="1071"/>
      <c r="IO322" s="1072"/>
      <c r="IP322" s="1071"/>
      <c r="IQ322" s="1071"/>
      <c r="IR322" s="1071"/>
      <c r="IS322" s="1071"/>
      <c r="IT322" s="1071"/>
      <c r="IU322" s="1071"/>
      <c r="IV322" s="1071"/>
      <c r="IW322" s="1071"/>
      <c r="IX322" s="1104"/>
      <c r="IY322" s="1049"/>
      <c r="IZ322" s="1049"/>
      <c r="JA322" s="1049"/>
      <c r="JB322" s="1049"/>
      <c r="JC322" s="1049"/>
      <c r="JD322" s="1041"/>
      <c r="JE322" s="1037"/>
      <c r="JF322" s="1037"/>
      <c r="JG322" s="1037"/>
      <c r="JH322" s="1037"/>
      <c r="JI322" s="1035"/>
      <c r="JJ322" s="1035"/>
      <c r="JK322" s="1035"/>
      <c r="JL322" s="1035"/>
      <c r="JM322" s="1035"/>
      <c r="JN322" s="1035"/>
      <c r="JO322" s="1035"/>
      <c r="JP322" s="1035"/>
      <c r="JQ322" s="1035"/>
      <c r="JR322" s="1035"/>
      <c r="JS322" s="1035"/>
      <c r="JT322" s="1035"/>
      <c r="JU322" s="1035"/>
      <c r="JV322" s="1035"/>
      <c r="JW322" s="1035"/>
      <c r="JX322" s="1035"/>
      <c r="JY322" s="1035"/>
      <c r="KP322" s="1117"/>
      <c r="LV322" s="967"/>
    </row>
    <row r="323" spans="1:334">
      <c r="A323" s="967" t="s">
        <v>61</v>
      </c>
      <c r="AX323" s="1059"/>
      <c r="BE323" s="1060"/>
      <c r="BN323" s="1059"/>
      <c r="BU323" s="1060"/>
      <c r="BV323" s="1059"/>
      <c r="CC323" s="1060"/>
      <c r="CD323" s="1059"/>
      <c r="CJ323" s="1061"/>
      <c r="CK323" s="1060"/>
      <c r="CL323" s="1059"/>
      <c r="CS323" s="1060"/>
      <c r="CT323" s="1059"/>
      <c r="CW323" s="1062"/>
      <c r="CX323" s="1062"/>
      <c r="DE323" s="1064"/>
      <c r="DF323" s="1064"/>
      <c r="DM323" s="1064"/>
      <c r="DN323" s="1064"/>
      <c r="DU323" s="1064"/>
      <c r="DV323" s="1064"/>
      <c r="EC323" s="1064"/>
      <c r="ED323" s="1064"/>
      <c r="EH323" s="1181"/>
      <c r="EI323" s="1181"/>
      <c r="EJ323" s="1181"/>
      <c r="EK323" s="1181"/>
      <c r="EL323" s="1181"/>
      <c r="EM323" s="1181"/>
      <c r="EN323" s="1181"/>
      <c r="EO323" s="1182"/>
      <c r="EP323" s="1181"/>
      <c r="EQ323" s="1181"/>
      <c r="ER323" s="1181"/>
      <c r="ES323" s="1181"/>
      <c r="ET323" s="1181"/>
      <c r="EU323" s="1181"/>
      <c r="EV323" s="1181"/>
      <c r="EW323" s="1182"/>
      <c r="EX323" s="1094"/>
      <c r="EY323" s="1094"/>
      <c r="EZ323" s="1094"/>
      <c r="FA323" s="1094"/>
      <c r="FB323" s="1094"/>
      <c r="FC323" s="1094"/>
      <c r="FD323" s="1094"/>
      <c r="FE323" s="1093"/>
      <c r="FF323" s="1094">
        <f t="shared" ref="FF323:FR323" si="1734">FF322/EX322-1</f>
        <v>0.0357142857142858</v>
      </c>
      <c r="FG323" s="1094">
        <f t="shared" si="1734"/>
        <v>0.30188679245283</v>
      </c>
      <c r="FH323" s="1094">
        <f t="shared" si="1734"/>
        <v>0.165137614678899</v>
      </c>
      <c r="FI323" s="1094">
        <f t="shared" si="1734"/>
        <v>0.0701754385964912</v>
      </c>
      <c r="FJ323" s="1094">
        <f t="shared" si="1734"/>
        <v>0.132530120481928</v>
      </c>
      <c r="FK323" s="1094">
        <f t="shared" si="1734"/>
        <v>0.424242424242424</v>
      </c>
      <c r="FL323" s="1094">
        <f t="shared" si="1734"/>
        <v>0.2</v>
      </c>
      <c r="FM323" s="1093">
        <f t="shared" si="1734"/>
        <v>0.180904522613065</v>
      </c>
      <c r="FN323" s="1094">
        <f t="shared" si="1734"/>
        <v>-0.0344827586206896</v>
      </c>
      <c r="FO323" s="1094">
        <f t="shared" si="1734"/>
        <v>-0.434782608695652</v>
      </c>
      <c r="FP323" s="1094">
        <f t="shared" si="1734"/>
        <v>-0.251968503937008</v>
      </c>
      <c r="FQ323" s="1094">
        <f t="shared" si="1734"/>
        <v>0.180327868852459</v>
      </c>
      <c r="FR323" s="1094">
        <f t="shared" si="1734"/>
        <v>-0.111702127659574</v>
      </c>
      <c r="FS323" s="1094">
        <f t="shared" ref="FS323:FX323" si="1735">FS322/FK322-1</f>
        <v>0.276595744680851</v>
      </c>
      <c r="FT323" s="1094">
        <f t="shared" si="1735"/>
        <v>0.222222222222222</v>
      </c>
      <c r="FU323" s="1094">
        <f t="shared" si="1735"/>
        <v>-0.0340425531914894</v>
      </c>
      <c r="FV323" s="1275">
        <f t="shared" si="1735"/>
        <v>-0.125</v>
      </c>
      <c r="FW323" s="1094">
        <f t="shared" si="1735"/>
        <v>0.205128205128205</v>
      </c>
      <c r="FX323" s="1094">
        <f t="shared" si="1735"/>
        <v>0.0105263157894737</v>
      </c>
      <c r="FY323" s="1094">
        <f t="shared" ref="FY323" si="1736">FY322/FQ322-1</f>
        <v>-0.0555555555555556</v>
      </c>
      <c r="FZ323" s="1094">
        <f t="shared" ref="FZ323" si="1737">FZ322/FR322-1</f>
        <v>-0.0179640718562875</v>
      </c>
      <c r="GA323" s="1094">
        <f t="shared" ref="GA323" si="1738">GA322/FS322-1</f>
        <v>0.733333333333333</v>
      </c>
      <c r="GB323" s="1094">
        <f t="shared" ref="GB323" si="1739">GB322/FT322-1</f>
        <v>0.303030303030303</v>
      </c>
      <c r="GC323" s="1093">
        <f t="shared" ref="GC323" si="1740">GC322/FU322-1</f>
        <v>0.180616740088106</v>
      </c>
      <c r="GD323" s="1275">
        <f>GD322/49-1</f>
        <v>0.530612244897959</v>
      </c>
      <c r="GE323" s="1094">
        <f>GE322/FW322-1</f>
        <v>0.446808510638298</v>
      </c>
      <c r="GF323" s="1094">
        <f>GF322/FX322-1</f>
        <v>0.489583333333333</v>
      </c>
      <c r="GG323" s="1094">
        <f>GG322/FY322-1</f>
        <v>-0.0735294117647058</v>
      </c>
      <c r="GH323" s="1094">
        <f>GH322/FZ322-1</f>
        <v>0.25609756097561</v>
      </c>
      <c r="GI323" s="1094">
        <f t="shared" ref="GI323" si="1741">GI322/GA322-1</f>
        <v>-0.298076923076923</v>
      </c>
      <c r="GJ323" s="1094">
        <f t="shared" ref="GJ323" si="1742">GJ322/GB322-1</f>
        <v>-0.209302325581395</v>
      </c>
      <c r="GK323" s="1093">
        <f t="shared" ref="GK323:GP323" si="1743">GK322/GC322-1</f>
        <v>0.041044776119403</v>
      </c>
      <c r="GL323" s="1094">
        <f t="shared" si="1743"/>
        <v>-0.173333333333333</v>
      </c>
      <c r="GM323" s="1094">
        <f t="shared" si="1743"/>
        <v>-0.132352941176471</v>
      </c>
      <c r="GN323" s="1094">
        <f t="shared" si="1743"/>
        <v>-0.153846153846154</v>
      </c>
      <c r="GO323" s="1094">
        <f t="shared" si="1743"/>
        <v>0.0952380952380953</v>
      </c>
      <c r="GP323" s="1094">
        <f t="shared" si="1743"/>
        <v>-0.0776699029126213</v>
      </c>
      <c r="GQ323" s="1094">
        <f t="shared" ref="GQ323" si="1744">GQ322/GI322-1</f>
        <v>0.438356164383562</v>
      </c>
      <c r="GR323" s="1094">
        <f t="shared" ref="GR323" si="1745">GR322/GJ322-1</f>
        <v>0.279411764705882</v>
      </c>
      <c r="GS323" s="1093">
        <f t="shared" ref="GS323:GX323" si="1746">GS322/GK322-1</f>
        <v>0.0573476702508962</v>
      </c>
      <c r="GT323" s="1094">
        <f t="shared" si="1746"/>
        <v>-0.370967741935484</v>
      </c>
      <c r="GU323" s="1094">
        <f t="shared" si="1746"/>
        <v>-1.20338983050847</v>
      </c>
      <c r="GV323" s="1094">
        <f t="shared" si="1746"/>
        <v>-0.776859504132231</v>
      </c>
      <c r="GW323" s="1094">
        <f t="shared" si="1746"/>
        <v>-0.521739130434783</v>
      </c>
      <c r="GX323" s="1094">
        <f t="shared" si="1746"/>
        <v>-0.684210526315789</v>
      </c>
      <c r="GY323" s="1094"/>
      <c r="GZ323" s="1094"/>
      <c r="HA323" s="1093"/>
      <c r="HB323" s="1094"/>
      <c r="HC323" s="1094"/>
      <c r="HD323" s="1094"/>
      <c r="HE323" s="1094"/>
      <c r="HF323" s="1094"/>
      <c r="HG323" s="1094"/>
      <c r="HH323" s="1094"/>
      <c r="HI323" s="1093"/>
      <c r="HJ323" s="1094">
        <f>HJ322/HB322-1</f>
        <v>0.406779661016949</v>
      </c>
      <c r="HK323" s="1094">
        <f>HK322/HC322-1</f>
        <v>1</v>
      </c>
      <c r="HL323" s="1094"/>
      <c r="HM323" s="1094"/>
      <c r="HN323" s="1094"/>
      <c r="HO323" s="1094"/>
      <c r="HP323" s="1094"/>
      <c r="HQ323" s="1093"/>
      <c r="HR323" s="1094"/>
      <c r="HS323" s="1094"/>
      <c r="HT323" s="1094"/>
      <c r="HU323" s="1094"/>
      <c r="HV323" s="1094"/>
      <c r="HW323" s="1094"/>
      <c r="HX323" s="1094"/>
      <c r="HY323" s="1094"/>
      <c r="HZ323" s="1094"/>
      <c r="IA323" s="1094"/>
      <c r="IB323" s="1094"/>
      <c r="IC323" s="1094"/>
      <c r="ID323" s="1094"/>
      <c r="IE323" s="1094"/>
      <c r="IF323" s="1094"/>
      <c r="IG323" s="1093"/>
      <c r="IH323" s="1094"/>
      <c r="II323" s="1094"/>
      <c r="IJ323" s="1094"/>
      <c r="IK323" s="1094"/>
      <c r="IL323" s="1094"/>
      <c r="IM323" s="1094"/>
      <c r="IN323" s="1094"/>
      <c r="IO323" s="1093"/>
      <c r="IP323" s="1094"/>
      <c r="IQ323" s="1094"/>
      <c r="IR323" s="1094"/>
      <c r="IS323" s="1094"/>
      <c r="IT323" s="1094"/>
      <c r="IU323" s="1094"/>
      <c r="IV323" s="1094"/>
      <c r="IW323" s="1094"/>
      <c r="IX323" s="1104"/>
      <c r="IY323" s="1049"/>
      <c r="IZ323" s="1049"/>
      <c r="JA323" s="1049"/>
      <c r="JB323" s="1049"/>
      <c r="JC323" s="1049"/>
      <c r="JD323" s="1041"/>
      <c r="JE323" s="1037"/>
      <c r="JF323" s="1037"/>
      <c r="JG323" s="1037"/>
      <c r="JH323" s="1037"/>
      <c r="JI323" s="1035"/>
      <c r="JJ323" s="1035"/>
      <c r="JK323" s="1035"/>
      <c r="JL323" s="1035"/>
      <c r="JM323" s="1035"/>
      <c r="JN323" s="1035"/>
      <c r="JO323" s="1035"/>
      <c r="JP323" s="1035"/>
      <c r="JQ323" s="1035"/>
      <c r="JR323" s="1035"/>
      <c r="JS323" s="1035"/>
      <c r="JT323" s="1035"/>
      <c r="JU323" s="1035"/>
      <c r="JV323" s="1035"/>
      <c r="JW323" s="1035"/>
      <c r="JX323" s="1035"/>
      <c r="JY323" s="1035"/>
      <c r="KP323" s="1117"/>
      <c r="LV323" s="967"/>
    </row>
    <row r="324" spans="1:334">
      <c r="A324" s="967" t="s">
        <v>132</v>
      </c>
      <c r="AX324" s="1059"/>
      <c r="BE324" s="1060"/>
      <c r="BN324" s="1059"/>
      <c r="BU324" s="1060"/>
      <c r="BV324" s="1059"/>
      <c r="CC324" s="1060"/>
      <c r="CD324" s="1059"/>
      <c r="CJ324" s="1061"/>
      <c r="CK324" s="1060"/>
      <c r="CL324" s="1059"/>
      <c r="CS324" s="1060"/>
      <c r="CT324" s="1059"/>
      <c r="CW324" s="1062"/>
      <c r="CX324" s="1062"/>
      <c r="DE324" s="1064"/>
      <c r="DF324" s="1064"/>
      <c r="DM324" s="1064"/>
      <c r="DN324" s="1064"/>
      <c r="DU324" s="1064"/>
      <c r="DV324" s="1064"/>
      <c r="EC324" s="1064"/>
      <c r="ED324" s="1064"/>
      <c r="EH324" s="1181"/>
      <c r="EI324" s="1181"/>
      <c r="EJ324" s="1181"/>
      <c r="EK324" s="1181"/>
      <c r="EL324" s="1181"/>
      <c r="EM324" s="1181"/>
      <c r="EN324" s="1181"/>
      <c r="EO324" s="1182"/>
      <c r="EP324" s="1181"/>
      <c r="EQ324" s="1181"/>
      <c r="ER324" s="1181"/>
      <c r="ES324" s="1181"/>
      <c r="ET324" s="1181"/>
      <c r="EU324" s="1181"/>
      <c r="EV324" s="1181"/>
      <c r="EW324" s="1182"/>
      <c r="EX324" s="1094">
        <f>EX322/EX$236</f>
        <v>0.149732620320856</v>
      </c>
      <c r="EY324" s="1094">
        <f t="shared" ref="EY324:FH324" si="1747">EY322/EY$236</f>
        <v>0.1325</v>
      </c>
      <c r="EZ324" s="1094">
        <f t="shared" si="1747"/>
        <v>0.140826873385013</v>
      </c>
      <c r="FA324" s="1094">
        <f t="shared" si="1747"/>
        <v>0.133802816901408</v>
      </c>
      <c r="FB324" s="1094">
        <f t="shared" si="1747"/>
        <v>0.138333333333333</v>
      </c>
      <c r="FC324" s="1094">
        <f t="shared" si="1747"/>
        <v>0.0800970873786408</v>
      </c>
      <c r="FD324" s="1094">
        <f t="shared" si="1747"/>
        <v>0.107398568019093</v>
      </c>
      <c r="FE324" s="1093">
        <f t="shared" si="1747"/>
        <v>0.123449131513648</v>
      </c>
      <c r="FF324" s="1094">
        <f t="shared" si="1747"/>
        <v>0.137115839243499</v>
      </c>
      <c r="FG324" s="1094">
        <f t="shared" si="1747"/>
        <v>0.151315789473684</v>
      </c>
      <c r="FH324" s="1094">
        <f t="shared" si="1747"/>
        <v>0.14448236632537</v>
      </c>
      <c r="FI324" s="1094">
        <f t="shared" ref="FI324:FR324" si="1748">FI322/FI$236</f>
        <v>0.124744376278119</v>
      </c>
      <c r="FJ324" s="1094">
        <f t="shared" si="1748"/>
        <v>0.137426900584795</v>
      </c>
      <c r="FK324" s="1094">
        <f t="shared" si="1748"/>
        <v>0.113253012048193</v>
      </c>
      <c r="FL324" s="1094">
        <f t="shared" si="1748"/>
        <v>0.119469026548673</v>
      </c>
      <c r="FM324" s="1093">
        <f t="shared" si="1748"/>
        <v>0.131800336511497</v>
      </c>
      <c r="FN324" s="1094">
        <f t="shared" si="1748"/>
        <v>0.142131979695431</v>
      </c>
      <c r="FO324" s="1094">
        <f t="shared" si="1748"/>
        <v>0.102902374670185</v>
      </c>
      <c r="FP324" s="1094">
        <f t="shared" si="1748"/>
        <v>0.122897800776197</v>
      </c>
      <c r="FQ324" s="1094">
        <f t="shared" si="1748"/>
        <v>0.147843942505133</v>
      </c>
      <c r="FR324" s="1094">
        <f t="shared" si="1748"/>
        <v>0.132539682539683</v>
      </c>
      <c r="FS324" s="1094">
        <f t="shared" ref="FS324:FZ324" si="1749">FS322/FS$236</f>
        <v>0.127388535031847</v>
      </c>
      <c r="FT324" s="1094">
        <f t="shared" si="1749"/>
        <v>0.137787056367432</v>
      </c>
      <c r="FU324" s="1094">
        <f t="shared" si="1749"/>
        <v>0.131138070479492</v>
      </c>
      <c r="FV324" s="1275">
        <f t="shared" si="1749"/>
        <v>0.107929515418502</v>
      </c>
      <c r="FW324" s="1094">
        <f t="shared" si="1749"/>
        <v>0.106575963718821</v>
      </c>
      <c r="FX324" s="1094">
        <f t="shared" si="1749"/>
        <v>0.107262569832402</v>
      </c>
      <c r="FY324" s="1094">
        <f t="shared" si="1749"/>
        <v>0.135458167330677</v>
      </c>
      <c r="FZ324" s="1094">
        <f t="shared" si="1749"/>
        <v>0.117394416607015</v>
      </c>
      <c r="GA324" s="1094">
        <f t="shared" ref="GA324:GC324" si="1750">GA322/GA$236</f>
        <v>0.203921568627451</v>
      </c>
      <c r="GB324" s="1094">
        <f t="shared" si="1750"/>
        <v>0.1699604743083</v>
      </c>
      <c r="GC324" s="1093">
        <f t="shared" si="1750"/>
        <v>0.140534871525957</v>
      </c>
      <c r="GD324" s="1275">
        <f t="shared" ref="GD324:GF324" si="1751">GD322/GD$236</f>
        <v>0.174418604651163</v>
      </c>
      <c r="GE324" s="1094">
        <f t="shared" si="1751"/>
        <v>0.163461538461538</v>
      </c>
      <c r="GF324" s="1094">
        <f t="shared" si="1751"/>
        <v>0.16903073286052</v>
      </c>
      <c r="GG324" s="1094">
        <f t="shared" ref="GG324:GN324" si="1752">GG322/GG$236</f>
        <v>0.185294117647059</v>
      </c>
      <c r="GH324" s="1094">
        <f t="shared" si="1752"/>
        <v>0.173693086003373</v>
      </c>
      <c r="GI324" s="1094">
        <f t="shared" si="1752"/>
        <v>0.16331096196868</v>
      </c>
      <c r="GJ324" s="1094">
        <f t="shared" si="1752"/>
        <v>0.172808132147395</v>
      </c>
      <c r="GK324" s="1093">
        <f t="shared" si="1752"/>
        <v>0.170851194121249</v>
      </c>
      <c r="GL324" s="1094">
        <f t="shared" si="1752"/>
        <v>0.164893617021277</v>
      </c>
      <c r="GM324" s="1094">
        <f t="shared" si="1752"/>
        <v>0.146401985111663</v>
      </c>
      <c r="GN324" s="1094">
        <f t="shared" si="1752"/>
        <v>0.155327342747112</v>
      </c>
      <c r="GO324" s="1094">
        <f t="shared" ref="GO324:GV324" si="1753">GO322/GO$236</f>
        <v>0.17037037037037</v>
      </c>
      <c r="GP324" s="1094">
        <f t="shared" si="1753"/>
        <v>0.160472972972973</v>
      </c>
      <c r="GQ324" s="1094">
        <f t="shared" si="1753"/>
        <v>0.220588235294118</v>
      </c>
      <c r="GR324" s="1094">
        <f t="shared" si="1753"/>
        <v>0.197502837684449</v>
      </c>
      <c r="GS324" s="1093">
        <f t="shared" si="1753"/>
        <v>0.177710843373494</v>
      </c>
      <c r="GT324" s="1094">
        <f t="shared" si="1753"/>
        <v>0.115044247787611</v>
      </c>
      <c r="GU324" s="1094">
        <f t="shared" si="1753"/>
        <v>-0.105263157894737</v>
      </c>
      <c r="GV324" s="1094">
        <f t="shared" si="1753"/>
        <v>0.0596026490066225</v>
      </c>
      <c r="GW324" s="1094">
        <f t="shared" ref="GW324:GX324" si="1754">GW322/GW$236</f>
        <v>0.111618467782851</v>
      </c>
      <c r="GX324" s="1094">
        <f t="shared" si="1754"/>
        <v>0.0801442596674013</v>
      </c>
      <c r="GY324" s="1094"/>
      <c r="GZ324" s="1094"/>
      <c r="HA324" s="1093"/>
      <c r="HB324" s="1094">
        <f t="shared" ref="HB324:HG324" si="1755">HB322/HB179</f>
        <v>0.198653198653199</v>
      </c>
      <c r="HC324" s="1094">
        <f t="shared" si="1755"/>
        <v>0.181034482758621</v>
      </c>
      <c r="HD324" s="1094">
        <f t="shared" si="1755"/>
        <v>0.189147286821705</v>
      </c>
      <c r="HE324" s="1094">
        <f t="shared" si="1755"/>
        <v>0.202469135802469</v>
      </c>
      <c r="HF324" s="1094">
        <f t="shared" si="1755"/>
        <v>0.194285714285714</v>
      </c>
      <c r="HG324" s="1094">
        <f t="shared" si="1755"/>
        <v>0.156171284634761</v>
      </c>
      <c r="HH324" s="1094"/>
      <c r="HI324" s="1093">
        <f>HI322/HI179</f>
        <v>0.183828610919143</v>
      </c>
      <c r="HJ324" s="1094">
        <f>HJ322/HJ179</f>
        <v>0.198090692124105</v>
      </c>
      <c r="HK324" s="1094">
        <f>HK322/HK179</f>
        <v>0.245136186770428</v>
      </c>
      <c r="HL324" s="1094"/>
      <c r="HM324" s="1094"/>
      <c r="HN324" s="1094"/>
      <c r="HO324" s="1094"/>
      <c r="HP324" s="1094"/>
      <c r="HQ324" s="1093"/>
      <c r="HR324" s="1094"/>
      <c r="HS324" s="1094"/>
      <c r="HT324" s="1094"/>
      <c r="HU324" s="1094"/>
      <c r="HV324" s="1094"/>
      <c r="HW324" s="1094"/>
      <c r="HX324" s="1094"/>
      <c r="HY324" s="1094"/>
      <c r="HZ324" s="1094"/>
      <c r="IA324" s="1094"/>
      <c r="IB324" s="1094"/>
      <c r="IC324" s="1094"/>
      <c r="ID324" s="1094"/>
      <c r="IE324" s="1094"/>
      <c r="IF324" s="1094"/>
      <c r="IG324" s="1093"/>
      <c r="IH324" s="1094"/>
      <c r="II324" s="1094"/>
      <c r="IJ324" s="1094"/>
      <c r="IK324" s="1094"/>
      <c r="IL324" s="1094"/>
      <c r="IM324" s="1094"/>
      <c r="IN324" s="1094"/>
      <c r="IO324" s="1093"/>
      <c r="IP324" s="1094"/>
      <c r="IQ324" s="1094"/>
      <c r="IR324" s="1094"/>
      <c r="IS324" s="1094"/>
      <c r="IT324" s="1094"/>
      <c r="IU324" s="1094"/>
      <c r="IV324" s="1094"/>
      <c r="IW324" s="1094"/>
      <c r="IX324" s="1104"/>
      <c r="IY324" s="1049"/>
      <c r="IZ324" s="1049"/>
      <c r="JA324" s="1049"/>
      <c r="JB324" s="1049"/>
      <c r="JC324" s="1049"/>
      <c r="JD324" s="1041"/>
      <c r="JE324" s="1037"/>
      <c r="JF324" s="1037"/>
      <c r="JG324" s="1037"/>
      <c r="JH324" s="1037"/>
      <c r="JI324" s="1035"/>
      <c r="JJ324" s="1035"/>
      <c r="JK324" s="1035"/>
      <c r="JL324" s="1035"/>
      <c r="JM324" s="1035"/>
      <c r="JN324" s="1035"/>
      <c r="JO324" s="1035"/>
      <c r="JP324" s="1035"/>
      <c r="JQ324" s="1035"/>
      <c r="JR324" s="1035"/>
      <c r="JS324" s="1035"/>
      <c r="JT324" s="1035"/>
      <c r="JU324" s="1035"/>
      <c r="JV324" s="1035"/>
      <c r="JW324" s="1035"/>
      <c r="JX324" s="1035"/>
      <c r="JY324" s="1035"/>
      <c r="KP324" s="1117"/>
      <c r="LV324" s="967"/>
    </row>
    <row r="325" spans="1:334">
      <c r="A325" s="1281" t="s">
        <v>103</v>
      </c>
      <c r="B325" s="1255"/>
      <c r="C325" s="1255"/>
      <c r="D325" s="1255"/>
      <c r="E325" s="1255"/>
      <c r="F325" s="1255"/>
      <c r="G325" s="1255"/>
      <c r="H325" s="1255"/>
      <c r="I325" s="1255"/>
      <c r="J325" s="1255"/>
      <c r="K325" s="1255"/>
      <c r="L325" s="1255"/>
      <c r="M325" s="1255"/>
      <c r="N325" s="1255"/>
      <c r="O325" s="1255"/>
      <c r="P325" s="1255"/>
      <c r="Q325" s="1255"/>
      <c r="R325" s="1255"/>
      <c r="S325" s="1255"/>
      <c r="T325" s="1255"/>
      <c r="U325" s="1255"/>
      <c r="V325" s="1255"/>
      <c r="W325" s="1255"/>
      <c r="X325" s="1255"/>
      <c r="Y325" s="1255"/>
      <c r="Z325" s="1255"/>
      <c r="AA325" s="1255"/>
      <c r="AB325" s="1255"/>
      <c r="AC325" s="1255"/>
      <c r="AD325" s="1255"/>
      <c r="AE325" s="1255"/>
      <c r="AF325" s="1255"/>
      <c r="AG325" s="1255"/>
      <c r="AH325" s="1255"/>
      <c r="AI325" s="1255"/>
      <c r="AJ325" s="1255"/>
      <c r="AK325" s="1255"/>
      <c r="AL325" s="1255"/>
      <c r="AM325" s="1255"/>
      <c r="AN325" s="1255"/>
      <c r="AO325" s="1255"/>
      <c r="AP325" s="1255"/>
      <c r="AQ325" s="1255"/>
      <c r="AR325" s="1255"/>
      <c r="AS325" s="1255"/>
      <c r="AT325" s="1255"/>
      <c r="AU325" s="1255"/>
      <c r="AV325" s="1255"/>
      <c r="AW325" s="1255"/>
      <c r="AX325" s="1256"/>
      <c r="AY325" s="1255"/>
      <c r="AZ325" s="1255"/>
      <c r="BA325" s="1255"/>
      <c r="BB325" s="1255"/>
      <c r="BC325" s="1255"/>
      <c r="BD325" s="1255"/>
      <c r="BE325" s="1257"/>
      <c r="BF325" s="1255"/>
      <c r="BG325" s="1255"/>
      <c r="BH325" s="1255"/>
      <c r="BI325" s="1255"/>
      <c r="BJ325" s="1255"/>
      <c r="BK325" s="1255"/>
      <c r="BL325" s="1255"/>
      <c r="BM325" s="1255"/>
      <c r="BN325" s="1256"/>
      <c r="BO325" s="1255"/>
      <c r="BP325" s="1255"/>
      <c r="BQ325" s="1255"/>
      <c r="BR325" s="1255"/>
      <c r="BS325" s="1255"/>
      <c r="BT325" s="1255"/>
      <c r="BU325" s="1257"/>
      <c r="BV325" s="1256"/>
      <c r="BW325" s="1255"/>
      <c r="BX325" s="1255"/>
      <c r="BY325" s="1255"/>
      <c r="BZ325" s="1255"/>
      <c r="CA325" s="1255"/>
      <c r="CB325" s="1255"/>
      <c r="CC325" s="1257"/>
      <c r="CD325" s="1256"/>
      <c r="CE325" s="1255"/>
      <c r="CF325" s="1255"/>
      <c r="CG325" s="1255"/>
      <c r="CH325" s="1255"/>
      <c r="CI325" s="1255"/>
      <c r="CJ325" s="1258"/>
      <c r="CK325" s="1257"/>
      <c r="CL325" s="1256"/>
      <c r="CM325" s="1255"/>
      <c r="CN325" s="1255"/>
      <c r="CO325" s="1255"/>
      <c r="CP325" s="1255"/>
      <c r="CQ325" s="1255"/>
      <c r="CR325" s="1255"/>
      <c r="CS325" s="1257"/>
      <c r="CT325" s="1256"/>
      <c r="CU325" s="1255"/>
      <c r="CV325" s="1255"/>
      <c r="CW325" s="1259"/>
      <c r="CX325" s="1259"/>
      <c r="CY325" s="1255"/>
      <c r="CZ325" s="1255"/>
      <c r="DA325" s="1255"/>
      <c r="DB325" s="1260"/>
      <c r="DC325" s="1260"/>
      <c r="DD325" s="1260"/>
      <c r="DE325" s="1261"/>
      <c r="DF325" s="1261"/>
      <c r="DG325" s="1260"/>
      <c r="DH325" s="1260"/>
      <c r="DI325" s="1262"/>
      <c r="DJ325" s="1260"/>
      <c r="DK325" s="1260"/>
      <c r="DL325" s="1260"/>
      <c r="DM325" s="1261"/>
      <c r="DN325" s="1261"/>
      <c r="DO325" s="1260"/>
      <c r="DP325" s="1260"/>
      <c r="DQ325" s="1262"/>
      <c r="DR325" s="1260"/>
      <c r="DS325" s="1260"/>
      <c r="DT325" s="1260"/>
      <c r="DU325" s="1261"/>
      <c r="DV325" s="1261"/>
      <c r="DW325" s="1260"/>
      <c r="DX325" s="1260"/>
      <c r="DY325" s="1262"/>
      <c r="DZ325" s="1260"/>
      <c r="EA325" s="1260"/>
      <c r="EB325" s="1260"/>
      <c r="EC325" s="1261"/>
      <c r="ED325" s="1261"/>
      <c r="EE325" s="1260"/>
      <c r="EF325" s="1260"/>
      <c r="EG325" s="1262"/>
      <c r="EH325" s="1282"/>
      <c r="EI325" s="1282"/>
      <c r="EJ325" s="1282"/>
      <c r="EK325" s="1282"/>
      <c r="EL325" s="1282"/>
      <c r="EM325" s="1282"/>
      <c r="EN325" s="1282"/>
      <c r="EO325" s="1283"/>
      <c r="EP325" s="1282"/>
      <c r="EQ325" s="1282"/>
      <c r="ER325" s="1282"/>
      <c r="ES325" s="1282"/>
      <c r="ET325" s="1282"/>
      <c r="EU325" s="1282"/>
      <c r="EV325" s="1282"/>
      <c r="EW325" s="1283"/>
      <c r="EX325" s="1282"/>
      <c r="EY325" s="1282"/>
      <c r="EZ325" s="1282"/>
      <c r="FA325" s="1282"/>
      <c r="FB325" s="1282"/>
      <c r="FC325" s="1282"/>
      <c r="FD325" s="1282"/>
      <c r="FE325" s="1283"/>
      <c r="FF325" s="1282"/>
      <c r="FG325" s="1282"/>
      <c r="FH325" s="1282"/>
      <c r="FI325" s="1282"/>
      <c r="FJ325" s="1282"/>
      <c r="FK325" s="1282"/>
      <c r="FL325" s="1282"/>
      <c r="FM325" s="1283"/>
      <c r="FN325" s="1282"/>
      <c r="FO325" s="1282"/>
      <c r="FP325" s="1282"/>
      <c r="FQ325" s="1282"/>
      <c r="FR325" s="1282"/>
      <c r="FS325" s="1282"/>
      <c r="FT325" s="1282"/>
      <c r="FU325" s="1282"/>
      <c r="FV325" s="1285"/>
      <c r="FW325" s="1282"/>
      <c r="FX325" s="1282"/>
      <c r="FY325" s="1282"/>
      <c r="FZ325" s="1282"/>
      <c r="GA325" s="1282"/>
      <c r="GB325" s="1282"/>
      <c r="GC325" s="1283"/>
      <c r="GD325" s="1285"/>
      <c r="GE325" s="1282"/>
      <c r="GF325" s="1282"/>
      <c r="GG325" s="1282"/>
      <c r="GH325" s="1282"/>
      <c r="GI325" s="1282"/>
      <c r="GJ325" s="1282"/>
      <c r="GK325" s="1283"/>
      <c r="GL325" s="1282"/>
      <c r="GM325" s="1282"/>
      <c r="GN325" s="1282"/>
      <c r="GO325" s="1282"/>
      <c r="GP325" s="1282"/>
      <c r="GQ325" s="1282"/>
      <c r="GR325" s="1282"/>
      <c r="GS325" s="1283"/>
      <c r="GT325" s="1282"/>
      <c r="GU325" s="1282"/>
      <c r="GV325" s="1282"/>
      <c r="GW325" s="1282"/>
      <c r="GX325" s="1282"/>
      <c r="GY325" s="1282"/>
      <c r="GZ325" s="1282"/>
      <c r="HA325" s="1283"/>
      <c r="HB325" s="1282"/>
      <c r="HC325" s="1282"/>
      <c r="HD325" s="1282"/>
      <c r="HE325" s="1282"/>
      <c r="HF325" s="1282"/>
      <c r="HG325" s="1282"/>
      <c r="HH325" s="1282"/>
      <c r="HI325" s="1283"/>
      <c r="HJ325" s="1282"/>
      <c r="HK325" s="1282"/>
      <c r="HL325" s="1282"/>
      <c r="HM325" s="1282"/>
      <c r="HN325" s="1282"/>
      <c r="HO325" s="1282"/>
      <c r="HP325" s="1282"/>
      <c r="HQ325" s="1283"/>
      <c r="HR325" s="1282"/>
      <c r="HS325" s="1282"/>
      <c r="HT325" s="1282"/>
      <c r="HU325" s="1282"/>
      <c r="HV325" s="1282"/>
      <c r="HW325" s="1282"/>
      <c r="HX325" s="1282"/>
      <c r="HY325" s="1282"/>
      <c r="HZ325" s="1282"/>
      <c r="IA325" s="1282"/>
      <c r="IB325" s="1282"/>
      <c r="IC325" s="1282"/>
      <c r="ID325" s="1282"/>
      <c r="IE325" s="1282"/>
      <c r="IF325" s="1282"/>
      <c r="IG325" s="1283"/>
      <c r="IH325" s="1282"/>
      <c r="II325" s="1282"/>
      <c r="IJ325" s="1282"/>
      <c r="IK325" s="1282"/>
      <c r="IL325" s="1282"/>
      <c r="IM325" s="1282"/>
      <c r="IN325" s="1282"/>
      <c r="IO325" s="1283"/>
      <c r="IP325" s="1282"/>
      <c r="IQ325" s="1282"/>
      <c r="IR325" s="1282"/>
      <c r="IS325" s="1282"/>
      <c r="IT325" s="1282"/>
      <c r="IU325" s="1282"/>
      <c r="IV325" s="1282"/>
      <c r="IW325" s="1282"/>
      <c r="IX325" s="1104"/>
      <c r="IY325" s="1049"/>
      <c r="IZ325" s="1049"/>
      <c r="JA325" s="1049"/>
      <c r="JB325" s="1049"/>
      <c r="JC325" s="1049"/>
      <c r="JD325" s="1041"/>
      <c r="JE325" s="1037"/>
      <c r="JF325" s="1037"/>
      <c r="JG325" s="1037"/>
      <c r="JH325" s="1037"/>
      <c r="JI325" s="1035"/>
      <c r="JJ325" s="1035"/>
      <c r="JK325" s="1035"/>
      <c r="JL325" s="1035"/>
      <c r="JM325" s="1035"/>
      <c r="JN325" s="1035"/>
      <c r="JO325" s="1035"/>
      <c r="JP325" s="1035"/>
      <c r="JQ325" s="1035"/>
      <c r="JR325" s="1035"/>
      <c r="JS325" s="1035"/>
      <c r="JT325" s="1035"/>
      <c r="JU325" s="1035"/>
      <c r="JV325" s="1035"/>
      <c r="JW325" s="1035"/>
      <c r="JX325" s="1035"/>
      <c r="JY325" s="1035"/>
      <c r="KP325" s="1117"/>
      <c r="LV325" s="967"/>
    </row>
    <row r="326" spans="1:334">
      <c r="A326" s="967" t="s">
        <v>126</v>
      </c>
      <c r="AX326" s="1059"/>
      <c r="BE326" s="1060"/>
      <c r="BN326" s="1059"/>
      <c r="BU326" s="1060"/>
      <c r="BV326" s="1059"/>
      <c r="CC326" s="1060"/>
      <c r="CD326" s="1059"/>
      <c r="CJ326" s="1061"/>
      <c r="CK326" s="1060"/>
      <c r="CL326" s="1059"/>
      <c r="CS326" s="1060"/>
      <c r="CT326" s="1059"/>
      <c r="CW326" s="1062"/>
      <c r="CX326" s="1062"/>
      <c r="DE326" s="1064"/>
      <c r="DF326" s="1064"/>
      <c r="DM326" s="1064"/>
      <c r="DN326" s="1064"/>
      <c r="DU326" s="1064"/>
      <c r="DV326" s="1064"/>
      <c r="EC326" s="1064"/>
      <c r="ED326" s="1064"/>
      <c r="EH326" s="1181"/>
      <c r="EI326" s="1181"/>
      <c r="EJ326" s="1181"/>
      <c r="EK326" s="1181"/>
      <c r="EL326" s="1181"/>
      <c r="EM326" s="1181"/>
      <c r="EN326" s="1181"/>
      <c r="EO326" s="1182"/>
      <c r="EP326" s="1181"/>
      <c r="EQ326" s="1181"/>
      <c r="ER326" s="1181"/>
      <c r="ES326" s="1181"/>
      <c r="ET326" s="1181"/>
      <c r="EU326" s="1181"/>
      <c r="EV326" s="1181"/>
      <c r="EW326" s="1182"/>
      <c r="EX326" s="1148">
        <f>EX243-EX327</f>
        <v>179</v>
      </c>
      <c r="EY326" s="1148">
        <f t="shared" ref="EY326:FJ326" si="1756">EY243-EY327</f>
        <v>149</v>
      </c>
      <c r="EZ326" s="1148">
        <f t="shared" si="1756"/>
        <v>328</v>
      </c>
      <c r="FA326" s="1148">
        <f t="shared" si="1756"/>
        <v>227</v>
      </c>
      <c r="FB326" s="1148">
        <f t="shared" si="1756"/>
        <v>555</v>
      </c>
      <c r="FC326" s="1148">
        <f t="shared" si="1756"/>
        <v>212</v>
      </c>
      <c r="FD326" s="1148">
        <f t="shared" si="1756"/>
        <v>439</v>
      </c>
      <c r="FE326" s="1149">
        <f t="shared" si="1756"/>
        <v>767</v>
      </c>
      <c r="FF326" s="1148">
        <f t="shared" si="1756"/>
        <v>263</v>
      </c>
      <c r="FG326" s="1148">
        <f t="shared" si="1756"/>
        <v>232</v>
      </c>
      <c r="FH326" s="1148">
        <f t="shared" si="1756"/>
        <v>495</v>
      </c>
      <c r="FI326" s="1148">
        <f t="shared" si="1756"/>
        <v>309</v>
      </c>
      <c r="FJ326" s="1148">
        <f t="shared" si="1756"/>
        <v>804</v>
      </c>
      <c r="FK326" s="1148">
        <f>FK184-FK327</f>
        <v>254</v>
      </c>
      <c r="FL326" s="1148">
        <f>FL184-FL327</f>
        <v>563</v>
      </c>
      <c r="FM326" s="1149">
        <f>FM184-FM327</f>
        <v>1058</v>
      </c>
      <c r="FN326" s="1148">
        <f>FN243-FN327</f>
        <v>326</v>
      </c>
      <c r="FO326" s="1148">
        <f>FO243-FO327</f>
        <v>272</v>
      </c>
      <c r="FP326" s="1148">
        <f>FP243-FP327</f>
        <v>598</v>
      </c>
      <c r="FQ326" s="1148">
        <f>FQ243-FQ327</f>
        <v>355</v>
      </c>
      <c r="FR326" s="1148">
        <f>FR243-FR327</f>
        <v>953</v>
      </c>
      <c r="FS326" s="1148">
        <f>FS184-FS327</f>
        <v>326</v>
      </c>
      <c r="FT326" s="1148">
        <f>FT184-FT327</f>
        <v>681</v>
      </c>
      <c r="FU326" s="1148">
        <f>FU184-FU327</f>
        <v>1279</v>
      </c>
      <c r="FV326" s="1151">
        <f>FV243-FV327</f>
        <v>407</v>
      </c>
      <c r="FW326" s="1148">
        <f>FW243-FW327</f>
        <v>349</v>
      </c>
      <c r="FX326" s="1148">
        <f>FX243-FX327</f>
        <v>756</v>
      </c>
      <c r="FY326" s="1148">
        <f>FY243-FY327</f>
        <v>447</v>
      </c>
      <c r="FZ326" s="1148">
        <f>FZ243-FZ327</f>
        <v>1203</v>
      </c>
      <c r="GA326" s="1148">
        <f>GA184-GA327</f>
        <v>424</v>
      </c>
      <c r="GB326" s="1148">
        <f>GB184-GB327</f>
        <v>871</v>
      </c>
      <c r="GC326" s="1149">
        <f>GC184-GC327</f>
        <v>1627</v>
      </c>
      <c r="GD326" s="1151">
        <f>GD243-GD327</f>
        <v>816</v>
      </c>
      <c r="GE326" s="1148">
        <f>GE243-GE327</f>
        <v>734</v>
      </c>
      <c r="GF326" s="1148">
        <f>GF243-GF327</f>
        <v>1550</v>
      </c>
      <c r="GG326" s="1148">
        <f>GG243-GG327</f>
        <v>811.000000000003</v>
      </c>
      <c r="GH326" s="1148">
        <f>GH243-GH327</f>
        <v>2361</v>
      </c>
      <c r="GI326" s="1148">
        <f>GI184-GI327</f>
        <v>769</v>
      </c>
      <c r="GJ326" s="1148">
        <f>GJ184-GJ327</f>
        <v>1580</v>
      </c>
      <c r="GK326" s="1149">
        <f>GK184-GK327</f>
        <v>3130</v>
      </c>
      <c r="GL326" s="1148">
        <f>GL243-GL327</f>
        <v>882.000000000003</v>
      </c>
      <c r="GM326" s="1148">
        <f>GM243-GM327</f>
        <v>754.579999999999</v>
      </c>
      <c r="GN326" s="1148">
        <f>GN243-GN327</f>
        <v>1636.58</v>
      </c>
      <c r="GO326" s="1148">
        <f>GO243-GO327</f>
        <v>910</v>
      </c>
      <c r="GP326" s="1148">
        <f>GP243-GP327</f>
        <v>2546.58</v>
      </c>
      <c r="GQ326" s="1148">
        <f>GQ184-GQ327</f>
        <v>908</v>
      </c>
      <c r="GR326" s="1148">
        <f>GR184-GR327</f>
        <v>1818</v>
      </c>
      <c r="GS326" s="1149">
        <f>GS184-GS327</f>
        <v>3454.58</v>
      </c>
      <c r="GT326" s="1148">
        <f>GT243-GT327</f>
        <v>538</v>
      </c>
      <c r="GU326" s="1148">
        <f>GU243-GU327</f>
        <v>714</v>
      </c>
      <c r="GV326" s="1148">
        <f>GV243-GV327</f>
        <v>1252</v>
      </c>
      <c r="GW326" s="1148">
        <f>GW243-GW327</f>
        <v>894.595</v>
      </c>
      <c r="GX326" s="1148">
        <f>GX243-GX327</f>
        <v>2146.595</v>
      </c>
      <c r="GY326" s="1148"/>
      <c r="GZ326" s="1148"/>
      <c r="HA326" s="1149"/>
      <c r="HB326" s="1148">
        <f t="shared" ref="HB326:HG326" si="1757">HB184-HB327</f>
        <v>643.000000000001</v>
      </c>
      <c r="HC326" s="1148">
        <f t="shared" si="1757"/>
        <v>463</v>
      </c>
      <c r="HD326" s="1148">
        <f t="shared" si="1757"/>
        <v>1106</v>
      </c>
      <c r="HE326" s="1148">
        <f t="shared" si="1757"/>
        <v>556</v>
      </c>
      <c r="HF326" s="1148">
        <f t="shared" si="1757"/>
        <v>1662</v>
      </c>
      <c r="HG326" s="1148">
        <f t="shared" si="1757"/>
        <v>554</v>
      </c>
      <c r="HH326" s="1148"/>
      <c r="HI326" s="1149">
        <f>HG326+HF326</f>
        <v>2216</v>
      </c>
      <c r="HJ326" s="1148">
        <f>HJ184-HJ327</f>
        <v>468</v>
      </c>
      <c r="HK326" s="1148">
        <f>HK184-HK327</f>
        <v>348</v>
      </c>
      <c r="HL326" s="1148"/>
      <c r="HM326" s="1148"/>
      <c r="HN326" s="1148"/>
      <c r="HO326" s="1148"/>
      <c r="HP326" s="1148"/>
      <c r="HQ326" s="1149"/>
      <c r="HR326" s="1148"/>
      <c r="HS326" s="1148"/>
      <c r="HT326" s="1148"/>
      <c r="HU326" s="1148"/>
      <c r="HV326" s="1148"/>
      <c r="HW326" s="1148"/>
      <c r="HX326" s="1148"/>
      <c r="HY326" s="1148"/>
      <c r="HZ326" s="1148"/>
      <c r="IA326" s="1148"/>
      <c r="IB326" s="1148"/>
      <c r="IC326" s="1148"/>
      <c r="ID326" s="1148"/>
      <c r="IE326" s="1148"/>
      <c r="IF326" s="1148"/>
      <c r="IG326" s="1149"/>
      <c r="IH326" s="1148"/>
      <c r="II326" s="1148"/>
      <c r="IJ326" s="1148"/>
      <c r="IK326" s="1148"/>
      <c r="IL326" s="1148"/>
      <c r="IM326" s="1148"/>
      <c r="IN326" s="1148"/>
      <c r="IO326" s="1149"/>
      <c r="IP326" s="1148"/>
      <c r="IQ326" s="1148"/>
      <c r="IR326" s="1148"/>
      <c r="IS326" s="1148"/>
      <c r="IT326" s="1148"/>
      <c r="IU326" s="1148"/>
      <c r="IV326" s="1148"/>
      <c r="IW326" s="1148"/>
      <c r="IX326" s="1104"/>
      <c r="IY326" s="1049"/>
      <c r="IZ326" s="1049"/>
      <c r="JA326" s="1049"/>
      <c r="JB326" s="1049"/>
      <c r="JC326" s="1049"/>
      <c r="JD326" s="1041"/>
      <c r="JE326" s="1037"/>
      <c r="JF326" s="1037"/>
      <c r="JG326" s="1037"/>
      <c r="JH326" s="1037"/>
      <c r="JI326" s="1035"/>
      <c r="JJ326" s="1035"/>
      <c r="JK326" s="1035"/>
      <c r="JL326" s="1035"/>
      <c r="JM326" s="1035"/>
      <c r="JN326" s="1035"/>
      <c r="JO326" s="1035"/>
      <c r="JP326" s="1035"/>
      <c r="JQ326" s="1035"/>
      <c r="JR326" s="1035"/>
      <c r="JS326" s="1035"/>
      <c r="JT326" s="1035"/>
      <c r="JU326" s="1035"/>
      <c r="JV326" s="1035"/>
      <c r="JW326" s="1035"/>
      <c r="JX326" s="1035"/>
      <c r="JY326" s="1035"/>
      <c r="KP326" s="1117"/>
      <c r="LV326" s="967"/>
    </row>
    <row r="327" spans="1:334">
      <c r="A327" s="1103" t="s">
        <v>127</v>
      </c>
      <c r="AX327" s="1059"/>
      <c r="BE327" s="1060"/>
      <c r="BN327" s="1059"/>
      <c r="BU327" s="1060"/>
      <c r="BV327" s="1059"/>
      <c r="CC327" s="1060"/>
      <c r="CD327" s="1059"/>
      <c r="CJ327" s="1061"/>
      <c r="CK327" s="1060"/>
      <c r="CL327" s="1059"/>
      <c r="CS327" s="1060"/>
      <c r="CT327" s="1059"/>
      <c r="CW327" s="1062"/>
      <c r="CX327" s="1062"/>
      <c r="DE327" s="1064"/>
      <c r="DF327" s="1064"/>
      <c r="DM327" s="1064"/>
      <c r="DN327" s="1064"/>
      <c r="DU327" s="1064"/>
      <c r="DV327" s="1064"/>
      <c r="EC327" s="1064"/>
      <c r="ED327" s="1064"/>
      <c r="EH327" s="1181"/>
      <c r="EI327" s="1181"/>
      <c r="EJ327" s="1181"/>
      <c r="EK327" s="1181"/>
      <c r="EL327" s="1181"/>
      <c r="EM327" s="1181"/>
      <c r="EN327" s="1181"/>
      <c r="EO327" s="1182"/>
      <c r="EP327" s="1181"/>
      <c r="EQ327" s="1181"/>
      <c r="ER327" s="1181"/>
      <c r="ES327" s="1181"/>
      <c r="ET327" s="1181"/>
      <c r="EU327" s="1181"/>
      <c r="EV327" s="1181"/>
      <c r="EW327" s="1182"/>
      <c r="EX327" s="1071">
        <v>235</v>
      </c>
      <c r="EY327" s="1071">
        <v>231</v>
      </c>
      <c r="EZ327" s="1071">
        <f>EX327+EY327</f>
        <v>466</v>
      </c>
      <c r="FA327" s="1071">
        <v>283</v>
      </c>
      <c r="FB327" s="1071">
        <f>EX327+EY327+FA327</f>
        <v>749</v>
      </c>
      <c r="FC327" s="1071">
        <v>270</v>
      </c>
      <c r="FD327" s="1071">
        <f>FA327+FC327</f>
        <v>553</v>
      </c>
      <c r="FE327" s="1072">
        <f>EX327+EY327+FA327+FC327</f>
        <v>1019</v>
      </c>
      <c r="FF327" s="1071">
        <v>334</v>
      </c>
      <c r="FG327" s="1071">
        <f>FH327-FF327</f>
        <v>332</v>
      </c>
      <c r="FH327" s="1071">
        <v>666</v>
      </c>
      <c r="FI327" s="1071">
        <f>FJ327-FH327</f>
        <v>382</v>
      </c>
      <c r="FJ327" s="1071">
        <v>1048</v>
      </c>
      <c r="FK327" s="1071">
        <f>FM327-FJ327</f>
        <v>363</v>
      </c>
      <c r="FL327" s="1071">
        <f>FI327+FK327</f>
        <v>745</v>
      </c>
      <c r="FM327" s="1072">
        <v>1411</v>
      </c>
      <c r="FN327" s="1071">
        <v>436</v>
      </c>
      <c r="FO327" s="1071">
        <f>FP327-FN327</f>
        <v>413</v>
      </c>
      <c r="FP327" s="1071">
        <v>849</v>
      </c>
      <c r="FQ327" s="1071">
        <f>FR327-FP327</f>
        <v>467</v>
      </c>
      <c r="FR327" s="1071">
        <v>1316</v>
      </c>
      <c r="FS327" s="1071">
        <f>FU327-FR327</f>
        <v>415</v>
      </c>
      <c r="FT327" s="1071">
        <f>FQ327+FS327</f>
        <v>882</v>
      </c>
      <c r="FU327" s="1071">
        <v>1731</v>
      </c>
      <c r="FV327" s="1177">
        <v>583</v>
      </c>
      <c r="FW327" s="1071">
        <f>FX327-FV327</f>
        <v>516</v>
      </c>
      <c r="FX327" s="1071">
        <v>1099</v>
      </c>
      <c r="FY327" s="1071">
        <f>FZ327-FX327</f>
        <v>565</v>
      </c>
      <c r="FZ327" s="1071">
        <v>1664</v>
      </c>
      <c r="GA327" s="1071">
        <f>GC327-FZ327</f>
        <v>498</v>
      </c>
      <c r="GB327" s="1071">
        <f>FY327+GA327</f>
        <v>1063</v>
      </c>
      <c r="GC327" s="1072">
        <v>2162</v>
      </c>
      <c r="GD327" s="1177">
        <v>1040</v>
      </c>
      <c r="GE327" s="1071">
        <f>GF327-GD327</f>
        <v>992</v>
      </c>
      <c r="GF327" s="1071">
        <v>2032</v>
      </c>
      <c r="GG327" s="1071">
        <v>1083</v>
      </c>
      <c r="GH327" s="1071">
        <f>GG327+GF327</f>
        <v>3115</v>
      </c>
      <c r="GI327" s="1071">
        <f>GK327-GH327</f>
        <v>896</v>
      </c>
      <c r="GJ327" s="1071">
        <f>GG327+GI327</f>
        <v>1979</v>
      </c>
      <c r="GK327" s="1072">
        <v>4011</v>
      </c>
      <c r="GL327" s="1071">
        <v>1256</v>
      </c>
      <c r="GM327" s="1071">
        <v>1118</v>
      </c>
      <c r="GN327" s="1071">
        <f>GM327+GL327</f>
        <v>2374</v>
      </c>
      <c r="GO327" s="1071">
        <v>1180</v>
      </c>
      <c r="GP327" s="1071">
        <f>GO327+GN327</f>
        <v>3554</v>
      </c>
      <c r="GQ327" s="1071">
        <f>GS327-GP327</f>
        <v>1022</v>
      </c>
      <c r="GR327" s="1071">
        <f>GO327+GQ327</f>
        <v>2202</v>
      </c>
      <c r="GS327" s="1072">
        <v>4576</v>
      </c>
      <c r="GT327" s="1071">
        <v>646</v>
      </c>
      <c r="GU327" s="1071">
        <v>858</v>
      </c>
      <c r="GV327" s="1071">
        <f>GU327+GT327</f>
        <v>1504</v>
      </c>
      <c r="GW327" s="1071">
        <v>977</v>
      </c>
      <c r="GX327" s="1071">
        <f>GW327+GV327</f>
        <v>2481</v>
      </c>
      <c r="GY327" s="1071"/>
      <c r="GZ327" s="1071"/>
      <c r="HA327" s="1072"/>
      <c r="HB327" s="1071">
        <v>759</v>
      </c>
      <c r="HC327" s="1071">
        <v>540</v>
      </c>
      <c r="HD327" s="1071">
        <f>HC327+HB327</f>
        <v>1299</v>
      </c>
      <c r="HE327" s="1071">
        <v>599</v>
      </c>
      <c r="HF327" s="1071">
        <f>HE327+HD327</f>
        <v>1898</v>
      </c>
      <c r="HG327" s="1071">
        <v>483</v>
      </c>
      <c r="HH327" s="1071"/>
      <c r="HI327" s="1072">
        <f>HG327+HF327</f>
        <v>2381</v>
      </c>
      <c r="HJ327" s="1071">
        <v>536</v>
      </c>
      <c r="HK327" s="1071">
        <v>371</v>
      </c>
      <c r="HL327" s="1071"/>
      <c r="HM327" s="1071"/>
      <c r="HN327" s="1071"/>
      <c r="HO327" s="1071"/>
      <c r="HP327" s="1071"/>
      <c r="HQ327" s="1072"/>
      <c r="HR327" s="1071"/>
      <c r="HS327" s="1071"/>
      <c r="HT327" s="1071"/>
      <c r="HU327" s="1071"/>
      <c r="HV327" s="1071"/>
      <c r="HW327" s="1071"/>
      <c r="HX327" s="1071"/>
      <c r="HY327" s="1071"/>
      <c r="HZ327" s="1071"/>
      <c r="IA327" s="1071"/>
      <c r="IB327" s="1071"/>
      <c r="IC327" s="1071"/>
      <c r="ID327" s="1071"/>
      <c r="IE327" s="1071"/>
      <c r="IF327" s="1071"/>
      <c r="IG327" s="1072"/>
      <c r="IH327" s="1071"/>
      <c r="II327" s="1071"/>
      <c r="IJ327" s="1071"/>
      <c r="IK327" s="1071"/>
      <c r="IL327" s="1071"/>
      <c r="IM327" s="1071"/>
      <c r="IN327" s="1071"/>
      <c r="IO327" s="1072"/>
      <c r="IP327" s="1071"/>
      <c r="IQ327" s="1071"/>
      <c r="IR327" s="1071"/>
      <c r="IS327" s="1071"/>
      <c r="IT327" s="1071"/>
      <c r="IU327" s="1071"/>
      <c r="IV327" s="1071"/>
      <c r="IW327" s="1071"/>
      <c r="IX327" s="1104"/>
      <c r="IY327" s="1049"/>
      <c r="IZ327" s="1049"/>
      <c r="JA327" s="1049"/>
      <c r="JB327" s="1049"/>
      <c r="JC327" s="1049"/>
      <c r="JD327" s="1041"/>
      <c r="JE327" s="1037"/>
      <c r="JF327" s="1037"/>
      <c r="JG327" s="1037"/>
      <c r="JH327" s="1037"/>
      <c r="JI327" s="1035"/>
      <c r="JJ327" s="1035"/>
      <c r="JK327" s="1035"/>
      <c r="JL327" s="1035"/>
      <c r="JM327" s="1035"/>
      <c r="JN327" s="1035"/>
      <c r="JO327" s="1035"/>
      <c r="JP327" s="1035"/>
      <c r="JQ327" s="1035"/>
      <c r="JR327" s="1035"/>
      <c r="JS327" s="1035"/>
      <c r="JT327" s="1035"/>
      <c r="JU327" s="1035"/>
      <c r="JV327" s="1035"/>
      <c r="JW327" s="1035"/>
      <c r="JX327" s="1035"/>
      <c r="JY327" s="1035"/>
      <c r="KP327" s="1117"/>
      <c r="LV327" s="967"/>
    </row>
    <row r="328" spans="1:334">
      <c r="A328" s="967" t="s">
        <v>61</v>
      </c>
      <c r="AX328" s="1059"/>
      <c r="BE328" s="1060"/>
      <c r="BN328" s="1059"/>
      <c r="BU328" s="1060"/>
      <c r="BV328" s="1059"/>
      <c r="CC328" s="1060"/>
      <c r="CD328" s="1059"/>
      <c r="CJ328" s="1061"/>
      <c r="CK328" s="1060"/>
      <c r="CL328" s="1059"/>
      <c r="CS328" s="1060"/>
      <c r="CT328" s="1059"/>
      <c r="CW328" s="1062"/>
      <c r="CX328" s="1062"/>
      <c r="DE328" s="1064"/>
      <c r="DF328" s="1064"/>
      <c r="DM328" s="1064"/>
      <c r="DN328" s="1064"/>
      <c r="DU328" s="1064"/>
      <c r="DV328" s="1064"/>
      <c r="EC328" s="1064"/>
      <c r="ED328" s="1064"/>
      <c r="EH328" s="1181"/>
      <c r="EI328" s="1181"/>
      <c r="EJ328" s="1181"/>
      <c r="EK328" s="1181"/>
      <c r="EL328" s="1181"/>
      <c r="EM328" s="1181"/>
      <c r="EN328" s="1181"/>
      <c r="EO328" s="1182"/>
      <c r="EP328" s="1181"/>
      <c r="EQ328" s="1181"/>
      <c r="ER328" s="1181"/>
      <c r="ES328" s="1181"/>
      <c r="ET328" s="1181"/>
      <c r="EU328" s="1181"/>
      <c r="EV328" s="1181"/>
      <c r="EW328" s="1182"/>
      <c r="EX328" s="1094"/>
      <c r="EY328" s="1094"/>
      <c r="EZ328" s="1094"/>
      <c r="FA328" s="1094"/>
      <c r="FB328" s="1094"/>
      <c r="FC328" s="1094"/>
      <c r="FD328" s="1094"/>
      <c r="FE328" s="1093"/>
      <c r="FF328" s="1094">
        <f t="shared" ref="FF328:FN328" si="1758">FF327/EX327-1</f>
        <v>0.421276595744681</v>
      </c>
      <c r="FG328" s="1094">
        <f t="shared" si="1758"/>
        <v>0.437229437229437</v>
      </c>
      <c r="FH328" s="1094">
        <f t="shared" si="1758"/>
        <v>0.429184549356223</v>
      </c>
      <c r="FI328" s="1094">
        <f t="shared" si="1758"/>
        <v>0.34982332155477</v>
      </c>
      <c r="FJ328" s="1094">
        <f t="shared" si="1758"/>
        <v>0.399198931909212</v>
      </c>
      <c r="FK328" s="1094">
        <f t="shared" si="1758"/>
        <v>0.344444444444445</v>
      </c>
      <c r="FL328" s="1094">
        <f t="shared" si="1758"/>
        <v>0.347197106690778</v>
      </c>
      <c r="FM328" s="1093">
        <f t="shared" si="1758"/>
        <v>0.384690873405299</v>
      </c>
      <c r="FN328" s="1094">
        <f t="shared" si="1758"/>
        <v>0.305389221556886</v>
      </c>
      <c r="FO328" s="1094">
        <f t="shared" ref="FO328:FX328" si="1759">FO327/FG327-1</f>
        <v>0.243975903614458</v>
      </c>
      <c r="FP328" s="1094">
        <f t="shared" si="1759"/>
        <v>0.274774774774775</v>
      </c>
      <c r="FQ328" s="1094">
        <f t="shared" si="1759"/>
        <v>0.222513089005236</v>
      </c>
      <c r="FR328" s="1094">
        <f t="shared" si="1759"/>
        <v>0.255725190839695</v>
      </c>
      <c r="FS328" s="1094">
        <f t="shared" si="1759"/>
        <v>0.143250688705234</v>
      </c>
      <c r="FT328" s="1094">
        <f t="shared" si="1759"/>
        <v>0.183892617449664</v>
      </c>
      <c r="FU328" s="1094">
        <f t="shared" si="1759"/>
        <v>0.226789510985117</v>
      </c>
      <c r="FV328" s="1275">
        <f t="shared" si="1759"/>
        <v>0.337155963302752</v>
      </c>
      <c r="FW328" s="1094">
        <f t="shared" si="1759"/>
        <v>0.249394673123487</v>
      </c>
      <c r="FX328" s="1094">
        <f t="shared" si="1759"/>
        <v>0.294464075382803</v>
      </c>
      <c r="FY328" s="1094">
        <f t="shared" ref="FY328" si="1760">FY327/FQ327-1</f>
        <v>0.209850107066381</v>
      </c>
      <c r="FZ328" s="1094">
        <f t="shared" ref="FZ328" si="1761">FZ327/FR327-1</f>
        <v>0.264437689969605</v>
      </c>
      <c r="GA328" s="1094">
        <f t="shared" ref="GA328" si="1762">GA327/FS327-1</f>
        <v>0.2</v>
      </c>
      <c r="GB328" s="1094">
        <f t="shared" ref="GB328" si="1763">GB327/FT327-1</f>
        <v>0.205215419501134</v>
      </c>
      <c r="GC328" s="1093">
        <f t="shared" ref="GC328" si="1764">GC327/FU327-1</f>
        <v>0.248989023685731</v>
      </c>
      <c r="GD328" s="1275">
        <f>GD327/974-1</f>
        <v>0.0677618069815196</v>
      </c>
      <c r="GE328" s="1094">
        <f>((GF328*FX327)-(GD328*FV327))/FW327</f>
        <v>0.159830329280367</v>
      </c>
      <c r="GF328" s="1094">
        <f>GF327/1829-1</f>
        <v>0.110989611809732</v>
      </c>
      <c r="GG328" s="1094">
        <f>GG327/921-1</f>
        <v>0.175895765472313</v>
      </c>
      <c r="GH328" s="1094">
        <f>GH327/(921+854+974)-1</f>
        <v>0.133139323390324</v>
      </c>
      <c r="GI328" s="1094">
        <f t="shared" ref="GI328" si="1765">GI327/GA327-1</f>
        <v>0.799196787148594</v>
      </c>
      <c r="GJ328" s="1094">
        <f t="shared" ref="GJ328" si="1766">GJ327/GB327-1</f>
        <v>0.861712135465663</v>
      </c>
      <c r="GK328" s="1093">
        <f t="shared" ref="GK328:GN328" si="1767">GK327/GC327-1</f>
        <v>0.85522664199815</v>
      </c>
      <c r="GL328" s="1094">
        <f t="shared" si="1767"/>
        <v>0.207692307692308</v>
      </c>
      <c r="GM328" s="1094">
        <f t="shared" si="1767"/>
        <v>0.127016129032258</v>
      </c>
      <c r="GN328" s="1094">
        <f t="shared" si="1767"/>
        <v>0.168307086614173</v>
      </c>
      <c r="GO328" s="1094">
        <f>GO327/921-1</f>
        <v>0.281216069489685</v>
      </c>
      <c r="GP328" s="1094">
        <f>GP327/(921+854+974)-1</f>
        <v>0.292833757730084</v>
      </c>
      <c r="GQ328" s="1094">
        <f t="shared" ref="GQ328" si="1768">GQ327/GI327-1</f>
        <v>0.140625</v>
      </c>
      <c r="GR328" s="1094">
        <f t="shared" ref="GR328" si="1769">GR327/GJ327-1</f>
        <v>0.112683173319859</v>
      </c>
      <c r="GS328" s="1093">
        <f t="shared" ref="GS328:GV328" si="1770">GS327/GK327-1</f>
        <v>0.140862627773622</v>
      </c>
      <c r="GT328" s="1094">
        <f t="shared" si="1770"/>
        <v>-0.485668789808917</v>
      </c>
      <c r="GU328" s="1094">
        <f t="shared" si="1770"/>
        <v>-0.232558139534884</v>
      </c>
      <c r="GV328" s="1094">
        <f t="shared" si="1770"/>
        <v>-0.366470092670598</v>
      </c>
      <c r="GW328" s="1094">
        <f>GW327/921-1</f>
        <v>0.0608034744842563</v>
      </c>
      <c r="GX328" s="1094">
        <f>GX327/(921+854+974)-1</f>
        <v>-0.0974899963623136</v>
      </c>
      <c r="GY328" s="1094"/>
      <c r="GZ328" s="1094"/>
      <c r="HA328" s="1093"/>
      <c r="HB328" s="1094"/>
      <c r="HC328" s="1094"/>
      <c r="HD328" s="1094"/>
      <c r="HE328" s="1094"/>
      <c r="HF328" s="1094"/>
      <c r="HG328" s="1094"/>
      <c r="HH328" s="1094"/>
      <c r="HI328" s="1093"/>
      <c r="HJ328" s="1094">
        <f>HJ327/HB327-1</f>
        <v>-0.293807641633729</v>
      </c>
      <c r="HK328" s="1094">
        <f>HK327/HC327-1</f>
        <v>-0.312962962962963</v>
      </c>
      <c r="HL328" s="1094"/>
      <c r="HM328" s="1094"/>
      <c r="HN328" s="1094"/>
      <c r="HO328" s="1094"/>
      <c r="HP328" s="1094"/>
      <c r="HQ328" s="1093"/>
      <c r="HR328" s="1094"/>
      <c r="HS328" s="1094"/>
      <c r="HT328" s="1094"/>
      <c r="HU328" s="1094"/>
      <c r="HV328" s="1094"/>
      <c r="HW328" s="1094"/>
      <c r="HX328" s="1094"/>
      <c r="HY328" s="1094"/>
      <c r="HZ328" s="1094"/>
      <c r="IA328" s="1094"/>
      <c r="IB328" s="1094"/>
      <c r="IC328" s="1094"/>
      <c r="ID328" s="1094"/>
      <c r="IE328" s="1094"/>
      <c r="IF328" s="1094"/>
      <c r="IG328" s="1093"/>
      <c r="IH328" s="1094"/>
      <c r="II328" s="1094"/>
      <c r="IJ328" s="1094"/>
      <c r="IK328" s="1094"/>
      <c r="IL328" s="1094"/>
      <c r="IM328" s="1094"/>
      <c r="IN328" s="1094"/>
      <c r="IO328" s="1093"/>
      <c r="IP328" s="1094"/>
      <c r="IQ328" s="1094"/>
      <c r="IR328" s="1094"/>
      <c r="IS328" s="1094"/>
      <c r="IT328" s="1094"/>
      <c r="IU328" s="1094"/>
      <c r="IV328" s="1094"/>
      <c r="IW328" s="1094"/>
      <c r="IX328" s="1104"/>
      <c r="IY328" s="1049"/>
      <c r="IZ328" s="1049"/>
      <c r="JA328" s="1049"/>
      <c r="JB328" s="1049"/>
      <c r="JC328" s="1049"/>
      <c r="JD328" s="1041"/>
      <c r="JE328" s="1037"/>
      <c r="JF328" s="1037"/>
      <c r="JG328" s="1037"/>
      <c r="JH328" s="1037"/>
      <c r="JI328" s="1035"/>
      <c r="JJ328" s="1035"/>
      <c r="JK328" s="1035"/>
      <c r="JL328" s="1035"/>
      <c r="JM328" s="1035"/>
      <c r="JN328" s="1035"/>
      <c r="JO328" s="1035"/>
      <c r="JP328" s="1035"/>
      <c r="JQ328" s="1035"/>
      <c r="JR328" s="1035"/>
      <c r="JS328" s="1035"/>
      <c r="JT328" s="1035"/>
      <c r="JU328" s="1035"/>
      <c r="JV328" s="1035"/>
      <c r="JW328" s="1035"/>
      <c r="JX328" s="1035"/>
      <c r="JY328" s="1035"/>
      <c r="KP328" s="1117"/>
      <c r="LV328" s="967"/>
    </row>
    <row r="329" spans="1:334">
      <c r="A329" s="967" t="s">
        <v>128</v>
      </c>
      <c r="AX329" s="1059"/>
      <c r="BE329" s="1060"/>
      <c r="BN329" s="1059"/>
      <c r="BU329" s="1060"/>
      <c r="BV329" s="1059"/>
      <c r="CC329" s="1060"/>
      <c r="CD329" s="1059"/>
      <c r="CJ329" s="1061"/>
      <c r="CK329" s="1060"/>
      <c r="CL329" s="1059"/>
      <c r="CS329" s="1060"/>
      <c r="CT329" s="1059"/>
      <c r="CW329" s="1062"/>
      <c r="CX329" s="1062"/>
      <c r="DE329" s="1064"/>
      <c r="DF329" s="1064"/>
      <c r="DM329" s="1064"/>
      <c r="DN329" s="1064"/>
      <c r="DU329" s="1064"/>
      <c r="DV329" s="1064"/>
      <c r="EC329" s="1064"/>
      <c r="ED329" s="1064"/>
      <c r="EH329" s="1181"/>
      <c r="EI329" s="1181"/>
      <c r="EJ329" s="1181"/>
      <c r="EK329" s="1181"/>
      <c r="EL329" s="1181"/>
      <c r="EM329" s="1181"/>
      <c r="EN329" s="1181"/>
      <c r="EO329" s="1182"/>
      <c r="EP329" s="1181"/>
      <c r="EQ329" s="1181"/>
      <c r="ER329" s="1181"/>
      <c r="ES329" s="1181"/>
      <c r="ET329" s="1181"/>
      <c r="EU329" s="1181"/>
      <c r="EV329" s="1181"/>
      <c r="EW329" s="1182"/>
      <c r="EX329" s="1094">
        <f>EX327/EX$243</f>
        <v>0.567632850241546</v>
      </c>
      <c r="EY329" s="1094">
        <f t="shared" ref="EY329:FK329" si="1771">EY327/EY$243</f>
        <v>0.607894736842105</v>
      </c>
      <c r="EZ329" s="1094">
        <f t="shared" si="1771"/>
        <v>0.586901763224181</v>
      </c>
      <c r="FA329" s="1094">
        <f t="shared" si="1771"/>
        <v>0.554901960784314</v>
      </c>
      <c r="FB329" s="1094">
        <f t="shared" si="1771"/>
        <v>0.574386503067485</v>
      </c>
      <c r="FC329" s="1094">
        <f t="shared" si="1771"/>
        <v>0.560165975103734</v>
      </c>
      <c r="FD329" s="1094">
        <f t="shared" si="1771"/>
        <v>0.557459677419355</v>
      </c>
      <c r="FE329" s="1093">
        <f t="shared" si="1771"/>
        <v>0.570548712206047</v>
      </c>
      <c r="FF329" s="1094">
        <f t="shared" si="1771"/>
        <v>0.559463986599665</v>
      </c>
      <c r="FG329" s="1094">
        <f t="shared" si="1771"/>
        <v>0.588652482269504</v>
      </c>
      <c r="FH329" s="1094">
        <f t="shared" si="1771"/>
        <v>0.573643410852713</v>
      </c>
      <c r="FI329" s="1094">
        <f t="shared" si="1771"/>
        <v>0.552821997105644</v>
      </c>
      <c r="FJ329" s="1094">
        <f t="shared" si="1771"/>
        <v>0.565874730021598</v>
      </c>
      <c r="FK329" s="1094">
        <f t="shared" si="1771"/>
        <v>0.588330632090762</v>
      </c>
      <c r="FL329" s="1094">
        <f>FL327/FL184</f>
        <v>0.569571865443425</v>
      </c>
      <c r="FM329" s="1093">
        <f>FM327/FM184</f>
        <v>0.571486431753746</v>
      </c>
      <c r="FN329" s="1094">
        <f t="shared" ref="FN329:FS329" si="1772">FN327/FN$243</f>
        <v>0.572178477690289</v>
      </c>
      <c r="FO329" s="1094">
        <f t="shared" si="1772"/>
        <v>0.602919708029197</v>
      </c>
      <c r="FP329" s="1094">
        <f t="shared" si="1772"/>
        <v>0.586731167933656</v>
      </c>
      <c r="FQ329" s="1094">
        <f t="shared" si="1772"/>
        <v>0.568126520681265</v>
      </c>
      <c r="FR329" s="1094">
        <f t="shared" si="1772"/>
        <v>0.579991185544293</v>
      </c>
      <c r="FS329" s="1094">
        <f t="shared" si="1772"/>
        <v>0.560053981106613</v>
      </c>
      <c r="FT329" s="1094">
        <f>FT327/FT184</f>
        <v>0.564299424184261</v>
      </c>
      <c r="FU329" s="1094">
        <f>FU327/FU184</f>
        <v>0.575083056478405</v>
      </c>
      <c r="FV329" s="1275">
        <f>FV327/FV$243</f>
        <v>0.588888888888889</v>
      </c>
      <c r="FW329" s="1094">
        <f>FW327/FW$243</f>
        <v>0.596531791907514</v>
      </c>
      <c r="FX329" s="1094">
        <f>FX327/FX$243</f>
        <v>0.592452830188679</v>
      </c>
      <c r="FY329" s="1094">
        <f t="shared" ref="FY329:GA329" si="1773">FY327/FY$243</f>
        <v>0.558300395256917</v>
      </c>
      <c r="FZ329" s="1094">
        <f t="shared" si="1773"/>
        <v>0.580397628182769</v>
      </c>
      <c r="GA329" s="1094">
        <f t="shared" si="1773"/>
        <v>0.540130151843818</v>
      </c>
      <c r="GB329" s="1094">
        <f>GB327/GB184</f>
        <v>0.549638055842813</v>
      </c>
      <c r="GC329" s="1093">
        <f>GC327/GC184</f>
        <v>0.570599102665611</v>
      </c>
      <c r="GD329" s="1275">
        <f>GD327/GD$243</f>
        <v>0.560344827586207</v>
      </c>
      <c r="GE329" s="1094">
        <f>GE327/GE$243</f>
        <v>0.574739281575898</v>
      </c>
      <c r="GF329" s="1094">
        <f>GF327/GF$243</f>
        <v>0.567280848687884</v>
      </c>
      <c r="GG329" s="1094">
        <f>GG327/GG$243</f>
        <v>0.571805702217528</v>
      </c>
      <c r="GH329" s="1094">
        <f t="shared" ref="GH329:GI329" si="1774">GH327/GH$243</f>
        <v>0.568845872899927</v>
      </c>
      <c r="GI329" s="1094">
        <f t="shared" si="1774"/>
        <v>0.538138138138138</v>
      </c>
      <c r="GJ329" s="1094">
        <f>GJ327/GJ184</f>
        <v>0.556055071649339</v>
      </c>
      <c r="GK329" s="1093">
        <f>GK327/GK184</f>
        <v>0.561686038369976</v>
      </c>
      <c r="GL329" s="1094">
        <f>GL327/GL$243</f>
        <v>0.587464920486435</v>
      </c>
      <c r="GM329" s="1094">
        <f>GM327/GM$243</f>
        <v>0.597037242734623</v>
      </c>
      <c r="GN329" s="1094">
        <f>GN327/GN$243</f>
        <v>0.591934333687397</v>
      </c>
      <c r="GO329" s="1094">
        <f>GO327/GO$243</f>
        <v>0.564593301435407</v>
      </c>
      <c r="GP329" s="1094">
        <f t="shared" ref="GP329:GQ329" si="1775">GP327/GP$243</f>
        <v>0.582567559150113</v>
      </c>
      <c r="GQ329" s="1094">
        <f t="shared" si="1775"/>
        <v>0.529533678756477</v>
      </c>
      <c r="GR329" s="1094">
        <f>GR327/GR184</f>
        <v>0.547761194029851</v>
      </c>
      <c r="GS329" s="1093">
        <f>GS327/GS184</f>
        <v>0.56982185595561</v>
      </c>
      <c r="GT329" s="1094">
        <f>GT327/GT$243</f>
        <v>0.545608108108108</v>
      </c>
      <c r="GU329" s="1094">
        <f>GU327/GU$243</f>
        <v>0.545801526717557</v>
      </c>
      <c r="GV329" s="1094">
        <f>GV327/GV$243</f>
        <v>0.545718432510885</v>
      </c>
      <c r="GW329" s="1094">
        <f>GW327/GW$243</f>
        <v>0.522014645262463</v>
      </c>
      <c r="GX329" s="1094">
        <f t="shared" ref="GX329" si="1776">GX327/GX$243</f>
        <v>0.536131619123973</v>
      </c>
      <c r="GY329" s="1094"/>
      <c r="GZ329" s="1094"/>
      <c r="HA329" s="1093"/>
      <c r="HB329" s="1094">
        <f t="shared" ref="HB329:HG329" si="1777">HB327/HB184</f>
        <v>0.541369472182596</v>
      </c>
      <c r="HC329" s="1094">
        <f t="shared" si="1777"/>
        <v>0.538384845463609</v>
      </c>
      <c r="HD329" s="1094">
        <f t="shared" si="1777"/>
        <v>0.54012474012474</v>
      </c>
      <c r="HE329" s="1094">
        <f t="shared" si="1777"/>
        <v>0.518614718614719</v>
      </c>
      <c r="HF329" s="1094">
        <f t="shared" si="1777"/>
        <v>0.53314606741573</v>
      </c>
      <c r="HG329" s="1094">
        <f t="shared" si="1777"/>
        <v>0.465766634522662</v>
      </c>
      <c r="HH329" s="1094"/>
      <c r="HI329" s="1093">
        <f>HI327/HI184</f>
        <v>0.517946486839243</v>
      </c>
      <c r="HJ329" s="1094">
        <f>HJ327/HJ184</f>
        <v>0.533864541832669</v>
      </c>
      <c r="HK329" s="1094">
        <f>HK327/HK184</f>
        <v>0.515994436717663</v>
      </c>
      <c r="HL329" s="1094"/>
      <c r="HM329" s="1094"/>
      <c r="HN329" s="1094"/>
      <c r="HO329" s="1094"/>
      <c r="HP329" s="1094"/>
      <c r="HQ329" s="1093"/>
      <c r="HR329" s="1094"/>
      <c r="HS329" s="1094"/>
      <c r="HT329" s="1094"/>
      <c r="HU329" s="1094"/>
      <c r="HV329" s="1094"/>
      <c r="HW329" s="1094"/>
      <c r="HX329" s="1094"/>
      <c r="HY329" s="1094"/>
      <c r="HZ329" s="1094"/>
      <c r="IA329" s="1094"/>
      <c r="IB329" s="1094"/>
      <c r="IC329" s="1094"/>
      <c r="ID329" s="1094"/>
      <c r="IE329" s="1094"/>
      <c r="IF329" s="1094"/>
      <c r="IG329" s="1093"/>
      <c r="IH329" s="1094"/>
      <c r="II329" s="1094"/>
      <c r="IJ329" s="1094"/>
      <c r="IK329" s="1094"/>
      <c r="IL329" s="1094"/>
      <c r="IM329" s="1094"/>
      <c r="IN329" s="1094"/>
      <c r="IO329" s="1093"/>
      <c r="IP329" s="1094"/>
      <c r="IQ329" s="1094"/>
      <c r="IR329" s="1094"/>
      <c r="IS329" s="1094"/>
      <c r="IT329" s="1094"/>
      <c r="IU329" s="1094"/>
      <c r="IV329" s="1094"/>
      <c r="IW329" s="1094"/>
      <c r="IX329" s="1104"/>
      <c r="IY329" s="1049"/>
      <c r="IZ329" s="1049"/>
      <c r="JA329" s="1049"/>
      <c r="JB329" s="1049"/>
      <c r="JC329" s="1049"/>
      <c r="JD329" s="1041"/>
      <c r="JE329" s="1037"/>
      <c r="JF329" s="1037"/>
      <c r="JG329" s="1037"/>
      <c r="JH329" s="1037"/>
      <c r="JI329" s="1035"/>
      <c r="JJ329" s="1035"/>
      <c r="JK329" s="1035"/>
      <c r="JL329" s="1035"/>
      <c r="JM329" s="1035"/>
      <c r="JN329" s="1035"/>
      <c r="JO329" s="1035"/>
      <c r="JP329" s="1035"/>
      <c r="JQ329" s="1035"/>
      <c r="JR329" s="1035"/>
      <c r="JS329" s="1035"/>
      <c r="JT329" s="1035"/>
      <c r="JU329" s="1035"/>
      <c r="JV329" s="1035"/>
      <c r="JW329" s="1035"/>
      <c r="JX329" s="1035"/>
      <c r="JY329" s="1035"/>
      <c r="KP329" s="1117"/>
      <c r="LV329" s="967"/>
    </row>
    <row r="330" spans="1:334">
      <c r="A330" s="967" t="s">
        <v>129</v>
      </c>
      <c r="AX330" s="1059"/>
      <c r="BE330" s="1060"/>
      <c r="BN330" s="1059"/>
      <c r="BU330" s="1060"/>
      <c r="BV330" s="1059"/>
      <c r="CC330" s="1060"/>
      <c r="CD330" s="1059"/>
      <c r="CJ330" s="1061"/>
      <c r="CK330" s="1060"/>
      <c r="CL330" s="1059"/>
      <c r="CS330" s="1060"/>
      <c r="CT330" s="1059"/>
      <c r="CW330" s="1062"/>
      <c r="CX330" s="1062"/>
      <c r="DE330" s="1064"/>
      <c r="DF330" s="1064"/>
      <c r="DM330" s="1064"/>
      <c r="DN330" s="1064"/>
      <c r="DU330" s="1064"/>
      <c r="DV330" s="1064"/>
      <c r="EC330" s="1064"/>
      <c r="ED330" s="1064"/>
      <c r="EH330" s="1181"/>
      <c r="EI330" s="1181"/>
      <c r="EJ330" s="1181"/>
      <c r="EK330" s="1181"/>
      <c r="EL330" s="1181"/>
      <c r="EM330" s="1181"/>
      <c r="EN330" s="1181"/>
      <c r="EO330" s="1182"/>
      <c r="EP330" s="1181"/>
      <c r="EQ330" s="1181"/>
      <c r="ER330" s="1181"/>
      <c r="ES330" s="1181"/>
      <c r="ET330" s="1181"/>
      <c r="EU330" s="1181"/>
      <c r="EV330" s="1181"/>
      <c r="EW330" s="1182"/>
      <c r="EX330" s="1148">
        <f>EX327-EX333</f>
        <v>82</v>
      </c>
      <c r="EY330" s="1148">
        <f t="shared" ref="EY330:FE330" si="1778">EY327-EY333</f>
        <v>102</v>
      </c>
      <c r="EZ330" s="1148">
        <f t="shared" si="1778"/>
        <v>184</v>
      </c>
      <c r="FA330" s="1148">
        <f t="shared" si="1778"/>
        <v>98</v>
      </c>
      <c r="FB330" s="1148">
        <f t="shared" si="1778"/>
        <v>282</v>
      </c>
      <c r="FC330" s="1148">
        <f t="shared" si="1778"/>
        <v>120</v>
      </c>
      <c r="FD330" s="1148">
        <f t="shared" si="1778"/>
        <v>218</v>
      </c>
      <c r="FE330" s="1149">
        <f t="shared" si="1778"/>
        <v>402</v>
      </c>
      <c r="FF330" s="1148">
        <f t="shared" ref="FF330:FR330" si="1779">FF327-FF333</f>
        <v>116</v>
      </c>
      <c r="FG330" s="1148">
        <f t="shared" si="1779"/>
        <v>126</v>
      </c>
      <c r="FH330" s="1148">
        <f t="shared" si="1779"/>
        <v>242</v>
      </c>
      <c r="FI330" s="1148">
        <f t="shared" si="1779"/>
        <v>157</v>
      </c>
      <c r="FJ330" s="1148">
        <f t="shared" si="1779"/>
        <v>399</v>
      </c>
      <c r="FK330" s="1148">
        <f t="shared" si="1779"/>
        <v>146</v>
      </c>
      <c r="FL330" s="1148">
        <f t="shared" si="1779"/>
        <v>303</v>
      </c>
      <c r="FM330" s="1149">
        <f t="shared" si="1779"/>
        <v>545</v>
      </c>
      <c r="FN330" s="1148">
        <f t="shared" si="1779"/>
        <v>138</v>
      </c>
      <c r="FO330" s="1148">
        <f t="shared" si="1779"/>
        <v>159</v>
      </c>
      <c r="FP330" s="1148">
        <f t="shared" si="1779"/>
        <v>297</v>
      </c>
      <c r="FQ330" s="1148">
        <f t="shared" si="1779"/>
        <v>182</v>
      </c>
      <c r="FR330" s="1148">
        <f t="shared" si="1779"/>
        <v>479</v>
      </c>
      <c r="FS330" s="1148">
        <f t="shared" ref="FS330:FZ330" si="1780">FS327-FS333</f>
        <v>192</v>
      </c>
      <c r="FT330" s="1148">
        <f t="shared" si="1780"/>
        <v>374</v>
      </c>
      <c r="FU330" s="1148">
        <f t="shared" si="1780"/>
        <v>671</v>
      </c>
      <c r="FV330" s="1151">
        <f t="shared" si="1780"/>
        <v>187</v>
      </c>
      <c r="FW330" s="1148">
        <f t="shared" si="1780"/>
        <v>207</v>
      </c>
      <c r="FX330" s="1148">
        <f t="shared" si="1780"/>
        <v>394</v>
      </c>
      <c r="FY330" s="1148">
        <f t="shared" si="1780"/>
        <v>203</v>
      </c>
      <c r="FZ330" s="1148">
        <f t="shared" si="1780"/>
        <v>597</v>
      </c>
      <c r="GA330" s="1148">
        <f t="shared" ref="GA330:GC330" si="1781">GA327-GA333</f>
        <v>223</v>
      </c>
      <c r="GB330" s="1148">
        <f t="shared" si="1781"/>
        <v>426</v>
      </c>
      <c r="GC330" s="1149">
        <f t="shared" si="1781"/>
        <v>820</v>
      </c>
      <c r="GD330" s="1151">
        <f t="shared" ref="GD330:GF330" si="1782">GD327-GD333</f>
        <v>378</v>
      </c>
      <c r="GE330" s="1148">
        <f t="shared" si="1782"/>
        <v>401</v>
      </c>
      <c r="GF330" s="1148">
        <f t="shared" si="1782"/>
        <v>779</v>
      </c>
      <c r="GG330" s="1148">
        <f t="shared" ref="GG330:GN330" si="1783">GG327-GG333</f>
        <v>411</v>
      </c>
      <c r="GH330" s="1148">
        <f t="shared" si="1783"/>
        <v>1190</v>
      </c>
      <c r="GI330" s="1148">
        <f t="shared" si="1783"/>
        <v>482</v>
      </c>
      <c r="GJ330" s="1148">
        <f t="shared" si="1783"/>
        <v>893</v>
      </c>
      <c r="GK330" s="1149">
        <f t="shared" si="1783"/>
        <v>1672</v>
      </c>
      <c r="GL330" s="1148">
        <f t="shared" si="1783"/>
        <v>437</v>
      </c>
      <c r="GM330" s="1148">
        <f t="shared" si="1783"/>
        <v>465</v>
      </c>
      <c r="GN330" s="1148">
        <f t="shared" si="1783"/>
        <v>902</v>
      </c>
      <c r="GO330" s="1148">
        <f t="shared" ref="GO330:GV330" si="1784">GO327-GO333</f>
        <v>447</v>
      </c>
      <c r="GP330" s="1148">
        <f t="shared" si="1784"/>
        <v>1349</v>
      </c>
      <c r="GQ330" s="1148">
        <f t="shared" si="1784"/>
        <v>524</v>
      </c>
      <c r="GR330" s="1148">
        <f t="shared" si="1784"/>
        <v>971</v>
      </c>
      <c r="GS330" s="1149">
        <f t="shared" si="1784"/>
        <v>1873</v>
      </c>
      <c r="GT330" s="1148">
        <f t="shared" si="1784"/>
        <v>382</v>
      </c>
      <c r="GU330" s="1148">
        <f t="shared" si="1784"/>
        <v>371</v>
      </c>
      <c r="GV330" s="1148">
        <f t="shared" si="1784"/>
        <v>753</v>
      </c>
      <c r="GW330" s="1148">
        <f t="shared" ref="GW330:GX330" si="1785">GW327-GW333</f>
        <v>420</v>
      </c>
      <c r="GX330" s="1148">
        <f t="shared" si="1785"/>
        <v>1173</v>
      </c>
      <c r="GY330" s="1148"/>
      <c r="GZ330" s="1148"/>
      <c r="HA330" s="1149"/>
      <c r="HB330" s="1148">
        <f t="shared" ref="HB330:HG330" si="1786">HB327-HB333</f>
        <v>307</v>
      </c>
      <c r="HC330" s="1148">
        <f t="shared" si="1786"/>
        <v>235</v>
      </c>
      <c r="HD330" s="1148">
        <f t="shared" si="1786"/>
        <v>542</v>
      </c>
      <c r="HE330" s="1148">
        <f t="shared" si="1786"/>
        <v>292</v>
      </c>
      <c r="HF330" s="1148">
        <f t="shared" si="1786"/>
        <v>834</v>
      </c>
      <c r="HG330" s="1148">
        <f t="shared" si="1786"/>
        <v>354</v>
      </c>
      <c r="HH330" s="1148"/>
      <c r="HI330" s="1149">
        <f>HG330+HF330</f>
        <v>1188</v>
      </c>
      <c r="HJ330" s="1148">
        <f t="shared" ref="HJ330:HK330" si="1787">HJ327-HJ333</f>
        <v>310</v>
      </c>
      <c r="HK330" s="1148">
        <f t="shared" si="1787"/>
        <v>273</v>
      </c>
      <c r="HL330" s="1148"/>
      <c r="HM330" s="1148"/>
      <c r="HN330" s="1148"/>
      <c r="HO330" s="1148"/>
      <c r="HP330" s="1148"/>
      <c r="HQ330" s="1149"/>
      <c r="HR330" s="1148"/>
      <c r="HS330" s="1148"/>
      <c r="HT330" s="1148"/>
      <c r="HU330" s="1148"/>
      <c r="HV330" s="1148"/>
      <c r="HW330" s="1148"/>
      <c r="HX330" s="1148"/>
      <c r="HY330" s="1148"/>
      <c r="HZ330" s="1148"/>
      <c r="IA330" s="1148"/>
      <c r="IB330" s="1148"/>
      <c r="IC330" s="1148"/>
      <c r="ID330" s="1148"/>
      <c r="IE330" s="1148"/>
      <c r="IF330" s="1148"/>
      <c r="IG330" s="1149"/>
      <c r="IH330" s="1148"/>
      <c r="II330" s="1148"/>
      <c r="IJ330" s="1148"/>
      <c r="IK330" s="1148"/>
      <c r="IL330" s="1148"/>
      <c r="IM330" s="1148"/>
      <c r="IN330" s="1148"/>
      <c r="IO330" s="1149"/>
      <c r="IP330" s="1148"/>
      <c r="IQ330" s="1148"/>
      <c r="IR330" s="1148"/>
      <c r="IS330" s="1148"/>
      <c r="IT330" s="1148"/>
      <c r="IU330" s="1148"/>
      <c r="IV330" s="1148"/>
      <c r="IW330" s="1148"/>
      <c r="IX330" s="1104"/>
      <c r="IY330" s="1049"/>
      <c r="IZ330" s="1049"/>
      <c r="JA330" s="1049"/>
      <c r="JB330" s="1049"/>
      <c r="JC330" s="1049"/>
      <c r="JD330" s="1041"/>
      <c r="JE330" s="1037"/>
      <c r="JF330" s="1037"/>
      <c r="JG330" s="1037"/>
      <c r="JH330" s="1037"/>
      <c r="JI330" s="1035"/>
      <c r="JJ330" s="1035"/>
      <c r="JK330" s="1035"/>
      <c r="JL330" s="1035"/>
      <c r="JM330" s="1035"/>
      <c r="JN330" s="1035"/>
      <c r="JO330" s="1035"/>
      <c r="JP330" s="1035"/>
      <c r="JQ330" s="1035"/>
      <c r="JR330" s="1035"/>
      <c r="JS330" s="1035"/>
      <c r="JT330" s="1035"/>
      <c r="JU330" s="1035"/>
      <c r="JV330" s="1035"/>
      <c r="JW330" s="1035"/>
      <c r="JX330" s="1035"/>
      <c r="JY330" s="1035"/>
      <c r="KP330" s="1117"/>
      <c r="LV330" s="967"/>
    </row>
    <row r="331" spans="1:334">
      <c r="A331" s="967" t="s">
        <v>61</v>
      </c>
      <c r="AX331" s="1059"/>
      <c r="BE331" s="1060"/>
      <c r="BN331" s="1059"/>
      <c r="BU331" s="1060"/>
      <c r="BV331" s="1059"/>
      <c r="CC331" s="1060"/>
      <c r="CD331" s="1059"/>
      <c r="CJ331" s="1061"/>
      <c r="CK331" s="1060"/>
      <c r="CL331" s="1059"/>
      <c r="CS331" s="1060"/>
      <c r="CT331" s="1059"/>
      <c r="CW331" s="1062"/>
      <c r="CX331" s="1062"/>
      <c r="DE331" s="1064"/>
      <c r="DF331" s="1064"/>
      <c r="DM331" s="1064"/>
      <c r="DN331" s="1064"/>
      <c r="DU331" s="1064"/>
      <c r="DV331" s="1064"/>
      <c r="EC331" s="1064"/>
      <c r="ED331" s="1064"/>
      <c r="EH331" s="1181"/>
      <c r="EI331" s="1181"/>
      <c r="EJ331" s="1181"/>
      <c r="EK331" s="1181"/>
      <c r="EL331" s="1181"/>
      <c r="EM331" s="1181"/>
      <c r="EN331" s="1181"/>
      <c r="EO331" s="1182"/>
      <c r="EP331" s="1181"/>
      <c r="EQ331" s="1181"/>
      <c r="ER331" s="1181"/>
      <c r="ES331" s="1181"/>
      <c r="ET331" s="1181"/>
      <c r="EU331" s="1181"/>
      <c r="EV331" s="1181"/>
      <c r="EW331" s="1182"/>
      <c r="EX331" s="1094"/>
      <c r="EY331" s="1094"/>
      <c r="EZ331" s="1094"/>
      <c r="FA331" s="1094"/>
      <c r="FB331" s="1094"/>
      <c r="FC331" s="1094"/>
      <c r="FD331" s="1094"/>
      <c r="FE331" s="1093"/>
      <c r="FF331" s="1094">
        <f t="shared" ref="FF331:FR331" si="1788">FF330/EX330-1</f>
        <v>0.414634146341463</v>
      </c>
      <c r="FG331" s="1094">
        <f t="shared" si="1788"/>
        <v>0.235294117647059</v>
      </c>
      <c r="FH331" s="1094">
        <f t="shared" si="1788"/>
        <v>0.315217391304348</v>
      </c>
      <c r="FI331" s="1094">
        <f t="shared" si="1788"/>
        <v>0.602040816326531</v>
      </c>
      <c r="FJ331" s="1094">
        <f t="shared" si="1788"/>
        <v>0.414893617021277</v>
      </c>
      <c r="FK331" s="1094">
        <f t="shared" si="1788"/>
        <v>0.216666666666667</v>
      </c>
      <c r="FL331" s="1094">
        <f t="shared" si="1788"/>
        <v>0.389908256880734</v>
      </c>
      <c r="FM331" s="1093">
        <f t="shared" si="1788"/>
        <v>0.355721393034826</v>
      </c>
      <c r="FN331" s="1094">
        <f t="shared" si="1788"/>
        <v>0.189655172413793</v>
      </c>
      <c r="FO331" s="1094">
        <f t="shared" si="1788"/>
        <v>0.261904761904762</v>
      </c>
      <c r="FP331" s="1094">
        <f t="shared" si="1788"/>
        <v>0.227272727272727</v>
      </c>
      <c r="FQ331" s="1094">
        <f t="shared" si="1788"/>
        <v>0.159235668789809</v>
      </c>
      <c r="FR331" s="1094">
        <f t="shared" si="1788"/>
        <v>0.200501253132832</v>
      </c>
      <c r="FS331" s="1094">
        <f t="shared" ref="FS331:FX331" si="1789">FS330/FK330-1</f>
        <v>0.315068493150685</v>
      </c>
      <c r="FT331" s="1094">
        <f t="shared" si="1789"/>
        <v>0.234323432343234</v>
      </c>
      <c r="FU331" s="1094">
        <f t="shared" si="1789"/>
        <v>0.231192660550459</v>
      </c>
      <c r="FV331" s="1275">
        <f t="shared" si="1789"/>
        <v>0.355072463768116</v>
      </c>
      <c r="FW331" s="1094">
        <f t="shared" si="1789"/>
        <v>0.30188679245283</v>
      </c>
      <c r="FX331" s="1094">
        <f t="shared" si="1789"/>
        <v>0.326599326599327</v>
      </c>
      <c r="FY331" s="1094">
        <f t="shared" ref="FY331" si="1790">FY330/FQ330-1</f>
        <v>0.115384615384615</v>
      </c>
      <c r="FZ331" s="1094">
        <f t="shared" ref="FZ331" si="1791">FZ330/FR330-1</f>
        <v>0.246346555323591</v>
      </c>
      <c r="GA331" s="1094">
        <f t="shared" ref="GA331" si="1792">GA330/FS330-1</f>
        <v>0.161458333333333</v>
      </c>
      <c r="GB331" s="1094">
        <f t="shared" ref="GB331" si="1793">GB330/FT330-1</f>
        <v>0.13903743315508</v>
      </c>
      <c r="GC331" s="1093">
        <f t="shared" ref="GC331" si="1794">GC330/FU330-1</f>
        <v>0.222056631892698</v>
      </c>
      <c r="GD331" s="1275">
        <f>GD330/353-1</f>
        <v>0.0708215297450425</v>
      </c>
      <c r="GE331" s="1094">
        <f>((GF331*FX330)-(GD331*FV330))/FW330</f>
        <v>0.129859147475812</v>
      </c>
      <c r="GF331" s="1094">
        <f>GF330/(1829-1122)-1</f>
        <v>0.101838755304102</v>
      </c>
      <c r="GG331" s="1094">
        <f>GG330/(921-576)-1</f>
        <v>0.191304347826087</v>
      </c>
      <c r="GH331" s="1094">
        <f>AVERAGE(GG331,GE331,GD331)</f>
        <v>0.130661675015647</v>
      </c>
      <c r="GI331" s="1094">
        <f t="shared" ref="GI331" si="1795">GI330/GA330-1</f>
        <v>1.16143497757848</v>
      </c>
      <c r="GJ331" s="1094">
        <f t="shared" ref="GJ331" si="1796">GJ330/GB330-1</f>
        <v>1.0962441314554</v>
      </c>
      <c r="GK331" s="1093">
        <f t="shared" ref="GK331:GN331" si="1797">GK330/GC330-1</f>
        <v>1.0390243902439</v>
      </c>
      <c r="GL331" s="1094">
        <f t="shared" si="1797"/>
        <v>0.156084656084656</v>
      </c>
      <c r="GM331" s="1094">
        <f t="shared" si="1797"/>
        <v>0.159600997506234</v>
      </c>
      <c r="GN331" s="1094">
        <f t="shared" si="1797"/>
        <v>0.157894736842105</v>
      </c>
      <c r="GO331" s="1094">
        <f>GO330/(921-576)-1</f>
        <v>0.295652173913044</v>
      </c>
      <c r="GP331" s="1094">
        <f>AVERAGE(GO331,GM331,GL331)</f>
        <v>0.203779275834645</v>
      </c>
      <c r="GQ331" s="1094">
        <f t="shared" ref="GQ331" si="1798">GQ330/GI330-1</f>
        <v>0.0871369294605808</v>
      </c>
      <c r="GR331" s="1094">
        <f t="shared" ref="GR331" si="1799">GR330/GJ330-1</f>
        <v>0.0873460246360582</v>
      </c>
      <c r="GS331" s="1093">
        <f t="shared" ref="GS331:GV331" si="1800">GS330/GK330-1</f>
        <v>0.120215311004785</v>
      </c>
      <c r="GT331" s="1094">
        <f t="shared" si="1800"/>
        <v>-0.125858123569794</v>
      </c>
      <c r="GU331" s="1094">
        <f t="shared" si="1800"/>
        <v>-0.202150537634409</v>
      </c>
      <c r="GV331" s="1094">
        <f t="shared" si="1800"/>
        <v>-0.165188470066519</v>
      </c>
      <c r="GW331" s="1094">
        <f>GW330/(921-576)-1</f>
        <v>0.217391304347826</v>
      </c>
      <c r="GX331" s="1094">
        <f>AVERAGE(GW331,GU331,GT331)</f>
        <v>-0.0368724522854588</v>
      </c>
      <c r="GY331" s="1094"/>
      <c r="GZ331" s="1094"/>
      <c r="HA331" s="1093"/>
      <c r="HB331" s="1094"/>
      <c r="HC331" s="1094"/>
      <c r="HD331" s="1094"/>
      <c r="HE331" s="1094"/>
      <c r="HF331" s="1094"/>
      <c r="HG331" s="1094"/>
      <c r="HH331" s="1094"/>
      <c r="HI331" s="1093"/>
      <c r="HJ331" s="1094">
        <f>HJ330/HB330-1</f>
        <v>0.00977198697068404</v>
      </c>
      <c r="HK331" s="1094">
        <f>HK330/HC330-1</f>
        <v>0.161702127659574</v>
      </c>
      <c r="HL331" s="1094"/>
      <c r="HM331" s="1094"/>
      <c r="HN331" s="1094"/>
      <c r="HO331" s="1094"/>
      <c r="HP331" s="1094"/>
      <c r="HQ331" s="1093"/>
      <c r="HR331" s="1094"/>
      <c r="HS331" s="1094"/>
      <c r="HT331" s="1094"/>
      <c r="HU331" s="1094"/>
      <c r="HV331" s="1094"/>
      <c r="HW331" s="1094"/>
      <c r="HX331" s="1094"/>
      <c r="HY331" s="1094"/>
      <c r="HZ331" s="1094"/>
      <c r="IA331" s="1094"/>
      <c r="IB331" s="1094"/>
      <c r="IC331" s="1094"/>
      <c r="ID331" s="1094"/>
      <c r="IE331" s="1094"/>
      <c r="IF331" s="1094"/>
      <c r="IG331" s="1093"/>
      <c r="IH331" s="1094"/>
      <c r="II331" s="1094"/>
      <c r="IJ331" s="1094"/>
      <c r="IK331" s="1094"/>
      <c r="IL331" s="1094"/>
      <c r="IM331" s="1094"/>
      <c r="IN331" s="1094"/>
      <c r="IO331" s="1093"/>
      <c r="IP331" s="1094"/>
      <c r="IQ331" s="1094"/>
      <c r="IR331" s="1094"/>
      <c r="IS331" s="1094"/>
      <c r="IT331" s="1094"/>
      <c r="IU331" s="1094"/>
      <c r="IV331" s="1094"/>
      <c r="IW331" s="1094"/>
      <c r="IX331" s="1104"/>
      <c r="IY331" s="1049"/>
      <c r="IZ331" s="1049"/>
      <c r="JA331" s="1049"/>
      <c r="JB331" s="1049"/>
      <c r="JC331" s="1049"/>
      <c r="JD331" s="1041"/>
      <c r="JE331" s="1037"/>
      <c r="JF331" s="1037"/>
      <c r="JG331" s="1037"/>
      <c r="JH331" s="1037"/>
      <c r="JI331" s="1035"/>
      <c r="JJ331" s="1035"/>
      <c r="JK331" s="1035"/>
      <c r="JL331" s="1035"/>
      <c r="JM331" s="1035"/>
      <c r="JN331" s="1035"/>
      <c r="JO331" s="1035"/>
      <c r="JP331" s="1035"/>
      <c r="JQ331" s="1035"/>
      <c r="JR331" s="1035"/>
      <c r="JS331" s="1035"/>
      <c r="JT331" s="1035"/>
      <c r="JU331" s="1035"/>
      <c r="JV331" s="1035"/>
      <c r="JW331" s="1035"/>
      <c r="JX331" s="1035"/>
      <c r="JY331" s="1035"/>
      <c r="KP331" s="1117"/>
      <c r="LV331" s="967"/>
    </row>
    <row r="332" spans="1:334">
      <c r="A332" s="967" t="s">
        <v>130</v>
      </c>
      <c r="AX332" s="1059"/>
      <c r="BE332" s="1060"/>
      <c r="BN332" s="1059"/>
      <c r="BU332" s="1060"/>
      <c r="BV332" s="1059"/>
      <c r="CC332" s="1060"/>
      <c r="CD332" s="1059"/>
      <c r="CJ332" s="1061"/>
      <c r="CK332" s="1060"/>
      <c r="CL332" s="1059"/>
      <c r="CS332" s="1060"/>
      <c r="CT332" s="1059"/>
      <c r="CW332" s="1062"/>
      <c r="CX332" s="1062"/>
      <c r="DE332" s="1064"/>
      <c r="DF332" s="1064"/>
      <c r="DM332" s="1064"/>
      <c r="DN332" s="1064"/>
      <c r="DU332" s="1064"/>
      <c r="DV332" s="1064"/>
      <c r="EC332" s="1064"/>
      <c r="ED332" s="1064"/>
      <c r="EH332" s="1181"/>
      <c r="EI332" s="1181"/>
      <c r="EJ332" s="1181"/>
      <c r="EK332" s="1181"/>
      <c r="EL332" s="1181"/>
      <c r="EM332" s="1181"/>
      <c r="EN332" s="1181"/>
      <c r="EO332" s="1182"/>
      <c r="EP332" s="1181"/>
      <c r="EQ332" s="1181"/>
      <c r="ER332" s="1181"/>
      <c r="ES332" s="1181"/>
      <c r="ET332" s="1181"/>
      <c r="EU332" s="1181"/>
      <c r="EV332" s="1181"/>
      <c r="EW332" s="1182"/>
      <c r="EX332" s="1094">
        <f>EX330/EX$243</f>
        <v>0.198067632850242</v>
      </c>
      <c r="EY332" s="1094">
        <f t="shared" ref="EY332:FH332" si="1801">EY330/EY$243</f>
        <v>0.268421052631579</v>
      </c>
      <c r="EZ332" s="1094">
        <f t="shared" si="1801"/>
        <v>0.231738035264484</v>
      </c>
      <c r="FA332" s="1094">
        <f t="shared" si="1801"/>
        <v>0.192156862745098</v>
      </c>
      <c r="FB332" s="1094">
        <f t="shared" si="1801"/>
        <v>0.216257668711656</v>
      </c>
      <c r="FC332" s="1094">
        <f t="shared" si="1801"/>
        <v>0.24896265560166</v>
      </c>
      <c r="FD332" s="1094">
        <f t="shared" si="1801"/>
        <v>0.219758064516129</v>
      </c>
      <c r="FE332" s="1093">
        <f t="shared" si="1801"/>
        <v>0.22508398656215</v>
      </c>
      <c r="FF332" s="1094">
        <f t="shared" si="1801"/>
        <v>0.194304857621441</v>
      </c>
      <c r="FG332" s="1094">
        <f t="shared" si="1801"/>
        <v>0.223404255319149</v>
      </c>
      <c r="FH332" s="1094">
        <f t="shared" si="1801"/>
        <v>0.208440999138674</v>
      </c>
      <c r="FI332" s="1094">
        <f t="shared" ref="FI332:FN332" si="1802">FI330/FI$243</f>
        <v>0.227206946454414</v>
      </c>
      <c r="FJ332" s="1094">
        <f t="shared" si="1802"/>
        <v>0.215442764578834</v>
      </c>
      <c r="FK332" s="1094">
        <f t="shared" si="1802"/>
        <v>0.236628849270664</v>
      </c>
      <c r="FL332" s="1094">
        <f t="shared" si="1802"/>
        <v>0.231651376146789</v>
      </c>
      <c r="FM332" s="1093">
        <f t="shared" si="1802"/>
        <v>0.22073714054273</v>
      </c>
      <c r="FN332" s="1094">
        <f t="shared" si="1802"/>
        <v>0.181102362204724</v>
      </c>
      <c r="FO332" s="1094">
        <f>FO330/FO$236</f>
        <v>0.419525065963061</v>
      </c>
      <c r="FP332" s="1094">
        <f>FP330/FP$236</f>
        <v>0.384217335058215</v>
      </c>
      <c r="FQ332" s="1094">
        <f t="shared" ref="FQ332:FV332" si="1803">FQ330/FQ$243</f>
        <v>0.221411192214112</v>
      </c>
      <c r="FR332" s="1094">
        <f t="shared" si="1803"/>
        <v>0.211106214191274</v>
      </c>
      <c r="FS332" s="1094">
        <f t="shared" si="1803"/>
        <v>0.259109311740891</v>
      </c>
      <c r="FT332" s="1094">
        <f t="shared" si="1803"/>
        <v>0.239283429302623</v>
      </c>
      <c r="FU332" s="1094">
        <f t="shared" si="1803"/>
        <v>0.222923588039867</v>
      </c>
      <c r="FV332" s="1275">
        <f t="shared" si="1803"/>
        <v>0.188888888888889</v>
      </c>
      <c r="FW332" s="1094">
        <f>FW330/FW$229</f>
        <v>0.20414201183432</v>
      </c>
      <c r="FX332" s="1094">
        <f>FX330/FX$229</f>
        <v>0.196803196803197</v>
      </c>
      <c r="FY332" s="1094">
        <f t="shared" ref="FY332:GC332" si="1804">FY330/FY$243</f>
        <v>0.200592885375494</v>
      </c>
      <c r="FZ332" s="1094">
        <f t="shared" si="1804"/>
        <v>0.208231600976631</v>
      </c>
      <c r="GA332" s="1094">
        <f t="shared" si="1804"/>
        <v>0.241865509761388</v>
      </c>
      <c r="GB332" s="1094">
        <f t="shared" si="1804"/>
        <v>0.220268872802482</v>
      </c>
      <c r="GC332" s="1093">
        <f t="shared" si="1804"/>
        <v>0.216415940881499</v>
      </c>
      <c r="GD332" s="1275">
        <f t="shared" ref="GD332" si="1805">GD330/GD$243</f>
        <v>0.203663793103448</v>
      </c>
      <c r="GE332" s="1094">
        <f>GE330/GE$229</f>
        <v>0.370609981515712</v>
      </c>
      <c r="GF332" s="1094">
        <f>GF330/GF$229</f>
        <v>0.367106503298775</v>
      </c>
      <c r="GG332" s="1094">
        <f>GG330/GG$229</f>
        <v>0.32387706855792</v>
      </c>
      <c r="GH332" s="1094">
        <f t="shared" ref="GH332:GL332" si="1806">GH330/GH$243</f>
        <v>0.217311906501096</v>
      </c>
      <c r="GI332" s="1094">
        <f t="shared" si="1806"/>
        <v>0.289489489489489</v>
      </c>
      <c r="GJ332" s="1094">
        <f t="shared" si="1806"/>
        <v>0.250913177858949</v>
      </c>
      <c r="GK332" s="1093">
        <f t="shared" si="1806"/>
        <v>0.234140876627923</v>
      </c>
      <c r="GL332" s="1094">
        <f t="shared" si="1806"/>
        <v>0.204396632366698</v>
      </c>
      <c r="GM332" s="1094">
        <f>GM330/GM$229</f>
        <v>0.383347073371805</v>
      </c>
      <c r="GN332" s="1094">
        <f>GN330/GN$229</f>
        <v>0.380590717299578</v>
      </c>
      <c r="GO332" s="1094">
        <f>GO330/GO$229</f>
        <v>0.304495912806539</v>
      </c>
      <c r="GP332" s="1094">
        <f t="shared" ref="GP332:GT332" si="1807">GP330/GP$243</f>
        <v>0.221126515839477</v>
      </c>
      <c r="GQ332" s="1094">
        <f t="shared" si="1807"/>
        <v>0.271502590673575</v>
      </c>
      <c r="GR332" s="1094">
        <f t="shared" si="1807"/>
        <v>0.241542288557214</v>
      </c>
      <c r="GS332" s="1093">
        <f t="shared" si="1807"/>
        <v>0.233233465079733</v>
      </c>
      <c r="GT332" s="1094">
        <f t="shared" si="1807"/>
        <v>0.322635135135135</v>
      </c>
      <c r="GU332" s="1094">
        <f>GU330/GU$229</f>
        <v>0.486238532110092</v>
      </c>
      <c r="GV332" s="1094">
        <f>GV330/GV$229</f>
        <v>0.383401221995927</v>
      </c>
      <c r="GW332" s="1094">
        <f>GW330/GW$229</f>
        <v>0.302275269132945</v>
      </c>
      <c r="GX332" s="1094">
        <f t="shared" ref="GX332" si="1808">GX330/GX$243</f>
        <v>0.253479399126328</v>
      </c>
      <c r="GY332" s="1094"/>
      <c r="GZ332" s="1094"/>
      <c r="HA332" s="1093"/>
      <c r="HB332" s="1094">
        <f t="shared" ref="HB332:HG332" si="1809">HB330/HB184</f>
        <v>0.218972895863053</v>
      </c>
      <c r="HC332" s="1094">
        <f t="shared" si="1809"/>
        <v>0.234297108673978</v>
      </c>
      <c r="HD332" s="1094">
        <f t="shared" si="1809"/>
        <v>0.225363825363825</v>
      </c>
      <c r="HE332" s="1094">
        <f t="shared" si="1809"/>
        <v>0.252813852813853</v>
      </c>
      <c r="HF332" s="1094">
        <f t="shared" si="1809"/>
        <v>0.234269662921348</v>
      </c>
      <c r="HG332" s="1094">
        <f t="shared" si="1809"/>
        <v>0.341369334619094</v>
      </c>
      <c r="HH332" s="1094"/>
      <c r="HI332" s="1093">
        <f>HI330/HI184</f>
        <v>0.258429410485099</v>
      </c>
      <c r="HJ332" s="1094">
        <f>HJ330/HJ184</f>
        <v>0.308764940239044</v>
      </c>
      <c r="HK332" s="1094">
        <f>HK330/HK184</f>
        <v>0.379694019471488</v>
      </c>
      <c r="HL332" s="1094"/>
      <c r="HM332" s="1094"/>
      <c r="HN332" s="1094"/>
      <c r="HO332" s="1094"/>
      <c r="HP332" s="1094"/>
      <c r="HQ332" s="1093"/>
      <c r="HR332" s="1094"/>
      <c r="HS332" s="1094"/>
      <c r="HT332" s="1094"/>
      <c r="HU332" s="1094"/>
      <c r="HV332" s="1094"/>
      <c r="HW332" s="1094"/>
      <c r="HX332" s="1094"/>
      <c r="HY332" s="1094"/>
      <c r="HZ332" s="1094"/>
      <c r="IA332" s="1094"/>
      <c r="IB332" s="1094"/>
      <c r="IC332" s="1094"/>
      <c r="ID332" s="1094"/>
      <c r="IE332" s="1094"/>
      <c r="IF332" s="1094"/>
      <c r="IG332" s="1093"/>
      <c r="IH332" s="1094"/>
      <c r="II332" s="1094"/>
      <c r="IJ332" s="1094"/>
      <c r="IK332" s="1094"/>
      <c r="IL332" s="1094"/>
      <c r="IM332" s="1094"/>
      <c r="IN332" s="1094"/>
      <c r="IO332" s="1093"/>
      <c r="IP332" s="1094"/>
      <c r="IQ332" s="1094"/>
      <c r="IR332" s="1094"/>
      <c r="IS332" s="1094"/>
      <c r="IT332" s="1094"/>
      <c r="IU332" s="1094"/>
      <c r="IV332" s="1094"/>
      <c r="IW332" s="1094"/>
      <c r="IX332" s="1104"/>
      <c r="IY332" s="1049"/>
      <c r="IZ332" s="1049"/>
      <c r="JA332" s="1049"/>
      <c r="JB332" s="1049"/>
      <c r="JC332" s="1049"/>
      <c r="JD332" s="1041"/>
      <c r="JE332" s="1037"/>
      <c r="JF332" s="1037"/>
      <c r="JG332" s="1037"/>
      <c r="JH332" s="1037"/>
      <c r="JI332" s="1035"/>
      <c r="JJ332" s="1035"/>
      <c r="JK332" s="1035"/>
      <c r="JL332" s="1035"/>
      <c r="JM332" s="1035"/>
      <c r="JN332" s="1035"/>
      <c r="JO332" s="1035"/>
      <c r="JP332" s="1035"/>
      <c r="JQ332" s="1035"/>
      <c r="JR332" s="1035"/>
      <c r="JS332" s="1035"/>
      <c r="JT332" s="1035"/>
      <c r="JU332" s="1035"/>
      <c r="JV332" s="1035"/>
      <c r="JW332" s="1035"/>
      <c r="JX332" s="1035"/>
      <c r="JY332" s="1035"/>
      <c r="KP332" s="1117"/>
      <c r="LV332" s="967"/>
    </row>
    <row r="333" spans="1:334">
      <c r="A333" s="1103" t="s">
        <v>131</v>
      </c>
      <c r="AX333" s="1059"/>
      <c r="BE333" s="1060"/>
      <c r="BN333" s="1059"/>
      <c r="BU333" s="1060"/>
      <c r="BV333" s="1059"/>
      <c r="CC333" s="1060"/>
      <c r="CD333" s="1059"/>
      <c r="CJ333" s="1061"/>
      <c r="CK333" s="1060"/>
      <c r="CL333" s="1059"/>
      <c r="CS333" s="1060"/>
      <c r="CT333" s="1059"/>
      <c r="CW333" s="1062"/>
      <c r="CX333" s="1062"/>
      <c r="DE333" s="1064"/>
      <c r="DF333" s="1064"/>
      <c r="DM333" s="1064"/>
      <c r="DN333" s="1064"/>
      <c r="DU333" s="1064"/>
      <c r="DV333" s="1064"/>
      <c r="EC333" s="1064"/>
      <c r="ED333" s="1064"/>
      <c r="EH333" s="1181"/>
      <c r="EI333" s="1181"/>
      <c r="EJ333" s="1181"/>
      <c r="EK333" s="1181"/>
      <c r="EL333" s="1181"/>
      <c r="EM333" s="1181"/>
      <c r="EN333" s="1181"/>
      <c r="EO333" s="1182"/>
      <c r="EP333" s="1181"/>
      <c r="EQ333" s="1181"/>
      <c r="ER333" s="1181"/>
      <c r="ES333" s="1181"/>
      <c r="ET333" s="1181"/>
      <c r="EU333" s="1181"/>
      <c r="EV333" s="1181"/>
      <c r="EW333" s="1182"/>
      <c r="EX333" s="1071">
        <v>153</v>
      </c>
      <c r="EY333" s="1071">
        <v>129</v>
      </c>
      <c r="EZ333" s="1071">
        <f>EX333+EY333</f>
        <v>282</v>
      </c>
      <c r="FA333" s="1071">
        <v>185</v>
      </c>
      <c r="FB333" s="1071">
        <f>EX333+EY333+FA333</f>
        <v>467</v>
      </c>
      <c r="FC333" s="1071">
        <v>150</v>
      </c>
      <c r="FD333" s="1071">
        <f>FA333+FC333</f>
        <v>335</v>
      </c>
      <c r="FE333" s="1072">
        <f>EX333+EY333+FA333+FC333</f>
        <v>617</v>
      </c>
      <c r="FF333" s="1071">
        <v>218</v>
      </c>
      <c r="FG333" s="1071">
        <f>FH333-FF333</f>
        <v>206</v>
      </c>
      <c r="FH333" s="1071">
        <v>424</v>
      </c>
      <c r="FI333" s="1071">
        <f>FJ333-FH333</f>
        <v>225</v>
      </c>
      <c r="FJ333" s="1071">
        <v>649</v>
      </c>
      <c r="FK333" s="1071">
        <f>FM333-FJ333</f>
        <v>217</v>
      </c>
      <c r="FL333" s="1071">
        <f>FI333+FK333</f>
        <v>442</v>
      </c>
      <c r="FM333" s="1072">
        <v>866</v>
      </c>
      <c r="FN333" s="1071">
        <v>298</v>
      </c>
      <c r="FO333" s="1071">
        <f>FP333-FN333</f>
        <v>254</v>
      </c>
      <c r="FP333" s="1071">
        <v>552</v>
      </c>
      <c r="FQ333" s="1071">
        <f>FR333-FP333</f>
        <v>285</v>
      </c>
      <c r="FR333" s="1071">
        <v>837</v>
      </c>
      <c r="FS333" s="1071">
        <f>FU333-FR333</f>
        <v>223</v>
      </c>
      <c r="FT333" s="1071">
        <f>FQ333+FS333</f>
        <v>508</v>
      </c>
      <c r="FU333" s="1071">
        <v>1060</v>
      </c>
      <c r="FV333" s="1177">
        <v>396</v>
      </c>
      <c r="FW333" s="1071">
        <f>FX333-FV333</f>
        <v>309</v>
      </c>
      <c r="FX333" s="1071">
        <v>705</v>
      </c>
      <c r="FY333" s="1071">
        <f>FZ333-FX333</f>
        <v>362</v>
      </c>
      <c r="FZ333" s="1071">
        <v>1067</v>
      </c>
      <c r="GA333" s="1071">
        <f>GC333-FZ333</f>
        <v>275</v>
      </c>
      <c r="GB333" s="1071">
        <f>FY333+GA333</f>
        <v>637</v>
      </c>
      <c r="GC333" s="1072">
        <v>1342</v>
      </c>
      <c r="GD333" s="1177">
        <v>662</v>
      </c>
      <c r="GE333" s="1071">
        <f>GF333-GD333</f>
        <v>591</v>
      </c>
      <c r="GF333" s="1071">
        <v>1253</v>
      </c>
      <c r="GG333" s="1071">
        <v>672</v>
      </c>
      <c r="GH333" s="1071">
        <f>GG333+GF333</f>
        <v>1925</v>
      </c>
      <c r="GI333" s="1071">
        <f>GK333-GH333</f>
        <v>414</v>
      </c>
      <c r="GJ333" s="1071">
        <f>GG333+GI333</f>
        <v>1086</v>
      </c>
      <c r="GK333" s="1072">
        <v>2339</v>
      </c>
      <c r="GL333" s="1071">
        <v>819</v>
      </c>
      <c r="GM333" s="1071">
        <v>653</v>
      </c>
      <c r="GN333" s="1071">
        <f>GM333+GL333</f>
        <v>1472</v>
      </c>
      <c r="GO333" s="1071">
        <v>733</v>
      </c>
      <c r="GP333" s="1071">
        <f>GO333+GN333</f>
        <v>2205</v>
      </c>
      <c r="GQ333" s="1071">
        <f>GS333-GP333</f>
        <v>498</v>
      </c>
      <c r="GR333" s="1071">
        <f>GO333+GQ333</f>
        <v>1231</v>
      </c>
      <c r="GS333" s="1072">
        <v>2703</v>
      </c>
      <c r="GT333" s="1071">
        <v>264</v>
      </c>
      <c r="GU333" s="1071">
        <v>487</v>
      </c>
      <c r="GV333" s="1071">
        <f>GU333+GT333</f>
        <v>751</v>
      </c>
      <c r="GW333" s="1071">
        <v>557</v>
      </c>
      <c r="GX333" s="1071">
        <f>GW333+GV333</f>
        <v>1308</v>
      </c>
      <c r="GY333" s="1071"/>
      <c r="GZ333" s="1071"/>
      <c r="HA333" s="1072"/>
      <c r="HB333" s="1071">
        <v>452</v>
      </c>
      <c r="HC333" s="1071">
        <v>305</v>
      </c>
      <c r="HD333" s="1071">
        <f>HC333+HB333</f>
        <v>757</v>
      </c>
      <c r="HE333" s="1071">
        <v>307</v>
      </c>
      <c r="HF333" s="1071">
        <f>HE333+HD333</f>
        <v>1064</v>
      </c>
      <c r="HG333" s="1071">
        <v>129</v>
      </c>
      <c r="HH333" s="1071"/>
      <c r="HI333" s="1072">
        <f>HG333+HF333</f>
        <v>1193</v>
      </c>
      <c r="HJ333" s="1071">
        <v>226</v>
      </c>
      <c r="HK333" s="1071">
        <v>98</v>
      </c>
      <c r="HL333" s="1071"/>
      <c r="HM333" s="1071"/>
      <c r="HN333" s="1071"/>
      <c r="HO333" s="1071"/>
      <c r="HP333" s="1071"/>
      <c r="HQ333" s="1072"/>
      <c r="HR333" s="1071"/>
      <c r="HS333" s="1071"/>
      <c r="HT333" s="1071"/>
      <c r="HU333" s="1071"/>
      <c r="HV333" s="1071"/>
      <c r="HW333" s="1071"/>
      <c r="HX333" s="1071"/>
      <c r="HY333" s="1071"/>
      <c r="HZ333" s="1071"/>
      <c r="IA333" s="1071"/>
      <c r="IB333" s="1071"/>
      <c r="IC333" s="1071"/>
      <c r="ID333" s="1071"/>
      <c r="IE333" s="1071"/>
      <c r="IF333" s="1071"/>
      <c r="IG333" s="1072"/>
      <c r="IH333" s="1071"/>
      <c r="II333" s="1071"/>
      <c r="IJ333" s="1071"/>
      <c r="IK333" s="1071"/>
      <c r="IL333" s="1071"/>
      <c r="IM333" s="1071"/>
      <c r="IN333" s="1071"/>
      <c r="IO333" s="1072"/>
      <c r="IP333" s="1071"/>
      <c r="IQ333" s="1071"/>
      <c r="IR333" s="1071"/>
      <c r="IS333" s="1071"/>
      <c r="IT333" s="1071"/>
      <c r="IU333" s="1071"/>
      <c r="IV333" s="1071"/>
      <c r="IW333" s="1071"/>
      <c r="IX333" s="1104"/>
      <c r="IY333" s="1049"/>
      <c r="IZ333" s="1049"/>
      <c r="JA333" s="1049"/>
      <c r="JB333" s="1049"/>
      <c r="JC333" s="1049"/>
      <c r="JD333" s="1041"/>
      <c r="JE333" s="1037"/>
      <c r="JF333" s="1037"/>
      <c r="JG333" s="1037"/>
      <c r="JH333" s="1037"/>
      <c r="JI333" s="1035"/>
      <c r="JJ333" s="1035"/>
      <c r="JK333" s="1035"/>
      <c r="JL333" s="1035"/>
      <c r="JM333" s="1035"/>
      <c r="JN333" s="1035"/>
      <c r="JO333" s="1035"/>
      <c r="JP333" s="1035"/>
      <c r="JQ333" s="1035"/>
      <c r="JR333" s="1035"/>
      <c r="JS333" s="1035"/>
      <c r="JT333" s="1035"/>
      <c r="JU333" s="1035"/>
      <c r="JV333" s="1035"/>
      <c r="JW333" s="1035"/>
      <c r="JX333" s="1035"/>
      <c r="JY333" s="1035"/>
      <c r="KP333" s="1117"/>
      <c r="LV333" s="967"/>
    </row>
    <row r="334" spans="1:334">
      <c r="A334" s="967" t="s">
        <v>61</v>
      </c>
      <c r="AX334" s="1059"/>
      <c r="BE334" s="1060"/>
      <c r="BN334" s="1059"/>
      <c r="BU334" s="1060"/>
      <c r="BV334" s="1059"/>
      <c r="CC334" s="1060"/>
      <c r="CD334" s="1059"/>
      <c r="CJ334" s="1061"/>
      <c r="CK334" s="1060"/>
      <c r="CL334" s="1059"/>
      <c r="CS334" s="1060"/>
      <c r="CT334" s="1059"/>
      <c r="CW334" s="1062"/>
      <c r="CX334" s="1062"/>
      <c r="DE334" s="1064"/>
      <c r="DF334" s="1064"/>
      <c r="DM334" s="1064"/>
      <c r="DN334" s="1064"/>
      <c r="DU334" s="1064"/>
      <c r="DV334" s="1064"/>
      <c r="EC334" s="1064"/>
      <c r="ED334" s="1064"/>
      <c r="EH334" s="1181"/>
      <c r="EI334" s="1181"/>
      <c r="EJ334" s="1181"/>
      <c r="EK334" s="1181"/>
      <c r="EL334" s="1181"/>
      <c r="EM334" s="1181"/>
      <c r="EN334" s="1181"/>
      <c r="EO334" s="1182"/>
      <c r="EP334" s="1181"/>
      <c r="EQ334" s="1181"/>
      <c r="ER334" s="1181"/>
      <c r="ES334" s="1181"/>
      <c r="ET334" s="1181"/>
      <c r="EU334" s="1181"/>
      <c r="EV334" s="1181"/>
      <c r="EW334" s="1182"/>
      <c r="EX334" s="1094"/>
      <c r="EY334" s="1094"/>
      <c r="EZ334" s="1094"/>
      <c r="FA334" s="1094"/>
      <c r="FB334" s="1094"/>
      <c r="FC334" s="1094"/>
      <c r="FD334" s="1094"/>
      <c r="FE334" s="1093"/>
      <c r="FF334" s="1094">
        <f t="shared" ref="FF334:FR334" si="1810">FF333/EX333-1</f>
        <v>0.42483660130719</v>
      </c>
      <c r="FG334" s="1094">
        <f t="shared" si="1810"/>
        <v>0.596899224806202</v>
      </c>
      <c r="FH334" s="1094">
        <f t="shared" si="1810"/>
        <v>0.50354609929078</v>
      </c>
      <c r="FI334" s="1094">
        <f t="shared" si="1810"/>
        <v>0.216216216216216</v>
      </c>
      <c r="FJ334" s="1094">
        <f t="shared" si="1810"/>
        <v>0.389721627408994</v>
      </c>
      <c r="FK334" s="1094">
        <f t="shared" si="1810"/>
        <v>0.446666666666667</v>
      </c>
      <c r="FL334" s="1094">
        <f t="shared" si="1810"/>
        <v>0.319402985074627</v>
      </c>
      <c r="FM334" s="1093">
        <f t="shared" si="1810"/>
        <v>0.403565640194489</v>
      </c>
      <c r="FN334" s="1094">
        <f t="shared" si="1810"/>
        <v>0.36697247706422</v>
      </c>
      <c r="FO334" s="1094">
        <f t="shared" si="1810"/>
        <v>0.233009708737864</v>
      </c>
      <c r="FP334" s="1094">
        <f t="shared" si="1810"/>
        <v>0.30188679245283</v>
      </c>
      <c r="FQ334" s="1094">
        <f t="shared" si="1810"/>
        <v>0.266666666666667</v>
      </c>
      <c r="FR334" s="1094">
        <f t="shared" si="1810"/>
        <v>0.289676425269646</v>
      </c>
      <c r="FS334" s="1094">
        <f t="shared" ref="FS334:FX334" si="1811">FS333/FK333-1</f>
        <v>0.0276497695852536</v>
      </c>
      <c r="FT334" s="1094">
        <f t="shared" si="1811"/>
        <v>0.149321266968326</v>
      </c>
      <c r="FU334" s="1094">
        <f t="shared" si="1811"/>
        <v>0.224018475750577</v>
      </c>
      <c r="FV334" s="1275">
        <f t="shared" si="1811"/>
        <v>0.328859060402685</v>
      </c>
      <c r="FW334" s="1094">
        <f t="shared" si="1811"/>
        <v>0.216535433070866</v>
      </c>
      <c r="FX334" s="1094">
        <f t="shared" si="1811"/>
        <v>0.277173913043478</v>
      </c>
      <c r="FY334" s="1094">
        <f t="shared" ref="FY334" si="1812">FY333/FQ333-1</f>
        <v>0.270175438596491</v>
      </c>
      <c r="FZ334" s="1094">
        <f t="shared" ref="FZ334" si="1813">FZ333/FR333-1</f>
        <v>0.27479091995221</v>
      </c>
      <c r="GA334" s="1094">
        <f t="shared" ref="GA334" si="1814">GA333/FS333-1</f>
        <v>0.233183856502242</v>
      </c>
      <c r="GB334" s="1094">
        <f t="shared" ref="GB334" si="1815">GB333/FT333-1</f>
        <v>0.253937007874016</v>
      </c>
      <c r="GC334" s="1093">
        <f t="shared" ref="GC334" si="1816">GC333/FU333-1</f>
        <v>0.266037735849057</v>
      </c>
      <c r="GD334" s="1275">
        <f>GD333/625-1</f>
        <v>0.0591999999999999</v>
      </c>
      <c r="GE334" s="1094">
        <f>((GF334*FX333)-(GD334*FV333))/FW333</f>
        <v>0.190516615613589</v>
      </c>
      <c r="GF334" s="1094">
        <f>GF333/1122-1</f>
        <v>0.116755793226381</v>
      </c>
      <c r="GG334" s="1094">
        <f>GG333/576-1</f>
        <v>0.166666666666667</v>
      </c>
      <c r="GH334" s="1094">
        <f>GH333/(576+497+625)-1</f>
        <v>0.133686690223793</v>
      </c>
      <c r="GI334" s="1094">
        <f t="shared" ref="GI334" si="1817">GI333/GA333-1</f>
        <v>0.505454545454545</v>
      </c>
      <c r="GJ334" s="1094">
        <f t="shared" ref="GJ334" si="1818">GJ333/GB333-1</f>
        <v>0.704866562009419</v>
      </c>
      <c r="GK334" s="1093">
        <f t="shared" ref="GK334:GN334" si="1819">GK333/GC333-1</f>
        <v>0.742921013412817</v>
      </c>
      <c r="GL334" s="1094">
        <f t="shared" si="1819"/>
        <v>0.237160120845922</v>
      </c>
      <c r="GM334" s="1094">
        <f t="shared" si="1819"/>
        <v>0.104906937394247</v>
      </c>
      <c r="GN334" s="1094">
        <f t="shared" si="1819"/>
        <v>0.174780526735834</v>
      </c>
      <c r="GO334" s="1094">
        <f>GO333/576-1</f>
        <v>0.272569444444444</v>
      </c>
      <c r="GP334" s="1094">
        <f>GP333/(576+497+625)-1</f>
        <v>0.298586572438162</v>
      </c>
      <c r="GQ334" s="1094">
        <f t="shared" ref="GQ334" si="1820">GQ333/GI333-1</f>
        <v>0.202898550724638</v>
      </c>
      <c r="GR334" s="1094">
        <f t="shared" ref="GR334" si="1821">GR333/GJ333-1</f>
        <v>0.133517495395948</v>
      </c>
      <c r="GS334" s="1093">
        <f t="shared" ref="GS334:GV334" si="1822">GS333/GK333-1</f>
        <v>0.155622060709705</v>
      </c>
      <c r="GT334" s="1094">
        <f t="shared" si="1822"/>
        <v>-0.677655677655678</v>
      </c>
      <c r="GU334" s="1094">
        <f t="shared" si="1822"/>
        <v>-0.254211332312404</v>
      </c>
      <c r="GV334" s="1094">
        <f t="shared" si="1822"/>
        <v>-0.489809782608696</v>
      </c>
      <c r="GW334" s="1094">
        <f>GW333/576-1</f>
        <v>-0.0329861111111112</v>
      </c>
      <c r="GX334" s="1094">
        <f>GX333/(576+497+625)-1</f>
        <v>-0.229681978798587</v>
      </c>
      <c r="GY334" s="1094"/>
      <c r="GZ334" s="1094"/>
      <c r="HA334" s="1093"/>
      <c r="HB334" s="1094"/>
      <c r="HC334" s="1094"/>
      <c r="HD334" s="1094"/>
      <c r="HE334" s="1094"/>
      <c r="HF334" s="1094"/>
      <c r="HG334" s="1094"/>
      <c r="HH334" s="1094"/>
      <c r="HI334" s="1093"/>
      <c r="HJ334" s="1094">
        <f>HJ333/HB333-1</f>
        <v>-0.5</v>
      </c>
      <c r="HK334" s="1094">
        <f>HK333/HC333-1</f>
        <v>-0.678688524590164</v>
      </c>
      <c r="HL334" s="1094"/>
      <c r="HM334" s="1094"/>
      <c r="HN334" s="1094"/>
      <c r="HO334" s="1094"/>
      <c r="HP334" s="1094"/>
      <c r="HQ334" s="1093"/>
      <c r="HR334" s="1094"/>
      <c r="HS334" s="1094"/>
      <c r="HT334" s="1094"/>
      <c r="HU334" s="1094"/>
      <c r="HV334" s="1094"/>
      <c r="HW334" s="1094"/>
      <c r="HX334" s="1094"/>
      <c r="HY334" s="1094"/>
      <c r="HZ334" s="1094"/>
      <c r="IA334" s="1094"/>
      <c r="IB334" s="1094"/>
      <c r="IC334" s="1094"/>
      <c r="ID334" s="1094"/>
      <c r="IE334" s="1094"/>
      <c r="IF334" s="1094"/>
      <c r="IG334" s="1093"/>
      <c r="IH334" s="1094"/>
      <c r="II334" s="1094"/>
      <c r="IJ334" s="1094"/>
      <c r="IK334" s="1094"/>
      <c r="IL334" s="1094"/>
      <c r="IM334" s="1094"/>
      <c r="IN334" s="1094"/>
      <c r="IO334" s="1093"/>
      <c r="IP334" s="1094"/>
      <c r="IQ334" s="1094"/>
      <c r="IR334" s="1094"/>
      <c r="IS334" s="1094"/>
      <c r="IT334" s="1094"/>
      <c r="IU334" s="1094"/>
      <c r="IV334" s="1094"/>
      <c r="IW334" s="1094"/>
      <c r="IX334" s="1104"/>
      <c r="IY334" s="1049"/>
      <c r="IZ334" s="1049"/>
      <c r="JA334" s="1049"/>
      <c r="JB334" s="1049"/>
      <c r="JC334" s="1049"/>
      <c r="JD334" s="1041"/>
      <c r="JE334" s="1037"/>
      <c r="JF334" s="1037"/>
      <c r="JG334" s="1037"/>
      <c r="JH334" s="1037"/>
      <c r="JI334" s="1035"/>
      <c r="JJ334" s="1035"/>
      <c r="JK334" s="1035"/>
      <c r="JL334" s="1035"/>
      <c r="JM334" s="1035"/>
      <c r="JN334" s="1035"/>
      <c r="JO334" s="1035"/>
      <c r="JP334" s="1035"/>
      <c r="JQ334" s="1035"/>
      <c r="JR334" s="1035"/>
      <c r="JS334" s="1035"/>
      <c r="JT334" s="1035"/>
      <c r="JU334" s="1035"/>
      <c r="JV334" s="1035"/>
      <c r="JW334" s="1035"/>
      <c r="JX334" s="1035"/>
      <c r="JY334" s="1035"/>
      <c r="KP334" s="1117"/>
      <c r="LV334" s="967"/>
    </row>
    <row r="335" spans="1:334">
      <c r="A335" s="967" t="s">
        <v>132</v>
      </c>
      <c r="AX335" s="1059"/>
      <c r="BE335" s="1060"/>
      <c r="BN335" s="1059"/>
      <c r="BU335" s="1060"/>
      <c r="BV335" s="1059"/>
      <c r="CC335" s="1060"/>
      <c r="CD335" s="1059"/>
      <c r="CJ335" s="1061"/>
      <c r="CK335" s="1060"/>
      <c r="CL335" s="1059"/>
      <c r="CS335" s="1060"/>
      <c r="CT335" s="1059"/>
      <c r="CW335" s="1062"/>
      <c r="CX335" s="1062"/>
      <c r="DE335" s="1064"/>
      <c r="DF335" s="1064"/>
      <c r="DM335" s="1064"/>
      <c r="DN335" s="1064"/>
      <c r="DU335" s="1064"/>
      <c r="DV335" s="1064"/>
      <c r="EC335" s="1064"/>
      <c r="ED335" s="1064"/>
      <c r="EH335" s="1181"/>
      <c r="EI335" s="1181"/>
      <c r="EJ335" s="1181"/>
      <c r="EK335" s="1181"/>
      <c r="EL335" s="1181"/>
      <c r="EM335" s="1181"/>
      <c r="EN335" s="1181"/>
      <c r="EO335" s="1182"/>
      <c r="EP335" s="1181"/>
      <c r="EQ335" s="1181"/>
      <c r="ER335" s="1181"/>
      <c r="ES335" s="1181"/>
      <c r="ET335" s="1181"/>
      <c r="EU335" s="1181"/>
      <c r="EV335" s="1181"/>
      <c r="EW335" s="1182"/>
      <c r="EX335" s="1094">
        <f>EX333/EX$243</f>
        <v>0.369565217391304</v>
      </c>
      <c r="EY335" s="1094">
        <f t="shared" ref="EY335:FH335" si="1823">EY333/EY$243</f>
        <v>0.339473684210526</v>
      </c>
      <c r="EZ335" s="1094">
        <f t="shared" si="1823"/>
        <v>0.355163727959698</v>
      </c>
      <c r="FA335" s="1094">
        <f t="shared" si="1823"/>
        <v>0.362745098039216</v>
      </c>
      <c r="FB335" s="1094">
        <f t="shared" si="1823"/>
        <v>0.358128834355828</v>
      </c>
      <c r="FC335" s="1094">
        <f t="shared" si="1823"/>
        <v>0.311203319502075</v>
      </c>
      <c r="FD335" s="1094">
        <f t="shared" si="1823"/>
        <v>0.337701612903226</v>
      </c>
      <c r="FE335" s="1093">
        <f t="shared" si="1823"/>
        <v>0.345464725643897</v>
      </c>
      <c r="FF335" s="1094">
        <f t="shared" si="1823"/>
        <v>0.365159128978224</v>
      </c>
      <c r="FG335" s="1094">
        <f t="shared" si="1823"/>
        <v>0.365248226950355</v>
      </c>
      <c r="FH335" s="1094">
        <f t="shared" si="1823"/>
        <v>0.36520241171404</v>
      </c>
      <c r="FI335" s="1094">
        <f t="shared" ref="FI335:FQ335" si="1824">FI333/FI$243</f>
        <v>0.32561505065123</v>
      </c>
      <c r="FJ335" s="1094">
        <f t="shared" si="1824"/>
        <v>0.350431965442765</v>
      </c>
      <c r="FK335" s="1094">
        <f t="shared" si="1824"/>
        <v>0.351701782820097</v>
      </c>
      <c r="FL335" s="1094">
        <f t="shared" si="1824"/>
        <v>0.337920489296636</v>
      </c>
      <c r="FM335" s="1093">
        <f t="shared" si="1824"/>
        <v>0.350749291211017</v>
      </c>
      <c r="FN335" s="1094">
        <f t="shared" si="1824"/>
        <v>0.391076115485564</v>
      </c>
      <c r="FO335" s="1094">
        <f t="shared" si="1824"/>
        <v>0.370802919708029</v>
      </c>
      <c r="FP335" s="1094">
        <f t="shared" si="1824"/>
        <v>0.381478921907395</v>
      </c>
      <c r="FQ335" s="1094">
        <f t="shared" si="1824"/>
        <v>0.346715328467153</v>
      </c>
      <c r="FR335" s="1094">
        <f t="shared" ref="FR335:FY335" si="1825">FR333/FR$243</f>
        <v>0.368884971353019</v>
      </c>
      <c r="FS335" s="1094">
        <f t="shared" si="1825"/>
        <v>0.300944669365722</v>
      </c>
      <c r="FT335" s="1094">
        <f t="shared" si="1825"/>
        <v>0.325015994881638</v>
      </c>
      <c r="FU335" s="1094">
        <f t="shared" si="1825"/>
        <v>0.352159468438538</v>
      </c>
      <c r="FV335" s="1275">
        <f t="shared" si="1825"/>
        <v>0.4</v>
      </c>
      <c r="FW335" s="1094">
        <f t="shared" si="1825"/>
        <v>0.357225433526012</v>
      </c>
      <c r="FX335" s="1094">
        <f t="shared" si="1825"/>
        <v>0.380053908355795</v>
      </c>
      <c r="FY335" s="1094">
        <f t="shared" si="1825"/>
        <v>0.357707509881423</v>
      </c>
      <c r="FZ335" s="1094">
        <f t="shared" ref="FZ335:GC335" si="1826">FZ333/FZ$243</f>
        <v>0.372166027206139</v>
      </c>
      <c r="GA335" s="1094">
        <f t="shared" si="1826"/>
        <v>0.298264642082429</v>
      </c>
      <c r="GB335" s="1094">
        <f t="shared" si="1826"/>
        <v>0.329369183040331</v>
      </c>
      <c r="GC335" s="1093">
        <f t="shared" si="1826"/>
        <v>0.354183161784112</v>
      </c>
      <c r="GD335" s="1275">
        <f t="shared" ref="GD335:GF335" si="1827">GD333/GD$243</f>
        <v>0.356681034482759</v>
      </c>
      <c r="GE335" s="1094">
        <f t="shared" si="1827"/>
        <v>0.342410196987254</v>
      </c>
      <c r="GF335" s="1094">
        <f t="shared" si="1827"/>
        <v>0.349804578447795</v>
      </c>
      <c r="GG335" s="1094">
        <f t="shared" ref="GG335:GN335" si="1828">GG333/GG$243</f>
        <v>0.354804646251319</v>
      </c>
      <c r="GH335" s="1094">
        <f t="shared" si="1828"/>
        <v>0.351533966398831</v>
      </c>
      <c r="GI335" s="1094">
        <f t="shared" si="1828"/>
        <v>0.248648648648649</v>
      </c>
      <c r="GJ335" s="1094">
        <f t="shared" si="1828"/>
        <v>0.30514189379039</v>
      </c>
      <c r="GK335" s="1093">
        <f t="shared" si="1828"/>
        <v>0.327545161742053</v>
      </c>
      <c r="GL335" s="1094">
        <f t="shared" si="1828"/>
        <v>0.383068288119738</v>
      </c>
      <c r="GM335" s="1094">
        <f t="shared" si="1828"/>
        <v>0.348716743743926</v>
      </c>
      <c r="GN335" s="1094">
        <f t="shared" si="1828"/>
        <v>0.367029207745513</v>
      </c>
      <c r="GO335" s="1094">
        <f t="shared" ref="GO335:GV335" si="1829">GO333/GO$243</f>
        <v>0.350717703349282</v>
      </c>
      <c r="GP335" s="1094">
        <f t="shared" si="1829"/>
        <v>0.361441043310636</v>
      </c>
      <c r="GQ335" s="1094">
        <f t="shared" si="1829"/>
        <v>0.258031088082902</v>
      </c>
      <c r="GR335" s="1094">
        <f t="shared" si="1829"/>
        <v>0.306218905472637</v>
      </c>
      <c r="GS335" s="1093">
        <f t="shared" si="1829"/>
        <v>0.336588390875877</v>
      </c>
      <c r="GT335" s="1094">
        <f t="shared" si="1829"/>
        <v>0.222972972972973</v>
      </c>
      <c r="GU335" s="1094">
        <f t="shared" si="1829"/>
        <v>0.309796437659033</v>
      </c>
      <c r="GV335" s="1094">
        <f t="shared" si="1829"/>
        <v>0.272496371552975</v>
      </c>
      <c r="GW335" s="1094">
        <f t="shared" ref="GW335:GX335" si="1830">GW333/GW$243</f>
        <v>0.297607121198764</v>
      </c>
      <c r="GX335" s="1094">
        <f t="shared" si="1830"/>
        <v>0.282652219997645</v>
      </c>
      <c r="GY335" s="1094"/>
      <c r="GZ335" s="1094"/>
      <c r="HA335" s="1093"/>
      <c r="HB335" s="1094">
        <f t="shared" ref="HB335:HG335" si="1831">HB333/HB184</f>
        <v>0.322396576319543</v>
      </c>
      <c r="HC335" s="1094">
        <f t="shared" si="1831"/>
        <v>0.304087736789631</v>
      </c>
      <c r="HD335" s="1094">
        <f t="shared" si="1831"/>
        <v>0.314760914760915</v>
      </c>
      <c r="HE335" s="1094">
        <f t="shared" si="1831"/>
        <v>0.265800865800866</v>
      </c>
      <c r="HF335" s="1094">
        <f t="shared" si="1831"/>
        <v>0.298876404494382</v>
      </c>
      <c r="HG335" s="1094">
        <f t="shared" si="1831"/>
        <v>0.124397299903568</v>
      </c>
      <c r="HH335" s="1094"/>
      <c r="HI335" s="1093">
        <f>HI333/HI184</f>
        <v>0.259517076354144</v>
      </c>
      <c r="HJ335" s="1094">
        <f>HJ333/HJ184</f>
        <v>0.225099601593625</v>
      </c>
      <c r="HK335" s="1094">
        <f>HK333/HK184</f>
        <v>0.136300417246175</v>
      </c>
      <c r="HL335" s="1094"/>
      <c r="HM335" s="1094"/>
      <c r="HN335" s="1094"/>
      <c r="HO335" s="1094"/>
      <c r="HP335" s="1094"/>
      <c r="HQ335" s="1093"/>
      <c r="HR335" s="1094"/>
      <c r="HS335" s="1094"/>
      <c r="HT335" s="1094"/>
      <c r="HU335" s="1094"/>
      <c r="HV335" s="1094"/>
      <c r="HW335" s="1094"/>
      <c r="HX335" s="1094"/>
      <c r="HY335" s="1094"/>
      <c r="HZ335" s="1094"/>
      <c r="IA335" s="1094"/>
      <c r="IB335" s="1094"/>
      <c r="IC335" s="1094"/>
      <c r="ID335" s="1094"/>
      <c r="IE335" s="1094"/>
      <c r="IF335" s="1094"/>
      <c r="IG335" s="1093"/>
      <c r="IH335" s="1094"/>
      <c r="II335" s="1094"/>
      <c r="IJ335" s="1094"/>
      <c r="IK335" s="1094"/>
      <c r="IL335" s="1094"/>
      <c r="IM335" s="1094"/>
      <c r="IN335" s="1094"/>
      <c r="IO335" s="1093"/>
      <c r="IP335" s="1094"/>
      <c r="IQ335" s="1094"/>
      <c r="IR335" s="1094"/>
      <c r="IS335" s="1094"/>
      <c r="IT335" s="1094"/>
      <c r="IU335" s="1094"/>
      <c r="IV335" s="1094"/>
      <c r="IW335" s="1094"/>
      <c r="IX335" s="1104"/>
      <c r="IY335" s="1049"/>
      <c r="IZ335" s="1049"/>
      <c r="JA335" s="1049"/>
      <c r="JB335" s="1049"/>
      <c r="JC335" s="1049"/>
      <c r="JD335" s="1041"/>
      <c r="JE335" s="1037"/>
      <c r="JF335" s="1037"/>
      <c r="JG335" s="1037"/>
      <c r="JH335" s="1037"/>
      <c r="JI335" s="1035"/>
      <c r="JJ335" s="1035"/>
      <c r="JK335" s="1035"/>
      <c r="JL335" s="1035"/>
      <c r="JM335" s="1035"/>
      <c r="JN335" s="1035"/>
      <c r="JO335" s="1035"/>
      <c r="JP335" s="1035"/>
      <c r="JQ335" s="1035"/>
      <c r="JR335" s="1035"/>
      <c r="JS335" s="1035"/>
      <c r="JT335" s="1035"/>
      <c r="JU335" s="1035"/>
      <c r="JV335" s="1035"/>
      <c r="JW335" s="1035"/>
      <c r="JX335" s="1035"/>
      <c r="JY335" s="1035"/>
      <c r="KP335" s="1117"/>
      <c r="LV335" s="967"/>
    </row>
    <row r="336" spans="1:334">
      <c r="A336" s="1281" t="s">
        <v>104</v>
      </c>
      <c r="B336" s="1255"/>
      <c r="C336" s="1255"/>
      <c r="D336" s="1255"/>
      <c r="E336" s="1255"/>
      <c r="F336" s="1255"/>
      <c r="G336" s="1255"/>
      <c r="H336" s="1255"/>
      <c r="I336" s="1255"/>
      <c r="J336" s="1255"/>
      <c r="K336" s="1255"/>
      <c r="L336" s="1255"/>
      <c r="M336" s="1255"/>
      <c r="N336" s="1255"/>
      <c r="O336" s="1255"/>
      <c r="P336" s="1255"/>
      <c r="Q336" s="1255"/>
      <c r="R336" s="1255"/>
      <c r="S336" s="1255"/>
      <c r="T336" s="1255"/>
      <c r="U336" s="1255"/>
      <c r="V336" s="1255"/>
      <c r="W336" s="1255"/>
      <c r="X336" s="1255"/>
      <c r="Y336" s="1255"/>
      <c r="Z336" s="1255"/>
      <c r="AA336" s="1255"/>
      <c r="AB336" s="1255"/>
      <c r="AC336" s="1255"/>
      <c r="AD336" s="1255"/>
      <c r="AE336" s="1255"/>
      <c r="AF336" s="1255"/>
      <c r="AG336" s="1255"/>
      <c r="AH336" s="1255"/>
      <c r="AI336" s="1255"/>
      <c r="AJ336" s="1255"/>
      <c r="AK336" s="1255"/>
      <c r="AL336" s="1255"/>
      <c r="AM336" s="1255"/>
      <c r="AN336" s="1255"/>
      <c r="AO336" s="1255"/>
      <c r="AP336" s="1255"/>
      <c r="AQ336" s="1255"/>
      <c r="AR336" s="1255"/>
      <c r="AS336" s="1255"/>
      <c r="AT336" s="1255"/>
      <c r="AU336" s="1255"/>
      <c r="AV336" s="1255"/>
      <c r="AW336" s="1255"/>
      <c r="AX336" s="1256"/>
      <c r="AY336" s="1255"/>
      <c r="AZ336" s="1255"/>
      <c r="BA336" s="1255"/>
      <c r="BB336" s="1255"/>
      <c r="BC336" s="1255"/>
      <c r="BD336" s="1255"/>
      <c r="BE336" s="1257"/>
      <c r="BF336" s="1255"/>
      <c r="BG336" s="1255"/>
      <c r="BH336" s="1255"/>
      <c r="BI336" s="1255"/>
      <c r="BJ336" s="1255"/>
      <c r="BK336" s="1255"/>
      <c r="BL336" s="1255"/>
      <c r="BM336" s="1255"/>
      <c r="BN336" s="1256"/>
      <c r="BO336" s="1255"/>
      <c r="BP336" s="1255"/>
      <c r="BQ336" s="1255"/>
      <c r="BR336" s="1255"/>
      <c r="BS336" s="1255"/>
      <c r="BT336" s="1255"/>
      <c r="BU336" s="1257"/>
      <c r="BV336" s="1256"/>
      <c r="BW336" s="1255"/>
      <c r="BX336" s="1255"/>
      <c r="BY336" s="1255"/>
      <c r="BZ336" s="1255"/>
      <c r="CA336" s="1255"/>
      <c r="CB336" s="1255"/>
      <c r="CC336" s="1257"/>
      <c r="CD336" s="1256"/>
      <c r="CE336" s="1255"/>
      <c r="CF336" s="1255"/>
      <c r="CG336" s="1255"/>
      <c r="CH336" s="1255"/>
      <c r="CI336" s="1255"/>
      <c r="CJ336" s="1258"/>
      <c r="CK336" s="1257"/>
      <c r="CL336" s="1256"/>
      <c r="CM336" s="1255"/>
      <c r="CN336" s="1255"/>
      <c r="CO336" s="1255"/>
      <c r="CP336" s="1255"/>
      <c r="CQ336" s="1255"/>
      <c r="CR336" s="1255"/>
      <c r="CS336" s="1257"/>
      <c r="CT336" s="1256"/>
      <c r="CU336" s="1255"/>
      <c r="CV336" s="1255"/>
      <c r="CW336" s="1259"/>
      <c r="CX336" s="1259"/>
      <c r="CY336" s="1255"/>
      <c r="CZ336" s="1255"/>
      <c r="DA336" s="1255"/>
      <c r="DB336" s="1260"/>
      <c r="DC336" s="1260"/>
      <c r="DD336" s="1260"/>
      <c r="DE336" s="1261"/>
      <c r="DF336" s="1261"/>
      <c r="DG336" s="1260"/>
      <c r="DH336" s="1260"/>
      <c r="DI336" s="1262"/>
      <c r="DJ336" s="1260"/>
      <c r="DK336" s="1260"/>
      <c r="DL336" s="1260"/>
      <c r="DM336" s="1261"/>
      <c r="DN336" s="1261"/>
      <c r="DO336" s="1260"/>
      <c r="DP336" s="1260"/>
      <c r="DQ336" s="1262"/>
      <c r="DR336" s="1260"/>
      <c r="DS336" s="1260"/>
      <c r="DT336" s="1260"/>
      <c r="DU336" s="1261"/>
      <c r="DV336" s="1261"/>
      <c r="DW336" s="1260"/>
      <c r="DX336" s="1260"/>
      <c r="DY336" s="1262"/>
      <c r="DZ336" s="1260"/>
      <c r="EA336" s="1260"/>
      <c r="EB336" s="1260"/>
      <c r="EC336" s="1261"/>
      <c r="ED336" s="1261"/>
      <c r="EE336" s="1260"/>
      <c r="EF336" s="1260"/>
      <c r="EG336" s="1262"/>
      <c r="EH336" s="1282"/>
      <c r="EI336" s="1282"/>
      <c r="EJ336" s="1282"/>
      <c r="EK336" s="1282"/>
      <c r="EL336" s="1282"/>
      <c r="EM336" s="1282"/>
      <c r="EN336" s="1282"/>
      <c r="EO336" s="1283"/>
      <c r="EP336" s="1282"/>
      <c r="EQ336" s="1282"/>
      <c r="ER336" s="1282"/>
      <c r="ES336" s="1282"/>
      <c r="ET336" s="1282"/>
      <c r="EU336" s="1282"/>
      <c r="EV336" s="1282"/>
      <c r="EW336" s="1283"/>
      <c r="EX336" s="1282"/>
      <c r="EY336" s="1282"/>
      <c r="EZ336" s="1282"/>
      <c r="FA336" s="1282"/>
      <c r="FB336" s="1282"/>
      <c r="FC336" s="1282"/>
      <c r="FD336" s="1282"/>
      <c r="FE336" s="1283"/>
      <c r="FF336" s="1282"/>
      <c r="FG336" s="1282"/>
      <c r="FH336" s="1282"/>
      <c r="FI336" s="1282"/>
      <c r="FJ336" s="1282"/>
      <c r="FK336" s="1282"/>
      <c r="FL336" s="1282"/>
      <c r="FM336" s="1283"/>
      <c r="FN336" s="1282"/>
      <c r="FO336" s="1282"/>
      <c r="FP336" s="1282"/>
      <c r="FQ336" s="1282"/>
      <c r="FR336" s="1282"/>
      <c r="FS336" s="1282"/>
      <c r="FT336" s="1282"/>
      <c r="FU336" s="1282"/>
      <c r="FV336" s="1285"/>
      <c r="FW336" s="1282"/>
      <c r="FX336" s="1282"/>
      <c r="FY336" s="1282"/>
      <c r="FZ336" s="1282"/>
      <c r="GA336" s="1282"/>
      <c r="GB336" s="1282"/>
      <c r="GC336" s="1283"/>
      <c r="GD336" s="1282"/>
      <c r="GE336" s="1282"/>
      <c r="GF336" s="1282"/>
      <c r="GG336" s="1282"/>
      <c r="GH336" s="1282"/>
      <c r="GI336" s="1282"/>
      <c r="GJ336" s="1282"/>
      <c r="GK336" s="1283"/>
      <c r="GL336" s="1282"/>
      <c r="GM336" s="1282"/>
      <c r="GN336" s="1282"/>
      <c r="GO336" s="1282"/>
      <c r="GP336" s="1282"/>
      <c r="GQ336" s="1282"/>
      <c r="GR336" s="1282"/>
      <c r="GS336" s="1283"/>
      <c r="GT336" s="1282"/>
      <c r="GU336" s="1282"/>
      <c r="GV336" s="1282"/>
      <c r="GW336" s="1282"/>
      <c r="GX336" s="1282"/>
      <c r="GY336" s="1282"/>
      <c r="GZ336" s="1282"/>
      <c r="HA336" s="1283"/>
      <c r="HB336" s="1282"/>
      <c r="HC336" s="1282"/>
      <c r="HD336" s="1282"/>
      <c r="HE336" s="1282"/>
      <c r="HF336" s="1282"/>
      <c r="HG336" s="1282"/>
      <c r="HH336" s="1282"/>
      <c r="HI336" s="1283"/>
      <c r="HJ336" s="1282"/>
      <c r="HK336" s="1282"/>
      <c r="HL336" s="1282"/>
      <c r="HM336" s="1282"/>
      <c r="HN336" s="1282"/>
      <c r="HO336" s="1282"/>
      <c r="HP336" s="1282"/>
      <c r="HQ336" s="1283"/>
      <c r="HR336" s="1282"/>
      <c r="HS336" s="1282"/>
      <c r="HT336" s="1282"/>
      <c r="HU336" s="1282"/>
      <c r="HV336" s="1282"/>
      <c r="HW336" s="1282"/>
      <c r="HX336" s="1282"/>
      <c r="HY336" s="1282"/>
      <c r="HZ336" s="1282"/>
      <c r="IA336" s="1282"/>
      <c r="IB336" s="1282"/>
      <c r="IC336" s="1282"/>
      <c r="ID336" s="1282"/>
      <c r="IE336" s="1282"/>
      <c r="IF336" s="1282"/>
      <c r="IG336" s="1283"/>
      <c r="IH336" s="1282"/>
      <c r="II336" s="1282"/>
      <c r="IJ336" s="1282"/>
      <c r="IK336" s="1282"/>
      <c r="IL336" s="1282"/>
      <c r="IM336" s="1282"/>
      <c r="IN336" s="1282"/>
      <c r="IO336" s="1283"/>
      <c r="IP336" s="1282"/>
      <c r="IQ336" s="1282"/>
      <c r="IR336" s="1282"/>
      <c r="IS336" s="1282"/>
      <c r="IT336" s="1282"/>
      <c r="IU336" s="1282"/>
      <c r="IV336" s="1282"/>
      <c r="IW336" s="1282"/>
      <c r="IX336" s="1104"/>
      <c r="IY336" s="1049"/>
      <c r="IZ336" s="1049"/>
      <c r="JA336" s="1049"/>
      <c r="JB336" s="1049"/>
      <c r="JC336" s="1049"/>
      <c r="JD336" s="1041"/>
      <c r="JE336" s="1037"/>
      <c r="JF336" s="1037"/>
      <c r="JG336" s="1037"/>
      <c r="JH336" s="1037"/>
      <c r="JI336" s="1035"/>
      <c r="JJ336" s="1035"/>
      <c r="JK336" s="1035"/>
      <c r="JL336" s="1035"/>
      <c r="JM336" s="1035"/>
      <c r="JN336" s="1035"/>
      <c r="JO336" s="1035"/>
      <c r="JP336" s="1035"/>
      <c r="JQ336" s="1035"/>
      <c r="JR336" s="1035"/>
      <c r="JS336" s="1035"/>
      <c r="JT336" s="1035"/>
      <c r="JU336" s="1035"/>
      <c r="JV336" s="1035"/>
      <c r="JW336" s="1035"/>
      <c r="JX336" s="1035"/>
      <c r="JY336" s="1035"/>
      <c r="KP336" s="1117"/>
      <c r="LV336" s="967"/>
    </row>
    <row r="337" spans="1:334">
      <c r="A337" s="967" t="s">
        <v>126</v>
      </c>
      <c r="AX337" s="1059"/>
      <c r="BE337" s="1060"/>
      <c r="BN337" s="1059"/>
      <c r="BU337" s="1060"/>
      <c r="BV337" s="1059"/>
      <c r="CC337" s="1060"/>
      <c r="CD337" s="1059"/>
      <c r="CJ337" s="1061"/>
      <c r="CK337" s="1060"/>
      <c r="CL337" s="1059"/>
      <c r="CS337" s="1060"/>
      <c r="CT337" s="1059"/>
      <c r="CW337" s="1062"/>
      <c r="CX337" s="1062"/>
      <c r="DE337" s="1064"/>
      <c r="DF337" s="1064"/>
      <c r="DM337" s="1064"/>
      <c r="DN337" s="1064"/>
      <c r="DU337" s="1064"/>
      <c r="DV337" s="1064"/>
      <c r="EC337" s="1064"/>
      <c r="ED337" s="1064"/>
      <c r="EH337" s="1181"/>
      <c r="EI337" s="1181"/>
      <c r="EJ337" s="1181"/>
      <c r="EK337" s="1181"/>
      <c r="EL337" s="1181"/>
      <c r="EM337" s="1181"/>
      <c r="EN337" s="1181"/>
      <c r="EO337" s="1182"/>
      <c r="EP337" s="1181"/>
      <c r="EQ337" s="1181"/>
      <c r="ER337" s="1181"/>
      <c r="ES337" s="1181"/>
      <c r="ET337" s="1181"/>
      <c r="EU337" s="1181"/>
      <c r="EV337" s="1181"/>
      <c r="EW337" s="1182"/>
      <c r="EX337" s="1148">
        <f>EX250-EX338</f>
        <v>79</v>
      </c>
      <c r="EY337" s="1148">
        <f t="shared" ref="EY337:FJ337" si="1832">EY250-EY338</f>
        <v>98</v>
      </c>
      <c r="EZ337" s="1148">
        <f t="shared" si="1832"/>
        <v>177</v>
      </c>
      <c r="FA337" s="1148">
        <f t="shared" si="1832"/>
        <v>95</v>
      </c>
      <c r="FB337" s="1148">
        <f t="shared" si="1832"/>
        <v>272</v>
      </c>
      <c r="FC337" s="1148">
        <f t="shared" si="1832"/>
        <v>149</v>
      </c>
      <c r="FD337" s="1148">
        <f t="shared" si="1832"/>
        <v>244</v>
      </c>
      <c r="FE337" s="1149">
        <f t="shared" si="1832"/>
        <v>421</v>
      </c>
      <c r="FF337" s="1148">
        <f t="shared" si="1832"/>
        <v>82</v>
      </c>
      <c r="FG337" s="1148">
        <f t="shared" si="1832"/>
        <v>92</v>
      </c>
      <c r="FH337" s="1148">
        <f t="shared" si="1832"/>
        <v>174</v>
      </c>
      <c r="FI337" s="1148">
        <f t="shared" si="1832"/>
        <v>96</v>
      </c>
      <c r="FJ337" s="1148">
        <f t="shared" si="1832"/>
        <v>270</v>
      </c>
      <c r="FK337" s="1148">
        <f>FK189-FK338</f>
        <v>141</v>
      </c>
      <c r="FL337" s="1148">
        <f>FL189-FL338</f>
        <v>237</v>
      </c>
      <c r="FM337" s="1149">
        <f>FM189-FM338</f>
        <v>411</v>
      </c>
      <c r="FN337" s="1148">
        <f>FN250-FN338</f>
        <v>120</v>
      </c>
      <c r="FO337" s="1148">
        <f>FO250-FO338</f>
        <v>116</v>
      </c>
      <c r="FP337" s="1148">
        <f>FP250-FP338</f>
        <v>236</v>
      </c>
      <c r="FQ337" s="1148">
        <f>FQ250-FQ338</f>
        <v>136</v>
      </c>
      <c r="FR337" s="1148">
        <f>FR250-FR338</f>
        <v>372</v>
      </c>
      <c r="FS337" s="1148">
        <f>FS189-FS338</f>
        <v>138</v>
      </c>
      <c r="FT337" s="1148">
        <f>FT189-FT338</f>
        <v>274</v>
      </c>
      <c r="FU337" s="1148">
        <f>FU189-FU338</f>
        <v>510</v>
      </c>
      <c r="FV337" s="1151">
        <f>FV250-FV338</f>
        <v>147</v>
      </c>
      <c r="FW337" s="1148">
        <f>FW250-FW338</f>
        <v>121</v>
      </c>
      <c r="FX337" s="1148">
        <f>FX250-FX338</f>
        <v>268</v>
      </c>
      <c r="FY337" s="1148">
        <f>FY250-FY338</f>
        <v>113</v>
      </c>
      <c r="FZ337" s="1148">
        <f>FZ250-FZ338</f>
        <v>381</v>
      </c>
      <c r="GA337" s="1148">
        <f>GA189-GA338</f>
        <v>115</v>
      </c>
      <c r="GB337" s="1148">
        <f>GB189-GB338</f>
        <v>228</v>
      </c>
      <c r="GC337" s="1149">
        <f>GC189-GC338</f>
        <v>496</v>
      </c>
      <c r="GD337" s="1148"/>
      <c r="GE337" s="1148"/>
      <c r="GF337" s="1148"/>
      <c r="GG337" s="1148"/>
      <c r="GH337" s="1148"/>
      <c r="GI337" s="1148"/>
      <c r="GJ337" s="1148"/>
      <c r="GK337" s="1149"/>
      <c r="GL337" s="1148"/>
      <c r="GM337" s="1148"/>
      <c r="GN337" s="1148"/>
      <c r="GO337" s="1148"/>
      <c r="GP337" s="1148"/>
      <c r="GQ337" s="1148"/>
      <c r="GR337" s="1148"/>
      <c r="GS337" s="1149"/>
      <c r="GT337" s="1148"/>
      <c r="GU337" s="1148"/>
      <c r="GV337" s="1148"/>
      <c r="GW337" s="1148"/>
      <c r="GX337" s="1148"/>
      <c r="GY337" s="1148"/>
      <c r="GZ337" s="1148"/>
      <c r="HA337" s="1149"/>
      <c r="HB337" s="1148"/>
      <c r="HC337" s="1148"/>
      <c r="HD337" s="1148"/>
      <c r="HE337" s="1148"/>
      <c r="HF337" s="1148"/>
      <c r="HG337" s="1148"/>
      <c r="HH337" s="1148"/>
      <c r="HI337" s="1149"/>
      <c r="HJ337" s="1148"/>
      <c r="HK337" s="1148"/>
      <c r="HL337" s="1148"/>
      <c r="HM337" s="1148"/>
      <c r="HN337" s="1148"/>
      <c r="HO337" s="1148"/>
      <c r="HP337" s="1148"/>
      <c r="HQ337" s="1149"/>
      <c r="HR337" s="1148"/>
      <c r="HS337" s="1148"/>
      <c r="HT337" s="1148"/>
      <c r="HU337" s="1148"/>
      <c r="HV337" s="1148"/>
      <c r="HW337" s="1148"/>
      <c r="HX337" s="1148"/>
      <c r="HY337" s="1148"/>
      <c r="HZ337" s="1148"/>
      <c r="IA337" s="1148"/>
      <c r="IB337" s="1148"/>
      <c r="IC337" s="1148"/>
      <c r="ID337" s="1148"/>
      <c r="IE337" s="1148"/>
      <c r="IF337" s="1148"/>
      <c r="IG337" s="1149"/>
      <c r="IH337" s="1148"/>
      <c r="II337" s="1148"/>
      <c r="IJ337" s="1148"/>
      <c r="IK337" s="1148"/>
      <c r="IL337" s="1148"/>
      <c r="IM337" s="1148"/>
      <c r="IN337" s="1148"/>
      <c r="IO337" s="1149"/>
      <c r="IP337" s="1148"/>
      <c r="IQ337" s="1148"/>
      <c r="IR337" s="1148"/>
      <c r="IS337" s="1148"/>
      <c r="IT337" s="1148"/>
      <c r="IU337" s="1148"/>
      <c r="IV337" s="1148"/>
      <c r="IW337" s="1148"/>
      <c r="IX337" s="1104"/>
      <c r="IY337" s="1049"/>
      <c r="IZ337" s="1049"/>
      <c r="JA337" s="1049"/>
      <c r="JB337" s="1049"/>
      <c r="JC337" s="1049"/>
      <c r="JD337" s="1041"/>
      <c r="JE337" s="1037"/>
      <c r="JF337" s="1037"/>
      <c r="JG337" s="1037"/>
      <c r="JH337" s="1037"/>
      <c r="JI337" s="1035"/>
      <c r="JJ337" s="1035"/>
      <c r="JK337" s="1035"/>
      <c r="JL337" s="1035"/>
      <c r="JM337" s="1035"/>
      <c r="JN337" s="1035"/>
      <c r="JO337" s="1035"/>
      <c r="JP337" s="1035"/>
      <c r="JQ337" s="1035"/>
      <c r="JR337" s="1035"/>
      <c r="JS337" s="1035"/>
      <c r="JT337" s="1035"/>
      <c r="JU337" s="1035"/>
      <c r="JV337" s="1035"/>
      <c r="JW337" s="1035"/>
      <c r="JX337" s="1035"/>
      <c r="JY337" s="1035"/>
      <c r="KP337" s="1117"/>
      <c r="LV337" s="967"/>
    </row>
    <row r="338" spans="1:334">
      <c r="A338" s="1103" t="s">
        <v>127</v>
      </c>
      <c r="AX338" s="1059"/>
      <c r="BE338" s="1060"/>
      <c r="BN338" s="1059"/>
      <c r="BU338" s="1060"/>
      <c r="BV338" s="1059"/>
      <c r="CC338" s="1060"/>
      <c r="CD338" s="1059"/>
      <c r="CJ338" s="1061"/>
      <c r="CK338" s="1060"/>
      <c r="CL338" s="1059"/>
      <c r="CS338" s="1060"/>
      <c r="CT338" s="1059"/>
      <c r="CW338" s="1062"/>
      <c r="CX338" s="1062"/>
      <c r="DE338" s="1064"/>
      <c r="DF338" s="1064"/>
      <c r="DM338" s="1064"/>
      <c r="DN338" s="1064"/>
      <c r="DU338" s="1064"/>
      <c r="DV338" s="1064"/>
      <c r="EC338" s="1064"/>
      <c r="ED338" s="1064"/>
      <c r="EH338" s="1181"/>
      <c r="EI338" s="1181"/>
      <c r="EJ338" s="1181"/>
      <c r="EK338" s="1181"/>
      <c r="EL338" s="1181"/>
      <c r="EM338" s="1181"/>
      <c r="EN338" s="1181"/>
      <c r="EO338" s="1182"/>
      <c r="EP338" s="1181"/>
      <c r="EQ338" s="1181"/>
      <c r="ER338" s="1181"/>
      <c r="ES338" s="1181"/>
      <c r="ET338" s="1181"/>
      <c r="EU338" s="1181"/>
      <c r="EV338" s="1181"/>
      <c r="EW338" s="1182"/>
      <c r="EX338" s="1071">
        <v>60</v>
      </c>
      <c r="EY338" s="1071">
        <v>83</v>
      </c>
      <c r="EZ338" s="1071">
        <f>EX338+EY338</f>
        <v>143</v>
      </c>
      <c r="FA338" s="1071">
        <v>78</v>
      </c>
      <c r="FB338" s="1071">
        <f>EX338+EY338+FA338</f>
        <v>221</v>
      </c>
      <c r="FC338" s="1071">
        <v>102</v>
      </c>
      <c r="FD338" s="1071">
        <f>FA338+FC338</f>
        <v>180</v>
      </c>
      <c r="FE338" s="1072">
        <f>EX338+EY338+FA338+FC338</f>
        <v>323</v>
      </c>
      <c r="FF338" s="1071">
        <v>73</v>
      </c>
      <c r="FG338" s="1071">
        <f>FH338-FF338</f>
        <v>86</v>
      </c>
      <c r="FH338" s="1071">
        <v>159</v>
      </c>
      <c r="FI338" s="1071">
        <f>FJ338-FH338</f>
        <v>90</v>
      </c>
      <c r="FJ338" s="1071">
        <v>249</v>
      </c>
      <c r="FK338" s="1071">
        <f>FM338-FJ338</f>
        <v>116</v>
      </c>
      <c r="FL338" s="1071">
        <f>FI338+FK338</f>
        <v>206</v>
      </c>
      <c r="FM338" s="1072">
        <v>365</v>
      </c>
      <c r="FN338" s="1071">
        <v>116</v>
      </c>
      <c r="FO338" s="1071">
        <f>FP338-FN338</f>
        <v>120</v>
      </c>
      <c r="FP338" s="1071">
        <v>236</v>
      </c>
      <c r="FQ338" s="1071">
        <f>FR338-FP338</f>
        <v>128</v>
      </c>
      <c r="FR338" s="1071">
        <v>364</v>
      </c>
      <c r="FS338" s="1071">
        <f>FU338-FR338</f>
        <v>133</v>
      </c>
      <c r="FT338" s="1071">
        <f>FQ338+FS338</f>
        <v>261</v>
      </c>
      <c r="FU338" s="1071">
        <v>497</v>
      </c>
      <c r="FV338" s="1177">
        <v>154</v>
      </c>
      <c r="FW338" s="1071">
        <f>FX338-FV338</f>
        <v>140</v>
      </c>
      <c r="FX338" s="1071">
        <v>294</v>
      </c>
      <c r="FY338" s="1071">
        <f>FZ338-FX338</f>
        <v>130</v>
      </c>
      <c r="FZ338" s="1071">
        <v>424</v>
      </c>
      <c r="GA338" s="1071">
        <f>GC338-FZ338</f>
        <v>136</v>
      </c>
      <c r="GB338" s="1071">
        <f>FY338+GA338</f>
        <v>266</v>
      </c>
      <c r="GC338" s="1072">
        <v>560</v>
      </c>
      <c r="GD338" s="1071"/>
      <c r="GE338" s="1071"/>
      <c r="GF338" s="1071"/>
      <c r="GG338" s="1071"/>
      <c r="GH338" s="1071"/>
      <c r="GI338" s="1071"/>
      <c r="GJ338" s="1071"/>
      <c r="GK338" s="1072"/>
      <c r="GL338" s="1071"/>
      <c r="GM338" s="1071"/>
      <c r="GN338" s="1071"/>
      <c r="GO338" s="1071"/>
      <c r="GP338" s="1071"/>
      <c r="GQ338" s="1071"/>
      <c r="GR338" s="1071"/>
      <c r="GS338" s="1072"/>
      <c r="GT338" s="1071"/>
      <c r="GU338" s="1071"/>
      <c r="GV338" s="1071"/>
      <c r="GW338" s="1071"/>
      <c r="GX338" s="1071"/>
      <c r="GY338" s="1071"/>
      <c r="GZ338" s="1071"/>
      <c r="HA338" s="1072"/>
      <c r="HB338" s="1071"/>
      <c r="HC338" s="1071"/>
      <c r="HD338" s="1071"/>
      <c r="HE338" s="1071"/>
      <c r="HF338" s="1071"/>
      <c r="HG338" s="1071"/>
      <c r="HH338" s="1071"/>
      <c r="HI338" s="1072"/>
      <c r="HJ338" s="1071"/>
      <c r="HK338" s="1071"/>
      <c r="HL338" s="1071"/>
      <c r="HM338" s="1071"/>
      <c r="HN338" s="1071"/>
      <c r="HO338" s="1071"/>
      <c r="HP338" s="1071"/>
      <c r="HQ338" s="1072"/>
      <c r="HR338" s="1071"/>
      <c r="HS338" s="1071"/>
      <c r="HT338" s="1071"/>
      <c r="HU338" s="1071"/>
      <c r="HV338" s="1071"/>
      <c r="HW338" s="1071"/>
      <c r="HX338" s="1071"/>
      <c r="HY338" s="1071"/>
      <c r="HZ338" s="1071"/>
      <c r="IA338" s="1071"/>
      <c r="IB338" s="1071"/>
      <c r="IC338" s="1071"/>
      <c r="ID338" s="1071"/>
      <c r="IE338" s="1071"/>
      <c r="IF338" s="1071"/>
      <c r="IG338" s="1072"/>
      <c r="IH338" s="1071"/>
      <c r="II338" s="1071"/>
      <c r="IJ338" s="1071"/>
      <c r="IK338" s="1071"/>
      <c r="IL338" s="1071"/>
      <c r="IM338" s="1071"/>
      <c r="IN338" s="1071"/>
      <c r="IO338" s="1072"/>
      <c r="IP338" s="1071"/>
      <c r="IQ338" s="1071"/>
      <c r="IR338" s="1071"/>
      <c r="IS338" s="1071"/>
      <c r="IT338" s="1071"/>
      <c r="IU338" s="1071"/>
      <c r="IV338" s="1071"/>
      <c r="IW338" s="1071"/>
      <c r="IX338" s="1104"/>
      <c r="IY338" s="1049"/>
      <c r="IZ338" s="1049"/>
      <c r="JA338" s="1049"/>
      <c r="JB338" s="1049"/>
      <c r="JC338" s="1049"/>
      <c r="JD338" s="1041"/>
      <c r="JE338" s="1037"/>
      <c r="JF338" s="1037"/>
      <c r="JG338" s="1037"/>
      <c r="JH338" s="1037"/>
      <c r="JI338" s="1035"/>
      <c r="JJ338" s="1035"/>
      <c r="JK338" s="1035"/>
      <c r="JL338" s="1035"/>
      <c r="JM338" s="1035"/>
      <c r="JN338" s="1035"/>
      <c r="JO338" s="1035"/>
      <c r="JP338" s="1035"/>
      <c r="JQ338" s="1035"/>
      <c r="JR338" s="1035"/>
      <c r="JS338" s="1035"/>
      <c r="JT338" s="1035"/>
      <c r="JU338" s="1035"/>
      <c r="JV338" s="1035"/>
      <c r="JW338" s="1035"/>
      <c r="JX338" s="1035"/>
      <c r="JY338" s="1035"/>
      <c r="KP338" s="1117"/>
      <c r="LV338" s="967"/>
    </row>
    <row r="339" spans="1:334">
      <c r="A339" s="967" t="s">
        <v>61</v>
      </c>
      <c r="AX339" s="1059"/>
      <c r="BE339" s="1060"/>
      <c r="BN339" s="1059"/>
      <c r="BU339" s="1060"/>
      <c r="BV339" s="1059"/>
      <c r="CC339" s="1060"/>
      <c r="CD339" s="1059"/>
      <c r="CJ339" s="1061"/>
      <c r="CK339" s="1060"/>
      <c r="CL339" s="1059"/>
      <c r="CS339" s="1060"/>
      <c r="CT339" s="1059"/>
      <c r="CW339" s="1062"/>
      <c r="CX339" s="1062"/>
      <c r="DE339" s="1064"/>
      <c r="DF339" s="1064"/>
      <c r="DM339" s="1064"/>
      <c r="DN339" s="1064"/>
      <c r="DU339" s="1064"/>
      <c r="DV339" s="1064"/>
      <c r="EC339" s="1064"/>
      <c r="ED339" s="1064"/>
      <c r="EH339" s="1181"/>
      <c r="EI339" s="1181"/>
      <c r="EJ339" s="1181"/>
      <c r="EK339" s="1181"/>
      <c r="EL339" s="1181"/>
      <c r="EM339" s="1181"/>
      <c r="EN339" s="1181"/>
      <c r="EO339" s="1182"/>
      <c r="EP339" s="1181"/>
      <c r="EQ339" s="1181"/>
      <c r="ER339" s="1181"/>
      <c r="ES339" s="1181"/>
      <c r="ET339" s="1181"/>
      <c r="EU339" s="1181"/>
      <c r="EV339" s="1181"/>
      <c r="EW339" s="1182"/>
      <c r="EX339" s="1094"/>
      <c r="EY339" s="1094"/>
      <c r="EZ339" s="1094"/>
      <c r="FA339" s="1094"/>
      <c r="FB339" s="1094"/>
      <c r="FC339" s="1094"/>
      <c r="FD339" s="1094"/>
      <c r="FE339" s="1093"/>
      <c r="FF339" s="1094">
        <f t="shared" ref="FF339:FN339" si="1833">FF338/EX338-1</f>
        <v>0.216666666666667</v>
      </c>
      <c r="FG339" s="1094">
        <f t="shared" si="1833"/>
        <v>0.036144578313253</v>
      </c>
      <c r="FH339" s="1094">
        <f t="shared" si="1833"/>
        <v>0.111888111888112</v>
      </c>
      <c r="FI339" s="1094">
        <f t="shared" si="1833"/>
        <v>0.153846153846154</v>
      </c>
      <c r="FJ339" s="1094">
        <f t="shared" si="1833"/>
        <v>0.126696832579186</v>
      </c>
      <c r="FK339" s="1094">
        <f t="shared" si="1833"/>
        <v>0.137254901960784</v>
      </c>
      <c r="FL339" s="1094">
        <f t="shared" si="1833"/>
        <v>0.144444444444444</v>
      </c>
      <c r="FM339" s="1093">
        <f t="shared" si="1833"/>
        <v>0.130030959752322</v>
      </c>
      <c r="FN339" s="1094">
        <f t="shared" si="1833"/>
        <v>0.589041095890411</v>
      </c>
      <c r="FO339" s="1094">
        <f t="shared" ref="FO339:FX339" si="1834">FO338/FG338-1</f>
        <v>0.395348837209302</v>
      </c>
      <c r="FP339" s="1094">
        <f t="shared" si="1834"/>
        <v>0.484276729559748</v>
      </c>
      <c r="FQ339" s="1094">
        <f t="shared" si="1834"/>
        <v>0.422222222222222</v>
      </c>
      <c r="FR339" s="1094">
        <f t="shared" si="1834"/>
        <v>0.461847389558233</v>
      </c>
      <c r="FS339" s="1094">
        <f t="shared" si="1834"/>
        <v>0.146551724137931</v>
      </c>
      <c r="FT339" s="1094">
        <f t="shared" si="1834"/>
        <v>0.266990291262136</v>
      </c>
      <c r="FU339" s="1094">
        <f t="shared" si="1834"/>
        <v>0.361643835616438</v>
      </c>
      <c r="FV339" s="1275">
        <f t="shared" si="1834"/>
        <v>0.327586206896552</v>
      </c>
      <c r="FW339" s="1094">
        <f t="shared" si="1834"/>
        <v>0.166666666666667</v>
      </c>
      <c r="FX339" s="1094">
        <f t="shared" si="1834"/>
        <v>0.245762711864407</v>
      </c>
      <c r="FY339" s="1094">
        <f t="shared" ref="FY339" si="1835">FY338/FQ338-1</f>
        <v>0.015625</v>
      </c>
      <c r="FZ339" s="1094">
        <f t="shared" ref="FZ339" si="1836">FZ338/FR338-1</f>
        <v>0.164835164835165</v>
      </c>
      <c r="GA339" s="1094">
        <f t="shared" ref="GA339" si="1837">GA338/FS338-1</f>
        <v>0.0225563909774436</v>
      </c>
      <c r="GB339" s="1094">
        <f t="shared" ref="GB339" si="1838">GB338/FT338-1</f>
        <v>0.0191570881226053</v>
      </c>
      <c r="GC339" s="1093">
        <f t="shared" ref="GC339" si="1839">GC338/FU338-1</f>
        <v>0.126760563380282</v>
      </c>
      <c r="GD339" s="1094"/>
      <c r="GE339" s="1094"/>
      <c r="GF339" s="1094"/>
      <c r="GG339" s="1094"/>
      <c r="GH339" s="1094"/>
      <c r="GI339" s="1094"/>
      <c r="GJ339" s="1094"/>
      <c r="GK339" s="1093"/>
      <c r="GL339" s="1094"/>
      <c r="GM339" s="1094"/>
      <c r="GN339" s="1094"/>
      <c r="GO339" s="1094"/>
      <c r="GP339" s="1094"/>
      <c r="GQ339" s="1094"/>
      <c r="GR339" s="1094"/>
      <c r="GS339" s="1093"/>
      <c r="GT339" s="1094"/>
      <c r="GU339" s="1094"/>
      <c r="GV339" s="1094"/>
      <c r="GW339" s="1094"/>
      <c r="GX339" s="1094"/>
      <c r="GY339" s="1094"/>
      <c r="GZ339" s="1094"/>
      <c r="HA339" s="1093"/>
      <c r="HB339" s="1094"/>
      <c r="HC339" s="1094"/>
      <c r="HD339" s="1094"/>
      <c r="HE339" s="1094"/>
      <c r="HF339" s="1094"/>
      <c r="HG339" s="1094"/>
      <c r="HH339" s="1094"/>
      <c r="HI339" s="1093"/>
      <c r="HJ339" s="1094"/>
      <c r="HK339" s="1094"/>
      <c r="HL339" s="1094"/>
      <c r="HM339" s="1094"/>
      <c r="HN339" s="1094"/>
      <c r="HO339" s="1094"/>
      <c r="HP339" s="1094"/>
      <c r="HQ339" s="1093"/>
      <c r="HR339" s="1094"/>
      <c r="HS339" s="1094"/>
      <c r="HT339" s="1094"/>
      <c r="HU339" s="1094"/>
      <c r="HV339" s="1094"/>
      <c r="HW339" s="1094"/>
      <c r="HX339" s="1094"/>
      <c r="HY339" s="1094"/>
      <c r="HZ339" s="1094"/>
      <c r="IA339" s="1094"/>
      <c r="IB339" s="1094"/>
      <c r="IC339" s="1094"/>
      <c r="ID339" s="1094"/>
      <c r="IE339" s="1094"/>
      <c r="IF339" s="1094"/>
      <c r="IG339" s="1093"/>
      <c r="IH339" s="1094"/>
      <c r="II339" s="1094"/>
      <c r="IJ339" s="1094"/>
      <c r="IK339" s="1094"/>
      <c r="IL339" s="1094"/>
      <c r="IM339" s="1094"/>
      <c r="IN339" s="1094"/>
      <c r="IO339" s="1093"/>
      <c r="IP339" s="1094"/>
      <c r="IQ339" s="1094"/>
      <c r="IR339" s="1094"/>
      <c r="IS339" s="1094"/>
      <c r="IT339" s="1094"/>
      <c r="IU339" s="1094"/>
      <c r="IV339" s="1094"/>
      <c r="IW339" s="1094"/>
      <c r="IX339" s="1104"/>
      <c r="IY339" s="1049"/>
      <c r="IZ339" s="1049"/>
      <c r="JA339" s="1049"/>
      <c r="JB339" s="1049"/>
      <c r="JC339" s="1049"/>
      <c r="JD339" s="1041"/>
      <c r="JE339" s="1037"/>
      <c r="JF339" s="1037"/>
      <c r="JG339" s="1037"/>
      <c r="JH339" s="1037"/>
      <c r="JI339" s="1035"/>
      <c r="JJ339" s="1035"/>
      <c r="JK339" s="1035"/>
      <c r="JL339" s="1035"/>
      <c r="JM339" s="1035"/>
      <c r="JN339" s="1035"/>
      <c r="JO339" s="1035"/>
      <c r="JP339" s="1035"/>
      <c r="JQ339" s="1035"/>
      <c r="JR339" s="1035"/>
      <c r="JS339" s="1035"/>
      <c r="JT339" s="1035"/>
      <c r="JU339" s="1035"/>
      <c r="JV339" s="1035"/>
      <c r="JW339" s="1035"/>
      <c r="JX339" s="1035"/>
      <c r="JY339" s="1035"/>
      <c r="KP339" s="1117"/>
      <c r="LV339" s="967"/>
    </row>
    <row r="340" spans="1:334">
      <c r="A340" s="967" t="s">
        <v>128</v>
      </c>
      <c r="AX340" s="1059"/>
      <c r="BE340" s="1060"/>
      <c r="BN340" s="1059"/>
      <c r="BU340" s="1060"/>
      <c r="BV340" s="1059"/>
      <c r="CC340" s="1060"/>
      <c r="CD340" s="1059"/>
      <c r="CJ340" s="1061"/>
      <c r="CK340" s="1060"/>
      <c r="CL340" s="1059"/>
      <c r="CS340" s="1060"/>
      <c r="CT340" s="1059"/>
      <c r="CW340" s="1062"/>
      <c r="CX340" s="1062"/>
      <c r="DE340" s="1064"/>
      <c r="DF340" s="1064"/>
      <c r="DM340" s="1064"/>
      <c r="DN340" s="1064"/>
      <c r="DU340" s="1064"/>
      <c r="DV340" s="1064"/>
      <c r="EC340" s="1064"/>
      <c r="ED340" s="1064"/>
      <c r="EH340" s="1181"/>
      <c r="EI340" s="1181"/>
      <c r="EJ340" s="1181"/>
      <c r="EK340" s="1181"/>
      <c r="EL340" s="1181"/>
      <c r="EM340" s="1181"/>
      <c r="EN340" s="1181"/>
      <c r="EO340" s="1182"/>
      <c r="EP340" s="1181"/>
      <c r="EQ340" s="1181"/>
      <c r="ER340" s="1181"/>
      <c r="ES340" s="1181"/>
      <c r="ET340" s="1181"/>
      <c r="EU340" s="1181"/>
      <c r="EV340" s="1181"/>
      <c r="EW340" s="1182"/>
      <c r="EX340" s="1094">
        <f>EX338/EX$250</f>
        <v>0.431654676258993</v>
      </c>
      <c r="EY340" s="1094">
        <f t="shared" ref="EY340:FK340" si="1840">EY338/EY$250</f>
        <v>0.458563535911602</v>
      </c>
      <c r="EZ340" s="1094">
        <f t="shared" si="1840"/>
        <v>0.446875</v>
      </c>
      <c r="FA340" s="1094">
        <f t="shared" si="1840"/>
        <v>0.450867052023121</v>
      </c>
      <c r="FB340" s="1094">
        <f t="shared" si="1840"/>
        <v>0.448275862068966</v>
      </c>
      <c r="FC340" s="1094">
        <f t="shared" si="1840"/>
        <v>0.406374501992032</v>
      </c>
      <c r="FD340" s="1094">
        <f t="shared" si="1840"/>
        <v>0.424528301886792</v>
      </c>
      <c r="FE340" s="1093">
        <f t="shared" si="1840"/>
        <v>0.434139784946237</v>
      </c>
      <c r="FF340" s="1094">
        <f t="shared" si="1840"/>
        <v>0.470967741935484</v>
      </c>
      <c r="FG340" s="1094">
        <f t="shared" si="1840"/>
        <v>0.48314606741573</v>
      </c>
      <c r="FH340" s="1094">
        <f t="shared" si="1840"/>
        <v>0.477477477477477</v>
      </c>
      <c r="FI340" s="1094">
        <f t="shared" si="1840"/>
        <v>0.483870967741935</v>
      </c>
      <c r="FJ340" s="1094">
        <f t="shared" si="1840"/>
        <v>0.479768786127168</v>
      </c>
      <c r="FK340" s="1094">
        <f t="shared" si="1840"/>
        <v>0.45136186770428</v>
      </c>
      <c r="FL340" s="1094">
        <f>FL338/FL189</f>
        <v>0.465011286681716</v>
      </c>
      <c r="FM340" s="1093">
        <f>FM338/FM189</f>
        <v>0.470360824742268</v>
      </c>
      <c r="FN340" s="1094">
        <f t="shared" ref="FN340:FS340" si="1841">FN338/FN$250</f>
        <v>0.491525423728814</v>
      </c>
      <c r="FO340" s="1094">
        <f t="shared" si="1841"/>
        <v>0.508474576271186</v>
      </c>
      <c r="FP340" s="1094">
        <f t="shared" si="1841"/>
        <v>0.5</v>
      </c>
      <c r="FQ340" s="1094">
        <f t="shared" si="1841"/>
        <v>0.484848484848485</v>
      </c>
      <c r="FR340" s="1094">
        <f t="shared" si="1841"/>
        <v>0.494565217391304</v>
      </c>
      <c r="FS340" s="1094">
        <f t="shared" si="1841"/>
        <v>0.490774907749078</v>
      </c>
      <c r="FT340" s="1094">
        <f>FT338/FT189</f>
        <v>0.48785046728972</v>
      </c>
      <c r="FU340" s="1094">
        <f>FU338/FU189</f>
        <v>0.493545183714002</v>
      </c>
      <c r="FV340" s="1275">
        <f>FV338/FV$250</f>
        <v>0.511627906976744</v>
      </c>
      <c r="FW340" s="1094">
        <f>FW338/FW$250</f>
        <v>0.53639846743295</v>
      </c>
      <c r="FX340" s="1094">
        <f>FX338/FX$250</f>
        <v>0.523131672597865</v>
      </c>
      <c r="FY340" s="1094">
        <f t="shared" ref="FY340:GA340" si="1842">FY338/FY$250</f>
        <v>0.534979423868313</v>
      </c>
      <c r="FZ340" s="1094">
        <f t="shared" si="1842"/>
        <v>0.526708074534161</v>
      </c>
      <c r="GA340" s="1094">
        <f t="shared" si="1842"/>
        <v>0.541832669322709</v>
      </c>
      <c r="GB340" s="1094">
        <f>GB338/GB189</f>
        <v>0.538461538461538</v>
      </c>
      <c r="GC340" s="1093">
        <f>GC338/GC189</f>
        <v>0.53030303030303</v>
      </c>
      <c r="GD340" s="1094"/>
      <c r="GE340" s="1094"/>
      <c r="GF340" s="1094"/>
      <c r="GG340" s="1094"/>
      <c r="GH340" s="1094"/>
      <c r="GI340" s="1094"/>
      <c r="GJ340" s="1094"/>
      <c r="GK340" s="1093"/>
      <c r="GL340" s="1094"/>
      <c r="GM340" s="1094"/>
      <c r="GN340" s="1094"/>
      <c r="GO340" s="1094"/>
      <c r="GP340" s="1094"/>
      <c r="GQ340" s="1094"/>
      <c r="GR340" s="1094"/>
      <c r="GS340" s="1093"/>
      <c r="GT340" s="1094"/>
      <c r="GU340" s="1094"/>
      <c r="GV340" s="1094"/>
      <c r="GW340" s="1094"/>
      <c r="GX340" s="1094"/>
      <c r="GY340" s="1094"/>
      <c r="GZ340" s="1094"/>
      <c r="HA340" s="1093"/>
      <c r="HB340" s="1094"/>
      <c r="HC340" s="1094"/>
      <c r="HD340" s="1094"/>
      <c r="HE340" s="1094"/>
      <c r="HF340" s="1094"/>
      <c r="HG340" s="1094"/>
      <c r="HH340" s="1094"/>
      <c r="HI340" s="1093"/>
      <c r="HJ340" s="1094"/>
      <c r="HK340" s="1094"/>
      <c r="HL340" s="1094"/>
      <c r="HM340" s="1094"/>
      <c r="HN340" s="1094"/>
      <c r="HO340" s="1094"/>
      <c r="HP340" s="1094"/>
      <c r="HQ340" s="1093"/>
      <c r="HR340" s="1094"/>
      <c r="HS340" s="1094"/>
      <c r="HT340" s="1094"/>
      <c r="HU340" s="1094"/>
      <c r="HV340" s="1094"/>
      <c r="HW340" s="1094"/>
      <c r="HX340" s="1094"/>
      <c r="HY340" s="1094"/>
      <c r="HZ340" s="1094"/>
      <c r="IA340" s="1094"/>
      <c r="IB340" s="1094"/>
      <c r="IC340" s="1094"/>
      <c r="ID340" s="1094"/>
      <c r="IE340" s="1094"/>
      <c r="IF340" s="1094"/>
      <c r="IG340" s="1093"/>
      <c r="IH340" s="1094"/>
      <c r="II340" s="1094"/>
      <c r="IJ340" s="1094"/>
      <c r="IK340" s="1094"/>
      <c r="IL340" s="1094"/>
      <c r="IM340" s="1094"/>
      <c r="IN340" s="1094"/>
      <c r="IO340" s="1093"/>
      <c r="IP340" s="1094"/>
      <c r="IQ340" s="1094"/>
      <c r="IR340" s="1094"/>
      <c r="IS340" s="1094"/>
      <c r="IT340" s="1094"/>
      <c r="IU340" s="1094"/>
      <c r="IV340" s="1094"/>
      <c r="IW340" s="1094"/>
      <c r="IX340" s="1104"/>
      <c r="IY340" s="1049"/>
      <c r="IZ340" s="1049"/>
      <c r="JA340" s="1049"/>
      <c r="JB340" s="1049"/>
      <c r="JC340" s="1049"/>
      <c r="JD340" s="1041"/>
      <c r="JE340" s="1037"/>
      <c r="JF340" s="1037"/>
      <c r="JG340" s="1037"/>
      <c r="JH340" s="1037"/>
      <c r="JI340" s="1035"/>
      <c r="JJ340" s="1035"/>
      <c r="JK340" s="1035"/>
      <c r="JL340" s="1035"/>
      <c r="JM340" s="1035"/>
      <c r="JN340" s="1035"/>
      <c r="JO340" s="1035"/>
      <c r="JP340" s="1035"/>
      <c r="JQ340" s="1035"/>
      <c r="JR340" s="1035"/>
      <c r="JS340" s="1035"/>
      <c r="JT340" s="1035"/>
      <c r="JU340" s="1035"/>
      <c r="JV340" s="1035"/>
      <c r="JW340" s="1035"/>
      <c r="JX340" s="1035"/>
      <c r="JY340" s="1035"/>
      <c r="KP340" s="1117"/>
      <c r="LV340" s="967"/>
    </row>
    <row r="341" spans="1:334">
      <c r="A341" s="967" t="s">
        <v>129</v>
      </c>
      <c r="AX341" s="1059"/>
      <c r="BE341" s="1060"/>
      <c r="BN341" s="1059"/>
      <c r="BU341" s="1060"/>
      <c r="BV341" s="1059"/>
      <c r="CC341" s="1060"/>
      <c r="CD341" s="1059"/>
      <c r="CJ341" s="1061"/>
      <c r="CK341" s="1060"/>
      <c r="CL341" s="1059"/>
      <c r="CS341" s="1060"/>
      <c r="CT341" s="1059"/>
      <c r="CW341" s="1062"/>
      <c r="CX341" s="1062"/>
      <c r="DE341" s="1064"/>
      <c r="DF341" s="1064"/>
      <c r="DM341" s="1064"/>
      <c r="DN341" s="1064"/>
      <c r="DU341" s="1064"/>
      <c r="DV341" s="1064"/>
      <c r="EC341" s="1064"/>
      <c r="ED341" s="1064"/>
      <c r="EH341" s="1181"/>
      <c r="EI341" s="1181"/>
      <c r="EJ341" s="1181"/>
      <c r="EK341" s="1181"/>
      <c r="EL341" s="1181"/>
      <c r="EM341" s="1181"/>
      <c r="EN341" s="1181"/>
      <c r="EO341" s="1182"/>
      <c r="EP341" s="1181"/>
      <c r="EQ341" s="1181"/>
      <c r="ER341" s="1181"/>
      <c r="ES341" s="1181"/>
      <c r="ET341" s="1181"/>
      <c r="EU341" s="1181"/>
      <c r="EV341" s="1181"/>
      <c r="EW341" s="1182"/>
      <c r="EX341" s="1148">
        <f>EX338-EX344</f>
        <v>45</v>
      </c>
      <c r="EY341" s="1148">
        <f t="shared" ref="EY341:FE341" si="1843">EY338-EY344</f>
        <v>52</v>
      </c>
      <c r="EZ341" s="1148">
        <f t="shared" si="1843"/>
        <v>97</v>
      </c>
      <c r="FA341" s="1148">
        <f t="shared" si="1843"/>
        <v>50</v>
      </c>
      <c r="FB341" s="1148">
        <f t="shared" si="1843"/>
        <v>147</v>
      </c>
      <c r="FC341" s="1148">
        <f t="shared" si="1843"/>
        <v>55</v>
      </c>
      <c r="FD341" s="1148">
        <f t="shared" si="1843"/>
        <v>105</v>
      </c>
      <c r="FE341" s="1149">
        <f t="shared" si="1843"/>
        <v>202</v>
      </c>
      <c r="FF341" s="1148">
        <f t="shared" ref="FF341:FR341" si="1844">FF338-FF344</f>
        <v>49</v>
      </c>
      <c r="FG341" s="1148">
        <f t="shared" si="1844"/>
        <v>56</v>
      </c>
      <c r="FH341" s="1148">
        <f t="shared" si="1844"/>
        <v>105</v>
      </c>
      <c r="FI341" s="1148">
        <f t="shared" si="1844"/>
        <v>54</v>
      </c>
      <c r="FJ341" s="1148">
        <f t="shared" si="1844"/>
        <v>159</v>
      </c>
      <c r="FK341" s="1148">
        <f t="shared" si="1844"/>
        <v>59</v>
      </c>
      <c r="FL341" s="1148">
        <f t="shared" si="1844"/>
        <v>113</v>
      </c>
      <c r="FM341" s="1149">
        <f t="shared" si="1844"/>
        <v>218</v>
      </c>
      <c r="FN341" s="1148">
        <f t="shared" si="1844"/>
        <v>66</v>
      </c>
      <c r="FO341" s="1148">
        <f t="shared" si="1844"/>
        <v>69</v>
      </c>
      <c r="FP341" s="1148">
        <f t="shared" si="1844"/>
        <v>135</v>
      </c>
      <c r="FQ341" s="1148">
        <f t="shared" si="1844"/>
        <v>72</v>
      </c>
      <c r="FR341" s="1148">
        <f t="shared" si="1844"/>
        <v>207</v>
      </c>
      <c r="FS341" s="1148">
        <f t="shared" ref="FS341:FZ341" si="1845">FS338-FS344</f>
        <v>83</v>
      </c>
      <c r="FT341" s="1148">
        <f t="shared" si="1845"/>
        <v>155</v>
      </c>
      <c r="FU341" s="1148">
        <f t="shared" si="1845"/>
        <v>290</v>
      </c>
      <c r="FV341" s="1151">
        <f t="shared" si="1845"/>
        <v>73</v>
      </c>
      <c r="FW341" s="1148">
        <f t="shared" si="1845"/>
        <v>73</v>
      </c>
      <c r="FX341" s="1148">
        <f t="shared" si="1845"/>
        <v>146</v>
      </c>
      <c r="FY341" s="1148">
        <f t="shared" si="1845"/>
        <v>69</v>
      </c>
      <c r="FZ341" s="1148">
        <f t="shared" si="1845"/>
        <v>215</v>
      </c>
      <c r="GA341" s="1148">
        <f t="shared" ref="GA341:GC341" si="1846">GA338-GA344</f>
        <v>79</v>
      </c>
      <c r="GB341" s="1148">
        <f t="shared" si="1846"/>
        <v>148</v>
      </c>
      <c r="GC341" s="1149">
        <f t="shared" si="1846"/>
        <v>294</v>
      </c>
      <c r="GD341" s="1148"/>
      <c r="GE341" s="1148"/>
      <c r="GF341" s="1148"/>
      <c r="GG341" s="1148"/>
      <c r="GH341" s="1148"/>
      <c r="GI341" s="1148"/>
      <c r="GJ341" s="1148"/>
      <c r="GK341" s="1149"/>
      <c r="GL341" s="1148"/>
      <c r="GM341" s="1148"/>
      <c r="GN341" s="1148"/>
      <c r="GO341" s="1148"/>
      <c r="GP341" s="1148"/>
      <c r="GQ341" s="1148"/>
      <c r="GR341" s="1148"/>
      <c r="GS341" s="1149"/>
      <c r="GT341" s="1148"/>
      <c r="GU341" s="1148"/>
      <c r="GV341" s="1148"/>
      <c r="GW341" s="1148"/>
      <c r="GX341" s="1148"/>
      <c r="GY341" s="1148"/>
      <c r="GZ341" s="1148"/>
      <c r="HA341" s="1149"/>
      <c r="HB341" s="1148"/>
      <c r="HC341" s="1148"/>
      <c r="HD341" s="1148"/>
      <c r="HE341" s="1148"/>
      <c r="HF341" s="1148"/>
      <c r="HG341" s="1148"/>
      <c r="HH341" s="1148"/>
      <c r="HI341" s="1149"/>
      <c r="HJ341" s="1148"/>
      <c r="HK341" s="1148"/>
      <c r="HL341" s="1148"/>
      <c r="HM341" s="1148"/>
      <c r="HN341" s="1148"/>
      <c r="HO341" s="1148"/>
      <c r="HP341" s="1148"/>
      <c r="HQ341" s="1149"/>
      <c r="HR341" s="1148"/>
      <c r="HS341" s="1148"/>
      <c r="HT341" s="1148"/>
      <c r="HU341" s="1148"/>
      <c r="HV341" s="1148"/>
      <c r="HW341" s="1148"/>
      <c r="HX341" s="1148"/>
      <c r="HY341" s="1148"/>
      <c r="HZ341" s="1148"/>
      <c r="IA341" s="1148"/>
      <c r="IB341" s="1148"/>
      <c r="IC341" s="1148"/>
      <c r="ID341" s="1148"/>
      <c r="IE341" s="1148"/>
      <c r="IF341" s="1148"/>
      <c r="IG341" s="1149"/>
      <c r="IH341" s="1148"/>
      <c r="II341" s="1148"/>
      <c r="IJ341" s="1148"/>
      <c r="IK341" s="1148"/>
      <c r="IL341" s="1148"/>
      <c r="IM341" s="1148"/>
      <c r="IN341" s="1148"/>
      <c r="IO341" s="1149"/>
      <c r="IP341" s="1148"/>
      <c r="IQ341" s="1148"/>
      <c r="IR341" s="1148"/>
      <c r="IS341" s="1148"/>
      <c r="IT341" s="1148"/>
      <c r="IU341" s="1148"/>
      <c r="IV341" s="1148"/>
      <c r="IW341" s="1148"/>
      <c r="IX341" s="1104"/>
      <c r="IY341" s="1049"/>
      <c r="IZ341" s="1049"/>
      <c r="JA341" s="1049"/>
      <c r="JB341" s="1049"/>
      <c r="JC341" s="1049"/>
      <c r="JD341" s="1041"/>
      <c r="JE341" s="1037"/>
      <c r="JF341" s="1037"/>
      <c r="JG341" s="1037"/>
      <c r="JH341" s="1037"/>
      <c r="JI341" s="1035"/>
      <c r="JJ341" s="1035"/>
      <c r="JK341" s="1035"/>
      <c r="JL341" s="1035"/>
      <c r="JM341" s="1035"/>
      <c r="JN341" s="1035"/>
      <c r="JO341" s="1035"/>
      <c r="JP341" s="1035"/>
      <c r="JQ341" s="1035"/>
      <c r="JR341" s="1035"/>
      <c r="JS341" s="1035"/>
      <c r="JT341" s="1035"/>
      <c r="JU341" s="1035"/>
      <c r="JV341" s="1035"/>
      <c r="JW341" s="1035"/>
      <c r="JX341" s="1035"/>
      <c r="JY341" s="1035"/>
      <c r="KP341" s="1117"/>
      <c r="LV341" s="967"/>
    </row>
    <row r="342" spans="1:334">
      <c r="A342" s="967" t="s">
        <v>61</v>
      </c>
      <c r="AX342" s="1059"/>
      <c r="BE342" s="1060"/>
      <c r="BN342" s="1059"/>
      <c r="BU342" s="1060"/>
      <c r="BV342" s="1059"/>
      <c r="CC342" s="1060"/>
      <c r="CD342" s="1059"/>
      <c r="CJ342" s="1061"/>
      <c r="CK342" s="1060"/>
      <c r="CL342" s="1059"/>
      <c r="CS342" s="1060"/>
      <c r="CT342" s="1059"/>
      <c r="CW342" s="1062"/>
      <c r="CX342" s="1062"/>
      <c r="DE342" s="1064"/>
      <c r="DF342" s="1064"/>
      <c r="DM342" s="1064"/>
      <c r="DN342" s="1064"/>
      <c r="DU342" s="1064"/>
      <c r="DV342" s="1064"/>
      <c r="EC342" s="1064"/>
      <c r="ED342" s="1064"/>
      <c r="EH342" s="1181"/>
      <c r="EI342" s="1181"/>
      <c r="EJ342" s="1181"/>
      <c r="EK342" s="1181"/>
      <c r="EL342" s="1181"/>
      <c r="EM342" s="1181"/>
      <c r="EN342" s="1181"/>
      <c r="EO342" s="1182"/>
      <c r="EP342" s="1181"/>
      <c r="EQ342" s="1181"/>
      <c r="ER342" s="1181"/>
      <c r="ES342" s="1181"/>
      <c r="ET342" s="1181"/>
      <c r="EU342" s="1181"/>
      <c r="EV342" s="1181"/>
      <c r="EW342" s="1182"/>
      <c r="EX342" s="1094"/>
      <c r="EY342" s="1094"/>
      <c r="EZ342" s="1094"/>
      <c r="FA342" s="1094"/>
      <c r="FB342" s="1094"/>
      <c r="FC342" s="1094"/>
      <c r="FD342" s="1094"/>
      <c r="FE342" s="1093"/>
      <c r="FF342" s="1094">
        <f t="shared" ref="FF342:FR342" si="1847">FF341/EX341-1</f>
        <v>0.0888888888888888</v>
      </c>
      <c r="FG342" s="1094">
        <f t="shared" si="1847"/>
        <v>0.0769230769230769</v>
      </c>
      <c r="FH342" s="1094">
        <f t="shared" si="1847"/>
        <v>0.0824742268041236</v>
      </c>
      <c r="FI342" s="1094">
        <f t="shared" si="1847"/>
        <v>0.0800000000000001</v>
      </c>
      <c r="FJ342" s="1094">
        <f t="shared" si="1847"/>
        <v>0.0816326530612246</v>
      </c>
      <c r="FK342" s="1094">
        <f t="shared" si="1847"/>
        <v>0.0727272727272728</v>
      </c>
      <c r="FL342" s="1094">
        <f t="shared" si="1847"/>
        <v>0.0761904761904761</v>
      </c>
      <c r="FM342" s="1093">
        <f t="shared" si="1847"/>
        <v>0.0792079207920793</v>
      </c>
      <c r="FN342" s="1094">
        <f t="shared" si="1847"/>
        <v>0.346938775510204</v>
      </c>
      <c r="FO342" s="1094">
        <f t="shared" si="1847"/>
        <v>0.232142857142857</v>
      </c>
      <c r="FP342" s="1094">
        <f t="shared" si="1847"/>
        <v>0.285714285714286</v>
      </c>
      <c r="FQ342" s="1094">
        <f t="shared" si="1847"/>
        <v>0.333333333333333</v>
      </c>
      <c r="FR342" s="1094">
        <f t="shared" si="1847"/>
        <v>0.30188679245283</v>
      </c>
      <c r="FS342" s="1094">
        <f t="shared" ref="FS342:FX342" si="1848">FS341/FK341-1</f>
        <v>0.406779661016949</v>
      </c>
      <c r="FT342" s="1094">
        <f t="shared" si="1848"/>
        <v>0.371681415929203</v>
      </c>
      <c r="FU342" s="1094">
        <f t="shared" si="1848"/>
        <v>0.330275229357798</v>
      </c>
      <c r="FV342" s="1275">
        <f t="shared" si="1848"/>
        <v>0.106060606060606</v>
      </c>
      <c r="FW342" s="1094">
        <f t="shared" si="1848"/>
        <v>0.0579710144927537</v>
      </c>
      <c r="FX342" s="1094">
        <f t="shared" si="1848"/>
        <v>0.0814814814814815</v>
      </c>
      <c r="FY342" s="1094">
        <f t="shared" ref="FY342" si="1849">FY341/FQ341-1</f>
        <v>-0.0416666666666666</v>
      </c>
      <c r="FZ342" s="1094">
        <f t="shared" ref="FZ342" si="1850">FZ341/FR341-1</f>
        <v>0.038647342995169</v>
      </c>
      <c r="GA342" s="1094">
        <f t="shared" ref="GA342" si="1851">GA341/FS341-1</f>
        <v>-0.0481927710843374</v>
      </c>
      <c r="GB342" s="1094">
        <f t="shared" ref="GB342" si="1852">GB341/FT341-1</f>
        <v>-0.0451612903225806</v>
      </c>
      <c r="GC342" s="1093">
        <f t="shared" ref="GC342" si="1853">GC341/FU341-1</f>
        <v>0.0137931034482759</v>
      </c>
      <c r="GD342" s="1094"/>
      <c r="GE342" s="1094"/>
      <c r="GF342" s="1094"/>
      <c r="GG342" s="1094"/>
      <c r="GH342" s="1094"/>
      <c r="GI342" s="1094"/>
      <c r="GJ342" s="1094"/>
      <c r="GK342" s="1093"/>
      <c r="GL342" s="1094"/>
      <c r="GM342" s="1094"/>
      <c r="GN342" s="1094"/>
      <c r="GO342" s="1094"/>
      <c r="GP342" s="1094"/>
      <c r="GQ342" s="1094"/>
      <c r="GR342" s="1094"/>
      <c r="GS342" s="1093"/>
      <c r="GT342" s="1094"/>
      <c r="GU342" s="1094"/>
      <c r="GV342" s="1094"/>
      <c r="GW342" s="1094"/>
      <c r="GX342" s="1094"/>
      <c r="GY342" s="1094"/>
      <c r="GZ342" s="1094"/>
      <c r="HA342" s="1093"/>
      <c r="HB342" s="1094"/>
      <c r="HC342" s="1094"/>
      <c r="HD342" s="1094"/>
      <c r="HE342" s="1094"/>
      <c r="HF342" s="1094"/>
      <c r="HG342" s="1094"/>
      <c r="HH342" s="1094"/>
      <c r="HI342" s="1093"/>
      <c r="HJ342" s="1094"/>
      <c r="HK342" s="1094"/>
      <c r="HL342" s="1094"/>
      <c r="HM342" s="1094"/>
      <c r="HN342" s="1094"/>
      <c r="HO342" s="1094"/>
      <c r="HP342" s="1094"/>
      <c r="HQ342" s="1093"/>
      <c r="HR342" s="1094"/>
      <c r="HS342" s="1094"/>
      <c r="HT342" s="1094"/>
      <c r="HU342" s="1094"/>
      <c r="HV342" s="1094"/>
      <c r="HW342" s="1094"/>
      <c r="HX342" s="1094"/>
      <c r="HY342" s="1094"/>
      <c r="HZ342" s="1094"/>
      <c r="IA342" s="1094"/>
      <c r="IB342" s="1094"/>
      <c r="IC342" s="1094"/>
      <c r="ID342" s="1094"/>
      <c r="IE342" s="1094"/>
      <c r="IF342" s="1094"/>
      <c r="IG342" s="1093"/>
      <c r="IH342" s="1094"/>
      <c r="II342" s="1094"/>
      <c r="IJ342" s="1094"/>
      <c r="IK342" s="1094"/>
      <c r="IL342" s="1094"/>
      <c r="IM342" s="1094"/>
      <c r="IN342" s="1094"/>
      <c r="IO342" s="1093"/>
      <c r="IP342" s="1094"/>
      <c r="IQ342" s="1094"/>
      <c r="IR342" s="1094"/>
      <c r="IS342" s="1094"/>
      <c r="IT342" s="1094"/>
      <c r="IU342" s="1094"/>
      <c r="IV342" s="1094"/>
      <c r="IW342" s="1094"/>
      <c r="IX342" s="1104"/>
      <c r="IY342" s="1049"/>
      <c r="IZ342" s="1049"/>
      <c r="JA342" s="1049"/>
      <c r="JB342" s="1049"/>
      <c r="JC342" s="1049"/>
      <c r="JD342" s="1041"/>
      <c r="JE342" s="1037"/>
      <c r="JF342" s="1037"/>
      <c r="JG342" s="1037"/>
      <c r="JH342" s="1037"/>
      <c r="JI342" s="1035"/>
      <c r="JJ342" s="1035"/>
      <c r="JK342" s="1035"/>
      <c r="JL342" s="1035"/>
      <c r="JM342" s="1035"/>
      <c r="JN342" s="1035"/>
      <c r="JO342" s="1035"/>
      <c r="JP342" s="1035"/>
      <c r="JQ342" s="1035"/>
      <c r="JR342" s="1035"/>
      <c r="JS342" s="1035"/>
      <c r="JT342" s="1035"/>
      <c r="JU342" s="1035"/>
      <c r="JV342" s="1035"/>
      <c r="JW342" s="1035"/>
      <c r="JX342" s="1035"/>
      <c r="JY342" s="1035"/>
      <c r="KP342" s="1117"/>
      <c r="LV342" s="967"/>
    </row>
    <row r="343" spans="1:334">
      <c r="A343" s="967" t="s">
        <v>130</v>
      </c>
      <c r="AX343" s="1059"/>
      <c r="BE343" s="1060"/>
      <c r="BN343" s="1059"/>
      <c r="BU343" s="1060"/>
      <c r="BV343" s="1059"/>
      <c r="CC343" s="1060"/>
      <c r="CD343" s="1059"/>
      <c r="CJ343" s="1061"/>
      <c r="CK343" s="1060"/>
      <c r="CL343" s="1059"/>
      <c r="CS343" s="1060"/>
      <c r="CT343" s="1059"/>
      <c r="CW343" s="1062"/>
      <c r="CX343" s="1062"/>
      <c r="DE343" s="1064"/>
      <c r="DF343" s="1064"/>
      <c r="DM343" s="1064"/>
      <c r="DN343" s="1064"/>
      <c r="DU343" s="1064"/>
      <c r="DV343" s="1064"/>
      <c r="EC343" s="1064"/>
      <c r="ED343" s="1064"/>
      <c r="EH343" s="1181"/>
      <c r="EI343" s="1181"/>
      <c r="EJ343" s="1181"/>
      <c r="EK343" s="1181"/>
      <c r="EL343" s="1181"/>
      <c r="EM343" s="1181"/>
      <c r="EN343" s="1181"/>
      <c r="EO343" s="1182"/>
      <c r="EP343" s="1181"/>
      <c r="EQ343" s="1181"/>
      <c r="ER343" s="1181"/>
      <c r="ES343" s="1181"/>
      <c r="ET343" s="1181"/>
      <c r="EU343" s="1181"/>
      <c r="EV343" s="1181"/>
      <c r="EW343" s="1182"/>
      <c r="EX343" s="1094">
        <f>EX341/EX$250</f>
        <v>0.323741007194245</v>
      </c>
      <c r="EY343" s="1094">
        <f t="shared" ref="EY343:FH343" si="1854">EY341/EY$250</f>
        <v>0.287292817679558</v>
      </c>
      <c r="EZ343" s="1094">
        <f t="shared" si="1854"/>
        <v>0.303125</v>
      </c>
      <c r="FA343" s="1094">
        <f t="shared" si="1854"/>
        <v>0.289017341040462</v>
      </c>
      <c r="FB343" s="1094">
        <f t="shared" si="1854"/>
        <v>0.298174442190669</v>
      </c>
      <c r="FC343" s="1094">
        <f t="shared" si="1854"/>
        <v>0.219123505976096</v>
      </c>
      <c r="FD343" s="1094">
        <f t="shared" si="1854"/>
        <v>0.247641509433962</v>
      </c>
      <c r="FE343" s="1093">
        <f t="shared" si="1854"/>
        <v>0.271505376344086</v>
      </c>
      <c r="FF343" s="1094">
        <f t="shared" si="1854"/>
        <v>0.316129032258064</v>
      </c>
      <c r="FG343" s="1094">
        <f t="shared" si="1854"/>
        <v>0.314606741573034</v>
      </c>
      <c r="FH343" s="1094">
        <f t="shared" si="1854"/>
        <v>0.315315315315315</v>
      </c>
      <c r="FI343" s="1094">
        <f t="shared" ref="FI343:FR343" si="1855">FI341/FI$250</f>
        <v>0.290322580645161</v>
      </c>
      <c r="FJ343" s="1094">
        <f t="shared" si="1855"/>
        <v>0.30635838150289</v>
      </c>
      <c r="FK343" s="1094">
        <f t="shared" si="1855"/>
        <v>0.229571984435798</v>
      </c>
      <c r="FL343" s="1094">
        <f t="shared" si="1855"/>
        <v>0.255079006772009</v>
      </c>
      <c r="FM343" s="1093">
        <f t="shared" si="1855"/>
        <v>0.280927835051546</v>
      </c>
      <c r="FN343" s="1094">
        <f t="shared" si="1855"/>
        <v>0.279661016949153</v>
      </c>
      <c r="FO343" s="1094">
        <f t="shared" si="1855"/>
        <v>0.292372881355932</v>
      </c>
      <c r="FP343" s="1094">
        <f t="shared" si="1855"/>
        <v>0.286016949152542</v>
      </c>
      <c r="FQ343" s="1094">
        <f t="shared" si="1855"/>
        <v>0.272727272727273</v>
      </c>
      <c r="FR343" s="1094">
        <f t="shared" si="1855"/>
        <v>0.28125</v>
      </c>
      <c r="FS343" s="1094">
        <f t="shared" ref="FS343:FZ343" si="1856">FS341/FS$250</f>
        <v>0.306273062730627</v>
      </c>
      <c r="FT343" s="1094">
        <f t="shared" si="1856"/>
        <v>0.289719626168224</v>
      </c>
      <c r="FU343" s="1094">
        <f t="shared" si="1856"/>
        <v>0.28798411122145</v>
      </c>
      <c r="FV343" s="1275">
        <f t="shared" si="1856"/>
        <v>0.242524916943522</v>
      </c>
      <c r="FW343" s="1094">
        <f t="shared" si="1856"/>
        <v>0.279693486590038</v>
      </c>
      <c r="FX343" s="1094">
        <f t="shared" si="1856"/>
        <v>0.259786476868327</v>
      </c>
      <c r="FY343" s="1094">
        <f t="shared" si="1856"/>
        <v>0.283950617283951</v>
      </c>
      <c r="FZ343" s="1094">
        <f t="shared" si="1856"/>
        <v>0.267080745341615</v>
      </c>
      <c r="GA343" s="1094">
        <f t="shared" ref="GA343:GC343" si="1857">GA341/GA$250</f>
        <v>0.314741035856574</v>
      </c>
      <c r="GB343" s="1094">
        <f t="shared" si="1857"/>
        <v>0.299595141700405</v>
      </c>
      <c r="GC343" s="1093">
        <f t="shared" si="1857"/>
        <v>0.278409090909091</v>
      </c>
      <c r="GD343" s="1094"/>
      <c r="GE343" s="1094"/>
      <c r="GF343" s="1094"/>
      <c r="GG343" s="1094"/>
      <c r="GH343" s="1094"/>
      <c r="GI343" s="1094"/>
      <c r="GJ343" s="1094"/>
      <c r="GK343" s="1093"/>
      <c r="GL343" s="1094"/>
      <c r="GM343" s="1094"/>
      <c r="GN343" s="1094"/>
      <c r="GO343" s="1094"/>
      <c r="GP343" s="1094"/>
      <c r="GQ343" s="1094"/>
      <c r="GR343" s="1094"/>
      <c r="GS343" s="1093"/>
      <c r="GT343" s="1094"/>
      <c r="GU343" s="1094"/>
      <c r="GV343" s="1094"/>
      <c r="GW343" s="1094"/>
      <c r="GX343" s="1094"/>
      <c r="GY343" s="1094"/>
      <c r="GZ343" s="1094"/>
      <c r="HA343" s="1093"/>
      <c r="HB343" s="1094"/>
      <c r="HC343" s="1094"/>
      <c r="HD343" s="1094"/>
      <c r="HE343" s="1094"/>
      <c r="HF343" s="1094"/>
      <c r="HG343" s="1094"/>
      <c r="HH343" s="1094"/>
      <c r="HI343" s="1093"/>
      <c r="HJ343" s="1094"/>
      <c r="HK343" s="1094"/>
      <c r="HL343" s="1094"/>
      <c r="HM343" s="1094"/>
      <c r="HN343" s="1094"/>
      <c r="HO343" s="1094"/>
      <c r="HP343" s="1094"/>
      <c r="HQ343" s="1093"/>
      <c r="HR343" s="1094"/>
      <c r="HS343" s="1094"/>
      <c r="HT343" s="1094"/>
      <c r="HU343" s="1094"/>
      <c r="HV343" s="1094"/>
      <c r="HW343" s="1094"/>
      <c r="HX343" s="1094"/>
      <c r="HY343" s="1094"/>
      <c r="HZ343" s="1094"/>
      <c r="IA343" s="1094"/>
      <c r="IB343" s="1094"/>
      <c r="IC343" s="1094"/>
      <c r="ID343" s="1094"/>
      <c r="IE343" s="1094"/>
      <c r="IF343" s="1094"/>
      <c r="IG343" s="1093"/>
      <c r="IH343" s="1094"/>
      <c r="II343" s="1094"/>
      <c r="IJ343" s="1094"/>
      <c r="IK343" s="1094"/>
      <c r="IL343" s="1094"/>
      <c r="IM343" s="1094"/>
      <c r="IN343" s="1094"/>
      <c r="IO343" s="1093"/>
      <c r="IP343" s="1094"/>
      <c r="IQ343" s="1094"/>
      <c r="IR343" s="1094"/>
      <c r="IS343" s="1094"/>
      <c r="IT343" s="1094"/>
      <c r="IU343" s="1094"/>
      <c r="IV343" s="1094"/>
      <c r="IW343" s="1094"/>
      <c r="IX343" s="1104"/>
      <c r="IY343" s="1049"/>
      <c r="IZ343" s="1049"/>
      <c r="JA343" s="1049"/>
      <c r="JB343" s="1049"/>
      <c r="JC343" s="1049"/>
      <c r="JD343" s="1041"/>
      <c r="JE343" s="1037"/>
      <c r="JF343" s="1037"/>
      <c r="JG343" s="1037"/>
      <c r="JH343" s="1037"/>
      <c r="JI343" s="1035"/>
      <c r="JJ343" s="1035"/>
      <c r="JK343" s="1035"/>
      <c r="JL343" s="1035"/>
      <c r="JM343" s="1035"/>
      <c r="JN343" s="1035"/>
      <c r="JO343" s="1035"/>
      <c r="JP343" s="1035"/>
      <c r="JQ343" s="1035"/>
      <c r="JR343" s="1035"/>
      <c r="JS343" s="1035"/>
      <c r="JT343" s="1035"/>
      <c r="JU343" s="1035"/>
      <c r="JV343" s="1035"/>
      <c r="JW343" s="1035"/>
      <c r="JX343" s="1035"/>
      <c r="JY343" s="1035"/>
      <c r="KP343" s="1117"/>
      <c r="LV343" s="967"/>
    </row>
    <row r="344" spans="1:334">
      <c r="A344" s="1103" t="s">
        <v>131</v>
      </c>
      <c r="AX344" s="1059"/>
      <c r="BE344" s="1060"/>
      <c r="BN344" s="1059"/>
      <c r="BU344" s="1060"/>
      <c r="BV344" s="1059"/>
      <c r="CC344" s="1060"/>
      <c r="CD344" s="1059"/>
      <c r="CJ344" s="1061"/>
      <c r="CK344" s="1060"/>
      <c r="CL344" s="1059"/>
      <c r="CS344" s="1060"/>
      <c r="CT344" s="1059"/>
      <c r="CW344" s="1062"/>
      <c r="CX344" s="1062"/>
      <c r="DE344" s="1064"/>
      <c r="DF344" s="1064"/>
      <c r="DM344" s="1064"/>
      <c r="DN344" s="1064"/>
      <c r="DU344" s="1064"/>
      <c r="DV344" s="1064"/>
      <c r="EC344" s="1064"/>
      <c r="ED344" s="1064"/>
      <c r="EH344" s="1181"/>
      <c r="EI344" s="1181"/>
      <c r="EJ344" s="1181"/>
      <c r="EK344" s="1181"/>
      <c r="EL344" s="1181"/>
      <c r="EM344" s="1181"/>
      <c r="EN344" s="1181"/>
      <c r="EO344" s="1182"/>
      <c r="EP344" s="1181"/>
      <c r="EQ344" s="1181"/>
      <c r="ER344" s="1181"/>
      <c r="ES344" s="1181"/>
      <c r="ET344" s="1181"/>
      <c r="EU344" s="1181"/>
      <c r="EV344" s="1181"/>
      <c r="EW344" s="1182"/>
      <c r="EX344" s="1071">
        <v>15</v>
      </c>
      <c r="EY344" s="1071">
        <v>31</v>
      </c>
      <c r="EZ344" s="1071">
        <f>EX344+EY344</f>
        <v>46</v>
      </c>
      <c r="FA344" s="1071">
        <v>28</v>
      </c>
      <c r="FB344" s="1071">
        <f>EX344+EY344+FA344</f>
        <v>74</v>
      </c>
      <c r="FC344" s="1071">
        <v>47</v>
      </c>
      <c r="FD344" s="1071">
        <f>FA344+FC344</f>
        <v>75</v>
      </c>
      <c r="FE344" s="1072">
        <f>EX344+EY344+FA344+FC344</f>
        <v>121</v>
      </c>
      <c r="FF344" s="1071">
        <v>24</v>
      </c>
      <c r="FG344" s="1071">
        <f>FH344-FF344</f>
        <v>30</v>
      </c>
      <c r="FH344" s="1071">
        <v>54</v>
      </c>
      <c r="FI344" s="1071">
        <f>FJ344-FH344</f>
        <v>36</v>
      </c>
      <c r="FJ344" s="1071">
        <v>90</v>
      </c>
      <c r="FK344" s="1071">
        <f>FM344-FJ344</f>
        <v>57</v>
      </c>
      <c r="FL344" s="1071">
        <f>FI344+FK344</f>
        <v>93</v>
      </c>
      <c r="FM344" s="1072">
        <v>147</v>
      </c>
      <c r="FN344" s="1071">
        <v>50</v>
      </c>
      <c r="FO344" s="1071">
        <f>FP344-FN344</f>
        <v>51</v>
      </c>
      <c r="FP344" s="1071">
        <v>101</v>
      </c>
      <c r="FQ344" s="1071">
        <f>FR344-FP344</f>
        <v>56</v>
      </c>
      <c r="FR344" s="1071">
        <v>157</v>
      </c>
      <c r="FS344" s="1071">
        <f>FU344-FR344</f>
        <v>50</v>
      </c>
      <c r="FT344" s="1071">
        <f>FQ344+FS344</f>
        <v>106</v>
      </c>
      <c r="FU344" s="1071">
        <v>207</v>
      </c>
      <c r="FV344" s="1177">
        <v>81</v>
      </c>
      <c r="FW344" s="1071">
        <f>FX344-FV344</f>
        <v>67</v>
      </c>
      <c r="FX344" s="1071">
        <v>148</v>
      </c>
      <c r="FY344" s="1071">
        <f>FZ344-FX344</f>
        <v>61</v>
      </c>
      <c r="FZ344" s="1071">
        <v>209</v>
      </c>
      <c r="GA344" s="1071">
        <f>GC344-FZ344</f>
        <v>57</v>
      </c>
      <c r="GB344" s="1071">
        <f>FY344+GA344</f>
        <v>118</v>
      </c>
      <c r="GC344" s="1072">
        <v>266</v>
      </c>
      <c r="GD344" s="1071"/>
      <c r="GE344" s="1071"/>
      <c r="GF344" s="1071"/>
      <c r="GG344" s="1071"/>
      <c r="GH344" s="1071"/>
      <c r="GI344" s="1071"/>
      <c r="GJ344" s="1071"/>
      <c r="GK344" s="1072"/>
      <c r="GL344" s="1071"/>
      <c r="GM344" s="1071"/>
      <c r="GN344" s="1071"/>
      <c r="GO344" s="1071"/>
      <c r="GP344" s="1071"/>
      <c r="GQ344" s="1071"/>
      <c r="GR344" s="1071"/>
      <c r="GS344" s="1072"/>
      <c r="GT344" s="1071"/>
      <c r="GU344" s="1071"/>
      <c r="GV344" s="1071"/>
      <c r="GW344" s="1071"/>
      <c r="GX344" s="1071"/>
      <c r="GY344" s="1071"/>
      <c r="GZ344" s="1071"/>
      <c r="HA344" s="1072"/>
      <c r="HB344" s="1071"/>
      <c r="HC344" s="1071"/>
      <c r="HD344" s="1071"/>
      <c r="HE344" s="1071"/>
      <c r="HF344" s="1071"/>
      <c r="HG344" s="1071"/>
      <c r="HH344" s="1071"/>
      <c r="HI344" s="1072"/>
      <c r="HJ344" s="1071"/>
      <c r="HK344" s="1071"/>
      <c r="HL344" s="1071"/>
      <c r="HM344" s="1071"/>
      <c r="HN344" s="1071"/>
      <c r="HO344" s="1071"/>
      <c r="HP344" s="1071"/>
      <c r="HQ344" s="1072"/>
      <c r="HR344" s="1071"/>
      <c r="HS344" s="1071"/>
      <c r="HT344" s="1071"/>
      <c r="HU344" s="1071"/>
      <c r="HV344" s="1071"/>
      <c r="HW344" s="1071"/>
      <c r="HX344" s="1071"/>
      <c r="HY344" s="1071"/>
      <c r="HZ344" s="1071"/>
      <c r="IA344" s="1071"/>
      <c r="IB344" s="1071"/>
      <c r="IC344" s="1071"/>
      <c r="ID344" s="1071"/>
      <c r="IE344" s="1071"/>
      <c r="IF344" s="1071"/>
      <c r="IG344" s="1072"/>
      <c r="IH344" s="1071"/>
      <c r="II344" s="1071"/>
      <c r="IJ344" s="1071"/>
      <c r="IK344" s="1071"/>
      <c r="IL344" s="1071"/>
      <c r="IM344" s="1071"/>
      <c r="IN344" s="1071"/>
      <c r="IO344" s="1072"/>
      <c r="IP344" s="1071"/>
      <c r="IQ344" s="1071"/>
      <c r="IR344" s="1071"/>
      <c r="IS344" s="1071"/>
      <c r="IT344" s="1071"/>
      <c r="IU344" s="1071"/>
      <c r="IV344" s="1071"/>
      <c r="IW344" s="1071"/>
      <c r="IX344" s="1104"/>
      <c r="IY344" s="1049"/>
      <c r="IZ344" s="1049"/>
      <c r="JA344" s="1049"/>
      <c r="JB344" s="1049"/>
      <c r="JC344" s="1049"/>
      <c r="JD344" s="1041"/>
      <c r="JE344" s="1037"/>
      <c r="JF344" s="1037"/>
      <c r="JG344" s="1037"/>
      <c r="JH344" s="1037"/>
      <c r="JI344" s="1035"/>
      <c r="JJ344" s="1035"/>
      <c r="JK344" s="1035"/>
      <c r="JL344" s="1035"/>
      <c r="JM344" s="1035"/>
      <c r="JN344" s="1035"/>
      <c r="JO344" s="1035"/>
      <c r="JP344" s="1035"/>
      <c r="JQ344" s="1035"/>
      <c r="JR344" s="1035"/>
      <c r="JS344" s="1035"/>
      <c r="JT344" s="1035"/>
      <c r="JU344" s="1035"/>
      <c r="JV344" s="1035"/>
      <c r="JW344" s="1035"/>
      <c r="JX344" s="1035"/>
      <c r="JY344" s="1035"/>
      <c r="KP344" s="1117"/>
      <c r="LV344" s="967"/>
    </row>
    <row r="345" spans="1:334">
      <c r="A345" s="967" t="s">
        <v>61</v>
      </c>
      <c r="AX345" s="1059"/>
      <c r="BE345" s="1060"/>
      <c r="BN345" s="1059"/>
      <c r="BU345" s="1060"/>
      <c r="BV345" s="1059"/>
      <c r="CC345" s="1060"/>
      <c r="CD345" s="1059"/>
      <c r="CJ345" s="1061"/>
      <c r="CK345" s="1060"/>
      <c r="CL345" s="1059"/>
      <c r="CS345" s="1060"/>
      <c r="CT345" s="1059"/>
      <c r="CW345" s="1062"/>
      <c r="CX345" s="1062"/>
      <c r="DE345" s="1064"/>
      <c r="DF345" s="1064"/>
      <c r="DM345" s="1064"/>
      <c r="DN345" s="1064"/>
      <c r="DU345" s="1064"/>
      <c r="DV345" s="1064"/>
      <c r="EC345" s="1064"/>
      <c r="ED345" s="1064"/>
      <c r="EH345" s="1181"/>
      <c r="EI345" s="1181"/>
      <c r="EJ345" s="1181"/>
      <c r="EK345" s="1181"/>
      <c r="EL345" s="1181"/>
      <c r="EM345" s="1181"/>
      <c r="EN345" s="1181"/>
      <c r="EO345" s="1182"/>
      <c r="EP345" s="1181"/>
      <c r="EQ345" s="1181"/>
      <c r="ER345" s="1181"/>
      <c r="ES345" s="1181"/>
      <c r="ET345" s="1181"/>
      <c r="EU345" s="1181"/>
      <c r="EV345" s="1181"/>
      <c r="EW345" s="1182"/>
      <c r="EX345" s="1094"/>
      <c r="EY345" s="1094"/>
      <c r="EZ345" s="1094"/>
      <c r="FA345" s="1094"/>
      <c r="FB345" s="1094"/>
      <c r="FC345" s="1094"/>
      <c r="FD345" s="1094"/>
      <c r="FE345" s="1093"/>
      <c r="FF345" s="1094">
        <f t="shared" ref="FF345:FR345" si="1858">FF344/EX344-1</f>
        <v>0.6</v>
      </c>
      <c r="FG345" s="1094">
        <f t="shared" si="1858"/>
        <v>-0.032258064516129</v>
      </c>
      <c r="FH345" s="1094">
        <f t="shared" si="1858"/>
        <v>0.173913043478261</v>
      </c>
      <c r="FI345" s="1094">
        <f t="shared" si="1858"/>
        <v>0.285714285714286</v>
      </c>
      <c r="FJ345" s="1094">
        <f t="shared" si="1858"/>
        <v>0.216216216216216</v>
      </c>
      <c r="FK345" s="1094">
        <f t="shared" si="1858"/>
        <v>0.212765957446809</v>
      </c>
      <c r="FL345" s="1094">
        <f t="shared" si="1858"/>
        <v>0.24</v>
      </c>
      <c r="FM345" s="1093">
        <f t="shared" si="1858"/>
        <v>0.214876033057851</v>
      </c>
      <c r="FN345" s="1094">
        <f t="shared" si="1858"/>
        <v>1.08333333333333</v>
      </c>
      <c r="FO345" s="1094">
        <f t="shared" si="1858"/>
        <v>0.7</v>
      </c>
      <c r="FP345" s="1094">
        <f t="shared" si="1858"/>
        <v>0.87037037037037</v>
      </c>
      <c r="FQ345" s="1094">
        <f t="shared" si="1858"/>
        <v>0.555555555555556</v>
      </c>
      <c r="FR345" s="1094">
        <f t="shared" si="1858"/>
        <v>0.744444444444444</v>
      </c>
      <c r="FS345" s="1094">
        <f t="shared" ref="FS345:FX345" si="1859">FS344/FK344-1</f>
        <v>-0.12280701754386</v>
      </c>
      <c r="FT345" s="1094">
        <f t="shared" si="1859"/>
        <v>0.139784946236559</v>
      </c>
      <c r="FU345" s="1094">
        <f t="shared" si="1859"/>
        <v>0.408163265306122</v>
      </c>
      <c r="FV345" s="1275">
        <f t="shared" si="1859"/>
        <v>0.62</v>
      </c>
      <c r="FW345" s="1094">
        <f t="shared" si="1859"/>
        <v>0.313725490196078</v>
      </c>
      <c r="FX345" s="1094">
        <f t="shared" si="1859"/>
        <v>0.465346534653465</v>
      </c>
      <c r="FY345" s="1094">
        <f t="shared" ref="FY345" si="1860">FY344/FQ344-1</f>
        <v>0.0892857142857142</v>
      </c>
      <c r="FZ345" s="1094">
        <f t="shared" ref="FZ345" si="1861">FZ344/FR344-1</f>
        <v>0.331210191082802</v>
      </c>
      <c r="GA345" s="1094">
        <f t="shared" ref="GA345" si="1862">GA344/FS344-1</f>
        <v>0.14</v>
      </c>
      <c r="GB345" s="1094">
        <f t="shared" ref="GB345" si="1863">GB344/FT344-1</f>
        <v>0.113207547169811</v>
      </c>
      <c r="GC345" s="1093">
        <f t="shared" ref="GC345" si="1864">GC344/FU344-1</f>
        <v>0.285024154589372</v>
      </c>
      <c r="GD345" s="1094"/>
      <c r="GE345" s="1094"/>
      <c r="GF345" s="1094"/>
      <c r="GG345" s="1094"/>
      <c r="GH345" s="1094"/>
      <c r="GI345" s="1094"/>
      <c r="GJ345" s="1094"/>
      <c r="GK345" s="1093"/>
      <c r="GL345" s="1094"/>
      <c r="GM345" s="1094"/>
      <c r="GN345" s="1094"/>
      <c r="GO345" s="1094"/>
      <c r="GP345" s="1094"/>
      <c r="GQ345" s="1094"/>
      <c r="GR345" s="1094"/>
      <c r="GS345" s="1093"/>
      <c r="GT345" s="1094"/>
      <c r="GU345" s="1094"/>
      <c r="GV345" s="1094"/>
      <c r="GW345" s="1094"/>
      <c r="GX345" s="1094"/>
      <c r="GY345" s="1094"/>
      <c r="GZ345" s="1094"/>
      <c r="HA345" s="1093"/>
      <c r="HB345" s="1094"/>
      <c r="HC345" s="1094"/>
      <c r="HD345" s="1094"/>
      <c r="HE345" s="1094"/>
      <c r="HF345" s="1094"/>
      <c r="HG345" s="1094"/>
      <c r="HH345" s="1094"/>
      <c r="HI345" s="1093"/>
      <c r="HJ345" s="1094"/>
      <c r="HK345" s="1094"/>
      <c r="HL345" s="1094"/>
      <c r="HM345" s="1094"/>
      <c r="HN345" s="1094"/>
      <c r="HO345" s="1094"/>
      <c r="HP345" s="1094"/>
      <c r="HQ345" s="1093"/>
      <c r="HR345" s="1094"/>
      <c r="HS345" s="1094"/>
      <c r="HT345" s="1094"/>
      <c r="HU345" s="1094"/>
      <c r="HV345" s="1094"/>
      <c r="HW345" s="1094"/>
      <c r="HX345" s="1094"/>
      <c r="HY345" s="1094"/>
      <c r="HZ345" s="1094"/>
      <c r="IA345" s="1094"/>
      <c r="IB345" s="1094"/>
      <c r="IC345" s="1094"/>
      <c r="ID345" s="1094"/>
      <c r="IE345" s="1094"/>
      <c r="IF345" s="1094"/>
      <c r="IG345" s="1093"/>
      <c r="IH345" s="1094"/>
      <c r="II345" s="1094"/>
      <c r="IJ345" s="1094"/>
      <c r="IK345" s="1094"/>
      <c r="IL345" s="1094"/>
      <c r="IM345" s="1094"/>
      <c r="IN345" s="1094"/>
      <c r="IO345" s="1093"/>
      <c r="IP345" s="1094"/>
      <c r="IQ345" s="1094"/>
      <c r="IR345" s="1094"/>
      <c r="IS345" s="1094"/>
      <c r="IT345" s="1094"/>
      <c r="IU345" s="1094"/>
      <c r="IV345" s="1094"/>
      <c r="IW345" s="1094"/>
      <c r="IX345" s="1104"/>
      <c r="IY345" s="1049"/>
      <c r="IZ345" s="1049"/>
      <c r="JA345" s="1049"/>
      <c r="JB345" s="1049"/>
      <c r="JC345" s="1049"/>
      <c r="JD345" s="1041"/>
      <c r="JE345" s="1037"/>
      <c r="JF345" s="1037"/>
      <c r="JG345" s="1037"/>
      <c r="JH345" s="1037"/>
      <c r="JI345" s="1035"/>
      <c r="JJ345" s="1035"/>
      <c r="JK345" s="1035"/>
      <c r="JL345" s="1035"/>
      <c r="JM345" s="1035"/>
      <c r="JN345" s="1035"/>
      <c r="JO345" s="1035"/>
      <c r="JP345" s="1035"/>
      <c r="JQ345" s="1035"/>
      <c r="JR345" s="1035"/>
      <c r="JS345" s="1035"/>
      <c r="JT345" s="1035"/>
      <c r="JU345" s="1035"/>
      <c r="JV345" s="1035"/>
      <c r="JW345" s="1035"/>
      <c r="JX345" s="1035"/>
      <c r="JY345" s="1035"/>
      <c r="KP345" s="1117"/>
      <c r="LV345" s="967"/>
    </row>
    <row r="346" spans="1:334">
      <c r="A346" s="967" t="s">
        <v>132</v>
      </c>
      <c r="AX346" s="1059"/>
      <c r="BE346" s="1060"/>
      <c r="BN346" s="1059"/>
      <c r="BU346" s="1060"/>
      <c r="BV346" s="1059"/>
      <c r="CC346" s="1060"/>
      <c r="CD346" s="1059"/>
      <c r="CJ346" s="1061"/>
      <c r="CK346" s="1060"/>
      <c r="CL346" s="1059"/>
      <c r="CS346" s="1060"/>
      <c r="CT346" s="1059"/>
      <c r="CW346" s="1062"/>
      <c r="CX346" s="1062"/>
      <c r="DE346" s="1064"/>
      <c r="DF346" s="1064"/>
      <c r="DM346" s="1064"/>
      <c r="DN346" s="1064"/>
      <c r="DU346" s="1064"/>
      <c r="DV346" s="1064"/>
      <c r="EC346" s="1064"/>
      <c r="ED346" s="1064"/>
      <c r="EH346" s="1181"/>
      <c r="EI346" s="1181"/>
      <c r="EJ346" s="1181"/>
      <c r="EK346" s="1181"/>
      <c r="EL346" s="1181"/>
      <c r="EM346" s="1181"/>
      <c r="EN346" s="1181"/>
      <c r="EO346" s="1182"/>
      <c r="EP346" s="1181"/>
      <c r="EQ346" s="1181"/>
      <c r="ER346" s="1181"/>
      <c r="ES346" s="1181"/>
      <c r="ET346" s="1181"/>
      <c r="EU346" s="1181"/>
      <c r="EV346" s="1181"/>
      <c r="EW346" s="1182"/>
      <c r="EX346" s="1094">
        <f>EX344/EX$250</f>
        <v>0.107913669064748</v>
      </c>
      <c r="EY346" s="1094">
        <f t="shared" ref="EY346:FH346" si="1865">EY344/EY$250</f>
        <v>0.171270718232044</v>
      </c>
      <c r="EZ346" s="1094">
        <f t="shared" si="1865"/>
        <v>0.14375</v>
      </c>
      <c r="FA346" s="1094">
        <f t="shared" si="1865"/>
        <v>0.161849710982659</v>
      </c>
      <c r="FB346" s="1094">
        <f t="shared" si="1865"/>
        <v>0.150101419878296</v>
      </c>
      <c r="FC346" s="1094">
        <f t="shared" si="1865"/>
        <v>0.187250996015936</v>
      </c>
      <c r="FD346" s="1094">
        <f t="shared" si="1865"/>
        <v>0.17688679245283</v>
      </c>
      <c r="FE346" s="1093">
        <f t="shared" si="1865"/>
        <v>0.162634408602151</v>
      </c>
      <c r="FF346" s="1094">
        <f t="shared" si="1865"/>
        <v>0.154838709677419</v>
      </c>
      <c r="FG346" s="1094">
        <f t="shared" si="1865"/>
        <v>0.168539325842697</v>
      </c>
      <c r="FH346" s="1094">
        <f t="shared" si="1865"/>
        <v>0.162162162162162</v>
      </c>
      <c r="FI346" s="1094">
        <f t="shared" ref="FI346:FR346" si="1866">FI344/FI$250</f>
        <v>0.193548387096774</v>
      </c>
      <c r="FJ346" s="1094">
        <f t="shared" si="1866"/>
        <v>0.173410404624277</v>
      </c>
      <c r="FK346" s="1094">
        <f t="shared" si="1866"/>
        <v>0.221789883268482</v>
      </c>
      <c r="FL346" s="1094">
        <f t="shared" si="1866"/>
        <v>0.209932279909707</v>
      </c>
      <c r="FM346" s="1093">
        <f t="shared" si="1866"/>
        <v>0.189432989690722</v>
      </c>
      <c r="FN346" s="1094">
        <f t="shared" si="1866"/>
        <v>0.211864406779661</v>
      </c>
      <c r="FO346" s="1094">
        <f t="shared" si="1866"/>
        <v>0.216101694915254</v>
      </c>
      <c r="FP346" s="1094">
        <f t="shared" si="1866"/>
        <v>0.213983050847458</v>
      </c>
      <c r="FQ346" s="1094">
        <f t="shared" si="1866"/>
        <v>0.212121212121212</v>
      </c>
      <c r="FR346" s="1094">
        <f t="shared" si="1866"/>
        <v>0.213315217391304</v>
      </c>
      <c r="FS346" s="1094">
        <f t="shared" ref="FS346:FZ346" si="1867">FS344/FS$250</f>
        <v>0.18450184501845</v>
      </c>
      <c r="FT346" s="1094">
        <f t="shared" si="1867"/>
        <v>0.198130841121495</v>
      </c>
      <c r="FU346" s="1094">
        <f t="shared" si="1867"/>
        <v>0.205561072492552</v>
      </c>
      <c r="FV346" s="1275">
        <f t="shared" si="1867"/>
        <v>0.269102990033223</v>
      </c>
      <c r="FW346" s="1094">
        <f t="shared" si="1867"/>
        <v>0.256704980842912</v>
      </c>
      <c r="FX346" s="1094">
        <f t="shared" si="1867"/>
        <v>0.263345195729537</v>
      </c>
      <c r="FY346" s="1094">
        <f t="shared" si="1867"/>
        <v>0.251028806584362</v>
      </c>
      <c r="FZ346" s="1094">
        <f t="shared" si="1867"/>
        <v>0.259627329192547</v>
      </c>
      <c r="GA346" s="1094">
        <f t="shared" ref="GA346:GC346" si="1868">GA344/GA$250</f>
        <v>0.227091633466135</v>
      </c>
      <c r="GB346" s="1094">
        <f t="shared" si="1868"/>
        <v>0.238866396761134</v>
      </c>
      <c r="GC346" s="1093">
        <f t="shared" si="1868"/>
        <v>0.251893939393939</v>
      </c>
      <c r="GD346" s="1094"/>
      <c r="GE346" s="1094"/>
      <c r="GF346" s="1094"/>
      <c r="GG346" s="1094"/>
      <c r="GH346" s="1094"/>
      <c r="GI346" s="1094"/>
      <c r="GJ346" s="1094"/>
      <c r="GK346" s="1093"/>
      <c r="GL346" s="1094"/>
      <c r="GM346" s="1094"/>
      <c r="GN346" s="1094"/>
      <c r="GO346" s="1094"/>
      <c r="GP346" s="1094"/>
      <c r="GQ346" s="1094"/>
      <c r="GR346" s="1094"/>
      <c r="GS346" s="1093"/>
      <c r="GT346" s="1094"/>
      <c r="GU346" s="1094"/>
      <c r="GV346" s="1094"/>
      <c r="GW346" s="1094"/>
      <c r="GX346" s="1094"/>
      <c r="GY346" s="1094"/>
      <c r="GZ346" s="1094"/>
      <c r="HA346" s="1093"/>
      <c r="HB346" s="1094"/>
      <c r="HC346" s="1094"/>
      <c r="HD346" s="1094"/>
      <c r="HE346" s="1094"/>
      <c r="HF346" s="1094"/>
      <c r="HG346" s="1094"/>
      <c r="HH346" s="1094"/>
      <c r="HI346" s="1093"/>
      <c r="HJ346" s="1094"/>
      <c r="HK346" s="1094"/>
      <c r="HL346" s="1094"/>
      <c r="HM346" s="1094"/>
      <c r="HN346" s="1094"/>
      <c r="HO346" s="1094"/>
      <c r="HP346" s="1094"/>
      <c r="HQ346" s="1093"/>
      <c r="HR346" s="1094"/>
      <c r="HS346" s="1094"/>
      <c r="HT346" s="1094"/>
      <c r="HU346" s="1094"/>
      <c r="HV346" s="1094"/>
      <c r="HW346" s="1094"/>
      <c r="HX346" s="1094"/>
      <c r="HY346" s="1094"/>
      <c r="HZ346" s="1094"/>
      <c r="IA346" s="1094"/>
      <c r="IB346" s="1094"/>
      <c r="IC346" s="1094"/>
      <c r="ID346" s="1094"/>
      <c r="IE346" s="1094"/>
      <c r="IF346" s="1094"/>
      <c r="IG346" s="1093"/>
      <c r="IH346" s="1094"/>
      <c r="II346" s="1094"/>
      <c r="IJ346" s="1094"/>
      <c r="IK346" s="1094"/>
      <c r="IL346" s="1094"/>
      <c r="IM346" s="1094"/>
      <c r="IN346" s="1094"/>
      <c r="IO346" s="1093"/>
      <c r="IP346" s="1094"/>
      <c r="IQ346" s="1094"/>
      <c r="IR346" s="1094"/>
      <c r="IS346" s="1094"/>
      <c r="IT346" s="1094"/>
      <c r="IU346" s="1094"/>
      <c r="IV346" s="1094"/>
      <c r="IW346" s="1094"/>
      <c r="IX346" s="1104"/>
      <c r="IY346" s="1049"/>
      <c r="IZ346" s="1049"/>
      <c r="JA346" s="1049"/>
      <c r="JB346" s="1049"/>
      <c r="JC346" s="1049"/>
      <c r="JD346" s="1041"/>
      <c r="JE346" s="1037"/>
      <c r="JF346" s="1037"/>
      <c r="JG346" s="1037"/>
      <c r="JH346" s="1037"/>
      <c r="JI346" s="1035"/>
      <c r="JJ346" s="1035"/>
      <c r="JK346" s="1035"/>
      <c r="JL346" s="1035"/>
      <c r="JM346" s="1035"/>
      <c r="JN346" s="1035"/>
      <c r="JO346" s="1035"/>
      <c r="JP346" s="1035"/>
      <c r="JQ346" s="1035"/>
      <c r="JR346" s="1035"/>
      <c r="JS346" s="1035"/>
      <c r="JT346" s="1035"/>
      <c r="JU346" s="1035"/>
      <c r="JV346" s="1035"/>
      <c r="JW346" s="1035"/>
      <c r="JX346" s="1035"/>
      <c r="JY346" s="1035"/>
      <c r="KP346" s="1117"/>
      <c r="LV346" s="967"/>
    </row>
    <row r="347" spans="1:334">
      <c r="A347" s="1281" t="s">
        <v>105</v>
      </c>
      <c r="B347" s="1255"/>
      <c r="C347" s="1255"/>
      <c r="D347" s="1255"/>
      <c r="E347" s="1255"/>
      <c r="F347" s="1255"/>
      <c r="G347" s="1255"/>
      <c r="H347" s="1255"/>
      <c r="I347" s="1255"/>
      <c r="J347" s="1255"/>
      <c r="K347" s="1255"/>
      <c r="L347" s="1255"/>
      <c r="M347" s="1255"/>
      <c r="N347" s="1255"/>
      <c r="O347" s="1255"/>
      <c r="P347" s="1255"/>
      <c r="Q347" s="1255"/>
      <c r="R347" s="1255"/>
      <c r="S347" s="1255"/>
      <c r="T347" s="1255"/>
      <c r="U347" s="1255"/>
      <c r="V347" s="1255"/>
      <c r="W347" s="1255"/>
      <c r="X347" s="1255"/>
      <c r="Y347" s="1255"/>
      <c r="Z347" s="1255"/>
      <c r="AA347" s="1255"/>
      <c r="AB347" s="1255"/>
      <c r="AC347" s="1255"/>
      <c r="AD347" s="1255"/>
      <c r="AE347" s="1255"/>
      <c r="AF347" s="1255"/>
      <c r="AG347" s="1255"/>
      <c r="AH347" s="1255"/>
      <c r="AI347" s="1255"/>
      <c r="AJ347" s="1255"/>
      <c r="AK347" s="1255"/>
      <c r="AL347" s="1255"/>
      <c r="AM347" s="1255"/>
      <c r="AN347" s="1255"/>
      <c r="AO347" s="1255"/>
      <c r="AP347" s="1255"/>
      <c r="AQ347" s="1255"/>
      <c r="AR347" s="1255"/>
      <c r="AS347" s="1255"/>
      <c r="AT347" s="1255"/>
      <c r="AU347" s="1255"/>
      <c r="AV347" s="1255"/>
      <c r="AW347" s="1255"/>
      <c r="AX347" s="1256"/>
      <c r="AY347" s="1255"/>
      <c r="AZ347" s="1255"/>
      <c r="BA347" s="1255"/>
      <c r="BB347" s="1255"/>
      <c r="BC347" s="1255"/>
      <c r="BD347" s="1255"/>
      <c r="BE347" s="1257"/>
      <c r="BF347" s="1255"/>
      <c r="BG347" s="1255"/>
      <c r="BH347" s="1255"/>
      <c r="BI347" s="1255"/>
      <c r="BJ347" s="1255"/>
      <c r="BK347" s="1255"/>
      <c r="BL347" s="1255"/>
      <c r="BM347" s="1255"/>
      <c r="BN347" s="1256"/>
      <c r="BO347" s="1255"/>
      <c r="BP347" s="1255"/>
      <c r="BQ347" s="1255"/>
      <c r="BR347" s="1255"/>
      <c r="BS347" s="1255"/>
      <c r="BT347" s="1255"/>
      <c r="BU347" s="1257"/>
      <c r="BV347" s="1256"/>
      <c r="BW347" s="1255"/>
      <c r="BX347" s="1255"/>
      <c r="BY347" s="1255"/>
      <c r="BZ347" s="1255"/>
      <c r="CA347" s="1255"/>
      <c r="CB347" s="1255"/>
      <c r="CC347" s="1257"/>
      <c r="CD347" s="1256"/>
      <c r="CE347" s="1255"/>
      <c r="CF347" s="1255"/>
      <c r="CG347" s="1255"/>
      <c r="CH347" s="1255"/>
      <c r="CI347" s="1255"/>
      <c r="CJ347" s="1258"/>
      <c r="CK347" s="1257"/>
      <c r="CL347" s="1256"/>
      <c r="CM347" s="1255"/>
      <c r="CN347" s="1255"/>
      <c r="CO347" s="1255"/>
      <c r="CP347" s="1255"/>
      <c r="CQ347" s="1255"/>
      <c r="CR347" s="1255"/>
      <c r="CS347" s="1257"/>
      <c r="CT347" s="1256"/>
      <c r="CU347" s="1255"/>
      <c r="CV347" s="1255"/>
      <c r="CW347" s="1259"/>
      <c r="CX347" s="1259"/>
      <c r="CY347" s="1255"/>
      <c r="CZ347" s="1255"/>
      <c r="DA347" s="1255"/>
      <c r="DB347" s="1260"/>
      <c r="DC347" s="1260"/>
      <c r="DD347" s="1260"/>
      <c r="DE347" s="1261"/>
      <c r="DF347" s="1261"/>
      <c r="DG347" s="1260"/>
      <c r="DH347" s="1260"/>
      <c r="DI347" s="1262"/>
      <c r="DJ347" s="1260"/>
      <c r="DK347" s="1260"/>
      <c r="DL347" s="1260"/>
      <c r="DM347" s="1261"/>
      <c r="DN347" s="1261"/>
      <c r="DO347" s="1260"/>
      <c r="DP347" s="1260"/>
      <c r="DQ347" s="1262"/>
      <c r="DR347" s="1260"/>
      <c r="DS347" s="1260"/>
      <c r="DT347" s="1260"/>
      <c r="DU347" s="1261"/>
      <c r="DV347" s="1261"/>
      <c r="DW347" s="1260"/>
      <c r="DX347" s="1260"/>
      <c r="DY347" s="1262"/>
      <c r="DZ347" s="1260"/>
      <c r="EA347" s="1260"/>
      <c r="EB347" s="1260"/>
      <c r="EC347" s="1261"/>
      <c r="ED347" s="1261"/>
      <c r="EE347" s="1260"/>
      <c r="EF347" s="1260"/>
      <c r="EG347" s="1262"/>
      <c r="EH347" s="1282"/>
      <c r="EI347" s="1282"/>
      <c r="EJ347" s="1282"/>
      <c r="EK347" s="1282"/>
      <c r="EL347" s="1282"/>
      <c r="EM347" s="1282"/>
      <c r="EN347" s="1282"/>
      <c r="EO347" s="1283"/>
      <c r="EP347" s="1282"/>
      <c r="EQ347" s="1282"/>
      <c r="ER347" s="1282"/>
      <c r="ES347" s="1282"/>
      <c r="ET347" s="1282"/>
      <c r="EU347" s="1282"/>
      <c r="EV347" s="1282"/>
      <c r="EW347" s="1283"/>
      <c r="EX347" s="1282"/>
      <c r="EY347" s="1282"/>
      <c r="EZ347" s="1282"/>
      <c r="FA347" s="1282"/>
      <c r="FB347" s="1282"/>
      <c r="FC347" s="1282"/>
      <c r="FD347" s="1282"/>
      <c r="FE347" s="1283"/>
      <c r="FF347" s="1282"/>
      <c r="FG347" s="1282"/>
      <c r="FH347" s="1282"/>
      <c r="FI347" s="1282"/>
      <c r="FJ347" s="1282"/>
      <c r="FK347" s="1282"/>
      <c r="FL347" s="1282"/>
      <c r="FM347" s="1283"/>
      <c r="FN347" s="1282"/>
      <c r="FO347" s="1282"/>
      <c r="FP347" s="1282"/>
      <c r="FQ347" s="1282"/>
      <c r="FR347" s="1282"/>
      <c r="FS347" s="1282"/>
      <c r="FT347" s="1282"/>
      <c r="FU347" s="1282"/>
      <c r="FV347" s="1285"/>
      <c r="FW347" s="1282"/>
      <c r="FX347" s="1282"/>
      <c r="FY347" s="1282"/>
      <c r="FZ347" s="1282"/>
      <c r="GA347" s="1282"/>
      <c r="GB347" s="1282"/>
      <c r="GC347" s="1283"/>
      <c r="GD347" s="1282"/>
      <c r="GE347" s="1282"/>
      <c r="GF347" s="1282"/>
      <c r="GG347" s="1282"/>
      <c r="GH347" s="1282"/>
      <c r="GI347" s="1282"/>
      <c r="GJ347" s="1282"/>
      <c r="GK347" s="1283"/>
      <c r="GL347" s="1282"/>
      <c r="GM347" s="1282"/>
      <c r="GN347" s="1282"/>
      <c r="GO347" s="1282"/>
      <c r="GP347" s="1282"/>
      <c r="GQ347" s="1282"/>
      <c r="GR347" s="1282"/>
      <c r="GS347" s="1283"/>
      <c r="GT347" s="1282"/>
      <c r="GU347" s="1282"/>
      <c r="GV347" s="1282"/>
      <c r="GW347" s="1282"/>
      <c r="GX347" s="1282"/>
      <c r="GY347" s="1282"/>
      <c r="GZ347" s="1282"/>
      <c r="HA347" s="1283"/>
      <c r="HB347" s="1282"/>
      <c r="HC347" s="1282"/>
      <c r="HD347" s="1282"/>
      <c r="HE347" s="1282"/>
      <c r="HF347" s="1282"/>
      <c r="HG347" s="1282"/>
      <c r="HH347" s="1282"/>
      <c r="HI347" s="1283"/>
      <c r="HJ347" s="1282"/>
      <c r="HK347" s="1282"/>
      <c r="HL347" s="1282"/>
      <c r="HM347" s="1282"/>
      <c r="HN347" s="1282"/>
      <c r="HO347" s="1282"/>
      <c r="HP347" s="1282"/>
      <c r="HQ347" s="1283"/>
      <c r="HR347" s="1282"/>
      <c r="HS347" s="1282"/>
      <c r="HT347" s="1282"/>
      <c r="HU347" s="1282"/>
      <c r="HV347" s="1282"/>
      <c r="HW347" s="1282"/>
      <c r="HX347" s="1282"/>
      <c r="HY347" s="1282"/>
      <c r="HZ347" s="1282"/>
      <c r="IA347" s="1282"/>
      <c r="IB347" s="1282"/>
      <c r="IC347" s="1282"/>
      <c r="ID347" s="1282"/>
      <c r="IE347" s="1282"/>
      <c r="IF347" s="1282"/>
      <c r="IG347" s="1283"/>
      <c r="IH347" s="1282"/>
      <c r="II347" s="1282"/>
      <c r="IJ347" s="1282"/>
      <c r="IK347" s="1282"/>
      <c r="IL347" s="1282"/>
      <c r="IM347" s="1282"/>
      <c r="IN347" s="1282"/>
      <c r="IO347" s="1283"/>
      <c r="IP347" s="1282"/>
      <c r="IQ347" s="1282"/>
      <c r="IR347" s="1282"/>
      <c r="IS347" s="1282"/>
      <c r="IT347" s="1282"/>
      <c r="IU347" s="1282"/>
      <c r="IV347" s="1282"/>
      <c r="IW347" s="1282"/>
      <c r="IX347" s="1104"/>
      <c r="IY347" s="1049"/>
      <c r="IZ347" s="1049"/>
      <c r="JA347" s="1049"/>
      <c r="JB347" s="1049"/>
      <c r="JC347" s="1049"/>
      <c r="JD347" s="1041"/>
      <c r="JE347" s="1037"/>
      <c r="JF347" s="1037"/>
      <c r="JG347" s="1037"/>
      <c r="JH347" s="1037"/>
      <c r="JI347" s="1035"/>
      <c r="JJ347" s="1035"/>
      <c r="JK347" s="1035"/>
      <c r="JL347" s="1035"/>
      <c r="JM347" s="1035"/>
      <c r="JN347" s="1035"/>
      <c r="JO347" s="1035"/>
      <c r="JP347" s="1035"/>
      <c r="JQ347" s="1035"/>
      <c r="JR347" s="1035"/>
      <c r="JS347" s="1035"/>
      <c r="JT347" s="1035"/>
      <c r="JU347" s="1035"/>
      <c r="JV347" s="1035"/>
      <c r="JW347" s="1035"/>
      <c r="JX347" s="1035"/>
      <c r="JY347" s="1035"/>
      <c r="KP347" s="1117"/>
      <c r="LV347" s="967"/>
    </row>
    <row r="348" spans="1:334">
      <c r="A348" s="967" t="s">
        <v>126</v>
      </c>
      <c r="AX348" s="1059"/>
      <c r="BE348" s="1060"/>
      <c r="BN348" s="1059"/>
      <c r="BU348" s="1060"/>
      <c r="BV348" s="1059"/>
      <c r="CC348" s="1060"/>
      <c r="CD348" s="1059"/>
      <c r="CJ348" s="1061"/>
      <c r="CK348" s="1060"/>
      <c r="CL348" s="1059"/>
      <c r="CS348" s="1060"/>
      <c r="CT348" s="1059"/>
      <c r="CW348" s="1062"/>
      <c r="CX348" s="1062"/>
      <c r="DE348" s="1064"/>
      <c r="DF348" s="1064"/>
      <c r="DM348" s="1064"/>
      <c r="DN348" s="1064"/>
      <c r="DU348" s="1064"/>
      <c r="DV348" s="1064"/>
      <c r="EC348" s="1064"/>
      <c r="ED348" s="1064"/>
      <c r="EH348" s="1181"/>
      <c r="EI348" s="1181"/>
      <c r="EJ348" s="1181"/>
      <c r="EK348" s="1181"/>
      <c r="EL348" s="1181"/>
      <c r="EM348" s="1181"/>
      <c r="EN348" s="1181"/>
      <c r="EO348" s="1182"/>
      <c r="EP348" s="1181"/>
      <c r="EQ348" s="1181"/>
      <c r="ER348" s="1181"/>
      <c r="ES348" s="1181"/>
      <c r="ET348" s="1181"/>
      <c r="EU348" s="1181"/>
      <c r="EV348" s="1181"/>
      <c r="EW348" s="1182"/>
      <c r="EX348" s="1148">
        <f>EX257-EX349</f>
        <v>95</v>
      </c>
      <c r="EY348" s="1148">
        <f t="shared" ref="EY348:FJ348" si="1869">EY257-EY349</f>
        <v>115</v>
      </c>
      <c r="EZ348" s="1148">
        <f t="shared" si="1869"/>
        <v>210</v>
      </c>
      <c r="FA348" s="1148">
        <f t="shared" si="1869"/>
        <v>131</v>
      </c>
      <c r="FB348" s="1148">
        <f t="shared" si="1869"/>
        <v>341</v>
      </c>
      <c r="FC348" s="1148">
        <f t="shared" si="1869"/>
        <v>113</v>
      </c>
      <c r="FD348" s="1148">
        <f t="shared" si="1869"/>
        <v>244</v>
      </c>
      <c r="FE348" s="1149">
        <f t="shared" si="1869"/>
        <v>454</v>
      </c>
      <c r="FF348" s="1148">
        <f t="shared" si="1869"/>
        <v>79</v>
      </c>
      <c r="FG348" s="1148">
        <f t="shared" si="1869"/>
        <v>82</v>
      </c>
      <c r="FH348" s="1148">
        <f t="shared" si="1869"/>
        <v>161</v>
      </c>
      <c r="FI348" s="1148">
        <f t="shared" si="1869"/>
        <v>89</v>
      </c>
      <c r="FJ348" s="1148">
        <f t="shared" si="1869"/>
        <v>250</v>
      </c>
      <c r="FK348" s="1148">
        <f>FK194-FK349</f>
        <v>75</v>
      </c>
      <c r="FL348" s="1148">
        <f>FL194-FL349</f>
        <v>164</v>
      </c>
      <c r="FM348" s="1149">
        <f>FM194-FM349</f>
        <v>325</v>
      </c>
      <c r="FN348" s="1148">
        <f>FN257-FN349</f>
        <v>58</v>
      </c>
      <c r="FO348" s="1148">
        <f>FO257-FO349</f>
        <v>73</v>
      </c>
      <c r="FP348" s="1148">
        <f>FP257-FP349</f>
        <v>131</v>
      </c>
      <c r="FQ348" s="1148">
        <f>FQ257-FQ349</f>
        <v>83</v>
      </c>
      <c r="FR348" s="1148">
        <f>FR257-FR349</f>
        <v>214</v>
      </c>
      <c r="FS348" s="1148">
        <f>FS194-FS349</f>
        <v>70</v>
      </c>
      <c r="FT348" s="1148">
        <f>FT194-FT349</f>
        <v>153</v>
      </c>
      <c r="FU348" s="1148">
        <f>FU194-FU349</f>
        <v>284</v>
      </c>
      <c r="FV348" s="1151">
        <f>FV257-FV349</f>
        <v>60</v>
      </c>
      <c r="FW348" s="1148">
        <f>FW257-FW349</f>
        <v>61</v>
      </c>
      <c r="FX348" s="1148">
        <f>FX257-FX349</f>
        <v>121</v>
      </c>
      <c r="FY348" s="1148">
        <f>FY257-FY349</f>
        <v>59</v>
      </c>
      <c r="FZ348" s="1148">
        <f>FZ257-FZ349</f>
        <v>180</v>
      </c>
      <c r="GA348" s="1148">
        <f>GA194-GA349</f>
        <v>51</v>
      </c>
      <c r="GB348" s="1148">
        <f>GB194-GB349</f>
        <v>110</v>
      </c>
      <c r="GC348" s="1149">
        <f>GC194-GC349</f>
        <v>231</v>
      </c>
      <c r="GD348" s="1151">
        <f>GD257-GD349</f>
        <v>38.0000000000002</v>
      </c>
      <c r="GE348" s="1148">
        <f>GE257-GE349</f>
        <v>58</v>
      </c>
      <c r="GF348" s="1148">
        <f>GF257-GF349</f>
        <v>96.0000000000002</v>
      </c>
      <c r="GG348" s="1148">
        <f>GG257-GG349</f>
        <v>58</v>
      </c>
      <c r="GH348" s="1148">
        <f>GH257-GH349</f>
        <v>154</v>
      </c>
      <c r="GI348" s="1148">
        <f>GI194-GI349</f>
        <v>48</v>
      </c>
      <c r="GJ348" s="1148">
        <f>GJ194-GJ349</f>
        <v>106</v>
      </c>
      <c r="GK348" s="1149">
        <f>GK194-GK349</f>
        <v>202</v>
      </c>
      <c r="GL348" s="1148">
        <f>GL257-GL349</f>
        <v>54</v>
      </c>
      <c r="GM348" s="1148">
        <f>GM257-GM349</f>
        <v>64</v>
      </c>
      <c r="GN348" s="1148">
        <f>GN257-GN349</f>
        <v>118</v>
      </c>
      <c r="GO348" s="1148">
        <f>GO257-GO349</f>
        <v>78.0000000000002</v>
      </c>
      <c r="GP348" s="1148">
        <f>GP257-GP349</f>
        <v>196</v>
      </c>
      <c r="GQ348" s="1148">
        <f>GQ194-GQ349</f>
        <v>57</v>
      </c>
      <c r="GR348" s="1148">
        <f>GR194-GR349</f>
        <v>135</v>
      </c>
      <c r="GS348" s="1149">
        <f>GS194-GS349</f>
        <v>253</v>
      </c>
      <c r="GT348" s="1148">
        <f>GT257-GT349</f>
        <v>62</v>
      </c>
      <c r="GU348" s="1148">
        <f>GU257-GU349</f>
        <v>41</v>
      </c>
      <c r="GV348" s="1148">
        <f>GV257-GV349</f>
        <v>103</v>
      </c>
      <c r="GW348" s="1148">
        <f>GW257-GW349</f>
        <v>77.0600000000002</v>
      </c>
      <c r="GX348" s="1148">
        <f>GX257-GX349</f>
        <v>180.06</v>
      </c>
      <c r="GY348" s="1148"/>
      <c r="GZ348" s="1148"/>
      <c r="HA348" s="1149"/>
      <c r="HB348" s="1148"/>
      <c r="HC348" s="1148"/>
      <c r="HD348" s="1148"/>
      <c r="HE348" s="1148"/>
      <c r="HF348" s="1148"/>
      <c r="HG348" s="1148"/>
      <c r="HH348" s="1148"/>
      <c r="HI348" s="1149"/>
      <c r="HJ348" s="1148"/>
      <c r="HK348" s="1148"/>
      <c r="HL348" s="1148"/>
      <c r="HM348" s="1148"/>
      <c r="HN348" s="1148"/>
      <c r="HO348" s="1148"/>
      <c r="HP348" s="1148"/>
      <c r="HQ348" s="1149"/>
      <c r="HR348" s="1148"/>
      <c r="HS348" s="1148"/>
      <c r="HT348" s="1148"/>
      <c r="HU348" s="1148"/>
      <c r="HV348" s="1148"/>
      <c r="HW348" s="1148"/>
      <c r="HX348" s="1148"/>
      <c r="HY348" s="1148"/>
      <c r="HZ348" s="1148"/>
      <c r="IA348" s="1148"/>
      <c r="IB348" s="1148"/>
      <c r="IC348" s="1148"/>
      <c r="ID348" s="1148"/>
      <c r="IE348" s="1148"/>
      <c r="IF348" s="1148"/>
      <c r="IG348" s="1149"/>
      <c r="IH348" s="1148"/>
      <c r="II348" s="1148"/>
      <c r="IJ348" s="1148"/>
      <c r="IK348" s="1148"/>
      <c r="IL348" s="1148"/>
      <c r="IM348" s="1148"/>
      <c r="IN348" s="1148"/>
      <c r="IO348" s="1149"/>
      <c r="IP348" s="1148"/>
      <c r="IQ348" s="1148"/>
      <c r="IR348" s="1148"/>
      <c r="IS348" s="1148"/>
      <c r="IT348" s="1148"/>
      <c r="IU348" s="1148"/>
      <c r="IV348" s="1148"/>
      <c r="IW348" s="1148"/>
      <c r="IX348" s="1104"/>
      <c r="IY348" s="1049"/>
      <c r="IZ348" s="1049"/>
      <c r="JA348" s="1049"/>
      <c r="JB348" s="1049"/>
      <c r="JC348" s="1049"/>
      <c r="JD348" s="1041"/>
      <c r="JE348" s="1037"/>
      <c r="JF348" s="1037"/>
      <c r="JG348" s="1037"/>
      <c r="JH348" s="1037"/>
      <c r="JI348" s="1035"/>
      <c r="JJ348" s="1035"/>
      <c r="JK348" s="1035"/>
      <c r="JL348" s="1035"/>
      <c r="JM348" s="1035"/>
      <c r="JN348" s="1035"/>
      <c r="JO348" s="1035"/>
      <c r="JP348" s="1035"/>
      <c r="JQ348" s="1035"/>
      <c r="JR348" s="1035"/>
      <c r="JS348" s="1035"/>
      <c r="JT348" s="1035"/>
      <c r="JU348" s="1035"/>
      <c r="JV348" s="1035"/>
      <c r="JW348" s="1035"/>
      <c r="JX348" s="1035"/>
      <c r="JY348" s="1035"/>
      <c r="KP348" s="1117"/>
      <c r="LV348" s="967"/>
    </row>
    <row r="349" spans="1:334">
      <c r="A349" s="1103" t="s">
        <v>127</v>
      </c>
      <c r="AX349" s="1059"/>
      <c r="BE349" s="1060"/>
      <c r="BN349" s="1059"/>
      <c r="BU349" s="1060"/>
      <c r="BV349" s="1059"/>
      <c r="CC349" s="1060"/>
      <c r="CD349" s="1059"/>
      <c r="CJ349" s="1061"/>
      <c r="CK349" s="1060"/>
      <c r="CL349" s="1059"/>
      <c r="CS349" s="1060"/>
      <c r="CT349" s="1059"/>
      <c r="CW349" s="1062"/>
      <c r="CX349" s="1062"/>
      <c r="DE349" s="1064"/>
      <c r="DF349" s="1064"/>
      <c r="DM349" s="1064"/>
      <c r="DN349" s="1064"/>
      <c r="DU349" s="1064"/>
      <c r="DV349" s="1064"/>
      <c r="EC349" s="1064"/>
      <c r="ED349" s="1064"/>
      <c r="EH349" s="1181"/>
      <c r="EI349" s="1181"/>
      <c r="EJ349" s="1181"/>
      <c r="EK349" s="1181"/>
      <c r="EL349" s="1181"/>
      <c r="EM349" s="1181"/>
      <c r="EN349" s="1181"/>
      <c r="EO349" s="1182"/>
      <c r="EP349" s="1181"/>
      <c r="EQ349" s="1181"/>
      <c r="ER349" s="1181"/>
      <c r="ES349" s="1181"/>
      <c r="ET349" s="1181"/>
      <c r="EU349" s="1181"/>
      <c r="EV349" s="1181"/>
      <c r="EW349" s="1182"/>
      <c r="EX349" s="1071">
        <v>150</v>
      </c>
      <c r="EY349" s="1071">
        <v>179</v>
      </c>
      <c r="EZ349" s="1071">
        <f>EX349+EY349</f>
        <v>329</v>
      </c>
      <c r="FA349" s="1071">
        <v>165</v>
      </c>
      <c r="FB349" s="1071">
        <f>EX349+EY349+FA349</f>
        <v>494</v>
      </c>
      <c r="FC349" s="1071">
        <v>150</v>
      </c>
      <c r="FD349" s="1071">
        <f>FA349+FC349</f>
        <v>315</v>
      </c>
      <c r="FE349" s="1072">
        <f>EX349+EY349+FA349+FC349</f>
        <v>644</v>
      </c>
      <c r="FF349" s="1071">
        <v>83</v>
      </c>
      <c r="FG349" s="1071">
        <f>FH349-FF349</f>
        <v>122</v>
      </c>
      <c r="FH349" s="1071">
        <v>205</v>
      </c>
      <c r="FI349" s="1071">
        <f>FJ349-FH349</f>
        <v>106</v>
      </c>
      <c r="FJ349" s="1071">
        <v>311</v>
      </c>
      <c r="FK349" s="1071">
        <f>FM349-FJ349</f>
        <v>103</v>
      </c>
      <c r="FL349" s="1071">
        <f>FI349+FK349</f>
        <v>209</v>
      </c>
      <c r="FM349" s="1072">
        <v>414</v>
      </c>
      <c r="FN349" s="1071">
        <v>80</v>
      </c>
      <c r="FO349" s="1071">
        <f>FP349-FN349</f>
        <v>99</v>
      </c>
      <c r="FP349" s="1071">
        <v>179</v>
      </c>
      <c r="FQ349" s="1071">
        <f>FR349-FP349</f>
        <v>112</v>
      </c>
      <c r="FR349" s="1071">
        <v>291</v>
      </c>
      <c r="FS349" s="1071">
        <f>FU349-FR349</f>
        <v>104</v>
      </c>
      <c r="FT349" s="1071">
        <f>FQ349+FS349</f>
        <v>216</v>
      </c>
      <c r="FU349" s="1071">
        <v>395</v>
      </c>
      <c r="FV349" s="1177">
        <v>100</v>
      </c>
      <c r="FW349" s="1071">
        <f>FX349-FV349</f>
        <v>120</v>
      </c>
      <c r="FX349" s="1071">
        <v>220</v>
      </c>
      <c r="FY349" s="1071">
        <f>FZ349-FX349</f>
        <v>114</v>
      </c>
      <c r="FZ349" s="1071">
        <v>334</v>
      </c>
      <c r="GA349" s="1071">
        <f>GC349-FZ349</f>
        <v>95</v>
      </c>
      <c r="GB349" s="1071">
        <f>FY349+GA349</f>
        <v>209</v>
      </c>
      <c r="GC349" s="1072">
        <v>429</v>
      </c>
      <c r="GD349" s="1177">
        <v>81</v>
      </c>
      <c r="GE349" s="1071">
        <f>GF349-GD349</f>
        <v>119</v>
      </c>
      <c r="GF349" s="1071">
        <v>200</v>
      </c>
      <c r="GG349" s="1071">
        <v>108</v>
      </c>
      <c r="GH349" s="1071">
        <f>GG349+GF349</f>
        <v>308</v>
      </c>
      <c r="GI349" s="1071">
        <f>GK349-GH349</f>
        <v>84</v>
      </c>
      <c r="GJ349" s="1071">
        <f>GG349+GI349</f>
        <v>192</v>
      </c>
      <c r="GK349" s="1072">
        <v>392</v>
      </c>
      <c r="GL349" s="1071">
        <v>82</v>
      </c>
      <c r="GM349" s="1071">
        <v>107</v>
      </c>
      <c r="GN349" s="1071">
        <f>GM349+GL349</f>
        <v>189</v>
      </c>
      <c r="GO349" s="1071">
        <v>121</v>
      </c>
      <c r="GP349" s="1071">
        <f>GO349+GN349</f>
        <v>310</v>
      </c>
      <c r="GQ349" s="1071">
        <f>GS349-GP349</f>
        <v>96</v>
      </c>
      <c r="GR349" s="1071">
        <f>GO349+GQ349</f>
        <v>217</v>
      </c>
      <c r="GS349" s="1072">
        <v>406</v>
      </c>
      <c r="GT349" s="1071">
        <v>92</v>
      </c>
      <c r="GU349" s="1071">
        <v>63</v>
      </c>
      <c r="GV349" s="1071">
        <f>GU349+GT349</f>
        <v>155</v>
      </c>
      <c r="GW349" s="1071">
        <v>110</v>
      </c>
      <c r="GX349" s="1071">
        <f>GW349+GV349</f>
        <v>265</v>
      </c>
      <c r="GY349" s="1071"/>
      <c r="GZ349" s="1071"/>
      <c r="HA349" s="1072"/>
      <c r="HB349" s="1071"/>
      <c r="HC349" s="1071"/>
      <c r="HD349" s="1071"/>
      <c r="HE349" s="1071"/>
      <c r="HF349" s="1071"/>
      <c r="HG349" s="1071"/>
      <c r="HH349" s="1071"/>
      <c r="HI349" s="1072"/>
      <c r="HJ349" s="1071"/>
      <c r="HK349" s="1071"/>
      <c r="HL349" s="1071"/>
      <c r="HM349" s="1071"/>
      <c r="HN349" s="1071"/>
      <c r="HO349" s="1071"/>
      <c r="HP349" s="1071"/>
      <c r="HQ349" s="1072"/>
      <c r="HR349" s="1071"/>
      <c r="HS349" s="1071"/>
      <c r="HT349" s="1071"/>
      <c r="HU349" s="1071"/>
      <c r="HV349" s="1071"/>
      <c r="HW349" s="1071"/>
      <c r="HX349" s="1071"/>
      <c r="HY349" s="1071"/>
      <c r="HZ349" s="1071"/>
      <c r="IA349" s="1071"/>
      <c r="IB349" s="1071"/>
      <c r="IC349" s="1071"/>
      <c r="ID349" s="1071"/>
      <c r="IE349" s="1071"/>
      <c r="IF349" s="1071"/>
      <c r="IG349" s="1072"/>
      <c r="IH349" s="1071"/>
      <c r="II349" s="1071"/>
      <c r="IJ349" s="1071"/>
      <c r="IK349" s="1071"/>
      <c r="IL349" s="1071"/>
      <c r="IM349" s="1071"/>
      <c r="IN349" s="1071"/>
      <c r="IO349" s="1072"/>
      <c r="IP349" s="1071"/>
      <c r="IQ349" s="1071"/>
      <c r="IR349" s="1071"/>
      <c r="IS349" s="1071"/>
      <c r="IT349" s="1071"/>
      <c r="IU349" s="1071"/>
      <c r="IV349" s="1071"/>
      <c r="IW349" s="1071"/>
      <c r="IX349" s="1104"/>
      <c r="IY349" s="1049"/>
      <c r="IZ349" s="1049"/>
      <c r="JA349" s="1049"/>
      <c r="JB349" s="1049"/>
      <c r="JC349" s="1049"/>
      <c r="JD349" s="1041"/>
      <c r="JE349" s="1037"/>
      <c r="JF349" s="1037"/>
      <c r="JG349" s="1037"/>
      <c r="JH349" s="1037"/>
      <c r="JI349" s="1035"/>
      <c r="JJ349" s="1035"/>
      <c r="JK349" s="1035"/>
      <c r="JL349" s="1035"/>
      <c r="JM349" s="1035"/>
      <c r="JN349" s="1035"/>
      <c r="JO349" s="1035"/>
      <c r="JP349" s="1035"/>
      <c r="JQ349" s="1035"/>
      <c r="JR349" s="1035"/>
      <c r="JS349" s="1035"/>
      <c r="JT349" s="1035"/>
      <c r="JU349" s="1035"/>
      <c r="JV349" s="1035"/>
      <c r="JW349" s="1035"/>
      <c r="JX349" s="1035"/>
      <c r="JY349" s="1035"/>
      <c r="KP349" s="1117"/>
      <c r="LV349" s="967"/>
    </row>
    <row r="350" spans="1:334">
      <c r="A350" s="967" t="s">
        <v>61</v>
      </c>
      <c r="AX350" s="1059"/>
      <c r="BE350" s="1060"/>
      <c r="BN350" s="1059"/>
      <c r="BU350" s="1060"/>
      <c r="BV350" s="1059"/>
      <c r="CC350" s="1060"/>
      <c r="CD350" s="1059"/>
      <c r="CJ350" s="1061"/>
      <c r="CK350" s="1060"/>
      <c r="CL350" s="1059"/>
      <c r="CS350" s="1060"/>
      <c r="CT350" s="1059"/>
      <c r="CW350" s="1062"/>
      <c r="CX350" s="1062"/>
      <c r="DE350" s="1064"/>
      <c r="DF350" s="1064"/>
      <c r="DM350" s="1064"/>
      <c r="DN350" s="1064"/>
      <c r="DU350" s="1064"/>
      <c r="DV350" s="1064"/>
      <c r="EC350" s="1064"/>
      <c r="ED350" s="1064"/>
      <c r="EH350" s="1181"/>
      <c r="EI350" s="1181"/>
      <c r="EJ350" s="1181"/>
      <c r="EK350" s="1181"/>
      <c r="EL350" s="1181"/>
      <c r="EM350" s="1181"/>
      <c r="EN350" s="1181"/>
      <c r="EO350" s="1182"/>
      <c r="EP350" s="1181"/>
      <c r="EQ350" s="1181"/>
      <c r="ER350" s="1181"/>
      <c r="ES350" s="1181"/>
      <c r="ET350" s="1181"/>
      <c r="EU350" s="1181"/>
      <c r="EV350" s="1181"/>
      <c r="EW350" s="1182"/>
      <c r="EX350" s="1094"/>
      <c r="EY350" s="1094"/>
      <c r="EZ350" s="1094"/>
      <c r="FA350" s="1094"/>
      <c r="FB350" s="1094"/>
      <c r="FC350" s="1094"/>
      <c r="FD350" s="1094"/>
      <c r="FE350" s="1093"/>
      <c r="FF350" s="1094">
        <f t="shared" ref="FF350:FN350" si="1870">FF349/EX349-1</f>
        <v>-0.446666666666667</v>
      </c>
      <c r="FG350" s="1094">
        <f t="shared" si="1870"/>
        <v>-0.318435754189944</v>
      </c>
      <c r="FH350" s="1094">
        <f t="shared" si="1870"/>
        <v>-0.376899696048632</v>
      </c>
      <c r="FI350" s="1094">
        <f t="shared" si="1870"/>
        <v>-0.357575757575758</v>
      </c>
      <c r="FJ350" s="1094">
        <f t="shared" si="1870"/>
        <v>-0.370445344129555</v>
      </c>
      <c r="FK350" s="1094">
        <f t="shared" si="1870"/>
        <v>-0.313333333333333</v>
      </c>
      <c r="FL350" s="1094">
        <f t="shared" si="1870"/>
        <v>-0.336507936507937</v>
      </c>
      <c r="FM350" s="1093">
        <f t="shared" si="1870"/>
        <v>-0.357142857142857</v>
      </c>
      <c r="FN350" s="1094">
        <f t="shared" si="1870"/>
        <v>-0.036144578313253</v>
      </c>
      <c r="FO350" s="1094">
        <f t="shared" ref="FO350:FX350" si="1871">FO349/FG349-1</f>
        <v>-0.188524590163934</v>
      </c>
      <c r="FP350" s="1094">
        <f t="shared" si="1871"/>
        <v>-0.126829268292683</v>
      </c>
      <c r="FQ350" s="1094">
        <f t="shared" si="1871"/>
        <v>0.0566037735849056</v>
      </c>
      <c r="FR350" s="1094">
        <f t="shared" si="1871"/>
        <v>-0.0643086816720257</v>
      </c>
      <c r="FS350" s="1094">
        <f t="shared" si="1871"/>
        <v>0.00970873786407767</v>
      </c>
      <c r="FT350" s="1094">
        <f t="shared" si="1871"/>
        <v>0.0334928229665072</v>
      </c>
      <c r="FU350" s="1094">
        <f t="shared" si="1871"/>
        <v>-0.0458937198067633</v>
      </c>
      <c r="FV350" s="1275">
        <f t="shared" si="1871"/>
        <v>0.25</v>
      </c>
      <c r="FW350" s="1094">
        <f t="shared" si="1871"/>
        <v>0.212121212121212</v>
      </c>
      <c r="FX350" s="1094">
        <f t="shared" si="1871"/>
        <v>0.229050279329609</v>
      </c>
      <c r="FY350" s="1094">
        <f t="shared" ref="FY350" si="1872">FY349/FQ349-1</f>
        <v>0.0178571428571428</v>
      </c>
      <c r="FZ350" s="1094">
        <f t="shared" ref="FZ350" si="1873">FZ349/FR349-1</f>
        <v>0.147766323024055</v>
      </c>
      <c r="GA350" s="1094">
        <f t="shared" ref="GA350" si="1874">GA349/FS349-1</f>
        <v>-0.0865384615384616</v>
      </c>
      <c r="GB350" s="1094">
        <f t="shared" ref="GB350" si="1875">GB349/FT349-1</f>
        <v>-0.0324074074074074</v>
      </c>
      <c r="GC350" s="1093">
        <f t="shared" ref="GC350" si="1876">GC349/FU349-1</f>
        <v>0.0860759493670886</v>
      </c>
      <c r="GD350" s="1275">
        <f>GD349/100-1</f>
        <v>-0.19</v>
      </c>
      <c r="GE350" s="1094">
        <f>((GF350*FX349)-(GD350*FV349))/FW349</f>
        <v>-0.00833333333333345</v>
      </c>
      <c r="GF350" s="1094">
        <f>GF349/220-1</f>
        <v>-0.0909090909090909</v>
      </c>
      <c r="GG350" s="1094">
        <f>GG349/114-1</f>
        <v>-0.0526315789473685</v>
      </c>
      <c r="GH350" s="1094">
        <f>GH349/GA349-1</f>
        <v>2.24210526315789</v>
      </c>
      <c r="GI350" s="1094">
        <f t="shared" ref="GI350" si="1877">GI349/GA349-1</f>
        <v>-0.115789473684211</v>
      </c>
      <c r="GJ350" s="1094">
        <f t="shared" ref="GJ350" si="1878">GJ349/GB349-1</f>
        <v>-0.0813397129186603</v>
      </c>
      <c r="GK350" s="1093">
        <f t="shared" ref="GK350:GN350" si="1879">GK349/GC349-1</f>
        <v>-0.0862470862470862</v>
      </c>
      <c r="GL350" s="1094">
        <f t="shared" si="1879"/>
        <v>0.0123456790123457</v>
      </c>
      <c r="GM350" s="1094">
        <f t="shared" si="1879"/>
        <v>-0.100840336134454</v>
      </c>
      <c r="GN350" s="1094">
        <f t="shared" si="1879"/>
        <v>-0.055</v>
      </c>
      <c r="GO350" s="1094">
        <f>GO349/114-1</f>
        <v>0.0614035087719298</v>
      </c>
      <c r="GP350" s="1094">
        <f>GP349/GI349-1</f>
        <v>2.69047619047619</v>
      </c>
      <c r="GQ350" s="1094">
        <f t="shared" ref="GQ350" si="1880">GQ349/GI349-1</f>
        <v>0.142857142857143</v>
      </c>
      <c r="GR350" s="1094">
        <f t="shared" ref="GR350" si="1881">GR349/GJ349-1</f>
        <v>0.130208333333333</v>
      </c>
      <c r="GS350" s="1093">
        <f t="shared" ref="GS350:GV350" si="1882">GS349/GK349-1</f>
        <v>0.0357142857142858</v>
      </c>
      <c r="GT350" s="1094">
        <f t="shared" si="1882"/>
        <v>0.121951219512195</v>
      </c>
      <c r="GU350" s="1094">
        <f t="shared" si="1882"/>
        <v>-0.411214953271028</v>
      </c>
      <c r="GV350" s="1094">
        <f t="shared" si="1882"/>
        <v>-0.17989417989418</v>
      </c>
      <c r="GW350" s="1094">
        <f>GW349/114-1</f>
        <v>-0.0350877192982456</v>
      </c>
      <c r="GX350" s="1094">
        <f>GX349/GQ349-1</f>
        <v>1.76041666666667</v>
      </c>
      <c r="GY350" s="1094"/>
      <c r="GZ350" s="1094"/>
      <c r="HA350" s="1093"/>
      <c r="HB350" s="1094"/>
      <c r="HC350" s="1094"/>
      <c r="HD350" s="1094"/>
      <c r="HE350" s="1094"/>
      <c r="HF350" s="1094"/>
      <c r="HG350" s="1094"/>
      <c r="HH350" s="1094"/>
      <c r="HI350" s="1093"/>
      <c r="HJ350" s="1094"/>
      <c r="HK350" s="1094"/>
      <c r="HL350" s="1094"/>
      <c r="HM350" s="1094"/>
      <c r="HN350" s="1094"/>
      <c r="HO350" s="1094"/>
      <c r="HP350" s="1094"/>
      <c r="HQ350" s="1093"/>
      <c r="HR350" s="1094"/>
      <c r="HS350" s="1094"/>
      <c r="HT350" s="1094"/>
      <c r="HU350" s="1094"/>
      <c r="HV350" s="1094"/>
      <c r="HW350" s="1094"/>
      <c r="HX350" s="1094"/>
      <c r="HY350" s="1094"/>
      <c r="HZ350" s="1094"/>
      <c r="IA350" s="1094"/>
      <c r="IB350" s="1094"/>
      <c r="IC350" s="1094"/>
      <c r="ID350" s="1094"/>
      <c r="IE350" s="1094"/>
      <c r="IF350" s="1094"/>
      <c r="IG350" s="1093"/>
      <c r="IH350" s="1094"/>
      <c r="II350" s="1094"/>
      <c r="IJ350" s="1094"/>
      <c r="IK350" s="1094"/>
      <c r="IL350" s="1094"/>
      <c r="IM350" s="1094"/>
      <c r="IN350" s="1094"/>
      <c r="IO350" s="1093"/>
      <c r="IP350" s="1094"/>
      <c r="IQ350" s="1094"/>
      <c r="IR350" s="1094"/>
      <c r="IS350" s="1094"/>
      <c r="IT350" s="1094"/>
      <c r="IU350" s="1094"/>
      <c r="IV350" s="1094"/>
      <c r="IW350" s="1094"/>
      <c r="IX350" s="1104"/>
      <c r="IY350" s="1049"/>
      <c r="IZ350" s="1049"/>
      <c r="JA350" s="1049"/>
      <c r="JB350" s="1049"/>
      <c r="JC350" s="1049"/>
      <c r="JD350" s="1041"/>
      <c r="JE350" s="1037"/>
      <c r="JF350" s="1037"/>
      <c r="JG350" s="1037"/>
      <c r="JH350" s="1037"/>
      <c r="JI350" s="1035"/>
      <c r="JJ350" s="1035"/>
      <c r="JK350" s="1035"/>
      <c r="JL350" s="1035"/>
      <c r="JM350" s="1035"/>
      <c r="JN350" s="1035"/>
      <c r="JO350" s="1035"/>
      <c r="JP350" s="1035"/>
      <c r="JQ350" s="1035"/>
      <c r="JR350" s="1035"/>
      <c r="JS350" s="1035"/>
      <c r="JT350" s="1035"/>
      <c r="JU350" s="1035"/>
      <c r="JV350" s="1035"/>
      <c r="JW350" s="1035"/>
      <c r="JX350" s="1035"/>
      <c r="JY350" s="1035"/>
      <c r="KP350" s="1117"/>
      <c r="LV350" s="967"/>
    </row>
    <row r="351" spans="1:334">
      <c r="A351" s="967" t="s">
        <v>128</v>
      </c>
      <c r="AX351" s="1059"/>
      <c r="BE351" s="1060"/>
      <c r="BN351" s="1059"/>
      <c r="BU351" s="1060"/>
      <c r="BV351" s="1059"/>
      <c r="CC351" s="1060"/>
      <c r="CD351" s="1059"/>
      <c r="CJ351" s="1061"/>
      <c r="CK351" s="1060"/>
      <c r="CL351" s="1059"/>
      <c r="CS351" s="1060"/>
      <c r="CT351" s="1059"/>
      <c r="CW351" s="1062"/>
      <c r="CX351" s="1062"/>
      <c r="DE351" s="1064"/>
      <c r="DF351" s="1064"/>
      <c r="DM351" s="1064"/>
      <c r="DN351" s="1064"/>
      <c r="DU351" s="1064"/>
      <c r="DV351" s="1064"/>
      <c r="EC351" s="1064"/>
      <c r="ED351" s="1064"/>
      <c r="EH351" s="1181"/>
      <c r="EI351" s="1181"/>
      <c r="EJ351" s="1181"/>
      <c r="EK351" s="1181"/>
      <c r="EL351" s="1181"/>
      <c r="EM351" s="1181"/>
      <c r="EN351" s="1181"/>
      <c r="EO351" s="1182"/>
      <c r="EP351" s="1181"/>
      <c r="EQ351" s="1181"/>
      <c r="ER351" s="1181"/>
      <c r="ES351" s="1181"/>
      <c r="ET351" s="1181"/>
      <c r="EU351" s="1181"/>
      <c r="EV351" s="1181"/>
      <c r="EW351" s="1182"/>
      <c r="EX351" s="1094">
        <f>EX349/EX$257</f>
        <v>0.612244897959184</v>
      </c>
      <c r="EY351" s="1094">
        <f t="shared" ref="EY351:FK351" si="1883">EY349/EY$257</f>
        <v>0.608843537414966</v>
      </c>
      <c r="EZ351" s="1094">
        <f t="shared" si="1883"/>
        <v>0.61038961038961</v>
      </c>
      <c r="FA351" s="1094">
        <f t="shared" si="1883"/>
        <v>0.557432432432432</v>
      </c>
      <c r="FB351" s="1094">
        <f t="shared" si="1883"/>
        <v>0.591616766467066</v>
      </c>
      <c r="FC351" s="1094">
        <f t="shared" si="1883"/>
        <v>0.570342205323194</v>
      </c>
      <c r="FD351" s="1094">
        <f t="shared" si="1883"/>
        <v>0.56350626118068</v>
      </c>
      <c r="FE351" s="1093">
        <f t="shared" si="1883"/>
        <v>0.586520947176685</v>
      </c>
      <c r="FF351" s="1094">
        <f t="shared" si="1883"/>
        <v>0.512345679012346</v>
      </c>
      <c r="FG351" s="1094">
        <f t="shared" si="1883"/>
        <v>0.598039215686274</v>
      </c>
      <c r="FH351" s="1094">
        <f t="shared" si="1883"/>
        <v>0.560109289617486</v>
      </c>
      <c r="FI351" s="1094">
        <f t="shared" si="1883"/>
        <v>0.543589743589744</v>
      </c>
      <c r="FJ351" s="1094">
        <f t="shared" si="1883"/>
        <v>0.554367201426025</v>
      </c>
      <c r="FK351" s="1094">
        <f t="shared" si="1883"/>
        <v>0.578651685393258</v>
      </c>
      <c r="FL351" s="1094">
        <f>FL349/FL194</f>
        <v>0.560321715817694</v>
      </c>
      <c r="FM351" s="1093">
        <f>FM349/FM194</f>
        <v>0.56021650879567</v>
      </c>
      <c r="FN351" s="1094">
        <f t="shared" ref="FN351:FS351" si="1884">FN349/FN$257</f>
        <v>0.579710144927536</v>
      </c>
      <c r="FO351" s="1094">
        <f t="shared" si="1884"/>
        <v>0.575581395348837</v>
      </c>
      <c r="FP351" s="1094">
        <f t="shared" si="1884"/>
        <v>0.57741935483871</v>
      </c>
      <c r="FQ351" s="1094">
        <f t="shared" si="1884"/>
        <v>0.574358974358974</v>
      </c>
      <c r="FR351" s="1094">
        <f t="shared" si="1884"/>
        <v>0.576237623762376</v>
      </c>
      <c r="FS351" s="1094">
        <f t="shared" si="1884"/>
        <v>0.597701149425287</v>
      </c>
      <c r="FT351" s="1094">
        <f>FT349/FT194</f>
        <v>0.585365853658537</v>
      </c>
      <c r="FU351" s="1094">
        <f>FU349/FU194</f>
        <v>0.581737849779087</v>
      </c>
      <c r="FV351" s="1275">
        <f>FV349/FV$257</f>
        <v>0.625</v>
      </c>
      <c r="FW351" s="1094">
        <f>FW349/FW$257</f>
        <v>0.662983425414365</v>
      </c>
      <c r="FX351" s="1094">
        <f>FX349/FX$257</f>
        <v>0.645161290322581</v>
      </c>
      <c r="FY351" s="1094">
        <f t="shared" ref="FY351:GA351" si="1885">FY349/FY$257</f>
        <v>0.658959537572254</v>
      </c>
      <c r="FZ351" s="1094">
        <f t="shared" si="1885"/>
        <v>0.649805447470817</v>
      </c>
      <c r="GA351" s="1094">
        <f t="shared" si="1885"/>
        <v>0.650684931506849</v>
      </c>
      <c r="GB351" s="1094">
        <f>GB349/GB194</f>
        <v>0.655172413793103</v>
      </c>
      <c r="GC351" s="1093">
        <f>GC349/GC194</f>
        <v>0.65</v>
      </c>
      <c r="GD351" s="1275">
        <f>GD349/GD$257</f>
        <v>0.680672268907562</v>
      </c>
      <c r="GE351" s="1094">
        <f>GE349/GE$257</f>
        <v>0.672316384180791</v>
      </c>
      <c r="GF351" s="1094">
        <f>GF349/GF$257</f>
        <v>0.675675675675675</v>
      </c>
      <c r="GG351" s="1094">
        <f>GG349/GG$257</f>
        <v>0.650602409638554</v>
      </c>
      <c r="GH351" s="1094">
        <f t="shared" ref="GH351:GI351" si="1886">GH349/GH$257</f>
        <v>0.666666666666666</v>
      </c>
      <c r="GI351" s="1094">
        <f t="shared" si="1886"/>
        <v>0.636363636363636</v>
      </c>
      <c r="GJ351" s="1094">
        <f>GJ349/GJ194</f>
        <v>0.644295302013423</v>
      </c>
      <c r="GK351" s="1093">
        <f>GK349/GK194</f>
        <v>0.65993265993266</v>
      </c>
      <c r="GL351" s="1094">
        <f>GL349/GL$257</f>
        <v>0.602941176470588</v>
      </c>
      <c r="GM351" s="1094">
        <f>GM349/GM$257</f>
        <v>0.625730994152047</v>
      </c>
      <c r="GN351" s="1094">
        <f>GN349/GN$257</f>
        <v>0.615635179153095</v>
      </c>
      <c r="GO351" s="1094">
        <f>GO349/GO$257</f>
        <v>0.608040201005025</v>
      </c>
      <c r="GP351" s="1094">
        <f t="shared" ref="GP351:GQ351" si="1887">GP349/GP$257</f>
        <v>0.612648221343873</v>
      </c>
      <c r="GQ351" s="1094">
        <f t="shared" si="1887"/>
        <v>0.627450980392157</v>
      </c>
      <c r="GR351" s="1094">
        <f>GR349/GR194</f>
        <v>0.616477272727272</v>
      </c>
      <c r="GS351" s="1093">
        <f>GS349/GS194</f>
        <v>0.61608497723824</v>
      </c>
      <c r="GT351" s="1094">
        <f>GT349/GT$257</f>
        <v>0.597402597402597</v>
      </c>
      <c r="GU351" s="1094">
        <f>GU349/GU$257</f>
        <v>0.605769230769231</v>
      </c>
      <c r="GV351" s="1094">
        <f>GV349/GV$257</f>
        <v>0.60077519379845</v>
      </c>
      <c r="GW351" s="1094">
        <f>GW349/GW$257</f>
        <v>0.588046616059018</v>
      </c>
      <c r="GX351" s="1094">
        <f t="shared" ref="GX351" si="1888">GX349/GX$257</f>
        <v>0.595425335909765</v>
      </c>
      <c r="GY351" s="1094"/>
      <c r="GZ351" s="1094"/>
      <c r="HA351" s="1093"/>
      <c r="HB351" s="1094"/>
      <c r="HC351" s="1094"/>
      <c r="HD351" s="1094"/>
      <c r="HE351" s="1094"/>
      <c r="HF351" s="1094"/>
      <c r="HG351" s="1094"/>
      <c r="HH351" s="1094"/>
      <c r="HI351" s="1093"/>
      <c r="HJ351" s="1094"/>
      <c r="HK351" s="1094"/>
      <c r="HL351" s="1094"/>
      <c r="HM351" s="1094"/>
      <c r="HN351" s="1094"/>
      <c r="HO351" s="1094"/>
      <c r="HP351" s="1094"/>
      <c r="HQ351" s="1093"/>
      <c r="HR351" s="1094"/>
      <c r="HS351" s="1094"/>
      <c r="HT351" s="1094"/>
      <c r="HU351" s="1094"/>
      <c r="HV351" s="1094"/>
      <c r="HW351" s="1094"/>
      <c r="HX351" s="1094"/>
      <c r="HY351" s="1094"/>
      <c r="HZ351" s="1094"/>
      <c r="IA351" s="1094"/>
      <c r="IB351" s="1094"/>
      <c r="IC351" s="1094"/>
      <c r="ID351" s="1094"/>
      <c r="IE351" s="1094"/>
      <c r="IF351" s="1094"/>
      <c r="IG351" s="1093"/>
      <c r="IH351" s="1094"/>
      <c r="II351" s="1094"/>
      <c r="IJ351" s="1094"/>
      <c r="IK351" s="1094"/>
      <c r="IL351" s="1094"/>
      <c r="IM351" s="1094"/>
      <c r="IN351" s="1094"/>
      <c r="IO351" s="1093"/>
      <c r="IP351" s="1094"/>
      <c r="IQ351" s="1094"/>
      <c r="IR351" s="1094"/>
      <c r="IS351" s="1094"/>
      <c r="IT351" s="1094"/>
      <c r="IU351" s="1094"/>
      <c r="IV351" s="1094"/>
      <c r="IW351" s="1094"/>
      <c r="IX351" s="1104"/>
      <c r="IY351" s="1049"/>
      <c r="IZ351" s="1049"/>
      <c r="JA351" s="1049"/>
      <c r="JB351" s="1049"/>
      <c r="JC351" s="1049"/>
      <c r="JD351" s="1041"/>
      <c r="JE351" s="1037"/>
      <c r="JF351" s="1037"/>
      <c r="JG351" s="1037"/>
      <c r="JH351" s="1037"/>
      <c r="JI351" s="1035"/>
      <c r="JJ351" s="1035"/>
      <c r="JK351" s="1035"/>
      <c r="JL351" s="1035"/>
      <c r="JM351" s="1035"/>
      <c r="JN351" s="1035"/>
      <c r="JO351" s="1035"/>
      <c r="JP351" s="1035"/>
      <c r="JQ351" s="1035"/>
      <c r="JR351" s="1035"/>
      <c r="JS351" s="1035"/>
      <c r="JT351" s="1035"/>
      <c r="JU351" s="1035"/>
      <c r="JV351" s="1035"/>
      <c r="JW351" s="1035"/>
      <c r="JX351" s="1035"/>
      <c r="JY351" s="1035"/>
      <c r="KP351" s="1117"/>
      <c r="LV351" s="967"/>
    </row>
    <row r="352" spans="1:334">
      <c r="A352" s="967" t="s">
        <v>129</v>
      </c>
      <c r="AX352" s="1059"/>
      <c r="BE352" s="1060"/>
      <c r="BN352" s="1059"/>
      <c r="BU352" s="1060"/>
      <c r="BV352" s="1059"/>
      <c r="CC352" s="1060"/>
      <c r="CD352" s="1059"/>
      <c r="CJ352" s="1061"/>
      <c r="CK352" s="1060"/>
      <c r="CL352" s="1059"/>
      <c r="CS352" s="1060"/>
      <c r="CT352" s="1059"/>
      <c r="CW352" s="1062"/>
      <c r="CX352" s="1062"/>
      <c r="DE352" s="1064"/>
      <c r="DF352" s="1064"/>
      <c r="DM352" s="1064"/>
      <c r="DN352" s="1064"/>
      <c r="DU352" s="1064"/>
      <c r="DV352" s="1064"/>
      <c r="EC352" s="1064"/>
      <c r="ED352" s="1064"/>
      <c r="EH352" s="1181"/>
      <c r="EI352" s="1181"/>
      <c r="EJ352" s="1181"/>
      <c r="EK352" s="1181"/>
      <c r="EL352" s="1181"/>
      <c r="EM352" s="1181"/>
      <c r="EN352" s="1181"/>
      <c r="EO352" s="1182"/>
      <c r="EP352" s="1181"/>
      <c r="EQ352" s="1181"/>
      <c r="ER352" s="1181"/>
      <c r="ES352" s="1181"/>
      <c r="ET352" s="1181"/>
      <c r="EU352" s="1181"/>
      <c r="EV352" s="1181"/>
      <c r="EW352" s="1182"/>
      <c r="EX352" s="1148">
        <f>EX349-EX355</f>
        <v>126</v>
      </c>
      <c r="EY352" s="1148">
        <f t="shared" ref="EY352:FE352" si="1889">EY349-EY355</f>
        <v>124</v>
      </c>
      <c r="EZ352" s="1148">
        <f t="shared" si="1889"/>
        <v>250</v>
      </c>
      <c r="FA352" s="1148">
        <f t="shared" si="1889"/>
        <v>118</v>
      </c>
      <c r="FB352" s="1148">
        <f t="shared" si="1889"/>
        <v>368</v>
      </c>
      <c r="FC352" s="1148">
        <f t="shared" si="1889"/>
        <v>103</v>
      </c>
      <c r="FD352" s="1148">
        <f t="shared" si="1889"/>
        <v>221</v>
      </c>
      <c r="FE352" s="1149">
        <f t="shared" si="1889"/>
        <v>471</v>
      </c>
      <c r="FF352" s="1148">
        <f t="shared" ref="FF352:FL352" si="1890">FF349-FF355</f>
        <v>81</v>
      </c>
      <c r="FG352" s="1148">
        <f t="shared" si="1890"/>
        <v>91</v>
      </c>
      <c r="FH352" s="1148">
        <f t="shared" si="1890"/>
        <v>172</v>
      </c>
      <c r="FI352" s="1148">
        <f t="shared" si="1890"/>
        <v>84</v>
      </c>
      <c r="FJ352" s="1148">
        <f t="shared" si="1890"/>
        <v>256</v>
      </c>
      <c r="FK352" s="1148">
        <f t="shared" si="1890"/>
        <v>73</v>
      </c>
      <c r="FL352" s="1148">
        <f t="shared" si="1890"/>
        <v>157</v>
      </c>
      <c r="FM352" s="1149">
        <f t="shared" ref="FM352:FX352" si="1891">FM349-FM355</f>
        <v>329</v>
      </c>
      <c r="FN352" s="1148">
        <f t="shared" si="1891"/>
        <v>66</v>
      </c>
      <c r="FO352" s="1148">
        <f t="shared" si="1891"/>
        <v>67</v>
      </c>
      <c r="FP352" s="1148">
        <f t="shared" si="1891"/>
        <v>133</v>
      </c>
      <c r="FQ352" s="1148">
        <f t="shared" si="1891"/>
        <v>80</v>
      </c>
      <c r="FR352" s="1148">
        <f t="shared" si="1891"/>
        <v>213</v>
      </c>
      <c r="FS352" s="1148">
        <f t="shared" si="1891"/>
        <v>77</v>
      </c>
      <c r="FT352" s="1148">
        <f t="shared" si="1891"/>
        <v>157</v>
      </c>
      <c r="FU352" s="1148">
        <f t="shared" si="1891"/>
        <v>290</v>
      </c>
      <c r="FV352" s="1151">
        <f t="shared" si="1891"/>
        <v>87</v>
      </c>
      <c r="FW352" s="1148">
        <f t="shared" si="1891"/>
        <v>75</v>
      </c>
      <c r="FX352" s="1148">
        <f t="shared" si="1891"/>
        <v>162</v>
      </c>
      <c r="FY352" s="1148">
        <f t="shared" ref="FY352:GG352" si="1892">FY349-FY355</f>
        <v>67</v>
      </c>
      <c r="FZ352" s="1148">
        <f t="shared" si="1892"/>
        <v>229</v>
      </c>
      <c r="GA352" s="1148">
        <f t="shared" si="1892"/>
        <v>64</v>
      </c>
      <c r="GB352" s="1148">
        <f t="shared" si="1892"/>
        <v>131</v>
      </c>
      <c r="GC352" s="1149">
        <f t="shared" si="1892"/>
        <v>293</v>
      </c>
      <c r="GD352" s="1151">
        <f t="shared" si="1892"/>
        <v>63</v>
      </c>
      <c r="GE352" s="1148">
        <f t="shared" si="1892"/>
        <v>70</v>
      </c>
      <c r="GF352" s="1148">
        <f t="shared" si="1892"/>
        <v>133</v>
      </c>
      <c r="GG352" s="1148">
        <f t="shared" si="1892"/>
        <v>61</v>
      </c>
      <c r="GH352" s="1148">
        <f t="shared" ref="GH352:GO352" si="1893">GH349-GH355</f>
        <v>194</v>
      </c>
      <c r="GI352" s="1148">
        <f t="shared" si="1893"/>
        <v>52</v>
      </c>
      <c r="GJ352" s="1148">
        <f t="shared" si="1893"/>
        <v>113</v>
      </c>
      <c r="GK352" s="1149">
        <f t="shared" si="1893"/>
        <v>246</v>
      </c>
      <c r="GL352" s="1148">
        <f t="shared" si="1893"/>
        <v>56</v>
      </c>
      <c r="GM352" s="1148">
        <f t="shared" si="1893"/>
        <v>62</v>
      </c>
      <c r="GN352" s="1148">
        <f t="shared" si="1893"/>
        <v>118</v>
      </c>
      <c r="GO352" s="1148">
        <f t="shared" si="1893"/>
        <v>61</v>
      </c>
      <c r="GP352" s="1148">
        <f t="shared" ref="GP352:GW352" si="1894">GP349-GP355</f>
        <v>179</v>
      </c>
      <c r="GQ352" s="1148">
        <f t="shared" si="1894"/>
        <v>60</v>
      </c>
      <c r="GR352" s="1148">
        <f t="shared" si="1894"/>
        <v>121</v>
      </c>
      <c r="GS352" s="1149">
        <f t="shared" si="1894"/>
        <v>239</v>
      </c>
      <c r="GT352" s="1148">
        <f t="shared" si="1894"/>
        <v>58</v>
      </c>
      <c r="GU352" s="1148">
        <f t="shared" si="1894"/>
        <v>38</v>
      </c>
      <c r="GV352" s="1148">
        <f t="shared" si="1894"/>
        <v>96</v>
      </c>
      <c r="GW352" s="1148">
        <f t="shared" si="1894"/>
        <v>54</v>
      </c>
      <c r="GX352" s="1148">
        <f t="shared" ref="GX352" si="1895">GX349-GX355</f>
        <v>150</v>
      </c>
      <c r="GY352" s="1148"/>
      <c r="GZ352" s="1148"/>
      <c r="HA352" s="1149"/>
      <c r="HB352" s="1148"/>
      <c r="HC352" s="1148"/>
      <c r="HD352" s="1148"/>
      <c r="HE352" s="1148"/>
      <c r="HF352" s="1148"/>
      <c r="HG352" s="1148"/>
      <c r="HH352" s="1148"/>
      <c r="HI352" s="1149"/>
      <c r="HJ352" s="1148"/>
      <c r="HK352" s="1148"/>
      <c r="HL352" s="1148"/>
      <c r="HM352" s="1148"/>
      <c r="HN352" s="1148"/>
      <c r="HO352" s="1148"/>
      <c r="HP352" s="1148"/>
      <c r="HQ352" s="1149"/>
      <c r="HR352" s="1148"/>
      <c r="HS352" s="1148"/>
      <c r="HT352" s="1148"/>
      <c r="HU352" s="1148"/>
      <c r="HV352" s="1148"/>
      <c r="HW352" s="1148"/>
      <c r="HX352" s="1148"/>
      <c r="HY352" s="1148"/>
      <c r="HZ352" s="1148"/>
      <c r="IA352" s="1148"/>
      <c r="IB352" s="1148"/>
      <c r="IC352" s="1148"/>
      <c r="ID352" s="1148"/>
      <c r="IE352" s="1148"/>
      <c r="IF352" s="1148"/>
      <c r="IG352" s="1149"/>
      <c r="IH352" s="1148"/>
      <c r="II352" s="1148"/>
      <c r="IJ352" s="1148"/>
      <c r="IK352" s="1148"/>
      <c r="IL352" s="1148"/>
      <c r="IM352" s="1148"/>
      <c r="IN352" s="1148"/>
      <c r="IO352" s="1149"/>
      <c r="IP352" s="1148"/>
      <c r="IQ352" s="1148"/>
      <c r="IR352" s="1148"/>
      <c r="IS352" s="1148"/>
      <c r="IT352" s="1148"/>
      <c r="IU352" s="1148"/>
      <c r="IV352" s="1148"/>
      <c r="IW352" s="1148"/>
      <c r="IX352" s="1104"/>
      <c r="IY352" s="1049"/>
      <c r="IZ352" s="1049"/>
      <c r="JA352" s="1049"/>
      <c r="JB352" s="1049"/>
      <c r="JC352" s="1049"/>
      <c r="JD352" s="1041"/>
      <c r="JE352" s="1037"/>
      <c r="JF352" s="1037"/>
      <c r="JG352" s="1037"/>
      <c r="JH352" s="1037"/>
      <c r="JI352" s="1035"/>
      <c r="JJ352" s="1035"/>
      <c r="JK352" s="1035"/>
      <c r="JL352" s="1035"/>
      <c r="JM352" s="1035"/>
      <c r="JN352" s="1035"/>
      <c r="JO352" s="1035"/>
      <c r="JP352" s="1035"/>
      <c r="JQ352" s="1035"/>
      <c r="JR352" s="1035"/>
      <c r="JS352" s="1035"/>
      <c r="JT352" s="1035"/>
      <c r="JU352" s="1035"/>
      <c r="JV352" s="1035"/>
      <c r="JW352" s="1035"/>
      <c r="JX352" s="1035"/>
      <c r="JY352" s="1035"/>
      <c r="KP352" s="1117"/>
      <c r="LV352" s="967"/>
    </row>
    <row r="353" spans="1:334">
      <c r="A353" s="967" t="s">
        <v>61</v>
      </c>
      <c r="AX353" s="1059"/>
      <c r="BE353" s="1060"/>
      <c r="BN353" s="1059"/>
      <c r="BU353" s="1060"/>
      <c r="BV353" s="1059"/>
      <c r="CC353" s="1060"/>
      <c r="CD353" s="1059"/>
      <c r="CJ353" s="1061"/>
      <c r="CK353" s="1060"/>
      <c r="CL353" s="1059"/>
      <c r="CS353" s="1060"/>
      <c r="CT353" s="1059"/>
      <c r="CW353" s="1062"/>
      <c r="CX353" s="1062"/>
      <c r="DE353" s="1064"/>
      <c r="DF353" s="1064"/>
      <c r="DM353" s="1064"/>
      <c r="DN353" s="1064"/>
      <c r="DU353" s="1064"/>
      <c r="DV353" s="1064"/>
      <c r="EC353" s="1064"/>
      <c r="ED353" s="1064"/>
      <c r="EH353" s="1181"/>
      <c r="EI353" s="1181"/>
      <c r="EJ353" s="1181"/>
      <c r="EK353" s="1181"/>
      <c r="EL353" s="1181"/>
      <c r="EM353" s="1181"/>
      <c r="EN353" s="1181"/>
      <c r="EO353" s="1182"/>
      <c r="EP353" s="1181"/>
      <c r="EQ353" s="1181"/>
      <c r="ER353" s="1181"/>
      <c r="ES353" s="1181"/>
      <c r="ET353" s="1181"/>
      <c r="EU353" s="1181"/>
      <c r="EV353" s="1181"/>
      <c r="EW353" s="1182"/>
      <c r="EX353" s="1094"/>
      <c r="EY353" s="1094"/>
      <c r="EZ353" s="1094"/>
      <c r="FA353" s="1094"/>
      <c r="FB353" s="1094"/>
      <c r="FC353" s="1094"/>
      <c r="FD353" s="1094"/>
      <c r="FE353" s="1093"/>
      <c r="FF353" s="1094">
        <f t="shared" ref="FF353:FL353" si="1896">FF352/EX352-1</f>
        <v>-0.357142857142857</v>
      </c>
      <c r="FG353" s="1094">
        <f t="shared" si="1896"/>
        <v>-0.266129032258065</v>
      </c>
      <c r="FH353" s="1094">
        <f t="shared" si="1896"/>
        <v>-0.312</v>
      </c>
      <c r="FI353" s="1094">
        <f t="shared" si="1896"/>
        <v>-0.288135593220339</v>
      </c>
      <c r="FJ353" s="1094">
        <f t="shared" si="1896"/>
        <v>-0.304347826086957</v>
      </c>
      <c r="FK353" s="1094">
        <f t="shared" si="1896"/>
        <v>-0.29126213592233</v>
      </c>
      <c r="FL353" s="1094">
        <f t="shared" si="1896"/>
        <v>-0.289592760180995</v>
      </c>
      <c r="FM353" s="1093">
        <f t="shared" ref="FM353:FR353" si="1897">FM352/FE352-1</f>
        <v>-0.301486199575372</v>
      </c>
      <c r="FN353" s="1094">
        <f t="shared" si="1897"/>
        <v>-0.185185185185185</v>
      </c>
      <c r="FO353" s="1094">
        <f t="shared" si="1897"/>
        <v>-0.263736263736264</v>
      </c>
      <c r="FP353" s="1094">
        <f t="shared" si="1897"/>
        <v>-0.226744186046512</v>
      </c>
      <c r="FQ353" s="1094">
        <f t="shared" si="1897"/>
        <v>-0.0476190476190477</v>
      </c>
      <c r="FR353" s="1094">
        <f t="shared" si="1897"/>
        <v>-0.16796875</v>
      </c>
      <c r="FS353" s="1094">
        <f t="shared" ref="FS353:FX353" si="1898">FS352/FK352-1</f>
        <v>0.0547945205479452</v>
      </c>
      <c r="FT353" s="1094">
        <f t="shared" si="1898"/>
        <v>0</v>
      </c>
      <c r="FU353" s="1094">
        <f t="shared" si="1898"/>
        <v>-0.11854103343465</v>
      </c>
      <c r="FV353" s="1275">
        <f t="shared" si="1898"/>
        <v>0.318181818181818</v>
      </c>
      <c r="FW353" s="1094">
        <f t="shared" si="1898"/>
        <v>0.119402985074627</v>
      </c>
      <c r="FX353" s="1094">
        <f t="shared" si="1898"/>
        <v>0.218045112781955</v>
      </c>
      <c r="FY353" s="1094">
        <f t="shared" ref="FY353" si="1899">FY352/FQ352-1</f>
        <v>-0.1625</v>
      </c>
      <c r="FZ353" s="1094">
        <f t="shared" ref="FZ353" si="1900">FZ352/FR352-1</f>
        <v>0.0751173708920188</v>
      </c>
      <c r="GA353" s="1094">
        <f t="shared" ref="GA353" si="1901">GA352/FS352-1</f>
        <v>-0.168831168831169</v>
      </c>
      <c r="GB353" s="1094">
        <f t="shared" ref="GB353" si="1902">GB352/FT352-1</f>
        <v>-0.165605095541401</v>
      </c>
      <c r="GC353" s="1093">
        <f t="shared" ref="GC353" si="1903">GC352/FU352-1</f>
        <v>0.0103448275862068</v>
      </c>
      <c r="GD353" s="1275">
        <f>GD352/86-1</f>
        <v>-0.267441860465116</v>
      </c>
      <c r="GE353" s="1094">
        <f>((GF353*FX352)-(GD353*FV352))/FW352</f>
        <v>-0.0764341085271318</v>
      </c>
      <c r="GF353" s="1094">
        <f>GF352/(220-58)-1</f>
        <v>-0.179012345679012</v>
      </c>
      <c r="GG353" s="1094">
        <f>GG352/(114-47)-1</f>
        <v>-0.0895522388059702</v>
      </c>
      <c r="GH353" s="1094">
        <f>AVERAGE(GG353,GE353,GD353)</f>
        <v>-0.144476069266073</v>
      </c>
      <c r="GI353" s="1094">
        <f t="shared" ref="GI353" si="1904">GI352/GA352-1</f>
        <v>-0.1875</v>
      </c>
      <c r="GJ353" s="1094">
        <f t="shared" ref="GJ353" si="1905">GJ352/GB352-1</f>
        <v>-0.137404580152672</v>
      </c>
      <c r="GK353" s="1093">
        <f t="shared" ref="GK353:GN353" si="1906">GK352/GC352-1</f>
        <v>-0.160409556313993</v>
      </c>
      <c r="GL353" s="1094">
        <f t="shared" si="1906"/>
        <v>-0.111111111111111</v>
      </c>
      <c r="GM353" s="1094">
        <f t="shared" si="1906"/>
        <v>-0.114285714285714</v>
      </c>
      <c r="GN353" s="1094">
        <f t="shared" si="1906"/>
        <v>-0.112781954887218</v>
      </c>
      <c r="GO353" s="1094">
        <f>GO352/(114-47)-1</f>
        <v>-0.0895522388059702</v>
      </c>
      <c r="GP353" s="1094">
        <f>AVERAGE(GO353,GM353,GL353)</f>
        <v>-0.104983021400932</v>
      </c>
      <c r="GQ353" s="1094">
        <f t="shared" ref="GQ353" si="1907">GQ352/GI352-1</f>
        <v>0.153846153846154</v>
      </c>
      <c r="GR353" s="1094">
        <f t="shared" ref="GR353" si="1908">GR352/GJ352-1</f>
        <v>0.0707964601769913</v>
      </c>
      <c r="GS353" s="1093">
        <f t="shared" ref="GS353:GV353" si="1909">GS352/GK352-1</f>
        <v>-0.0284552845528455</v>
      </c>
      <c r="GT353" s="1094">
        <f t="shared" si="1909"/>
        <v>0.0357142857142858</v>
      </c>
      <c r="GU353" s="1094">
        <f t="shared" si="1909"/>
        <v>-0.387096774193548</v>
      </c>
      <c r="GV353" s="1094">
        <f t="shared" si="1909"/>
        <v>-0.186440677966102</v>
      </c>
      <c r="GW353" s="1094">
        <f>GW352/(114-47)-1</f>
        <v>-0.194029850746269</v>
      </c>
      <c r="GX353" s="1094">
        <f>AVERAGE(GW353,GU353,GT353)</f>
        <v>-0.181804113075177</v>
      </c>
      <c r="GY353" s="1094"/>
      <c r="GZ353" s="1094"/>
      <c r="HA353" s="1093"/>
      <c r="HB353" s="1094"/>
      <c r="HC353" s="1094"/>
      <c r="HD353" s="1094"/>
      <c r="HE353" s="1094"/>
      <c r="HF353" s="1094"/>
      <c r="HG353" s="1094"/>
      <c r="HH353" s="1094"/>
      <c r="HI353" s="1093"/>
      <c r="HJ353" s="1094"/>
      <c r="HK353" s="1094"/>
      <c r="HL353" s="1094"/>
      <c r="HM353" s="1094"/>
      <c r="HN353" s="1094"/>
      <c r="HO353" s="1094"/>
      <c r="HP353" s="1094"/>
      <c r="HQ353" s="1093"/>
      <c r="HR353" s="1094"/>
      <c r="HS353" s="1094"/>
      <c r="HT353" s="1094"/>
      <c r="HU353" s="1094"/>
      <c r="HV353" s="1094"/>
      <c r="HW353" s="1094"/>
      <c r="HX353" s="1094"/>
      <c r="HY353" s="1094"/>
      <c r="HZ353" s="1094"/>
      <c r="IA353" s="1094"/>
      <c r="IB353" s="1094"/>
      <c r="IC353" s="1094"/>
      <c r="ID353" s="1094"/>
      <c r="IE353" s="1094"/>
      <c r="IF353" s="1094"/>
      <c r="IG353" s="1093"/>
      <c r="IH353" s="1094"/>
      <c r="II353" s="1094"/>
      <c r="IJ353" s="1094"/>
      <c r="IK353" s="1094"/>
      <c r="IL353" s="1094"/>
      <c r="IM353" s="1094"/>
      <c r="IN353" s="1094"/>
      <c r="IO353" s="1093"/>
      <c r="IP353" s="1094"/>
      <c r="IQ353" s="1094"/>
      <c r="IR353" s="1094"/>
      <c r="IS353" s="1094"/>
      <c r="IT353" s="1094"/>
      <c r="IU353" s="1094"/>
      <c r="IV353" s="1094"/>
      <c r="IW353" s="1094"/>
      <c r="IX353" s="1104"/>
      <c r="IY353" s="1049"/>
      <c r="IZ353" s="1049"/>
      <c r="JA353" s="1049"/>
      <c r="JB353" s="1049"/>
      <c r="JC353" s="1049"/>
      <c r="JD353" s="1041"/>
      <c r="JE353" s="1037"/>
      <c r="JF353" s="1037"/>
      <c r="JG353" s="1037"/>
      <c r="JH353" s="1037"/>
      <c r="JI353" s="1035"/>
      <c r="JJ353" s="1035"/>
      <c r="JK353" s="1035"/>
      <c r="JL353" s="1035"/>
      <c r="JM353" s="1035"/>
      <c r="JN353" s="1035"/>
      <c r="JO353" s="1035"/>
      <c r="JP353" s="1035"/>
      <c r="JQ353" s="1035"/>
      <c r="JR353" s="1035"/>
      <c r="JS353" s="1035"/>
      <c r="JT353" s="1035"/>
      <c r="JU353" s="1035"/>
      <c r="JV353" s="1035"/>
      <c r="JW353" s="1035"/>
      <c r="JX353" s="1035"/>
      <c r="JY353" s="1035"/>
      <c r="KP353" s="1117"/>
      <c r="LV353" s="967"/>
    </row>
    <row r="354" spans="1:334">
      <c r="A354" s="967" t="s">
        <v>130</v>
      </c>
      <c r="AX354" s="1059"/>
      <c r="BE354" s="1060"/>
      <c r="BN354" s="1059"/>
      <c r="BU354" s="1060"/>
      <c r="BV354" s="1059"/>
      <c r="CC354" s="1060"/>
      <c r="CD354" s="1059"/>
      <c r="CJ354" s="1061"/>
      <c r="CK354" s="1060"/>
      <c r="CL354" s="1059"/>
      <c r="CS354" s="1060"/>
      <c r="CT354" s="1059"/>
      <c r="CW354" s="1062"/>
      <c r="CX354" s="1062"/>
      <c r="DE354" s="1064"/>
      <c r="DF354" s="1064"/>
      <c r="DM354" s="1064"/>
      <c r="DN354" s="1064"/>
      <c r="DU354" s="1064"/>
      <c r="DV354" s="1064"/>
      <c r="EC354" s="1064"/>
      <c r="ED354" s="1064"/>
      <c r="EH354" s="1181"/>
      <c r="EI354" s="1181"/>
      <c r="EJ354" s="1181"/>
      <c r="EK354" s="1181"/>
      <c r="EL354" s="1181"/>
      <c r="EM354" s="1181"/>
      <c r="EN354" s="1181"/>
      <c r="EO354" s="1182"/>
      <c r="EP354" s="1181"/>
      <c r="EQ354" s="1181"/>
      <c r="ER354" s="1181"/>
      <c r="ES354" s="1181"/>
      <c r="ET354" s="1181"/>
      <c r="EU354" s="1181"/>
      <c r="EV354" s="1181"/>
      <c r="EW354" s="1182"/>
      <c r="EX354" s="1094">
        <f>EX352/EX$257</f>
        <v>0.514285714285714</v>
      </c>
      <c r="EY354" s="1094">
        <f t="shared" ref="EY354:FH354" si="1910">EY352/EY$257</f>
        <v>0.421768707482993</v>
      </c>
      <c r="EZ354" s="1094">
        <f t="shared" si="1910"/>
        <v>0.463821892393321</v>
      </c>
      <c r="FA354" s="1094">
        <f t="shared" si="1910"/>
        <v>0.398648648648649</v>
      </c>
      <c r="FB354" s="1094">
        <f t="shared" si="1910"/>
        <v>0.440718562874251</v>
      </c>
      <c r="FC354" s="1094">
        <f t="shared" si="1910"/>
        <v>0.391634980988593</v>
      </c>
      <c r="FD354" s="1094">
        <f t="shared" si="1910"/>
        <v>0.395348837209302</v>
      </c>
      <c r="FE354" s="1093">
        <f t="shared" si="1910"/>
        <v>0.42896174863388</v>
      </c>
      <c r="FF354" s="1094">
        <f t="shared" si="1910"/>
        <v>0.5</v>
      </c>
      <c r="FG354" s="1094">
        <f t="shared" si="1910"/>
        <v>0.446078431372549</v>
      </c>
      <c r="FH354" s="1094">
        <f t="shared" si="1910"/>
        <v>0.469945355191257</v>
      </c>
      <c r="FI354" s="1094">
        <f t="shared" ref="FI354:FR354" si="1911">FI352/FI$257</f>
        <v>0.430769230769231</v>
      </c>
      <c r="FJ354" s="1094">
        <f t="shared" si="1911"/>
        <v>0.45632798573975</v>
      </c>
      <c r="FK354" s="1094">
        <f t="shared" si="1911"/>
        <v>0.410112359550562</v>
      </c>
      <c r="FL354" s="1094">
        <f t="shared" si="1911"/>
        <v>0.420911528150134</v>
      </c>
      <c r="FM354" s="1093">
        <f t="shared" si="1911"/>
        <v>0.445196211096076</v>
      </c>
      <c r="FN354" s="1094">
        <f t="shared" si="1911"/>
        <v>0.478260869565217</v>
      </c>
      <c r="FO354" s="1094">
        <f t="shared" si="1911"/>
        <v>0.38953488372093</v>
      </c>
      <c r="FP354" s="1094">
        <f t="shared" si="1911"/>
        <v>0.429032258064516</v>
      </c>
      <c r="FQ354" s="1094">
        <f t="shared" si="1911"/>
        <v>0.41025641025641</v>
      </c>
      <c r="FR354" s="1094">
        <f t="shared" si="1911"/>
        <v>0.421782178217822</v>
      </c>
      <c r="FS354" s="1094">
        <f t="shared" ref="FS354:FZ354" si="1912">FS352/FS$257</f>
        <v>0.442528735632184</v>
      </c>
      <c r="FT354" s="1094">
        <f t="shared" si="1912"/>
        <v>0.425474254742547</v>
      </c>
      <c r="FU354" s="1094">
        <f t="shared" si="1912"/>
        <v>0.427098674521355</v>
      </c>
      <c r="FV354" s="1275">
        <f t="shared" si="1912"/>
        <v>0.54375</v>
      </c>
      <c r="FW354" s="1094">
        <f t="shared" si="1912"/>
        <v>0.414364640883978</v>
      </c>
      <c r="FX354" s="1094">
        <f t="shared" si="1912"/>
        <v>0.475073313782991</v>
      </c>
      <c r="FY354" s="1094">
        <f t="shared" si="1912"/>
        <v>0.38728323699422</v>
      </c>
      <c r="FZ354" s="1094">
        <f t="shared" si="1912"/>
        <v>0.445525291828794</v>
      </c>
      <c r="GA354" s="1094">
        <f t="shared" ref="GA354:GC354" si="1913">GA352/GA$257</f>
        <v>0.438356164383562</v>
      </c>
      <c r="GB354" s="1094">
        <f t="shared" si="1913"/>
        <v>0.410658307210031</v>
      </c>
      <c r="GC354" s="1093">
        <f t="shared" si="1913"/>
        <v>0.443939393939394</v>
      </c>
      <c r="GD354" s="1275">
        <f t="shared" ref="GD354:GF354" si="1914">GD352/GD$257</f>
        <v>0.529411764705881</v>
      </c>
      <c r="GE354" s="1094">
        <f t="shared" si="1914"/>
        <v>0.395480225988701</v>
      </c>
      <c r="GF354" s="1094">
        <f t="shared" si="1914"/>
        <v>0.449324324324324</v>
      </c>
      <c r="GG354" s="1094">
        <f t="shared" ref="GG354:GN354" si="1915">GG352/GG$257</f>
        <v>0.367469879518072</v>
      </c>
      <c r="GH354" s="1094">
        <f t="shared" si="1915"/>
        <v>0.41991341991342</v>
      </c>
      <c r="GI354" s="1094">
        <f t="shared" si="1915"/>
        <v>0.393939393939394</v>
      </c>
      <c r="GJ354" s="1094">
        <f t="shared" si="1915"/>
        <v>0.379194630872483</v>
      </c>
      <c r="GK354" s="1093">
        <f t="shared" si="1915"/>
        <v>0.414141414141414</v>
      </c>
      <c r="GL354" s="1094">
        <f t="shared" si="1915"/>
        <v>0.411764705882353</v>
      </c>
      <c r="GM354" s="1094">
        <f t="shared" si="1915"/>
        <v>0.362573099415205</v>
      </c>
      <c r="GN354" s="1094">
        <f t="shared" si="1915"/>
        <v>0.384364820846906</v>
      </c>
      <c r="GO354" s="1094">
        <f t="shared" ref="GO354:GV354" si="1916">GO352/GO$257</f>
        <v>0.306532663316583</v>
      </c>
      <c r="GP354" s="1094">
        <f t="shared" si="1916"/>
        <v>0.353754940711462</v>
      </c>
      <c r="GQ354" s="1094">
        <f t="shared" si="1916"/>
        <v>0.392156862745098</v>
      </c>
      <c r="GR354" s="1094">
        <f t="shared" si="1916"/>
        <v>0.34375</v>
      </c>
      <c r="GS354" s="1093">
        <f t="shared" si="1916"/>
        <v>0.362670713201821</v>
      </c>
      <c r="GT354" s="1094">
        <f t="shared" si="1916"/>
        <v>0.376623376623377</v>
      </c>
      <c r="GU354" s="1094">
        <f t="shared" si="1916"/>
        <v>0.365384615384615</v>
      </c>
      <c r="GV354" s="1094">
        <f t="shared" si="1916"/>
        <v>0.372093023255814</v>
      </c>
      <c r="GW354" s="1094">
        <f t="shared" ref="GW354:GX354" si="1917">GW352/GW$257</f>
        <v>0.2886774297017</v>
      </c>
      <c r="GX354" s="1094">
        <f t="shared" si="1917"/>
        <v>0.337033209005527</v>
      </c>
      <c r="GY354" s="1094"/>
      <c r="GZ354" s="1094"/>
      <c r="HA354" s="1093"/>
      <c r="HB354" s="1094"/>
      <c r="HC354" s="1094"/>
      <c r="HD354" s="1094"/>
      <c r="HE354" s="1094"/>
      <c r="HF354" s="1094"/>
      <c r="HG354" s="1094"/>
      <c r="HH354" s="1094"/>
      <c r="HI354" s="1093"/>
      <c r="HJ354" s="1094"/>
      <c r="HK354" s="1094"/>
      <c r="HL354" s="1094"/>
      <c r="HM354" s="1094"/>
      <c r="HN354" s="1094"/>
      <c r="HO354" s="1094"/>
      <c r="HP354" s="1094"/>
      <c r="HQ354" s="1093"/>
      <c r="HR354" s="1094"/>
      <c r="HS354" s="1094"/>
      <c r="HT354" s="1094"/>
      <c r="HU354" s="1094"/>
      <c r="HV354" s="1094"/>
      <c r="HW354" s="1094"/>
      <c r="HX354" s="1094"/>
      <c r="HY354" s="1094"/>
      <c r="HZ354" s="1094"/>
      <c r="IA354" s="1094"/>
      <c r="IB354" s="1094"/>
      <c r="IC354" s="1094"/>
      <c r="ID354" s="1094"/>
      <c r="IE354" s="1094"/>
      <c r="IF354" s="1094"/>
      <c r="IG354" s="1093"/>
      <c r="IH354" s="1094"/>
      <c r="II354" s="1094"/>
      <c r="IJ354" s="1094"/>
      <c r="IK354" s="1094"/>
      <c r="IL354" s="1094"/>
      <c r="IM354" s="1094"/>
      <c r="IN354" s="1094"/>
      <c r="IO354" s="1093"/>
      <c r="IP354" s="1094"/>
      <c r="IQ354" s="1094"/>
      <c r="IR354" s="1094"/>
      <c r="IS354" s="1094"/>
      <c r="IT354" s="1094"/>
      <c r="IU354" s="1094"/>
      <c r="IV354" s="1094"/>
      <c r="IW354" s="1094"/>
      <c r="IX354" s="1104"/>
      <c r="IY354" s="1049"/>
      <c r="IZ354" s="1049"/>
      <c r="JA354" s="1049"/>
      <c r="JB354" s="1049"/>
      <c r="JC354" s="1049"/>
      <c r="JD354" s="1041"/>
      <c r="JE354" s="1037"/>
      <c r="JF354" s="1037"/>
      <c r="JG354" s="1037"/>
      <c r="JH354" s="1037"/>
      <c r="JI354" s="1035"/>
      <c r="JJ354" s="1035"/>
      <c r="JK354" s="1035"/>
      <c r="JL354" s="1035"/>
      <c r="JM354" s="1035"/>
      <c r="JN354" s="1035"/>
      <c r="JO354" s="1035"/>
      <c r="JP354" s="1035"/>
      <c r="JQ354" s="1035"/>
      <c r="JR354" s="1035"/>
      <c r="JS354" s="1035"/>
      <c r="JT354" s="1035"/>
      <c r="JU354" s="1035"/>
      <c r="JV354" s="1035"/>
      <c r="JW354" s="1035"/>
      <c r="JX354" s="1035"/>
      <c r="JY354" s="1035"/>
      <c r="KP354" s="1117"/>
      <c r="LV354" s="967"/>
    </row>
    <row r="355" spans="1:334">
      <c r="A355" s="1103" t="s">
        <v>131</v>
      </c>
      <c r="AX355" s="1059"/>
      <c r="BE355" s="1060"/>
      <c r="BN355" s="1059"/>
      <c r="BU355" s="1060"/>
      <c r="BV355" s="1059"/>
      <c r="CC355" s="1060"/>
      <c r="CD355" s="1059"/>
      <c r="CJ355" s="1061"/>
      <c r="CK355" s="1060"/>
      <c r="CL355" s="1059"/>
      <c r="CS355" s="1060"/>
      <c r="CT355" s="1059"/>
      <c r="CW355" s="1062"/>
      <c r="CX355" s="1062"/>
      <c r="DE355" s="1064"/>
      <c r="DF355" s="1064"/>
      <c r="DM355" s="1064"/>
      <c r="DN355" s="1064"/>
      <c r="DU355" s="1064"/>
      <c r="DV355" s="1064"/>
      <c r="EC355" s="1064"/>
      <c r="ED355" s="1064"/>
      <c r="EH355" s="1181"/>
      <c r="EI355" s="1181"/>
      <c r="EJ355" s="1181"/>
      <c r="EK355" s="1181"/>
      <c r="EL355" s="1181"/>
      <c r="EM355" s="1181"/>
      <c r="EN355" s="1181"/>
      <c r="EO355" s="1182"/>
      <c r="EP355" s="1181"/>
      <c r="EQ355" s="1181"/>
      <c r="ER355" s="1181"/>
      <c r="ES355" s="1181"/>
      <c r="ET355" s="1181"/>
      <c r="EU355" s="1181"/>
      <c r="EV355" s="1181"/>
      <c r="EW355" s="1182"/>
      <c r="EX355" s="1071">
        <v>24</v>
      </c>
      <c r="EY355" s="1071">
        <v>55</v>
      </c>
      <c r="EZ355" s="1071">
        <f>EX355+EY355</f>
        <v>79</v>
      </c>
      <c r="FA355" s="1071">
        <v>47</v>
      </c>
      <c r="FB355" s="1071">
        <f>EX355+EY355+FA355</f>
        <v>126</v>
      </c>
      <c r="FC355" s="1071">
        <v>47</v>
      </c>
      <c r="FD355" s="1071">
        <f>FA355+FC355</f>
        <v>94</v>
      </c>
      <c r="FE355" s="1072">
        <f>EX355+EY355+FA355+FC355</f>
        <v>173</v>
      </c>
      <c r="FF355" s="1071">
        <v>2</v>
      </c>
      <c r="FG355" s="1071">
        <f>FH355-FF355</f>
        <v>31</v>
      </c>
      <c r="FH355" s="1071">
        <v>33</v>
      </c>
      <c r="FI355" s="1071">
        <f>FJ355-FH355</f>
        <v>22</v>
      </c>
      <c r="FJ355" s="1071">
        <v>55</v>
      </c>
      <c r="FK355" s="1071">
        <f>FM355-FJ355</f>
        <v>30</v>
      </c>
      <c r="FL355" s="1071">
        <f>FI355+FK355</f>
        <v>52</v>
      </c>
      <c r="FM355" s="1072">
        <v>85</v>
      </c>
      <c r="FN355" s="1071">
        <v>14</v>
      </c>
      <c r="FO355" s="1071">
        <f>FP355-FN355</f>
        <v>32</v>
      </c>
      <c r="FP355" s="1071">
        <v>46</v>
      </c>
      <c r="FQ355" s="1071">
        <f>FR355-FP355</f>
        <v>32</v>
      </c>
      <c r="FR355" s="1071">
        <v>78</v>
      </c>
      <c r="FS355" s="1071">
        <f>FU355-FR355</f>
        <v>27</v>
      </c>
      <c r="FT355" s="1071">
        <f>FQ355+FS355</f>
        <v>59</v>
      </c>
      <c r="FU355" s="1071">
        <v>105</v>
      </c>
      <c r="FV355" s="1177">
        <v>13</v>
      </c>
      <c r="FW355" s="1071">
        <f>FX355-FV355</f>
        <v>45</v>
      </c>
      <c r="FX355" s="1071">
        <v>58</v>
      </c>
      <c r="FY355" s="1071">
        <f>FZ355-FX355</f>
        <v>47</v>
      </c>
      <c r="FZ355" s="1071">
        <v>105</v>
      </c>
      <c r="GA355" s="1071">
        <f>GC355-FZ355</f>
        <v>31</v>
      </c>
      <c r="GB355" s="1071">
        <f>FY355+GA355</f>
        <v>78</v>
      </c>
      <c r="GC355" s="1072">
        <v>136</v>
      </c>
      <c r="GD355" s="1177">
        <v>18</v>
      </c>
      <c r="GE355" s="1071">
        <f>GF355-GD355</f>
        <v>49</v>
      </c>
      <c r="GF355" s="1071">
        <v>67</v>
      </c>
      <c r="GG355" s="1071">
        <v>47</v>
      </c>
      <c r="GH355" s="1071">
        <f>GG355+GF355</f>
        <v>114</v>
      </c>
      <c r="GI355" s="1071">
        <f>GK355-GH355</f>
        <v>32</v>
      </c>
      <c r="GJ355" s="1071">
        <f>GG355+GI355</f>
        <v>79</v>
      </c>
      <c r="GK355" s="1072">
        <v>146</v>
      </c>
      <c r="GL355" s="1071">
        <v>26</v>
      </c>
      <c r="GM355" s="1071">
        <v>45</v>
      </c>
      <c r="GN355" s="1071">
        <f>GM355+GL355</f>
        <v>71</v>
      </c>
      <c r="GO355" s="1071">
        <v>60</v>
      </c>
      <c r="GP355" s="1071">
        <f>GO355+GN355</f>
        <v>131</v>
      </c>
      <c r="GQ355" s="1071">
        <f>GS355-GP355</f>
        <v>36</v>
      </c>
      <c r="GR355" s="1071">
        <f>GO355+GQ355</f>
        <v>96</v>
      </c>
      <c r="GS355" s="1072">
        <v>167</v>
      </c>
      <c r="GT355" s="1071">
        <v>34</v>
      </c>
      <c r="GU355" s="1071">
        <v>25</v>
      </c>
      <c r="GV355" s="1071">
        <f>GU355+GT355</f>
        <v>59</v>
      </c>
      <c r="GW355" s="1071">
        <v>56</v>
      </c>
      <c r="GX355" s="1071">
        <f>GW355+GV355</f>
        <v>115</v>
      </c>
      <c r="GY355" s="1071"/>
      <c r="GZ355" s="1071"/>
      <c r="HA355" s="1072"/>
      <c r="HB355" s="1071"/>
      <c r="HC355" s="1071"/>
      <c r="HD355" s="1071"/>
      <c r="HE355" s="1071"/>
      <c r="HF355" s="1071"/>
      <c r="HG355" s="1071"/>
      <c r="HH355" s="1071"/>
      <c r="HI355" s="1072"/>
      <c r="HJ355" s="1071"/>
      <c r="HK355" s="1071"/>
      <c r="HL355" s="1071"/>
      <c r="HM355" s="1071"/>
      <c r="HN355" s="1071"/>
      <c r="HO355" s="1071"/>
      <c r="HP355" s="1071"/>
      <c r="HQ355" s="1072"/>
      <c r="HR355" s="1071"/>
      <c r="HS355" s="1071"/>
      <c r="HT355" s="1071"/>
      <c r="HU355" s="1071"/>
      <c r="HV355" s="1071"/>
      <c r="HW355" s="1071"/>
      <c r="HX355" s="1071"/>
      <c r="HY355" s="1071"/>
      <c r="HZ355" s="1071"/>
      <c r="IA355" s="1071"/>
      <c r="IB355" s="1071"/>
      <c r="IC355" s="1071"/>
      <c r="ID355" s="1071"/>
      <c r="IE355" s="1071"/>
      <c r="IF355" s="1071"/>
      <c r="IG355" s="1072"/>
      <c r="IH355" s="1071"/>
      <c r="II355" s="1071"/>
      <c r="IJ355" s="1071"/>
      <c r="IK355" s="1071"/>
      <c r="IL355" s="1071"/>
      <c r="IM355" s="1071"/>
      <c r="IN355" s="1071"/>
      <c r="IO355" s="1072"/>
      <c r="IP355" s="1071"/>
      <c r="IQ355" s="1071"/>
      <c r="IR355" s="1071"/>
      <c r="IS355" s="1071"/>
      <c r="IT355" s="1071"/>
      <c r="IU355" s="1071"/>
      <c r="IV355" s="1071"/>
      <c r="IW355" s="1071"/>
      <c r="IX355" s="1104"/>
      <c r="IY355" s="1049"/>
      <c r="IZ355" s="1049"/>
      <c r="JA355" s="1049"/>
      <c r="JB355" s="1049"/>
      <c r="JC355" s="1049"/>
      <c r="JD355" s="1041"/>
      <c r="JE355" s="1037"/>
      <c r="JF355" s="1037"/>
      <c r="JG355" s="1037"/>
      <c r="JH355" s="1037"/>
      <c r="JI355" s="1035"/>
      <c r="JJ355" s="1035"/>
      <c r="JK355" s="1035"/>
      <c r="JL355" s="1035"/>
      <c r="JM355" s="1035"/>
      <c r="JN355" s="1035"/>
      <c r="JO355" s="1035"/>
      <c r="JP355" s="1035"/>
      <c r="JQ355" s="1035"/>
      <c r="JR355" s="1035"/>
      <c r="JS355" s="1035"/>
      <c r="JT355" s="1035"/>
      <c r="JU355" s="1035"/>
      <c r="JV355" s="1035"/>
      <c r="JW355" s="1035"/>
      <c r="JX355" s="1035"/>
      <c r="JY355" s="1035"/>
      <c r="KP355" s="1117"/>
      <c r="LV355" s="967"/>
    </row>
    <row r="356" spans="1:334">
      <c r="A356" s="967" t="s">
        <v>61</v>
      </c>
      <c r="AX356" s="1059"/>
      <c r="BE356" s="1060"/>
      <c r="BN356" s="1059"/>
      <c r="BU356" s="1060"/>
      <c r="BV356" s="1059"/>
      <c r="CC356" s="1060"/>
      <c r="CD356" s="1059"/>
      <c r="CJ356" s="1061"/>
      <c r="CK356" s="1060"/>
      <c r="CL356" s="1059"/>
      <c r="CS356" s="1060"/>
      <c r="CT356" s="1059"/>
      <c r="CW356" s="1062"/>
      <c r="CX356" s="1062"/>
      <c r="DE356" s="1064"/>
      <c r="DF356" s="1064"/>
      <c r="DM356" s="1064"/>
      <c r="DN356" s="1064"/>
      <c r="DU356" s="1064"/>
      <c r="DV356" s="1064"/>
      <c r="EC356" s="1064"/>
      <c r="ED356" s="1064"/>
      <c r="EH356" s="1181"/>
      <c r="EI356" s="1181"/>
      <c r="EJ356" s="1181"/>
      <c r="EK356" s="1181"/>
      <c r="EL356" s="1181"/>
      <c r="EM356" s="1181"/>
      <c r="EN356" s="1181"/>
      <c r="EO356" s="1182"/>
      <c r="EP356" s="1181"/>
      <c r="EQ356" s="1181"/>
      <c r="ER356" s="1181"/>
      <c r="ES356" s="1181"/>
      <c r="ET356" s="1181"/>
      <c r="EU356" s="1181"/>
      <c r="EV356" s="1181"/>
      <c r="EW356" s="1182"/>
      <c r="EX356" s="1094"/>
      <c r="EY356" s="1094"/>
      <c r="EZ356" s="1094"/>
      <c r="FA356" s="1094"/>
      <c r="FB356" s="1094"/>
      <c r="FC356" s="1094"/>
      <c r="FD356" s="1094"/>
      <c r="FE356" s="1093"/>
      <c r="FF356" s="1094">
        <f t="shared" ref="FF356:FQ356" si="1918">FF355/EX355-1</f>
        <v>-0.916666666666667</v>
      </c>
      <c r="FG356" s="1094">
        <f t="shared" si="1918"/>
        <v>-0.436363636363636</v>
      </c>
      <c r="FH356" s="1094">
        <f t="shared" si="1918"/>
        <v>-0.582278481012658</v>
      </c>
      <c r="FI356" s="1094">
        <f t="shared" si="1918"/>
        <v>-0.531914893617021</v>
      </c>
      <c r="FJ356" s="1094">
        <f t="shared" si="1918"/>
        <v>-0.563492063492063</v>
      </c>
      <c r="FK356" s="1094">
        <f t="shared" si="1918"/>
        <v>-0.361702127659574</v>
      </c>
      <c r="FL356" s="1094">
        <f t="shared" si="1918"/>
        <v>-0.446808510638298</v>
      </c>
      <c r="FM356" s="1093">
        <f t="shared" si="1918"/>
        <v>-0.508670520231214</v>
      </c>
      <c r="FN356" s="1094">
        <f t="shared" si="1918"/>
        <v>6</v>
      </c>
      <c r="FO356" s="1094">
        <f t="shared" si="1918"/>
        <v>0.032258064516129</v>
      </c>
      <c r="FP356" s="1094">
        <f t="shared" si="1918"/>
        <v>0.393939393939394</v>
      </c>
      <c r="FQ356" s="1094">
        <f t="shared" si="1918"/>
        <v>0.454545454545455</v>
      </c>
      <c r="FR356" s="1094">
        <f t="shared" ref="FR356:FX356" si="1919">FR355/FJ355-1</f>
        <v>0.418181818181818</v>
      </c>
      <c r="FS356" s="1094">
        <f t="shared" si="1919"/>
        <v>-0.1</v>
      </c>
      <c r="FT356" s="1094">
        <f t="shared" si="1919"/>
        <v>0.134615384615385</v>
      </c>
      <c r="FU356" s="1094">
        <f t="shared" si="1919"/>
        <v>0.235294117647059</v>
      </c>
      <c r="FV356" s="1275">
        <f t="shared" si="1919"/>
        <v>-0.0714285714285714</v>
      </c>
      <c r="FW356" s="1094">
        <f t="shared" si="1919"/>
        <v>0.40625</v>
      </c>
      <c r="FX356" s="1094">
        <f t="shared" si="1919"/>
        <v>0.260869565217391</v>
      </c>
      <c r="FY356" s="1094">
        <f t="shared" ref="FY356" si="1920">FY355/FQ355-1</f>
        <v>0.46875</v>
      </c>
      <c r="FZ356" s="1094">
        <f t="shared" ref="FZ356" si="1921">FZ355/FR355-1</f>
        <v>0.346153846153846</v>
      </c>
      <c r="GA356" s="1094">
        <f t="shared" ref="GA356" si="1922">GA355/FS355-1</f>
        <v>0.148148148148148</v>
      </c>
      <c r="GB356" s="1094">
        <f t="shared" ref="GB356" si="1923">GB355/FT355-1</f>
        <v>0.322033898305085</v>
      </c>
      <c r="GC356" s="1093">
        <f t="shared" ref="GC356" si="1924">GC355/FU355-1</f>
        <v>0.295238095238095</v>
      </c>
      <c r="GD356" s="1275">
        <f>GD355/13-1</f>
        <v>0.384615384615385</v>
      </c>
      <c r="GE356" s="1094">
        <f>((GF356*FX355)-(GD356*FV355))/FW355</f>
        <v>0.0888888888888889</v>
      </c>
      <c r="GF356" s="1094">
        <f>GF355/58-1</f>
        <v>0.155172413793103</v>
      </c>
      <c r="GG356" s="1094">
        <f>GG355/47-1</f>
        <v>0</v>
      </c>
      <c r="GH356" s="1094">
        <f>GH355/FZ355-1</f>
        <v>0.0857142857142856</v>
      </c>
      <c r="GI356" s="1094">
        <f t="shared" ref="GI356" si="1925">GI355/GA355-1</f>
        <v>0.032258064516129</v>
      </c>
      <c r="GJ356" s="1094">
        <f t="shared" ref="GJ356" si="1926">GJ355/GB355-1</f>
        <v>0.0128205128205128</v>
      </c>
      <c r="GK356" s="1093">
        <f t="shared" ref="GK356:GN356" si="1927">GK355/GC355-1</f>
        <v>0.0735294117647058</v>
      </c>
      <c r="GL356" s="1094">
        <f t="shared" si="1927"/>
        <v>0.444444444444444</v>
      </c>
      <c r="GM356" s="1094">
        <f t="shared" si="1927"/>
        <v>-0.0816326530612245</v>
      </c>
      <c r="GN356" s="1094">
        <f t="shared" si="1927"/>
        <v>0.0597014925373134</v>
      </c>
      <c r="GO356" s="1094">
        <f>GO355/47-1</f>
        <v>0.276595744680851</v>
      </c>
      <c r="GP356" s="1094">
        <f>GP355/GH355-1</f>
        <v>0.149122807017544</v>
      </c>
      <c r="GQ356" s="1094">
        <f t="shared" ref="GQ356" si="1928">GQ355/GI355-1</f>
        <v>0.125</v>
      </c>
      <c r="GR356" s="1094">
        <f t="shared" ref="GR356" si="1929">GR355/GJ355-1</f>
        <v>0.215189873417722</v>
      </c>
      <c r="GS356" s="1093">
        <f t="shared" ref="GS356:GV356" si="1930">GS355/GK355-1</f>
        <v>0.143835616438356</v>
      </c>
      <c r="GT356" s="1094">
        <f t="shared" si="1930"/>
        <v>0.307692307692308</v>
      </c>
      <c r="GU356" s="1094">
        <f t="shared" si="1930"/>
        <v>-0.444444444444444</v>
      </c>
      <c r="GV356" s="1094">
        <f t="shared" si="1930"/>
        <v>-0.169014084507042</v>
      </c>
      <c r="GW356" s="1094">
        <f>GW355/47-1</f>
        <v>0.191489361702128</v>
      </c>
      <c r="GX356" s="1094">
        <f>GX355/GP355-1</f>
        <v>-0.122137404580153</v>
      </c>
      <c r="GY356" s="1094"/>
      <c r="GZ356" s="1094"/>
      <c r="HA356" s="1093"/>
      <c r="HB356" s="1094"/>
      <c r="HC356" s="1094"/>
      <c r="HD356" s="1094"/>
      <c r="HE356" s="1094"/>
      <c r="HF356" s="1094"/>
      <c r="HG356" s="1094"/>
      <c r="HH356" s="1094"/>
      <c r="HI356" s="1093"/>
      <c r="HJ356" s="1094"/>
      <c r="HK356" s="1094"/>
      <c r="HL356" s="1094"/>
      <c r="HM356" s="1094"/>
      <c r="HN356" s="1094"/>
      <c r="HO356" s="1094"/>
      <c r="HP356" s="1094"/>
      <c r="HQ356" s="1093"/>
      <c r="HR356" s="1094"/>
      <c r="HS356" s="1094"/>
      <c r="HT356" s="1094"/>
      <c r="HU356" s="1094"/>
      <c r="HV356" s="1094"/>
      <c r="HW356" s="1094"/>
      <c r="HX356" s="1094"/>
      <c r="HY356" s="1094"/>
      <c r="HZ356" s="1094"/>
      <c r="IA356" s="1094"/>
      <c r="IB356" s="1094"/>
      <c r="IC356" s="1094"/>
      <c r="ID356" s="1094"/>
      <c r="IE356" s="1094"/>
      <c r="IF356" s="1094"/>
      <c r="IG356" s="1093"/>
      <c r="IH356" s="1094"/>
      <c r="II356" s="1094"/>
      <c r="IJ356" s="1094"/>
      <c r="IK356" s="1094"/>
      <c r="IL356" s="1094"/>
      <c r="IM356" s="1094"/>
      <c r="IN356" s="1094"/>
      <c r="IO356" s="1093"/>
      <c r="IP356" s="1094"/>
      <c r="IQ356" s="1094"/>
      <c r="IR356" s="1094"/>
      <c r="IS356" s="1094"/>
      <c r="IT356" s="1094"/>
      <c r="IU356" s="1094"/>
      <c r="IV356" s="1094"/>
      <c r="IW356" s="1094"/>
      <c r="IX356" s="1104"/>
      <c r="IY356" s="1049"/>
      <c r="IZ356" s="1049"/>
      <c r="JA356" s="1049"/>
      <c r="JB356" s="1049"/>
      <c r="JC356" s="1049"/>
      <c r="JD356" s="1041"/>
      <c r="JE356" s="1037"/>
      <c r="JF356" s="1037"/>
      <c r="JG356" s="1037"/>
      <c r="JH356" s="1037"/>
      <c r="JI356" s="1035"/>
      <c r="JJ356" s="1035"/>
      <c r="JK356" s="1035"/>
      <c r="JL356" s="1035"/>
      <c r="JM356" s="1035"/>
      <c r="JN356" s="1035"/>
      <c r="JO356" s="1035"/>
      <c r="JP356" s="1035"/>
      <c r="JQ356" s="1035"/>
      <c r="JR356" s="1035"/>
      <c r="JS356" s="1035"/>
      <c r="JT356" s="1035"/>
      <c r="JU356" s="1035"/>
      <c r="JV356" s="1035"/>
      <c r="JW356" s="1035"/>
      <c r="JX356" s="1035"/>
      <c r="JY356" s="1035"/>
      <c r="KP356" s="1117"/>
      <c r="LV356" s="967"/>
    </row>
    <row r="357" spans="1:334">
      <c r="A357" s="967" t="s">
        <v>132</v>
      </c>
      <c r="AX357" s="1059"/>
      <c r="BE357" s="1060"/>
      <c r="BN357" s="1059"/>
      <c r="BU357" s="1060"/>
      <c r="BV357" s="1059"/>
      <c r="CC357" s="1060"/>
      <c r="CD357" s="1059"/>
      <c r="CJ357" s="1061"/>
      <c r="CK357" s="1060"/>
      <c r="CL357" s="1059"/>
      <c r="CS357" s="1060"/>
      <c r="CT357" s="1059"/>
      <c r="CW357" s="1062"/>
      <c r="CX357" s="1062"/>
      <c r="DE357" s="1064"/>
      <c r="DF357" s="1064"/>
      <c r="DM357" s="1064"/>
      <c r="DN357" s="1064"/>
      <c r="DU357" s="1064"/>
      <c r="DV357" s="1064"/>
      <c r="EC357" s="1064"/>
      <c r="ED357" s="1064"/>
      <c r="EH357" s="1181"/>
      <c r="EI357" s="1181"/>
      <c r="EJ357" s="1181"/>
      <c r="EK357" s="1181"/>
      <c r="EL357" s="1181"/>
      <c r="EM357" s="1181"/>
      <c r="EN357" s="1181"/>
      <c r="EO357" s="1182"/>
      <c r="EP357" s="1181"/>
      <c r="EQ357" s="1181"/>
      <c r="ER357" s="1181"/>
      <c r="ES357" s="1181"/>
      <c r="ET357" s="1181"/>
      <c r="EU357" s="1181"/>
      <c r="EV357" s="1181"/>
      <c r="EW357" s="1182"/>
      <c r="EX357" s="1094">
        <f>EX355/EX$257</f>
        <v>0.0979591836734694</v>
      </c>
      <c r="EY357" s="1094">
        <f t="shared" ref="EY357:FH357" si="1931">EY355/EY$257</f>
        <v>0.187074829931973</v>
      </c>
      <c r="EZ357" s="1094">
        <f t="shared" si="1931"/>
        <v>0.146567717996289</v>
      </c>
      <c r="FA357" s="1094">
        <f t="shared" si="1931"/>
        <v>0.158783783783784</v>
      </c>
      <c r="FB357" s="1094">
        <f t="shared" si="1931"/>
        <v>0.150898203592814</v>
      </c>
      <c r="FC357" s="1094">
        <f t="shared" si="1931"/>
        <v>0.178707224334601</v>
      </c>
      <c r="FD357" s="1094">
        <f t="shared" si="1931"/>
        <v>0.168157423971377</v>
      </c>
      <c r="FE357" s="1093">
        <f t="shared" si="1931"/>
        <v>0.157559198542805</v>
      </c>
      <c r="FF357" s="1094">
        <f t="shared" si="1931"/>
        <v>0.0123456790123457</v>
      </c>
      <c r="FG357" s="1094">
        <f t="shared" si="1931"/>
        <v>0.151960784313725</v>
      </c>
      <c r="FH357" s="1094">
        <f t="shared" si="1931"/>
        <v>0.0901639344262295</v>
      </c>
      <c r="FI357" s="1094">
        <f t="shared" ref="FI357:FR357" si="1932">FI355/FI$257</f>
        <v>0.112820512820513</v>
      </c>
      <c r="FJ357" s="1094">
        <f t="shared" si="1932"/>
        <v>0.0980392156862745</v>
      </c>
      <c r="FK357" s="1094">
        <f t="shared" si="1932"/>
        <v>0.168539325842697</v>
      </c>
      <c r="FL357" s="1094">
        <f t="shared" si="1932"/>
        <v>0.13941018766756</v>
      </c>
      <c r="FM357" s="1093">
        <f t="shared" si="1932"/>
        <v>0.115020297699594</v>
      </c>
      <c r="FN357" s="1094">
        <f t="shared" si="1932"/>
        <v>0.101449275362319</v>
      </c>
      <c r="FO357" s="1094">
        <f t="shared" si="1932"/>
        <v>0.186046511627907</v>
      </c>
      <c r="FP357" s="1094">
        <f t="shared" si="1932"/>
        <v>0.148387096774194</v>
      </c>
      <c r="FQ357" s="1094">
        <f t="shared" si="1932"/>
        <v>0.164102564102564</v>
      </c>
      <c r="FR357" s="1094">
        <f t="shared" si="1932"/>
        <v>0.154455445544554</v>
      </c>
      <c r="FS357" s="1094">
        <f t="shared" ref="FS357:FZ357" si="1933">FS355/FS$257</f>
        <v>0.155172413793103</v>
      </c>
      <c r="FT357" s="1094">
        <f t="shared" si="1933"/>
        <v>0.159891598915989</v>
      </c>
      <c r="FU357" s="1094">
        <f t="shared" si="1933"/>
        <v>0.154639175257732</v>
      </c>
      <c r="FV357" s="1275">
        <f t="shared" si="1933"/>
        <v>0.08125</v>
      </c>
      <c r="FW357" s="1094">
        <f t="shared" si="1933"/>
        <v>0.248618784530387</v>
      </c>
      <c r="FX357" s="1094">
        <f t="shared" si="1933"/>
        <v>0.170087976539589</v>
      </c>
      <c r="FY357" s="1094">
        <f t="shared" si="1933"/>
        <v>0.271676300578035</v>
      </c>
      <c r="FZ357" s="1094">
        <f t="shared" si="1933"/>
        <v>0.204280155642023</v>
      </c>
      <c r="GA357" s="1094">
        <f t="shared" ref="GA357:GC357" si="1934">GA355/GA$257</f>
        <v>0.212328767123288</v>
      </c>
      <c r="GB357" s="1094">
        <f t="shared" si="1934"/>
        <v>0.244514106583072</v>
      </c>
      <c r="GC357" s="1093">
        <f t="shared" si="1934"/>
        <v>0.206060606060606</v>
      </c>
      <c r="GD357" s="1275">
        <f t="shared" ref="GD357:GF357" si="1935">GD355/GD$257</f>
        <v>0.15126050420168</v>
      </c>
      <c r="GE357" s="1094">
        <f t="shared" si="1935"/>
        <v>0.27683615819209</v>
      </c>
      <c r="GF357" s="1094">
        <f t="shared" si="1935"/>
        <v>0.226351351351351</v>
      </c>
      <c r="GG357" s="1094">
        <f t="shared" ref="GG357:GN357" si="1936">GG355/GG$257</f>
        <v>0.283132530120482</v>
      </c>
      <c r="GH357" s="1094">
        <f t="shared" si="1936"/>
        <v>0.246753246753247</v>
      </c>
      <c r="GI357" s="1094">
        <f t="shared" si="1936"/>
        <v>0.242424242424242</v>
      </c>
      <c r="GJ357" s="1094">
        <f t="shared" si="1936"/>
        <v>0.26510067114094</v>
      </c>
      <c r="GK357" s="1093">
        <f t="shared" si="1936"/>
        <v>0.245791245791246</v>
      </c>
      <c r="GL357" s="1094">
        <f t="shared" si="1936"/>
        <v>0.191176470588235</v>
      </c>
      <c r="GM357" s="1094">
        <f t="shared" si="1936"/>
        <v>0.263157894736842</v>
      </c>
      <c r="GN357" s="1094">
        <f t="shared" si="1936"/>
        <v>0.231270358306189</v>
      </c>
      <c r="GO357" s="1094">
        <f t="shared" ref="GO357:GV357" si="1937">GO355/GO$257</f>
        <v>0.301507537688442</v>
      </c>
      <c r="GP357" s="1094">
        <f t="shared" si="1937"/>
        <v>0.258893280632411</v>
      </c>
      <c r="GQ357" s="1094">
        <f t="shared" si="1937"/>
        <v>0.235294117647059</v>
      </c>
      <c r="GR357" s="1094">
        <f t="shared" si="1937"/>
        <v>0.272727272727273</v>
      </c>
      <c r="GS357" s="1093">
        <f t="shared" si="1937"/>
        <v>0.253414264036419</v>
      </c>
      <c r="GT357" s="1094">
        <f t="shared" si="1937"/>
        <v>0.220779220779221</v>
      </c>
      <c r="GU357" s="1094">
        <f t="shared" si="1937"/>
        <v>0.240384615384615</v>
      </c>
      <c r="GV357" s="1094">
        <f t="shared" si="1937"/>
        <v>0.228682170542636</v>
      </c>
      <c r="GW357" s="1094">
        <f t="shared" ref="GW357:GX357" si="1938">GW355/GW$257</f>
        <v>0.299369186357318</v>
      </c>
      <c r="GX357" s="1094">
        <f t="shared" si="1938"/>
        <v>0.258392126904238</v>
      </c>
      <c r="GY357" s="1094"/>
      <c r="GZ357" s="1094"/>
      <c r="HA357" s="1093"/>
      <c r="HB357" s="1094"/>
      <c r="HC357" s="1094"/>
      <c r="HD357" s="1094"/>
      <c r="HE357" s="1094"/>
      <c r="HF357" s="1094"/>
      <c r="HG357" s="1094"/>
      <c r="HH357" s="1094"/>
      <c r="HI357" s="1093"/>
      <c r="HJ357" s="1094"/>
      <c r="HK357" s="1094"/>
      <c r="HL357" s="1094"/>
      <c r="HM357" s="1094"/>
      <c r="HN357" s="1094"/>
      <c r="HO357" s="1094"/>
      <c r="HP357" s="1094"/>
      <c r="HQ357" s="1093"/>
      <c r="HR357" s="1094"/>
      <c r="HS357" s="1094"/>
      <c r="HT357" s="1094"/>
      <c r="HU357" s="1094"/>
      <c r="HV357" s="1094"/>
      <c r="HW357" s="1094"/>
      <c r="HX357" s="1094"/>
      <c r="HY357" s="1094"/>
      <c r="HZ357" s="1094"/>
      <c r="IA357" s="1094"/>
      <c r="IB357" s="1094"/>
      <c r="IC357" s="1094"/>
      <c r="ID357" s="1094"/>
      <c r="IE357" s="1094"/>
      <c r="IF357" s="1094"/>
      <c r="IG357" s="1093"/>
      <c r="IH357" s="1094"/>
      <c r="II357" s="1094"/>
      <c r="IJ357" s="1094"/>
      <c r="IK357" s="1094"/>
      <c r="IL357" s="1094"/>
      <c r="IM357" s="1094"/>
      <c r="IN357" s="1094"/>
      <c r="IO357" s="1093"/>
      <c r="IP357" s="1094"/>
      <c r="IQ357" s="1094"/>
      <c r="IR357" s="1094"/>
      <c r="IS357" s="1094"/>
      <c r="IT357" s="1094"/>
      <c r="IU357" s="1094"/>
      <c r="IV357" s="1094"/>
      <c r="IW357" s="1094"/>
      <c r="IX357" s="1104"/>
      <c r="IY357" s="1049"/>
      <c r="IZ357" s="1049"/>
      <c r="JA357" s="1049"/>
      <c r="JB357" s="1049"/>
      <c r="JC357" s="1049"/>
      <c r="JD357" s="1041"/>
      <c r="JE357" s="1037"/>
      <c r="JF357" s="1037"/>
      <c r="JG357" s="1037"/>
      <c r="JH357" s="1037"/>
      <c r="JI357" s="1035"/>
      <c r="JJ357" s="1035"/>
      <c r="JK357" s="1035"/>
      <c r="JL357" s="1035"/>
      <c r="JM357" s="1035"/>
      <c r="JN357" s="1035"/>
      <c r="JO357" s="1035"/>
      <c r="JP357" s="1035"/>
      <c r="JQ357" s="1035"/>
      <c r="JR357" s="1035"/>
      <c r="JS357" s="1035"/>
      <c r="JT357" s="1035"/>
      <c r="JU357" s="1035"/>
      <c r="JV357" s="1035"/>
      <c r="JW357" s="1035"/>
      <c r="JX357" s="1035"/>
      <c r="JY357" s="1035"/>
      <c r="KP357" s="1117"/>
      <c r="LV357" s="967"/>
    </row>
    <row r="358" spans="1:334">
      <c r="A358" s="1281" t="s">
        <v>566</v>
      </c>
      <c r="B358" s="1255"/>
      <c r="C358" s="1255"/>
      <c r="D358" s="1255"/>
      <c r="E358" s="1255"/>
      <c r="F358" s="1255"/>
      <c r="G358" s="1255"/>
      <c r="H358" s="1255"/>
      <c r="I358" s="1255"/>
      <c r="J358" s="1255"/>
      <c r="K358" s="1255"/>
      <c r="L358" s="1255"/>
      <c r="M358" s="1255"/>
      <c r="N358" s="1255"/>
      <c r="O358" s="1255"/>
      <c r="P358" s="1255"/>
      <c r="Q358" s="1255"/>
      <c r="R358" s="1255"/>
      <c r="S358" s="1255"/>
      <c r="T358" s="1255"/>
      <c r="U358" s="1255"/>
      <c r="V358" s="1255"/>
      <c r="W358" s="1255"/>
      <c r="X358" s="1255"/>
      <c r="Y358" s="1255"/>
      <c r="Z358" s="1255"/>
      <c r="AA358" s="1255"/>
      <c r="AB358" s="1255"/>
      <c r="AC358" s="1255"/>
      <c r="AD358" s="1255"/>
      <c r="AE358" s="1255"/>
      <c r="AF358" s="1255"/>
      <c r="AG358" s="1255"/>
      <c r="AH358" s="1255"/>
      <c r="AI358" s="1255"/>
      <c r="AJ358" s="1255"/>
      <c r="AK358" s="1255"/>
      <c r="AL358" s="1255"/>
      <c r="AM358" s="1255"/>
      <c r="AN358" s="1255"/>
      <c r="AO358" s="1255"/>
      <c r="AP358" s="1255"/>
      <c r="AQ358" s="1255"/>
      <c r="AR358" s="1255"/>
      <c r="AS358" s="1255"/>
      <c r="AT358" s="1255"/>
      <c r="AU358" s="1255"/>
      <c r="AV358" s="1255"/>
      <c r="AW358" s="1255"/>
      <c r="AX358" s="1256"/>
      <c r="AY358" s="1255"/>
      <c r="AZ358" s="1255"/>
      <c r="BA358" s="1255"/>
      <c r="BB358" s="1255"/>
      <c r="BC358" s="1255"/>
      <c r="BD358" s="1255"/>
      <c r="BE358" s="1257"/>
      <c r="BF358" s="1255"/>
      <c r="BG358" s="1255"/>
      <c r="BH358" s="1255"/>
      <c r="BI358" s="1255"/>
      <c r="BJ358" s="1255"/>
      <c r="BK358" s="1255"/>
      <c r="BL358" s="1255"/>
      <c r="BM358" s="1255"/>
      <c r="BN358" s="1256"/>
      <c r="BO358" s="1255"/>
      <c r="BP358" s="1255"/>
      <c r="BQ358" s="1255"/>
      <c r="BR358" s="1255"/>
      <c r="BS358" s="1255"/>
      <c r="BT358" s="1255"/>
      <c r="BU358" s="1257"/>
      <c r="BV358" s="1256"/>
      <c r="BW358" s="1255"/>
      <c r="BX358" s="1255"/>
      <c r="BY358" s="1255"/>
      <c r="BZ358" s="1255"/>
      <c r="CA358" s="1255"/>
      <c r="CB358" s="1255"/>
      <c r="CC358" s="1257"/>
      <c r="CD358" s="1256"/>
      <c r="CE358" s="1255"/>
      <c r="CF358" s="1255"/>
      <c r="CG358" s="1255"/>
      <c r="CH358" s="1255"/>
      <c r="CI358" s="1255"/>
      <c r="CJ358" s="1258"/>
      <c r="CK358" s="1257"/>
      <c r="CL358" s="1256"/>
      <c r="CM358" s="1255"/>
      <c r="CN358" s="1255"/>
      <c r="CO358" s="1255"/>
      <c r="CP358" s="1255"/>
      <c r="CQ358" s="1255"/>
      <c r="CR358" s="1255"/>
      <c r="CS358" s="1257"/>
      <c r="CT358" s="1256"/>
      <c r="CU358" s="1255"/>
      <c r="CV358" s="1255"/>
      <c r="CW358" s="1259"/>
      <c r="CX358" s="1259"/>
      <c r="CY358" s="1255"/>
      <c r="CZ358" s="1255"/>
      <c r="DA358" s="1255"/>
      <c r="DB358" s="1260"/>
      <c r="DC358" s="1260"/>
      <c r="DD358" s="1260"/>
      <c r="DE358" s="1261"/>
      <c r="DF358" s="1261"/>
      <c r="DG358" s="1260"/>
      <c r="DH358" s="1260"/>
      <c r="DI358" s="1262"/>
      <c r="DJ358" s="1260"/>
      <c r="DK358" s="1260"/>
      <c r="DL358" s="1260"/>
      <c r="DM358" s="1261"/>
      <c r="DN358" s="1261"/>
      <c r="DO358" s="1260"/>
      <c r="DP358" s="1260"/>
      <c r="DQ358" s="1262"/>
      <c r="DR358" s="1260"/>
      <c r="DS358" s="1260"/>
      <c r="DT358" s="1260"/>
      <c r="DU358" s="1261"/>
      <c r="DV358" s="1261"/>
      <c r="DW358" s="1260"/>
      <c r="DX358" s="1260"/>
      <c r="DY358" s="1262"/>
      <c r="DZ358" s="1260"/>
      <c r="EA358" s="1260"/>
      <c r="EB358" s="1260"/>
      <c r="EC358" s="1261"/>
      <c r="ED358" s="1261"/>
      <c r="EE358" s="1260"/>
      <c r="EF358" s="1260"/>
      <c r="EG358" s="1262"/>
      <c r="EH358" s="1282"/>
      <c r="EI358" s="1282"/>
      <c r="EJ358" s="1282"/>
      <c r="EK358" s="1282"/>
      <c r="EL358" s="1282"/>
      <c r="EM358" s="1282"/>
      <c r="EN358" s="1282"/>
      <c r="EO358" s="1283"/>
      <c r="EP358" s="1282"/>
      <c r="EQ358" s="1282"/>
      <c r="ER358" s="1282"/>
      <c r="ES358" s="1282"/>
      <c r="ET358" s="1282"/>
      <c r="EU358" s="1282"/>
      <c r="EV358" s="1282"/>
      <c r="EW358" s="1283"/>
      <c r="EX358" s="1282"/>
      <c r="EY358" s="1282"/>
      <c r="EZ358" s="1282"/>
      <c r="FA358" s="1282"/>
      <c r="FB358" s="1282"/>
      <c r="FC358" s="1282"/>
      <c r="FD358" s="1282"/>
      <c r="FE358" s="1283"/>
      <c r="FF358" s="1282"/>
      <c r="FG358" s="1282"/>
      <c r="FH358" s="1282"/>
      <c r="FI358" s="1282"/>
      <c r="FJ358" s="1282"/>
      <c r="FK358" s="1282"/>
      <c r="FL358" s="1282"/>
      <c r="FM358" s="1283"/>
      <c r="FN358" s="1282"/>
      <c r="FO358" s="1282"/>
      <c r="FP358" s="1282"/>
      <c r="FQ358" s="1282"/>
      <c r="FR358" s="1282"/>
      <c r="FS358" s="1282"/>
      <c r="FT358" s="1282"/>
      <c r="FU358" s="1282"/>
      <c r="FV358" s="1285"/>
      <c r="FW358" s="1282"/>
      <c r="FX358" s="1282"/>
      <c r="FY358" s="1282"/>
      <c r="FZ358" s="1282"/>
      <c r="GA358" s="1282"/>
      <c r="GB358" s="1282"/>
      <c r="GC358" s="1283"/>
      <c r="GD358" s="1285"/>
      <c r="GE358" s="1282"/>
      <c r="GF358" s="1282"/>
      <c r="GG358" s="1282"/>
      <c r="GH358" s="1282"/>
      <c r="GI358" s="1282"/>
      <c r="GJ358" s="1282"/>
      <c r="GK358" s="1283"/>
      <c r="GL358" s="1282"/>
      <c r="GM358" s="1282"/>
      <c r="GN358" s="1282"/>
      <c r="GO358" s="1282"/>
      <c r="GP358" s="1282"/>
      <c r="GQ358" s="1282"/>
      <c r="GR358" s="1282"/>
      <c r="GS358" s="1283"/>
      <c r="GT358" s="1282"/>
      <c r="GU358" s="1282"/>
      <c r="GV358" s="1282"/>
      <c r="GW358" s="1282"/>
      <c r="GX358" s="1282"/>
      <c r="GY358" s="1282"/>
      <c r="GZ358" s="1282"/>
      <c r="HA358" s="1283"/>
      <c r="HB358" s="1282"/>
      <c r="HC358" s="1282"/>
      <c r="HD358" s="1282"/>
      <c r="HE358" s="1282"/>
      <c r="HF358" s="1282"/>
      <c r="HG358" s="1282"/>
      <c r="HH358" s="1282"/>
      <c r="HI358" s="1283"/>
      <c r="HJ358" s="1282"/>
      <c r="HK358" s="1282"/>
      <c r="HL358" s="1282"/>
      <c r="HM358" s="1282"/>
      <c r="HN358" s="1282"/>
      <c r="HO358" s="1282"/>
      <c r="HP358" s="1282"/>
      <c r="HQ358" s="1283"/>
      <c r="HR358" s="1282"/>
      <c r="HS358" s="1282"/>
      <c r="HT358" s="1282"/>
      <c r="HU358" s="1282"/>
      <c r="HV358" s="1282"/>
      <c r="HW358" s="1282"/>
      <c r="HX358" s="1282"/>
      <c r="HY358" s="1282"/>
      <c r="HZ358" s="1282"/>
      <c r="IA358" s="1282"/>
      <c r="IB358" s="1282"/>
      <c r="IC358" s="1282"/>
      <c r="ID358" s="1282"/>
      <c r="IE358" s="1282"/>
      <c r="IF358" s="1282"/>
      <c r="IG358" s="1283"/>
      <c r="IH358" s="1282"/>
      <c r="II358" s="1282"/>
      <c r="IJ358" s="1282"/>
      <c r="IK358" s="1282"/>
      <c r="IL358" s="1282"/>
      <c r="IM358" s="1282"/>
      <c r="IN358" s="1282"/>
      <c r="IO358" s="1283"/>
      <c r="IP358" s="1282"/>
      <c r="IQ358" s="1282"/>
      <c r="IR358" s="1282"/>
      <c r="IS358" s="1282"/>
      <c r="IT358" s="1282"/>
      <c r="IU358" s="1282"/>
      <c r="IV358" s="1282"/>
      <c r="IW358" s="1282"/>
      <c r="IX358" s="1104"/>
      <c r="IY358" s="1049"/>
      <c r="IZ358" s="1049"/>
      <c r="JA358" s="1049"/>
      <c r="JB358" s="1049"/>
      <c r="JC358" s="1049"/>
      <c r="JD358" s="1041"/>
      <c r="JE358" s="1037"/>
      <c r="JF358" s="1037"/>
      <c r="JG358" s="1037"/>
      <c r="JH358" s="1037"/>
      <c r="JI358" s="1035"/>
      <c r="JJ358" s="1035"/>
      <c r="JK358" s="1035"/>
      <c r="JL358" s="1035"/>
      <c r="JM358" s="1035"/>
      <c r="JN358" s="1035"/>
      <c r="JO358" s="1035"/>
      <c r="JP358" s="1035"/>
      <c r="JQ358" s="1035"/>
      <c r="JR358" s="1035"/>
      <c r="JS358" s="1035"/>
      <c r="JT358" s="1035"/>
      <c r="JU358" s="1035"/>
      <c r="JV358" s="1035"/>
      <c r="JW358" s="1035"/>
      <c r="JX358" s="1035"/>
      <c r="JY358" s="1035"/>
      <c r="KP358" s="1117"/>
      <c r="LV358" s="967"/>
    </row>
    <row r="359" spans="1:334">
      <c r="A359" s="967" t="s">
        <v>126</v>
      </c>
      <c r="AX359" s="1059"/>
      <c r="BE359" s="1060"/>
      <c r="BN359" s="1059"/>
      <c r="BU359" s="1060"/>
      <c r="BV359" s="1059"/>
      <c r="CC359" s="1060"/>
      <c r="CD359" s="1059"/>
      <c r="CJ359" s="1061"/>
      <c r="CK359" s="1060"/>
      <c r="CL359" s="1059"/>
      <c r="CS359" s="1060"/>
      <c r="CT359" s="1059"/>
      <c r="CW359" s="1062"/>
      <c r="CX359" s="1062"/>
      <c r="DE359" s="1064"/>
      <c r="DF359" s="1064"/>
      <c r="DM359" s="1064"/>
      <c r="DN359" s="1064"/>
      <c r="DU359" s="1064"/>
      <c r="DV359" s="1064"/>
      <c r="EC359" s="1064"/>
      <c r="ED359" s="1064"/>
      <c r="EH359" s="1181"/>
      <c r="EI359" s="1181"/>
      <c r="EJ359" s="1181"/>
      <c r="EK359" s="1181"/>
      <c r="EL359" s="1181"/>
      <c r="EM359" s="1181"/>
      <c r="EN359" s="1181"/>
      <c r="EO359" s="1182"/>
      <c r="EP359" s="1181"/>
      <c r="EQ359" s="1181"/>
      <c r="ER359" s="1181"/>
      <c r="ES359" s="1181"/>
      <c r="ET359" s="1181"/>
      <c r="EU359" s="1181"/>
      <c r="EV359" s="1181"/>
      <c r="EW359" s="1182"/>
      <c r="EX359" s="1148">
        <f>EX264-EX360</f>
        <v>234</v>
      </c>
      <c r="EY359" s="1148">
        <f t="shared" ref="EY359:FJ359" si="1939">EY264-EY360</f>
        <v>197</v>
      </c>
      <c r="EZ359" s="1148">
        <f t="shared" si="1939"/>
        <v>431</v>
      </c>
      <c r="FA359" s="1148">
        <f t="shared" si="1939"/>
        <v>261</v>
      </c>
      <c r="FB359" s="1148">
        <f t="shared" si="1939"/>
        <v>692</v>
      </c>
      <c r="FC359" s="1148">
        <f t="shared" si="1939"/>
        <v>238</v>
      </c>
      <c r="FD359" s="1148">
        <f t="shared" si="1939"/>
        <v>499</v>
      </c>
      <c r="FE359" s="1149">
        <f t="shared" si="1939"/>
        <v>930</v>
      </c>
      <c r="FF359" s="1148">
        <f t="shared" si="1939"/>
        <v>300</v>
      </c>
      <c r="FG359" s="1148">
        <f t="shared" si="1939"/>
        <v>266</v>
      </c>
      <c r="FH359" s="1148">
        <f t="shared" si="1939"/>
        <v>566</v>
      </c>
      <c r="FI359" s="1148">
        <f t="shared" si="1939"/>
        <v>328</v>
      </c>
      <c r="FJ359" s="1148">
        <f t="shared" si="1939"/>
        <v>894</v>
      </c>
      <c r="FK359" s="1148">
        <f>FK199-FK360</f>
        <v>266</v>
      </c>
      <c r="FL359" s="1148">
        <f>FL199-FL360</f>
        <v>594</v>
      </c>
      <c r="FM359" s="1149">
        <f>FM199-FM360</f>
        <v>1160</v>
      </c>
      <c r="FN359" s="1148">
        <f>FN264-FN360</f>
        <v>345</v>
      </c>
      <c r="FO359" s="1148">
        <f>FO264-FO360</f>
        <v>290</v>
      </c>
      <c r="FP359" s="1148">
        <f>FP264-FP360</f>
        <v>635</v>
      </c>
      <c r="FQ359" s="1148">
        <f>FQ264-FQ360</f>
        <v>397</v>
      </c>
      <c r="FR359" s="1148">
        <f>FR264-FR360</f>
        <v>1032</v>
      </c>
      <c r="FS359" s="1148">
        <f>FS199-FS360</f>
        <v>309</v>
      </c>
      <c r="FT359" s="1148">
        <f>FT199-FT360</f>
        <v>706</v>
      </c>
      <c r="FU359" s="1148">
        <f>FU199-FU360</f>
        <v>1341</v>
      </c>
      <c r="FV359" s="1151">
        <f>FV264-FV360</f>
        <v>412</v>
      </c>
      <c r="FW359" s="1148">
        <f>FW264-FW360</f>
        <v>314</v>
      </c>
      <c r="FX359" s="1148">
        <f>FX264-FX360</f>
        <v>726</v>
      </c>
      <c r="FY359" s="1148">
        <f>FY264-FY360</f>
        <v>384</v>
      </c>
      <c r="FZ359" s="1148">
        <f>FZ264-FZ360</f>
        <v>1110</v>
      </c>
      <c r="GA359" s="1148">
        <f>GA199-GA360</f>
        <v>283</v>
      </c>
      <c r="GB359" s="1148">
        <f>GB199-GB360</f>
        <v>667</v>
      </c>
      <c r="GC359" s="1149">
        <f>GC199-GC360</f>
        <v>1393</v>
      </c>
      <c r="GD359" s="1151">
        <f>GD264-GD360</f>
        <v>149</v>
      </c>
      <c r="GE359" s="1148">
        <f>GE264-GE360</f>
        <v>125</v>
      </c>
      <c r="GF359" s="1148">
        <f>GF264-GF360</f>
        <v>274</v>
      </c>
      <c r="GG359" s="1148">
        <f>GG264-GG360</f>
        <v>150</v>
      </c>
      <c r="GH359" s="1148">
        <f>GH264-GH360</f>
        <v>424</v>
      </c>
      <c r="GI359" s="1148">
        <f>GI199-GI360</f>
        <v>116</v>
      </c>
      <c r="GJ359" s="1148">
        <f>GJ199-GJ360</f>
        <v>266</v>
      </c>
      <c r="GK359" s="1149">
        <f>GK199-GK360</f>
        <v>540</v>
      </c>
      <c r="GL359" s="1148">
        <f>GL264-GL360</f>
        <v>156</v>
      </c>
      <c r="GM359" s="1148">
        <f>GM264-GM360</f>
        <v>127</v>
      </c>
      <c r="GN359" s="1148">
        <f>GN264-GN360</f>
        <v>283</v>
      </c>
      <c r="GO359" s="1148">
        <f>GO264-GO360</f>
        <v>187</v>
      </c>
      <c r="GP359" s="1148">
        <f>GP264-GP360</f>
        <v>470</v>
      </c>
      <c r="GQ359" s="1148">
        <f>GQ199-GQ360</f>
        <v>151</v>
      </c>
      <c r="GR359" s="1148">
        <f>GR199-GR360</f>
        <v>338</v>
      </c>
      <c r="GS359" s="1149">
        <f>GS199-GS360</f>
        <v>621</v>
      </c>
      <c r="GT359" s="1148">
        <f>GT264-GT360</f>
        <v>145</v>
      </c>
      <c r="GU359" s="1148">
        <f>GU264-GU360</f>
        <v>56</v>
      </c>
      <c r="GV359" s="1148">
        <f>GV264-GV360</f>
        <v>201</v>
      </c>
      <c r="GW359" s="1148">
        <f>GW264-GW360</f>
        <v>166.28</v>
      </c>
      <c r="GX359" s="1148">
        <f>GX264-GX360</f>
        <v>367.28</v>
      </c>
      <c r="GY359" s="1148"/>
      <c r="GZ359" s="1148"/>
      <c r="HA359" s="1149"/>
      <c r="HB359" s="1148">
        <f t="shared" ref="HB359:HG359" si="1940">HB199-HB360</f>
        <v>291</v>
      </c>
      <c r="HC359" s="1148">
        <f t="shared" si="1940"/>
        <v>251</v>
      </c>
      <c r="HD359" s="1148">
        <f t="shared" si="1940"/>
        <v>542</v>
      </c>
      <c r="HE359" s="1148">
        <f t="shared" si="1940"/>
        <v>253</v>
      </c>
      <c r="HF359" s="1148">
        <f t="shared" si="1940"/>
        <v>795</v>
      </c>
      <c r="HG359" s="1148">
        <f t="shared" si="1940"/>
        <v>269</v>
      </c>
      <c r="HH359" s="1148"/>
      <c r="HI359" s="1149">
        <f>HG359+HF359</f>
        <v>1064</v>
      </c>
      <c r="HJ359" s="1148">
        <f>HJ199-HJ360</f>
        <v>237</v>
      </c>
      <c r="HK359" s="1148">
        <f>HK199-HK360</f>
        <v>250</v>
      </c>
      <c r="HL359" s="1148"/>
      <c r="HM359" s="1148"/>
      <c r="HN359" s="1148"/>
      <c r="HO359" s="1148"/>
      <c r="HP359" s="1148"/>
      <c r="HQ359" s="1149"/>
      <c r="HR359" s="1148"/>
      <c r="HS359" s="1148"/>
      <c r="HT359" s="1148"/>
      <c r="HU359" s="1148"/>
      <c r="HV359" s="1148"/>
      <c r="HW359" s="1148"/>
      <c r="HX359" s="1148"/>
      <c r="HY359" s="1148"/>
      <c r="HZ359" s="1148"/>
      <c r="IA359" s="1148"/>
      <c r="IB359" s="1148"/>
      <c r="IC359" s="1148"/>
      <c r="ID359" s="1148"/>
      <c r="IE359" s="1148"/>
      <c r="IF359" s="1148"/>
      <c r="IG359" s="1149"/>
      <c r="IH359" s="1148"/>
      <c r="II359" s="1148"/>
      <c r="IJ359" s="1148"/>
      <c r="IK359" s="1148"/>
      <c r="IL359" s="1148"/>
      <c r="IM359" s="1148"/>
      <c r="IN359" s="1148"/>
      <c r="IO359" s="1149"/>
      <c r="IP359" s="1148"/>
      <c r="IQ359" s="1148"/>
      <c r="IR359" s="1148"/>
      <c r="IS359" s="1148"/>
      <c r="IT359" s="1148"/>
      <c r="IU359" s="1148"/>
      <c r="IV359" s="1148"/>
      <c r="IW359" s="1148"/>
      <c r="IX359" s="1104"/>
      <c r="IY359" s="1049"/>
      <c r="IZ359" s="1049"/>
      <c r="JA359" s="1049"/>
      <c r="JB359" s="1049"/>
      <c r="JC359" s="1049"/>
      <c r="JD359" s="1041"/>
      <c r="JE359" s="1037"/>
      <c r="JF359" s="1037"/>
      <c r="JG359" s="1037"/>
      <c r="JH359" s="1037"/>
      <c r="JI359" s="1035"/>
      <c r="JJ359" s="1035"/>
      <c r="JK359" s="1035"/>
      <c r="JL359" s="1035"/>
      <c r="JM359" s="1035"/>
      <c r="JN359" s="1035"/>
      <c r="JO359" s="1035"/>
      <c r="JP359" s="1035"/>
      <c r="JQ359" s="1035"/>
      <c r="JR359" s="1035"/>
      <c r="JS359" s="1035"/>
      <c r="JT359" s="1035"/>
      <c r="JU359" s="1035"/>
      <c r="JV359" s="1035"/>
      <c r="JW359" s="1035"/>
      <c r="JX359" s="1035"/>
      <c r="JY359" s="1035"/>
      <c r="KP359" s="1117"/>
      <c r="LV359" s="967"/>
    </row>
    <row r="360" spans="1:334">
      <c r="A360" s="1103" t="s">
        <v>127</v>
      </c>
      <c r="AX360" s="1059"/>
      <c r="BE360" s="1060"/>
      <c r="BN360" s="1059"/>
      <c r="BU360" s="1060"/>
      <c r="BV360" s="1059"/>
      <c r="CC360" s="1060"/>
      <c r="CD360" s="1059"/>
      <c r="CJ360" s="1061"/>
      <c r="CK360" s="1060"/>
      <c r="CL360" s="1059"/>
      <c r="CS360" s="1060"/>
      <c r="CT360" s="1059"/>
      <c r="CW360" s="1062"/>
      <c r="CX360" s="1062"/>
      <c r="DE360" s="1064"/>
      <c r="DF360" s="1064"/>
      <c r="DM360" s="1064"/>
      <c r="DN360" s="1064"/>
      <c r="DU360" s="1064"/>
      <c r="DV360" s="1064"/>
      <c r="EC360" s="1064"/>
      <c r="ED360" s="1064"/>
      <c r="EH360" s="1181"/>
      <c r="EI360" s="1181"/>
      <c r="EJ360" s="1181"/>
      <c r="EK360" s="1181"/>
      <c r="EL360" s="1181"/>
      <c r="EM360" s="1181"/>
      <c r="EN360" s="1181"/>
      <c r="EO360" s="1182"/>
      <c r="EP360" s="1181"/>
      <c r="EQ360" s="1181"/>
      <c r="ER360" s="1181"/>
      <c r="ES360" s="1181"/>
      <c r="ET360" s="1181"/>
      <c r="EU360" s="1181"/>
      <c r="EV360" s="1181"/>
      <c r="EW360" s="1182"/>
      <c r="EX360" s="1071">
        <v>269</v>
      </c>
      <c r="EY360" s="1071">
        <v>212</v>
      </c>
      <c r="EZ360" s="1071">
        <f>EX360+EY360</f>
        <v>481</v>
      </c>
      <c r="FA360" s="1071">
        <v>300</v>
      </c>
      <c r="FB360" s="1071">
        <f>EX360+EY360+FA360</f>
        <v>781</v>
      </c>
      <c r="FC360" s="1071">
        <v>214</v>
      </c>
      <c r="FD360" s="1071">
        <f>FA360+FC360</f>
        <v>514</v>
      </c>
      <c r="FE360" s="1072">
        <f>EX360+EY360+FA360+FC360</f>
        <v>995</v>
      </c>
      <c r="FF360" s="1071">
        <v>335</v>
      </c>
      <c r="FG360" s="1071">
        <f>FH360-FF360</f>
        <v>270</v>
      </c>
      <c r="FH360" s="1071">
        <v>605</v>
      </c>
      <c r="FI360" s="1071">
        <f>FJ360-FH360</f>
        <v>346</v>
      </c>
      <c r="FJ360" s="1071">
        <v>951</v>
      </c>
      <c r="FK360" s="1071">
        <f>FM360-FJ360</f>
        <v>277</v>
      </c>
      <c r="FL360" s="1071">
        <f>FI360+FK360</f>
        <v>623</v>
      </c>
      <c r="FM360" s="1072">
        <v>1228</v>
      </c>
      <c r="FN360" s="1071">
        <v>356</v>
      </c>
      <c r="FO360" s="1071">
        <f>FP360-FN360</f>
        <v>282</v>
      </c>
      <c r="FP360" s="1071">
        <v>638</v>
      </c>
      <c r="FQ360" s="1071">
        <f>FR360-FP360</f>
        <v>397</v>
      </c>
      <c r="FR360" s="1071">
        <v>1035</v>
      </c>
      <c r="FS360" s="1071">
        <f>FU360-FR360</f>
        <v>309</v>
      </c>
      <c r="FT360" s="1071">
        <f>FQ360+FS360</f>
        <v>706</v>
      </c>
      <c r="FU360" s="1071">
        <v>1344</v>
      </c>
      <c r="FV360" s="1177">
        <v>421</v>
      </c>
      <c r="FW360" s="1071">
        <f>FX360-FV360</f>
        <v>343</v>
      </c>
      <c r="FX360" s="1071">
        <v>764</v>
      </c>
      <c r="FY360" s="1071">
        <f>FZ360-FX360</f>
        <v>417</v>
      </c>
      <c r="FZ360" s="1071">
        <v>1181</v>
      </c>
      <c r="GA360" s="1071">
        <f>GC360-FZ360</f>
        <v>333</v>
      </c>
      <c r="GB360" s="1071">
        <f>FY360+GA360</f>
        <v>750</v>
      </c>
      <c r="GC360" s="1072">
        <v>1514</v>
      </c>
      <c r="GD360" s="1177">
        <v>159</v>
      </c>
      <c r="GE360" s="1071">
        <f>GF360-GD360</f>
        <v>126</v>
      </c>
      <c r="GF360" s="1071">
        <v>285</v>
      </c>
      <c r="GG360" s="1071">
        <v>179</v>
      </c>
      <c r="GH360" s="1071">
        <f>GG360+GF360</f>
        <v>464</v>
      </c>
      <c r="GI360" s="1071">
        <f>GK360-GH360</f>
        <v>140</v>
      </c>
      <c r="GJ360" s="1071">
        <f>GG360+GI360</f>
        <v>319</v>
      </c>
      <c r="GK360" s="1072">
        <v>604</v>
      </c>
      <c r="GL360" s="1071">
        <v>174</v>
      </c>
      <c r="GM360" s="1071">
        <v>154</v>
      </c>
      <c r="GN360" s="1071">
        <f>GM360+GL360</f>
        <v>328</v>
      </c>
      <c r="GO360" s="1071">
        <v>201</v>
      </c>
      <c r="GP360" s="1071">
        <f>GO360+GN360</f>
        <v>529</v>
      </c>
      <c r="GQ360" s="1071">
        <f>GS360-GP360</f>
        <v>152</v>
      </c>
      <c r="GR360" s="1071">
        <f>GO360+GQ360</f>
        <v>353</v>
      </c>
      <c r="GS360" s="1072">
        <v>681</v>
      </c>
      <c r="GT360" s="1071">
        <v>148</v>
      </c>
      <c r="GU360" s="1071">
        <v>52</v>
      </c>
      <c r="GV360" s="1071">
        <f>GU360+GT360</f>
        <v>200</v>
      </c>
      <c r="GW360" s="1071">
        <v>148</v>
      </c>
      <c r="GX360" s="1071">
        <f>GW360+GV360</f>
        <v>348</v>
      </c>
      <c r="GY360" s="1071"/>
      <c r="GZ360" s="1071"/>
      <c r="HA360" s="1072"/>
      <c r="HB360" s="1071">
        <v>312</v>
      </c>
      <c r="HC360" s="1071">
        <v>282</v>
      </c>
      <c r="HD360" s="1071">
        <f>HC360+HB360</f>
        <v>594</v>
      </c>
      <c r="HE360" s="1071">
        <v>251</v>
      </c>
      <c r="HF360" s="1071">
        <f>HE360+HD360</f>
        <v>845</v>
      </c>
      <c r="HG360" s="1071">
        <v>272</v>
      </c>
      <c r="HH360" s="1071"/>
      <c r="HI360" s="1072">
        <f>HG360+HF360</f>
        <v>1117</v>
      </c>
      <c r="HJ360" s="1071">
        <v>269</v>
      </c>
      <c r="HK360" s="1071">
        <v>300</v>
      </c>
      <c r="HL360" s="1071"/>
      <c r="HM360" s="1071"/>
      <c r="HN360" s="1071"/>
      <c r="HO360" s="1071"/>
      <c r="HP360" s="1071"/>
      <c r="HQ360" s="1072"/>
      <c r="HR360" s="1071"/>
      <c r="HS360" s="1071"/>
      <c r="HT360" s="1071"/>
      <c r="HU360" s="1071"/>
      <c r="HV360" s="1071"/>
      <c r="HW360" s="1071"/>
      <c r="HX360" s="1071"/>
      <c r="HY360" s="1071"/>
      <c r="HZ360" s="1071"/>
      <c r="IA360" s="1071"/>
      <c r="IB360" s="1071"/>
      <c r="IC360" s="1071"/>
      <c r="ID360" s="1071"/>
      <c r="IE360" s="1071"/>
      <c r="IF360" s="1071"/>
      <c r="IG360" s="1072"/>
      <c r="IH360" s="1071"/>
      <c r="II360" s="1071"/>
      <c r="IJ360" s="1071"/>
      <c r="IK360" s="1071"/>
      <c r="IL360" s="1071"/>
      <c r="IM360" s="1071"/>
      <c r="IN360" s="1071"/>
      <c r="IO360" s="1072"/>
      <c r="IP360" s="1071"/>
      <c r="IQ360" s="1071"/>
      <c r="IR360" s="1071"/>
      <c r="IS360" s="1071"/>
      <c r="IT360" s="1071"/>
      <c r="IU360" s="1071"/>
      <c r="IV360" s="1071"/>
      <c r="IW360" s="1071"/>
      <c r="IX360" s="1104"/>
      <c r="IY360" s="1049"/>
      <c r="IZ360" s="1049"/>
      <c r="JA360" s="1049"/>
      <c r="JB360" s="1049"/>
      <c r="JC360" s="1049"/>
      <c r="JD360" s="1041"/>
      <c r="JE360" s="1037"/>
      <c r="JF360" s="1037"/>
      <c r="JG360" s="1037"/>
      <c r="JH360" s="1037"/>
      <c r="JI360" s="1035"/>
      <c r="JJ360" s="1035"/>
      <c r="JK360" s="1035"/>
      <c r="JL360" s="1035"/>
      <c r="JM360" s="1035"/>
      <c r="JN360" s="1035"/>
      <c r="JO360" s="1035"/>
      <c r="JP360" s="1035"/>
      <c r="JQ360" s="1035"/>
      <c r="JR360" s="1035"/>
      <c r="JS360" s="1035"/>
      <c r="JT360" s="1035"/>
      <c r="JU360" s="1035"/>
      <c r="JV360" s="1035"/>
      <c r="JW360" s="1035"/>
      <c r="JX360" s="1035"/>
      <c r="JY360" s="1035"/>
      <c r="KP360" s="1117"/>
      <c r="LV360" s="967"/>
    </row>
    <row r="361" spans="1:334">
      <c r="A361" s="967" t="s">
        <v>61</v>
      </c>
      <c r="AX361" s="1059"/>
      <c r="BE361" s="1060"/>
      <c r="BN361" s="1059"/>
      <c r="BU361" s="1060"/>
      <c r="BV361" s="1059"/>
      <c r="CC361" s="1060"/>
      <c r="CD361" s="1059"/>
      <c r="CJ361" s="1061"/>
      <c r="CK361" s="1060"/>
      <c r="CL361" s="1059"/>
      <c r="CS361" s="1060"/>
      <c r="CT361" s="1059"/>
      <c r="CW361" s="1062"/>
      <c r="CX361" s="1062"/>
      <c r="DE361" s="1064"/>
      <c r="DF361" s="1064"/>
      <c r="DM361" s="1064"/>
      <c r="DN361" s="1064"/>
      <c r="DU361" s="1064"/>
      <c r="DV361" s="1064"/>
      <c r="EC361" s="1064"/>
      <c r="ED361" s="1064"/>
      <c r="EH361" s="1181"/>
      <c r="EI361" s="1181"/>
      <c r="EJ361" s="1181"/>
      <c r="EK361" s="1181"/>
      <c r="EL361" s="1181"/>
      <c r="EM361" s="1181"/>
      <c r="EN361" s="1181"/>
      <c r="EO361" s="1182"/>
      <c r="EP361" s="1181"/>
      <c r="EQ361" s="1181"/>
      <c r="ER361" s="1181"/>
      <c r="ES361" s="1181"/>
      <c r="ET361" s="1181"/>
      <c r="EU361" s="1181"/>
      <c r="EV361" s="1181"/>
      <c r="EW361" s="1182"/>
      <c r="EX361" s="1094"/>
      <c r="EY361" s="1094"/>
      <c r="EZ361" s="1094"/>
      <c r="FA361" s="1094"/>
      <c r="FB361" s="1094"/>
      <c r="FC361" s="1094"/>
      <c r="FD361" s="1094"/>
      <c r="FE361" s="1093"/>
      <c r="FF361" s="1094">
        <f t="shared" ref="FF361:FN361" si="1941">FF360/EX360-1</f>
        <v>0.245353159851301</v>
      </c>
      <c r="FG361" s="1094">
        <f t="shared" si="1941"/>
        <v>0.273584905660377</v>
      </c>
      <c r="FH361" s="1094">
        <f t="shared" si="1941"/>
        <v>0.257796257796258</v>
      </c>
      <c r="FI361" s="1094">
        <f t="shared" si="1941"/>
        <v>0.153333333333333</v>
      </c>
      <c r="FJ361" s="1094">
        <f t="shared" si="1941"/>
        <v>0.217669654289373</v>
      </c>
      <c r="FK361" s="1094">
        <f t="shared" si="1941"/>
        <v>0.294392523364486</v>
      </c>
      <c r="FL361" s="1094">
        <f t="shared" si="1941"/>
        <v>0.212062256809338</v>
      </c>
      <c r="FM361" s="1093">
        <f t="shared" si="1941"/>
        <v>0.234170854271357</v>
      </c>
      <c r="FN361" s="1094">
        <f t="shared" si="1941"/>
        <v>0.0626865671641792</v>
      </c>
      <c r="FO361" s="1094">
        <f t="shared" ref="FO361:FX361" si="1942">FO360/FG360-1</f>
        <v>0.0444444444444445</v>
      </c>
      <c r="FP361" s="1094">
        <f t="shared" si="1942"/>
        <v>0.0545454545454545</v>
      </c>
      <c r="FQ361" s="1094">
        <f t="shared" si="1942"/>
        <v>0.147398843930636</v>
      </c>
      <c r="FR361" s="1094">
        <f t="shared" si="1942"/>
        <v>0.0883280757097791</v>
      </c>
      <c r="FS361" s="1094">
        <f t="shared" si="1942"/>
        <v>0.115523465703971</v>
      </c>
      <c r="FT361" s="1094">
        <f t="shared" si="1942"/>
        <v>0.13322632423756</v>
      </c>
      <c r="FU361" s="1094">
        <f t="shared" si="1942"/>
        <v>0.0944625407166124</v>
      </c>
      <c r="FV361" s="1275">
        <f t="shared" si="1942"/>
        <v>0.182584269662921</v>
      </c>
      <c r="FW361" s="1094">
        <f t="shared" si="1942"/>
        <v>0.216312056737589</v>
      </c>
      <c r="FX361" s="1094">
        <f t="shared" si="1942"/>
        <v>0.197492163009404</v>
      </c>
      <c r="FY361" s="1094">
        <f t="shared" ref="FY361" si="1943">FY360/FQ360-1</f>
        <v>0.0503778337531486</v>
      </c>
      <c r="FZ361" s="1094">
        <f t="shared" ref="FZ361" si="1944">FZ360/FR360-1</f>
        <v>0.141062801932367</v>
      </c>
      <c r="GA361" s="1094">
        <f t="shared" ref="GA361" si="1945">GA360/FS360-1</f>
        <v>0.0776699029126213</v>
      </c>
      <c r="GB361" s="1094">
        <f t="shared" ref="GB361" si="1946">GB360/FT360-1</f>
        <v>0.0623229461756374</v>
      </c>
      <c r="GC361" s="1093">
        <f t="shared" ref="GC361" si="1947">GC360/FU360-1</f>
        <v>0.126488095238095</v>
      </c>
      <c r="GD361" s="1275">
        <f>GD360/176-1</f>
        <v>-0.0965909090909091</v>
      </c>
      <c r="GE361" s="1094">
        <f>((GF361*FX360)-(GD361*FV360))/FW360</f>
        <v>-0.080700510775656</v>
      </c>
      <c r="GF361" s="1094">
        <f>GF360/313-1</f>
        <v>-0.0894568690095847</v>
      </c>
      <c r="GG361" s="1094">
        <f>GG360/181-1</f>
        <v>-0.011049723756906</v>
      </c>
      <c r="GH361" s="1094">
        <f>GH360/(181+137+176)-1</f>
        <v>-0.0607287449392713</v>
      </c>
      <c r="GI361" s="1094">
        <f t="shared" ref="GI361" si="1948">GI360/GA360-1</f>
        <v>-0.57957957957958</v>
      </c>
      <c r="GJ361" s="1094">
        <f t="shared" ref="GJ361" si="1949">GJ360/GB360-1</f>
        <v>-0.574666666666667</v>
      </c>
      <c r="GK361" s="1093">
        <f t="shared" ref="GK361:GN361" si="1950">GK360/GC360-1</f>
        <v>-0.60105680317041</v>
      </c>
      <c r="GL361" s="1094">
        <f t="shared" si="1950"/>
        <v>0.0943396226415094</v>
      </c>
      <c r="GM361" s="1094">
        <f t="shared" si="1950"/>
        <v>0.222222222222222</v>
      </c>
      <c r="GN361" s="1094">
        <f t="shared" si="1950"/>
        <v>0.150877192982456</v>
      </c>
      <c r="GO361" s="1094">
        <f>GO360/181-1</f>
        <v>0.110497237569061</v>
      </c>
      <c r="GP361" s="1094">
        <f>GP360/(181+137+176)-1</f>
        <v>0.0708502024291497</v>
      </c>
      <c r="GQ361" s="1094">
        <f t="shared" ref="GQ361" si="1951">GQ360/GI360-1</f>
        <v>0.0857142857142856</v>
      </c>
      <c r="GR361" s="1094">
        <f t="shared" ref="GR361" si="1952">GR360/GJ360-1</f>
        <v>0.106583072100313</v>
      </c>
      <c r="GS361" s="1093">
        <f t="shared" ref="GS361:GV361" si="1953">GS360/GK360-1</f>
        <v>0.127483443708609</v>
      </c>
      <c r="GT361" s="1094">
        <f t="shared" si="1953"/>
        <v>-0.149425287356322</v>
      </c>
      <c r="GU361" s="1094">
        <f t="shared" si="1953"/>
        <v>-0.662337662337662</v>
      </c>
      <c r="GV361" s="1094">
        <f t="shared" si="1953"/>
        <v>-0.390243902439024</v>
      </c>
      <c r="GW361" s="1094">
        <f>GW360/181-1</f>
        <v>-0.18232044198895</v>
      </c>
      <c r="GX361" s="1094">
        <f>GX360/(181+137+176)-1</f>
        <v>-0.295546558704453</v>
      </c>
      <c r="GY361" s="1094"/>
      <c r="GZ361" s="1094"/>
      <c r="HA361" s="1093"/>
      <c r="HB361" s="1094"/>
      <c r="HC361" s="1094"/>
      <c r="HD361" s="1094"/>
      <c r="HE361" s="1094"/>
      <c r="HF361" s="1094"/>
      <c r="HG361" s="1094"/>
      <c r="HH361" s="1094"/>
      <c r="HI361" s="1093"/>
      <c r="HJ361" s="1094">
        <f>HJ360/HB360-1</f>
        <v>-0.137820512820513</v>
      </c>
      <c r="HK361" s="1094">
        <f>HK360/HC360-1</f>
        <v>0.0638297872340425</v>
      </c>
      <c r="HL361" s="1094"/>
      <c r="HM361" s="1094"/>
      <c r="HN361" s="1094"/>
      <c r="HO361" s="1094"/>
      <c r="HP361" s="1094"/>
      <c r="HQ361" s="1093"/>
      <c r="HR361" s="1094"/>
      <c r="HS361" s="1094"/>
      <c r="HT361" s="1094"/>
      <c r="HU361" s="1094"/>
      <c r="HV361" s="1094"/>
      <c r="HW361" s="1094"/>
      <c r="HX361" s="1094"/>
      <c r="HY361" s="1094"/>
      <c r="HZ361" s="1094"/>
      <c r="IA361" s="1094"/>
      <c r="IB361" s="1094"/>
      <c r="IC361" s="1094"/>
      <c r="ID361" s="1094"/>
      <c r="IE361" s="1094"/>
      <c r="IF361" s="1094"/>
      <c r="IG361" s="1093"/>
      <c r="IH361" s="1094"/>
      <c r="II361" s="1094"/>
      <c r="IJ361" s="1094"/>
      <c r="IK361" s="1094"/>
      <c r="IL361" s="1094"/>
      <c r="IM361" s="1094"/>
      <c r="IN361" s="1094"/>
      <c r="IO361" s="1093"/>
      <c r="IP361" s="1094"/>
      <c r="IQ361" s="1094"/>
      <c r="IR361" s="1094"/>
      <c r="IS361" s="1094"/>
      <c r="IT361" s="1094"/>
      <c r="IU361" s="1094"/>
      <c r="IV361" s="1094"/>
      <c r="IW361" s="1094"/>
      <c r="IX361" s="1104"/>
      <c r="IY361" s="1049"/>
      <c r="IZ361" s="1049"/>
      <c r="JA361" s="1049"/>
      <c r="JB361" s="1049"/>
      <c r="JC361" s="1049"/>
      <c r="JD361" s="1041"/>
      <c r="JE361" s="1037"/>
      <c r="JF361" s="1037"/>
      <c r="JG361" s="1037"/>
      <c r="JH361" s="1037"/>
      <c r="JI361" s="1035"/>
      <c r="JJ361" s="1035"/>
      <c r="JK361" s="1035"/>
      <c r="JL361" s="1035"/>
      <c r="JM361" s="1035"/>
      <c r="JN361" s="1035"/>
      <c r="JO361" s="1035"/>
      <c r="JP361" s="1035"/>
      <c r="JQ361" s="1035"/>
      <c r="JR361" s="1035"/>
      <c r="JS361" s="1035"/>
      <c r="JT361" s="1035"/>
      <c r="JU361" s="1035"/>
      <c r="JV361" s="1035"/>
      <c r="JW361" s="1035"/>
      <c r="JX361" s="1035"/>
      <c r="JY361" s="1035"/>
      <c r="KP361" s="1117"/>
      <c r="LV361" s="967"/>
    </row>
    <row r="362" spans="1:334">
      <c r="A362" s="967" t="s">
        <v>128</v>
      </c>
      <c r="AX362" s="1059"/>
      <c r="BE362" s="1060"/>
      <c r="BN362" s="1059"/>
      <c r="BU362" s="1060"/>
      <c r="BV362" s="1059"/>
      <c r="CC362" s="1060"/>
      <c r="CD362" s="1059"/>
      <c r="CJ362" s="1061"/>
      <c r="CK362" s="1060"/>
      <c r="CL362" s="1059"/>
      <c r="CS362" s="1060"/>
      <c r="CT362" s="1059"/>
      <c r="CW362" s="1062"/>
      <c r="CX362" s="1062"/>
      <c r="DE362" s="1064"/>
      <c r="DF362" s="1064"/>
      <c r="DM362" s="1064"/>
      <c r="DN362" s="1064"/>
      <c r="DU362" s="1064"/>
      <c r="DV362" s="1064"/>
      <c r="EC362" s="1064"/>
      <c r="ED362" s="1064"/>
      <c r="EH362" s="1181"/>
      <c r="EI362" s="1181"/>
      <c r="EJ362" s="1181"/>
      <c r="EK362" s="1181"/>
      <c r="EL362" s="1181"/>
      <c r="EM362" s="1181"/>
      <c r="EN362" s="1181"/>
      <c r="EO362" s="1182"/>
      <c r="EP362" s="1181"/>
      <c r="EQ362" s="1181"/>
      <c r="ER362" s="1181"/>
      <c r="ES362" s="1181"/>
      <c r="ET362" s="1181"/>
      <c r="EU362" s="1181"/>
      <c r="EV362" s="1181"/>
      <c r="EW362" s="1182"/>
      <c r="EX362" s="1094">
        <f>EX360/EX$264</f>
        <v>0.534791252485089</v>
      </c>
      <c r="EY362" s="1094">
        <f t="shared" ref="EY362:FK362" si="1954">EY360/EY$264</f>
        <v>0.518337408312958</v>
      </c>
      <c r="EZ362" s="1094">
        <f t="shared" si="1954"/>
        <v>0.527412280701754</v>
      </c>
      <c r="FA362" s="1094">
        <f t="shared" si="1954"/>
        <v>0.53475935828877</v>
      </c>
      <c r="FB362" s="1094">
        <f t="shared" si="1954"/>
        <v>0.530210454854039</v>
      </c>
      <c r="FC362" s="1094">
        <f t="shared" si="1954"/>
        <v>0.473451327433628</v>
      </c>
      <c r="FD362" s="1094">
        <f t="shared" si="1954"/>
        <v>0.507403751233959</v>
      </c>
      <c r="FE362" s="1093">
        <f t="shared" si="1954"/>
        <v>0.516883116883117</v>
      </c>
      <c r="FF362" s="1094">
        <f t="shared" si="1954"/>
        <v>0.52755905511811</v>
      </c>
      <c r="FG362" s="1094">
        <f t="shared" si="1954"/>
        <v>0.503731343283582</v>
      </c>
      <c r="FH362" s="1094">
        <f t="shared" si="1954"/>
        <v>0.51665243381725</v>
      </c>
      <c r="FI362" s="1094">
        <f t="shared" si="1954"/>
        <v>0.513353115727003</v>
      </c>
      <c r="FJ362" s="1094">
        <f t="shared" si="1954"/>
        <v>0.515447154471545</v>
      </c>
      <c r="FK362" s="1094">
        <f t="shared" si="1954"/>
        <v>0.510128913443831</v>
      </c>
      <c r="FL362" s="1094">
        <f>FL360/FL199</f>
        <v>0.511914543960559</v>
      </c>
      <c r="FM362" s="1093">
        <f>FM360/FM199</f>
        <v>0.514237855946399</v>
      </c>
      <c r="FN362" s="1094">
        <f t="shared" ref="FN362:FS362" si="1955">FN360/FN$264</f>
        <v>0.507845934379458</v>
      </c>
      <c r="FO362" s="1094">
        <f t="shared" si="1955"/>
        <v>0.493006993006993</v>
      </c>
      <c r="FP362" s="1094">
        <f t="shared" si="1955"/>
        <v>0.501178318931658</v>
      </c>
      <c r="FQ362" s="1094">
        <f t="shared" si="1955"/>
        <v>0.5</v>
      </c>
      <c r="FR362" s="1094">
        <f t="shared" si="1955"/>
        <v>0.500725689404935</v>
      </c>
      <c r="FS362" s="1094">
        <f t="shared" si="1955"/>
        <v>0.5</v>
      </c>
      <c r="FT362" s="1094">
        <f>FT360/FT199</f>
        <v>0.5</v>
      </c>
      <c r="FU362" s="1094">
        <f>FU360/FU199</f>
        <v>0.500558659217877</v>
      </c>
      <c r="FV362" s="1275">
        <f>FV360/FV$264</f>
        <v>0.505402160864346</v>
      </c>
      <c r="FW362" s="1094">
        <f>FW360/FW$264</f>
        <v>0.5220700152207</v>
      </c>
      <c r="FX362" s="1094">
        <f>FX360/FX$264</f>
        <v>0.512751677852349</v>
      </c>
      <c r="FY362" s="1094">
        <f t="shared" ref="FY362:GA362" si="1956">FY360/FY$264</f>
        <v>0.52059925093633</v>
      </c>
      <c r="FZ362" s="1094">
        <f t="shared" si="1956"/>
        <v>0.515495416848538</v>
      </c>
      <c r="GA362" s="1094">
        <f t="shared" si="1956"/>
        <v>0.540584415584416</v>
      </c>
      <c r="GB362" s="1094">
        <f>GB360/GB199</f>
        <v>0.529287226534933</v>
      </c>
      <c r="GC362" s="1093">
        <f>GC360/GC199</f>
        <v>0.520811833505332</v>
      </c>
      <c r="GD362" s="1275">
        <f>GD360/GD$264</f>
        <v>0.516233766233766</v>
      </c>
      <c r="GE362" s="1094">
        <f>GE360/GE$264</f>
        <v>0.50199203187251</v>
      </c>
      <c r="GF362" s="1094">
        <f>GF360/GF$264</f>
        <v>0.509838998211091</v>
      </c>
      <c r="GG362" s="1094">
        <f>GG360/GG$264</f>
        <v>0.544072948328267</v>
      </c>
      <c r="GH362" s="1094">
        <f t="shared" ref="GH362:GI362" si="1957">GH360/GH$264</f>
        <v>0.522522522522523</v>
      </c>
      <c r="GI362" s="1094">
        <f t="shared" si="1957"/>
        <v>0.546875</v>
      </c>
      <c r="GJ362" s="1094">
        <f>GJ360/GJ199</f>
        <v>0.545299145299145</v>
      </c>
      <c r="GK362" s="1093">
        <f>GK360/GK199</f>
        <v>0.527972027972028</v>
      </c>
      <c r="GL362" s="1094">
        <f>GL360/GL$264</f>
        <v>0.527272727272727</v>
      </c>
      <c r="GM362" s="1094">
        <f>GM360/GM$264</f>
        <v>0.548042704626335</v>
      </c>
      <c r="GN362" s="1094">
        <f>GN360/GN$264</f>
        <v>0.536824877250409</v>
      </c>
      <c r="GO362" s="1094">
        <f>GO360/GO$264</f>
        <v>0.518041237113402</v>
      </c>
      <c r="GP362" s="1094">
        <f t="shared" ref="GP362:GQ362" si="1958">GP360/GP$264</f>
        <v>0.529529529529529</v>
      </c>
      <c r="GQ362" s="1094">
        <f t="shared" si="1958"/>
        <v>0.501650165016502</v>
      </c>
      <c r="GR362" s="1094">
        <f>GR360/GR199</f>
        <v>0.510853835021708</v>
      </c>
      <c r="GS362" s="1093">
        <f>GS360/GS199</f>
        <v>0.523041474654378</v>
      </c>
      <c r="GT362" s="1094">
        <f>GT360/GT$264</f>
        <v>0.505119453924915</v>
      </c>
      <c r="GU362" s="1094">
        <f>GU360/GU$264</f>
        <v>0.481481481481481</v>
      </c>
      <c r="GV362" s="1094">
        <f>GV360/GV$264</f>
        <v>0.498753117206983</v>
      </c>
      <c r="GW362" s="1094">
        <f>GW360/GW$264</f>
        <v>0.470917653048237</v>
      </c>
      <c r="GX362" s="1094">
        <f t="shared" ref="GX362" si="1959">GX360/GX$264</f>
        <v>0.486522760317638</v>
      </c>
      <c r="GY362" s="1094"/>
      <c r="GZ362" s="1094"/>
      <c r="HA362" s="1093"/>
      <c r="HB362" s="1094">
        <f t="shared" ref="HB362:HG362" si="1960">HB360/HB199</f>
        <v>0.517412935323383</v>
      </c>
      <c r="HC362" s="1094">
        <f t="shared" si="1960"/>
        <v>0.529080675422139</v>
      </c>
      <c r="HD362" s="1094">
        <f t="shared" si="1960"/>
        <v>0.522887323943662</v>
      </c>
      <c r="HE362" s="1094">
        <f t="shared" si="1960"/>
        <v>0.498015873015873</v>
      </c>
      <c r="HF362" s="1094">
        <f t="shared" si="1960"/>
        <v>0.515243902439024</v>
      </c>
      <c r="HG362" s="1094">
        <f t="shared" si="1960"/>
        <v>0.502772643253235</v>
      </c>
      <c r="HH362" s="1094"/>
      <c r="HI362" s="1093">
        <f>HI360/HI199</f>
        <v>0.512150389729482</v>
      </c>
      <c r="HJ362" s="1094">
        <f>HJ360/HJ199</f>
        <v>0.531620553359684</v>
      </c>
      <c r="HK362" s="1094">
        <f>HK360/HK199</f>
        <v>0.545454545454545</v>
      </c>
      <c r="HL362" s="1094"/>
      <c r="HM362" s="1094"/>
      <c r="HN362" s="1094"/>
      <c r="HO362" s="1094"/>
      <c r="HP362" s="1094"/>
      <c r="HQ362" s="1093"/>
      <c r="HR362" s="1094"/>
      <c r="HS362" s="1094"/>
      <c r="HT362" s="1094"/>
      <c r="HU362" s="1094"/>
      <c r="HV362" s="1094"/>
      <c r="HW362" s="1094"/>
      <c r="HX362" s="1094"/>
      <c r="HY362" s="1094"/>
      <c r="HZ362" s="1094"/>
      <c r="IA362" s="1094"/>
      <c r="IB362" s="1094"/>
      <c r="IC362" s="1094"/>
      <c r="ID362" s="1094"/>
      <c r="IE362" s="1094"/>
      <c r="IF362" s="1094"/>
      <c r="IG362" s="1093"/>
      <c r="IH362" s="1094"/>
      <c r="II362" s="1094"/>
      <c r="IJ362" s="1094"/>
      <c r="IK362" s="1094"/>
      <c r="IL362" s="1094"/>
      <c r="IM362" s="1094"/>
      <c r="IN362" s="1094"/>
      <c r="IO362" s="1093"/>
      <c r="IP362" s="1094"/>
      <c r="IQ362" s="1094"/>
      <c r="IR362" s="1094"/>
      <c r="IS362" s="1094"/>
      <c r="IT362" s="1094"/>
      <c r="IU362" s="1094"/>
      <c r="IV362" s="1094"/>
      <c r="IW362" s="1094"/>
      <c r="IX362" s="1104"/>
      <c r="IY362" s="1049"/>
      <c r="IZ362" s="1049"/>
      <c r="JA362" s="1049"/>
      <c r="JB362" s="1049"/>
      <c r="JC362" s="1049"/>
      <c r="JD362" s="1041"/>
      <c r="JE362" s="1037"/>
      <c r="JF362" s="1037"/>
      <c r="JG362" s="1037"/>
      <c r="JH362" s="1037"/>
      <c r="JI362" s="1035"/>
      <c r="JJ362" s="1035"/>
      <c r="JK362" s="1035"/>
      <c r="JL362" s="1035"/>
      <c r="JM362" s="1035"/>
      <c r="JN362" s="1035"/>
      <c r="JO362" s="1035"/>
      <c r="JP362" s="1035"/>
      <c r="JQ362" s="1035"/>
      <c r="JR362" s="1035"/>
      <c r="JS362" s="1035"/>
      <c r="JT362" s="1035"/>
      <c r="JU362" s="1035"/>
      <c r="JV362" s="1035"/>
      <c r="JW362" s="1035"/>
      <c r="JX362" s="1035"/>
      <c r="JY362" s="1035"/>
      <c r="KP362" s="1117"/>
      <c r="LV362" s="967"/>
    </row>
    <row r="363" spans="1:334">
      <c r="A363" s="967" t="s">
        <v>129</v>
      </c>
      <c r="AX363" s="1059"/>
      <c r="BE363" s="1060"/>
      <c r="BN363" s="1059"/>
      <c r="BU363" s="1060"/>
      <c r="BV363" s="1059"/>
      <c r="CC363" s="1060"/>
      <c r="CD363" s="1059"/>
      <c r="CJ363" s="1061"/>
      <c r="CK363" s="1060"/>
      <c r="CL363" s="1059"/>
      <c r="CS363" s="1060"/>
      <c r="CT363" s="1059"/>
      <c r="CW363" s="1062"/>
      <c r="CX363" s="1062"/>
      <c r="DE363" s="1064"/>
      <c r="DF363" s="1064"/>
      <c r="DM363" s="1064"/>
      <c r="DN363" s="1064"/>
      <c r="DU363" s="1064"/>
      <c r="DV363" s="1064"/>
      <c r="EC363" s="1064"/>
      <c r="ED363" s="1064"/>
      <c r="EH363" s="1181"/>
      <c r="EI363" s="1181"/>
      <c r="EJ363" s="1181"/>
      <c r="EK363" s="1181"/>
      <c r="EL363" s="1181"/>
      <c r="EM363" s="1181"/>
      <c r="EN363" s="1181"/>
      <c r="EO363" s="1182"/>
      <c r="EP363" s="1181"/>
      <c r="EQ363" s="1181"/>
      <c r="ER363" s="1181"/>
      <c r="ES363" s="1181"/>
      <c r="ET363" s="1181"/>
      <c r="EU363" s="1181"/>
      <c r="EV363" s="1181"/>
      <c r="EW363" s="1182"/>
      <c r="EX363" s="1148">
        <f>EX360-EX366</f>
        <v>96</v>
      </c>
      <c r="EY363" s="1148">
        <f t="shared" ref="EY363:FE363" si="1961">EY360-EY366</f>
        <v>113</v>
      </c>
      <c r="EZ363" s="1148">
        <f t="shared" si="1961"/>
        <v>209</v>
      </c>
      <c r="FA363" s="1148">
        <f t="shared" si="1961"/>
        <v>113</v>
      </c>
      <c r="FB363" s="1148">
        <f t="shared" si="1961"/>
        <v>322</v>
      </c>
      <c r="FC363" s="1148">
        <f t="shared" si="1961"/>
        <v>117</v>
      </c>
      <c r="FD363" s="1148">
        <f t="shared" si="1961"/>
        <v>230</v>
      </c>
      <c r="FE363" s="1149">
        <f t="shared" si="1961"/>
        <v>439</v>
      </c>
      <c r="FF363" s="1148">
        <f t="shared" ref="FF363:FR363" si="1962">FF360-FF366</f>
        <v>134</v>
      </c>
      <c r="FG363" s="1148">
        <f t="shared" si="1962"/>
        <v>131</v>
      </c>
      <c r="FH363" s="1148">
        <f t="shared" si="1962"/>
        <v>265</v>
      </c>
      <c r="FI363" s="1148">
        <f t="shared" si="1962"/>
        <v>140</v>
      </c>
      <c r="FJ363" s="1148">
        <f t="shared" si="1962"/>
        <v>405</v>
      </c>
      <c r="FK363" s="1148">
        <f t="shared" si="1962"/>
        <v>159</v>
      </c>
      <c r="FL363" s="1148">
        <f t="shared" si="1962"/>
        <v>299</v>
      </c>
      <c r="FM363" s="1149">
        <f t="shared" si="1962"/>
        <v>564</v>
      </c>
      <c r="FN363" s="1148">
        <f t="shared" si="1962"/>
        <v>142</v>
      </c>
      <c r="FO363" s="1148">
        <f t="shared" si="1962"/>
        <v>154</v>
      </c>
      <c r="FP363" s="1148">
        <f t="shared" si="1962"/>
        <v>296</v>
      </c>
      <c r="FQ363" s="1148">
        <f t="shared" si="1962"/>
        <v>155</v>
      </c>
      <c r="FR363" s="1148">
        <f t="shared" si="1962"/>
        <v>451</v>
      </c>
      <c r="FS363" s="1148">
        <f t="shared" ref="FS363:FZ363" si="1963">FS360-FS366</f>
        <v>171</v>
      </c>
      <c r="FT363" s="1148">
        <f t="shared" si="1963"/>
        <v>326</v>
      </c>
      <c r="FU363" s="1148">
        <f t="shared" si="1963"/>
        <v>622</v>
      </c>
      <c r="FV363" s="1151">
        <f t="shared" si="1963"/>
        <v>171</v>
      </c>
      <c r="FW363" s="1148">
        <f t="shared" si="1963"/>
        <v>160</v>
      </c>
      <c r="FX363" s="1148">
        <f t="shared" si="1963"/>
        <v>331</v>
      </c>
      <c r="FY363" s="1148">
        <f t="shared" si="1963"/>
        <v>149</v>
      </c>
      <c r="FZ363" s="1148">
        <f t="shared" si="1963"/>
        <v>480</v>
      </c>
      <c r="GA363" s="1148">
        <f t="shared" ref="GA363:GC363" si="1964">GA360-GA366</f>
        <v>187</v>
      </c>
      <c r="GB363" s="1148">
        <f t="shared" si="1964"/>
        <v>336</v>
      </c>
      <c r="GC363" s="1149">
        <f t="shared" si="1964"/>
        <v>667</v>
      </c>
      <c r="GD363" s="1151">
        <f t="shared" ref="GD363:GF363" si="1965">GD360-GD366</f>
        <v>71</v>
      </c>
      <c r="GE363" s="1148">
        <f t="shared" si="1965"/>
        <v>66</v>
      </c>
      <c r="GF363" s="1148">
        <f t="shared" si="1965"/>
        <v>137</v>
      </c>
      <c r="GG363" s="1148">
        <f t="shared" ref="GG363:GN363" si="1966">GG360-GG366</f>
        <v>66</v>
      </c>
      <c r="GH363" s="1148">
        <f t="shared" si="1966"/>
        <v>203</v>
      </c>
      <c r="GI363" s="1148">
        <f t="shared" si="1966"/>
        <v>83</v>
      </c>
      <c r="GJ363" s="1148">
        <f t="shared" si="1966"/>
        <v>149</v>
      </c>
      <c r="GK363" s="1149">
        <f t="shared" si="1966"/>
        <v>286</v>
      </c>
      <c r="GL363" s="1148">
        <f t="shared" si="1966"/>
        <v>73</v>
      </c>
      <c r="GM363" s="1148">
        <f t="shared" si="1966"/>
        <v>74</v>
      </c>
      <c r="GN363" s="1148">
        <f t="shared" si="1966"/>
        <v>147</v>
      </c>
      <c r="GO363" s="1148">
        <f t="shared" ref="GO363:GV363" si="1967">GO360-GO366</f>
        <v>77</v>
      </c>
      <c r="GP363" s="1148">
        <f t="shared" si="1967"/>
        <v>224</v>
      </c>
      <c r="GQ363" s="1148">
        <f t="shared" si="1967"/>
        <v>90</v>
      </c>
      <c r="GR363" s="1148">
        <f t="shared" si="1967"/>
        <v>167</v>
      </c>
      <c r="GS363" s="1149">
        <f t="shared" si="1967"/>
        <v>314</v>
      </c>
      <c r="GT363" s="1148">
        <f t="shared" si="1967"/>
        <v>74</v>
      </c>
      <c r="GU363" s="1148">
        <f t="shared" si="1967"/>
        <v>75</v>
      </c>
      <c r="GV363" s="1148">
        <f t="shared" si="1967"/>
        <v>149</v>
      </c>
      <c r="GW363" s="1148">
        <f t="shared" ref="GW363:GX363" si="1968">GW360-GW366</f>
        <v>54</v>
      </c>
      <c r="GX363" s="1148">
        <f t="shared" si="1968"/>
        <v>203</v>
      </c>
      <c r="GY363" s="1148"/>
      <c r="GZ363" s="1148"/>
      <c r="HA363" s="1149"/>
      <c r="HB363" s="1148">
        <f t="shared" ref="HB363:HG363" si="1969">HB360-HB366</f>
        <v>153</v>
      </c>
      <c r="HC363" s="1148">
        <f t="shared" si="1969"/>
        <v>156</v>
      </c>
      <c r="HD363" s="1148">
        <f t="shared" si="1969"/>
        <v>309</v>
      </c>
      <c r="HE363" s="1148">
        <f t="shared" si="1969"/>
        <v>163</v>
      </c>
      <c r="HF363" s="1148">
        <f t="shared" si="1969"/>
        <v>472</v>
      </c>
      <c r="HG363" s="1148">
        <f t="shared" si="1969"/>
        <v>189</v>
      </c>
      <c r="HH363" s="1148"/>
      <c r="HI363" s="1149">
        <f>HG363+HF363</f>
        <v>661</v>
      </c>
      <c r="HJ363" s="1148">
        <f t="shared" ref="HJ363:HK363" si="1970">HJ360-HJ366</f>
        <v>158</v>
      </c>
      <c r="HK363" s="1148">
        <f t="shared" si="1970"/>
        <v>161</v>
      </c>
      <c r="HL363" s="1148"/>
      <c r="HM363" s="1148"/>
      <c r="HN363" s="1148"/>
      <c r="HO363" s="1148"/>
      <c r="HP363" s="1148"/>
      <c r="HQ363" s="1149"/>
      <c r="HR363" s="1148"/>
      <c r="HS363" s="1148"/>
      <c r="HT363" s="1148"/>
      <c r="HU363" s="1148"/>
      <c r="HV363" s="1148"/>
      <c r="HW363" s="1148"/>
      <c r="HX363" s="1148"/>
      <c r="HY363" s="1148"/>
      <c r="HZ363" s="1148"/>
      <c r="IA363" s="1148"/>
      <c r="IB363" s="1148"/>
      <c r="IC363" s="1148"/>
      <c r="ID363" s="1148"/>
      <c r="IE363" s="1148"/>
      <c r="IF363" s="1148"/>
      <c r="IG363" s="1149"/>
      <c r="IH363" s="1148"/>
      <c r="II363" s="1148"/>
      <c r="IJ363" s="1148"/>
      <c r="IK363" s="1148"/>
      <c r="IL363" s="1148"/>
      <c r="IM363" s="1148"/>
      <c r="IN363" s="1148"/>
      <c r="IO363" s="1149"/>
      <c r="IP363" s="1148"/>
      <c r="IQ363" s="1148"/>
      <c r="IR363" s="1148"/>
      <c r="IS363" s="1148"/>
      <c r="IT363" s="1148"/>
      <c r="IU363" s="1148"/>
      <c r="IV363" s="1148"/>
      <c r="IW363" s="1148"/>
      <c r="IX363" s="1104"/>
      <c r="IY363" s="1049"/>
      <c r="IZ363" s="1049"/>
      <c r="JA363" s="1049"/>
      <c r="JB363" s="1049"/>
      <c r="JC363" s="1049"/>
      <c r="JD363" s="1041"/>
      <c r="JE363" s="1037"/>
      <c r="JF363" s="1037"/>
      <c r="JG363" s="1037"/>
      <c r="JH363" s="1037"/>
      <c r="JI363" s="1035"/>
      <c r="JJ363" s="1035"/>
      <c r="JK363" s="1035"/>
      <c r="JL363" s="1035"/>
      <c r="JM363" s="1035"/>
      <c r="JN363" s="1035"/>
      <c r="JO363" s="1035"/>
      <c r="JP363" s="1035"/>
      <c r="JQ363" s="1035"/>
      <c r="JR363" s="1035"/>
      <c r="JS363" s="1035"/>
      <c r="JT363" s="1035"/>
      <c r="JU363" s="1035"/>
      <c r="JV363" s="1035"/>
      <c r="JW363" s="1035"/>
      <c r="JX363" s="1035"/>
      <c r="JY363" s="1035"/>
      <c r="KP363" s="1117"/>
      <c r="LV363" s="967"/>
    </row>
    <row r="364" spans="1:334">
      <c r="A364" s="967" t="s">
        <v>61</v>
      </c>
      <c r="AX364" s="1059"/>
      <c r="BE364" s="1060"/>
      <c r="BN364" s="1059"/>
      <c r="BU364" s="1060"/>
      <c r="BV364" s="1059"/>
      <c r="CC364" s="1060"/>
      <c r="CD364" s="1059"/>
      <c r="CJ364" s="1061"/>
      <c r="CK364" s="1060"/>
      <c r="CL364" s="1059"/>
      <c r="CS364" s="1060"/>
      <c r="CT364" s="1059"/>
      <c r="CW364" s="1062"/>
      <c r="CX364" s="1062"/>
      <c r="DE364" s="1064"/>
      <c r="DF364" s="1064"/>
      <c r="DM364" s="1064"/>
      <c r="DN364" s="1064"/>
      <c r="DU364" s="1064"/>
      <c r="DV364" s="1064"/>
      <c r="EC364" s="1064"/>
      <c r="ED364" s="1064"/>
      <c r="EH364" s="1181"/>
      <c r="EI364" s="1181"/>
      <c r="EJ364" s="1181"/>
      <c r="EK364" s="1181"/>
      <c r="EL364" s="1181"/>
      <c r="EM364" s="1181"/>
      <c r="EN364" s="1181"/>
      <c r="EO364" s="1182"/>
      <c r="EP364" s="1181"/>
      <c r="EQ364" s="1181"/>
      <c r="ER364" s="1181"/>
      <c r="ES364" s="1181"/>
      <c r="ET364" s="1181"/>
      <c r="EU364" s="1181"/>
      <c r="EV364" s="1181"/>
      <c r="EW364" s="1182"/>
      <c r="EX364" s="1094"/>
      <c r="EY364" s="1094"/>
      <c r="EZ364" s="1094"/>
      <c r="FA364" s="1094"/>
      <c r="FB364" s="1094"/>
      <c r="FC364" s="1094"/>
      <c r="FD364" s="1094"/>
      <c r="FE364" s="1093"/>
      <c r="FF364" s="1094">
        <f t="shared" ref="FF364:FR364" si="1971">FF363/EX363-1</f>
        <v>0.395833333333333</v>
      </c>
      <c r="FG364" s="1094">
        <f t="shared" si="1971"/>
        <v>0.15929203539823</v>
      </c>
      <c r="FH364" s="1094">
        <f t="shared" si="1971"/>
        <v>0.267942583732057</v>
      </c>
      <c r="FI364" s="1094">
        <f t="shared" si="1971"/>
        <v>0.238938053097345</v>
      </c>
      <c r="FJ364" s="1094">
        <f t="shared" si="1971"/>
        <v>0.25776397515528</v>
      </c>
      <c r="FK364" s="1094">
        <f t="shared" si="1971"/>
        <v>0.358974358974359</v>
      </c>
      <c r="FL364" s="1094">
        <f t="shared" si="1971"/>
        <v>0.3</v>
      </c>
      <c r="FM364" s="1093">
        <f t="shared" si="1971"/>
        <v>0.284738041002278</v>
      </c>
      <c r="FN364" s="1094">
        <f t="shared" si="1971"/>
        <v>0.0597014925373134</v>
      </c>
      <c r="FO364" s="1094">
        <f t="shared" si="1971"/>
        <v>0.175572519083969</v>
      </c>
      <c r="FP364" s="1094">
        <f t="shared" si="1971"/>
        <v>0.116981132075472</v>
      </c>
      <c r="FQ364" s="1094">
        <f t="shared" si="1971"/>
        <v>0.107142857142857</v>
      </c>
      <c r="FR364" s="1094">
        <f t="shared" si="1971"/>
        <v>0.11358024691358</v>
      </c>
      <c r="FS364" s="1094">
        <f t="shared" ref="FS364:FX364" si="1972">FS363/FK363-1</f>
        <v>0.0754716981132075</v>
      </c>
      <c r="FT364" s="1094">
        <f t="shared" si="1972"/>
        <v>0.0903010033444815</v>
      </c>
      <c r="FU364" s="1094">
        <f t="shared" si="1972"/>
        <v>0.102836879432624</v>
      </c>
      <c r="FV364" s="1275">
        <f t="shared" si="1972"/>
        <v>0.204225352112676</v>
      </c>
      <c r="FW364" s="1094">
        <f t="shared" si="1972"/>
        <v>0.0389610389610389</v>
      </c>
      <c r="FX364" s="1094">
        <f t="shared" si="1972"/>
        <v>0.118243243243243</v>
      </c>
      <c r="FY364" s="1094">
        <f t="shared" ref="FY364" si="1973">FY363/FQ363-1</f>
        <v>-0.0387096774193548</v>
      </c>
      <c r="FZ364" s="1094">
        <f t="shared" ref="FZ364" si="1974">FZ363/FR363-1</f>
        <v>0.0643015521064301</v>
      </c>
      <c r="GA364" s="1094">
        <f t="shared" ref="GA364" si="1975">GA363/FS363-1</f>
        <v>0.0935672514619883</v>
      </c>
      <c r="GB364" s="1094">
        <f t="shared" ref="GB364" si="1976">GB363/FT363-1</f>
        <v>0.0306748466257669</v>
      </c>
      <c r="GC364" s="1093">
        <f t="shared" ref="GC364" si="1977">GC363/FU363-1</f>
        <v>0.072347266881029</v>
      </c>
      <c r="GD364" s="1275">
        <f>GD363/79-1</f>
        <v>-0.10126582278481</v>
      </c>
      <c r="GE364" s="1094">
        <f>((GF364*FX363)-(GD364*FV363))/FW363</f>
        <v>-0.132014087382605</v>
      </c>
      <c r="GF364" s="1094">
        <f>GF363/(313-158)-1</f>
        <v>-0.116129032258064</v>
      </c>
      <c r="GG364" s="1094">
        <f>GG363/(181-110)-1</f>
        <v>-0.0704225352112676</v>
      </c>
      <c r="GH364" s="1094">
        <f>AVERAGE(GG364,GE364,GD364)</f>
        <v>-0.101234148459561</v>
      </c>
      <c r="GI364" s="1094">
        <f t="shared" ref="GI364" si="1978">GI363/GA363-1</f>
        <v>-0.556149732620321</v>
      </c>
      <c r="GJ364" s="1094">
        <f t="shared" ref="GJ364" si="1979">GJ363/GB363-1</f>
        <v>-0.556547619047619</v>
      </c>
      <c r="GK364" s="1093">
        <f t="shared" ref="GK364:GN364" si="1980">GK363/GC363-1</f>
        <v>-0.571214392803598</v>
      </c>
      <c r="GL364" s="1094">
        <f t="shared" si="1980"/>
        <v>0.028169014084507</v>
      </c>
      <c r="GM364" s="1094">
        <f t="shared" si="1980"/>
        <v>0.121212121212121</v>
      </c>
      <c r="GN364" s="1094">
        <f t="shared" si="1980"/>
        <v>0.0729927007299269</v>
      </c>
      <c r="GO364" s="1094">
        <f>GO363/(181-110)-1</f>
        <v>0.0845070422535212</v>
      </c>
      <c r="GP364" s="1094">
        <f>AVERAGE(GO364,GM364,GL364)</f>
        <v>0.0779627258500498</v>
      </c>
      <c r="GQ364" s="1094">
        <f t="shared" ref="GQ364" si="1981">GQ363/GI363-1</f>
        <v>0.0843373493975903</v>
      </c>
      <c r="GR364" s="1094">
        <f t="shared" ref="GR364" si="1982">GR363/GJ363-1</f>
        <v>0.120805369127517</v>
      </c>
      <c r="GS364" s="1093">
        <f t="shared" ref="GS364:GV364" si="1983">GS363/GK363-1</f>
        <v>0.0979020979020979</v>
      </c>
      <c r="GT364" s="1094">
        <f t="shared" si="1983"/>
        <v>0.0136986301369864</v>
      </c>
      <c r="GU364" s="1094">
        <f t="shared" si="1983"/>
        <v>0.0135135135135136</v>
      </c>
      <c r="GV364" s="1094">
        <f t="shared" si="1983"/>
        <v>0.0136054421768708</v>
      </c>
      <c r="GW364" s="1094">
        <f>GW363/(181-110)-1</f>
        <v>-0.23943661971831</v>
      </c>
      <c r="GX364" s="1094">
        <f>AVERAGE(GW364,GU364,GT364)</f>
        <v>-0.0707414920226033</v>
      </c>
      <c r="GY364" s="1094"/>
      <c r="GZ364" s="1094"/>
      <c r="HA364" s="1093"/>
      <c r="HB364" s="1094"/>
      <c r="HC364" s="1094"/>
      <c r="HD364" s="1094"/>
      <c r="HE364" s="1094"/>
      <c r="HF364" s="1094"/>
      <c r="HG364" s="1094"/>
      <c r="HH364" s="1094"/>
      <c r="HI364" s="1093"/>
      <c r="HJ364" s="1094">
        <f>HJ363/HB363-1</f>
        <v>0.0326797385620916</v>
      </c>
      <c r="HK364" s="1094">
        <f>HK363/HC363-1</f>
        <v>0.0320512820512822</v>
      </c>
      <c r="HL364" s="1094"/>
      <c r="HM364" s="1094"/>
      <c r="HN364" s="1094"/>
      <c r="HO364" s="1094"/>
      <c r="HP364" s="1094"/>
      <c r="HQ364" s="1093"/>
      <c r="HR364" s="1094"/>
      <c r="HS364" s="1094"/>
      <c r="HT364" s="1094"/>
      <c r="HU364" s="1094"/>
      <c r="HV364" s="1094"/>
      <c r="HW364" s="1094"/>
      <c r="HX364" s="1094"/>
      <c r="HY364" s="1094"/>
      <c r="HZ364" s="1094"/>
      <c r="IA364" s="1094"/>
      <c r="IB364" s="1094"/>
      <c r="IC364" s="1094"/>
      <c r="ID364" s="1094"/>
      <c r="IE364" s="1094"/>
      <c r="IF364" s="1094"/>
      <c r="IG364" s="1093"/>
      <c r="IH364" s="1094"/>
      <c r="II364" s="1094"/>
      <c r="IJ364" s="1094"/>
      <c r="IK364" s="1094"/>
      <c r="IL364" s="1094"/>
      <c r="IM364" s="1094"/>
      <c r="IN364" s="1094"/>
      <c r="IO364" s="1093"/>
      <c r="IP364" s="1094"/>
      <c r="IQ364" s="1094"/>
      <c r="IR364" s="1094"/>
      <c r="IS364" s="1094"/>
      <c r="IT364" s="1094"/>
      <c r="IU364" s="1094"/>
      <c r="IV364" s="1094"/>
      <c r="IW364" s="1094"/>
      <c r="IX364" s="1104"/>
      <c r="IY364" s="1049"/>
      <c r="IZ364" s="1049"/>
      <c r="JA364" s="1049"/>
      <c r="JB364" s="1049"/>
      <c r="JC364" s="1049"/>
      <c r="JD364" s="1041"/>
      <c r="JE364" s="1037"/>
      <c r="JF364" s="1037"/>
      <c r="JG364" s="1037"/>
      <c r="JH364" s="1037"/>
      <c r="JI364" s="1035"/>
      <c r="JJ364" s="1035"/>
      <c r="JK364" s="1035"/>
      <c r="JL364" s="1035"/>
      <c r="JM364" s="1035"/>
      <c r="JN364" s="1035"/>
      <c r="JO364" s="1035"/>
      <c r="JP364" s="1035"/>
      <c r="JQ364" s="1035"/>
      <c r="JR364" s="1035"/>
      <c r="JS364" s="1035"/>
      <c r="JT364" s="1035"/>
      <c r="JU364" s="1035"/>
      <c r="JV364" s="1035"/>
      <c r="JW364" s="1035"/>
      <c r="JX364" s="1035"/>
      <c r="JY364" s="1035"/>
      <c r="KP364" s="1117"/>
      <c r="LV364" s="967"/>
    </row>
    <row r="365" spans="1:334">
      <c r="A365" s="967" t="s">
        <v>130</v>
      </c>
      <c r="AX365" s="1059"/>
      <c r="BE365" s="1060"/>
      <c r="BN365" s="1059"/>
      <c r="BU365" s="1060"/>
      <c r="BV365" s="1059"/>
      <c r="CC365" s="1060"/>
      <c r="CD365" s="1059"/>
      <c r="CJ365" s="1061"/>
      <c r="CK365" s="1060"/>
      <c r="CL365" s="1059"/>
      <c r="CS365" s="1060"/>
      <c r="CT365" s="1059"/>
      <c r="CW365" s="1062"/>
      <c r="CX365" s="1062"/>
      <c r="DE365" s="1064"/>
      <c r="DF365" s="1064"/>
      <c r="DM365" s="1064"/>
      <c r="DN365" s="1064"/>
      <c r="DU365" s="1064"/>
      <c r="DV365" s="1064"/>
      <c r="EC365" s="1064"/>
      <c r="ED365" s="1064"/>
      <c r="EH365" s="1181"/>
      <c r="EI365" s="1181"/>
      <c r="EJ365" s="1181"/>
      <c r="EK365" s="1181"/>
      <c r="EL365" s="1181"/>
      <c r="EM365" s="1181"/>
      <c r="EN365" s="1181"/>
      <c r="EO365" s="1182"/>
      <c r="EP365" s="1181"/>
      <c r="EQ365" s="1181"/>
      <c r="ER365" s="1181"/>
      <c r="ES365" s="1181"/>
      <c r="ET365" s="1181"/>
      <c r="EU365" s="1181"/>
      <c r="EV365" s="1181"/>
      <c r="EW365" s="1182"/>
      <c r="EX365" s="1094">
        <f>EX363/EX$264</f>
        <v>0.190854870775348</v>
      </c>
      <c r="EY365" s="1094">
        <f t="shared" ref="EY365:FH365" si="1984">EY363/EY$264</f>
        <v>0.276283618581907</v>
      </c>
      <c r="EZ365" s="1094">
        <f t="shared" si="1984"/>
        <v>0.229166666666667</v>
      </c>
      <c r="FA365" s="1094">
        <f t="shared" si="1984"/>
        <v>0.201426024955437</v>
      </c>
      <c r="FB365" s="1094">
        <f t="shared" si="1984"/>
        <v>0.218601493550577</v>
      </c>
      <c r="FC365" s="1094">
        <f t="shared" si="1984"/>
        <v>0.258849557522124</v>
      </c>
      <c r="FD365" s="1094">
        <f t="shared" si="1984"/>
        <v>0.227048371174729</v>
      </c>
      <c r="FE365" s="1093">
        <f t="shared" si="1984"/>
        <v>0.228051948051948</v>
      </c>
      <c r="FF365" s="1094">
        <f t="shared" si="1984"/>
        <v>0.211023622047244</v>
      </c>
      <c r="FG365" s="1094">
        <f t="shared" si="1984"/>
        <v>0.244402985074627</v>
      </c>
      <c r="FH365" s="1094">
        <f t="shared" si="1984"/>
        <v>0.226302305721605</v>
      </c>
      <c r="FI365" s="1094">
        <f t="shared" ref="FI365:FR365" si="1985">FI363/FI$264</f>
        <v>0.207715133531157</v>
      </c>
      <c r="FJ365" s="1094">
        <f t="shared" si="1985"/>
        <v>0.219512195121951</v>
      </c>
      <c r="FK365" s="1094">
        <f t="shared" si="1985"/>
        <v>0.292817679558011</v>
      </c>
      <c r="FL365" s="1094">
        <f t="shared" si="1985"/>
        <v>0.245686113393591</v>
      </c>
      <c r="FM365" s="1093">
        <f t="shared" si="1985"/>
        <v>0.236180904522613</v>
      </c>
      <c r="FN365" s="1094">
        <f t="shared" si="1985"/>
        <v>0.202567760342368</v>
      </c>
      <c r="FO365" s="1094">
        <f t="shared" si="1985"/>
        <v>0.269230769230769</v>
      </c>
      <c r="FP365" s="1094">
        <f t="shared" si="1985"/>
        <v>0.232521602513747</v>
      </c>
      <c r="FQ365" s="1094">
        <f t="shared" si="1985"/>
        <v>0.195214105793451</v>
      </c>
      <c r="FR365" s="1094">
        <f t="shared" si="1985"/>
        <v>0.218190614417029</v>
      </c>
      <c r="FS365" s="1094">
        <f t="shared" ref="FS365:FZ365" si="1986">FS363/FS$264</f>
        <v>0.276699029126214</v>
      </c>
      <c r="FT365" s="1094">
        <f t="shared" si="1986"/>
        <v>0.230878186968839</v>
      </c>
      <c r="FU365" s="1094">
        <f t="shared" si="1986"/>
        <v>0.231657355679702</v>
      </c>
      <c r="FV365" s="1275">
        <f t="shared" si="1986"/>
        <v>0.205282112845138</v>
      </c>
      <c r="FW365" s="1094">
        <f t="shared" si="1986"/>
        <v>0.243531202435312</v>
      </c>
      <c r="FX365" s="1094">
        <f t="shared" si="1986"/>
        <v>0.222147651006711</v>
      </c>
      <c r="FY365" s="1094">
        <f t="shared" si="1986"/>
        <v>0.18601747815231</v>
      </c>
      <c r="FZ365" s="1094">
        <f t="shared" si="1986"/>
        <v>0.209515495416849</v>
      </c>
      <c r="GA365" s="1094">
        <f t="shared" ref="GA365:GC365" si="1987">GA363/GA$264</f>
        <v>0.303571428571429</v>
      </c>
      <c r="GB365" s="1094">
        <f t="shared" si="1987"/>
        <v>0.23712067748765</v>
      </c>
      <c r="GC365" s="1093">
        <f t="shared" si="1987"/>
        <v>0.229446164430685</v>
      </c>
      <c r="GD365" s="1275">
        <f t="shared" ref="GD365:GF365" si="1988">GD363/GD$264</f>
        <v>0.230519480519481</v>
      </c>
      <c r="GE365" s="1094">
        <f t="shared" si="1988"/>
        <v>0.262948207171315</v>
      </c>
      <c r="GF365" s="1094">
        <f t="shared" si="1988"/>
        <v>0.245080500894454</v>
      </c>
      <c r="GG365" s="1094">
        <f t="shared" ref="GG365:GN365" si="1989">GG363/GG$264</f>
        <v>0.200607902735562</v>
      </c>
      <c r="GH365" s="1094">
        <f t="shared" si="1989"/>
        <v>0.228603603603604</v>
      </c>
      <c r="GI365" s="1094">
        <f t="shared" si="1989"/>
        <v>0.32421875</v>
      </c>
      <c r="GJ365" s="1094">
        <f t="shared" si="1989"/>
        <v>0.254700854700855</v>
      </c>
      <c r="GK365" s="1093">
        <f t="shared" si="1989"/>
        <v>0.25</v>
      </c>
      <c r="GL365" s="1094">
        <f t="shared" si="1989"/>
        <v>0.221212121212121</v>
      </c>
      <c r="GM365" s="1094">
        <f t="shared" si="1989"/>
        <v>0.263345195729537</v>
      </c>
      <c r="GN365" s="1094">
        <f t="shared" si="1989"/>
        <v>0.240589198036007</v>
      </c>
      <c r="GO365" s="1094">
        <f t="shared" ref="GO365:GV365" si="1990">GO363/GO$264</f>
        <v>0.198453608247423</v>
      </c>
      <c r="GP365" s="1094">
        <f t="shared" si="1990"/>
        <v>0.224224224224224</v>
      </c>
      <c r="GQ365" s="1094">
        <f t="shared" si="1990"/>
        <v>0.297029702970297</v>
      </c>
      <c r="GR365" s="1094">
        <f t="shared" si="1990"/>
        <v>0.241678726483358</v>
      </c>
      <c r="GS365" s="1093">
        <f t="shared" si="1990"/>
        <v>0.241167434715822</v>
      </c>
      <c r="GT365" s="1094">
        <f t="shared" si="1990"/>
        <v>0.252559726962457</v>
      </c>
      <c r="GU365" s="1094">
        <f t="shared" si="1990"/>
        <v>0.694444444444444</v>
      </c>
      <c r="GV365" s="1094">
        <f t="shared" si="1990"/>
        <v>0.371571072319202</v>
      </c>
      <c r="GW365" s="1094">
        <f t="shared" ref="GW365:GX365" si="1991">GW363/GW$264</f>
        <v>0.171821305841924</v>
      </c>
      <c r="GX365" s="1094">
        <f t="shared" si="1991"/>
        <v>0.283804943518622</v>
      </c>
      <c r="GY365" s="1094"/>
      <c r="GZ365" s="1094"/>
      <c r="HA365" s="1093"/>
      <c r="HB365" s="1094">
        <f t="shared" ref="HB365:HG365" si="1992">HB363/HB199</f>
        <v>0.253731343283582</v>
      </c>
      <c r="HC365" s="1094">
        <f t="shared" si="1992"/>
        <v>0.292682926829268</v>
      </c>
      <c r="HD365" s="1094">
        <f t="shared" si="1992"/>
        <v>0.272007042253521</v>
      </c>
      <c r="HE365" s="1094">
        <f t="shared" si="1992"/>
        <v>0.323412698412698</v>
      </c>
      <c r="HF365" s="1094">
        <f t="shared" si="1992"/>
        <v>0.28780487804878</v>
      </c>
      <c r="HG365" s="1094">
        <f t="shared" si="1992"/>
        <v>0.349353049907579</v>
      </c>
      <c r="HH365" s="1094"/>
      <c r="HI365" s="1093">
        <f>HI363/HI199</f>
        <v>0.303071985327831</v>
      </c>
      <c r="HJ365" s="1094">
        <f>HJ363/HJ199</f>
        <v>0.312252964426877</v>
      </c>
      <c r="HK365" s="1094">
        <f>HK363/HK199</f>
        <v>0.292727272727273</v>
      </c>
      <c r="HL365" s="1094"/>
      <c r="HM365" s="1094"/>
      <c r="HN365" s="1094"/>
      <c r="HO365" s="1094"/>
      <c r="HP365" s="1094"/>
      <c r="HQ365" s="1093"/>
      <c r="HR365" s="1094"/>
      <c r="HS365" s="1094"/>
      <c r="HT365" s="1094"/>
      <c r="HU365" s="1094"/>
      <c r="HV365" s="1094"/>
      <c r="HW365" s="1094"/>
      <c r="HX365" s="1094"/>
      <c r="HY365" s="1094"/>
      <c r="HZ365" s="1094"/>
      <c r="IA365" s="1094"/>
      <c r="IB365" s="1094"/>
      <c r="IC365" s="1094"/>
      <c r="ID365" s="1094"/>
      <c r="IE365" s="1094"/>
      <c r="IF365" s="1094"/>
      <c r="IG365" s="1093"/>
      <c r="IH365" s="1094"/>
      <c r="II365" s="1094"/>
      <c r="IJ365" s="1094"/>
      <c r="IK365" s="1094"/>
      <c r="IL365" s="1094"/>
      <c r="IM365" s="1094"/>
      <c r="IN365" s="1094"/>
      <c r="IO365" s="1093"/>
      <c r="IP365" s="1094"/>
      <c r="IQ365" s="1094"/>
      <c r="IR365" s="1094"/>
      <c r="IS365" s="1094"/>
      <c r="IT365" s="1094"/>
      <c r="IU365" s="1094"/>
      <c r="IV365" s="1094"/>
      <c r="IW365" s="1094"/>
      <c r="IX365" s="1104"/>
      <c r="IY365" s="1049"/>
      <c r="IZ365" s="1049"/>
      <c r="JA365" s="1049"/>
      <c r="JB365" s="1049"/>
      <c r="JC365" s="1049"/>
      <c r="JD365" s="1041"/>
      <c r="JE365" s="1037"/>
      <c r="JF365" s="1037"/>
      <c r="JG365" s="1037"/>
      <c r="JH365" s="1037"/>
      <c r="JI365" s="1035"/>
      <c r="JJ365" s="1035"/>
      <c r="JK365" s="1035"/>
      <c r="JL365" s="1035"/>
      <c r="JM365" s="1035"/>
      <c r="JN365" s="1035"/>
      <c r="JO365" s="1035"/>
      <c r="JP365" s="1035"/>
      <c r="JQ365" s="1035"/>
      <c r="JR365" s="1035"/>
      <c r="JS365" s="1035"/>
      <c r="JT365" s="1035"/>
      <c r="JU365" s="1035"/>
      <c r="JV365" s="1035"/>
      <c r="JW365" s="1035"/>
      <c r="JX365" s="1035"/>
      <c r="JY365" s="1035"/>
      <c r="KP365" s="1117"/>
      <c r="LV365" s="967"/>
    </row>
    <row r="366" spans="1:334">
      <c r="A366" s="1103" t="s">
        <v>131</v>
      </c>
      <c r="AX366" s="1059"/>
      <c r="BE366" s="1060"/>
      <c r="BN366" s="1059"/>
      <c r="BU366" s="1060"/>
      <c r="BV366" s="1059"/>
      <c r="CC366" s="1060"/>
      <c r="CD366" s="1059"/>
      <c r="CJ366" s="1061"/>
      <c r="CK366" s="1060"/>
      <c r="CL366" s="1059"/>
      <c r="CS366" s="1060"/>
      <c r="CT366" s="1059"/>
      <c r="CW366" s="1062"/>
      <c r="CX366" s="1062"/>
      <c r="DE366" s="1064"/>
      <c r="DF366" s="1064"/>
      <c r="DM366" s="1064"/>
      <c r="DN366" s="1064"/>
      <c r="DU366" s="1064"/>
      <c r="DV366" s="1064"/>
      <c r="EC366" s="1064"/>
      <c r="ED366" s="1064"/>
      <c r="EH366" s="1181"/>
      <c r="EI366" s="1181"/>
      <c r="EJ366" s="1181"/>
      <c r="EK366" s="1181"/>
      <c r="EL366" s="1181"/>
      <c r="EM366" s="1181"/>
      <c r="EN366" s="1181"/>
      <c r="EO366" s="1182"/>
      <c r="EP366" s="1181"/>
      <c r="EQ366" s="1181"/>
      <c r="ER366" s="1181"/>
      <c r="ES366" s="1181"/>
      <c r="ET366" s="1181"/>
      <c r="EU366" s="1181"/>
      <c r="EV366" s="1181"/>
      <c r="EW366" s="1182"/>
      <c r="EX366" s="1071">
        <v>173</v>
      </c>
      <c r="EY366" s="1071">
        <v>99</v>
      </c>
      <c r="EZ366" s="1071">
        <f>EX366+EY366</f>
        <v>272</v>
      </c>
      <c r="FA366" s="1071">
        <v>187</v>
      </c>
      <c r="FB366" s="1071">
        <f>EX366+EY366+FA366</f>
        <v>459</v>
      </c>
      <c r="FC366" s="1071">
        <v>97</v>
      </c>
      <c r="FD366" s="1071">
        <f>FA366+FC366</f>
        <v>284</v>
      </c>
      <c r="FE366" s="1072">
        <f>EX366+EY366+FA366+FC366</f>
        <v>556</v>
      </c>
      <c r="FF366" s="1071">
        <v>201</v>
      </c>
      <c r="FG366" s="1071">
        <f>FH366-FF366</f>
        <v>139</v>
      </c>
      <c r="FH366" s="1071">
        <v>340</v>
      </c>
      <c r="FI366" s="1071">
        <f>FJ366-FH366</f>
        <v>206</v>
      </c>
      <c r="FJ366" s="1071">
        <v>546</v>
      </c>
      <c r="FK366" s="1071">
        <f>FM366-FJ366</f>
        <v>118</v>
      </c>
      <c r="FL366" s="1071">
        <f>FI366+FK366</f>
        <v>324</v>
      </c>
      <c r="FM366" s="1072">
        <v>664</v>
      </c>
      <c r="FN366" s="1071">
        <v>214</v>
      </c>
      <c r="FO366" s="1071">
        <f>FP366-FN366</f>
        <v>128</v>
      </c>
      <c r="FP366" s="1071">
        <v>342</v>
      </c>
      <c r="FQ366" s="1071">
        <f>FR366-FP366</f>
        <v>242</v>
      </c>
      <c r="FR366" s="1071">
        <v>584</v>
      </c>
      <c r="FS366" s="1071">
        <f>FU366-FR366</f>
        <v>138</v>
      </c>
      <c r="FT366" s="1071">
        <f>FQ366+FS366</f>
        <v>380</v>
      </c>
      <c r="FU366" s="1071">
        <v>722</v>
      </c>
      <c r="FV366" s="1177">
        <v>250</v>
      </c>
      <c r="FW366" s="1071">
        <f>FX366-FV366</f>
        <v>183</v>
      </c>
      <c r="FX366" s="1071">
        <v>433</v>
      </c>
      <c r="FY366" s="1071">
        <f>FZ366-FX366</f>
        <v>268</v>
      </c>
      <c r="FZ366" s="1071">
        <v>701</v>
      </c>
      <c r="GA366" s="1071">
        <f>GC366-FZ366</f>
        <v>146</v>
      </c>
      <c r="GB366" s="1071">
        <f>FY366+GA366</f>
        <v>414</v>
      </c>
      <c r="GC366" s="1072">
        <v>847</v>
      </c>
      <c r="GD366" s="1177">
        <v>88</v>
      </c>
      <c r="GE366" s="1071">
        <f>GF366-GD366</f>
        <v>60</v>
      </c>
      <c r="GF366" s="1071">
        <v>148</v>
      </c>
      <c r="GG366" s="1071">
        <v>113</v>
      </c>
      <c r="GH366" s="1071">
        <f>GG366+GF366</f>
        <v>261</v>
      </c>
      <c r="GI366" s="1071">
        <f>GK366-GH366</f>
        <v>57</v>
      </c>
      <c r="GJ366" s="1071">
        <f>GG366+GI366</f>
        <v>170</v>
      </c>
      <c r="GK366" s="1072">
        <v>318</v>
      </c>
      <c r="GL366" s="1071">
        <v>101</v>
      </c>
      <c r="GM366" s="1071">
        <v>80</v>
      </c>
      <c r="GN366" s="1071">
        <f>GM366+GL366</f>
        <v>181</v>
      </c>
      <c r="GO366" s="1071">
        <v>124</v>
      </c>
      <c r="GP366" s="1071">
        <f>GO366+GN366</f>
        <v>305</v>
      </c>
      <c r="GQ366" s="1071">
        <f>GS366-GP366</f>
        <v>62</v>
      </c>
      <c r="GR366" s="1071">
        <f>GO366+GQ366</f>
        <v>186</v>
      </c>
      <c r="GS366" s="1072">
        <v>367</v>
      </c>
      <c r="GT366" s="1071">
        <v>74</v>
      </c>
      <c r="GU366" s="1071">
        <v>-23</v>
      </c>
      <c r="GV366" s="1071">
        <f>GU366+GT366</f>
        <v>51</v>
      </c>
      <c r="GW366" s="1071">
        <v>94</v>
      </c>
      <c r="GX366" s="1071">
        <f>GW366+GV366</f>
        <v>145</v>
      </c>
      <c r="GY366" s="1071"/>
      <c r="GZ366" s="1071"/>
      <c r="HA366" s="1072"/>
      <c r="HB366" s="1071">
        <v>159</v>
      </c>
      <c r="HC366" s="1071">
        <v>126</v>
      </c>
      <c r="HD366" s="1071">
        <f>HC366+HB366</f>
        <v>285</v>
      </c>
      <c r="HE366" s="1071">
        <v>88</v>
      </c>
      <c r="HF366" s="1071">
        <f>HE366+HD366</f>
        <v>373</v>
      </c>
      <c r="HG366" s="1071">
        <v>83</v>
      </c>
      <c r="HH366" s="1071"/>
      <c r="HI366" s="1072">
        <f>HG366+HF366</f>
        <v>456</v>
      </c>
      <c r="HJ366" s="1071">
        <v>111</v>
      </c>
      <c r="HK366" s="1071">
        <v>139</v>
      </c>
      <c r="HL366" s="1071"/>
      <c r="HM366" s="1071"/>
      <c r="HN366" s="1071"/>
      <c r="HO366" s="1071"/>
      <c r="HP366" s="1071"/>
      <c r="HQ366" s="1072"/>
      <c r="HR366" s="1071"/>
      <c r="HS366" s="1071"/>
      <c r="HT366" s="1071"/>
      <c r="HU366" s="1071"/>
      <c r="HV366" s="1071"/>
      <c r="HW366" s="1071"/>
      <c r="HX366" s="1071"/>
      <c r="HY366" s="1071"/>
      <c r="HZ366" s="1071"/>
      <c r="IA366" s="1071"/>
      <c r="IB366" s="1071"/>
      <c r="IC366" s="1071"/>
      <c r="ID366" s="1071"/>
      <c r="IE366" s="1071"/>
      <c r="IF366" s="1071"/>
      <c r="IG366" s="1072"/>
      <c r="IH366" s="1071"/>
      <c r="II366" s="1071"/>
      <c r="IJ366" s="1071"/>
      <c r="IK366" s="1071"/>
      <c r="IL366" s="1071"/>
      <c r="IM366" s="1071"/>
      <c r="IN366" s="1071"/>
      <c r="IO366" s="1072"/>
      <c r="IP366" s="1071"/>
      <c r="IQ366" s="1071"/>
      <c r="IR366" s="1071"/>
      <c r="IS366" s="1071"/>
      <c r="IT366" s="1071"/>
      <c r="IU366" s="1071"/>
      <c r="IV366" s="1071"/>
      <c r="IW366" s="1071"/>
      <c r="IX366" s="1104"/>
      <c r="IY366" s="1049"/>
      <c r="IZ366" s="1049"/>
      <c r="JA366" s="1049"/>
      <c r="JB366" s="1049"/>
      <c r="JC366" s="1049"/>
      <c r="JD366" s="1041"/>
      <c r="JE366" s="1037"/>
      <c r="JF366" s="1037"/>
      <c r="JG366" s="1037"/>
      <c r="JH366" s="1037"/>
      <c r="JI366" s="1035"/>
      <c r="JJ366" s="1035"/>
      <c r="JK366" s="1035"/>
      <c r="JL366" s="1035"/>
      <c r="JM366" s="1035"/>
      <c r="JN366" s="1035"/>
      <c r="JO366" s="1035"/>
      <c r="JP366" s="1035"/>
      <c r="JQ366" s="1035"/>
      <c r="JR366" s="1035"/>
      <c r="JS366" s="1035"/>
      <c r="JT366" s="1035"/>
      <c r="JU366" s="1035"/>
      <c r="JV366" s="1035"/>
      <c r="JW366" s="1035"/>
      <c r="JX366" s="1035"/>
      <c r="JY366" s="1035"/>
      <c r="KP366" s="1117"/>
      <c r="LV366" s="967"/>
    </row>
    <row r="367" spans="1:334">
      <c r="A367" s="967" t="s">
        <v>61</v>
      </c>
      <c r="AX367" s="1059"/>
      <c r="BE367" s="1060"/>
      <c r="BN367" s="1059"/>
      <c r="BU367" s="1060"/>
      <c r="BV367" s="1059"/>
      <c r="CC367" s="1060"/>
      <c r="CD367" s="1059"/>
      <c r="CJ367" s="1061"/>
      <c r="CK367" s="1060"/>
      <c r="CL367" s="1059"/>
      <c r="CS367" s="1060"/>
      <c r="CT367" s="1059"/>
      <c r="CW367" s="1062"/>
      <c r="CX367" s="1062"/>
      <c r="DE367" s="1064"/>
      <c r="DF367" s="1064"/>
      <c r="DM367" s="1064"/>
      <c r="DN367" s="1064"/>
      <c r="DU367" s="1064"/>
      <c r="DV367" s="1064"/>
      <c r="EC367" s="1064"/>
      <c r="ED367" s="1064"/>
      <c r="EH367" s="1181"/>
      <c r="EI367" s="1181"/>
      <c r="EJ367" s="1181"/>
      <c r="EK367" s="1181"/>
      <c r="EL367" s="1181"/>
      <c r="EM367" s="1181"/>
      <c r="EN367" s="1181"/>
      <c r="EO367" s="1182"/>
      <c r="EP367" s="1181"/>
      <c r="EQ367" s="1181"/>
      <c r="ER367" s="1181"/>
      <c r="ES367" s="1181"/>
      <c r="ET367" s="1181"/>
      <c r="EU367" s="1181"/>
      <c r="EV367" s="1181"/>
      <c r="EW367" s="1182"/>
      <c r="EX367" s="1094"/>
      <c r="EY367" s="1094"/>
      <c r="EZ367" s="1094"/>
      <c r="FA367" s="1094"/>
      <c r="FB367" s="1094"/>
      <c r="FC367" s="1094"/>
      <c r="FD367" s="1094"/>
      <c r="FE367" s="1093"/>
      <c r="FF367" s="1094">
        <f t="shared" ref="FF367:FR367" si="1993">FF366/EX366-1</f>
        <v>0.161849710982659</v>
      </c>
      <c r="FG367" s="1094">
        <f t="shared" si="1993"/>
        <v>0.404040404040404</v>
      </c>
      <c r="FH367" s="1094">
        <f t="shared" si="1993"/>
        <v>0.25</v>
      </c>
      <c r="FI367" s="1094">
        <f t="shared" si="1993"/>
        <v>0.101604278074866</v>
      </c>
      <c r="FJ367" s="1094">
        <f t="shared" si="1993"/>
        <v>0.189542483660131</v>
      </c>
      <c r="FK367" s="1094">
        <f t="shared" si="1993"/>
        <v>0.216494845360825</v>
      </c>
      <c r="FL367" s="1094">
        <f t="shared" si="1993"/>
        <v>0.140845070422535</v>
      </c>
      <c r="FM367" s="1093">
        <f t="shared" si="1993"/>
        <v>0.194244604316547</v>
      </c>
      <c r="FN367" s="1094">
        <f t="shared" si="1993"/>
        <v>0.0646766169154229</v>
      </c>
      <c r="FO367" s="1094">
        <f t="shared" si="1993"/>
        <v>-0.079136690647482</v>
      </c>
      <c r="FP367" s="1094">
        <f t="shared" si="1993"/>
        <v>0.00588235294117645</v>
      </c>
      <c r="FQ367" s="1094">
        <f t="shared" si="1993"/>
        <v>0.174757281553398</v>
      </c>
      <c r="FR367" s="1094">
        <f t="shared" si="1993"/>
        <v>0.0695970695970696</v>
      </c>
      <c r="FS367" s="1094">
        <f t="shared" ref="FS367:FX367" si="1994">FS366/FK366-1</f>
        <v>0.169491525423729</v>
      </c>
      <c r="FT367" s="1094">
        <f t="shared" si="1994"/>
        <v>0.17283950617284</v>
      </c>
      <c r="FU367" s="1094">
        <f t="shared" si="1994"/>
        <v>0.0873493975903614</v>
      </c>
      <c r="FV367" s="1275">
        <f t="shared" si="1994"/>
        <v>0.168224299065421</v>
      </c>
      <c r="FW367" s="1094">
        <f t="shared" si="1994"/>
        <v>0.4296875</v>
      </c>
      <c r="FX367" s="1094">
        <f t="shared" si="1994"/>
        <v>0.266081871345029</v>
      </c>
      <c r="FY367" s="1094">
        <f t="shared" ref="FY367" si="1995">FY366/FQ366-1</f>
        <v>0.107438016528926</v>
      </c>
      <c r="FZ367" s="1094">
        <f t="shared" ref="FZ367" si="1996">FZ366/FR366-1</f>
        <v>0.200342465753425</v>
      </c>
      <c r="GA367" s="1094">
        <f t="shared" ref="GA367" si="1997">GA366/FS366-1</f>
        <v>0.0579710144927537</v>
      </c>
      <c r="GB367" s="1094">
        <f t="shared" ref="GB367" si="1998">GB366/FT366-1</f>
        <v>0.0894736842105264</v>
      </c>
      <c r="GC367" s="1093">
        <f t="shared" ref="GC367" si="1999">GC366/FU366-1</f>
        <v>0.173130193905817</v>
      </c>
      <c r="GD367" s="1275">
        <f>GD366/97-1</f>
        <v>-0.0927835051546392</v>
      </c>
      <c r="GE367" s="1094">
        <f>((GF367*FX366)-(GD367*FV366))/FW366</f>
        <v>-0.0230010218714724</v>
      </c>
      <c r="GF367" s="1094">
        <f>GF366/158-1</f>
        <v>-0.0632911392405063</v>
      </c>
      <c r="GG367" s="1094">
        <f>GG366/110-1</f>
        <v>0.0272727272727273</v>
      </c>
      <c r="GH367" s="1094">
        <f>GH366/(110+61+97)-1</f>
        <v>-0.0261194029850746</v>
      </c>
      <c r="GI367" s="1094">
        <f>GI366/58-1</f>
        <v>-0.0172413793103449</v>
      </c>
      <c r="GJ367" s="1094">
        <f>GJ366/(58+110)-1</f>
        <v>0.0119047619047619</v>
      </c>
      <c r="GK367" s="1093">
        <f>GK366/325-1</f>
        <v>-0.0215384615384615</v>
      </c>
      <c r="GL367" s="1094">
        <f>GL366/GD366-1</f>
        <v>0.147727272727273</v>
      </c>
      <c r="GM367" s="1094">
        <f>GM366/GE366-1</f>
        <v>0.333333333333333</v>
      </c>
      <c r="GN367" s="1094">
        <f>GN366/GF366-1</f>
        <v>0.222972972972973</v>
      </c>
      <c r="GO367" s="1094">
        <f>GO366/110-1</f>
        <v>0.127272727272727</v>
      </c>
      <c r="GP367" s="1094">
        <f>GP366/(110+61+97)-1</f>
        <v>0.138059701492537</v>
      </c>
      <c r="GQ367" s="1094">
        <f>GQ366/58-1</f>
        <v>0.0689655172413792</v>
      </c>
      <c r="GR367" s="1094">
        <f>GR366/(58+110)-1</f>
        <v>0.107142857142857</v>
      </c>
      <c r="GS367" s="1093">
        <f>GS366/325-1</f>
        <v>0.129230769230769</v>
      </c>
      <c r="GT367" s="1094">
        <f>GT366/GL366-1</f>
        <v>-0.267326732673267</v>
      </c>
      <c r="GU367" s="1094">
        <f>GU366/GM366-1</f>
        <v>-1.2875</v>
      </c>
      <c r="GV367" s="1094">
        <f>GV366/GN366-1</f>
        <v>-0.718232044198895</v>
      </c>
      <c r="GW367" s="1094">
        <f>GW366/110-1</f>
        <v>-0.145454545454546</v>
      </c>
      <c r="GX367" s="1094">
        <f>GX366/(110+61+97)-1</f>
        <v>-0.458955223880597</v>
      </c>
      <c r="GY367" s="1094"/>
      <c r="GZ367" s="1094"/>
      <c r="HA367" s="1093"/>
      <c r="HB367" s="1094"/>
      <c r="HC367" s="1094"/>
      <c r="HD367" s="1094"/>
      <c r="HE367" s="1094"/>
      <c r="HF367" s="1094"/>
      <c r="HG367" s="1094"/>
      <c r="HH367" s="1094"/>
      <c r="HI367" s="1093"/>
      <c r="HJ367" s="1094">
        <f>HJ366/HB366-1</f>
        <v>-0.30188679245283</v>
      </c>
      <c r="HK367" s="1094">
        <f>HK366/HC366-1</f>
        <v>0.103174603174603</v>
      </c>
      <c r="HL367" s="1094"/>
      <c r="HM367" s="1094"/>
      <c r="HN367" s="1094"/>
      <c r="HO367" s="1094"/>
      <c r="HP367" s="1094"/>
      <c r="HQ367" s="1093"/>
      <c r="HR367" s="1094"/>
      <c r="HS367" s="1094"/>
      <c r="HT367" s="1094"/>
      <c r="HU367" s="1094"/>
      <c r="HV367" s="1094"/>
      <c r="HW367" s="1094"/>
      <c r="HX367" s="1094"/>
      <c r="HY367" s="1094"/>
      <c r="HZ367" s="1094"/>
      <c r="IA367" s="1094"/>
      <c r="IB367" s="1094"/>
      <c r="IC367" s="1094"/>
      <c r="ID367" s="1094"/>
      <c r="IE367" s="1094"/>
      <c r="IF367" s="1094"/>
      <c r="IG367" s="1093"/>
      <c r="IH367" s="1094"/>
      <c r="II367" s="1094"/>
      <c r="IJ367" s="1094"/>
      <c r="IK367" s="1094"/>
      <c r="IL367" s="1094"/>
      <c r="IM367" s="1094"/>
      <c r="IN367" s="1094"/>
      <c r="IO367" s="1093"/>
      <c r="IP367" s="1094"/>
      <c r="IQ367" s="1094"/>
      <c r="IR367" s="1094"/>
      <c r="IS367" s="1094"/>
      <c r="IT367" s="1094"/>
      <c r="IU367" s="1094"/>
      <c r="IV367" s="1094"/>
      <c r="IW367" s="1094"/>
      <c r="IX367" s="1104"/>
      <c r="IY367" s="1049"/>
      <c r="IZ367" s="1049"/>
      <c r="JA367" s="1049"/>
      <c r="JB367" s="1049"/>
      <c r="JC367" s="1049"/>
      <c r="JD367" s="1041"/>
      <c r="JE367" s="1037"/>
      <c r="JF367" s="1037"/>
      <c r="JG367" s="1037"/>
      <c r="JH367" s="1037"/>
      <c r="JI367" s="1035"/>
      <c r="JJ367" s="1035"/>
      <c r="JK367" s="1035"/>
      <c r="JL367" s="1035"/>
      <c r="JM367" s="1035"/>
      <c r="JN367" s="1035"/>
      <c r="JO367" s="1035"/>
      <c r="JP367" s="1035"/>
      <c r="JQ367" s="1035"/>
      <c r="JR367" s="1035"/>
      <c r="JS367" s="1035"/>
      <c r="JT367" s="1035"/>
      <c r="JU367" s="1035"/>
      <c r="JV367" s="1035"/>
      <c r="JW367" s="1035"/>
      <c r="JX367" s="1035"/>
      <c r="JY367" s="1035"/>
      <c r="KP367" s="1117"/>
      <c r="LV367" s="967"/>
    </row>
    <row r="368" spans="1:334">
      <c r="A368" s="967" t="s">
        <v>132</v>
      </c>
      <c r="AX368" s="1059"/>
      <c r="BE368" s="1060"/>
      <c r="BN368" s="1059"/>
      <c r="BU368" s="1060"/>
      <c r="BV368" s="1059"/>
      <c r="CC368" s="1060"/>
      <c r="CD368" s="1059"/>
      <c r="CJ368" s="1061"/>
      <c r="CK368" s="1060"/>
      <c r="CL368" s="1059"/>
      <c r="CS368" s="1060"/>
      <c r="CT368" s="1059"/>
      <c r="CW368" s="1062"/>
      <c r="CX368" s="1062"/>
      <c r="DE368" s="1064"/>
      <c r="DF368" s="1064"/>
      <c r="DM368" s="1064"/>
      <c r="DN368" s="1064"/>
      <c r="DU368" s="1064"/>
      <c r="DV368" s="1064"/>
      <c r="EC368" s="1064"/>
      <c r="ED368" s="1064"/>
      <c r="EH368" s="1181"/>
      <c r="EI368" s="1181"/>
      <c r="EJ368" s="1181"/>
      <c r="EK368" s="1181"/>
      <c r="EL368" s="1181"/>
      <c r="EM368" s="1181"/>
      <c r="EN368" s="1181"/>
      <c r="EO368" s="1182"/>
      <c r="EP368" s="1181"/>
      <c r="EQ368" s="1181"/>
      <c r="ER368" s="1181"/>
      <c r="ES368" s="1181"/>
      <c r="ET368" s="1181"/>
      <c r="EU368" s="1181"/>
      <c r="EV368" s="1181"/>
      <c r="EW368" s="1182"/>
      <c r="EX368" s="1094">
        <f>EX366/EX$264</f>
        <v>0.343936381709742</v>
      </c>
      <c r="EY368" s="1094">
        <f t="shared" ref="EY368:FH368" si="2000">EY366/EY$264</f>
        <v>0.242053789731051</v>
      </c>
      <c r="EZ368" s="1094">
        <f t="shared" si="2000"/>
        <v>0.298245614035088</v>
      </c>
      <c r="FA368" s="1094">
        <f t="shared" si="2000"/>
        <v>0.333333333333333</v>
      </c>
      <c r="FB368" s="1094">
        <f t="shared" si="2000"/>
        <v>0.311608961303462</v>
      </c>
      <c r="FC368" s="1094">
        <f t="shared" si="2000"/>
        <v>0.214601769911504</v>
      </c>
      <c r="FD368" s="1094">
        <f t="shared" si="2000"/>
        <v>0.28035538005923</v>
      </c>
      <c r="FE368" s="1093">
        <f t="shared" si="2000"/>
        <v>0.288831168831169</v>
      </c>
      <c r="FF368" s="1094">
        <f t="shared" si="2000"/>
        <v>0.316535433070866</v>
      </c>
      <c r="FG368" s="1094">
        <f t="shared" si="2000"/>
        <v>0.259328358208955</v>
      </c>
      <c r="FH368" s="1094">
        <f t="shared" si="2000"/>
        <v>0.290350128095645</v>
      </c>
      <c r="FI368" s="1094">
        <f t="shared" ref="FI368:FR368" si="2001">FI366/FI$264</f>
        <v>0.305637982195846</v>
      </c>
      <c r="FJ368" s="1094">
        <f t="shared" si="2001"/>
        <v>0.295934959349594</v>
      </c>
      <c r="FK368" s="1094">
        <f t="shared" si="2001"/>
        <v>0.21731123388582</v>
      </c>
      <c r="FL368" s="1094">
        <f t="shared" si="2001"/>
        <v>0.266228430566968</v>
      </c>
      <c r="FM368" s="1093">
        <f t="shared" si="2001"/>
        <v>0.278056951423786</v>
      </c>
      <c r="FN368" s="1094">
        <f t="shared" si="2001"/>
        <v>0.30527817403709</v>
      </c>
      <c r="FO368" s="1094">
        <f t="shared" si="2001"/>
        <v>0.223776223776224</v>
      </c>
      <c r="FP368" s="1094">
        <f t="shared" si="2001"/>
        <v>0.26865671641791</v>
      </c>
      <c r="FQ368" s="1094">
        <f t="shared" si="2001"/>
        <v>0.304785894206549</v>
      </c>
      <c r="FR368" s="1094">
        <f t="shared" si="2001"/>
        <v>0.282535074987905</v>
      </c>
      <c r="FS368" s="1094">
        <f t="shared" ref="FS368:FZ368" si="2002">FS366/FS$264</f>
        <v>0.223300970873786</v>
      </c>
      <c r="FT368" s="1094">
        <f t="shared" si="2002"/>
        <v>0.269121813031161</v>
      </c>
      <c r="FU368" s="1094">
        <f t="shared" si="2002"/>
        <v>0.268901303538175</v>
      </c>
      <c r="FV368" s="1275">
        <f t="shared" si="2002"/>
        <v>0.300120048019208</v>
      </c>
      <c r="FW368" s="1094">
        <f t="shared" si="2002"/>
        <v>0.278538812785388</v>
      </c>
      <c r="FX368" s="1094">
        <f t="shared" si="2002"/>
        <v>0.290604026845638</v>
      </c>
      <c r="FY368" s="1094">
        <f t="shared" si="2002"/>
        <v>0.33458177278402</v>
      </c>
      <c r="FZ368" s="1094">
        <f t="shared" si="2002"/>
        <v>0.305979921431689</v>
      </c>
      <c r="GA368" s="1094">
        <f t="shared" ref="GA368:GC368" si="2003">GA366/GA$264</f>
        <v>0.237012987012987</v>
      </c>
      <c r="GB368" s="1094">
        <f t="shared" si="2003"/>
        <v>0.292166549047283</v>
      </c>
      <c r="GC368" s="1093">
        <f t="shared" si="2003"/>
        <v>0.291365669074647</v>
      </c>
      <c r="GD368" s="1275">
        <f t="shared" ref="GD368:GF368" si="2004">GD366/GD$264</f>
        <v>0.285714285714286</v>
      </c>
      <c r="GE368" s="1094">
        <f t="shared" si="2004"/>
        <v>0.239043824701195</v>
      </c>
      <c r="GF368" s="1094">
        <f t="shared" si="2004"/>
        <v>0.264758497316637</v>
      </c>
      <c r="GG368" s="1094">
        <f t="shared" ref="GG368:GN368" si="2005">GG366/GG$264</f>
        <v>0.343465045592705</v>
      </c>
      <c r="GH368" s="1094">
        <f t="shared" si="2005"/>
        <v>0.293918918918919</v>
      </c>
      <c r="GI368" s="1094">
        <f t="shared" si="2005"/>
        <v>0.22265625</v>
      </c>
      <c r="GJ368" s="1094">
        <f t="shared" si="2005"/>
        <v>0.290598290598291</v>
      </c>
      <c r="GK368" s="1093">
        <f t="shared" si="2005"/>
        <v>0.277972027972028</v>
      </c>
      <c r="GL368" s="1094">
        <f t="shared" si="2005"/>
        <v>0.306060606060606</v>
      </c>
      <c r="GM368" s="1094">
        <f t="shared" si="2005"/>
        <v>0.284697508896797</v>
      </c>
      <c r="GN368" s="1094">
        <f t="shared" si="2005"/>
        <v>0.296235679214403</v>
      </c>
      <c r="GO368" s="1094">
        <f t="shared" ref="GO368:GV368" si="2006">GO366/GO$264</f>
        <v>0.319587628865979</v>
      </c>
      <c r="GP368" s="1094">
        <f t="shared" si="2006"/>
        <v>0.305305305305305</v>
      </c>
      <c r="GQ368" s="1094">
        <f t="shared" si="2006"/>
        <v>0.204620462046205</v>
      </c>
      <c r="GR368" s="1094">
        <f t="shared" si="2006"/>
        <v>0.26917510853835</v>
      </c>
      <c r="GS368" s="1093">
        <f t="shared" si="2006"/>
        <v>0.281874039938556</v>
      </c>
      <c r="GT368" s="1094">
        <f t="shared" si="2006"/>
        <v>0.252559726962457</v>
      </c>
      <c r="GU368" s="1094">
        <f t="shared" si="2006"/>
        <v>-0.212962962962963</v>
      </c>
      <c r="GV368" s="1094">
        <f t="shared" si="2006"/>
        <v>0.127182044887781</v>
      </c>
      <c r="GW368" s="1094">
        <f t="shared" ref="GW368:GX368" si="2007">GW366/GW$264</f>
        <v>0.299096347206313</v>
      </c>
      <c r="GX368" s="1094">
        <f t="shared" si="2007"/>
        <v>0.202717816799016</v>
      </c>
      <c r="GY368" s="1094"/>
      <c r="GZ368" s="1094"/>
      <c r="HA368" s="1093"/>
      <c r="HB368" s="1094">
        <f t="shared" ref="HB368:HG368" si="2008">HB366/HB199</f>
        <v>0.263681592039801</v>
      </c>
      <c r="HC368" s="1094">
        <f t="shared" si="2008"/>
        <v>0.236397748592871</v>
      </c>
      <c r="HD368" s="1094">
        <f t="shared" si="2008"/>
        <v>0.250880281690141</v>
      </c>
      <c r="HE368" s="1094">
        <f t="shared" si="2008"/>
        <v>0.174603174603174</v>
      </c>
      <c r="HF368" s="1094">
        <f t="shared" si="2008"/>
        <v>0.227439024390244</v>
      </c>
      <c r="HG368" s="1094">
        <f t="shared" si="2008"/>
        <v>0.153419593345656</v>
      </c>
      <c r="HH368" s="1094"/>
      <c r="HI368" s="1093">
        <f>HI366/HI199</f>
        <v>0.209078404401651</v>
      </c>
      <c r="HJ368" s="1094">
        <f>HJ366/HJ199</f>
        <v>0.219367588932806</v>
      </c>
      <c r="HK368" s="1094">
        <f>HK366/HK199</f>
        <v>0.252727272727273</v>
      </c>
      <c r="HL368" s="1094"/>
      <c r="HM368" s="1094"/>
      <c r="HN368" s="1094"/>
      <c r="HO368" s="1094"/>
      <c r="HP368" s="1094"/>
      <c r="HQ368" s="1093"/>
      <c r="HR368" s="1094"/>
      <c r="HS368" s="1094"/>
      <c r="HT368" s="1094"/>
      <c r="HU368" s="1094"/>
      <c r="HV368" s="1094"/>
      <c r="HW368" s="1094"/>
      <c r="HX368" s="1094"/>
      <c r="HY368" s="1094"/>
      <c r="HZ368" s="1094"/>
      <c r="IA368" s="1094"/>
      <c r="IB368" s="1094"/>
      <c r="IC368" s="1094"/>
      <c r="ID368" s="1094"/>
      <c r="IE368" s="1094"/>
      <c r="IF368" s="1094"/>
      <c r="IG368" s="1093"/>
      <c r="IH368" s="1094"/>
      <c r="II368" s="1094"/>
      <c r="IJ368" s="1094"/>
      <c r="IK368" s="1094"/>
      <c r="IL368" s="1094"/>
      <c r="IM368" s="1094"/>
      <c r="IN368" s="1094"/>
      <c r="IO368" s="1093"/>
      <c r="IP368" s="1094"/>
      <c r="IQ368" s="1094"/>
      <c r="IR368" s="1094"/>
      <c r="IS368" s="1094"/>
      <c r="IT368" s="1094"/>
      <c r="IU368" s="1094"/>
      <c r="IV368" s="1094"/>
      <c r="IW368" s="1094"/>
      <c r="IX368" s="1104"/>
      <c r="IY368" s="1049"/>
      <c r="IZ368" s="1049"/>
      <c r="JA368" s="1049"/>
      <c r="JB368" s="1049"/>
      <c r="JC368" s="1049"/>
      <c r="JD368" s="1041"/>
      <c r="JE368" s="1037"/>
      <c r="JF368" s="1037"/>
      <c r="JG368" s="1037"/>
      <c r="JH368" s="1037"/>
      <c r="JI368" s="1035"/>
      <c r="JJ368" s="1035"/>
      <c r="JK368" s="1035"/>
      <c r="JL368" s="1035"/>
      <c r="JM368" s="1035"/>
      <c r="JN368" s="1035"/>
      <c r="JO368" s="1035"/>
      <c r="JP368" s="1035"/>
      <c r="JQ368" s="1035"/>
      <c r="JR368" s="1035"/>
      <c r="JS368" s="1035"/>
      <c r="JT368" s="1035"/>
      <c r="JU368" s="1035"/>
      <c r="JV368" s="1035"/>
      <c r="JW368" s="1035"/>
      <c r="JX368" s="1035"/>
      <c r="JY368" s="1035"/>
      <c r="KP368" s="1117"/>
      <c r="LV368" s="967"/>
    </row>
    <row r="369" spans="1:334">
      <c r="A369" s="1281" t="s">
        <v>135</v>
      </c>
      <c r="B369" s="1255"/>
      <c r="C369" s="1255"/>
      <c r="D369" s="1255"/>
      <c r="E369" s="1255"/>
      <c r="F369" s="1255"/>
      <c r="G369" s="1255"/>
      <c r="H369" s="1255"/>
      <c r="I369" s="1255"/>
      <c r="J369" s="1255"/>
      <c r="K369" s="1255"/>
      <c r="L369" s="1255"/>
      <c r="M369" s="1255"/>
      <c r="N369" s="1255"/>
      <c r="O369" s="1255"/>
      <c r="P369" s="1255"/>
      <c r="Q369" s="1255"/>
      <c r="R369" s="1255"/>
      <c r="S369" s="1255"/>
      <c r="T369" s="1255"/>
      <c r="U369" s="1255"/>
      <c r="V369" s="1255"/>
      <c r="W369" s="1255"/>
      <c r="X369" s="1255"/>
      <c r="Y369" s="1255"/>
      <c r="Z369" s="1255"/>
      <c r="AA369" s="1255"/>
      <c r="AB369" s="1255"/>
      <c r="AC369" s="1255"/>
      <c r="AD369" s="1255"/>
      <c r="AE369" s="1255"/>
      <c r="AF369" s="1255"/>
      <c r="AG369" s="1255"/>
      <c r="AH369" s="1255"/>
      <c r="AI369" s="1255"/>
      <c r="AJ369" s="1255"/>
      <c r="AK369" s="1255"/>
      <c r="AL369" s="1255"/>
      <c r="AM369" s="1255"/>
      <c r="AN369" s="1255"/>
      <c r="AO369" s="1255"/>
      <c r="AP369" s="1255"/>
      <c r="AQ369" s="1255"/>
      <c r="AR369" s="1255"/>
      <c r="AS369" s="1255"/>
      <c r="AT369" s="1255"/>
      <c r="AU369" s="1255"/>
      <c r="AV369" s="1255"/>
      <c r="AW369" s="1255"/>
      <c r="AX369" s="1256"/>
      <c r="AY369" s="1255"/>
      <c r="AZ369" s="1255"/>
      <c r="BA369" s="1255"/>
      <c r="BB369" s="1255"/>
      <c r="BC369" s="1255"/>
      <c r="BD369" s="1255"/>
      <c r="BE369" s="1257"/>
      <c r="BF369" s="1255"/>
      <c r="BG369" s="1255"/>
      <c r="BH369" s="1255"/>
      <c r="BI369" s="1255"/>
      <c r="BJ369" s="1255"/>
      <c r="BK369" s="1255"/>
      <c r="BL369" s="1255"/>
      <c r="BM369" s="1255"/>
      <c r="BN369" s="1256"/>
      <c r="BO369" s="1255"/>
      <c r="BP369" s="1255"/>
      <c r="BQ369" s="1255"/>
      <c r="BR369" s="1255"/>
      <c r="BS369" s="1255"/>
      <c r="BT369" s="1255"/>
      <c r="BU369" s="1257"/>
      <c r="BV369" s="1256"/>
      <c r="BW369" s="1255"/>
      <c r="BX369" s="1255"/>
      <c r="BY369" s="1255"/>
      <c r="BZ369" s="1255"/>
      <c r="CA369" s="1255"/>
      <c r="CB369" s="1255"/>
      <c r="CC369" s="1257"/>
      <c r="CD369" s="1256"/>
      <c r="CE369" s="1255"/>
      <c r="CF369" s="1255"/>
      <c r="CG369" s="1255"/>
      <c r="CH369" s="1255"/>
      <c r="CI369" s="1255"/>
      <c r="CJ369" s="1258"/>
      <c r="CK369" s="1257"/>
      <c r="CL369" s="1256"/>
      <c r="CM369" s="1255"/>
      <c r="CN369" s="1255"/>
      <c r="CO369" s="1255"/>
      <c r="CP369" s="1255"/>
      <c r="CQ369" s="1255"/>
      <c r="CR369" s="1255"/>
      <c r="CS369" s="1257"/>
      <c r="CT369" s="1256"/>
      <c r="CU369" s="1255"/>
      <c r="CV369" s="1255"/>
      <c r="CW369" s="1259"/>
      <c r="CX369" s="1259"/>
      <c r="CY369" s="1255"/>
      <c r="CZ369" s="1255"/>
      <c r="DA369" s="1255"/>
      <c r="DB369" s="1260"/>
      <c r="DC369" s="1260"/>
      <c r="DD369" s="1260"/>
      <c r="DE369" s="1261"/>
      <c r="DF369" s="1261"/>
      <c r="DG369" s="1260"/>
      <c r="DH369" s="1260"/>
      <c r="DI369" s="1262"/>
      <c r="DJ369" s="1260"/>
      <c r="DK369" s="1260"/>
      <c r="DL369" s="1260"/>
      <c r="DM369" s="1261"/>
      <c r="DN369" s="1261"/>
      <c r="DO369" s="1260"/>
      <c r="DP369" s="1260"/>
      <c r="DQ369" s="1262"/>
      <c r="DR369" s="1260"/>
      <c r="DS369" s="1260"/>
      <c r="DT369" s="1260"/>
      <c r="DU369" s="1261"/>
      <c r="DV369" s="1261"/>
      <c r="DW369" s="1260"/>
      <c r="DX369" s="1260"/>
      <c r="DY369" s="1262"/>
      <c r="DZ369" s="1260"/>
      <c r="EA369" s="1260"/>
      <c r="EB369" s="1260"/>
      <c r="EC369" s="1261"/>
      <c r="ED369" s="1261"/>
      <c r="EE369" s="1260"/>
      <c r="EF369" s="1260"/>
      <c r="EG369" s="1262"/>
      <c r="EH369" s="1282"/>
      <c r="EI369" s="1282"/>
      <c r="EJ369" s="1282"/>
      <c r="EK369" s="1282"/>
      <c r="EL369" s="1282"/>
      <c r="EM369" s="1282"/>
      <c r="EN369" s="1282"/>
      <c r="EO369" s="1283"/>
      <c r="EP369" s="1282"/>
      <c r="EQ369" s="1282"/>
      <c r="ER369" s="1282"/>
      <c r="ES369" s="1282"/>
      <c r="ET369" s="1282"/>
      <c r="EU369" s="1282"/>
      <c r="EV369" s="1282"/>
      <c r="EW369" s="1283"/>
      <c r="EX369" s="1263">
        <f>EX371*EX271</f>
        <v>1328.04</v>
      </c>
      <c r="EY369" s="1263">
        <f>EY371*EY271</f>
        <v>1266.694</v>
      </c>
      <c r="EZ369" s="1263">
        <f>EX369+EY369</f>
        <v>2594.734</v>
      </c>
      <c r="FA369" s="1263">
        <f>FA371*FA271</f>
        <v>1528.296</v>
      </c>
      <c r="FB369" s="1263">
        <f>EX369+EY369+FA369</f>
        <v>4123.03</v>
      </c>
      <c r="FC369" s="1263">
        <f>FC371*FC271</f>
        <v>1292.396</v>
      </c>
      <c r="FD369" s="1263">
        <f>FA369+FC369</f>
        <v>2820.692</v>
      </c>
      <c r="FE369" s="1264">
        <f>EX369+EY369+FA369+FC369</f>
        <v>5415.426</v>
      </c>
      <c r="FF369" s="1263">
        <f>FF371*FF271</f>
        <v>1568.42</v>
      </c>
      <c r="FG369" s="1263">
        <f>FG371*FG271</f>
        <v>1480.192</v>
      </c>
      <c r="FH369" s="1263">
        <f>FF369+FG369</f>
        <v>3048.612</v>
      </c>
      <c r="FI369" s="1263">
        <f>FI371*FI271</f>
        <v>1860.152</v>
      </c>
      <c r="FJ369" s="1263">
        <f>FH369+FI369</f>
        <v>4908.764</v>
      </c>
      <c r="FK369" s="1263">
        <f>FK371*FK271</f>
        <v>1551.24</v>
      </c>
      <c r="FL369" s="1263">
        <f>FI369+FK369</f>
        <v>3411.392</v>
      </c>
      <c r="FM369" s="1264">
        <f>FF369+FG369+FI369+FK369</f>
        <v>6460.004</v>
      </c>
      <c r="FN369" s="1263">
        <f>FN371*FN271</f>
        <v>1876.566</v>
      </c>
      <c r="FO369" s="1263">
        <f>FO371*FO271</f>
        <v>1696.32</v>
      </c>
      <c r="FP369" s="1263">
        <f>FN369+FO369</f>
        <v>3572.886</v>
      </c>
      <c r="FQ369" s="1263">
        <f>FQ371*FQ271</f>
        <v>2076.624</v>
      </c>
      <c r="FR369" s="1263">
        <f>FN369+FO369+FQ369</f>
        <v>5649.51</v>
      </c>
      <c r="FS369" s="1263">
        <f>FS371*FS271</f>
        <v>1797.18</v>
      </c>
      <c r="FT369" s="1263">
        <f>FQ369+FS369</f>
        <v>3873.804</v>
      </c>
      <c r="FU369" s="1263">
        <f>FN369+FO369+FQ369+FS369</f>
        <v>7446.69</v>
      </c>
      <c r="FV369" s="1286">
        <f>FV371*FV271</f>
        <v>2245.776</v>
      </c>
      <c r="FW369" s="1263">
        <f>FW371*FW271</f>
        <v>2119.2</v>
      </c>
      <c r="FX369" s="1263">
        <f>FV369+FW369</f>
        <v>4364.976</v>
      </c>
      <c r="FY369" s="1263">
        <f>FY371*FY271</f>
        <v>2355.471</v>
      </c>
      <c r="FZ369" s="1263">
        <f>FV369+FW369+FY369</f>
        <v>6720.447</v>
      </c>
      <c r="GA369" s="1263">
        <f>GA371*GA271</f>
        <v>2142.567</v>
      </c>
      <c r="GB369" s="1263">
        <f>FY369+GA369</f>
        <v>4498.038</v>
      </c>
      <c r="GC369" s="1264">
        <f>FV369+FW369+FY369+GA369</f>
        <v>8863.014</v>
      </c>
      <c r="GD369" s="1286">
        <f>GD371*GD271</f>
        <v>2350.804</v>
      </c>
      <c r="GE369" s="1263">
        <f>GE371*GE271</f>
        <v>2321.055</v>
      </c>
      <c r="GF369" s="1263">
        <f>GD369+GE369</f>
        <v>4671.859</v>
      </c>
      <c r="GG369" s="1263">
        <f>GG371*GG271</f>
        <v>2613.914</v>
      </c>
      <c r="GH369" s="1263">
        <f>GD369+GE369+GG369</f>
        <v>7285.773</v>
      </c>
      <c r="GI369" s="1263">
        <f>GI371*GI271</f>
        <v>2208.752</v>
      </c>
      <c r="GJ369" s="1263">
        <f>GG369+GI369</f>
        <v>4822.666</v>
      </c>
      <c r="GK369" s="1264">
        <f>GD369+GE369+GG369+GI369</f>
        <v>9494.525</v>
      </c>
      <c r="GL369" s="1263">
        <f>GL371*GL271</f>
        <v>2697.728</v>
      </c>
      <c r="GM369" s="1263">
        <f>GM371*GM271</f>
        <v>2513.706</v>
      </c>
      <c r="GN369" s="1263">
        <f>GL369+GM369</f>
        <v>5211.434</v>
      </c>
      <c r="GO369" s="1263">
        <f>GO371*GO271</f>
        <v>2895</v>
      </c>
      <c r="GP369" s="1263">
        <f>GL369+GM369+GO369</f>
        <v>8106.434</v>
      </c>
      <c r="GQ369" s="1263">
        <f>GQ371*GQ271</f>
        <v>2535.832</v>
      </c>
      <c r="GR369" s="1263">
        <f>GO369+GQ369</f>
        <v>5430.832</v>
      </c>
      <c r="GS369" s="1264">
        <f>GL369+GM369+GO369+GQ369</f>
        <v>10642.266</v>
      </c>
      <c r="GT369" s="1263">
        <f>GT371*GT271</f>
        <v>2164.224</v>
      </c>
      <c r="GU369" s="1263">
        <f>GU371*GU271</f>
        <v>1589.345</v>
      </c>
      <c r="GV369" s="1263">
        <f>GT369+GU369</f>
        <v>3753.569</v>
      </c>
      <c r="GW369" s="1263">
        <f>GW371*GW271</f>
        <v>2541.29</v>
      </c>
      <c r="GX369" s="1263">
        <f>GT369+GU369+GW369</f>
        <v>6294.859</v>
      </c>
      <c r="GY369" s="1263"/>
      <c r="GZ369" s="1263"/>
      <c r="HA369" s="1264"/>
      <c r="HB369" s="1263"/>
      <c r="HC369" s="1263"/>
      <c r="HD369" s="1263"/>
      <c r="HE369" s="1263"/>
      <c r="HF369" s="1263"/>
      <c r="HG369" s="1263"/>
      <c r="HH369" s="1263"/>
      <c r="HI369" s="1264"/>
      <c r="HJ369" s="1263"/>
      <c r="HK369" s="1263"/>
      <c r="HL369" s="1263"/>
      <c r="HM369" s="1263"/>
      <c r="HN369" s="1263"/>
      <c r="HO369" s="1263"/>
      <c r="HP369" s="1263"/>
      <c r="HQ369" s="1264"/>
      <c r="HR369" s="1263"/>
      <c r="HS369" s="1263"/>
      <c r="HT369" s="1263"/>
      <c r="HU369" s="1263"/>
      <c r="HV369" s="1263"/>
      <c r="HW369" s="1263"/>
      <c r="HX369" s="1263"/>
      <c r="HY369" s="1263"/>
      <c r="HZ369" s="1263"/>
      <c r="IA369" s="1263"/>
      <c r="IB369" s="1263"/>
      <c r="IC369" s="1263"/>
      <c r="ID369" s="1263"/>
      <c r="IE369" s="1263"/>
      <c r="IF369" s="1263"/>
      <c r="IG369" s="1264"/>
      <c r="IH369" s="1263"/>
      <c r="II369" s="1263"/>
      <c r="IJ369" s="1263"/>
      <c r="IK369" s="1263"/>
      <c r="IL369" s="1263"/>
      <c r="IM369" s="1263"/>
      <c r="IN369" s="1263"/>
      <c r="IO369" s="1264"/>
      <c r="IP369" s="1263"/>
      <c r="IQ369" s="1263"/>
      <c r="IR369" s="1263"/>
      <c r="IS369" s="1263"/>
      <c r="IT369" s="1263"/>
      <c r="IU369" s="1263"/>
      <c r="IV369" s="1263"/>
      <c r="IW369" s="1263"/>
      <c r="IX369" s="1104"/>
      <c r="IY369" s="1049"/>
      <c r="IZ369" s="1049"/>
      <c r="JA369" s="1049"/>
      <c r="JB369" s="1049"/>
      <c r="JC369" s="1049"/>
      <c r="JD369" s="1041"/>
      <c r="JE369" s="1037"/>
      <c r="JF369" s="1037"/>
      <c r="JG369" s="1037"/>
      <c r="JH369" s="1037"/>
      <c r="JI369" s="1035"/>
      <c r="JJ369" s="1035"/>
      <c r="JK369" s="1035"/>
      <c r="JL369" s="1035"/>
      <c r="JM369" s="1035"/>
      <c r="JN369" s="1035"/>
      <c r="JO369" s="1035"/>
      <c r="JP369" s="1035"/>
      <c r="JQ369" s="1035"/>
      <c r="JR369" s="1035"/>
      <c r="JS369" s="1035"/>
      <c r="JT369" s="1035"/>
      <c r="JU369" s="1035"/>
      <c r="JV369" s="1035"/>
      <c r="JW369" s="1035"/>
      <c r="JX369" s="1035"/>
      <c r="JY369" s="1035"/>
      <c r="KP369" s="1117"/>
      <c r="LV369" s="967"/>
    </row>
    <row r="370" spans="1:334">
      <c r="A370" s="967" t="s">
        <v>61</v>
      </c>
      <c r="AX370" s="1059"/>
      <c r="BE370" s="1060"/>
      <c r="BN370" s="1059"/>
      <c r="BU370" s="1060"/>
      <c r="BV370" s="1059"/>
      <c r="CC370" s="1060"/>
      <c r="CD370" s="1059"/>
      <c r="CJ370" s="1061"/>
      <c r="CK370" s="1060"/>
      <c r="CL370" s="1059"/>
      <c r="CS370" s="1060"/>
      <c r="CT370" s="1059"/>
      <c r="CW370" s="1062"/>
      <c r="CX370" s="1062"/>
      <c r="DE370" s="1064"/>
      <c r="DF370" s="1064"/>
      <c r="DM370" s="1064"/>
      <c r="DN370" s="1064"/>
      <c r="DU370" s="1064"/>
      <c r="DV370" s="1064"/>
      <c r="EC370" s="1064"/>
      <c r="ED370" s="1064"/>
      <c r="EH370" s="1181"/>
      <c r="EI370" s="1181"/>
      <c r="EJ370" s="1181"/>
      <c r="EK370" s="1181"/>
      <c r="EL370" s="1181"/>
      <c r="EM370" s="1181"/>
      <c r="EN370" s="1181"/>
      <c r="EO370" s="1182"/>
      <c r="EP370" s="1181"/>
      <c r="EQ370" s="1181"/>
      <c r="ER370" s="1181"/>
      <c r="ES370" s="1181"/>
      <c r="ET370" s="1181"/>
      <c r="EU370" s="1181"/>
      <c r="EV370" s="1181"/>
      <c r="EW370" s="1182"/>
      <c r="EX370" s="1181"/>
      <c r="EY370" s="1181"/>
      <c r="EZ370" s="1181"/>
      <c r="FA370" s="1181"/>
      <c r="FB370" s="1181"/>
      <c r="FC370" s="1181"/>
      <c r="FD370" s="1181"/>
      <c r="FE370" s="1182"/>
      <c r="FF370" s="1094">
        <f t="shared" ref="FF370:FK370" si="2009">FF369/EX369-1</f>
        <v>0.181003584229391</v>
      </c>
      <c r="FG370" s="1094">
        <f t="shared" si="2009"/>
        <v>0.16854741555577</v>
      </c>
      <c r="FH370" s="1094">
        <f t="shared" si="2009"/>
        <v>0.174922747379886</v>
      </c>
      <c r="FI370" s="1094">
        <f t="shared" si="2009"/>
        <v>0.217141182074676</v>
      </c>
      <c r="FJ370" s="1094">
        <f t="shared" si="2009"/>
        <v>0.190571982255768</v>
      </c>
      <c r="FK370" s="1094">
        <f t="shared" si="2009"/>
        <v>0.20028226642608</v>
      </c>
      <c r="FL370" s="1094">
        <f t="shared" ref="FL370:FR370" si="2010">FL369/FD369-1</f>
        <v>0.209416696328419</v>
      </c>
      <c r="FM370" s="1093">
        <f t="shared" si="2010"/>
        <v>0.192889349794458</v>
      </c>
      <c r="FN370" s="1094">
        <f t="shared" si="2010"/>
        <v>0.196469058032925</v>
      </c>
      <c r="FO370" s="1094">
        <f t="shared" si="2010"/>
        <v>0.14601349014182</v>
      </c>
      <c r="FP370" s="1094">
        <f t="shared" si="2010"/>
        <v>0.171971375826114</v>
      </c>
      <c r="FQ370" s="1094">
        <f t="shared" si="2010"/>
        <v>0.116373285623971</v>
      </c>
      <c r="FR370" s="1094">
        <f t="shared" si="2010"/>
        <v>0.150902752709236</v>
      </c>
      <c r="FS370" s="1094">
        <f t="shared" ref="FS370:FX370" si="2011">FS369/FK369-1</f>
        <v>0.158544132435987</v>
      </c>
      <c r="FT370" s="1094">
        <f t="shared" si="2011"/>
        <v>0.135549359323115</v>
      </c>
      <c r="FU370" s="1094">
        <f t="shared" si="2011"/>
        <v>0.15273767632342</v>
      </c>
      <c r="FV370" s="1275">
        <f t="shared" si="2011"/>
        <v>0.19674767634072</v>
      </c>
      <c r="FW370" s="1094">
        <f t="shared" si="2011"/>
        <v>0.249292586304471</v>
      </c>
      <c r="FX370" s="1094">
        <f t="shared" si="2011"/>
        <v>0.221694730814249</v>
      </c>
      <c r="FY370" s="1094">
        <f t="shared" ref="FY370" si="2012">FY369/FQ369-1</f>
        <v>0.134279002843076</v>
      </c>
      <c r="FZ370" s="1094">
        <f t="shared" ref="FZ370" si="2013">FZ369/FR369-1</f>
        <v>0.189562811642072</v>
      </c>
      <c r="GA370" s="1094">
        <f t="shared" ref="GA370" si="2014">GA369/FS369-1</f>
        <v>0.192182752979668</v>
      </c>
      <c r="GB370" s="1094">
        <f t="shared" ref="GB370" si="2015">GB369/FT369-1</f>
        <v>0.161142380977458</v>
      </c>
      <c r="GC370" s="1093">
        <f t="shared" ref="GC370" si="2016">GC369/FU369-1</f>
        <v>0.190195106819271</v>
      </c>
      <c r="GD370" s="1275">
        <f>GD369/FW369-1</f>
        <v>0.109288410721027</v>
      </c>
      <c r="GE370" s="1094">
        <f>GE369/FX369-1</f>
        <v>-0.46825480827386</v>
      </c>
      <c r="GF370" s="1094">
        <f>GF369/FY369-1</f>
        <v>0.983407564771547</v>
      </c>
      <c r="GG370" s="1094">
        <f>GG369/FZ369-1</f>
        <v>-0.611050574463276</v>
      </c>
      <c r="GH370" s="1094">
        <f>GH369/FZ369-1</f>
        <v>0.0841202973552206</v>
      </c>
      <c r="GI370" s="1094">
        <f t="shared" ref="GI370" si="2017">GI369/GA369-1</f>
        <v>0.0308905159091877</v>
      </c>
      <c r="GJ370" s="1094">
        <f t="shared" ref="GJ370" si="2018">GJ369/GB369-1</f>
        <v>0.0721710221212006</v>
      </c>
      <c r="GK370" s="1093">
        <f t="shared" ref="GK370:GN370" si="2019">GK369/GC369-1</f>
        <v>0.0712523978863175</v>
      </c>
      <c r="GL370" s="1094">
        <f t="shared" si="2019"/>
        <v>0.147576743956536</v>
      </c>
      <c r="GM370" s="1094">
        <f t="shared" si="2019"/>
        <v>0.0830014799304628</v>
      </c>
      <c r="GN370" s="1094">
        <f t="shared" si="2019"/>
        <v>0.115494709921682</v>
      </c>
      <c r="GO370" s="1094">
        <f>GO369/GH369-1</f>
        <v>-0.602650260994956</v>
      </c>
      <c r="GP370" s="1094">
        <f>GP369/GH369-1</f>
        <v>0.112638837361526</v>
      </c>
      <c r="GQ370" s="1094">
        <f t="shared" ref="GQ370" si="2020">GQ369/GI369-1</f>
        <v>0.14808362369338</v>
      </c>
      <c r="GR370" s="1094">
        <f t="shared" ref="GR370" si="2021">GR369/GJ369-1</f>
        <v>0.126105768054433</v>
      </c>
      <c r="GS370" s="1093">
        <f t="shared" ref="GS370:GV370" si="2022">GS369/GK369-1</f>
        <v>0.120884509756939</v>
      </c>
      <c r="GT370" s="1094">
        <f t="shared" si="2022"/>
        <v>-0.197760485860695</v>
      </c>
      <c r="GU370" s="1094">
        <f t="shared" si="2022"/>
        <v>-0.367728366006208</v>
      </c>
      <c r="GV370" s="1094">
        <f t="shared" si="2022"/>
        <v>-0.27974354083732</v>
      </c>
      <c r="GW370" s="1094">
        <f>GW369/GP369-1</f>
        <v>-0.68650950590605</v>
      </c>
      <c r="GX370" s="1094">
        <f>GX369/GP369-1</f>
        <v>-0.223473724698184</v>
      </c>
      <c r="GY370" s="1094"/>
      <c r="GZ370" s="1094"/>
      <c r="HA370" s="1093"/>
      <c r="HB370" s="1094"/>
      <c r="HC370" s="1094"/>
      <c r="HD370" s="1094"/>
      <c r="HE370" s="1094"/>
      <c r="HF370" s="1094"/>
      <c r="HG370" s="1094"/>
      <c r="HH370" s="1094"/>
      <c r="HI370" s="1093"/>
      <c r="HJ370" s="1094"/>
      <c r="HK370" s="1094"/>
      <c r="HL370" s="1094"/>
      <c r="HM370" s="1094"/>
      <c r="HN370" s="1094"/>
      <c r="HO370" s="1094"/>
      <c r="HP370" s="1094"/>
      <c r="HQ370" s="1093"/>
      <c r="HR370" s="1094"/>
      <c r="HS370" s="1094"/>
      <c r="HT370" s="1094"/>
      <c r="HU370" s="1094"/>
      <c r="HV370" s="1094"/>
      <c r="HW370" s="1094"/>
      <c r="HX370" s="1094"/>
      <c r="HY370" s="1094"/>
      <c r="HZ370" s="1094"/>
      <c r="IA370" s="1094"/>
      <c r="IB370" s="1094"/>
      <c r="IC370" s="1094"/>
      <c r="ID370" s="1094"/>
      <c r="IE370" s="1094"/>
      <c r="IF370" s="1094"/>
      <c r="IG370" s="1093"/>
      <c r="IH370" s="1094"/>
      <c r="II370" s="1094"/>
      <c r="IJ370" s="1094"/>
      <c r="IK370" s="1094"/>
      <c r="IL370" s="1094"/>
      <c r="IM370" s="1094"/>
      <c r="IN370" s="1094"/>
      <c r="IO370" s="1093"/>
      <c r="IP370" s="1094"/>
      <c r="IQ370" s="1181"/>
      <c r="IR370" s="1181"/>
      <c r="IS370" s="1181"/>
      <c r="IT370" s="1181"/>
      <c r="IU370" s="1181"/>
      <c r="IV370" s="1181"/>
      <c r="IW370" s="1181"/>
      <c r="IX370" s="1104"/>
      <c r="IY370" s="1049"/>
      <c r="IZ370" s="1049"/>
      <c r="JA370" s="1049"/>
      <c r="JB370" s="1049"/>
      <c r="JC370" s="1049"/>
      <c r="JD370" s="1041"/>
      <c r="JE370" s="1037"/>
      <c r="JF370" s="1037"/>
      <c r="JG370" s="1037"/>
      <c r="JH370" s="1037"/>
      <c r="JI370" s="1035"/>
      <c r="JJ370" s="1035"/>
      <c r="JK370" s="1035"/>
      <c r="JL370" s="1035"/>
      <c r="JM370" s="1035"/>
      <c r="JN370" s="1035"/>
      <c r="JO370" s="1035"/>
      <c r="JP370" s="1035"/>
      <c r="JQ370" s="1035"/>
      <c r="JR370" s="1035"/>
      <c r="JS370" s="1035"/>
      <c r="JT370" s="1035"/>
      <c r="JU370" s="1035"/>
      <c r="JV370" s="1035"/>
      <c r="JW370" s="1035"/>
      <c r="JX370" s="1035"/>
      <c r="JY370" s="1035"/>
      <c r="KP370" s="1117"/>
      <c r="LV370" s="967"/>
    </row>
    <row r="371" spans="1:334">
      <c r="A371" s="967" t="s">
        <v>128</v>
      </c>
      <c r="AX371" s="1059"/>
      <c r="BE371" s="1060"/>
      <c r="BN371" s="1059"/>
      <c r="BU371" s="1060"/>
      <c r="BV371" s="1059"/>
      <c r="CC371" s="1060"/>
      <c r="CD371" s="1059"/>
      <c r="CJ371" s="1061"/>
      <c r="CK371" s="1060"/>
      <c r="CL371" s="1059"/>
      <c r="CS371" s="1060"/>
      <c r="CT371" s="1059"/>
      <c r="CW371" s="1062"/>
      <c r="CX371" s="1062"/>
      <c r="DE371" s="1064"/>
      <c r="DF371" s="1064"/>
      <c r="DM371" s="1064"/>
      <c r="DN371" s="1064"/>
      <c r="DU371" s="1064"/>
      <c r="DV371" s="1064"/>
      <c r="EC371" s="1064"/>
      <c r="ED371" s="1064"/>
      <c r="EH371" s="1181"/>
      <c r="EI371" s="1181"/>
      <c r="EJ371" s="1181"/>
      <c r="EK371" s="1181"/>
      <c r="EL371" s="1181"/>
      <c r="EM371" s="1181"/>
      <c r="EN371" s="1181"/>
      <c r="EO371" s="1182"/>
      <c r="EP371" s="1181"/>
      <c r="EQ371" s="1181"/>
      <c r="ER371" s="1181"/>
      <c r="ES371" s="1181"/>
      <c r="ET371" s="1181"/>
      <c r="EU371" s="1181"/>
      <c r="EV371" s="1181"/>
      <c r="EW371" s="1182"/>
      <c r="EX371" s="1094">
        <v>0.476</v>
      </c>
      <c r="EY371" s="1094">
        <v>0.473</v>
      </c>
      <c r="EZ371" s="1094">
        <f>EZ369/EZ271</f>
        <v>0.474530724213606</v>
      </c>
      <c r="FA371" s="1094">
        <v>0.462</v>
      </c>
      <c r="FB371" s="1094">
        <f>FB369/FB271</f>
        <v>0.46980742935278</v>
      </c>
      <c r="FC371" s="1094">
        <v>0.457</v>
      </c>
      <c r="FD371" s="1094">
        <f>FD369/FD271</f>
        <v>0.45969556714472</v>
      </c>
      <c r="FE371" s="1093">
        <f>FE369/FE271</f>
        <v>0.466686142709411</v>
      </c>
      <c r="FF371" s="1094">
        <v>0.476</v>
      </c>
      <c r="FG371" s="1094">
        <v>0.472</v>
      </c>
      <c r="FH371" s="1094">
        <f>FH369/FH271</f>
        <v>0.474049447986316</v>
      </c>
      <c r="FI371" s="1094">
        <v>0.472</v>
      </c>
      <c r="FJ371" s="1094">
        <f>FJ369/FJ271</f>
        <v>0.473270728885461</v>
      </c>
      <c r="FK371" s="1094">
        <v>0.465</v>
      </c>
      <c r="FL371" s="1094">
        <f>FL369/FL271</f>
        <v>0.468790985296138</v>
      </c>
      <c r="FM371" s="1093">
        <f>FM369/FM271</f>
        <v>0.471257951561132</v>
      </c>
      <c r="FN371" s="1094">
        <v>0.474</v>
      </c>
      <c r="FO371" s="1094">
        <v>0.465</v>
      </c>
      <c r="FP371" s="1094">
        <f>FP369/FP271</f>
        <v>0.469683975285921</v>
      </c>
      <c r="FQ371" s="1094">
        <v>0.456</v>
      </c>
      <c r="FR371" s="1094">
        <f>FR369/FR271</f>
        <v>0.464559657922868</v>
      </c>
      <c r="FS371" s="1094">
        <v>0.462</v>
      </c>
      <c r="FT371" s="1094">
        <f>FT369/FT271</f>
        <v>0.458764092846992</v>
      </c>
      <c r="FU371" s="1094">
        <f>FU369/FU271</f>
        <v>0.463939318422528</v>
      </c>
      <c r="FV371" s="1275">
        <v>0.472</v>
      </c>
      <c r="FW371" s="1094">
        <v>0.48</v>
      </c>
      <c r="FX371" s="1094">
        <f>FX369/FX271</f>
        <v>0.475850430611577</v>
      </c>
      <c r="FY371" s="1094">
        <v>0.471</v>
      </c>
      <c r="FZ371" s="1094">
        <f>FZ369/FZ271</f>
        <v>0.474139057429096</v>
      </c>
      <c r="GA371" s="1094">
        <v>0.479</v>
      </c>
      <c r="GB371" s="1094">
        <f>GB369/GB271</f>
        <v>0.47477707409753</v>
      </c>
      <c r="GC371" s="1093">
        <f>GC369/GC271</f>
        <v>0.475305089290502</v>
      </c>
      <c r="GD371" s="1275">
        <v>0.478</v>
      </c>
      <c r="GE371" s="1094">
        <v>0.495</v>
      </c>
      <c r="GF371" s="1094">
        <f>GF369/GF271</f>
        <v>0.486297387321745</v>
      </c>
      <c r="GG371" s="1094">
        <v>0.502</v>
      </c>
      <c r="GH371" s="1094">
        <f>GH369/GH271</f>
        <v>0.491816727420008</v>
      </c>
      <c r="GI371" s="1094">
        <v>0.481</v>
      </c>
      <c r="GJ371" s="1094">
        <f>GJ369/GJ271</f>
        <v>0.4921589958159</v>
      </c>
      <c r="GK371" s="1093">
        <f>GK369/GK271</f>
        <v>0.489257188498403</v>
      </c>
      <c r="GL371" s="1094">
        <v>0.512</v>
      </c>
      <c r="GM371" s="1094">
        <v>0.507</v>
      </c>
      <c r="GN371" s="1094">
        <f>GN369/GN271</f>
        <v>0.509576024249536</v>
      </c>
      <c r="GO371" s="1094">
        <v>0.5</v>
      </c>
      <c r="GP371" s="1094">
        <f>GP369/GP271</f>
        <v>0.506114378472873</v>
      </c>
      <c r="GQ371" s="1094">
        <v>0.481</v>
      </c>
      <c r="GR371" s="1094">
        <f>GR369/GR271</f>
        <v>0.49094485626469</v>
      </c>
      <c r="GS371" s="1093">
        <f>GS369/GS271</f>
        <v>0.499895063178167</v>
      </c>
      <c r="GT371" s="1094">
        <v>0.512</v>
      </c>
      <c r="GU371" s="1094">
        <v>0.485</v>
      </c>
      <c r="GV371" s="1094">
        <f>GV369/GV271</f>
        <v>0.500209088486141</v>
      </c>
      <c r="GW371" s="1094">
        <v>0.47</v>
      </c>
      <c r="GX371" s="1094">
        <f>GX369/GX271</f>
        <v>0.487557818914104</v>
      </c>
      <c r="GY371" s="1094"/>
      <c r="GZ371" s="1094"/>
      <c r="HA371" s="1093"/>
      <c r="HB371" s="1094"/>
      <c r="HC371" s="1094"/>
      <c r="HD371" s="1094"/>
      <c r="HE371" s="1094"/>
      <c r="HF371" s="1094"/>
      <c r="HG371" s="1094"/>
      <c r="HH371" s="1094"/>
      <c r="HI371" s="1093"/>
      <c r="HJ371" s="1094"/>
      <c r="HK371" s="1094"/>
      <c r="HL371" s="1094"/>
      <c r="HM371" s="1094"/>
      <c r="HN371" s="1094"/>
      <c r="HO371" s="1094"/>
      <c r="HP371" s="1094"/>
      <c r="HQ371" s="1093"/>
      <c r="HR371" s="1094"/>
      <c r="HS371" s="1094"/>
      <c r="HT371" s="1094"/>
      <c r="HU371" s="1094"/>
      <c r="HV371" s="1094"/>
      <c r="HW371" s="1094"/>
      <c r="HX371" s="1094"/>
      <c r="HY371" s="1094"/>
      <c r="HZ371" s="1094"/>
      <c r="IA371" s="1094"/>
      <c r="IB371" s="1094"/>
      <c r="IC371" s="1094"/>
      <c r="ID371" s="1094"/>
      <c r="IE371" s="1094"/>
      <c r="IF371" s="1094"/>
      <c r="IG371" s="1093"/>
      <c r="IH371" s="1094"/>
      <c r="II371" s="1094"/>
      <c r="IJ371" s="1094"/>
      <c r="IK371" s="1094"/>
      <c r="IL371" s="1094"/>
      <c r="IM371" s="1094"/>
      <c r="IN371" s="1094"/>
      <c r="IO371" s="1093"/>
      <c r="IP371" s="1094"/>
      <c r="IQ371" s="1287"/>
      <c r="IR371" s="1094"/>
      <c r="IS371" s="1094"/>
      <c r="IT371" s="1094"/>
      <c r="IU371" s="1094"/>
      <c r="IV371" s="1094"/>
      <c r="IW371" s="1094"/>
      <c r="IX371" s="1104"/>
      <c r="IY371" s="1049"/>
      <c r="IZ371" s="1049"/>
      <c r="JA371" s="1049"/>
      <c r="JB371" s="1049"/>
      <c r="JC371" s="1049"/>
      <c r="JD371" s="1041"/>
      <c r="JE371" s="1037"/>
      <c r="JF371" s="1037"/>
      <c r="JG371" s="1037"/>
      <c r="JH371" s="1037"/>
      <c r="JI371" s="1035"/>
      <c r="JJ371" s="1035"/>
      <c r="JK371" s="1035"/>
      <c r="JL371" s="1035"/>
      <c r="JM371" s="1035"/>
      <c r="JN371" s="1079"/>
      <c r="JO371" s="1079"/>
      <c r="JP371" s="1079"/>
      <c r="JQ371" s="1079"/>
      <c r="JR371" s="1079"/>
      <c r="JS371" s="1079"/>
      <c r="JT371" s="1079"/>
      <c r="JU371" s="1079"/>
      <c r="JV371" s="1079"/>
      <c r="JW371" s="1035"/>
      <c r="JX371" s="1035"/>
      <c r="JY371" s="1035"/>
      <c r="KP371" s="1117"/>
      <c r="LV371" s="967"/>
    </row>
    <row r="372" spans="1:334">
      <c r="A372" s="1281" t="s">
        <v>136</v>
      </c>
      <c r="B372" s="1255"/>
      <c r="C372" s="1255"/>
      <c r="D372" s="1255"/>
      <c r="E372" s="1255"/>
      <c r="F372" s="1255"/>
      <c r="G372" s="1255"/>
      <c r="H372" s="1255"/>
      <c r="I372" s="1255"/>
      <c r="J372" s="1255"/>
      <c r="K372" s="1255"/>
      <c r="L372" s="1255"/>
      <c r="M372" s="1255"/>
      <c r="N372" s="1255"/>
      <c r="O372" s="1255"/>
      <c r="P372" s="1255"/>
      <c r="Q372" s="1255"/>
      <c r="R372" s="1255"/>
      <c r="S372" s="1255"/>
      <c r="T372" s="1255"/>
      <c r="U372" s="1255"/>
      <c r="V372" s="1255"/>
      <c r="W372" s="1255"/>
      <c r="X372" s="1255"/>
      <c r="Y372" s="1255"/>
      <c r="Z372" s="1255"/>
      <c r="AA372" s="1255"/>
      <c r="AB372" s="1255"/>
      <c r="AC372" s="1255"/>
      <c r="AD372" s="1255"/>
      <c r="AE372" s="1255"/>
      <c r="AF372" s="1255"/>
      <c r="AG372" s="1255"/>
      <c r="AH372" s="1255"/>
      <c r="AI372" s="1255"/>
      <c r="AJ372" s="1255"/>
      <c r="AK372" s="1255"/>
      <c r="AL372" s="1255"/>
      <c r="AM372" s="1255"/>
      <c r="AN372" s="1255"/>
      <c r="AO372" s="1255"/>
      <c r="AP372" s="1255"/>
      <c r="AQ372" s="1255"/>
      <c r="AR372" s="1255"/>
      <c r="AS372" s="1255"/>
      <c r="AT372" s="1255"/>
      <c r="AU372" s="1255"/>
      <c r="AV372" s="1255"/>
      <c r="AW372" s="1255"/>
      <c r="AX372" s="1256"/>
      <c r="AY372" s="1255"/>
      <c r="AZ372" s="1255"/>
      <c r="BA372" s="1255"/>
      <c r="BB372" s="1255"/>
      <c r="BC372" s="1255"/>
      <c r="BD372" s="1255"/>
      <c r="BE372" s="1257"/>
      <c r="BF372" s="1255"/>
      <c r="BG372" s="1255"/>
      <c r="BH372" s="1255"/>
      <c r="BI372" s="1255"/>
      <c r="BJ372" s="1255"/>
      <c r="BK372" s="1255"/>
      <c r="BL372" s="1255"/>
      <c r="BM372" s="1255"/>
      <c r="BN372" s="1256"/>
      <c r="BO372" s="1255"/>
      <c r="BP372" s="1255"/>
      <c r="BQ372" s="1255"/>
      <c r="BR372" s="1255"/>
      <c r="BS372" s="1255"/>
      <c r="BT372" s="1255"/>
      <c r="BU372" s="1257"/>
      <c r="BV372" s="1256"/>
      <c r="BW372" s="1255"/>
      <c r="BX372" s="1255"/>
      <c r="BY372" s="1255"/>
      <c r="BZ372" s="1255"/>
      <c r="CA372" s="1255"/>
      <c r="CB372" s="1255"/>
      <c r="CC372" s="1257"/>
      <c r="CD372" s="1256"/>
      <c r="CE372" s="1255"/>
      <c r="CF372" s="1255"/>
      <c r="CG372" s="1255"/>
      <c r="CH372" s="1255"/>
      <c r="CI372" s="1255"/>
      <c r="CJ372" s="1258"/>
      <c r="CK372" s="1257"/>
      <c r="CL372" s="1256"/>
      <c r="CM372" s="1255"/>
      <c r="CN372" s="1255"/>
      <c r="CO372" s="1255"/>
      <c r="CP372" s="1255"/>
      <c r="CQ372" s="1255"/>
      <c r="CR372" s="1255"/>
      <c r="CS372" s="1257"/>
      <c r="CT372" s="1256"/>
      <c r="CU372" s="1255"/>
      <c r="CV372" s="1255"/>
      <c r="CW372" s="1259"/>
      <c r="CX372" s="1259"/>
      <c r="CY372" s="1255"/>
      <c r="CZ372" s="1255"/>
      <c r="DA372" s="1255"/>
      <c r="DB372" s="1260"/>
      <c r="DC372" s="1260"/>
      <c r="DD372" s="1260"/>
      <c r="DE372" s="1261"/>
      <c r="DF372" s="1261"/>
      <c r="DG372" s="1260"/>
      <c r="DH372" s="1260"/>
      <c r="DI372" s="1262"/>
      <c r="DJ372" s="1260"/>
      <c r="DK372" s="1260"/>
      <c r="DL372" s="1260"/>
      <c r="DM372" s="1261"/>
      <c r="DN372" s="1261"/>
      <c r="DO372" s="1260"/>
      <c r="DP372" s="1260"/>
      <c r="DQ372" s="1262"/>
      <c r="DR372" s="1260"/>
      <c r="DS372" s="1260"/>
      <c r="DT372" s="1260"/>
      <c r="DU372" s="1261"/>
      <c r="DV372" s="1261"/>
      <c r="DW372" s="1260"/>
      <c r="DX372" s="1260"/>
      <c r="DY372" s="1262"/>
      <c r="DZ372" s="1260"/>
      <c r="EA372" s="1260"/>
      <c r="EB372" s="1260"/>
      <c r="EC372" s="1261"/>
      <c r="ED372" s="1261"/>
      <c r="EE372" s="1260"/>
      <c r="EF372" s="1260"/>
      <c r="EG372" s="1262"/>
      <c r="EH372" s="1282"/>
      <c r="EI372" s="1282"/>
      <c r="EJ372" s="1282"/>
      <c r="EK372" s="1282"/>
      <c r="EL372" s="1282"/>
      <c r="EM372" s="1282"/>
      <c r="EN372" s="1282"/>
      <c r="EO372" s="1283"/>
      <c r="EP372" s="1282"/>
      <c r="EQ372" s="1282"/>
      <c r="ER372" s="1282"/>
      <c r="ES372" s="1282"/>
      <c r="ET372" s="1282"/>
      <c r="EU372" s="1282"/>
      <c r="EV372" s="1282"/>
      <c r="EW372" s="1283"/>
      <c r="EX372" s="1263">
        <f>EX374*EX275</f>
        <v>141.372</v>
      </c>
      <c r="EY372" s="1263">
        <f>EY374*EY275</f>
        <v>135.486</v>
      </c>
      <c r="EZ372" s="1263">
        <f>EX372+EY372</f>
        <v>276.858</v>
      </c>
      <c r="FA372" s="1263">
        <f>FA374*FA275</f>
        <v>166.43</v>
      </c>
      <c r="FB372" s="1263">
        <f>EX372+EY372+FA372</f>
        <v>443.288</v>
      </c>
      <c r="FC372" s="1263">
        <f>FC374*FC275</f>
        <v>138.861</v>
      </c>
      <c r="FD372" s="1263">
        <f>FA372+FC372</f>
        <v>305.291</v>
      </c>
      <c r="FE372" s="1264">
        <f>EX372+EY372+FA372+FC372</f>
        <v>582.149</v>
      </c>
      <c r="FF372" s="1263">
        <f>FF374*FF275</f>
        <v>154.57</v>
      </c>
      <c r="FG372" s="1263">
        <f>FG374*FG275</f>
        <v>156.716</v>
      </c>
      <c r="FH372" s="1263">
        <f>FF372+FG372</f>
        <v>311.286</v>
      </c>
      <c r="FI372" s="1263">
        <f>FI374*FI275</f>
        <v>175.168</v>
      </c>
      <c r="FJ372" s="1263">
        <f>FH372+FI372</f>
        <v>486.454</v>
      </c>
      <c r="FK372" s="1263">
        <f>FK374*FK275</f>
        <v>161.1</v>
      </c>
      <c r="FL372" s="1263">
        <f>FI372+FK372</f>
        <v>336.268</v>
      </c>
      <c r="FM372" s="1264">
        <f>FF372+FG372+FI372+FK372</f>
        <v>647.554</v>
      </c>
      <c r="FN372" s="1263">
        <f>FN374*FN275</f>
        <v>157.7</v>
      </c>
      <c r="FO372" s="1263">
        <f>FO374*FO275</f>
        <v>145.728</v>
      </c>
      <c r="FP372" s="1263">
        <f>FN372+FO372</f>
        <v>303.428</v>
      </c>
      <c r="FQ372" s="1263">
        <f>FQ374*FQ275</f>
        <v>181.298</v>
      </c>
      <c r="FR372" s="1263">
        <f>FN372+FO372+FQ372</f>
        <v>484.726</v>
      </c>
      <c r="FS372" s="1263">
        <f>FS374*FS275</f>
        <v>163.194</v>
      </c>
      <c r="FT372" s="1263">
        <f>FQ372+FS372</f>
        <v>344.492</v>
      </c>
      <c r="FU372" s="1263">
        <f>FN372+FO372+FQ372+FS372</f>
        <v>647.92</v>
      </c>
      <c r="FV372" s="1286">
        <f>FV374*FV275</f>
        <v>191.49</v>
      </c>
      <c r="FW372" s="1263">
        <f>FW374*FW275</f>
        <v>174.66</v>
      </c>
      <c r="FX372" s="1263">
        <f>FV372+FW372</f>
        <v>366.15</v>
      </c>
      <c r="FY372" s="1263">
        <f>FY374*FY275</f>
        <v>198.774</v>
      </c>
      <c r="FZ372" s="1263">
        <f>FV372+FW372+FY372</f>
        <v>564.924</v>
      </c>
      <c r="GA372" s="1263">
        <f>GA374*GA275</f>
        <v>181.467</v>
      </c>
      <c r="GB372" s="1263">
        <f>FY372+GA372</f>
        <v>380.241</v>
      </c>
      <c r="GC372" s="1264">
        <f>FV372+FW372+FY372+GA372</f>
        <v>746.391</v>
      </c>
      <c r="GD372" s="1286">
        <f>GD374*GD275</f>
        <v>183.502</v>
      </c>
      <c r="GE372" s="1263">
        <f>GE374*GE275</f>
        <v>173.314</v>
      </c>
      <c r="GF372" s="1263">
        <f>GD372+GE372</f>
        <v>356.816</v>
      </c>
      <c r="GG372" s="1263">
        <f>GG374*GG275</f>
        <v>197.055</v>
      </c>
      <c r="GH372" s="1263">
        <f>GD372+GE372+GG372</f>
        <v>553.871</v>
      </c>
      <c r="GI372" s="1263">
        <f>GI374*GI275</f>
        <v>180.158000000001</v>
      </c>
      <c r="GJ372" s="1263">
        <f>GG372+GI372</f>
        <v>377.213000000001</v>
      </c>
      <c r="GK372" s="1264">
        <f>GD372+GE372+GG372+GI372</f>
        <v>734.029000000001</v>
      </c>
      <c r="GL372" s="1263">
        <f>GL374*GL275</f>
        <v>187.293</v>
      </c>
      <c r="GM372" s="1263">
        <f>GM374*GM275</f>
        <v>175.392</v>
      </c>
      <c r="GN372" s="1263">
        <f>GL372+GM372</f>
        <v>362.685</v>
      </c>
      <c r="GO372" s="1263">
        <f>GO374*GO275</f>
        <v>193.239</v>
      </c>
      <c r="GP372" s="1263">
        <f>GL372+GM372+GO372</f>
        <v>555.924</v>
      </c>
      <c r="GQ372" s="1263">
        <f>GQ374*GQ275</f>
        <v>199.553000000001</v>
      </c>
      <c r="GR372" s="1263">
        <f>GO372+GQ372</f>
        <v>392.792000000001</v>
      </c>
      <c r="GS372" s="1264">
        <f>GL372+GM372+GO372+GQ372</f>
        <v>755.477000000001</v>
      </c>
      <c r="GT372" s="1263">
        <f>GT374*GT275</f>
        <v>165.837</v>
      </c>
      <c r="GU372" s="1263">
        <f>GU374*GU275</f>
        <v>106.02</v>
      </c>
      <c r="GV372" s="1263">
        <f>GT372+GU372</f>
        <v>271.857</v>
      </c>
      <c r="GW372" s="1263">
        <f>GW374*GW275</f>
        <v>166.83</v>
      </c>
      <c r="GX372" s="1263">
        <f>GT372+GU372+GW372</f>
        <v>438.687</v>
      </c>
      <c r="GY372" s="1263"/>
      <c r="GZ372" s="1263"/>
      <c r="HA372" s="1264"/>
      <c r="HB372" s="1263"/>
      <c r="HC372" s="1263"/>
      <c r="HD372" s="1263"/>
      <c r="HE372" s="1263"/>
      <c r="HF372" s="1263"/>
      <c r="HG372" s="1263"/>
      <c r="HH372" s="1263"/>
      <c r="HI372" s="1264"/>
      <c r="HJ372" s="1263"/>
      <c r="HK372" s="1263"/>
      <c r="HL372" s="1263"/>
      <c r="HM372" s="1263"/>
      <c r="HN372" s="1263"/>
      <c r="HO372" s="1263"/>
      <c r="HP372" s="1263"/>
      <c r="HQ372" s="1264"/>
      <c r="HR372" s="1263"/>
      <c r="HS372" s="1263"/>
      <c r="HT372" s="1263"/>
      <c r="HU372" s="1263"/>
      <c r="HV372" s="1263"/>
      <c r="HW372" s="1263"/>
      <c r="HX372" s="1263"/>
      <c r="HY372" s="1263"/>
      <c r="HZ372" s="1263"/>
      <c r="IA372" s="1263"/>
      <c r="IB372" s="1263"/>
      <c r="IC372" s="1263"/>
      <c r="ID372" s="1263"/>
      <c r="IE372" s="1263"/>
      <c r="IF372" s="1263"/>
      <c r="IG372" s="1264"/>
      <c r="IH372" s="1263"/>
      <c r="II372" s="1263"/>
      <c r="IJ372" s="1263"/>
      <c r="IK372" s="1263"/>
      <c r="IL372" s="1263"/>
      <c r="IM372" s="1263"/>
      <c r="IN372" s="1263"/>
      <c r="IO372" s="1264"/>
      <c r="IP372" s="1263"/>
      <c r="IQ372" s="1263"/>
      <c r="IR372" s="1263"/>
      <c r="IS372" s="1263"/>
      <c r="IT372" s="1263"/>
      <c r="IU372" s="1263"/>
      <c r="IV372" s="1263"/>
      <c r="IW372" s="1263"/>
      <c r="IX372" s="1104"/>
      <c r="IY372" s="1049"/>
      <c r="IZ372" s="1049"/>
      <c r="JA372" s="1049"/>
      <c r="JB372" s="1049"/>
      <c r="JC372" s="1049"/>
      <c r="JD372" s="1041"/>
      <c r="JE372" s="1037"/>
      <c r="JF372" s="1037"/>
      <c r="JG372" s="1037"/>
      <c r="JH372" s="1037"/>
      <c r="JI372" s="1035"/>
      <c r="JJ372" s="1035"/>
      <c r="JK372" s="1035"/>
      <c r="JL372" s="969"/>
      <c r="JM372" s="1035"/>
      <c r="JN372" s="1079"/>
      <c r="JO372" s="1079"/>
      <c r="JP372" s="1079"/>
      <c r="JQ372" s="1079"/>
      <c r="JR372" s="1079"/>
      <c r="JS372" s="1079"/>
      <c r="JT372" s="1079"/>
      <c r="JU372" s="1079"/>
      <c r="JV372" s="1035"/>
      <c r="JW372" s="1035"/>
      <c r="JX372" s="1035"/>
      <c r="JY372" s="1035"/>
      <c r="KP372" s="1117"/>
      <c r="LV372" s="967"/>
    </row>
    <row r="373" spans="1:334">
      <c r="A373" s="967" t="s">
        <v>61</v>
      </c>
      <c r="AX373" s="1059"/>
      <c r="BE373" s="1060"/>
      <c r="BN373" s="1059"/>
      <c r="BU373" s="1060"/>
      <c r="BV373" s="1059"/>
      <c r="CC373" s="1060"/>
      <c r="CD373" s="1059"/>
      <c r="CJ373" s="1061"/>
      <c r="CK373" s="1060"/>
      <c r="CL373" s="1059"/>
      <c r="CS373" s="1060"/>
      <c r="CT373" s="1059"/>
      <c r="CW373" s="1062"/>
      <c r="CX373" s="1062"/>
      <c r="DE373" s="1064"/>
      <c r="DF373" s="1064"/>
      <c r="DM373" s="1064"/>
      <c r="DN373" s="1064"/>
      <c r="DU373" s="1064"/>
      <c r="DV373" s="1064"/>
      <c r="EC373" s="1064"/>
      <c r="ED373" s="1064"/>
      <c r="EH373" s="1181"/>
      <c r="EI373" s="1181"/>
      <c r="EJ373" s="1181"/>
      <c r="EK373" s="1181"/>
      <c r="EL373" s="1181"/>
      <c r="EM373" s="1181"/>
      <c r="EN373" s="1181"/>
      <c r="EO373" s="1182"/>
      <c r="EP373" s="1181"/>
      <c r="EQ373" s="1181"/>
      <c r="ER373" s="1181"/>
      <c r="ES373" s="1181"/>
      <c r="ET373" s="1181"/>
      <c r="EU373" s="1181"/>
      <c r="EV373" s="1181"/>
      <c r="EW373" s="1182"/>
      <c r="EX373" s="1181"/>
      <c r="EY373" s="1181"/>
      <c r="EZ373" s="1181"/>
      <c r="FA373" s="1181"/>
      <c r="FB373" s="1181"/>
      <c r="FC373" s="1181"/>
      <c r="FD373" s="1181"/>
      <c r="FE373" s="1182"/>
      <c r="FF373" s="1094">
        <f t="shared" ref="FF373:FK373" si="2023">FF372/EX372-1</f>
        <v>0.093356534533005</v>
      </c>
      <c r="FG373" s="1094">
        <f t="shared" si="2023"/>
        <v>0.156695156695157</v>
      </c>
      <c r="FH373" s="1094">
        <f t="shared" si="2023"/>
        <v>0.124352556184037</v>
      </c>
      <c r="FI373" s="1094">
        <f t="shared" si="2023"/>
        <v>0.0525025536261492</v>
      </c>
      <c r="FJ373" s="1094">
        <f t="shared" si="2023"/>
        <v>0.0973768746277814</v>
      </c>
      <c r="FK373" s="1094">
        <f t="shared" si="2023"/>
        <v>0.16015295871411</v>
      </c>
      <c r="FL373" s="1094">
        <f t="shared" ref="FL373:FR373" si="2024">FL372/FD372-1</f>
        <v>0.101467124808789</v>
      </c>
      <c r="FM373" s="1093">
        <f t="shared" si="2024"/>
        <v>0.112350961695374</v>
      </c>
      <c r="FN373" s="1094">
        <f t="shared" si="2024"/>
        <v>0.0202497250436695</v>
      </c>
      <c r="FO373" s="1094">
        <f t="shared" si="2024"/>
        <v>-0.070114091732816</v>
      </c>
      <c r="FP373" s="1094">
        <f t="shared" si="2024"/>
        <v>-0.0252436665959921</v>
      </c>
      <c r="FQ373" s="1094">
        <f t="shared" si="2024"/>
        <v>0.0349949762513702</v>
      </c>
      <c r="FR373" s="1094">
        <f t="shared" si="2024"/>
        <v>-0.00355223721050713</v>
      </c>
      <c r="FS373" s="1094">
        <f t="shared" ref="FS373:FX373" si="2025">FS372/FK372-1</f>
        <v>0.0129981378026069</v>
      </c>
      <c r="FT373" s="1094">
        <f t="shared" si="2025"/>
        <v>0.0244566833597011</v>
      </c>
      <c r="FU373" s="1094">
        <f t="shared" si="2025"/>
        <v>0.000565203828561067</v>
      </c>
      <c r="FV373" s="1275">
        <f t="shared" si="2025"/>
        <v>0.2142675967026</v>
      </c>
      <c r="FW373" s="1094">
        <f t="shared" si="2025"/>
        <v>0.198534255599473</v>
      </c>
      <c r="FX373" s="1094">
        <f t="shared" si="2025"/>
        <v>0.206711312074034</v>
      </c>
      <c r="FY373" s="1094">
        <f t="shared" ref="FY373" si="2026">FY372/FQ372-1</f>
        <v>0.0963937826120531</v>
      </c>
      <c r="FZ373" s="1094">
        <f t="shared" ref="FZ373" si="2027">FZ372/FR372-1</f>
        <v>0.165450171849663</v>
      </c>
      <c r="GA373" s="1094">
        <f t="shared" ref="GA373" si="2028">GA372/FS372-1</f>
        <v>0.11197102834663</v>
      </c>
      <c r="GB373" s="1094">
        <f t="shared" ref="GB373" si="2029">GB372/FT372-1</f>
        <v>0.103773091973108</v>
      </c>
      <c r="GC373" s="1093">
        <f t="shared" ref="GC373" si="2030">GC372/FU372-1</f>
        <v>0.15198018273861</v>
      </c>
      <c r="GD373" s="1275">
        <f>GD372/FW372-1</f>
        <v>0.0506240696209779</v>
      </c>
      <c r="GE373" s="1094">
        <f>GE372/FX372-1</f>
        <v>-0.526658473303291</v>
      </c>
      <c r="GF373" s="1094">
        <f>GF372/FY372-1</f>
        <v>0.795083864086852</v>
      </c>
      <c r="GG373" s="1094">
        <f>GG372/FZ372-1</f>
        <v>-0.651183168001359</v>
      </c>
      <c r="GH373" s="1094">
        <f>GH372/FZ372-1</f>
        <v>-0.0195654636729896</v>
      </c>
      <c r="GI373" s="1094">
        <f t="shared" ref="GI373" si="2031">GI372/GA372-1</f>
        <v>-0.00721343274534059</v>
      </c>
      <c r="GJ373" s="1094">
        <f t="shared" ref="GJ373" si="2032">GJ372/GB372-1</f>
        <v>-0.00796337059916929</v>
      </c>
      <c r="GK373" s="1093">
        <f t="shared" ref="GK373:GN373" si="2033">GK372/GC372-1</f>
        <v>-0.0165623647659185</v>
      </c>
      <c r="GL373" s="1094">
        <f t="shared" si="2033"/>
        <v>0.0206591753768353</v>
      </c>
      <c r="GM373" s="1094">
        <f t="shared" si="2033"/>
        <v>0.0119897988621809</v>
      </c>
      <c r="GN373" s="1094">
        <f t="shared" si="2033"/>
        <v>0.0164482534415498</v>
      </c>
      <c r="GO373" s="1094">
        <f>GO372/GH372-1</f>
        <v>-0.651111901507752</v>
      </c>
      <c r="GP373" s="1094">
        <f>GP372/GH372-1</f>
        <v>0.00370663927159942</v>
      </c>
      <c r="GQ373" s="1094">
        <f t="shared" ref="GQ373" si="2034">GQ372/GI372-1</f>
        <v>0.10765550239234</v>
      </c>
      <c r="GR373" s="1094">
        <f t="shared" ref="GR373" si="2035">GR372/GJ372-1</f>
        <v>0.0413002733203771</v>
      </c>
      <c r="GS373" s="1093">
        <f t="shared" ref="GS373:GV373" si="2036">GS372/GK372-1</f>
        <v>0.0292195539958222</v>
      </c>
      <c r="GT373" s="1094">
        <f t="shared" si="2036"/>
        <v>-0.114558472553699</v>
      </c>
      <c r="GU373" s="1094">
        <f t="shared" si="2036"/>
        <v>-0.395525451559934</v>
      </c>
      <c r="GV373" s="1094">
        <f t="shared" si="2036"/>
        <v>-0.250432193225526</v>
      </c>
      <c r="GW373" s="1094">
        <f>GW372/GP372-1</f>
        <v>-0.699905022988754</v>
      </c>
      <c r="GX373" s="1094">
        <f>GX372/GP372-1</f>
        <v>-0.210886739914089</v>
      </c>
      <c r="GY373" s="1094"/>
      <c r="GZ373" s="1094"/>
      <c r="HA373" s="1093"/>
      <c r="HB373" s="1094"/>
      <c r="HC373" s="1094"/>
      <c r="HD373" s="1094"/>
      <c r="HE373" s="1094"/>
      <c r="HF373" s="1094"/>
      <c r="HG373" s="1094"/>
      <c r="HH373" s="1094"/>
      <c r="HI373" s="1093"/>
      <c r="HJ373" s="1094"/>
      <c r="HK373" s="1094"/>
      <c r="HL373" s="1094"/>
      <c r="HM373" s="1094"/>
      <c r="HN373" s="1094"/>
      <c r="HO373" s="1094"/>
      <c r="HP373" s="1094"/>
      <c r="HQ373" s="1093"/>
      <c r="HR373" s="1094"/>
      <c r="HS373" s="1094"/>
      <c r="HT373" s="1094"/>
      <c r="HU373" s="1094"/>
      <c r="HV373" s="1094"/>
      <c r="HW373" s="1094"/>
      <c r="HX373" s="1094"/>
      <c r="HY373" s="1094"/>
      <c r="HZ373" s="1094"/>
      <c r="IA373" s="1094"/>
      <c r="IB373" s="1094"/>
      <c r="IC373" s="1094"/>
      <c r="ID373" s="1094"/>
      <c r="IE373" s="1094"/>
      <c r="IF373" s="1094"/>
      <c r="IG373" s="1093"/>
      <c r="IH373" s="1094"/>
      <c r="II373" s="1094"/>
      <c r="IJ373" s="1094"/>
      <c r="IK373" s="1094"/>
      <c r="IL373" s="1094"/>
      <c r="IM373" s="1094"/>
      <c r="IN373" s="1094"/>
      <c r="IO373" s="1093"/>
      <c r="IP373" s="1094"/>
      <c r="IQ373" s="1181"/>
      <c r="IR373" s="1181"/>
      <c r="IS373" s="1181"/>
      <c r="IT373" s="1181"/>
      <c r="IU373" s="1181"/>
      <c r="IV373" s="1181"/>
      <c r="IW373" s="1181"/>
      <c r="IX373" s="1104"/>
      <c r="IY373" s="1049"/>
      <c r="IZ373" s="1049"/>
      <c r="JA373" s="1049"/>
      <c r="JB373" s="1049"/>
      <c r="JC373" s="1049"/>
      <c r="JD373" s="1041"/>
      <c r="JE373" s="1037"/>
      <c r="JF373" s="1037"/>
      <c r="JG373" s="1037"/>
      <c r="JH373" s="1037"/>
      <c r="JI373" s="1035"/>
      <c r="JJ373" s="1035"/>
      <c r="JK373" s="1035"/>
      <c r="JL373" s="969"/>
      <c r="JM373" s="1035"/>
      <c r="JN373" s="1079"/>
      <c r="JO373" s="1079"/>
      <c r="JP373" s="1079"/>
      <c r="JQ373" s="1079"/>
      <c r="JR373" s="1079"/>
      <c r="JS373" s="1079"/>
      <c r="JT373" s="1079"/>
      <c r="JU373" s="1079"/>
      <c r="JV373" s="1079"/>
      <c r="JW373" s="1035"/>
      <c r="JX373" s="1035"/>
      <c r="JY373" s="1035"/>
      <c r="KP373" s="1117"/>
      <c r="LV373" s="967"/>
    </row>
    <row r="374" spans="1:334">
      <c r="A374" s="967" t="s">
        <v>128</v>
      </c>
      <c r="AX374" s="1059"/>
      <c r="BE374" s="1060"/>
      <c r="BN374" s="1059"/>
      <c r="BU374" s="1060"/>
      <c r="BV374" s="1059"/>
      <c r="CC374" s="1060"/>
      <c r="CD374" s="1059"/>
      <c r="CJ374" s="1061"/>
      <c r="CK374" s="1060"/>
      <c r="CL374" s="1059"/>
      <c r="CS374" s="1060"/>
      <c r="CT374" s="1059"/>
      <c r="CW374" s="1062"/>
      <c r="CX374" s="1062"/>
      <c r="DE374" s="1064"/>
      <c r="DF374" s="1064"/>
      <c r="DM374" s="1064"/>
      <c r="DN374" s="1064"/>
      <c r="DU374" s="1064"/>
      <c r="DV374" s="1064"/>
      <c r="EC374" s="1064"/>
      <c r="ED374" s="1064"/>
      <c r="EH374" s="1181"/>
      <c r="EI374" s="1181"/>
      <c r="EJ374" s="1181"/>
      <c r="EK374" s="1181"/>
      <c r="EL374" s="1181"/>
      <c r="EM374" s="1181"/>
      <c r="EN374" s="1181"/>
      <c r="EO374" s="1182"/>
      <c r="EP374" s="1181"/>
      <c r="EQ374" s="1181"/>
      <c r="ER374" s="1181"/>
      <c r="ES374" s="1181"/>
      <c r="ET374" s="1181"/>
      <c r="EU374" s="1181"/>
      <c r="EV374" s="1181"/>
      <c r="EW374" s="1182"/>
      <c r="EX374" s="1094">
        <v>0.396</v>
      </c>
      <c r="EY374" s="1094">
        <v>0.386</v>
      </c>
      <c r="EZ374" s="1094">
        <f>EZ372/EZ275</f>
        <v>0.391042372881356</v>
      </c>
      <c r="FA374" s="1094">
        <v>0.374</v>
      </c>
      <c r="FB374" s="1094">
        <f>FB372/FB275</f>
        <v>0.38446487424111</v>
      </c>
      <c r="FC374" s="1094">
        <v>0.333</v>
      </c>
      <c r="FD374" s="1094">
        <f>FD372/FD275</f>
        <v>0.354165893271462</v>
      </c>
      <c r="FE374" s="1093">
        <f>FE372/FE275</f>
        <v>0.370795541401274</v>
      </c>
      <c r="FF374" s="1094">
        <v>0.377</v>
      </c>
      <c r="FG374" s="1094">
        <v>0.386</v>
      </c>
      <c r="FH374" s="1094">
        <f>FH372/FH275</f>
        <v>0.381477941176471</v>
      </c>
      <c r="FI374" s="1094">
        <v>0.368</v>
      </c>
      <c r="FJ374" s="1094">
        <f>FJ372/FJ275</f>
        <v>0.376512383900929</v>
      </c>
      <c r="FK374" s="1094">
        <v>0.358</v>
      </c>
      <c r="FL374" s="1094">
        <f>FL372/FL275</f>
        <v>0.363140388768899</v>
      </c>
      <c r="FM374" s="1093">
        <f>FM372/FM275</f>
        <v>0.371730195177956</v>
      </c>
      <c r="FN374" s="1094">
        <v>0.38</v>
      </c>
      <c r="FO374" s="1094">
        <v>0.368</v>
      </c>
      <c r="FP374" s="1094">
        <f>FP372/FP275</f>
        <v>0.374140567200986</v>
      </c>
      <c r="FQ374" s="1094">
        <v>0.367</v>
      </c>
      <c r="FR374" s="1094">
        <f>FR372/FR275</f>
        <v>0.37143754789272</v>
      </c>
      <c r="FS374" s="1094">
        <v>0.354</v>
      </c>
      <c r="FT374" s="1094">
        <f>FT372/FT275</f>
        <v>0.360724607329843</v>
      </c>
      <c r="FU374" s="1094">
        <f>FU372/FU275</f>
        <v>0.366885617214043</v>
      </c>
      <c r="FV374" s="1275">
        <v>0.39</v>
      </c>
      <c r="FW374" s="1087">
        <v>0.41</v>
      </c>
      <c r="FX374" s="1094">
        <f>FX372/FX275</f>
        <v>0.399291166848419</v>
      </c>
      <c r="FY374" s="1094">
        <v>0.409</v>
      </c>
      <c r="FZ374" s="1094">
        <f>FZ372/FZ275</f>
        <v>0.402654312188168</v>
      </c>
      <c r="GA374" s="1094">
        <v>0.423</v>
      </c>
      <c r="GB374" s="1094">
        <f>GB372/GB275</f>
        <v>0.41556393442623</v>
      </c>
      <c r="GC374" s="1093">
        <f>GC372/GC275</f>
        <v>0.407418668122271</v>
      </c>
      <c r="GD374" s="1275">
        <v>0.418</v>
      </c>
      <c r="GE374" s="1087">
        <v>0.449</v>
      </c>
      <c r="GF374" s="1094">
        <f>GF372/GF275</f>
        <v>0.432504242424242</v>
      </c>
      <c r="GG374" s="1087">
        <v>0.453</v>
      </c>
      <c r="GH374" s="1094">
        <f>GH372/GH275</f>
        <v>0.439580158730159</v>
      </c>
      <c r="GI374" s="1094">
        <v>0.431</v>
      </c>
      <c r="GJ374" s="1094">
        <f>GJ372/GJ275</f>
        <v>0.442219226260258</v>
      </c>
      <c r="GK374" s="1093">
        <f>GK372/GK275</f>
        <v>0.437442789034565</v>
      </c>
      <c r="GL374" s="1094">
        <v>0.447</v>
      </c>
      <c r="GM374" s="1087">
        <v>0.432</v>
      </c>
      <c r="GN374" s="1094">
        <f>GN372/GN275</f>
        <v>0.439618181818182</v>
      </c>
      <c r="GO374" s="1087">
        <v>0.421</v>
      </c>
      <c r="GP374" s="1094">
        <f>GP372/GP275</f>
        <v>0.43296261682243</v>
      </c>
      <c r="GQ374" s="1094">
        <v>0.431</v>
      </c>
      <c r="GR374" s="1094">
        <f>GR372/GR275</f>
        <v>0.42602169197397</v>
      </c>
      <c r="GS374" s="1093">
        <f>GS372/GS275</f>
        <v>0.432442472810532</v>
      </c>
      <c r="GT374" s="1094">
        <v>0.447</v>
      </c>
      <c r="GU374" s="1087">
        <v>0.465</v>
      </c>
      <c r="GV374" s="1094">
        <f>GV372/GV275</f>
        <v>0.453851419031719</v>
      </c>
      <c r="GW374" s="1087">
        <v>0.415</v>
      </c>
      <c r="GX374" s="1094">
        <f>GX372/GX275</f>
        <v>0.438248751248751</v>
      </c>
      <c r="GY374" s="1094"/>
      <c r="GZ374" s="1094"/>
      <c r="HA374" s="1093"/>
      <c r="HB374" s="1094"/>
      <c r="HC374" s="1094"/>
      <c r="HD374" s="1094"/>
      <c r="HE374" s="1094"/>
      <c r="HF374" s="1094"/>
      <c r="HG374" s="1094"/>
      <c r="HH374" s="1094"/>
      <c r="HI374" s="1093"/>
      <c r="HJ374" s="1094"/>
      <c r="HK374" s="1094"/>
      <c r="HL374" s="1094"/>
      <c r="HM374" s="1094"/>
      <c r="HN374" s="1094"/>
      <c r="HO374" s="1094"/>
      <c r="HP374" s="1094"/>
      <c r="HQ374" s="1093"/>
      <c r="HR374" s="1094"/>
      <c r="HS374" s="1094"/>
      <c r="HT374" s="1094"/>
      <c r="HU374" s="1094"/>
      <c r="HV374" s="1094"/>
      <c r="HW374" s="1094"/>
      <c r="HX374" s="1094"/>
      <c r="HY374" s="1094"/>
      <c r="HZ374" s="1094"/>
      <c r="IA374" s="1094"/>
      <c r="IB374" s="1094"/>
      <c r="IC374" s="1094"/>
      <c r="ID374" s="1094"/>
      <c r="IE374" s="1094"/>
      <c r="IF374" s="1094"/>
      <c r="IG374" s="1093"/>
      <c r="IH374" s="1094"/>
      <c r="II374" s="1094"/>
      <c r="IJ374" s="1094"/>
      <c r="IK374" s="1094"/>
      <c r="IL374" s="1094"/>
      <c r="IM374" s="1094"/>
      <c r="IN374" s="1094"/>
      <c r="IO374" s="1093"/>
      <c r="IP374" s="1094"/>
      <c r="IQ374" s="1094"/>
      <c r="IR374" s="1094"/>
      <c r="IS374" s="1094"/>
      <c r="IT374" s="1094"/>
      <c r="IU374" s="1094"/>
      <c r="IV374" s="1094"/>
      <c r="IW374" s="1094"/>
      <c r="IX374" s="1104"/>
      <c r="IY374" s="1049"/>
      <c r="IZ374" s="1049"/>
      <c r="JA374" s="1049"/>
      <c r="JB374" s="1049"/>
      <c r="JC374" s="1049"/>
      <c r="JD374" s="1041"/>
      <c r="JE374" s="1037"/>
      <c r="JF374" s="1037"/>
      <c r="JG374" s="1037"/>
      <c r="JH374" s="1037"/>
      <c r="JI374" s="1035"/>
      <c r="JJ374" s="1035"/>
      <c r="JK374" s="1035"/>
      <c r="JL374" s="1035"/>
      <c r="JM374" s="1035"/>
      <c r="JN374" s="1035"/>
      <c r="JO374" s="1035"/>
      <c r="JP374" s="1035"/>
      <c r="JQ374" s="1035"/>
      <c r="JR374" s="1035"/>
      <c r="JS374" s="1082"/>
      <c r="JT374" s="1082"/>
      <c r="JU374" s="1082"/>
      <c r="JV374" s="1082"/>
      <c r="JW374" s="1035"/>
      <c r="JX374" s="1035"/>
      <c r="JY374" s="1035"/>
      <c r="KP374" s="1117"/>
      <c r="LV374" s="967"/>
    </row>
    <row r="375" spans="1:334">
      <c r="A375" s="1281" t="s">
        <v>70</v>
      </c>
      <c r="B375" s="1255"/>
      <c r="C375" s="1255"/>
      <c r="D375" s="1255"/>
      <c r="E375" s="1255"/>
      <c r="F375" s="1255"/>
      <c r="G375" s="1255"/>
      <c r="H375" s="1255"/>
      <c r="I375" s="1255"/>
      <c r="J375" s="1255"/>
      <c r="K375" s="1255"/>
      <c r="L375" s="1255"/>
      <c r="M375" s="1255"/>
      <c r="N375" s="1255"/>
      <c r="O375" s="1255"/>
      <c r="P375" s="1255"/>
      <c r="Q375" s="1255"/>
      <c r="R375" s="1255"/>
      <c r="S375" s="1255"/>
      <c r="T375" s="1255"/>
      <c r="U375" s="1255"/>
      <c r="V375" s="1255"/>
      <c r="W375" s="1255"/>
      <c r="X375" s="1255"/>
      <c r="Y375" s="1255"/>
      <c r="Z375" s="1255"/>
      <c r="AA375" s="1255"/>
      <c r="AB375" s="1255"/>
      <c r="AC375" s="1255"/>
      <c r="AD375" s="1255"/>
      <c r="AE375" s="1255"/>
      <c r="AF375" s="1255"/>
      <c r="AG375" s="1255"/>
      <c r="AH375" s="1255"/>
      <c r="AI375" s="1255"/>
      <c r="AJ375" s="1255"/>
      <c r="AK375" s="1255"/>
      <c r="AL375" s="1255"/>
      <c r="AM375" s="1255"/>
      <c r="AN375" s="1255"/>
      <c r="AO375" s="1255"/>
      <c r="AP375" s="1255"/>
      <c r="AQ375" s="1255"/>
      <c r="AR375" s="1255"/>
      <c r="AS375" s="1255"/>
      <c r="AT375" s="1255"/>
      <c r="AU375" s="1255"/>
      <c r="AV375" s="1255"/>
      <c r="AW375" s="1255"/>
      <c r="AX375" s="1256"/>
      <c r="AY375" s="1255"/>
      <c r="AZ375" s="1255"/>
      <c r="BA375" s="1255"/>
      <c r="BB375" s="1255"/>
      <c r="BC375" s="1255"/>
      <c r="BD375" s="1255"/>
      <c r="BE375" s="1257"/>
      <c r="BF375" s="1255"/>
      <c r="BG375" s="1255"/>
      <c r="BH375" s="1255"/>
      <c r="BI375" s="1255"/>
      <c r="BJ375" s="1255"/>
      <c r="BK375" s="1255"/>
      <c r="BL375" s="1255"/>
      <c r="BM375" s="1255"/>
      <c r="BN375" s="1256"/>
      <c r="BO375" s="1255"/>
      <c r="BP375" s="1255"/>
      <c r="BQ375" s="1255"/>
      <c r="BR375" s="1255"/>
      <c r="BS375" s="1255"/>
      <c r="BT375" s="1255"/>
      <c r="BU375" s="1257"/>
      <c r="BV375" s="1256"/>
      <c r="BW375" s="1255"/>
      <c r="BX375" s="1255"/>
      <c r="BY375" s="1255"/>
      <c r="BZ375" s="1255"/>
      <c r="CA375" s="1255"/>
      <c r="CB375" s="1255"/>
      <c r="CC375" s="1257"/>
      <c r="CD375" s="1256"/>
      <c r="CE375" s="1255"/>
      <c r="CF375" s="1255"/>
      <c r="CG375" s="1255"/>
      <c r="CH375" s="1255"/>
      <c r="CI375" s="1255"/>
      <c r="CJ375" s="1258"/>
      <c r="CK375" s="1257"/>
      <c r="CL375" s="1256"/>
      <c r="CM375" s="1255"/>
      <c r="CN375" s="1255"/>
      <c r="CO375" s="1255"/>
      <c r="CP375" s="1255"/>
      <c r="CQ375" s="1255"/>
      <c r="CR375" s="1255"/>
      <c r="CS375" s="1257"/>
      <c r="CT375" s="1256"/>
      <c r="CU375" s="1255"/>
      <c r="CV375" s="1255"/>
      <c r="CW375" s="1259"/>
      <c r="CX375" s="1259"/>
      <c r="CY375" s="1255"/>
      <c r="CZ375" s="1255"/>
      <c r="DA375" s="1255"/>
      <c r="DB375" s="1260"/>
      <c r="DC375" s="1260"/>
      <c r="DD375" s="1260"/>
      <c r="DE375" s="1261"/>
      <c r="DF375" s="1261"/>
      <c r="DG375" s="1260"/>
      <c r="DH375" s="1260"/>
      <c r="DI375" s="1262"/>
      <c r="DJ375" s="1260"/>
      <c r="DK375" s="1260"/>
      <c r="DL375" s="1260"/>
      <c r="DM375" s="1261"/>
      <c r="DN375" s="1261"/>
      <c r="DO375" s="1260"/>
      <c r="DP375" s="1260"/>
      <c r="DQ375" s="1262"/>
      <c r="DR375" s="1260"/>
      <c r="DS375" s="1260"/>
      <c r="DT375" s="1260"/>
      <c r="DU375" s="1261"/>
      <c r="DV375" s="1261"/>
      <c r="DW375" s="1260"/>
      <c r="DX375" s="1260"/>
      <c r="DY375" s="1262"/>
      <c r="DZ375" s="1260"/>
      <c r="EA375" s="1260"/>
      <c r="EB375" s="1260"/>
      <c r="EC375" s="1261"/>
      <c r="ED375" s="1261"/>
      <c r="EE375" s="1260"/>
      <c r="EF375" s="1260"/>
      <c r="EG375" s="1262"/>
      <c r="EH375" s="1282"/>
      <c r="EI375" s="1282"/>
      <c r="EJ375" s="1282"/>
      <c r="EK375" s="1282"/>
      <c r="EL375" s="1282"/>
      <c r="EM375" s="1282"/>
      <c r="EN375" s="1282"/>
      <c r="EO375" s="1283"/>
      <c r="EP375" s="1282"/>
      <c r="EQ375" s="1282"/>
      <c r="ER375" s="1282"/>
      <c r="ES375" s="1282"/>
      <c r="ET375" s="1282"/>
      <c r="EU375" s="1282"/>
      <c r="EV375" s="1282"/>
      <c r="EW375" s="1283"/>
      <c r="EX375" s="1282"/>
      <c r="EY375" s="1282"/>
      <c r="EZ375" s="1282"/>
      <c r="FA375" s="1282"/>
      <c r="FB375" s="1282"/>
      <c r="FC375" s="1282"/>
      <c r="FD375" s="1282"/>
      <c r="FE375" s="1283"/>
      <c r="FF375" s="1282"/>
      <c r="FG375" s="1282"/>
      <c r="FH375" s="1282"/>
      <c r="FI375" s="1282"/>
      <c r="FJ375" s="1282"/>
      <c r="FK375" s="1282"/>
      <c r="FL375" s="1282"/>
      <c r="FM375" s="1283"/>
      <c r="FN375" s="1282"/>
      <c r="FO375" s="1282"/>
      <c r="FP375" s="1282"/>
      <c r="FQ375" s="1282"/>
      <c r="FR375" s="1282"/>
      <c r="FS375" s="1282"/>
      <c r="FT375" s="1282"/>
      <c r="FU375" s="1282"/>
      <c r="FV375" s="1285"/>
      <c r="FW375" s="1282"/>
      <c r="FX375" s="1282"/>
      <c r="FY375" s="1282"/>
      <c r="FZ375" s="1282"/>
      <c r="GA375" s="1282"/>
      <c r="GB375" s="1282"/>
      <c r="GC375" s="1283"/>
      <c r="GD375" s="1285"/>
      <c r="GE375" s="1282"/>
      <c r="GF375" s="1282"/>
      <c r="GG375" s="1282"/>
      <c r="GH375" s="1282"/>
      <c r="GI375" s="1282"/>
      <c r="GJ375" s="1282"/>
      <c r="GK375" s="1283"/>
      <c r="GL375" s="1282"/>
      <c r="GM375" s="1282"/>
      <c r="GN375" s="1282"/>
      <c r="GO375" s="1282"/>
      <c r="GP375" s="1282"/>
      <c r="GQ375" s="1282"/>
      <c r="GR375" s="1282"/>
      <c r="GS375" s="1283"/>
      <c r="GT375" s="1282"/>
      <c r="GU375" s="1282"/>
      <c r="GV375" s="1282"/>
      <c r="GW375" s="1282"/>
      <c r="GX375" s="1282"/>
      <c r="GY375" s="1282"/>
      <c r="GZ375" s="1282"/>
      <c r="HA375" s="1283"/>
      <c r="HB375" s="1282"/>
      <c r="HC375" s="1282"/>
      <c r="HD375" s="1282"/>
      <c r="HE375" s="1282"/>
      <c r="HF375" s="1282"/>
      <c r="HG375" s="1282"/>
      <c r="HH375" s="1282"/>
      <c r="HI375" s="1283"/>
      <c r="HJ375" s="1282"/>
      <c r="HK375" s="1282"/>
      <c r="HL375" s="1282"/>
      <c r="HM375" s="1282"/>
      <c r="HN375" s="1282"/>
      <c r="HO375" s="1282"/>
      <c r="HP375" s="1282"/>
      <c r="HQ375" s="1283"/>
      <c r="HR375" s="1282"/>
      <c r="HS375" s="1282"/>
      <c r="HT375" s="1282"/>
      <c r="HU375" s="1282"/>
      <c r="HV375" s="1282"/>
      <c r="HW375" s="1282"/>
      <c r="HX375" s="1282"/>
      <c r="HY375" s="1282"/>
      <c r="HZ375" s="1282"/>
      <c r="IA375" s="1282"/>
      <c r="IB375" s="1282"/>
      <c r="IC375" s="1282"/>
      <c r="ID375" s="1282"/>
      <c r="IE375" s="1282"/>
      <c r="IF375" s="1282"/>
      <c r="IG375" s="1283"/>
      <c r="IH375" s="1282"/>
      <c r="II375" s="1282"/>
      <c r="IJ375" s="1282"/>
      <c r="IK375" s="1282"/>
      <c r="IL375" s="1282"/>
      <c r="IM375" s="1282"/>
      <c r="IN375" s="1282"/>
      <c r="IO375" s="1283"/>
      <c r="IP375" s="1282"/>
      <c r="IQ375" s="1282"/>
      <c r="IR375" s="1282"/>
      <c r="IS375" s="1282"/>
      <c r="IT375" s="1282"/>
      <c r="IU375" s="1282"/>
      <c r="IV375" s="1282"/>
      <c r="IW375" s="1282"/>
      <c r="IX375" s="1104"/>
      <c r="IY375" s="1049"/>
      <c r="IZ375" s="1049"/>
      <c r="JA375" s="1049"/>
      <c r="JB375" s="1049"/>
      <c r="JC375" s="1049"/>
      <c r="JD375" s="1041"/>
      <c r="JE375" s="1037"/>
      <c r="JF375" s="1037"/>
      <c r="JG375" s="1037"/>
      <c r="JH375" s="1037"/>
      <c r="JI375" s="1035"/>
      <c r="JJ375" s="1035"/>
      <c r="JK375" s="1035"/>
      <c r="JL375" s="1035"/>
      <c r="JM375" s="1035"/>
      <c r="JN375" s="1035"/>
      <c r="JO375" s="1035"/>
      <c r="JP375" s="1035"/>
      <c r="JQ375" s="1035"/>
      <c r="JR375" s="1035"/>
      <c r="JS375" s="1082"/>
      <c r="JT375" s="1082"/>
      <c r="JU375" s="1082"/>
      <c r="JV375" s="1082"/>
      <c r="JW375" s="1035"/>
      <c r="JX375" s="1035"/>
      <c r="JY375" s="1035"/>
      <c r="KP375" s="1117"/>
      <c r="LV375" s="967"/>
    </row>
    <row r="376" spans="1:334">
      <c r="A376" s="967" t="s">
        <v>126</v>
      </c>
      <c r="AX376" s="1059"/>
      <c r="BE376" s="1060"/>
      <c r="BN376" s="1059"/>
      <c r="BU376" s="1060"/>
      <c r="BV376" s="1059"/>
      <c r="CC376" s="1060"/>
      <c r="CD376" s="1059"/>
      <c r="CJ376" s="1061"/>
      <c r="CK376" s="1060"/>
      <c r="CL376" s="1059"/>
      <c r="CS376" s="1060"/>
      <c r="CT376" s="1059"/>
      <c r="CW376" s="1062"/>
      <c r="CX376" s="1062"/>
      <c r="DE376" s="1064"/>
      <c r="DF376" s="1064"/>
      <c r="DM376" s="1064"/>
      <c r="DN376" s="1064"/>
      <c r="DU376" s="1064"/>
      <c r="DV376" s="1064"/>
      <c r="EC376" s="1064"/>
      <c r="ED376" s="1064"/>
      <c r="EH376" s="1181"/>
      <c r="EI376" s="1181"/>
      <c r="EJ376" s="1181"/>
      <c r="EK376" s="1181"/>
      <c r="EL376" s="1181"/>
      <c r="EM376" s="1181"/>
      <c r="EN376" s="1181"/>
      <c r="EO376" s="1182"/>
      <c r="EP376" s="1181"/>
      <c r="EQ376" s="1181"/>
      <c r="ER376" s="1181"/>
      <c r="ES376" s="1181"/>
      <c r="ET376" s="1181"/>
      <c r="EU376" s="1181"/>
      <c r="EV376" s="1181"/>
      <c r="EW376" s="1182"/>
      <c r="EX376" s="1148">
        <f>EX279-EX377</f>
        <v>206</v>
      </c>
      <c r="EY376" s="1148">
        <f t="shared" ref="EY376:FE376" si="2037">EY279-EY377</f>
        <v>233</v>
      </c>
      <c r="EZ376" s="1148">
        <f t="shared" si="2037"/>
        <v>439</v>
      </c>
      <c r="FA376" s="1148">
        <f t="shared" si="2037"/>
        <v>197</v>
      </c>
      <c r="FB376" s="1148">
        <f t="shared" si="2037"/>
        <v>636</v>
      </c>
      <c r="FC376" s="1148">
        <f t="shared" si="2037"/>
        <v>251</v>
      </c>
      <c r="FD376" s="1148">
        <f t="shared" si="2037"/>
        <v>448</v>
      </c>
      <c r="FE376" s="1149">
        <f t="shared" si="2037"/>
        <v>887</v>
      </c>
      <c r="FF376" s="1148">
        <f t="shared" ref="FF376:FN376" si="2038">FF279-FF377</f>
        <v>236</v>
      </c>
      <c r="FG376" s="1148">
        <f t="shared" si="2038"/>
        <v>252</v>
      </c>
      <c r="FH376" s="1148">
        <f t="shared" si="2038"/>
        <v>488</v>
      </c>
      <c r="FI376" s="1148">
        <f t="shared" si="2038"/>
        <v>224</v>
      </c>
      <c r="FJ376" s="1148">
        <f t="shared" si="2038"/>
        <v>712</v>
      </c>
      <c r="FK376" s="1148">
        <f t="shared" si="2038"/>
        <v>258</v>
      </c>
      <c r="FL376" s="1148">
        <f t="shared" si="2038"/>
        <v>482</v>
      </c>
      <c r="FM376" s="1149">
        <f t="shared" si="2038"/>
        <v>970</v>
      </c>
      <c r="FN376" s="1148">
        <f t="shared" si="2038"/>
        <v>250</v>
      </c>
      <c r="FO376" s="1148">
        <f t="shared" ref="FO376:FX376" si="2039">FO279-FO377</f>
        <v>228</v>
      </c>
      <c r="FP376" s="1148">
        <f t="shared" si="2039"/>
        <v>478</v>
      </c>
      <c r="FQ376" s="1148">
        <f t="shared" si="2039"/>
        <v>228</v>
      </c>
      <c r="FR376" s="1148">
        <f t="shared" si="2039"/>
        <v>706</v>
      </c>
      <c r="FS376" s="1148">
        <f t="shared" si="2039"/>
        <v>216</v>
      </c>
      <c r="FT376" s="1148">
        <f t="shared" si="2039"/>
        <v>444</v>
      </c>
      <c r="FU376" s="1148">
        <f t="shared" si="2039"/>
        <v>922</v>
      </c>
      <c r="FV376" s="1278">
        <f t="shared" si="2039"/>
        <v>115</v>
      </c>
      <c r="FW376" s="1279">
        <f t="shared" si="2039"/>
        <v>119</v>
      </c>
      <c r="FX376" s="1279">
        <f t="shared" si="2039"/>
        <v>234</v>
      </c>
      <c r="FY376" s="1148">
        <f t="shared" ref="FY376:GG376" si="2040">FY279-FY377</f>
        <v>124</v>
      </c>
      <c r="FZ376" s="1148">
        <f t="shared" si="2040"/>
        <v>358</v>
      </c>
      <c r="GA376" s="1148">
        <f t="shared" si="2040"/>
        <v>95</v>
      </c>
      <c r="GB376" s="1148">
        <f t="shared" si="2040"/>
        <v>219</v>
      </c>
      <c r="GC376" s="1149">
        <f t="shared" si="2040"/>
        <v>453</v>
      </c>
      <c r="GD376" s="1278">
        <f t="shared" si="2040"/>
        <v>112</v>
      </c>
      <c r="GE376" s="1279">
        <f t="shared" si="2040"/>
        <v>100</v>
      </c>
      <c r="GF376" s="1279">
        <f t="shared" si="2040"/>
        <v>212</v>
      </c>
      <c r="GG376" s="1279">
        <f t="shared" si="2040"/>
        <v>99</v>
      </c>
      <c r="GH376" s="1148">
        <f t="shared" ref="GH376:GO376" si="2041">GH279-GH377</f>
        <v>311</v>
      </c>
      <c r="GI376" s="1148">
        <f t="shared" si="2041"/>
        <v>134</v>
      </c>
      <c r="GJ376" s="1148">
        <f t="shared" si="2041"/>
        <v>233</v>
      </c>
      <c r="GK376" s="1149">
        <f t="shared" si="2041"/>
        <v>445</v>
      </c>
      <c r="GL376" s="1279">
        <f t="shared" si="2041"/>
        <v>96</v>
      </c>
      <c r="GM376" s="1279">
        <f t="shared" si="2041"/>
        <v>81</v>
      </c>
      <c r="GN376" s="1279">
        <f t="shared" si="2041"/>
        <v>177</v>
      </c>
      <c r="GO376" s="1279">
        <f t="shared" si="2041"/>
        <v>89</v>
      </c>
      <c r="GP376" s="1148">
        <f t="shared" ref="GP376:GW376" si="2042">GP279-GP377</f>
        <v>266</v>
      </c>
      <c r="GQ376" s="1148">
        <f t="shared" si="2042"/>
        <v>60</v>
      </c>
      <c r="GR376" s="1148">
        <f t="shared" si="2042"/>
        <v>149</v>
      </c>
      <c r="GS376" s="1149">
        <f t="shared" si="2042"/>
        <v>326</v>
      </c>
      <c r="GT376" s="1279">
        <f t="shared" si="2042"/>
        <v>85</v>
      </c>
      <c r="GU376" s="1279">
        <f t="shared" si="2042"/>
        <v>48.647</v>
      </c>
      <c r="GV376" s="1279">
        <f t="shared" si="2042"/>
        <v>133.647</v>
      </c>
      <c r="GW376" s="1279">
        <f t="shared" si="2042"/>
        <v>84.09</v>
      </c>
      <c r="GX376" s="1148">
        <f t="shared" ref="GX376" si="2043">GX279-GX377</f>
        <v>217.737</v>
      </c>
      <c r="GY376" s="1148"/>
      <c r="GZ376" s="1148"/>
      <c r="HA376" s="1149"/>
      <c r="HB376" s="1279">
        <f>HB209-HB377</f>
        <v>23</v>
      </c>
      <c r="HC376" s="1279">
        <f t="shared" ref="HC376:HG376" si="2044">HC209-HC377</f>
        <v>18</v>
      </c>
      <c r="HD376" s="1279">
        <f t="shared" si="2044"/>
        <v>41</v>
      </c>
      <c r="HE376" s="1279">
        <f t="shared" si="2044"/>
        <v>23.0000000000036</v>
      </c>
      <c r="HF376" s="1279">
        <f t="shared" si="2044"/>
        <v>64.0000000000036</v>
      </c>
      <c r="HG376" s="1279">
        <f t="shared" si="2044"/>
        <v>20.9999999999981</v>
      </c>
      <c r="HH376" s="1148"/>
      <c r="HI376" s="1149">
        <f>HG376+HF376</f>
        <v>85.0000000000017</v>
      </c>
      <c r="HJ376" s="1279">
        <f>HJ209-HJ377</f>
        <v>21</v>
      </c>
      <c r="HK376" s="1279">
        <f t="shared" ref="HK376" si="2045">HK209-HK377</f>
        <v>18</v>
      </c>
      <c r="HL376" s="1148"/>
      <c r="HM376" s="1148"/>
      <c r="HN376" s="1148"/>
      <c r="HO376" s="1148"/>
      <c r="HP376" s="1148"/>
      <c r="HQ376" s="1149"/>
      <c r="HR376" s="1148"/>
      <c r="HS376" s="1148"/>
      <c r="HT376" s="1148"/>
      <c r="HU376" s="1148"/>
      <c r="HV376" s="1148"/>
      <c r="HW376" s="1148"/>
      <c r="HX376" s="1148"/>
      <c r="HY376" s="1148"/>
      <c r="HZ376" s="1148"/>
      <c r="IA376" s="1148"/>
      <c r="IB376" s="1148"/>
      <c r="IC376" s="1148"/>
      <c r="ID376" s="1148"/>
      <c r="IE376" s="1148"/>
      <c r="IF376" s="1148"/>
      <c r="IG376" s="1149"/>
      <c r="IH376" s="1148"/>
      <c r="II376" s="1148"/>
      <c r="IJ376" s="1148"/>
      <c r="IK376" s="1148"/>
      <c r="IL376" s="1148"/>
      <c r="IM376" s="1148"/>
      <c r="IN376" s="1148"/>
      <c r="IO376" s="1149"/>
      <c r="IP376" s="1148"/>
      <c r="IQ376" s="1148"/>
      <c r="IR376" s="1148"/>
      <c r="IS376" s="1148"/>
      <c r="IT376" s="1148"/>
      <c r="IU376" s="1148"/>
      <c r="IV376" s="1148"/>
      <c r="IW376" s="1148"/>
      <c r="IX376" s="1104"/>
      <c r="IY376" s="1049"/>
      <c r="IZ376" s="1049"/>
      <c r="JA376" s="1049"/>
      <c r="JB376" s="1269"/>
      <c r="JC376" s="1049"/>
      <c r="JD376" s="1041"/>
      <c r="JE376" s="1037"/>
      <c r="JF376" s="1037"/>
      <c r="JG376" s="1037"/>
      <c r="JH376" s="1037"/>
      <c r="JI376" s="1035"/>
      <c r="JJ376" s="1035"/>
      <c r="JK376" s="1035"/>
      <c r="JL376" s="969"/>
      <c r="JM376" s="1035"/>
      <c r="JN376" s="1079"/>
      <c r="JO376" s="1079"/>
      <c r="JP376" s="1079"/>
      <c r="JQ376" s="1079"/>
      <c r="JR376" s="1079"/>
      <c r="JS376" s="1079"/>
      <c r="JT376" s="1079"/>
      <c r="JU376" s="1079"/>
      <c r="JV376" s="1079"/>
      <c r="JW376" s="1035"/>
      <c r="JX376" s="1035"/>
      <c r="JY376" s="1035"/>
      <c r="KP376" s="1117"/>
      <c r="LV376" s="967"/>
    </row>
    <row r="377" spans="1:334">
      <c r="A377" s="1103" t="s">
        <v>127</v>
      </c>
      <c r="AX377" s="1059"/>
      <c r="BE377" s="1060"/>
      <c r="BN377" s="1059"/>
      <c r="BU377" s="1060"/>
      <c r="BV377" s="1059"/>
      <c r="CC377" s="1060"/>
      <c r="CD377" s="1059"/>
      <c r="CJ377" s="1061"/>
      <c r="CK377" s="1060"/>
      <c r="CL377" s="1059"/>
      <c r="CS377" s="1060"/>
      <c r="CT377" s="1059"/>
      <c r="CW377" s="1062"/>
      <c r="CX377" s="1062"/>
      <c r="DE377" s="1064"/>
      <c r="DF377" s="1064"/>
      <c r="DM377" s="1064"/>
      <c r="DN377" s="1064"/>
      <c r="DU377" s="1064"/>
      <c r="DV377" s="1064"/>
      <c r="EC377" s="1064"/>
      <c r="ED377" s="1064"/>
      <c r="EH377" s="1181"/>
      <c r="EI377" s="1181"/>
      <c r="EJ377" s="1181"/>
      <c r="EK377" s="1181"/>
      <c r="EL377" s="1181"/>
      <c r="EM377" s="1181"/>
      <c r="EN377" s="1181"/>
      <c r="EO377" s="1182"/>
      <c r="EP377" s="1181"/>
      <c r="EQ377" s="1181"/>
      <c r="ER377" s="1181"/>
      <c r="ES377" s="1181"/>
      <c r="ET377" s="1181"/>
      <c r="EU377" s="1181"/>
      <c r="EV377" s="1181"/>
      <c r="EW377" s="1182"/>
      <c r="EX377" s="1071">
        <v>127</v>
      </c>
      <c r="EY377" s="1071">
        <v>136</v>
      </c>
      <c r="EZ377" s="1071">
        <f>EX377+EY377</f>
        <v>263</v>
      </c>
      <c r="FA377" s="1071">
        <v>93</v>
      </c>
      <c r="FB377" s="1071">
        <f>EX377+EY377+FA377</f>
        <v>356</v>
      </c>
      <c r="FC377" s="1071">
        <v>115</v>
      </c>
      <c r="FD377" s="1071">
        <f>FA377+FC377</f>
        <v>208</v>
      </c>
      <c r="FE377" s="1072">
        <f>EX377+EY377+FA377+FC377</f>
        <v>471</v>
      </c>
      <c r="FF377" s="1071">
        <v>141</v>
      </c>
      <c r="FG377" s="1071">
        <f>FH377-FF377</f>
        <v>113</v>
      </c>
      <c r="FH377" s="1071">
        <v>254</v>
      </c>
      <c r="FI377" s="1071">
        <f>FJ377-FH377</f>
        <v>118</v>
      </c>
      <c r="FJ377" s="1071">
        <v>372</v>
      </c>
      <c r="FK377" s="1071">
        <f>FM377-FJ377</f>
        <v>125</v>
      </c>
      <c r="FL377" s="1071">
        <f>FI377+FK377</f>
        <v>243</v>
      </c>
      <c r="FM377" s="1072">
        <v>497</v>
      </c>
      <c r="FN377" s="1071">
        <v>146</v>
      </c>
      <c r="FO377" s="1071">
        <f>FP377-FN377</f>
        <v>149</v>
      </c>
      <c r="FP377" s="1071">
        <v>295</v>
      </c>
      <c r="FQ377" s="1071">
        <f>FR377-FP377</f>
        <v>138</v>
      </c>
      <c r="FR377" s="1071">
        <v>433</v>
      </c>
      <c r="FS377" s="1071">
        <f>FU377-FR377</f>
        <v>120</v>
      </c>
      <c r="FT377" s="1071">
        <f>FQ377+FS377</f>
        <v>258</v>
      </c>
      <c r="FU377" s="1071">
        <v>553</v>
      </c>
      <c r="FV377" s="1075">
        <f>FX377-FW377</f>
        <v>82</v>
      </c>
      <c r="FW377" s="1076">
        <v>79</v>
      </c>
      <c r="FX377" s="1076">
        <v>161</v>
      </c>
      <c r="FY377" s="1071">
        <f>FZ377-FX377</f>
        <v>68</v>
      </c>
      <c r="FZ377" s="1071">
        <v>229</v>
      </c>
      <c r="GA377" s="1071">
        <f>GC377-FZ377</f>
        <v>59</v>
      </c>
      <c r="GB377" s="1071">
        <f>FY377+GA377</f>
        <v>127</v>
      </c>
      <c r="GC377" s="1072">
        <v>288</v>
      </c>
      <c r="GD377" s="1075">
        <v>78</v>
      </c>
      <c r="GE377" s="1076">
        <v>89</v>
      </c>
      <c r="GF377" s="1076">
        <f>GE377+GD377</f>
        <v>167</v>
      </c>
      <c r="GG377" s="1076">
        <v>131</v>
      </c>
      <c r="GH377" s="1071">
        <f>GG377+GF377</f>
        <v>298</v>
      </c>
      <c r="GI377" s="1071">
        <f>GK377-GH377</f>
        <v>86</v>
      </c>
      <c r="GJ377" s="1071">
        <f>GG377+GI377</f>
        <v>217</v>
      </c>
      <c r="GK377" s="1072">
        <v>384</v>
      </c>
      <c r="GL377" s="1076">
        <v>99</v>
      </c>
      <c r="GM377" s="1076">
        <v>66</v>
      </c>
      <c r="GN377" s="1076">
        <f>GM377+GL377</f>
        <v>165</v>
      </c>
      <c r="GO377" s="1076">
        <v>73</v>
      </c>
      <c r="GP377" s="1071">
        <f>GO377+GN377</f>
        <v>238</v>
      </c>
      <c r="GQ377" s="1071">
        <f>GS377-GP377</f>
        <v>41</v>
      </c>
      <c r="GR377" s="1071">
        <f>GO377+GQ377</f>
        <v>114</v>
      </c>
      <c r="GS377" s="1072">
        <v>279</v>
      </c>
      <c r="GT377" s="1076">
        <v>71</v>
      </c>
      <c r="GU377" s="1076">
        <v>25</v>
      </c>
      <c r="GV377" s="1076">
        <f>GU377+GT377</f>
        <v>96</v>
      </c>
      <c r="GW377" s="1076">
        <v>69</v>
      </c>
      <c r="GX377" s="1071">
        <f>GW377+GV377</f>
        <v>165</v>
      </c>
      <c r="GY377" s="1071"/>
      <c r="GZ377" s="1071"/>
      <c r="HA377" s="1072"/>
      <c r="HB377" s="1076">
        <v>16</v>
      </c>
      <c r="HC377" s="1076">
        <v>16</v>
      </c>
      <c r="HD377" s="1076">
        <f>HC377+HB377</f>
        <v>32</v>
      </c>
      <c r="HE377" s="1076">
        <v>21</v>
      </c>
      <c r="HF377" s="1071">
        <f>HE377+HD377</f>
        <v>53</v>
      </c>
      <c r="HG377" s="1076">
        <v>6</v>
      </c>
      <c r="HH377" s="1071"/>
      <c r="HI377" s="1072">
        <f>HG377+HF377</f>
        <v>59</v>
      </c>
      <c r="HJ377" s="1076">
        <v>15</v>
      </c>
      <c r="HK377" s="1076">
        <v>11</v>
      </c>
      <c r="HL377" s="1071"/>
      <c r="HM377" s="1071"/>
      <c r="HN377" s="1071"/>
      <c r="HO377" s="1071"/>
      <c r="HP377" s="1071"/>
      <c r="HQ377" s="1072"/>
      <c r="HR377" s="1071"/>
      <c r="HS377" s="1071"/>
      <c r="HT377" s="1071"/>
      <c r="HU377" s="1071"/>
      <c r="HV377" s="1071"/>
      <c r="HW377" s="1071"/>
      <c r="HX377" s="1071"/>
      <c r="HY377" s="1071"/>
      <c r="HZ377" s="1071"/>
      <c r="IA377" s="1071"/>
      <c r="IB377" s="1071"/>
      <c r="IC377" s="1071"/>
      <c r="ID377" s="1071"/>
      <c r="IE377" s="1071"/>
      <c r="IF377" s="1071"/>
      <c r="IG377" s="1072"/>
      <c r="IH377" s="1071"/>
      <c r="II377" s="1071"/>
      <c r="IJ377" s="1071"/>
      <c r="IK377" s="1071"/>
      <c r="IL377" s="1071"/>
      <c r="IM377" s="1071"/>
      <c r="IN377" s="1071"/>
      <c r="IO377" s="1072"/>
      <c r="IP377" s="1071"/>
      <c r="IQ377" s="1071"/>
      <c r="IR377" s="1071"/>
      <c r="IS377" s="1071"/>
      <c r="IT377" s="1071"/>
      <c r="IU377" s="1071"/>
      <c r="IV377" s="1071"/>
      <c r="IW377" s="1071"/>
      <c r="IX377" s="1104"/>
      <c r="IY377" s="1049"/>
      <c r="IZ377" s="1049"/>
      <c r="JA377" s="1049"/>
      <c r="JB377" s="1049"/>
      <c r="JC377" s="1049"/>
      <c r="JD377" s="1041"/>
      <c r="JE377" s="1037"/>
      <c r="JF377" s="1037"/>
      <c r="JG377" s="1037"/>
      <c r="JH377" s="1037"/>
      <c r="JI377" s="1035"/>
      <c r="JJ377" s="1035"/>
      <c r="JK377" s="1035"/>
      <c r="JL377" s="1035"/>
      <c r="JM377" s="1035"/>
      <c r="JN377" s="1082"/>
      <c r="JO377" s="1082"/>
      <c r="JP377" s="1082"/>
      <c r="JQ377" s="1082"/>
      <c r="JR377" s="1082"/>
      <c r="JS377" s="1082"/>
      <c r="JT377" s="1082"/>
      <c r="JU377" s="1082"/>
      <c r="JV377" s="1082"/>
      <c r="JW377" s="1288"/>
      <c r="JX377" s="1035"/>
      <c r="JY377" s="1035"/>
      <c r="KP377" s="1117"/>
      <c r="LV377" s="967"/>
    </row>
    <row r="378" spans="1:334">
      <c r="A378" s="967" t="s">
        <v>61</v>
      </c>
      <c r="AX378" s="1059"/>
      <c r="BE378" s="1060"/>
      <c r="BN378" s="1059"/>
      <c r="BU378" s="1060"/>
      <c r="BV378" s="1059"/>
      <c r="CC378" s="1060"/>
      <c r="CD378" s="1059"/>
      <c r="CJ378" s="1061"/>
      <c r="CK378" s="1060"/>
      <c r="CL378" s="1059"/>
      <c r="CS378" s="1060"/>
      <c r="CT378" s="1059"/>
      <c r="CW378" s="1062"/>
      <c r="CX378" s="1062"/>
      <c r="DE378" s="1064"/>
      <c r="DF378" s="1064"/>
      <c r="DM378" s="1064"/>
      <c r="DN378" s="1064"/>
      <c r="DU378" s="1064"/>
      <c r="DV378" s="1064"/>
      <c r="EC378" s="1064"/>
      <c r="ED378" s="1064"/>
      <c r="EH378" s="1181"/>
      <c r="EI378" s="1181"/>
      <c r="EJ378" s="1181"/>
      <c r="EK378" s="1181"/>
      <c r="EL378" s="1181"/>
      <c r="EM378" s="1181"/>
      <c r="EN378" s="1181"/>
      <c r="EO378" s="1182"/>
      <c r="EP378" s="1181"/>
      <c r="EQ378" s="1181"/>
      <c r="ER378" s="1181"/>
      <c r="ES378" s="1181"/>
      <c r="ET378" s="1181"/>
      <c r="EU378" s="1181"/>
      <c r="EV378" s="1181"/>
      <c r="EW378" s="1182"/>
      <c r="EX378" s="1094"/>
      <c r="EY378" s="1094"/>
      <c r="EZ378" s="1094"/>
      <c r="FA378" s="1094"/>
      <c r="FB378" s="1094"/>
      <c r="FC378" s="1094"/>
      <c r="FD378" s="1094"/>
      <c r="FE378" s="1093"/>
      <c r="FF378" s="1094">
        <f t="shared" ref="FF378:FR378" si="2046">FF377/EX377-1</f>
        <v>0.110236220472441</v>
      </c>
      <c r="FG378" s="1094">
        <f t="shared" si="2046"/>
        <v>-0.169117647058823</v>
      </c>
      <c r="FH378" s="1094">
        <f t="shared" si="2046"/>
        <v>-0.0342205323193916</v>
      </c>
      <c r="FI378" s="1094">
        <f t="shared" si="2046"/>
        <v>0.268817204301075</v>
      </c>
      <c r="FJ378" s="1094">
        <f t="shared" si="2046"/>
        <v>0.0449438202247192</v>
      </c>
      <c r="FK378" s="1094">
        <f t="shared" si="2046"/>
        <v>0.0869565217391304</v>
      </c>
      <c r="FL378" s="1094">
        <f t="shared" si="2046"/>
        <v>0.168269230769231</v>
      </c>
      <c r="FM378" s="1093">
        <f t="shared" si="2046"/>
        <v>0.0552016985138004</v>
      </c>
      <c r="FN378" s="1094">
        <f t="shared" si="2046"/>
        <v>0.0354609929078014</v>
      </c>
      <c r="FO378" s="1094">
        <f t="shared" si="2046"/>
        <v>0.31858407079646</v>
      </c>
      <c r="FP378" s="1094">
        <f t="shared" si="2046"/>
        <v>0.161417322834646</v>
      </c>
      <c r="FQ378" s="1094">
        <f t="shared" si="2046"/>
        <v>0.169491525423729</v>
      </c>
      <c r="FR378" s="1094">
        <f t="shared" si="2046"/>
        <v>0.163978494623656</v>
      </c>
      <c r="FS378" s="1094">
        <f t="shared" ref="FS378:FX378" si="2047">FS377/FK377-1</f>
        <v>-0.04</v>
      </c>
      <c r="FT378" s="1094">
        <f t="shared" si="2047"/>
        <v>0.0617283950617284</v>
      </c>
      <c r="FU378" s="1094">
        <f t="shared" si="2047"/>
        <v>0.112676056338028</v>
      </c>
      <c r="FV378" s="1275">
        <f t="shared" si="2047"/>
        <v>-0.438356164383562</v>
      </c>
      <c r="FW378" s="1087">
        <f t="shared" si="2047"/>
        <v>-0.469798657718121</v>
      </c>
      <c r="FX378" s="1087">
        <f t="shared" si="2047"/>
        <v>-0.454237288135593</v>
      </c>
      <c r="FY378" s="1094">
        <f t="shared" ref="FY378" si="2048">FY377/FQ377-1</f>
        <v>-0.507246376811594</v>
      </c>
      <c r="FZ378" s="1094">
        <f t="shared" ref="FZ378" si="2049">FZ377/FR377-1</f>
        <v>-0.471131639722864</v>
      </c>
      <c r="GA378" s="1094">
        <f t="shared" ref="GA378" si="2050">GA377/FS377-1</f>
        <v>-0.508333333333333</v>
      </c>
      <c r="GB378" s="1094">
        <f t="shared" ref="GB378" si="2051">GB377/FT377-1</f>
        <v>-0.507751937984496</v>
      </c>
      <c r="GC378" s="1093">
        <f t="shared" ref="GC378" si="2052">GC377/FU377-1</f>
        <v>-0.479204339963834</v>
      </c>
      <c r="GD378" s="1275">
        <f>GD377/82-1</f>
        <v>-0.0487804878048781</v>
      </c>
      <c r="GE378" s="1087">
        <f>GE377/79-1</f>
        <v>0.126582278481013</v>
      </c>
      <c r="GF378" s="1087">
        <f>((GD378*FV377)+(GE378*FW377))/FX377</f>
        <v>0.0372670807453416</v>
      </c>
      <c r="GG378" s="1087">
        <f>GG377/68-1</f>
        <v>0.926470588235294</v>
      </c>
      <c r="GH378" s="1094">
        <f>GH377/FZ377-1</f>
        <v>0.301310043668122</v>
      </c>
      <c r="GI378" s="1094">
        <f t="shared" ref="GI378" si="2053">GI377/GA377-1</f>
        <v>0.457627118644068</v>
      </c>
      <c r="GJ378" s="1094">
        <f t="shared" ref="GJ378" si="2054">GJ377/GB377-1</f>
        <v>0.708661417322835</v>
      </c>
      <c r="GK378" s="1093">
        <f t="shared" ref="GK378:GN378" si="2055">GK377/GC377-1</f>
        <v>0.333333333333333</v>
      </c>
      <c r="GL378" s="1094">
        <f t="shared" si="2055"/>
        <v>0.269230769230769</v>
      </c>
      <c r="GM378" s="1094">
        <f t="shared" si="2055"/>
        <v>-0.258426966292135</v>
      </c>
      <c r="GN378" s="1094">
        <f t="shared" si="2055"/>
        <v>-0.0119760479041916</v>
      </c>
      <c r="GO378" s="1087">
        <f>GO377/68-1</f>
        <v>0.0735294117647058</v>
      </c>
      <c r="GP378" s="1094">
        <f>GP377/GH377-1</f>
        <v>-0.201342281879195</v>
      </c>
      <c r="GQ378" s="1094">
        <f t="shared" ref="GQ378" si="2056">GQ377/GI377-1</f>
        <v>-0.523255813953488</v>
      </c>
      <c r="GR378" s="1094">
        <f t="shared" ref="GR378" si="2057">GR377/GJ377-1</f>
        <v>-0.474654377880184</v>
      </c>
      <c r="GS378" s="1093">
        <f t="shared" ref="GS378:GV378" si="2058">GS377/GK377-1</f>
        <v>-0.2734375</v>
      </c>
      <c r="GT378" s="1094">
        <f t="shared" si="2058"/>
        <v>-0.282828282828283</v>
      </c>
      <c r="GU378" s="1094">
        <f t="shared" si="2058"/>
        <v>-0.621212121212121</v>
      </c>
      <c r="GV378" s="1094">
        <f t="shared" si="2058"/>
        <v>-0.418181818181818</v>
      </c>
      <c r="GW378" s="1087">
        <f>GW377/68-1</f>
        <v>0.0147058823529411</v>
      </c>
      <c r="GX378" s="1094">
        <f>GX377/GP377-1</f>
        <v>-0.30672268907563</v>
      </c>
      <c r="GY378" s="1094"/>
      <c r="GZ378" s="1094"/>
      <c r="HA378" s="1093"/>
      <c r="HB378" s="1094"/>
      <c r="HC378" s="1094"/>
      <c r="HD378" s="1094"/>
      <c r="HE378" s="1094"/>
      <c r="HF378" s="1094"/>
      <c r="HG378" s="1094"/>
      <c r="HH378" s="1094"/>
      <c r="HI378" s="1093"/>
      <c r="HJ378" s="1094">
        <f>HJ377/HB377-1</f>
        <v>-0.0625</v>
      </c>
      <c r="HK378" s="1094">
        <f>HK377/HC377-1</f>
        <v>-0.3125</v>
      </c>
      <c r="HL378" s="1094"/>
      <c r="HM378" s="1094"/>
      <c r="HN378" s="1094"/>
      <c r="HO378" s="1094"/>
      <c r="HP378" s="1094"/>
      <c r="HQ378" s="1093"/>
      <c r="HR378" s="1094"/>
      <c r="HS378" s="1094"/>
      <c r="HT378" s="1094"/>
      <c r="HU378" s="1094"/>
      <c r="HV378" s="1094"/>
      <c r="HW378" s="1094"/>
      <c r="HX378" s="1094"/>
      <c r="HY378" s="1094"/>
      <c r="HZ378" s="1094"/>
      <c r="IA378" s="1094"/>
      <c r="IB378" s="1094"/>
      <c r="IC378" s="1094"/>
      <c r="ID378" s="1094"/>
      <c r="IE378" s="1094"/>
      <c r="IF378" s="1094"/>
      <c r="IG378" s="1093"/>
      <c r="IH378" s="1094"/>
      <c r="II378" s="1094"/>
      <c r="IJ378" s="1094"/>
      <c r="IK378" s="1094"/>
      <c r="IL378" s="1094"/>
      <c r="IM378" s="1094"/>
      <c r="IN378" s="1094"/>
      <c r="IO378" s="1093"/>
      <c r="IP378" s="1094"/>
      <c r="IQ378" s="1094"/>
      <c r="IR378" s="1094"/>
      <c r="IS378" s="1094"/>
      <c r="IT378" s="1094"/>
      <c r="IU378" s="1094"/>
      <c r="IV378" s="1094"/>
      <c r="IW378" s="1094"/>
      <c r="IX378" s="1104"/>
      <c r="IY378" s="1112"/>
      <c r="IZ378" s="1049"/>
      <c r="JA378" s="1049"/>
      <c r="JB378" s="1049"/>
      <c r="JC378" s="1049"/>
      <c r="JD378" s="1041"/>
      <c r="JE378" s="1037"/>
      <c r="JF378" s="1037"/>
      <c r="JG378" s="1037"/>
      <c r="JH378" s="1037"/>
      <c r="JI378" s="1035"/>
      <c r="JJ378" s="1035"/>
      <c r="JK378" s="1035"/>
      <c r="JL378" s="1035"/>
      <c r="JM378" s="1035"/>
      <c r="JN378" s="1035"/>
      <c r="JO378" s="1035"/>
      <c r="JP378" s="1035"/>
      <c r="JQ378" s="1035"/>
      <c r="JR378" s="1035"/>
      <c r="JS378" s="1035"/>
      <c r="JT378" s="1035"/>
      <c r="JU378" s="1035"/>
      <c r="JV378" s="1035"/>
      <c r="JW378" s="1035"/>
      <c r="JX378" s="1035"/>
      <c r="JY378" s="1035"/>
      <c r="KP378" s="1117"/>
      <c r="LV378" s="967"/>
    </row>
    <row r="379" spans="1:334">
      <c r="A379" s="967" t="s">
        <v>128</v>
      </c>
      <c r="AX379" s="1059"/>
      <c r="BE379" s="1060"/>
      <c r="BN379" s="1059"/>
      <c r="BU379" s="1060"/>
      <c r="BV379" s="1059"/>
      <c r="CC379" s="1060"/>
      <c r="CD379" s="1059"/>
      <c r="CJ379" s="1061"/>
      <c r="CK379" s="1060"/>
      <c r="CL379" s="1059"/>
      <c r="CS379" s="1060"/>
      <c r="CT379" s="1059"/>
      <c r="CW379" s="1062"/>
      <c r="CX379" s="1062"/>
      <c r="DE379" s="1064"/>
      <c r="DF379" s="1064"/>
      <c r="DM379" s="1064"/>
      <c r="DN379" s="1064"/>
      <c r="DU379" s="1064"/>
      <c r="DV379" s="1064"/>
      <c r="EC379" s="1064"/>
      <c r="ED379" s="1064"/>
      <c r="EH379" s="1181"/>
      <c r="EI379" s="1181"/>
      <c r="EJ379" s="1181"/>
      <c r="EK379" s="1181"/>
      <c r="EL379" s="1181"/>
      <c r="EM379" s="1181"/>
      <c r="EN379" s="1181"/>
      <c r="EO379" s="1182"/>
      <c r="EP379" s="1181"/>
      <c r="EQ379" s="1181"/>
      <c r="ER379" s="1181"/>
      <c r="ES379" s="1181"/>
      <c r="ET379" s="1181"/>
      <c r="EU379" s="1181"/>
      <c r="EV379" s="1181"/>
      <c r="EW379" s="1182"/>
      <c r="EX379" s="1094">
        <f>EX377/EX$279</f>
        <v>0.381381381381381</v>
      </c>
      <c r="EY379" s="1094">
        <f t="shared" ref="EY379:FH379" si="2059">EY377/EY$279</f>
        <v>0.368563685636856</v>
      </c>
      <c r="EZ379" s="1094">
        <f t="shared" si="2059"/>
        <v>0.374643874643875</v>
      </c>
      <c r="FA379" s="1094">
        <f t="shared" si="2059"/>
        <v>0.320689655172414</v>
      </c>
      <c r="FB379" s="1094">
        <f t="shared" si="2059"/>
        <v>0.358870967741935</v>
      </c>
      <c r="FC379" s="1094">
        <f t="shared" si="2059"/>
        <v>0.314207650273224</v>
      </c>
      <c r="FD379" s="1094">
        <f t="shared" si="2059"/>
        <v>0.317073170731707</v>
      </c>
      <c r="FE379" s="1093">
        <f t="shared" si="2059"/>
        <v>0.346833578792342</v>
      </c>
      <c r="FF379" s="1094">
        <f t="shared" si="2059"/>
        <v>0.374005305039788</v>
      </c>
      <c r="FG379" s="1094">
        <f t="shared" si="2059"/>
        <v>0.30958904109589</v>
      </c>
      <c r="FH379" s="1094">
        <f t="shared" si="2059"/>
        <v>0.342318059299191</v>
      </c>
      <c r="FI379" s="1094">
        <f t="shared" ref="FI379:FR379" si="2060">FI377/FI$279</f>
        <v>0.345029239766082</v>
      </c>
      <c r="FJ379" s="1094">
        <f t="shared" si="2060"/>
        <v>0.343173431734317</v>
      </c>
      <c r="FK379" s="1094">
        <f t="shared" si="2060"/>
        <v>0.326370757180157</v>
      </c>
      <c r="FL379" s="1094">
        <f t="shared" si="2060"/>
        <v>0.335172413793103</v>
      </c>
      <c r="FM379" s="1093">
        <f t="shared" si="2060"/>
        <v>0.338786639400136</v>
      </c>
      <c r="FN379" s="1094">
        <f t="shared" si="2060"/>
        <v>0.368686868686869</v>
      </c>
      <c r="FO379" s="1094">
        <f t="shared" si="2060"/>
        <v>0.395225464190981</v>
      </c>
      <c r="FP379" s="1094">
        <f t="shared" si="2060"/>
        <v>0.381630012936611</v>
      </c>
      <c r="FQ379" s="1094">
        <f t="shared" si="2060"/>
        <v>0.377049180327869</v>
      </c>
      <c r="FR379" s="1094">
        <f t="shared" si="2060"/>
        <v>0.380158033362599</v>
      </c>
      <c r="FS379" s="1094">
        <f t="shared" ref="FS379:FZ379" si="2061">FS377/FS$279</f>
        <v>0.357142857142857</v>
      </c>
      <c r="FT379" s="1094">
        <f t="shared" si="2061"/>
        <v>0.367521367521368</v>
      </c>
      <c r="FU379" s="1094">
        <f t="shared" si="2061"/>
        <v>0.374915254237288</v>
      </c>
      <c r="FV379" s="1275">
        <f t="shared" si="2061"/>
        <v>0.416243654822335</v>
      </c>
      <c r="FW379" s="1087">
        <f t="shared" si="2061"/>
        <v>0.398989898989899</v>
      </c>
      <c r="FX379" s="1087">
        <f t="shared" si="2061"/>
        <v>0.407594936708861</v>
      </c>
      <c r="FY379" s="1094">
        <f t="shared" si="2061"/>
        <v>0.354166666666667</v>
      </c>
      <c r="FZ379" s="1094">
        <f t="shared" si="2061"/>
        <v>0.390119250425894</v>
      </c>
      <c r="GA379" s="1094">
        <f t="shared" ref="GA379:GC379" si="2062">GA377/GA$279</f>
        <v>0.383116883116883</v>
      </c>
      <c r="GB379" s="1094">
        <f t="shared" si="2062"/>
        <v>0.367052023121387</v>
      </c>
      <c r="GC379" s="1093">
        <f t="shared" si="2062"/>
        <v>0.388663967611336</v>
      </c>
      <c r="GD379" s="1275">
        <f t="shared" ref="GD379:GF379" si="2063">GD377/GD$279</f>
        <v>0.410526315789474</v>
      </c>
      <c r="GE379" s="1087">
        <f t="shared" si="2063"/>
        <v>0.470899470899471</v>
      </c>
      <c r="GF379" s="1087">
        <f t="shared" si="2063"/>
        <v>0.440633245382586</v>
      </c>
      <c r="GG379" s="1087">
        <f t="shared" ref="GG379:GN379" si="2064">GG377/GG$279</f>
        <v>0.569565217391304</v>
      </c>
      <c r="GH379" s="1094">
        <f t="shared" si="2064"/>
        <v>0.489326765188834</v>
      </c>
      <c r="GI379" s="1094">
        <f t="shared" si="2064"/>
        <v>0.390909090909091</v>
      </c>
      <c r="GJ379" s="1094">
        <f t="shared" si="2064"/>
        <v>0.482222222222222</v>
      </c>
      <c r="GK379" s="1093">
        <f t="shared" si="2064"/>
        <v>0.463208685162847</v>
      </c>
      <c r="GL379" s="1094">
        <f t="shared" si="2064"/>
        <v>0.507692307692308</v>
      </c>
      <c r="GM379" s="1087">
        <f t="shared" si="2064"/>
        <v>0.448979591836735</v>
      </c>
      <c r="GN379" s="1087">
        <f t="shared" si="2064"/>
        <v>0.482456140350877</v>
      </c>
      <c r="GO379" s="1087">
        <f t="shared" ref="GO379:GV379" si="2065">GO377/GO$279</f>
        <v>0.450617283950617</v>
      </c>
      <c r="GP379" s="1094">
        <f t="shared" si="2065"/>
        <v>0.472222222222222</v>
      </c>
      <c r="GQ379" s="1094">
        <f t="shared" si="2065"/>
        <v>0.405940594059406</v>
      </c>
      <c r="GR379" s="1094">
        <f t="shared" si="2065"/>
        <v>0.433460076045627</v>
      </c>
      <c r="GS379" s="1093">
        <f t="shared" si="2065"/>
        <v>0.461157024793388</v>
      </c>
      <c r="GT379" s="1094">
        <f t="shared" si="2065"/>
        <v>0.455128205128205</v>
      </c>
      <c r="GU379" s="1087">
        <f t="shared" si="2065"/>
        <v>0.339457140141486</v>
      </c>
      <c r="GV379" s="1087">
        <f t="shared" si="2065"/>
        <v>0.418032893963344</v>
      </c>
      <c r="GW379" s="1087">
        <f t="shared" ref="GW379:GX379" si="2066">GW377/GW$279</f>
        <v>0.45071526553008</v>
      </c>
      <c r="GX379" s="1094">
        <f t="shared" si="2066"/>
        <v>0.43110543271228</v>
      </c>
      <c r="GY379" s="1094"/>
      <c r="GZ379" s="1094"/>
      <c r="HA379" s="1093"/>
      <c r="HB379" s="1094">
        <f>HB377/HB209</f>
        <v>0.41025641025641</v>
      </c>
      <c r="HC379" s="1094">
        <f t="shared" ref="HC379:HJ379" si="2067">HC377/HC209</f>
        <v>0.470588235294118</v>
      </c>
      <c r="HD379" s="1094">
        <f t="shared" si="2067"/>
        <v>0.438356164383562</v>
      </c>
      <c r="HE379" s="1094">
        <f t="shared" si="2067"/>
        <v>0.477272727272688</v>
      </c>
      <c r="HF379" s="1094">
        <f t="shared" si="2067"/>
        <v>0.452991452991439</v>
      </c>
      <c r="HG379" s="1094">
        <f t="shared" si="2067"/>
        <v>0.222222222222238</v>
      </c>
      <c r="HH379" s="1094"/>
      <c r="HI379" s="1093">
        <f t="shared" si="2067"/>
        <v>0.409722222222217</v>
      </c>
      <c r="HJ379" s="1094">
        <f t="shared" si="2067"/>
        <v>0.416666666666667</v>
      </c>
      <c r="HK379" s="1094">
        <f t="shared" ref="HK379" si="2068">HK377/HK209</f>
        <v>0.379310344827586</v>
      </c>
      <c r="HL379" s="1094"/>
      <c r="HM379" s="1094"/>
      <c r="HN379" s="1094"/>
      <c r="HO379" s="1094"/>
      <c r="HP379" s="1094"/>
      <c r="HQ379" s="1093"/>
      <c r="HR379" s="1094"/>
      <c r="HS379" s="1094"/>
      <c r="HT379" s="1094"/>
      <c r="HU379" s="1094"/>
      <c r="HV379" s="1094"/>
      <c r="HW379" s="1094"/>
      <c r="HX379" s="1094"/>
      <c r="HY379" s="1094"/>
      <c r="HZ379" s="1094"/>
      <c r="IA379" s="1094"/>
      <c r="IB379" s="1094"/>
      <c r="IC379" s="1094"/>
      <c r="ID379" s="1094"/>
      <c r="IE379" s="1094"/>
      <c r="IF379" s="1094"/>
      <c r="IG379" s="1093"/>
      <c r="IH379" s="1094"/>
      <c r="II379" s="1094"/>
      <c r="IJ379" s="1094"/>
      <c r="IK379" s="1094"/>
      <c r="IL379" s="1094"/>
      <c r="IM379" s="1094"/>
      <c r="IN379" s="1094"/>
      <c r="IO379" s="1093"/>
      <c r="IP379" s="1094"/>
      <c r="IQ379" s="1094"/>
      <c r="IR379" s="1094"/>
      <c r="IS379" s="1094"/>
      <c r="IT379" s="1094"/>
      <c r="IU379" s="1094"/>
      <c r="IV379" s="1094"/>
      <c r="IW379" s="1094"/>
      <c r="IX379" s="1104"/>
      <c r="IY379" s="1112"/>
      <c r="IZ379" s="1104"/>
      <c r="JA379" s="1104"/>
      <c r="JB379" s="1049"/>
      <c r="JC379" s="1049"/>
      <c r="JD379" s="1041"/>
      <c r="JE379" s="1037"/>
      <c r="JF379" s="1037"/>
      <c r="JG379" s="1037"/>
      <c r="JH379" s="1037"/>
      <c r="JI379" s="1035"/>
      <c r="JJ379" s="1035"/>
      <c r="JK379" s="1035"/>
      <c r="JL379" s="969"/>
      <c r="JM379" s="1035"/>
      <c r="JN379" s="1035"/>
      <c r="JO379" s="1035"/>
      <c r="JP379" s="1035"/>
      <c r="JQ379" s="1035"/>
      <c r="JR379" s="1035"/>
      <c r="JS379" s="1035"/>
      <c r="JT379" s="1035"/>
      <c r="JU379" s="1035"/>
      <c r="JV379" s="1035"/>
      <c r="JW379" s="1035"/>
      <c r="JX379" s="1035"/>
      <c r="JY379" s="1035"/>
      <c r="KP379" s="1117"/>
      <c r="LV379" s="967"/>
    </row>
    <row r="380" spans="1:334">
      <c r="A380" s="967" t="s">
        <v>129</v>
      </c>
      <c r="AX380" s="1059"/>
      <c r="BE380" s="1060"/>
      <c r="BN380" s="1059"/>
      <c r="BU380" s="1060"/>
      <c r="BV380" s="1059"/>
      <c r="CC380" s="1060"/>
      <c r="CD380" s="1059"/>
      <c r="CJ380" s="1061"/>
      <c r="CK380" s="1060"/>
      <c r="CL380" s="1059"/>
      <c r="CS380" s="1060"/>
      <c r="CT380" s="1059"/>
      <c r="CW380" s="1062"/>
      <c r="CX380" s="1062"/>
      <c r="DE380" s="1064"/>
      <c r="DF380" s="1064"/>
      <c r="DM380" s="1064"/>
      <c r="DN380" s="1064"/>
      <c r="DU380" s="1064"/>
      <c r="DV380" s="1064"/>
      <c r="EC380" s="1064"/>
      <c r="ED380" s="1064"/>
      <c r="EH380" s="1181"/>
      <c r="EI380" s="1181"/>
      <c r="EJ380" s="1181"/>
      <c r="EK380" s="1181"/>
      <c r="EL380" s="1181"/>
      <c r="EM380" s="1181"/>
      <c r="EN380" s="1181"/>
      <c r="EO380" s="1182"/>
      <c r="EP380" s="1181"/>
      <c r="EQ380" s="1181"/>
      <c r="ER380" s="1181"/>
      <c r="ES380" s="1181"/>
      <c r="ET380" s="1181"/>
      <c r="EU380" s="1181"/>
      <c r="EV380" s="1181"/>
      <c r="EW380" s="1182"/>
      <c r="EX380" s="1148">
        <f>EX377-EX383</f>
        <v>148</v>
      </c>
      <c r="EY380" s="1148">
        <f t="shared" ref="EY380:FE380" si="2069">EY377-EY383</f>
        <v>134</v>
      </c>
      <c r="EZ380" s="1148">
        <f t="shared" si="2069"/>
        <v>282</v>
      </c>
      <c r="FA380" s="1148">
        <f t="shared" si="2069"/>
        <v>127</v>
      </c>
      <c r="FB380" s="1148">
        <f t="shared" si="2069"/>
        <v>409</v>
      </c>
      <c r="FC380" s="1148">
        <f t="shared" si="2069"/>
        <v>120</v>
      </c>
      <c r="FD380" s="1148">
        <f t="shared" si="2069"/>
        <v>247</v>
      </c>
      <c r="FE380" s="1149">
        <f t="shared" si="2069"/>
        <v>529</v>
      </c>
      <c r="FF380" s="1148">
        <f t="shared" ref="FF380:FR380" si="2070">FF377-FF383</f>
        <v>146</v>
      </c>
      <c r="FG380" s="1148">
        <f t="shared" si="2070"/>
        <v>153</v>
      </c>
      <c r="FH380" s="1148">
        <f t="shared" si="2070"/>
        <v>299</v>
      </c>
      <c r="FI380" s="1148">
        <f t="shared" si="2070"/>
        <v>141</v>
      </c>
      <c r="FJ380" s="1148">
        <f t="shared" si="2070"/>
        <v>440</v>
      </c>
      <c r="FK380" s="1148">
        <f t="shared" si="2070"/>
        <v>146</v>
      </c>
      <c r="FL380" s="1148">
        <f t="shared" si="2070"/>
        <v>287</v>
      </c>
      <c r="FM380" s="1149">
        <f t="shared" si="2070"/>
        <v>586</v>
      </c>
      <c r="FN380" s="1148">
        <f t="shared" si="2070"/>
        <v>147</v>
      </c>
      <c r="FO380" s="1148">
        <f t="shared" si="2070"/>
        <v>168</v>
      </c>
      <c r="FP380" s="1148">
        <f t="shared" si="2070"/>
        <v>315</v>
      </c>
      <c r="FQ380" s="1148">
        <f t="shared" si="2070"/>
        <v>130</v>
      </c>
      <c r="FR380" s="1148">
        <f t="shared" si="2070"/>
        <v>445</v>
      </c>
      <c r="FS380" s="1148">
        <f t="shared" ref="FS380:FZ380" si="2071">FS377-FS383</f>
        <v>122</v>
      </c>
      <c r="FT380" s="1148">
        <f t="shared" si="2071"/>
        <v>252</v>
      </c>
      <c r="FU380" s="1148">
        <f t="shared" si="2071"/>
        <v>567</v>
      </c>
      <c r="FV380" s="1278">
        <f t="shared" si="2071"/>
        <v>50</v>
      </c>
      <c r="FW380" s="1279">
        <f t="shared" si="2071"/>
        <v>57</v>
      </c>
      <c r="FX380" s="1279">
        <f t="shared" si="2071"/>
        <v>107</v>
      </c>
      <c r="FY380" s="1148">
        <f t="shared" si="2071"/>
        <v>46</v>
      </c>
      <c r="FZ380" s="1148">
        <f t="shared" si="2071"/>
        <v>153</v>
      </c>
      <c r="GA380" s="1148">
        <f t="shared" ref="GA380:GC380" si="2072">GA377-GA383</f>
        <v>67</v>
      </c>
      <c r="GB380" s="1148">
        <f t="shared" si="2072"/>
        <v>113</v>
      </c>
      <c r="GC380" s="1149">
        <f t="shared" si="2072"/>
        <v>220</v>
      </c>
      <c r="GD380" s="1278">
        <f t="shared" ref="GD380:GF380" si="2073">GD377-GD383</f>
        <v>48</v>
      </c>
      <c r="GE380" s="1279">
        <f t="shared" si="2073"/>
        <v>63</v>
      </c>
      <c r="GF380" s="1279">
        <f t="shared" si="2073"/>
        <v>111</v>
      </c>
      <c r="GG380" s="1279">
        <f t="shared" ref="GG380:GN380" si="2074">GG377-GG383</f>
        <v>56</v>
      </c>
      <c r="GH380" s="1148">
        <f t="shared" si="2074"/>
        <v>167</v>
      </c>
      <c r="GI380" s="1148">
        <f t="shared" si="2074"/>
        <v>55</v>
      </c>
      <c r="GJ380" s="1148">
        <f t="shared" si="2074"/>
        <v>111</v>
      </c>
      <c r="GK380" s="1149">
        <f t="shared" si="2074"/>
        <v>222</v>
      </c>
      <c r="GL380" s="1279">
        <f t="shared" si="2074"/>
        <v>58</v>
      </c>
      <c r="GM380" s="1279">
        <f t="shared" si="2074"/>
        <v>46</v>
      </c>
      <c r="GN380" s="1279">
        <f t="shared" si="2074"/>
        <v>104</v>
      </c>
      <c r="GO380" s="1279">
        <f t="shared" ref="GO380:GV380" si="2075">GO377-GO383</f>
        <v>55</v>
      </c>
      <c r="GP380" s="1148">
        <f t="shared" si="2075"/>
        <v>159</v>
      </c>
      <c r="GQ380" s="1148">
        <f t="shared" si="2075"/>
        <v>52</v>
      </c>
      <c r="GR380" s="1148">
        <f t="shared" si="2075"/>
        <v>107</v>
      </c>
      <c r="GS380" s="1149">
        <f t="shared" si="2075"/>
        <v>211</v>
      </c>
      <c r="GT380" s="1279">
        <f t="shared" si="2075"/>
        <v>40</v>
      </c>
      <c r="GU380" s="1279">
        <f t="shared" si="2075"/>
        <v>34</v>
      </c>
      <c r="GV380" s="1279">
        <f t="shared" si="2075"/>
        <v>74</v>
      </c>
      <c r="GW380" s="1279">
        <f t="shared" ref="GW380:GX380" si="2076">GW377-GW383</f>
        <v>36</v>
      </c>
      <c r="GX380" s="1148">
        <f t="shared" si="2076"/>
        <v>110</v>
      </c>
      <c r="GY380" s="1148"/>
      <c r="GZ380" s="1148"/>
      <c r="HA380" s="1149"/>
      <c r="HB380" s="1279">
        <f t="shared" ref="HB380:HG380" si="2077">HB377-HB383</f>
        <v>8</v>
      </c>
      <c r="HC380" s="1279">
        <f t="shared" si="2077"/>
        <v>8</v>
      </c>
      <c r="HD380" s="1279">
        <f t="shared" si="2077"/>
        <v>16</v>
      </c>
      <c r="HE380" s="1279">
        <f t="shared" si="2077"/>
        <v>9</v>
      </c>
      <c r="HF380" s="1148">
        <f t="shared" si="2077"/>
        <v>25</v>
      </c>
      <c r="HG380" s="1279">
        <f t="shared" si="2077"/>
        <v>7</v>
      </c>
      <c r="HH380" s="1148"/>
      <c r="HI380" s="1149">
        <f>HG380+HF380</f>
        <v>32</v>
      </c>
      <c r="HJ380" s="1279">
        <f t="shared" ref="HJ380:HK380" si="2078">HJ377-HJ383</f>
        <v>8</v>
      </c>
      <c r="HK380" s="1279">
        <f t="shared" si="2078"/>
        <v>7</v>
      </c>
      <c r="HL380" s="1148"/>
      <c r="HM380" s="1148"/>
      <c r="HN380" s="1148"/>
      <c r="HO380" s="1148"/>
      <c r="HP380" s="1148"/>
      <c r="HQ380" s="1149"/>
      <c r="HR380" s="1148"/>
      <c r="HS380" s="1148"/>
      <c r="HT380" s="1148"/>
      <c r="HU380" s="1148"/>
      <c r="HV380" s="1148"/>
      <c r="HW380" s="1148"/>
      <c r="HX380" s="1148"/>
      <c r="HY380" s="1148"/>
      <c r="HZ380" s="1148"/>
      <c r="IA380" s="1148"/>
      <c r="IB380" s="1148"/>
      <c r="IC380" s="1148"/>
      <c r="ID380" s="1148"/>
      <c r="IE380" s="1148"/>
      <c r="IF380" s="1148"/>
      <c r="IG380" s="1149"/>
      <c r="IH380" s="1148"/>
      <c r="II380" s="1148"/>
      <c r="IJ380" s="1148"/>
      <c r="IK380" s="1148"/>
      <c r="IL380" s="1148"/>
      <c r="IM380" s="1148"/>
      <c r="IN380" s="1148"/>
      <c r="IO380" s="1149"/>
      <c r="IP380" s="1148"/>
      <c r="IQ380" s="1148"/>
      <c r="IR380" s="1148"/>
      <c r="IS380" s="1148"/>
      <c r="IT380" s="1148"/>
      <c r="IU380" s="1148"/>
      <c r="IV380" s="1148"/>
      <c r="IW380" s="1148"/>
      <c r="IX380" s="1104"/>
      <c r="IY380" s="1049"/>
      <c r="IZ380" s="1049"/>
      <c r="JA380" s="1049"/>
      <c r="JB380" s="1049"/>
      <c r="JC380" s="1049"/>
      <c r="JD380" s="1041"/>
      <c r="JE380" s="1037"/>
      <c r="JF380" s="1037"/>
      <c r="JG380" s="1037"/>
      <c r="JH380" s="1037"/>
      <c r="JI380" s="1035"/>
      <c r="JJ380" s="1035"/>
      <c r="JK380" s="1035"/>
      <c r="JL380" s="969"/>
      <c r="JM380" s="1035"/>
      <c r="JN380" s="1079"/>
      <c r="JO380" s="1079"/>
      <c r="JP380" s="1079"/>
      <c r="JQ380" s="1079"/>
      <c r="JR380" s="1079"/>
      <c r="JS380" s="1079"/>
      <c r="JT380" s="1079"/>
      <c r="JU380" s="1079"/>
      <c r="JV380" s="1079"/>
      <c r="JW380" s="1035"/>
      <c r="JX380" s="1035"/>
      <c r="JY380" s="1035"/>
      <c r="KP380" s="1117"/>
      <c r="LV380" s="967"/>
    </row>
    <row r="381" spans="1:334">
      <c r="A381" s="967" t="s">
        <v>61</v>
      </c>
      <c r="AX381" s="1059"/>
      <c r="BE381" s="1060"/>
      <c r="BN381" s="1059"/>
      <c r="BU381" s="1060"/>
      <c r="BV381" s="1059"/>
      <c r="CC381" s="1060"/>
      <c r="CD381" s="1059"/>
      <c r="CJ381" s="1061"/>
      <c r="CK381" s="1060"/>
      <c r="CL381" s="1059"/>
      <c r="CS381" s="1060"/>
      <c r="CT381" s="1059"/>
      <c r="CW381" s="1062"/>
      <c r="CX381" s="1062"/>
      <c r="DE381" s="1064"/>
      <c r="DF381" s="1064"/>
      <c r="DM381" s="1064"/>
      <c r="DN381" s="1064"/>
      <c r="DU381" s="1064"/>
      <c r="DV381" s="1064"/>
      <c r="EC381" s="1064"/>
      <c r="ED381" s="1064"/>
      <c r="EH381" s="1181"/>
      <c r="EI381" s="1181"/>
      <c r="EJ381" s="1181"/>
      <c r="EK381" s="1181"/>
      <c r="EL381" s="1181"/>
      <c r="EM381" s="1181"/>
      <c r="EN381" s="1181"/>
      <c r="EO381" s="1182"/>
      <c r="EP381" s="1181"/>
      <c r="EQ381" s="1181"/>
      <c r="ER381" s="1181"/>
      <c r="ES381" s="1181"/>
      <c r="ET381" s="1181"/>
      <c r="EU381" s="1181"/>
      <c r="EV381" s="1181"/>
      <c r="EW381" s="1182"/>
      <c r="EX381" s="1094"/>
      <c r="EY381" s="1094"/>
      <c r="EZ381" s="1094"/>
      <c r="FA381" s="1094"/>
      <c r="FB381" s="1094"/>
      <c r="FC381" s="1094"/>
      <c r="FD381" s="1094"/>
      <c r="FE381" s="1093"/>
      <c r="FF381" s="1094">
        <f t="shared" ref="FF381:FR381" si="2079">FF380/EX380-1</f>
        <v>-0.0135135135135135</v>
      </c>
      <c r="FG381" s="1094">
        <f t="shared" si="2079"/>
        <v>0.141791044776119</v>
      </c>
      <c r="FH381" s="1094">
        <f t="shared" si="2079"/>
        <v>0.0602836879432624</v>
      </c>
      <c r="FI381" s="1094">
        <f t="shared" si="2079"/>
        <v>0.110236220472441</v>
      </c>
      <c r="FJ381" s="1094">
        <f t="shared" si="2079"/>
        <v>0.0757946210268949</v>
      </c>
      <c r="FK381" s="1094">
        <f t="shared" si="2079"/>
        <v>0.216666666666667</v>
      </c>
      <c r="FL381" s="1094">
        <f t="shared" si="2079"/>
        <v>0.161943319838057</v>
      </c>
      <c r="FM381" s="1093">
        <f t="shared" si="2079"/>
        <v>0.107750472589792</v>
      </c>
      <c r="FN381" s="1094">
        <f t="shared" si="2079"/>
        <v>0.00684931506849318</v>
      </c>
      <c r="FO381" s="1094">
        <f t="shared" si="2079"/>
        <v>0.0980392156862746</v>
      </c>
      <c r="FP381" s="1094">
        <f t="shared" si="2079"/>
        <v>0.0535117056856187</v>
      </c>
      <c r="FQ381" s="1094">
        <f t="shared" si="2079"/>
        <v>-0.0780141843971631</v>
      </c>
      <c r="FR381" s="1094">
        <f t="shared" si="2079"/>
        <v>0.0113636363636365</v>
      </c>
      <c r="FS381" s="1094">
        <f t="shared" ref="FS381:FX381" si="2080">FS380/FK380-1</f>
        <v>-0.164383561643836</v>
      </c>
      <c r="FT381" s="1094">
        <f t="shared" si="2080"/>
        <v>-0.121951219512195</v>
      </c>
      <c r="FU381" s="1094">
        <f t="shared" si="2080"/>
        <v>-0.0324232081911263</v>
      </c>
      <c r="FV381" s="1086">
        <f t="shared" si="2080"/>
        <v>-0.659863945578231</v>
      </c>
      <c r="FW381" s="1087">
        <f t="shared" si="2080"/>
        <v>-0.660714285714286</v>
      </c>
      <c r="FX381" s="1087">
        <f t="shared" si="2080"/>
        <v>-0.66031746031746</v>
      </c>
      <c r="FY381" s="1094">
        <f t="shared" ref="FY381" si="2081">FY380/FQ380-1</f>
        <v>-0.646153846153846</v>
      </c>
      <c r="FZ381" s="1094">
        <f t="shared" ref="FZ381" si="2082">FZ380/FR380-1</f>
        <v>-0.656179775280899</v>
      </c>
      <c r="GA381" s="1094">
        <f t="shared" ref="GA381" si="2083">GA380/FS380-1</f>
        <v>-0.450819672131147</v>
      </c>
      <c r="GB381" s="1094">
        <f t="shared" ref="GB381" si="2084">GB380/FT380-1</f>
        <v>-0.551587301587302</v>
      </c>
      <c r="GC381" s="1093">
        <f t="shared" ref="GC381" si="2085">GC380/FU380-1</f>
        <v>-0.611992945326279</v>
      </c>
      <c r="GD381" s="1086">
        <f>GD380/54-1</f>
        <v>-0.111111111111111</v>
      </c>
      <c r="GE381" s="1087">
        <f>GE380/(79-20)-1</f>
        <v>0.0677966101694916</v>
      </c>
      <c r="GF381" s="1087">
        <f>((GD381*FV380)+(GE381*FW380))/FX380</f>
        <v>-0.0158051287466779</v>
      </c>
      <c r="GG381" s="1087">
        <f>GG380/(68-20)-1</f>
        <v>0.166666666666667</v>
      </c>
      <c r="GH381" s="1094">
        <f>AVERAGE(GG381,GE381,GD381)</f>
        <v>0.0411173885750157</v>
      </c>
      <c r="GI381" s="1094">
        <f t="shared" ref="GI381" si="2086">GI380/GA380-1</f>
        <v>-0.17910447761194</v>
      </c>
      <c r="GJ381" s="1094">
        <f t="shared" ref="GJ381" si="2087">GJ380/GB380-1</f>
        <v>-0.0176991150442478</v>
      </c>
      <c r="GK381" s="1093">
        <f t="shared" ref="GK381:GN381" si="2088">GK380/GC380-1</f>
        <v>0.00909090909090904</v>
      </c>
      <c r="GL381" s="1094">
        <f t="shared" si="2088"/>
        <v>0.208333333333333</v>
      </c>
      <c r="GM381" s="1094">
        <f t="shared" si="2088"/>
        <v>-0.26984126984127</v>
      </c>
      <c r="GN381" s="1094">
        <f t="shared" si="2088"/>
        <v>-0.0630630630630631</v>
      </c>
      <c r="GO381" s="1087">
        <f>GO380/(68-20)-1</f>
        <v>0.145833333333333</v>
      </c>
      <c r="GP381" s="1094">
        <f>AVERAGE(GO381,GM381,GL381)</f>
        <v>0.0281084656084655</v>
      </c>
      <c r="GQ381" s="1094">
        <f t="shared" ref="GQ381" si="2089">GQ380/GI380-1</f>
        <v>-0.0545454545454546</v>
      </c>
      <c r="GR381" s="1094">
        <f t="shared" ref="GR381" si="2090">GR380/GJ380-1</f>
        <v>-0.036036036036036</v>
      </c>
      <c r="GS381" s="1093">
        <f t="shared" ref="GS381:GV381" si="2091">GS380/GK380-1</f>
        <v>-0.0495495495495496</v>
      </c>
      <c r="GT381" s="1094">
        <f t="shared" si="2091"/>
        <v>-0.310344827586207</v>
      </c>
      <c r="GU381" s="1094">
        <f t="shared" si="2091"/>
        <v>-0.260869565217391</v>
      </c>
      <c r="GV381" s="1094">
        <f t="shared" si="2091"/>
        <v>-0.288461538461538</v>
      </c>
      <c r="GW381" s="1087">
        <f>GW380/(68-20)-1</f>
        <v>-0.25</v>
      </c>
      <c r="GX381" s="1094">
        <f>AVERAGE(GW381,GU381,GT381)</f>
        <v>-0.273738130934533</v>
      </c>
      <c r="GY381" s="1094"/>
      <c r="GZ381" s="1094"/>
      <c r="HA381" s="1093"/>
      <c r="HB381" s="1094"/>
      <c r="HC381" s="1094"/>
      <c r="HD381" s="1094"/>
      <c r="HE381" s="1094"/>
      <c r="HF381" s="1094"/>
      <c r="HG381" s="1094"/>
      <c r="HH381" s="1094"/>
      <c r="HI381" s="1093"/>
      <c r="HJ381" s="1094">
        <f>HJ380/HB380-1</f>
        <v>0</v>
      </c>
      <c r="HK381" s="1094">
        <f>HK380/HC380-1</f>
        <v>-0.125</v>
      </c>
      <c r="HL381" s="1094"/>
      <c r="HM381" s="1094"/>
      <c r="HN381" s="1094"/>
      <c r="HO381" s="1094"/>
      <c r="HP381" s="1094"/>
      <c r="HQ381" s="1093"/>
      <c r="HR381" s="1094"/>
      <c r="HS381" s="1094"/>
      <c r="HT381" s="1094"/>
      <c r="HU381" s="1094"/>
      <c r="HV381" s="1094"/>
      <c r="HW381" s="1094"/>
      <c r="HX381" s="1094"/>
      <c r="HY381" s="1094"/>
      <c r="HZ381" s="1094"/>
      <c r="IA381" s="1094"/>
      <c r="IB381" s="1094"/>
      <c r="IC381" s="1094"/>
      <c r="ID381" s="1094"/>
      <c r="IE381" s="1094"/>
      <c r="IF381" s="1094"/>
      <c r="IG381" s="1093"/>
      <c r="IH381" s="1094"/>
      <c r="II381" s="1094"/>
      <c r="IJ381" s="1094"/>
      <c r="IK381" s="1094"/>
      <c r="IL381" s="1094"/>
      <c r="IM381" s="1094"/>
      <c r="IN381" s="1094"/>
      <c r="IO381" s="1093"/>
      <c r="IP381" s="1094"/>
      <c r="IQ381" s="1094"/>
      <c r="IR381" s="1094"/>
      <c r="IS381" s="1094"/>
      <c r="IT381" s="1094"/>
      <c r="IU381" s="1094"/>
      <c r="IV381" s="1094"/>
      <c r="IW381" s="1094"/>
      <c r="IX381" s="1104"/>
      <c r="IY381" s="1104"/>
      <c r="IZ381" s="1049"/>
      <c r="JA381" s="1104"/>
      <c r="JB381" s="1049"/>
      <c r="JC381" s="1049"/>
      <c r="JD381" s="1041"/>
      <c r="JE381" s="1037"/>
      <c r="JF381" s="1037"/>
      <c r="JG381" s="1037"/>
      <c r="JH381" s="1037"/>
      <c r="JI381" s="1035"/>
      <c r="JJ381" s="1035"/>
      <c r="JK381" s="1035"/>
      <c r="JL381" s="1035"/>
      <c r="JM381" s="1035"/>
      <c r="JN381" s="1082"/>
      <c r="JO381" s="1082"/>
      <c r="JP381" s="1082"/>
      <c r="JQ381" s="1082"/>
      <c r="JR381" s="1082"/>
      <c r="JS381" s="1082"/>
      <c r="JT381" s="1082"/>
      <c r="JU381" s="1082"/>
      <c r="JV381" s="1082"/>
      <c r="JW381" s="1035"/>
      <c r="JX381" s="1035"/>
      <c r="JY381" s="1035"/>
      <c r="KP381" s="1117"/>
      <c r="LV381" s="967"/>
    </row>
    <row r="382" spans="1:334">
      <c r="A382" s="967" t="s">
        <v>130</v>
      </c>
      <c r="AX382" s="1059"/>
      <c r="BE382" s="1060"/>
      <c r="BN382" s="1059"/>
      <c r="BU382" s="1060"/>
      <c r="BV382" s="1059"/>
      <c r="CC382" s="1060"/>
      <c r="CD382" s="1059"/>
      <c r="CJ382" s="1061"/>
      <c r="CK382" s="1060"/>
      <c r="CL382" s="1059"/>
      <c r="CS382" s="1060"/>
      <c r="CT382" s="1059"/>
      <c r="CW382" s="1062"/>
      <c r="CX382" s="1062"/>
      <c r="DE382" s="1064"/>
      <c r="DF382" s="1064"/>
      <c r="DM382" s="1064"/>
      <c r="DN382" s="1064"/>
      <c r="DU382" s="1064"/>
      <c r="DV382" s="1064"/>
      <c r="EC382" s="1064"/>
      <c r="ED382" s="1064"/>
      <c r="EH382" s="1181"/>
      <c r="EI382" s="1181"/>
      <c r="EJ382" s="1181"/>
      <c r="EK382" s="1181"/>
      <c r="EL382" s="1181"/>
      <c r="EM382" s="1181"/>
      <c r="EN382" s="1181"/>
      <c r="EO382" s="1182"/>
      <c r="EP382" s="1181"/>
      <c r="EQ382" s="1181"/>
      <c r="ER382" s="1181"/>
      <c r="ES382" s="1181"/>
      <c r="ET382" s="1181"/>
      <c r="EU382" s="1181"/>
      <c r="EV382" s="1181"/>
      <c r="EW382" s="1182"/>
      <c r="EX382" s="1094">
        <f>EX380/EX$279</f>
        <v>0.444444444444444</v>
      </c>
      <c r="EY382" s="1094">
        <f t="shared" ref="EY382:FH382" si="2092">EY380/EY$279</f>
        <v>0.363143631436314</v>
      </c>
      <c r="EZ382" s="1094">
        <f t="shared" si="2092"/>
        <v>0.401709401709402</v>
      </c>
      <c r="FA382" s="1094">
        <f t="shared" si="2092"/>
        <v>0.437931034482759</v>
      </c>
      <c r="FB382" s="1094">
        <f t="shared" si="2092"/>
        <v>0.412298387096774</v>
      </c>
      <c r="FC382" s="1094">
        <f t="shared" si="2092"/>
        <v>0.327868852459016</v>
      </c>
      <c r="FD382" s="1094">
        <f t="shared" si="2092"/>
        <v>0.376524390243902</v>
      </c>
      <c r="FE382" s="1093">
        <f t="shared" si="2092"/>
        <v>0.389543446244477</v>
      </c>
      <c r="FF382" s="1094">
        <f t="shared" si="2092"/>
        <v>0.387267904509284</v>
      </c>
      <c r="FG382" s="1094">
        <f t="shared" si="2092"/>
        <v>0.419178082191781</v>
      </c>
      <c r="FH382" s="1094">
        <f t="shared" si="2092"/>
        <v>0.402964959568733</v>
      </c>
      <c r="FI382" s="1094">
        <f t="shared" ref="FI382:FR382" si="2093">FI380/FI$279</f>
        <v>0.412280701754386</v>
      </c>
      <c r="FJ382" s="1094">
        <f t="shared" si="2093"/>
        <v>0.40590405904059</v>
      </c>
      <c r="FK382" s="1094">
        <f t="shared" si="2093"/>
        <v>0.381201044386423</v>
      </c>
      <c r="FL382" s="1094">
        <f t="shared" si="2093"/>
        <v>0.395862068965517</v>
      </c>
      <c r="FM382" s="1093">
        <f t="shared" si="2093"/>
        <v>0.39945466939332</v>
      </c>
      <c r="FN382" s="1094">
        <f t="shared" si="2093"/>
        <v>0.371212121212121</v>
      </c>
      <c r="FO382" s="1094">
        <f t="shared" si="2093"/>
        <v>0.445623342175066</v>
      </c>
      <c r="FP382" s="1094">
        <f t="shared" si="2093"/>
        <v>0.407503234152652</v>
      </c>
      <c r="FQ382" s="1094">
        <f t="shared" si="2093"/>
        <v>0.355191256830601</v>
      </c>
      <c r="FR382" s="1094">
        <f t="shared" si="2093"/>
        <v>0.390693590869183</v>
      </c>
      <c r="FS382" s="1094">
        <f t="shared" ref="FS382:FZ382" si="2094">FS380/FS$279</f>
        <v>0.363095238095238</v>
      </c>
      <c r="FT382" s="1094">
        <f t="shared" si="2094"/>
        <v>0.358974358974359</v>
      </c>
      <c r="FU382" s="1094">
        <f t="shared" si="2094"/>
        <v>0.384406779661017</v>
      </c>
      <c r="FV382" s="1086">
        <f t="shared" si="2094"/>
        <v>0.253807106598985</v>
      </c>
      <c r="FW382" s="1087">
        <f t="shared" si="2094"/>
        <v>0.287878787878788</v>
      </c>
      <c r="FX382" s="1087">
        <f t="shared" si="2094"/>
        <v>0.270886075949367</v>
      </c>
      <c r="FY382" s="1094">
        <f t="shared" si="2094"/>
        <v>0.239583333333333</v>
      </c>
      <c r="FZ382" s="1094">
        <f t="shared" si="2094"/>
        <v>0.260647359454855</v>
      </c>
      <c r="GA382" s="1094">
        <f t="shared" ref="GA382:GC382" si="2095">GA380/GA$279</f>
        <v>0.435064935064935</v>
      </c>
      <c r="GB382" s="1094">
        <f t="shared" si="2095"/>
        <v>0.326589595375723</v>
      </c>
      <c r="GC382" s="1093">
        <f t="shared" si="2095"/>
        <v>0.296896086369771</v>
      </c>
      <c r="GD382" s="1086">
        <f t="shared" ref="GD382:GF382" si="2096">GD380/GD$279</f>
        <v>0.252631578947368</v>
      </c>
      <c r="GE382" s="1087">
        <f t="shared" si="2096"/>
        <v>0.333333333333333</v>
      </c>
      <c r="GF382" s="1087">
        <f t="shared" si="2096"/>
        <v>0.29287598944591</v>
      </c>
      <c r="GG382" s="1087">
        <f t="shared" ref="GG382:GN382" si="2097">GG380/GG$279</f>
        <v>0.243478260869565</v>
      </c>
      <c r="GH382" s="1094">
        <f t="shared" si="2097"/>
        <v>0.274220032840722</v>
      </c>
      <c r="GI382" s="1094">
        <f t="shared" si="2097"/>
        <v>0.25</v>
      </c>
      <c r="GJ382" s="1094">
        <f t="shared" si="2097"/>
        <v>0.246666666666667</v>
      </c>
      <c r="GK382" s="1093">
        <f t="shared" si="2097"/>
        <v>0.267792521109771</v>
      </c>
      <c r="GL382" s="1087">
        <f t="shared" si="2097"/>
        <v>0.297435897435897</v>
      </c>
      <c r="GM382" s="1087">
        <f t="shared" si="2097"/>
        <v>0.312925170068027</v>
      </c>
      <c r="GN382" s="1087">
        <f t="shared" si="2097"/>
        <v>0.304093567251462</v>
      </c>
      <c r="GO382" s="1087">
        <f t="shared" ref="GO382:GV382" si="2098">GO380/GO$279</f>
        <v>0.339506172839506</v>
      </c>
      <c r="GP382" s="1094">
        <f t="shared" si="2098"/>
        <v>0.31547619047619</v>
      </c>
      <c r="GQ382" s="1094">
        <f t="shared" si="2098"/>
        <v>0.514851485148515</v>
      </c>
      <c r="GR382" s="1094">
        <f t="shared" si="2098"/>
        <v>0.406844106463878</v>
      </c>
      <c r="GS382" s="1093">
        <f t="shared" si="2098"/>
        <v>0.348760330578512</v>
      </c>
      <c r="GT382" s="1087">
        <f t="shared" si="2098"/>
        <v>0.256410256410256</v>
      </c>
      <c r="GU382" s="1087">
        <f t="shared" si="2098"/>
        <v>0.461661710592421</v>
      </c>
      <c r="GV382" s="1087">
        <f t="shared" si="2098"/>
        <v>0.322233689096744</v>
      </c>
      <c r="GW382" s="1087">
        <f t="shared" ref="GW382:GX382" si="2099">GW380/GW$279</f>
        <v>0.235155790711346</v>
      </c>
      <c r="GX382" s="1094">
        <f t="shared" si="2099"/>
        <v>0.287403621808187</v>
      </c>
      <c r="GY382" s="1094"/>
      <c r="GZ382" s="1094"/>
      <c r="HA382" s="1093"/>
      <c r="HB382" s="1087">
        <f>HB380/HB209</f>
        <v>0.205128205128205</v>
      </c>
      <c r="HC382" s="1087">
        <f t="shared" ref="HC382:HJ382" si="2100">HC380/HC209</f>
        <v>0.235294117647059</v>
      </c>
      <c r="HD382" s="1087">
        <f t="shared" si="2100"/>
        <v>0.219178082191781</v>
      </c>
      <c r="HE382" s="1087">
        <f t="shared" si="2100"/>
        <v>0.204545454545438</v>
      </c>
      <c r="HF382" s="1087">
        <f t="shared" si="2100"/>
        <v>0.213675213675207</v>
      </c>
      <c r="HG382" s="1087">
        <f t="shared" si="2100"/>
        <v>0.259259259259278</v>
      </c>
      <c r="HH382" s="1094"/>
      <c r="HI382" s="1088">
        <f t="shared" si="2100"/>
        <v>0.22222222222222</v>
      </c>
      <c r="HJ382" s="1087">
        <f t="shared" si="2100"/>
        <v>0.222222222222222</v>
      </c>
      <c r="HK382" s="1087">
        <f t="shared" ref="HK382" si="2101">HK380/HK209</f>
        <v>0.241379310344828</v>
      </c>
      <c r="HL382" s="1094"/>
      <c r="HM382" s="1094"/>
      <c r="HN382" s="1094"/>
      <c r="HO382" s="1094"/>
      <c r="HP382" s="1094"/>
      <c r="HQ382" s="1093"/>
      <c r="HR382" s="1094"/>
      <c r="HS382" s="1094"/>
      <c r="HT382" s="1094"/>
      <c r="HU382" s="1094"/>
      <c r="HV382" s="1094"/>
      <c r="HW382" s="1094"/>
      <c r="HX382" s="1094"/>
      <c r="HY382" s="1094"/>
      <c r="HZ382" s="1094"/>
      <c r="IA382" s="1094"/>
      <c r="IB382" s="1094"/>
      <c r="IC382" s="1094"/>
      <c r="ID382" s="1094"/>
      <c r="IE382" s="1094"/>
      <c r="IF382" s="1094"/>
      <c r="IG382" s="1093"/>
      <c r="IH382" s="1094"/>
      <c r="II382" s="1094"/>
      <c r="IJ382" s="1094"/>
      <c r="IK382" s="1094"/>
      <c r="IL382" s="1094"/>
      <c r="IM382" s="1094"/>
      <c r="IN382" s="1094"/>
      <c r="IO382" s="1093"/>
      <c r="IP382" s="1094"/>
      <c r="IQ382" s="1094"/>
      <c r="IR382" s="1094"/>
      <c r="IS382" s="1094"/>
      <c r="IT382" s="1094"/>
      <c r="IU382" s="1094"/>
      <c r="IV382" s="1094"/>
      <c r="IW382" s="1094"/>
      <c r="IX382" s="1104"/>
      <c r="IY382" s="1049"/>
      <c r="IZ382" s="1049"/>
      <c r="JA382" s="1049"/>
      <c r="JB382" s="1049"/>
      <c r="JC382" s="1049"/>
      <c r="JD382" s="1041"/>
      <c r="JE382" s="1037"/>
      <c r="JF382" s="1037"/>
      <c r="JG382" s="1037"/>
      <c r="JH382" s="1037"/>
      <c r="JI382" s="1035"/>
      <c r="JJ382" s="1035"/>
      <c r="JK382" s="1035"/>
      <c r="JL382" s="1035"/>
      <c r="JM382" s="1035"/>
      <c r="JN382" s="1082"/>
      <c r="JO382" s="1082"/>
      <c r="JP382" s="1082"/>
      <c r="JQ382" s="1082"/>
      <c r="JR382" s="1082"/>
      <c r="JS382" s="1082"/>
      <c r="JT382" s="1082"/>
      <c r="JU382" s="1082"/>
      <c r="JV382" s="1082"/>
      <c r="JW382" s="1035"/>
      <c r="JX382" s="1035"/>
      <c r="JY382" s="1035"/>
      <c r="KP382" s="1117"/>
      <c r="LV382" s="967"/>
    </row>
    <row r="383" spans="1:334">
      <c r="A383" s="1103" t="s">
        <v>131</v>
      </c>
      <c r="AX383" s="1059"/>
      <c r="BE383" s="1060"/>
      <c r="BN383" s="1059"/>
      <c r="BU383" s="1060"/>
      <c r="BV383" s="1059"/>
      <c r="CC383" s="1060"/>
      <c r="CD383" s="1059"/>
      <c r="CJ383" s="1061"/>
      <c r="CK383" s="1060"/>
      <c r="CL383" s="1059"/>
      <c r="CS383" s="1060"/>
      <c r="CT383" s="1059"/>
      <c r="CW383" s="1062"/>
      <c r="CX383" s="1062"/>
      <c r="DE383" s="1064"/>
      <c r="DF383" s="1064"/>
      <c r="DM383" s="1064"/>
      <c r="DN383" s="1064"/>
      <c r="DU383" s="1064"/>
      <c r="DV383" s="1064"/>
      <c r="EC383" s="1064"/>
      <c r="ED383" s="1064"/>
      <c r="EH383" s="1181"/>
      <c r="EI383" s="1181"/>
      <c r="EJ383" s="1181"/>
      <c r="EK383" s="1181"/>
      <c r="EL383" s="1181"/>
      <c r="EM383" s="1181"/>
      <c r="EN383" s="1181"/>
      <c r="EO383" s="1182"/>
      <c r="EP383" s="1181"/>
      <c r="EQ383" s="1181"/>
      <c r="ER383" s="1181"/>
      <c r="ES383" s="1181"/>
      <c r="ET383" s="1181"/>
      <c r="EU383" s="1181"/>
      <c r="EV383" s="1181"/>
      <c r="EW383" s="1182"/>
      <c r="EX383" s="1071">
        <v>-21</v>
      </c>
      <c r="EY383" s="1071">
        <v>2</v>
      </c>
      <c r="EZ383" s="1071">
        <f>EX383+EY383</f>
        <v>-19</v>
      </c>
      <c r="FA383" s="1071">
        <v>-34</v>
      </c>
      <c r="FB383" s="1071">
        <f>EX383+EY383+FA383</f>
        <v>-53</v>
      </c>
      <c r="FC383" s="1071">
        <v>-5</v>
      </c>
      <c r="FD383" s="1071">
        <f>FA383+FC383</f>
        <v>-39</v>
      </c>
      <c r="FE383" s="1072">
        <f>EX383+EY383+FA383+FC383</f>
        <v>-58</v>
      </c>
      <c r="FF383" s="1071">
        <v>-5</v>
      </c>
      <c r="FG383" s="1071">
        <f>FH383-FF383</f>
        <v>-40</v>
      </c>
      <c r="FH383" s="1071">
        <v>-45</v>
      </c>
      <c r="FI383" s="1071">
        <f>FJ383-FH383</f>
        <v>-23</v>
      </c>
      <c r="FJ383" s="1071">
        <v>-68</v>
      </c>
      <c r="FK383" s="1071">
        <f>FM383-FJ383</f>
        <v>-21</v>
      </c>
      <c r="FL383" s="1071">
        <f>FI383+FK383</f>
        <v>-44</v>
      </c>
      <c r="FM383" s="1072">
        <v>-89</v>
      </c>
      <c r="FN383" s="1071">
        <v>-1</v>
      </c>
      <c r="FO383" s="1071">
        <f>FP383-FN383</f>
        <v>-19</v>
      </c>
      <c r="FP383" s="1071">
        <v>-20</v>
      </c>
      <c r="FQ383" s="1071">
        <f>FR383-FP383</f>
        <v>8</v>
      </c>
      <c r="FR383" s="1071">
        <v>-12</v>
      </c>
      <c r="FS383" s="1071">
        <f>FU383-FR383</f>
        <v>-2</v>
      </c>
      <c r="FT383" s="1071">
        <f>FQ383+FS383</f>
        <v>6</v>
      </c>
      <c r="FU383" s="1071">
        <v>-14</v>
      </c>
      <c r="FV383" s="1075">
        <f>FX383-FW383</f>
        <v>32</v>
      </c>
      <c r="FW383" s="1076">
        <v>22</v>
      </c>
      <c r="FX383" s="1076">
        <v>54</v>
      </c>
      <c r="FY383" s="1071">
        <f>FZ383-FX383</f>
        <v>22</v>
      </c>
      <c r="FZ383" s="1071">
        <v>76</v>
      </c>
      <c r="GA383" s="1071">
        <f>GC383-FZ383</f>
        <v>-8</v>
      </c>
      <c r="GB383" s="1071">
        <f>FY383+GA383</f>
        <v>14</v>
      </c>
      <c r="GC383" s="1072">
        <v>68</v>
      </c>
      <c r="GD383" s="1075">
        <v>30</v>
      </c>
      <c r="GE383" s="1076">
        <v>26</v>
      </c>
      <c r="GF383" s="1076">
        <f>GE383+GD383</f>
        <v>56</v>
      </c>
      <c r="GG383" s="1076">
        <v>75</v>
      </c>
      <c r="GH383" s="1071">
        <f>GG383+GF383</f>
        <v>131</v>
      </c>
      <c r="GI383" s="1071">
        <f>GK383-GH383</f>
        <v>31</v>
      </c>
      <c r="GJ383" s="1071">
        <f>GG383+GI383</f>
        <v>106</v>
      </c>
      <c r="GK383" s="1072">
        <v>162</v>
      </c>
      <c r="GL383" s="1076">
        <v>41</v>
      </c>
      <c r="GM383" s="1076">
        <v>20</v>
      </c>
      <c r="GN383" s="1076">
        <f>GM383+GL383</f>
        <v>61</v>
      </c>
      <c r="GO383" s="1076">
        <v>18</v>
      </c>
      <c r="GP383" s="1071">
        <f>GO383+GN383</f>
        <v>79</v>
      </c>
      <c r="GQ383" s="1071">
        <f>GS383-GP383</f>
        <v>-11</v>
      </c>
      <c r="GR383" s="1071">
        <f>GO383+GQ383</f>
        <v>7</v>
      </c>
      <c r="GS383" s="1072">
        <v>68</v>
      </c>
      <c r="GT383" s="1076">
        <v>31</v>
      </c>
      <c r="GU383" s="1076">
        <v>-9</v>
      </c>
      <c r="GV383" s="1076">
        <f>GU383+GT383</f>
        <v>22</v>
      </c>
      <c r="GW383" s="1076">
        <v>33</v>
      </c>
      <c r="GX383" s="1071">
        <f>GW383+GV383</f>
        <v>55</v>
      </c>
      <c r="GY383" s="1071"/>
      <c r="GZ383" s="1071"/>
      <c r="HA383" s="1072"/>
      <c r="HB383" s="1076">
        <v>8</v>
      </c>
      <c r="HC383" s="1076">
        <v>8</v>
      </c>
      <c r="HD383" s="1076">
        <f>HC383+HB383</f>
        <v>16</v>
      </c>
      <c r="HE383" s="1076">
        <v>12</v>
      </c>
      <c r="HF383" s="1071">
        <f>HE383+HD383</f>
        <v>28</v>
      </c>
      <c r="HG383" s="1076">
        <v>-1</v>
      </c>
      <c r="HH383" s="1071"/>
      <c r="HI383" s="1072">
        <f>HG383+HF383</f>
        <v>27</v>
      </c>
      <c r="HJ383" s="1076">
        <v>7</v>
      </c>
      <c r="HK383" s="1076">
        <v>4</v>
      </c>
      <c r="HL383" s="1071"/>
      <c r="HM383" s="1071"/>
      <c r="HN383" s="1071"/>
      <c r="HO383" s="1071"/>
      <c r="HP383" s="1071"/>
      <c r="HQ383" s="1072"/>
      <c r="HR383" s="1071"/>
      <c r="HS383" s="1071"/>
      <c r="HT383" s="1071"/>
      <c r="HU383" s="1071"/>
      <c r="HV383" s="1071"/>
      <c r="HW383" s="1071"/>
      <c r="HX383" s="1071"/>
      <c r="HY383" s="1071"/>
      <c r="HZ383" s="1071"/>
      <c r="IA383" s="1071"/>
      <c r="IB383" s="1071"/>
      <c r="IC383" s="1071"/>
      <c r="ID383" s="1071"/>
      <c r="IE383" s="1071"/>
      <c r="IF383" s="1071"/>
      <c r="IG383" s="1072"/>
      <c r="IH383" s="1071"/>
      <c r="II383" s="1071"/>
      <c r="IJ383" s="1071"/>
      <c r="IK383" s="1071"/>
      <c r="IL383" s="1071"/>
      <c r="IM383" s="1071"/>
      <c r="IN383" s="1071"/>
      <c r="IO383" s="1072"/>
      <c r="IP383" s="1071"/>
      <c r="IQ383" s="1071"/>
      <c r="IR383" s="1071"/>
      <c r="IS383" s="1071"/>
      <c r="IT383" s="1071"/>
      <c r="IU383" s="1071"/>
      <c r="IV383" s="1071"/>
      <c r="IW383" s="1071"/>
      <c r="IX383" s="1104"/>
      <c r="IY383" s="1049"/>
      <c r="IZ383" s="1049"/>
      <c r="JA383" s="1049"/>
      <c r="JB383" s="1049"/>
      <c r="JC383" s="1049"/>
      <c r="JD383" s="1041"/>
      <c r="JE383" s="1037"/>
      <c r="JF383" s="1037"/>
      <c r="JG383" s="1037"/>
      <c r="JH383" s="1037"/>
      <c r="JI383" s="1035"/>
      <c r="JJ383" s="1035"/>
      <c r="JK383" s="1035"/>
      <c r="JL383" s="969"/>
      <c r="JM383" s="1035"/>
      <c r="JN383" s="1079"/>
      <c r="JO383" s="1079"/>
      <c r="JP383" s="1079"/>
      <c r="JQ383" s="1079"/>
      <c r="JR383" s="1079"/>
      <c r="JS383" s="1079"/>
      <c r="JT383" s="1079"/>
      <c r="JU383" s="1079"/>
      <c r="JV383" s="1079"/>
      <c r="JW383" s="1035"/>
      <c r="JX383" s="1035"/>
      <c r="JY383" s="1035"/>
      <c r="KP383" s="1117"/>
      <c r="LV383" s="967"/>
    </row>
    <row r="384" spans="1:334">
      <c r="A384" s="967" t="s">
        <v>61</v>
      </c>
      <c r="AX384" s="1059"/>
      <c r="BE384" s="1060"/>
      <c r="BN384" s="1059"/>
      <c r="BU384" s="1060"/>
      <c r="BV384" s="1059"/>
      <c r="CC384" s="1060"/>
      <c r="CD384" s="1059"/>
      <c r="CJ384" s="1061"/>
      <c r="CK384" s="1060"/>
      <c r="CL384" s="1059"/>
      <c r="CS384" s="1060"/>
      <c r="CT384" s="1059"/>
      <c r="CW384" s="1062"/>
      <c r="CX384" s="1062"/>
      <c r="DE384" s="1064"/>
      <c r="DF384" s="1064"/>
      <c r="DM384" s="1064"/>
      <c r="DN384" s="1064"/>
      <c r="DU384" s="1064"/>
      <c r="DV384" s="1064"/>
      <c r="EC384" s="1064"/>
      <c r="ED384" s="1064"/>
      <c r="EH384" s="1181"/>
      <c r="EI384" s="1181"/>
      <c r="EJ384" s="1181"/>
      <c r="EK384" s="1181"/>
      <c r="EL384" s="1181"/>
      <c r="EM384" s="1181"/>
      <c r="EN384" s="1181"/>
      <c r="EO384" s="1182"/>
      <c r="EP384" s="1181"/>
      <c r="EQ384" s="1181"/>
      <c r="ER384" s="1181"/>
      <c r="ES384" s="1181"/>
      <c r="ET384" s="1181"/>
      <c r="EU384" s="1181"/>
      <c r="EV384" s="1181"/>
      <c r="EW384" s="1182"/>
      <c r="EX384" s="1094"/>
      <c r="EY384" s="1094"/>
      <c r="EZ384" s="1094"/>
      <c r="FA384" s="1094"/>
      <c r="FB384" s="1094"/>
      <c r="FC384" s="1094"/>
      <c r="FD384" s="1094"/>
      <c r="FE384" s="1093"/>
      <c r="FF384" s="1094">
        <f t="shared" ref="FF384:FN384" si="2102">FF383/EX383-1</f>
        <v>-0.761904761904762</v>
      </c>
      <c r="FG384" s="1094">
        <f t="shared" si="2102"/>
        <v>-21</v>
      </c>
      <c r="FH384" s="1094">
        <f t="shared" si="2102"/>
        <v>1.36842105263158</v>
      </c>
      <c r="FI384" s="1094">
        <f t="shared" si="2102"/>
        <v>-0.323529411764706</v>
      </c>
      <c r="FJ384" s="1094">
        <f t="shared" si="2102"/>
        <v>0.283018867924528</v>
      </c>
      <c r="FK384" s="1094">
        <f t="shared" si="2102"/>
        <v>3.2</v>
      </c>
      <c r="FL384" s="1094">
        <f t="shared" si="2102"/>
        <v>0.128205128205128</v>
      </c>
      <c r="FM384" s="1093">
        <f t="shared" si="2102"/>
        <v>0.53448275862069</v>
      </c>
      <c r="FN384" s="1094">
        <f t="shared" si="2102"/>
        <v>-0.8</v>
      </c>
      <c r="FO384" s="1094">
        <f t="shared" ref="FO384:FT384" si="2103">FO383/FG383-1</f>
        <v>-0.525</v>
      </c>
      <c r="FP384" s="1094">
        <f t="shared" si="2103"/>
        <v>-0.555555555555556</v>
      </c>
      <c r="FQ384" s="1094">
        <f t="shared" si="2103"/>
        <v>-1.34782608695652</v>
      </c>
      <c r="FR384" s="1094">
        <f t="shared" si="2103"/>
        <v>-0.823529411764706</v>
      </c>
      <c r="FS384" s="1094">
        <f t="shared" si="2103"/>
        <v>-0.904761904761905</v>
      </c>
      <c r="FT384" s="1094">
        <f t="shared" si="2103"/>
        <v>-1.13636363636364</v>
      </c>
      <c r="FU384" s="1094">
        <f>-(FU383/FM383-1)</f>
        <v>0.842696629213483</v>
      </c>
      <c r="FV384" s="1275">
        <f>-(FV383/FN383-1)</f>
        <v>33</v>
      </c>
      <c r="FW384" s="1087">
        <f>FW383/FO383-1</f>
        <v>-2.15789473684211</v>
      </c>
      <c r="FX384" s="1087">
        <f>FX383/FP383-1</f>
        <v>-3.7</v>
      </c>
      <c r="FY384" s="1094">
        <f t="shared" ref="FY384" si="2104">FY383/FQ383-1</f>
        <v>1.75</v>
      </c>
      <c r="FZ384" s="1094">
        <f t="shared" ref="FZ384" si="2105">FZ383/FR383-1</f>
        <v>-7.33333333333333</v>
      </c>
      <c r="GA384" s="1094">
        <f t="shared" ref="GA384" si="2106">GA383/FS383-1</f>
        <v>3</v>
      </c>
      <c r="GB384" s="1094">
        <f t="shared" ref="GB384" si="2107">GB383/FT383-1</f>
        <v>1.33333333333333</v>
      </c>
      <c r="GC384" s="1093">
        <f>-(GC383/FU383-1)</f>
        <v>5.85714285714286</v>
      </c>
      <c r="GD384" s="1275">
        <f>-(GD383/30-1)</f>
        <v>0</v>
      </c>
      <c r="GE384" s="1087">
        <f>GE383/20-1</f>
        <v>0.3</v>
      </c>
      <c r="GF384" s="1087">
        <f>GF383/(30+20)-1</f>
        <v>0.12</v>
      </c>
      <c r="GG384" s="1087">
        <f>GG383/20-1</f>
        <v>2.75</v>
      </c>
      <c r="GH384" s="1094">
        <f>GH383/(30+20+20)-1</f>
        <v>0.871428571428571</v>
      </c>
      <c r="GI384" s="1094">
        <f>(GI383/-2)-1</f>
        <v>-16.5</v>
      </c>
      <c r="GJ384" s="1094">
        <f>GJ383/(20-2)-1</f>
        <v>4.88888888888889</v>
      </c>
      <c r="GK384" s="1093">
        <f>(GK383/69-1)</f>
        <v>1.34782608695652</v>
      </c>
      <c r="GL384" s="1094">
        <f>GL383/GD383-1</f>
        <v>0.366666666666667</v>
      </c>
      <c r="GM384" s="1094">
        <f>GM383/GE383-1</f>
        <v>-0.230769230769231</v>
      </c>
      <c r="GN384" s="1094">
        <f>GN383/GF383-1</f>
        <v>0.0892857142857142</v>
      </c>
      <c r="GO384" s="1087">
        <f>GO383/20-1</f>
        <v>-0.1</v>
      </c>
      <c r="GP384" s="1094">
        <f>GP383/(30+20+20)-1</f>
        <v>0.128571428571429</v>
      </c>
      <c r="GQ384" s="1094">
        <f>(GQ383/-2)-1</f>
        <v>4.5</v>
      </c>
      <c r="GR384" s="1094">
        <f>GR383/(20-2)-1</f>
        <v>-0.611111111111111</v>
      </c>
      <c r="GS384" s="1093">
        <f>(GS383/69-1)</f>
        <v>-0.0144927536231884</v>
      </c>
      <c r="GT384" s="1094">
        <f>GT383/GL383-1</f>
        <v>-0.24390243902439</v>
      </c>
      <c r="GU384" s="1094">
        <f>GU383/GM383-1</f>
        <v>-1.45</v>
      </c>
      <c r="GV384" s="1094">
        <f>GV383/GN383-1</f>
        <v>-0.639344262295082</v>
      </c>
      <c r="GW384" s="1087">
        <f>GW383/20-1</f>
        <v>0.65</v>
      </c>
      <c r="GX384" s="1094">
        <f>GX383/(30+20+20)-1</f>
        <v>-0.214285714285714</v>
      </c>
      <c r="GY384" s="1094"/>
      <c r="GZ384" s="1094"/>
      <c r="HA384" s="1093"/>
      <c r="HB384" s="1094"/>
      <c r="HC384" s="1094"/>
      <c r="HD384" s="1094"/>
      <c r="HE384" s="1094"/>
      <c r="HF384" s="1094"/>
      <c r="HG384" s="1094"/>
      <c r="HH384" s="1094"/>
      <c r="HI384" s="1093"/>
      <c r="HJ384" s="1094">
        <f>HJ383/HB383-1</f>
        <v>-0.125</v>
      </c>
      <c r="HK384" s="1094">
        <f>HK383/HC383-1</f>
        <v>-0.5</v>
      </c>
      <c r="HL384" s="1094"/>
      <c r="HM384" s="1094"/>
      <c r="HN384" s="1094"/>
      <c r="HO384" s="1094"/>
      <c r="HP384" s="1094"/>
      <c r="HQ384" s="1093"/>
      <c r="HR384" s="1094"/>
      <c r="HS384" s="1094"/>
      <c r="HT384" s="1094"/>
      <c r="HU384" s="1094"/>
      <c r="HV384" s="1094"/>
      <c r="HW384" s="1094" t="s">
        <v>131</v>
      </c>
      <c r="HX384" s="1094"/>
      <c r="HY384" s="891">
        <v>300</v>
      </c>
      <c r="HZ384" s="1276">
        <v>50</v>
      </c>
      <c r="IA384" s="1276">
        <v>50</v>
      </c>
      <c r="IB384" s="1094"/>
      <c r="IC384" s="1276">
        <v>50</v>
      </c>
      <c r="ID384" s="1094"/>
      <c r="IE384" s="1276">
        <v>50</v>
      </c>
      <c r="IF384" s="1094"/>
      <c r="IG384" s="1289">
        <f>IE384+IC384+IA384+HZ384</f>
        <v>200</v>
      </c>
      <c r="IH384" s="1276"/>
      <c r="II384" s="1276"/>
      <c r="IJ384" s="1276"/>
      <c r="IK384" s="1094"/>
      <c r="IL384" s="1276"/>
      <c r="IM384" s="1276"/>
      <c r="IN384" s="1276"/>
      <c r="IO384" s="1289"/>
      <c r="IP384" s="1094"/>
      <c r="IQ384" s="1094"/>
      <c r="IR384" s="1094"/>
      <c r="IS384" s="1094"/>
      <c r="IT384" s="1094"/>
      <c r="IU384" s="1094"/>
      <c r="IV384" s="1094"/>
      <c r="IW384" s="1094"/>
      <c r="IX384" s="1104"/>
      <c r="IY384" s="1049"/>
      <c r="IZ384" s="1049"/>
      <c r="JA384" s="1049"/>
      <c r="JB384" s="1049"/>
      <c r="JC384" s="1049"/>
      <c r="JD384" s="1041"/>
      <c r="JE384" s="1037"/>
      <c r="JF384" s="1037"/>
      <c r="JG384" s="1037"/>
      <c r="JH384" s="1037"/>
      <c r="JI384" s="1035"/>
      <c r="JJ384" s="1035"/>
      <c r="JK384" s="1035"/>
      <c r="JL384" s="1035"/>
      <c r="JM384" s="1035"/>
      <c r="JN384" s="1082"/>
      <c r="JO384" s="1082"/>
      <c r="JP384" s="1082"/>
      <c r="JQ384" s="1082"/>
      <c r="JR384" s="1082"/>
      <c r="JS384" s="1082"/>
      <c r="JT384" s="1082"/>
      <c r="JU384" s="1082"/>
      <c r="JV384" s="1082"/>
      <c r="JW384" s="1035"/>
      <c r="JX384" s="1035"/>
      <c r="JY384" s="1035"/>
      <c r="KP384" s="1117"/>
      <c r="LV384" s="967"/>
    </row>
    <row r="385" spans="1:334">
      <c r="A385" s="967" t="s">
        <v>132</v>
      </c>
      <c r="AX385" s="1059"/>
      <c r="BE385" s="1060"/>
      <c r="BN385" s="1059"/>
      <c r="BU385" s="1060"/>
      <c r="BV385" s="1059"/>
      <c r="CC385" s="1060"/>
      <c r="CD385" s="1059"/>
      <c r="CJ385" s="1061"/>
      <c r="CK385" s="1060"/>
      <c r="CL385" s="1059"/>
      <c r="CS385" s="1060"/>
      <c r="CT385" s="1059"/>
      <c r="CW385" s="1062"/>
      <c r="CX385" s="1062"/>
      <c r="DE385" s="1064"/>
      <c r="DF385" s="1064"/>
      <c r="DM385" s="1064"/>
      <c r="DN385" s="1064"/>
      <c r="DU385" s="1064"/>
      <c r="DV385" s="1064"/>
      <c r="EC385" s="1064"/>
      <c r="ED385" s="1064"/>
      <c r="EH385" s="1181"/>
      <c r="EI385" s="1181"/>
      <c r="EJ385" s="1181"/>
      <c r="EK385" s="1181"/>
      <c r="EL385" s="1181"/>
      <c r="EM385" s="1181"/>
      <c r="EN385" s="1181"/>
      <c r="EO385" s="1182"/>
      <c r="EP385" s="1181"/>
      <c r="EQ385" s="1181"/>
      <c r="ER385" s="1181"/>
      <c r="ES385" s="1181"/>
      <c r="ET385" s="1181"/>
      <c r="EU385" s="1181"/>
      <c r="EV385" s="1181"/>
      <c r="EW385" s="1182"/>
      <c r="EX385" s="1094">
        <f>EX383/EX$279</f>
        <v>-0.0630630630630631</v>
      </c>
      <c r="EY385" s="1094">
        <f t="shared" ref="EY385:FH385" si="2108">EY383/EY$279</f>
        <v>0.00542005420054201</v>
      </c>
      <c r="EZ385" s="1094">
        <f t="shared" si="2108"/>
        <v>-0.0270655270655271</v>
      </c>
      <c r="FA385" s="1094">
        <f t="shared" si="2108"/>
        <v>-0.117241379310345</v>
      </c>
      <c r="FB385" s="1094">
        <f t="shared" si="2108"/>
        <v>-0.0534274193548387</v>
      </c>
      <c r="FC385" s="1094">
        <f t="shared" si="2108"/>
        <v>-0.0136612021857923</v>
      </c>
      <c r="FD385" s="1094">
        <f t="shared" si="2108"/>
        <v>-0.0594512195121951</v>
      </c>
      <c r="FE385" s="1093">
        <f t="shared" si="2108"/>
        <v>-0.0427098674521355</v>
      </c>
      <c r="FF385" s="1094">
        <f t="shared" si="2108"/>
        <v>-0.013262599469496</v>
      </c>
      <c r="FG385" s="1094">
        <f t="shared" si="2108"/>
        <v>-0.10958904109589</v>
      </c>
      <c r="FH385" s="1094">
        <f t="shared" si="2108"/>
        <v>-0.0606469002695418</v>
      </c>
      <c r="FI385" s="1094">
        <f t="shared" ref="FI385:FP385" si="2109">FI383/FI$279</f>
        <v>-0.0672514619883041</v>
      </c>
      <c r="FJ385" s="1094">
        <f t="shared" si="2109"/>
        <v>-0.0627306273062731</v>
      </c>
      <c r="FK385" s="1094">
        <f t="shared" si="2109"/>
        <v>-0.0548302872062663</v>
      </c>
      <c r="FL385" s="1094">
        <f t="shared" si="2109"/>
        <v>-0.0606896551724138</v>
      </c>
      <c r="FM385" s="1093">
        <f t="shared" si="2109"/>
        <v>-0.0606680299931834</v>
      </c>
      <c r="FN385" s="1094">
        <f t="shared" si="2109"/>
        <v>-0.00252525252525253</v>
      </c>
      <c r="FO385" s="1094">
        <f t="shared" si="2109"/>
        <v>-0.0503978779840849</v>
      </c>
      <c r="FP385" s="1094">
        <f t="shared" si="2109"/>
        <v>-0.0258732212160414</v>
      </c>
      <c r="FQ385" s="1094">
        <f t="shared" ref="FQ385:FX385" si="2110">FQ383/FQ$279</f>
        <v>0.0218579234972678</v>
      </c>
      <c r="FR385" s="1094">
        <f t="shared" si="2110"/>
        <v>-0.0105355575065847</v>
      </c>
      <c r="FS385" s="1094">
        <f t="shared" si="2110"/>
        <v>-0.00595238095238095</v>
      </c>
      <c r="FT385" s="1094">
        <f t="shared" si="2110"/>
        <v>0.00854700854700855</v>
      </c>
      <c r="FU385" s="1094">
        <f t="shared" si="2110"/>
        <v>-0.00949152542372881</v>
      </c>
      <c r="FV385" s="1275">
        <f t="shared" si="2110"/>
        <v>0.16243654822335</v>
      </c>
      <c r="FW385" s="1087">
        <f t="shared" si="2110"/>
        <v>0.111111111111111</v>
      </c>
      <c r="FX385" s="1087">
        <f t="shared" si="2110"/>
        <v>0.136708860759494</v>
      </c>
      <c r="FY385" s="1094">
        <f t="shared" ref="FY385:GC385" si="2111">FY383/FY$279</f>
        <v>0.114583333333333</v>
      </c>
      <c r="FZ385" s="1094">
        <f t="shared" si="2111"/>
        <v>0.129471890971039</v>
      </c>
      <c r="GA385" s="1094">
        <f t="shared" si="2111"/>
        <v>-0.051948051948052</v>
      </c>
      <c r="GB385" s="1094">
        <f t="shared" si="2111"/>
        <v>0.0404624277456647</v>
      </c>
      <c r="GC385" s="1093">
        <f t="shared" si="2111"/>
        <v>0.0917678812415655</v>
      </c>
      <c r="GD385" s="1275">
        <f t="shared" ref="GD385:GF385" si="2112">GD383/GD$279</f>
        <v>0.157894736842105</v>
      </c>
      <c r="GE385" s="1087">
        <f t="shared" si="2112"/>
        <v>0.137566137566138</v>
      </c>
      <c r="GF385" s="1087">
        <f t="shared" si="2112"/>
        <v>0.147757255936675</v>
      </c>
      <c r="GG385" s="1087">
        <f t="shared" ref="GG385:GN385" si="2113">GG383/GG$279</f>
        <v>0.326086956521739</v>
      </c>
      <c r="GH385" s="1094">
        <f t="shared" si="2113"/>
        <v>0.215106732348112</v>
      </c>
      <c r="GI385" s="1094">
        <f t="shared" si="2113"/>
        <v>0.140909090909091</v>
      </c>
      <c r="GJ385" s="1094">
        <f t="shared" si="2113"/>
        <v>0.235555555555556</v>
      </c>
      <c r="GK385" s="1093">
        <f t="shared" si="2113"/>
        <v>0.195416164053076</v>
      </c>
      <c r="GL385" s="1094">
        <f t="shared" si="2113"/>
        <v>0.21025641025641</v>
      </c>
      <c r="GM385" s="1087">
        <f t="shared" si="2113"/>
        <v>0.136054421768707</v>
      </c>
      <c r="GN385" s="1087">
        <f t="shared" si="2113"/>
        <v>0.178362573099415</v>
      </c>
      <c r="GO385" s="1087">
        <f t="shared" ref="GO385:GV385" si="2114">GO383/GO$279</f>
        <v>0.111111111111111</v>
      </c>
      <c r="GP385" s="1094">
        <f t="shared" si="2114"/>
        <v>0.156746031746032</v>
      </c>
      <c r="GQ385" s="1094">
        <f t="shared" si="2114"/>
        <v>-0.108910891089109</v>
      </c>
      <c r="GR385" s="1094">
        <f t="shared" si="2114"/>
        <v>0.026615969581749</v>
      </c>
      <c r="GS385" s="1093">
        <f t="shared" si="2114"/>
        <v>0.112396694214876</v>
      </c>
      <c r="GT385" s="1094">
        <f t="shared" si="2114"/>
        <v>0.198717948717949</v>
      </c>
      <c r="GU385" s="1087">
        <f t="shared" si="2114"/>
        <v>-0.122204570450935</v>
      </c>
      <c r="GV385" s="1087">
        <f t="shared" si="2114"/>
        <v>0.0957992048665996</v>
      </c>
      <c r="GW385" s="1087">
        <f t="shared" ref="GW385:GX385" si="2115">GW383/GW$279</f>
        <v>0.215559474818734</v>
      </c>
      <c r="GX385" s="1094">
        <f t="shared" si="2115"/>
        <v>0.143701810904093</v>
      </c>
      <c r="GY385" s="1094"/>
      <c r="GZ385" s="1094"/>
      <c r="HA385" s="1093"/>
      <c r="HB385" s="1094">
        <f>HB383/HB209</f>
        <v>0.205128205128205</v>
      </c>
      <c r="HC385" s="1094">
        <f t="shared" ref="HC385:HJ385" si="2116">HC383/HC209</f>
        <v>0.235294117647059</v>
      </c>
      <c r="HD385" s="1094">
        <f t="shared" si="2116"/>
        <v>0.219178082191781</v>
      </c>
      <c r="HE385" s="1094">
        <f t="shared" si="2116"/>
        <v>0.27272727272725</v>
      </c>
      <c r="HF385" s="1094">
        <f t="shared" si="2116"/>
        <v>0.239316239316232</v>
      </c>
      <c r="HG385" s="1094">
        <f t="shared" si="2116"/>
        <v>-0.0370370370370397</v>
      </c>
      <c r="HH385" s="1094"/>
      <c r="HI385" s="1093">
        <f t="shared" si="2116"/>
        <v>0.187499999999998</v>
      </c>
      <c r="HJ385" s="1094">
        <f t="shared" si="2116"/>
        <v>0.194444444444445</v>
      </c>
      <c r="HK385" s="1094">
        <f t="shared" ref="HK385" si="2117">HK383/HK209</f>
        <v>0.137931034482759</v>
      </c>
      <c r="HL385" s="1094"/>
      <c r="HM385" s="1094"/>
      <c r="HN385" s="1094"/>
      <c r="HO385" s="1094"/>
      <c r="HP385" s="1094"/>
      <c r="HQ385" s="1093"/>
      <c r="HR385" s="1094"/>
      <c r="HS385" s="1094"/>
      <c r="HT385" s="1094"/>
      <c r="HU385" s="1094"/>
      <c r="HV385" s="1094"/>
      <c r="HW385" s="1094" t="s">
        <v>567</v>
      </c>
      <c r="HX385" s="1094"/>
      <c r="HY385" s="1276">
        <f>HY386-HY388</f>
        <v>748.999999999996</v>
      </c>
      <c r="HZ385" s="1276">
        <f>HZ386-HZ388</f>
        <v>150</v>
      </c>
      <c r="IA385" s="1276">
        <f>IA386-IA388</f>
        <v>200</v>
      </c>
      <c r="IB385" s="1276"/>
      <c r="IC385" s="1276">
        <v>200</v>
      </c>
      <c r="ID385" s="1276"/>
      <c r="IE385" s="1276">
        <v>100</v>
      </c>
      <c r="IF385" s="1276"/>
      <c r="IG385" s="1289">
        <f>IG386-IG388</f>
        <v>649.999999999996</v>
      </c>
      <c r="IH385" s="1276"/>
      <c r="II385" s="1276"/>
      <c r="IJ385" s="1276"/>
      <c r="IK385" s="1094"/>
      <c r="IL385" s="1276"/>
      <c r="IM385" s="1276"/>
      <c r="IN385" s="1276"/>
      <c r="IO385" s="1289"/>
      <c r="IP385" s="1094"/>
      <c r="IQ385" s="1094"/>
      <c r="IR385" s="1094"/>
      <c r="IS385" s="1094"/>
      <c r="IT385" s="1094"/>
      <c r="IU385" s="1094"/>
      <c r="IV385" s="1094"/>
      <c r="IW385" s="1094"/>
      <c r="IX385" s="1104"/>
      <c r="IY385" s="1049"/>
      <c r="IZ385" s="1049"/>
      <c r="JA385" s="1049"/>
      <c r="JB385" s="1049"/>
      <c r="JC385" s="1049"/>
      <c r="JD385" s="1041"/>
      <c r="JE385" s="1037"/>
      <c r="JF385" s="1037"/>
      <c r="JG385" s="1037"/>
      <c r="JH385" s="1037"/>
      <c r="JI385" s="1035"/>
      <c r="JJ385" s="1035"/>
      <c r="JK385" s="1035"/>
      <c r="JL385" s="1035"/>
      <c r="JM385" s="1035"/>
      <c r="JN385" s="1035"/>
      <c r="JO385" s="1035"/>
      <c r="JP385" s="1035"/>
      <c r="JQ385" s="1035"/>
      <c r="JR385" s="1035"/>
      <c r="JS385" s="1035"/>
      <c r="JT385" s="1035"/>
      <c r="JU385" s="1035"/>
      <c r="JV385" s="1035"/>
      <c r="JW385" s="1035"/>
      <c r="JX385" s="1035"/>
      <c r="JY385" s="1035"/>
      <c r="KP385" s="1117"/>
      <c r="LV385" s="967"/>
    </row>
    <row r="386" spans="1:334">
      <c r="A386" s="967"/>
      <c r="AX386" s="1059"/>
      <c r="BE386" s="1060"/>
      <c r="BN386" s="1059"/>
      <c r="BU386" s="1060"/>
      <c r="BV386" s="1059"/>
      <c r="CC386" s="1060"/>
      <c r="CD386" s="1059"/>
      <c r="CJ386" s="1061"/>
      <c r="CK386" s="1060"/>
      <c r="CL386" s="1059"/>
      <c r="CS386" s="1060"/>
      <c r="CT386" s="1059"/>
      <c r="CW386" s="1062"/>
      <c r="CX386" s="1062"/>
      <c r="DE386" s="1064"/>
      <c r="DF386" s="1064"/>
      <c r="DM386" s="1064"/>
      <c r="DN386" s="1064"/>
      <c r="DU386" s="1064"/>
      <c r="DV386" s="1064"/>
      <c r="EC386" s="1064"/>
      <c r="ED386" s="1064"/>
      <c r="EH386" s="1181"/>
      <c r="EI386" s="1181"/>
      <c r="EJ386" s="1181"/>
      <c r="EK386" s="1181"/>
      <c r="EL386" s="1181"/>
      <c r="EM386" s="1181"/>
      <c r="EN386" s="1181"/>
      <c r="EO386" s="1182"/>
      <c r="EP386" s="1181"/>
      <c r="EQ386" s="1181"/>
      <c r="ER386" s="1181"/>
      <c r="ES386" s="1181"/>
      <c r="ET386" s="1181"/>
      <c r="EU386" s="1181"/>
      <c r="EV386" s="1181"/>
      <c r="EW386" s="1182"/>
      <c r="EX386" s="1094"/>
      <c r="EY386" s="1094"/>
      <c r="EZ386" s="1094"/>
      <c r="FA386" s="1094"/>
      <c r="FB386" s="1094"/>
      <c r="FC386" s="1094"/>
      <c r="FD386" s="1094"/>
      <c r="FE386" s="1093"/>
      <c r="FV386" s="1290"/>
      <c r="FW386" s="1291"/>
      <c r="FZ386" s="1291"/>
      <c r="GA386" s="1181"/>
      <c r="GB386" s="1181"/>
      <c r="GC386" s="1289"/>
      <c r="GD386" s="1276"/>
      <c r="GE386" s="1276"/>
      <c r="GF386" s="1276"/>
      <c r="GG386" s="1276"/>
      <c r="GH386" s="1276"/>
      <c r="GI386" s="1276"/>
      <c r="GJ386" s="1276"/>
      <c r="GK386" s="1289"/>
      <c r="GL386" s="1276"/>
      <c r="GM386" s="1276"/>
      <c r="GN386" s="1276"/>
      <c r="GO386" s="1276"/>
      <c r="GP386" s="1276"/>
      <c r="GQ386" s="1276"/>
      <c r="GR386" s="1276"/>
      <c r="GS386" s="1289"/>
      <c r="GT386" s="1087"/>
      <c r="GU386" s="1087"/>
      <c r="GV386" s="1087"/>
      <c r="GW386" s="1087"/>
      <c r="GX386" s="1094"/>
      <c r="GY386" s="1094"/>
      <c r="GZ386" s="1094"/>
      <c r="HA386" s="1093"/>
      <c r="HB386" s="1276"/>
      <c r="HC386" s="1276"/>
      <c r="HD386" s="1276"/>
      <c r="HE386" s="1276"/>
      <c r="HF386" s="1276"/>
      <c r="HG386" s="1181"/>
      <c r="HH386" s="1276"/>
      <c r="HI386" s="1182"/>
      <c r="HJ386" s="1276"/>
      <c r="HK386" s="1276"/>
      <c r="HL386" s="1276"/>
      <c r="HM386" s="1276"/>
      <c r="HN386" s="1276"/>
      <c r="HO386" s="1094"/>
      <c r="HP386" s="1276"/>
      <c r="HQ386" s="1182"/>
      <c r="HR386" s="1181"/>
      <c r="HS386" s="1181"/>
      <c r="HT386" s="1181"/>
      <c r="HU386" s="1181"/>
      <c r="HV386" s="1181"/>
      <c r="HW386" s="1181" t="s">
        <v>568</v>
      </c>
      <c r="HX386" s="1181"/>
      <c r="HY386" s="1276">
        <v>21427</v>
      </c>
      <c r="HZ386" s="1276">
        <v>5458</v>
      </c>
      <c r="IA386" s="1276">
        <v>5822</v>
      </c>
      <c r="IB386" s="1276"/>
      <c r="IC386" s="1276">
        <f>IC385+IC388</f>
        <v>6438</v>
      </c>
      <c r="ID386" s="1276"/>
      <c r="IE386" s="1276">
        <f>IE388+IE385</f>
        <v>5965.00000000001</v>
      </c>
      <c r="IF386" s="1276"/>
      <c r="IG386" s="1289">
        <f>HZ386+IA386+IC386+IE386</f>
        <v>23683</v>
      </c>
      <c r="IH386" s="1276"/>
      <c r="II386" s="1276"/>
      <c r="IJ386" s="1276"/>
      <c r="IK386" s="1094"/>
      <c r="IL386" s="1276"/>
      <c r="IM386" s="1276"/>
      <c r="IN386" s="1276"/>
      <c r="IO386" s="1289"/>
      <c r="IP386" s="1094"/>
      <c r="IQ386" s="1181"/>
      <c r="IR386" s="1181"/>
      <c r="IS386" s="1181"/>
      <c r="IT386" s="1181"/>
      <c r="IU386" s="1181"/>
      <c r="IV386" s="1181"/>
      <c r="IW386" s="1181"/>
      <c r="IX386" s="1104"/>
      <c r="IY386" s="1037"/>
      <c r="IZ386" s="1049"/>
      <c r="JA386" s="1049"/>
      <c r="JB386" s="1049"/>
      <c r="JC386" s="1049"/>
      <c r="JD386" s="1049"/>
      <c r="JE386" s="1041"/>
      <c r="JF386" s="1037"/>
      <c r="JG386" s="1037"/>
      <c r="JH386" s="1037"/>
      <c r="JI386" s="1035"/>
      <c r="JJ386" s="1035"/>
      <c r="JK386" s="1035"/>
      <c r="JL386" s="969"/>
      <c r="JM386" s="1035"/>
      <c r="JN386" s="1035"/>
      <c r="JO386" s="1035"/>
      <c r="JP386" s="1035"/>
      <c r="JQ386" s="1035"/>
      <c r="JR386" s="1035"/>
      <c r="JS386" s="1035"/>
      <c r="JT386" s="1035"/>
      <c r="JU386" s="1035"/>
      <c r="JV386" s="1035"/>
      <c r="JW386" s="1035"/>
      <c r="JX386" s="1035"/>
      <c r="JY386" s="1035"/>
      <c r="KP386" s="1117"/>
      <c r="LV386" s="967"/>
    </row>
    <row r="387" spans="1:334">
      <c r="A387" s="1051" t="s">
        <v>139</v>
      </c>
      <c r="B387" s="1197" t="s">
        <v>259</v>
      </c>
      <c r="C387" s="1197" t="s">
        <v>260</v>
      </c>
      <c r="D387" s="1197" t="s">
        <v>261</v>
      </c>
      <c r="E387" s="1197" t="s">
        <v>262</v>
      </c>
      <c r="F387" s="1197" t="s">
        <v>263</v>
      </c>
      <c r="G387" s="1197" t="s">
        <v>264</v>
      </c>
      <c r="H387" s="1197" t="str">
        <f>H515</f>
        <v>H2 95</v>
      </c>
      <c r="I387" s="1197" t="s">
        <v>14</v>
      </c>
      <c r="J387" s="1197" t="s">
        <v>266</v>
      </c>
      <c r="K387" s="1197" t="s">
        <v>267</v>
      </c>
      <c r="L387" s="1197" t="s">
        <v>268</v>
      </c>
      <c r="M387" s="1197" t="s">
        <v>269</v>
      </c>
      <c r="N387" s="1197" t="s">
        <v>270</v>
      </c>
      <c r="O387" s="1197" t="s">
        <v>271</v>
      </c>
      <c r="P387" s="1197" t="str">
        <f>P515</f>
        <v>H2 96</v>
      </c>
      <c r="Q387" s="1197" t="s">
        <v>15</v>
      </c>
      <c r="R387" s="1197" t="s">
        <v>273</v>
      </c>
      <c r="S387" s="1197" t="s">
        <v>274</v>
      </c>
      <c r="T387" s="1197" t="s">
        <v>275</v>
      </c>
      <c r="U387" s="1197" t="s">
        <v>276</v>
      </c>
      <c r="V387" s="1197" t="s">
        <v>277</v>
      </c>
      <c r="W387" s="1197" t="s">
        <v>278</v>
      </c>
      <c r="X387" s="1197" t="str">
        <f>X515</f>
        <v>H2 97</v>
      </c>
      <c r="Y387" s="1197" t="s">
        <v>16</v>
      </c>
      <c r="Z387" s="1197" t="s">
        <v>280</v>
      </c>
      <c r="AA387" s="1197" t="s">
        <v>281</v>
      </c>
      <c r="AB387" s="1197" t="s">
        <v>282</v>
      </c>
      <c r="AC387" s="1197" t="s">
        <v>283</v>
      </c>
      <c r="AD387" s="1197" t="s">
        <v>277</v>
      </c>
      <c r="AE387" s="1197" t="s">
        <v>284</v>
      </c>
      <c r="AF387" s="1197" t="str">
        <f>AF515</f>
        <v>H2 98</v>
      </c>
      <c r="AG387" s="1197" t="s">
        <v>17</v>
      </c>
      <c r="AH387" s="1197" t="s">
        <v>286</v>
      </c>
      <c r="AI387" s="1197" t="s">
        <v>287</v>
      </c>
      <c r="AJ387" s="1197" t="s">
        <v>288</v>
      </c>
      <c r="AK387" s="1197" t="s">
        <v>289</v>
      </c>
      <c r="AL387" s="1197" t="s">
        <v>290</v>
      </c>
      <c r="AM387" s="1197" t="s">
        <v>291</v>
      </c>
      <c r="AN387" s="1197" t="str">
        <f>AN515</f>
        <v>H2 99</v>
      </c>
      <c r="AO387" s="1197" t="s">
        <v>18</v>
      </c>
      <c r="AP387" s="1197" t="s">
        <v>293</v>
      </c>
      <c r="AQ387" s="1197" t="s">
        <v>294</v>
      </c>
      <c r="AR387" s="1197" t="s">
        <v>295</v>
      </c>
      <c r="AS387" s="1197" t="s">
        <v>296</v>
      </c>
      <c r="AT387" s="1197" t="s">
        <v>297</v>
      </c>
      <c r="AU387" s="1197" t="s">
        <v>298</v>
      </c>
      <c r="AV387" s="1197" t="str">
        <f>AV515</f>
        <v>H2 00</v>
      </c>
      <c r="AW387" s="1197" t="s">
        <v>19</v>
      </c>
      <c r="AX387" s="1198" t="s">
        <v>300</v>
      </c>
      <c r="AY387" s="1197" t="s">
        <v>301</v>
      </c>
      <c r="AZ387" s="1197" t="s">
        <v>302</v>
      </c>
      <c r="BA387" s="1197" t="s">
        <v>303</v>
      </c>
      <c r="BB387" s="1197" t="s">
        <v>304</v>
      </c>
      <c r="BC387" s="1197" t="s">
        <v>305</v>
      </c>
      <c r="BD387" s="1197" t="str">
        <f>BD515</f>
        <v>H2 01</v>
      </c>
      <c r="BE387" s="1199" t="s">
        <v>20</v>
      </c>
      <c r="BF387" s="1197" t="s">
        <v>307</v>
      </c>
      <c r="BG387" s="1197" t="s">
        <v>308</v>
      </c>
      <c r="BH387" s="1197" t="s">
        <v>309</v>
      </c>
      <c r="BI387" s="1197" t="s">
        <v>310</v>
      </c>
      <c r="BJ387" s="1197" t="s">
        <v>311</v>
      </c>
      <c r="BK387" s="1197" t="s">
        <v>312</v>
      </c>
      <c r="BL387" s="1197" t="str">
        <f>BL515</f>
        <v>H2 02</v>
      </c>
      <c r="BM387" s="1197" t="s">
        <v>21</v>
      </c>
      <c r="BN387" s="1198" t="s">
        <v>314</v>
      </c>
      <c r="BO387" s="1197" t="s">
        <v>315</v>
      </c>
      <c r="BP387" s="1197" t="s">
        <v>316</v>
      </c>
      <c r="BQ387" s="1197" t="s">
        <v>317</v>
      </c>
      <c r="BR387" s="1197" t="s">
        <v>318</v>
      </c>
      <c r="BS387" s="1197" t="s">
        <v>319</v>
      </c>
      <c r="BT387" s="1197" t="str">
        <f>BT515</f>
        <v>H2 03</v>
      </c>
      <c r="BU387" s="1199" t="s">
        <v>22</v>
      </c>
      <c r="BV387" s="1198" t="s">
        <v>321</v>
      </c>
      <c r="BW387" s="1197" t="s">
        <v>322</v>
      </c>
      <c r="BX387" s="1197" t="s">
        <v>323</v>
      </c>
      <c r="BY387" s="1197" t="s">
        <v>324</v>
      </c>
      <c r="BZ387" s="1197" t="s">
        <v>325</v>
      </c>
      <c r="CA387" s="1197" t="s">
        <v>326</v>
      </c>
      <c r="CB387" s="1197" t="str">
        <f>CB515</f>
        <v>H2 04</v>
      </c>
      <c r="CC387" s="1199" t="s">
        <v>23</v>
      </c>
      <c r="CD387" s="1198" t="s">
        <v>328</v>
      </c>
      <c r="CE387" s="1197" t="s">
        <v>329</v>
      </c>
      <c r="CF387" s="1197" t="s">
        <v>330</v>
      </c>
      <c r="CG387" s="1197" t="s">
        <v>331</v>
      </c>
      <c r="CH387" s="1197" t="s">
        <v>332</v>
      </c>
      <c r="CI387" s="1197" t="s">
        <v>333</v>
      </c>
      <c r="CJ387" s="1197" t="s">
        <v>334</v>
      </c>
      <c r="CK387" s="1199" t="s">
        <v>24</v>
      </c>
      <c r="CL387" s="1198" t="s">
        <v>335</v>
      </c>
      <c r="CM387" s="1197" t="s">
        <v>336</v>
      </c>
      <c r="CN387" s="1197" t="s">
        <v>337</v>
      </c>
      <c r="CO387" s="1197" t="s">
        <v>338</v>
      </c>
      <c r="CP387" s="1197" t="str">
        <f t="shared" ref="CP387:DU387" si="2118">CP2</f>
        <v>9M 06</v>
      </c>
      <c r="CQ387" s="1197" t="str">
        <f t="shared" si="2118"/>
        <v>Q4 06</v>
      </c>
      <c r="CR387" s="1197" t="str">
        <f t="shared" si="2118"/>
        <v>H2 06</v>
      </c>
      <c r="CS387" s="1199" t="str">
        <f t="shared" si="2118"/>
        <v>FY 06</v>
      </c>
      <c r="CT387" s="1198" t="str">
        <f t="shared" si="2118"/>
        <v>Q1 07</v>
      </c>
      <c r="CU387" s="1197" t="str">
        <f t="shared" si="2118"/>
        <v>Q2 07</v>
      </c>
      <c r="CV387" s="1197" t="str">
        <f t="shared" si="2118"/>
        <v>H1 07</v>
      </c>
      <c r="CW387" s="1197" t="str">
        <f t="shared" si="2118"/>
        <v>Q3 07</v>
      </c>
      <c r="CX387" s="1197" t="str">
        <f t="shared" si="2118"/>
        <v>9M 07</v>
      </c>
      <c r="CY387" s="1197" t="str">
        <f t="shared" si="2118"/>
        <v>Q4 07</v>
      </c>
      <c r="CZ387" s="1197" t="str">
        <f t="shared" si="2118"/>
        <v>H2 07</v>
      </c>
      <c r="DA387" s="1199" t="str">
        <f t="shared" si="2118"/>
        <v>FY 07</v>
      </c>
      <c r="DB387" s="1200" t="str">
        <f t="shared" si="2118"/>
        <v>Q1 08</v>
      </c>
      <c r="DC387" s="1201" t="str">
        <f t="shared" si="2118"/>
        <v>Q2 08</v>
      </c>
      <c r="DD387" s="1201" t="str">
        <f t="shared" si="2118"/>
        <v>H1 08</v>
      </c>
      <c r="DE387" s="1201" t="str">
        <f t="shared" si="2118"/>
        <v>Q3 08</v>
      </c>
      <c r="DF387" s="1201" t="str">
        <f t="shared" si="2118"/>
        <v>9M 08</v>
      </c>
      <c r="DG387" s="1201" t="str">
        <f t="shared" si="2118"/>
        <v>Q4 08</v>
      </c>
      <c r="DH387" s="1201" t="str">
        <f t="shared" si="2118"/>
        <v>H2 08</v>
      </c>
      <c r="DI387" s="1202" t="str">
        <f t="shared" si="2118"/>
        <v>FY 08</v>
      </c>
      <c r="DJ387" s="1201" t="str">
        <f t="shared" si="2118"/>
        <v>Q1 09</v>
      </c>
      <c r="DK387" s="1201" t="str">
        <f t="shared" si="2118"/>
        <v>Q2 09</v>
      </c>
      <c r="DL387" s="1201" t="str">
        <f t="shared" si="2118"/>
        <v>H1 09</v>
      </c>
      <c r="DM387" s="1201" t="str">
        <f t="shared" si="2118"/>
        <v>Q3 09</v>
      </c>
      <c r="DN387" s="1201" t="str">
        <f t="shared" si="2118"/>
        <v>9M 09</v>
      </c>
      <c r="DO387" s="1201" t="str">
        <f t="shared" si="2118"/>
        <v>Q4 09</v>
      </c>
      <c r="DP387" s="1201" t="str">
        <f t="shared" si="2118"/>
        <v>H2 09</v>
      </c>
      <c r="DQ387" s="1202" t="str">
        <f t="shared" si="2118"/>
        <v>FY 09</v>
      </c>
      <c r="DR387" s="1201" t="str">
        <f t="shared" si="2118"/>
        <v>Q1 10</v>
      </c>
      <c r="DS387" s="1201" t="str">
        <f t="shared" si="2118"/>
        <v>Q2 10</v>
      </c>
      <c r="DT387" s="1201" t="str">
        <f t="shared" si="2118"/>
        <v>H1 10</v>
      </c>
      <c r="DU387" s="1201" t="str">
        <f t="shared" si="2118"/>
        <v>Q3 10</v>
      </c>
      <c r="DV387" s="1201" t="str">
        <f t="shared" ref="DV387:EO387" si="2119">DV2</f>
        <v>9M 10</v>
      </c>
      <c r="DW387" s="1201" t="str">
        <f t="shared" si="2119"/>
        <v>Q4 10</v>
      </c>
      <c r="DX387" s="1201" t="str">
        <f t="shared" si="2119"/>
        <v>H2 10</v>
      </c>
      <c r="DY387" s="1202" t="str">
        <f t="shared" si="2119"/>
        <v>FY 10</v>
      </c>
      <c r="DZ387" s="1201" t="str">
        <f t="shared" si="2119"/>
        <v>Q1 11</v>
      </c>
      <c r="EA387" s="1201" t="str">
        <f t="shared" si="2119"/>
        <v>Q2 11</v>
      </c>
      <c r="EB387" s="1201" t="str">
        <f t="shared" si="2119"/>
        <v>H1 11</v>
      </c>
      <c r="EC387" s="1201" t="str">
        <f t="shared" si="2119"/>
        <v>Q3 11</v>
      </c>
      <c r="ED387" s="1201" t="str">
        <f t="shared" si="2119"/>
        <v>9M 11</v>
      </c>
      <c r="EE387" s="1201" t="str">
        <f t="shared" si="2119"/>
        <v>Q4 11</v>
      </c>
      <c r="EF387" s="1201" t="str">
        <f t="shared" si="2119"/>
        <v>H2 11</v>
      </c>
      <c r="EG387" s="1202" t="str">
        <f t="shared" si="2119"/>
        <v>FY 11</v>
      </c>
      <c r="EH387" s="1201" t="str">
        <f t="shared" si="2119"/>
        <v>Q1 12</v>
      </c>
      <c r="EI387" s="1201" t="str">
        <f t="shared" si="2119"/>
        <v>Q2 12</v>
      </c>
      <c r="EJ387" s="1201" t="str">
        <f t="shared" si="2119"/>
        <v>H1 12</v>
      </c>
      <c r="EK387" s="1201" t="str">
        <f t="shared" si="2119"/>
        <v>Q3 12</v>
      </c>
      <c r="EL387" s="1201" t="str">
        <f t="shared" si="2119"/>
        <v>9M 12</v>
      </c>
      <c r="EM387" s="1201" t="str">
        <f t="shared" si="2119"/>
        <v>Q4 12</v>
      </c>
      <c r="EN387" s="1201" t="str">
        <f t="shared" si="2119"/>
        <v>H2 12</v>
      </c>
      <c r="EO387" s="1202" t="str">
        <f t="shared" si="2119"/>
        <v>FY 12</v>
      </c>
      <c r="EP387" s="1047" t="str">
        <f t="shared" ref="EP387:GK387" si="2120">EP$2</f>
        <v>1Q13</v>
      </c>
      <c r="EQ387" s="1047" t="str">
        <f t="shared" si="2120"/>
        <v>2Q13</v>
      </c>
      <c r="ER387" s="1047" t="str">
        <f t="shared" si="2120"/>
        <v>1H13</v>
      </c>
      <c r="ES387" s="1047" t="str">
        <f t="shared" si="2120"/>
        <v>3Q13</v>
      </c>
      <c r="ET387" s="1047" t="str">
        <f t="shared" si="2120"/>
        <v>9M13</v>
      </c>
      <c r="EU387" s="1047" t="str">
        <f t="shared" si="2120"/>
        <v>4Q13</v>
      </c>
      <c r="EV387" s="1047" t="str">
        <f t="shared" si="2120"/>
        <v>2H13</v>
      </c>
      <c r="EW387" s="1048" t="str">
        <f t="shared" si="2120"/>
        <v>FY13</v>
      </c>
      <c r="EX387" s="1047" t="str">
        <f t="shared" si="2120"/>
        <v>1Q14</v>
      </c>
      <c r="EY387" s="1047" t="str">
        <f t="shared" si="2120"/>
        <v>2Q14</v>
      </c>
      <c r="EZ387" s="1047" t="str">
        <f t="shared" si="2120"/>
        <v>1H14</v>
      </c>
      <c r="FA387" s="1047" t="str">
        <f t="shared" si="2120"/>
        <v>3Q14</v>
      </c>
      <c r="FB387" s="1047" t="str">
        <f t="shared" si="2120"/>
        <v>9M14</v>
      </c>
      <c r="FC387" s="1047" t="str">
        <f t="shared" si="2120"/>
        <v>4Q14</v>
      </c>
      <c r="FD387" s="1047" t="str">
        <f t="shared" si="2120"/>
        <v>2H14</v>
      </c>
      <c r="FE387" s="1048" t="str">
        <f t="shared" si="2120"/>
        <v>FY14</v>
      </c>
      <c r="FF387" s="1047" t="str">
        <f t="shared" si="2120"/>
        <v>1Q15</v>
      </c>
      <c r="FG387" s="1047" t="str">
        <f t="shared" si="2120"/>
        <v>2Q15</v>
      </c>
      <c r="FH387" s="1047" t="str">
        <f t="shared" si="2120"/>
        <v>1H15</v>
      </c>
      <c r="FI387" s="1047" t="str">
        <f t="shared" si="2120"/>
        <v>3Q15</v>
      </c>
      <c r="FJ387" s="1047" t="str">
        <f t="shared" si="2120"/>
        <v>9M15</v>
      </c>
      <c r="FK387" s="1047" t="str">
        <f t="shared" si="2120"/>
        <v>4Q15</v>
      </c>
      <c r="FL387" s="1047" t="str">
        <f t="shared" si="2120"/>
        <v>2H15</v>
      </c>
      <c r="FM387" s="1048" t="str">
        <f t="shared" si="2120"/>
        <v>FY15</v>
      </c>
      <c r="FN387" s="1047" t="str">
        <f t="shared" si="2120"/>
        <v>1Q16</v>
      </c>
      <c r="FO387" s="1047" t="str">
        <f t="shared" si="2120"/>
        <v>2Q16</v>
      </c>
      <c r="FP387" s="1047" t="str">
        <f t="shared" si="2120"/>
        <v>1H16</v>
      </c>
      <c r="FQ387" s="1047" t="str">
        <f t="shared" si="2120"/>
        <v>3Q16</v>
      </c>
      <c r="FR387" s="1047" t="str">
        <f t="shared" si="2120"/>
        <v>9M16</v>
      </c>
      <c r="FS387" s="1047" t="str">
        <f t="shared" si="2120"/>
        <v>4Q16</v>
      </c>
      <c r="FT387" s="1047" t="str">
        <f t="shared" si="2120"/>
        <v>2H16</v>
      </c>
      <c r="FU387" s="1047" t="str">
        <f t="shared" si="2120"/>
        <v>FY16</v>
      </c>
      <c r="FV387" s="1055" t="str">
        <f t="shared" si="2120"/>
        <v>1Q17</v>
      </c>
      <c r="FW387" s="1047" t="str">
        <f t="shared" si="2120"/>
        <v>2Q17</v>
      </c>
      <c r="FX387" s="1047" t="str">
        <f t="shared" si="2120"/>
        <v>1H17</v>
      </c>
      <c r="FY387" s="1047" t="str">
        <f t="shared" si="2120"/>
        <v>3Q17</v>
      </c>
      <c r="FZ387" s="1047" t="str">
        <f t="shared" si="2120"/>
        <v>9M17</v>
      </c>
      <c r="GA387" s="1047" t="str">
        <f t="shared" si="2120"/>
        <v>4Q17</v>
      </c>
      <c r="GB387" s="1047" t="str">
        <f t="shared" si="2120"/>
        <v>2H17</v>
      </c>
      <c r="GC387" s="1048" t="str">
        <f t="shared" si="2120"/>
        <v>FY17</v>
      </c>
      <c r="GD387" s="1047" t="str">
        <f t="shared" si="2120"/>
        <v>1Q18</v>
      </c>
      <c r="GE387" s="1047" t="str">
        <f t="shared" si="2120"/>
        <v>2Q18</v>
      </c>
      <c r="GF387" s="1047" t="str">
        <f t="shared" si="2120"/>
        <v>1H18</v>
      </c>
      <c r="GG387" s="1047" t="str">
        <f t="shared" si="2120"/>
        <v>3Q18</v>
      </c>
      <c r="GH387" s="1047" t="str">
        <f t="shared" si="2120"/>
        <v>9M18</v>
      </c>
      <c r="GI387" s="1047" t="str">
        <f t="shared" si="2120"/>
        <v>4Q18</v>
      </c>
      <c r="GJ387" s="1047" t="str">
        <f t="shared" si="2120"/>
        <v>2H18</v>
      </c>
      <c r="GK387" s="1048" t="str">
        <f t="shared" si="2120"/>
        <v>FY18</v>
      </c>
      <c r="GL387" s="1047" t="s">
        <v>432</v>
      </c>
      <c r="GM387" s="1047" t="s">
        <v>433</v>
      </c>
      <c r="GN387" s="1047" t="str">
        <f t="shared" ref="GN387:GS387" si="2121">GN$2</f>
        <v>1H19</v>
      </c>
      <c r="GO387" s="1047" t="str">
        <f t="shared" si="2121"/>
        <v>3Q19</v>
      </c>
      <c r="GP387" s="1047" t="str">
        <f t="shared" si="2121"/>
        <v>9M19</v>
      </c>
      <c r="GQ387" s="1047" t="str">
        <f t="shared" si="2121"/>
        <v>4Q19</v>
      </c>
      <c r="GR387" s="1047" t="str">
        <f t="shared" si="2121"/>
        <v>2H19</v>
      </c>
      <c r="GS387" s="1048" t="str">
        <f t="shared" si="2121"/>
        <v>FY19</v>
      </c>
      <c r="GT387" s="1047" t="s">
        <v>440</v>
      </c>
      <c r="GU387" s="1047" t="s">
        <v>441</v>
      </c>
      <c r="GV387" s="1047" t="s">
        <v>442</v>
      </c>
      <c r="GW387" s="1047" t="s">
        <v>443</v>
      </c>
      <c r="GX387" s="1047" t="s">
        <v>444</v>
      </c>
      <c r="GY387" s="1047" t="s">
        <v>445</v>
      </c>
      <c r="GZ387" s="1047" t="s">
        <v>543</v>
      </c>
      <c r="HA387" s="1048" t="s">
        <v>447</v>
      </c>
      <c r="HB387" s="1047" t="s">
        <v>448</v>
      </c>
      <c r="HC387" s="1047" t="s">
        <v>449</v>
      </c>
      <c r="HD387" s="1047" t="s">
        <v>450</v>
      </c>
      <c r="HE387" s="1047" t="s">
        <v>451</v>
      </c>
      <c r="HF387" s="1047" t="s">
        <v>452</v>
      </c>
      <c r="HG387" s="1047" t="s">
        <v>453</v>
      </c>
      <c r="HH387" s="1047" t="s">
        <v>454</v>
      </c>
      <c r="HI387" s="1048" t="s">
        <v>455</v>
      </c>
      <c r="HJ387" s="1047" t="s">
        <v>456</v>
      </c>
      <c r="HK387" s="1047" t="s">
        <v>457</v>
      </c>
      <c r="HL387" s="1047" t="s">
        <v>458</v>
      </c>
      <c r="HM387" s="1047" t="s">
        <v>459</v>
      </c>
      <c r="HN387" s="1047" t="s">
        <v>460</v>
      </c>
      <c r="HO387" s="1047" t="s">
        <v>461</v>
      </c>
      <c r="HP387" s="1047" t="s">
        <v>462</v>
      </c>
      <c r="HQ387" s="1048" t="s">
        <v>463</v>
      </c>
      <c r="HR387" s="1047" t="str">
        <f>HR291</f>
        <v>1Q23</v>
      </c>
      <c r="HS387" s="1047" t="s">
        <v>465</v>
      </c>
      <c r="HT387" s="1047" t="s">
        <v>466</v>
      </c>
      <c r="HU387" s="1047" t="s">
        <v>467</v>
      </c>
      <c r="HV387" s="1047" t="s">
        <v>468</v>
      </c>
      <c r="HW387" s="1047" t="s">
        <v>469</v>
      </c>
      <c r="HX387" s="1047" t="s">
        <v>470</v>
      </c>
      <c r="HY387" s="1048" t="s">
        <v>471</v>
      </c>
      <c r="HZ387" s="1047" t="str">
        <f t="shared" ref="HZ387:IH387" si="2122">HZ2</f>
        <v>1Q24</v>
      </c>
      <c r="IA387" s="1047" t="str">
        <f t="shared" si="2122"/>
        <v>2Q24</v>
      </c>
      <c r="IB387" s="1047" t="str">
        <f t="shared" si="2122"/>
        <v>1H24</v>
      </c>
      <c r="IC387" s="1047" t="str">
        <f t="shared" si="2122"/>
        <v>3Q24</v>
      </c>
      <c r="ID387" s="1047" t="str">
        <f t="shared" si="2122"/>
        <v>9M24E</v>
      </c>
      <c r="IE387" s="1047" t="str">
        <f t="shared" si="2122"/>
        <v>4Q24</v>
      </c>
      <c r="IF387" s="1047" t="str">
        <f t="shared" si="2122"/>
        <v>2H24E</v>
      </c>
      <c r="IG387" s="1048" t="str">
        <f t="shared" si="2122"/>
        <v>FY24</v>
      </c>
      <c r="IH387" s="1047" t="str">
        <f t="shared" si="2122"/>
        <v>1Q25</v>
      </c>
      <c r="II387" s="1047" t="str">
        <f t="shared" ref="II387:IP387" si="2123">II2</f>
        <v>2Q25</v>
      </c>
      <c r="IJ387" s="1047" t="str">
        <f t="shared" si="2123"/>
        <v>1H25</v>
      </c>
      <c r="IK387" s="1047" t="str">
        <f t="shared" si="2123"/>
        <v>3Q25</v>
      </c>
      <c r="IL387" s="1047" t="str">
        <f t="shared" si="2123"/>
        <v>9M25E</v>
      </c>
      <c r="IM387" s="1047" t="str">
        <f t="shared" si="2123"/>
        <v>4Q25</v>
      </c>
      <c r="IN387" s="1047" t="str">
        <f t="shared" si="2123"/>
        <v>2H25E</v>
      </c>
      <c r="IO387" s="1048" t="str">
        <f t="shared" si="2123"/>
        <v>FY25</v>
      </c>
      <c r="IP387" s="1047" t="str">
        <f t="shared" si="2123"/>
        <v>1Q26</v>
      </c>
      <c r="IQ387" s="1047" t="str">
        <f t="shared" ref="IQ387:IW387" si="2124">IQ2</f>
        <v>2Q26</v>
      </c>
      <c r="IR387" s="1047" t="str">
        <f t="shared" si="2124"/>
        <v>1H25E</v>
      </c>
      <c r="IS387" s="1047" t="str">
        <f t="shared" si="2124"/>
        <v>3Q26E</v>
      </c>
      <c r="IT387" s="1047" t="str">
        <f t="shared" si="2124"/>
        <v>9M25E</v>
      </c>
      <c r="IU387" s="1047" t="str">
        <f t="shared" si="2124"/>
        <v>4Q26E</v>
      </c>
      <c r="IV387" s="1047" t="str">
        <f t="shared" si="2124"/>
        <v>2H25E</v>
      </c>
      <c r="IW387" s="1048" t="str">
        <f t="shared" si="2124"/>
        <v>FY26E</v>
      </c>
      <c r="IX387" s="1037"/>
      <c r="IY387" s="1037"/>
      <c r="IZ387" s="1079"/>
      <c r="JA387" s="1049"/>
      <c r="JB387" s="1049"/>
      <c r="JC387" s="1079"/>
      <c r="JD387" s="1049"/>
      <c r="JE387" s="1103"/>
      <c r="JF387" s="1037"/>
      <c r="JG387" s="1037"/>
      <c r="JH387" s="1037"/>
      <c r="JI387" s="1035"/>
      <c r="JJ387" s="1035"/>
      <c r="JK387" s="1035"/>
      <c r="JL387" s="969"/>
      <c r="JM387" s="1035"/>
      <c r="JN387" s="1079"/>
      <c r="JO387" s="1079"/>
      <c r="JP387" s="1079"/>
      <c r="JQ387" s="1079"/>
      <c r="JR387" s="1079"/>
      <c r="JS387" s="1079"/>
      <c r="JT387" s="1079"/>
      <c r="JU387" s="1079"/>
      <c r="JV387" s="1079"/>
      <c r="JW387" s="1035"/>
      <c r="JX387" s="1035"/>
      <c r="JY387" s="1035"/>
      <c r="KD387" s="1049" t="s">
        <v>549</v>
      </c>
      <c r="KE387" s="1049"/>
      <c r="KF387" s="1049"/>
      <c r="KG387" s="1089"/>
      <c r="KH387" s="1089"/>
      <c r="KI387" s="1037"/>
    </row>
    <row r="388" spans="1:334">
      <c r="A388" s="1254" t="s">
        <v>141</v>
      </c>
      <c r="B388" s="1292">
        <v>999.138</v>
      </c>
      <c r="C388" s="1292">
        <v>749.915</v>
      </c>
      <c r="D388" s="1292">
        <f>B388+C388</f>
        <v>1749.053</v>
      </c>
      <c r="E388" s="1292">
        <v>1094.281</v>
      </c>
      <c r="F388" s="1292">
        <f>D388+E388</f>
        <v>2843.334</v>
      </c>
      <c r="G388" s="1292">
        <v>659.792</v>
      </c>
      <c r="H388" s="1292">
        <f>H543</f>
        <v>896.3089</v>
      </c>
      <c r="I388" s="1292">
        <f>F388+G388</f>
        <v>3503.126</v>
      </c>
      <c r="J388" s="1292">
        <v>612.12836</v>
      </c>
      <c r="K388" s="1292">
        <v>534.41076</v>
      </c>
      <c r="L388" s="1292">
        <f>J388+K388</f>
        <v>1146.53912</v>
      </c>
      <c r="M388" s="1292">
        <v>752.6336</v>
      </c>
      <c r="N388" s="1292">
        <f>L388+M388</f>
        <v>1899.17272</v>
      </c>
      <c r="O388" s="1292">
        <v>508.48785</v>
      </c>
      <c r="P388" s="1292">
        <f>P543</f>
        <v>1261.3771</v>
      </c>
      <c r="Q388" s="1292">
        <f>N388+O388</f>
        <v>2407.66057</v>
      </c>
      <c r="R388" s="1292">
        <v>875.8569</v>
      </c>
      <c r="S388" s="1292">
        <v>729.6251</v>
      </c>
      <c r="T388" s="1292">
        <f>R388+S388</f>
        <v>1605.482</v>
      </c>
      <c r="U388" s="1292">
        <v>1096.2272</v>
      </c>
      <c r="V388" s="1292">
        <f>T388+U388</f>
        <v>2701.7092</v>
      </c>
      <c r="W388" s="1292">
        <v>722.9782</v>
      </c>
      <c r="X388" s="1292">
        <f>X543</f>
        <v>1819.2054</v>
      </c>
      <c r="Y388" s="1292">
        <f>V388+W388</f>
        <v>3424.6874</v>
      </c>
      <c r="Z388" s="1292">
        <v>1384.6004</v>
      </c>
      <c r="AA388" s="1292">
        <v>1145.312</v>
      </c>
      <c r="AB388" s="1292">
        <f>Z388+AA388</f>
        <v>2529.9124</v>
      </c>
      <c r="AC388" s="1292">
        <v>1512.4254</v>
      </c>
      <c r="AD388" s="1292">
        <f>AB388+AC388</f>
        <v>4042.3378</v>
      </c>
      <c r="AE388" s="1292">
        <v>1023.1113</v>
      </c>
      <c r="AF388" s="1292">
        <f>AF543</f>
        <v>2535.5593</v>
      </c>
      <c r="AG388" s="1292">
        <f>AD388+AE388</f>
        <v>5065.4491</v>
      </c>
      <c r="AH388" s="1292">
        <v>1389.7134</v>
      </c>
      <c r="AI388" s="1292">
        <v>1194.3968</v>
      </c>
      <c r="AJ388" s="1292">
        <f>AH388+AI388</f>
        <v>2584.1102</v>
      </c>
      <c r="AK388" s="1292">
        <v>1575</v>
      </c>
      <c r="AL388" s="1292">
        <f>AJ388+AK388</f>
        <v>4159.1102</v>
      </c>
      <c r="AM388" s="1292">
        <v>1195</v>
      </c>
      <c r="AN388" s="1292">
        <f>AN543</f>
        <v>2772</v>
      </c>
      <c r="AO388" s="1292">
        <f>AL388+AM388</f>
        <v>5354.1102</v>
      </c>
      <c r="AP388" s="1292">
        <v>1517</v>
      </c>
      <c r="AQ388" s="1292">
        <v>1248</v>
      </c>
      <c r="AR388" s="1292">
        <f>AP388+AQ388</f>
        <v>2765</v>
      </c>
      <c r="AS388" s="1292">
        <v>1677</v>
      </c>
      <c r="AT388" s="1292">
        <f>AR388+AS388</f>
        <v>4442</v>
      </c>
      <c r="AU388" s="1292">
        <v>1393</v>
      </c>
      <c r="AV388" s="1292">
        <f>AV543</f>
        <v>3070</v>
      </c>
      <c r="AW388" s="1292">
        <f>AT388+AU388</f>
        <v>5835</v>
      </c>
      <c r="AX388" s="1293">
        <v>1558</v>
      </c>
      <c r="AY388" s="1292">
        <v>1368</v>
      </c>
      <c r="AZ388" s="1292">
        <f>AX388+AY388</f>
        <v>2926</v>
      </c>
      <c r="BA388" s="1292">
        <v>1790</v>
      </c>
      <c r="BB388" s="1292">
        <f>AY388+BA388</f>
        <v>3158</v>
      </c>
      <c r="BC388" s="1292">
        <v>1395.5</v>
      </c>
      <c r="BD388" s="1292">
        <f>BD543</f>
        <v>3185</v>
      </c>
      <c r="BE388" s="1294">
        <f>BB388+BC388</f>
        <v>4553.5</v>
      </c>
      <c r="BF388" s="1292">
        <v>1638</v>
      </c>
      <c r="BG388" s="1292">
        <v>1506.5</v>
      </c>
      <c r="BH388" s="1292">
        <f>BF388+BG388</f>
        <v>3144.5</v>
      </c>
      <c r="BI388" s="1292">
        <v>1866</v>
      </c>
      <c r="BJ388" s="1292">
        <f>BH388+BI388</f>
        <v>5010.5</v>
      </c>
      <c r="BK388" s="1292">
        <v>1511</v>
      </c>
      <c r="BL388" s="1292">
        <f>BL543</f>
        <v>3377</v>
      </c>
      <c r="BM388" s="1292">
        <f>BJ388+BK388</f>
        <v>6521.5</v>
      </c>
      <c r="BN388" s="1293">
        <v>1669</v>
      </c>
      <c r="BO388" s="1292">
        <v>1392</v>
      </c>
      <c r="BP388" s="1292">
        <f>BN388+BO388</f>
        <v>3061</v>
      </c>
      <c r="BQ388" s="1292">
        <v>1853</v>
      </c>
      <c r="BR388" s="1292">
        <f>BP388+BQ388</f>
        <v>4914</v>
      </c>
      <c r="BS388" s="1292">
        <v>1354</v>
      </c>
      <c r="BT388" s="1292">
        <f>BT543</f>
        <v>3207</v>
      </c>
      <c r="BU388" s="1294">
        <f>BR388+BS388</f>
        <v>6268</v>
      </c>
      <c r="BV388" s="1293">
        <v>1505</v>
      </c>
      <c r="BW388" s="1292">
        <v>1401</v>
      </c>
      <c r="BX388" s="1292">
        <f>BV388+BW388</f>
        <v>2906</v>
      </c>
      <c r="BY388" s="1292">
        <v>1758</v>
      </c>
      <c r="BZ388" s="1292">
        <f>BX388+BY388</f>
        <v>4664</v>
      </c>
      <c r="CA388" s="1292">
        <v>1196</v>
      </c>
      <c r="CB388" s="1292">
        <f>CB543</f>
        <v>3387</v>
      </c>
      <c r="CC388" s="1294">
        <f>BZ388+CA388</f>
        <v>5860</v>
      </c>
      <c r="CD388" s="1293">
        <v>1673</v>
      </c>
      <c r="CE388" s="1292">
        <v>1516</v>
      </c>
      <c r="CF388" s="1292">
        <f>CD388+CE388</f>
        <v>3189</v>
      </c>
      <c r="CG388" s="1292">
        <v>1924</v>
      </c>
      <c r="CH388" s="1292">
        <f>CF388+CG388</f>
        <v>5113</v>
      </c>
      <c r="CI388" s="1292">
        <v>1521</v>
      </c>
      <c r="CJ388" s="1292">
        <f>CJ543</f>
        <v>3445</v>
      </c>
      <c r="CK388" s="1294">
        <f>CH388+CI388</f>
        <v>6634</v>
      </c>
      <c r="CL388" s="1293">
        <v>2459</v>
      </c>
      <c r="CM388" s="1292">
        <f>CM543</f>
        <v>2428</v>
      </c>
      <c r="CN388" s="1292">
        <f>CL388+CM388</f>
        <v>4887</v>
      </c>
      <c r="CO388" s="1292">
        <f>CP388-CN388</f>
        <v>2949</v>
      </c>
      <c r="CP388" s="1292">
        <f>CP570</f>
        <v>7836</v>
      </c>
      <c r="CQ388" s="1292">
        <f>CS388-CP388</f>
        <v>2248</v>
      </c>
      <c r="CR388" s="1292">
        <f>CR570</f>
        <v>5197.01591075</v>
      </c>
      <c r="CS388" s="1294">
        <v>10084</v>
      </c>
      <c r="CT388" s="1293">
        <v>2538</v>
      </c>
      <c r="CU388" s="1292">
        <v>2400</v>
      </c>
      <c r="CV388" s="1292">
        <f>+CU388+CT388</f>
        <v>4938</v>
      </c>
      <c r="CW388" s="1292">
        <f>CX388-CV388</f>
        <v>2941</v>
      </c>
      <c r="CX388" s="1292">
        <v>7879</v>
      </c>
      <c r="CY388" s="1292">
        <f>DA388-CX388</f>
        <v>2419</v>
      </c>
      <c r="CZ388" s="1292">
        <f>CY388+CW388</f>
        <v>5360</v>
      </c>
      <c r="DA388" s="1292">
        <f>DA570</f>
        <v>10298</v>
      </c>
      <c r="DB388" s="1295">
        <f t="shared" ref="DB388:DP388" si="2125">DB26</f>
        <v>2613</v>
      </c>
      <c r="DC388" s="1295">
        <f t="shared" si="2125"/>
        <v>2514</v>
      </c>
      <c r="DD388" s="1295">
        <f t="shared" si="2125"/>
        <v>5127</v>
      </c>
      <c r="DE388" s="1295">
        <f t="shared" si="2125"/>
        <v>3079</v>
      </c>
      <c r="DF388" s="1295">
        <f t="shared" si="2125"/>
        <v>8206</v>
      </c>
      <c r="DG388" s="1295">
        <f t="shared" si="2125"/>
        <v>2576</v>
      </c>
      <c r="DH388" s="1295">
        <f t="shared" si="2125"/>
        <v>5655</v>
      </c>
      <c r="DI388" s="1295">
        <f t="shared" si="2125"/>
        <v>9511.99686331498</v>
      </c>
      <c r="DJ388" s="1296">
        <f t="shared" si="2125"/>
        <v>2577</v>
      </c>
      <c r="DK388" s="1295">
        <f t="shared" si="2125"/>
        <v>2457</v>
      </c>
      <c r="DL388" s="1295">
        <f t="shared" si="2125"/>
        <v>5034</v>
      </c>
      <c r="DM388" s="1295">
        <f t="shared" si="2125"/>
        <v>2888</v>
      </c>
      <c r="DN388" s="1295">
        <f t="shared" si="2125"/>
        <v>7923</v>
      </c>
      <c r="DO388" s="1295">
        <f t="shared" si="2125"/>
        <v>2458</v>
      </c>
      <c r="DP388" s="1295">
        <f t="shared" si="2125"/>
        <v>5341</v>
      </c>
      <c r="DQ388" s="1297">
        <f>'Profit and Loss'!P327</f>
        <v>10381</v>
      </c>
      <c r="DR388" s="1295">
        <f t="shared" ref="DR388:DX388" si="2126">DR26</f>
        <v>2674</v>
      </c>
      <c r="DS388" s="1295">
        <f t="shared" si="2126"/>
        <v>2917</v>
      </c>
      <c r="DT388" s="1295">
        <f t="shared" si="2126"/>
        <v>5590</v>
      </c>
      <c r="DU388" s="1295">
        <f t="shared" si="2126"/>
        <v>3468</v>
      </c>
      <c r="DV388" s="1295">
        <f t="shared" si="2126"/>
        <v>9058</v>
      </c>
      <c r="DW388" s="1295">
        <f t="shared" si="2126"/>
        <v>2932</v>
      </c>
      <c r="DX388" s="1295">
        <f t="shared" si="2126"/>
        <v>6400</v>
      </c>
      <c r="DY388" s="1297">
        <f>'Profit and Loss'!Q325</f>
        <v>11990</v>
      </c>
      <c r="DZ388" s="1295">
        <f t="shared" ref="DZ388:EF388" si="2127">DZ26</f>
        <v>3273</v>
      </c>
      <c r="EA388" s="1295">
        <f t="shared" si="2127"/>
        <v>3064</v>
      </c>
      <c r="EB388" s="1295">
        <f t="shared" si="2127"/>
        <v>6337</v>
      </c>
      <c r="EC388" s="1295">
        <f t="shared" si="2127"/>
        <v>3744</v>
      </c>
      <c r="ED388" s="1295">
        <f t="shared" si="2127"/>
        <v>10081</v>
      </c>
      <c r="EE388" s="1295">
        <f t="shared" si="2127"/>
        <v>3241</v>
      </c>
      <c r="EF388" s="1295">
        <f t="shared" si="2127"/>
        <v>6985</v>
      </c>
      <c r="EG388" s="1297">
        <f>DZ388+EA388+EC388+EE388</f>
        <v>13322</v>
      </c>
      <c r="EH388" s="1295">
        <f>EH26</f>
        <v>3824</v>
      </c>
      <c r="EI388" s="1295">
        <f>EI26</f>
        <v>3517</v>
      </c>
      <c r="EJ388" s="1295">
        <f>EJ26</f>
        <v>7341</v>
      </c>
      <c r="EK388" s="1295">
        <f>EK26</f>
        <v>4173</v>
      </c>
      <c r="EL388" s="1295">
        <f>EL26</f>
        <v>11514</v>
      </c>
      <c r="EM388" s="1295">
        <f t="shared" ref="EM388:EW388" si="2128">EM127</f>
        <v>3369</v>
      </c>
      <c r="EN388" s="1295">
        <f t="shared" si="2128"/>
        <v>7542</v>
      </c>
      <c r="EO388" s="1297">
        <f t="shared" si="2128"/>
        <v>14883</v>
      </c>
      <c r="EP388" s="1295">
        <f t="shared" si="2128"/>
        <v>3751</v>
      </c>
      <c r="EQ388" s="1295">
        <f t="shared" si="2128"/>
        <v>3383</v>
      </c>
      <c r="ER388" s="1295">
        <f t="shared" si="2128"/>
        <v>7134</v>
      </c>
      <c r="ES388" s="1295">
        <f t="shared" si="2128"/>
        <v>3879</v>
      </c>
      <c r="ET388" s="1295">
        <f t="shared" si="2128"/>
        <v>11013</v>
      </c>
      <c r="EU388" s="1295">
        <f t="shared" si="2128"/>
        <v>3479</v>
      </c>
      <c r="EV388" s="1295">
        <f t="shared" si="2128"/>
        <v>7358</v>
      </c>
      <c r="EW388" s="1297">
        <f t="shared" si="2128"/>
        <v>14492</v>
      </c>
      <c r="EX388" s="1263">
        <f t="shared" ref="EX388:FN388" si="2129">EX216</f>
        <v>3481</v>
      </c>
      <c r="EY388" s="1263">
        <f t="shared" si="2129"/>
        <v>3398</v>
      </c>
      <c r="EZ388" s="1263">
        <f t="shared" si="2129"/>
        <v>6879</v>
      </c>
      <c r="FA388" s="1263">
        <f t="shared" si="2129"/>
        <v>4044</v>
      </c>
      <c r="FB388" s="1263">
        <f t="shared" si="2129"/>
        <v>10923</v>
      </c>
      <c r="FC388" s="1263">
        <f t="shared" si="2129"/>
        <v>3610</v>
      </c>
      <c r="FD388" s="1263">
        <f t="shared" si="2129"/>
        <v>7654</v>
      </c>
      <c r="FE388" s="1264">
        <f t="shared" si="2129"/>
        <v>14533</v>
      </c>
      <c r="FF388" s="1263">
        <f t="shared" si="2129"/>
        <v>4083</v>
      </c>
      <c r="FG388" s="1263">
        <f t="shared" si="2129"/>
        <v>3907</v>
      </c>
      <c r="FH388" s="1263">
        <f t="shared" si="2129"/>
        <v>7990</v>
      </c>
      <c r="FI388" s="1263">
        <f t="shared" si="2129"/>
        <v>4757</v>
      </c>
      <c r="FJ388" s="1263">
        <f t="shared" si="2129"/>
        <v>12747</v>
      </c>
      <c r="FK388" s="1263">
        <f t="shared" si="2129"/>
        <v>4168</v>
      </c>
      <c r="FL388" s="1263">
        <f t="shared" si="2129"/>
        <v>8925</v>
      </c>
      <c r="FM388" s="1264">
        <f t="shared" si="2129"/>
        <v>16915</v>
      </c>
      <c r="FN388" s="1263">
        <f t="shared" si="2129"/>
        <v>4769</v>
      </c>
      <c r="FO388" s="1298">
        <f t="shared" ref="FO388:FU388" si="2130">FO216</f>
        <v>4423</v>
      </c>
      <c r="FP388" s="1298">
        <f t="shared" si="2130"/>
        <v>9192</v>
      </c>
      <c r="FQ388" s="1298">
        <f t="shared" si="2130"/>
        <v>5412</v>
      </c>
      <c r="FR388" s="1298">
        <f t="shared" si="2130"/>
        <v>14604</v>
      </c>
      <c r="FS388" s="1298">
        <f t="shared" si="2130"/>
        <v>4686</v>
      </c>
      <c r="FT388" s="1298">
        <f t="shared" si="2130"/>
        <v>10098</v>
      </c>
      <c r="FU388" s="1298">
        <f t="shared" si="2130"/>
        <v>19290</v>
      </c>
      <c r="FV388" s="1299">
        <f t="shared" ref="FV388:GC388" si="2131">FV216</f>
        <v>5446</v>
      </c>
      <c r="FW388" s="1298">
        <f t="shared" si="2131"/>
        <v>5038</v>
      </c>
      <c r="FX388" s="1263">
        <f t="shared" si="2131"/>
        <v>10484</v>
      </c>
      <c r="FY388" s="1263">
        <f t="shared" si="2131"/>
        <v>5678</v>
      </c>
      <c r="FZ388" s="1263">
        <f t="shared" si="2131"/>
        <v>16162</v>
      </c>
      <c r="GA388" s="1263">
        <f t="shared" si="2131"/>
        <v>5056</v>
      </c>
      <c r="GB388" s="1263">
        <f t="shared" si="2131"/>
        <v>10734</v>
      </c>
      <c r="GC388" s="1264">
        <f t="shared" si="2131"/>
        <v>21218</v>
      </c>
      <c r="GD388" s="1298">
        <f t="shared" ref="GD388:GL388" si="2132">GD216</f>
        <v>5548</v>
      </c>
      <c r="GE388" s="1298">
        <f t="shared" si="2132"/>
        <v>5261</v>
      </c>
      <c r="GF388" s="1263">
        <f t="shared" si="2132"/>
        <v>10809</v>
      </c>
      <c r="GG388" s="1263">
        <f t="shared" si="2132"/>
        <v>5873</v>
      </c>
      <c r="GH388" s="1263">
        <f t="shared" si="2132"/>
        <v>16682</v>
      </c>
      <c r="GI388" s="1263">
        <f t="shared" si="2132"/>
        <v>5233</v>
      </c>
      <c r="GJ388" s="1263">
        <f t="shared" si="2132"/>
        <v>11106</v>
      </c>
      <c r="GK388" s="1264">
        <f t="shared" si="2132"/>
        <v>21915</v>
      </c>
      <c r="GL388" s="1298">
        <f t="shared" si="2132"/>
        <v>5883</v>
      </c>
      <c r="GM388" s="1298">
        <f t="shared" ref="GM388:GT388" si="2133">GM216</f>
        <v>5509</v>
      </c>
      <c r="GN388" s="1298">
        <f t="shared" si="2133"/>
        <v>11392</v>
      </c>
      <c r="GO388" s="1298">
        <f t="shared" si="2133"/>
        <v>6410</v>
      </c>
      <c r="GP388" s="1298">
        <f t="shared" si="2133"/>
        <v>17802</v>
      </c>
      <c r="GQ388" s="1298">
        <f t="shared" si="2133"/>
        <v>5839</v>
      </c>
      <c r="GR388" s="1298">
        <f t="shared" si="2133"/>
        <v>12249</v>
      </c>
      <c r="GS388" s="1300">
        <f t="shared" si="2133"/>
        <v>23641</v>
      </c>
      <c r="GT388" s="1298">
        <f t="shared" si="2133"/>
        <v>4753</v>
      </c>
      <c r="GU388" s="1298">
        <f t="shared" ref="GU388:HB388" si="2134">GU216</f>
        <v>3578.647</v>
      </c>
      <c r="GV388" s="1298">
        <f t="shared" si="2134"/>
        <v>8331.647</v>
      </c>
      <c r="GW388" s="1298">
        <f t="shared" si="2134"/>
        <v>5964.322</v>
      </c>
      <c r="GX388" s="1298">
        <f t="shared" si="2134"/>
        <v>14295.969</v>
      </c>
      <c r="GY388" s="1298">
        <f t="shared" si="2134"/>
        <v>5548.031</v>
      </c>
      <c r="GZ388" s="1298">
        <f t="shared" si="2134"/>
        <v>11512.353</v>
      </c>
      <c r="HA388" s="1300">
        <f t="shared" si="2134"/>
        <v>19844</v>
      </c>
      <c r="HB388" s="1298">
        <f t="shared" si="2134"/>
        <v>5268</v>
      </c>
      <c r="HC388" s="1298">
        <f t="shared" ref="HC388:HR388" si="2135">HC216</f>
        <v>5077</v>
      </c>
      <c r="HD388" s="1298">
        <f t="shared" si="2135"/>
        <v>10345</v>
      </c>
      <c r="HE388" s="1298">
        <f t="shared" si="2135"/>
        <v>5752</v>
      </c>
      <c r="HF388" s="1298">
        <f t="shared" si="2135"/>
        <v>16097</v>
      </c>
      <c r="HG388" s="1298">
        <f t="shared" si="2135"/>
        <v>5137</v>
      </c>
      <c r="HH388" s="1298">
        <f t="shared" si="2135"/>
        <v>10889</v>
      </c>
      <c r="HI388" s="1300">
        <f t="shared" si="2135"/>
        <v>21234</v>
      </c>
      <c r="HJ388" s="1298">
        <f t="shared" si="2135"/>
        <v>5302</v>
      </c>
      <c r="HK388" s="1298">
        <f t="shared" si="2135"/>
        <v>5597</v>
      </c>
      <c r="HL388" s="1298">
        <f t="shared" si="2135"/>
        <v>10899</v>
      </c>
      <c r="HM388" s="1298">
        <f t="shared" si="2135"/>
        <v>6408</v>
      </c>
      <c r="HN388" s="1298">
        <f t="shared" si="2135"/>
        <v>17307</v>
      </c>
      <c r="HO388" s="1298">
        <f t="shared" si="2135"/>
        <v>5204</v>
      </c>
      <c r="HP388" s="1298">
        <f t="shared" si="2135"/>
        <v>11729</v>
      </c>
      <c r="HQ388" s="1300">
        <f t="shared" si="2135"/>
        <v>22511</v>
      </c>
      <c r="HR388" s="1298">
        <f t="shared" si="2135"/>
        <v>5274</v>
      </c>
      <c r="HS388" s="1298">
        <f t="shared" ref="HS388:HZ388" si="2136">HS216</f>
        <v>4943</v>
      </c>
      <c r="HT388" s="1298">
        <f t="shared" si="2136"/>
        <v>10191</v>
      </c>
      <c r="HU388" s="1298">
        <f t="shared" si="2136"/>
        <v>5649</v>
      </c>
      <c r="HV388" s="1298">
        <f t="shared" si="2136"/>
        <v>15818</v>
      </c>
      <c r="HW388" s="1298">
        <f t="shared" si="2136"/>
        <v>4812</v>
      </c>
      <c r="HX388" s="1298">
        <f t="shared" si="2136"/>
        <v>10461</v>
      </c>
      <c r="HY388" s="1300">
        <f t="shared" si="2136"/>
        <v>20678</v>
      </c>
      <c r="HZ388" s="1298">
        <f t="shared" si="2136"/>
        <v>5308</v>
      </c>
      <c r="IA388" s="1298">
        <f t="shared" ref="IA388:IH388" si="2137">IA216</f>
        <v>5622</v>
      </c>
      <c r="IB388" s="1298">
        <f t="shared" si="2137"/>
        <v>10930</v>
      </c>
      <c r="IC388" s="1298">
        <f t="shared" si="2137"/>
        <v>6238</v>
      </c>
      <c r="ID388" s="1298">
        <f t="shared" si="2137"/>
        <v>17140</v>
      </c>
      <c r="IE388" s="1298">
        <f t="shared" si="2137"/>
        <v>5865.00000000001</v>
      </c>
      <c r="IF388" s="1298">
        <f t="shared" si="2137"/>
        <v>12111</v>
      </c>
      <c r="IG388" s="1300">
        <f t="shared" si="2137"/>
        <v>23033</v>
      </c>
      <c r="IH388" s="1298">
        <f t="shared" si="2137"/>
        <v>6153</v>
      </c>
      <c r="II388" s="1298">
        <f t="shared" ref="II388:IP388" si="2138">II216</f>
        <v>5952</v>
      </c>
      <c r="IJ388" s="1298">
        <f t="shared" si="2138"/>
        <v>12105</v>
      </c>
      <c r="IK388" s="1298">
        <f t="shared" si="2138"/>
        <v>6630</v>
      </c>
      <c r="IL388" s="1298">
        <f t="shared" si="2138"/>
        <v>18707</v>
      </c>
      <c r="IM388" s="1298">
        <f t="shared" si="2138"/>
        <v>6076</v>
      </c>
      <c r="IN388" s="1298">
        <f t="shared" si="2138"/>
        <v>12659</v>
      </c>
      <c r="IO388" s="1300">
        <f t="shared" si="2138"/>
        <v>24811</v>
      </c>
      <c r="IP388" s="1298">
        <f t="shared" si="2138"/>
        <v>6592</v>
      </c>
      <c r="IQ388" s="1298">
        <f t="shared" ref="IQ388:IW388" si="2139">IQ216</f>
        <v>6743</v>
      </c>
      <c r="IR388" s="1298">
        <f t="shared" si="2139"/>
        <v>13335</v>
      </c>
      <c r="IS388" s="1298">
        <f t="shared" si="2139"/>
        <v>7282.02063926581</v>
      </c>
      <c r="IT388" s="1298">
        <f t="shared" si="2139"/>
        <v>20617.0206392658</v>
      </c>
      <c r="IU388" s="1298">
        <f t="shared" si="2139"/>
        <v>6515.91051703513</v>
      </c>
      <c r="IV388" s="1298">
        <f t="shared" si="2139"/>
        <v>13797.9311563009</v>
      </c>
      <c r="IW388" s="1300">
        <f t="shared" si="2139"/>
        <v>27132.9311563009</v>
      </c>
      <c r="IX388" s="1301"/>
      <c r="IY388" s="1037"/>
      <c r="IZ388" s="1071"/>
      <c r="JA388" s="1071"/>
      <c r="JB388" s="1071"/>
      <c r="JC388" s="1104"/>
      <c r="JD388" s="1104"/>
      <c r="JE388" s="1104"/>
      <c r="JF388" s="1037"/>
      <c r="JG388" s="1082"/>
      <c r="JH388" s="1037"/>
      <c r="JI388" s="1082"/>
      <c r="JJ388" s="1035"/>
      <c r="JK388" s="1035"/>
      <c r="JL388" s="1035"/>
      <c r="JM388" s="1035"/>
      <c r="JN388" s="1082"/>
      <c r="JO388" s="1082"/>
      <c r="JP388" s="1082"/>
      <c r="JQ388" s="1082"/>
      <c r="JR388" s="1082"/>
      <c r="JS388" s="1082"/>
      <c r="JT388" s="1082"/>
      <c r="JU388" s="1082"/>
      <c r="JV388" s="1082"/>
      <c r="JW388" s="1035"/>
      <c r="JX388" s="1035"/>
      <c r="JY388" s="1035"/>
      <c r="KD388" s="1049"/>
      <c r="KE388" s="1049" t="s">
        <v>569</v>
      </c>
      <c r="KF388" s="1049" t="s">
        <v>570</v>
      </c>
      <c r="KG388" s="1049" t="s">
        <v>571</v>
      </c>
      <c r="KH388" s="1049" t="s">
        <v>572</v>
      </c>
      <c r="KI388" s="1049" t="s">
        <v>573</v>
      </c>
      <c r="KJ388" s="1049" t="s">
        <v>574</v>
      </c>
      <c r="KK388" s="1049" t="s">
        <v>575</v>
      </c>
      <c r="KL388" s="1049" t="s">
        <v>576</v>
      </c>
      <c r="KM388" s="1049" t="s">
        <v>577</v>
      </c>
      <c r="KN388" s="1049" t="s">
        <v>578</v>
      </c>
      <c r="KO388" s="1049" t="s">
        <v>579</v>
      </c>
      <c r="KP388" s="1049" t="s">
        <v>580</v>
      </c>
    </row>
    <row r="389" s="883" customFormat="1" spans="1:334">
      <c r="A389" s="883" t="s">
        <v>142</v>
      </c>
      <c r="B389" s="1302" t="s">
        <v>173</v>
      </c>
      <c r="C389" s="1302" t="s">
        <v>173</v>
      </c>
      <c r="D389" s="1302" t="s">
        <v>173</v>
      </c>
      <c r="E389" s="1302" t="s">
        <v>173</v>
      </c>
      <c r="F389" s="1302" t="s">
        <v>173</v>
      </c>
      <c r="G389" s="1302" t="s">
        <v>173</v>
      </c>
      <c r="H389" s="1302" t="s">
        <v>173</v>
      </c>
      <c r="I389" s="1302" t="s">
        <v>173</v>
      </c>
      <c r="J389" s="1302">
        <f t="shared" ref="J389:AO389" si="2140">J388/B388-1</f>
        <v>-0.387343530122966</v>
      </c>
      <c r="K389" s="1302">
        <f t="shared" si="2140"/>
        <v>-0.28737155544295</v>
      </c>
      <c r="L389" s="1302">
        <f t="shared" si="2140"/>
        <v>-0.344480058637446</v>
      </c>
      <c r="M389" s="1302">
        <f t="shared" si="2140"/>
        <v>-0.31221176279219</v>
      </c>
      <c r="N389" s="1302">
        <f t="shared" si="2140"/>
        <v>-0.332061333631575</v>
      </c>
      <c r="O389" s="1302">
        <f t="shared" si="2140"/>
        <v>-0.229320982976453</v>
      </c>
      <c r="P389" s="1302">
        <f t="shared" si="2140"/>
        <v>0.407301768397034</v>
      </c>
      <c r="Q389" s="1302">
        <f t="shared" si="2140"/>
        <v>-0.312710827415286</v>
      </c>
      <c r="R389" s="1302">
        <f t="shared" si="2140"/>
        <v>0.430838623454728</v>
      </c>
      <c r="S389" s="1302">
        <f t="shared" si="2140"/>
        <v>0.365288939915806</v>
      </c>
      <c r="T389" s="1302">
        <f t="shared" si="2140"/>
        <v>0.400285408490903</v>
      </c>
      <c r="U389" s="1302">
        <f t="shared" si="2140"/>
        <v>0.456521739130435</v>
      </c>
      <c r="V389" s="1302">
        <f t="shared" si="2140"/>
        <v>0.422571613181133</v>
      </c>
      <c r="W389" s="1302">
        <f t="shared" si="2140"/>
        <v>0.421820010055304</v>
      </c>
      <c r="X389" s="1302">
        <f t="shared" si="2140"/>
        <v>0.44223753546818</v>
      </c>
      <c r="Y389" s="1302">
        <f t="shared" si="2140"/>
        <v>0.422412877742148</v>
      </c>
      <c r="Z389" s="1302">
        <f t="shared" si="2140"/>
        <v>0.580852305896089</v>
      </c>
      <c r="AA389" s="1302">
        <f t="shared" si="2140"/>
        <v>0.569726699369306</v>
      </c>
      <c r="AB389" s="1302">
        <f t="shared" si="2140"/>
        <v>0.575796178343949</v>
      </c>
      <c r="AC389" s="1302">
        <f t="shared" si="2140"/>
        <v>0.379664179104477</v>
      </c>
      <c r="AD389" s="1302">
        <f t="shared" si="2140"/>
        <v>0.496214988644966</v>
      </c>
      <c r="AE389" s="1302">
        <f t="shared" si="2140"/>
        <v>0.415134370579915</v>
      </c>
      <c r="AF389" s="1302">
        <f t="shared" si="2140"/>
        <v>0.393772962635225</v>
      </c>
      <c r="AG389" s="1302">
        <f t="shared" si="2140"/>
        <v>0.479098238280083</v>
      </c>
      <c r="AH389" s="1302">
        <f t="shared" si="2140"/>
        <v>0.00369276218611536</v>
      </c>
      <c r="AI389" s="1302">
        <f t="shared" si="2140"/>
        <v>0.0428571428571429</v>
      </c>
      <c r="AJ389" s="1302">
        <f t="shared" si="2140"/>
        <v>0.0214227970897332</v>
      </c>
      <c r="AK389" s="1302">
        <f t="shared" si="2140"/>
        <v>0.0413736770091273</v>
      </c>
      <c r="AL389" s="1302">
        <f t="shared" si="2140"/>
        <v>0.0288873433585881</v>
      </c>
      <c r="AM389" s="1302">
        <f t="shared" si="2140"/>
        <v>0.168005866028456</v>
      </c>
      <c r="AN389" s="1302">
        <f t="shared" ref="AN389:BU389" si="2141">AN388/AF388-1</f>
        <v>0.0932499192584453</v>
      </c>
      <c r="AO389" s="1302">
        <f t="shared" si="2140"/>
        <v>0.0569862798542384</v>
      </c>
      <c r="AP389" s="1302">
        <f t="shared" si="2141"/>
        <v>0.0915919786050849</v>
      </c>
      <c r="AQ389" s="1302">
        <f t="shared" si="2141"/>
        <v>0.0448788878201951</v>
      </c>
      <c r="AR389" s="1302">
        <f t="shared" si="2141"/>
        <v>0.0700008072411153</v>
      </c>
      <c r="AS389" s="1302">
        <f t="shared" si="2141"/>
        <v>0.0647619047619048</v>
      </c>
      <c r="AT389" s="1302">
        <f t="shared" si="2141"/>
        <v>0.0680169041926324</v>
      </c>
      <c r="AU389" s="1302">
        <f t="shared" si="2141"/>
        <v>0.165690376569038</v>
      </c>
      <c r="AV389" s="1302">
        <f t="shared" si="2141"/>
        <v>0.107503607503608</v>
      </c>
      <c r="AW389" s="1302">
        <f t="shared" si="2141"/>
        <v>0.0898169410110385</v>
      </c>
      <c r="AX389" s="1303">
        <f t="shared" si="2141"/>
        <v>0.027027027027027</v>
      </c>
      <c r="AY389" s="1302">
        <f t="shared" si="2141"/>
        <v>0.0961538461538463</v>
      </c>
      <c r="AZ389" s="1302">
        <f t="shared" si="2141"/>
        <v>0.0582278481012659</v>
      </c>
      <c r="BA389" s="1302">
        <f t="shared" si="2141"/>
        <v>0.0673822301729279</v>
      </c>
      <c r="BB389" s="1302">
        <f t="shared" si="2141"/>
        <v>-0.289058982440342</v>
      </c>
      <c r="BC389" s="1302">
        <f t="shared" si="2141"/>
        <v>0.001794687724336</v>
      </c>
      <c r="BD389" s="1302">
        <f t="shared" si="2141"/>
        <v>0.0374592833876222</v>
      </c>
      <c r="BE389" s="1304">
        <f t="shared" si="2141"/>
        <v>-0.219622964867181</v>
      </c>
      <c r="BF389" s="1302">
        <f t="shared" si="2141"/>
        <v>0.0513478818998716</v>
      </c>
      <c r="BG389" s="1302">
        <f t="shared" si="2141"/>
        <v>0.10124269005848</v>
      </c>
      <c r="BH389" s="1302">
        <f t="shared" si="2141"/>
        <v>0.0746753246753247</v>
      </c>
      <c r="BI389" s="1302">
        <f t="shared" si="2141"/>
        <v>0.0424581005586593</v>
      </c>
      <c r="BJ389" s="1302">
        <f t="shared" si="2141"/>
        <v>0.586605446485117</v>
      </c>
      <c r="BK389" s="1302">
        <f t="shared" si="2141"/>
        <v>0.0827660336796847</v>
      </c>
      <c r="BL389" s="1302">
        <f t="shared" si="2141"/>
        <v>0.0602825745682889</v>
      </c>
      <c r="BM389" s="1302">
        <f t="shared" si="2141"/>
        <v>0.432195014823762</v>
      </c>
      <c r="BN389" s="1303">
        <f t="shared" si="2141"/>
        <v>0.0189255189255189</v>
      </c>
      <c r="BO389" s="1302">
        <f t="shared" si="2141"/>
        <v>-0.0760039827414537</v>
      </c>
      <c r="BP389" s="1302">
        <f t="shared" si="2141"/>
        <v>-0.0265543011607569</v>
      </c>
      <c r="BQ389" s="1302">
        <f t="shared" si="2141"/>
        <v>-0.00696677384780275</v>
      </c>
      <c r="BR389" s="1302">
        <f t="shared" si="2141"/>
        <v>-0.0192595549346373</v>
      </c>
      <c r="BS389" s="1302">
        <f t="shared" si="2141"/>
        <v>-0.103904698874917</v>
      </c>
      <c r="BT389" s="1302">
        <f t="shared" ref="BT389:CN389" si="2142">BT388/BL388-1</f>
        <v>-0.0503405389398874</v>
      </c>
      <c r="BU389" s="1304">
        <f t="shared" si="2141"/>
        <v>-0.0388714252855938</v>
      </c>
      <c r="BV389" s="1303">
        <f t="shared" si="2142"/>
        <v>-0.0982624325943678</v>
      </c>
      <c r="BW389" s="1302">
        <f t="shared" si="2142"/>
        <v>0.00646551724137923</v>
      </c>
      <c r="BX389" s="1302">
        <f t="shared" si="2142"/>
        <v>-0.0506370467167593</v>
      </c>
      <c r="BY389" s="1302">
        <f t="shared" si="2142"/>
        <v>-0.0512682137075013</v>
      </c>
      <c r="BZ389" s="1302">
        <f t="shared" si="2142"/>
        <v>-0.0508750508750508</v>
      </c>
      <c r="CA389" s="1302">
        <f t="shared" si="2142"/>
        <v>-0.116691285081241</v>
      </c>
      <c r="CB389" s="1302">
        <f t="shared" si="2142"/>
        <v>0.0561272217025257</v>
      </c>
      <c r="CC389" s="1304">
        <f t="shared" si="2142"/>
        <v>-0.0650925335035099</v>
      </c>
      <c r="CD389" s="1303">
        <f t="shared" si="2142"/>
        <v>0.111627906976744</v>
      </c>
      <c r="CE389" s="1302">
        <f t="shared" si="2142"/>
        <v>0.0820842255531764</v>
      </c>
      <c r="CF389" s="1302">
        <f t="shared" si="2142"/>
        <v>0.0973847212663455</v>
      </c>
      <c r="CG389" s="1302">
        <f t="shared" si="2142"/>
        <v>0.0944254835039817</v>
      </c>
      <c r="CH389" s="1302">
        <f t="shared" si="2142"/>
        <v>0.0962692967409948</v>
      </c>
      <c r="CI389" s="1302">
        <f t="shared" si="2142"/>
        <v>0.271739130434783</v>
      </c>
      <c r="CJ389" s="1302">
        <f t="shared" si="2142"/>
        <v>0.0171242987894893</v>
      </c>
      <c r="CK389" s="1304">
        <f t="shared" si="2142"/>
        <v>0.132081911262799</v>
      </c>
      <c r="CL389" s="1303">
        <v>0.469814704124327</v>
      </c>
      <c r="CM389" s="1302">
        <f t="shared" si="2142"/>
        <v>0.601583113456464</v>
      </c>
      <c r="CN389" s="1302">
        <f t="shared" si="2142"/>
        <v>0.532455315145814</v>
      </c>
      <c r="CO389" s="1302">
        <f t="shared" ref="CO389:CT389" si="2143">CO388/CG388-1</f>
        <v>0.532744282744283</v>
      </c>
      <c r="CP389" s="1302">
        <f t="shared" si="2143"/>
        <v>0.532564052415412</v>
      </c>
      <c r="CQ389" s="1302">
        <f t="shared" si="2143"/>
        <v>0.477975016436555</v>
      </c>
      <c r="CR389" s="1302">
        <f t="shared" si="2143"/>
        <v>0.508567753483309</v>
      </c>
      <c r="CS389" s="1304">
        <f t="shared" si="2143"/>
        <v>0.520048236358155</v>
      </c>
      <c r="CT389" s="1303">
        <f t="shared" si="2143"/>
        <v>0.0321268808458723</v>
      </c>
      <c r="CU389" s="1302">
        <f t="shared" ref="CU389:DA389" si="2144">CU388/CM388-1</f>
        <v>-0.0115321252059308</v>
      </c>
      <c r="CV389" s="1302">
        <f t="shared" si="2144"/>
        <v>0.0104358502148558</v>
      </c>
      <c r="CW389" s="1302">
        <f t="shared" si="2144"/>
        <v>-0.00271278399457442</v>
      </c>
      <c r="CX389" s="1302">
        <f t="shared" si="2144"/>
        <v>0.00548749361919354</v>
      </c>
      <c r="CY389" s="1302">
        <f t="shared" si="2144"/>
        <v>0.0760676156583631</v>
      </c>
      <c r="CZ389" s="1302">
        <f t="shared" si="2144"/>
        <v>0.031361091066292</v>
      </c>
      <c r="DA389" s="1304">
        <f t="shared" si="2144"/>
        <v>0.0212217374057913</v>
      </c>
      <c r="DB389" s="1109">
        <f t="shared" ref="DB389:DI389" si="2145">DB388/CT388-1</f>
        <v>0.0295508274231679</v>
      </c>
      <c r="DC389" s="1082">
        <f t="shared" si="2145"/>
        <v>0.0475000000000001</v>
      </c>
      <c r="DD389" s="1082">
        <f t="shared" si="2145"/>
        <v>0.0382746051032807</v>
      </c>
      <c r="DE389" s="1082">
        <f t="shared" si="2145"/>
        <v>0.0469228153689221</v>
      </c>
      <c r="DF389" s="1082">
        <f t="shared" si="2145"/>
        <v>0.0415027287726868</v>
      </c>
      <c r="DG389" s="1082">
        <f t="shared" si="2145"/>
        <v>0.0649028524183546</v>
      </c>
      <c r="DH389" s="1082">
        <f t="shared" si="2145"/>
        <v>0.0550373134328359</v>
      </c>
      <c r="DI389" s="1085">
        <f t="shared" si="2145"/>
        <v>-0.0763258046887765</v>
      </c>
      <c r="DJ389" s="1082">
        <f t="shared" ref="DJ389:DQ389" si="2146">DJ388/DB388-1</f>
        <v>-0.0137772675086107</v>
      </c>
      <c r="DK389" s="1082">
        <f t="shared" si="2146"/>
        <v>-0.022673031026253</v>
      </c>
      <c r="DL389" s="1082">
        <f t="shared" si="2146"/>
        <v>-0.0181392627267408</v>
      </c>
      <c r="DM389" s="1082">
        <f t="shared" si="2146"/>
        <v>-0.0620331276388438</v>
      </c>
      <c r="DN389" s="1082">
        <f t="shared" si="2146"/>
        <v>-0.0344869607604192</v>
      </c>
      <c r="DO389" s="1082">
        <f t="shared" si="2146"/>
        <v>-0.0458074534161491</v>
      </c>
      <c r="DP389" s="1082">
        <f t="shared" si="2146"/>
        <v>-0.05552608311229</v>
      </c>
      <c r="DQ389" s="1085">
        <f t="shared" si="2146"/>
        <v>0.0913586441598309</v>
      </c>
      <c r="DR389" s="1082">
        <f t="shared" ref="DR389:DZ389" si="2147">DR388/DJ388-1</f>
        <v>0.037640667442763</v>
      </c>
      <c r="DS389" s="1082">
        <f t="shared" si="2147"/>
        <v>0.187220187220187</v>
      </c>
      <c r="DT389" s="1082">
        <f t="shared" si="2147"/>
        <v>0.110448947159317</v>
      </c>
      <c r="DU389" s="1082">
        <f t="shared" si="2147"/>
        <v>0.200831024930748</v>
      </c>
      <c r="DV389" s="1082">
        <f t="shared" si="2147"/>
        <v>0.143253817998233</v>
      </c>
      <c r="DW389" s="1082">
        <f t="shared" si="2147"/>
        <v>0.192839707078926</v>
      </c>
      <c r="DX389" s="1082">
        <f t="shared" si="2147"/>
        <v>0.198277476128066</v>
      </c>
      <c r="DY389" s="1085">
        <f t="shared" si="2147"/>
        <v>0.154994701859166</v>
      </c>
      <c r="DZ389" s="1082">
        <f t="shared" si="2147"/>
        <v>0.224008975317876</v>
      </c>
      <c r="EA389" s="1082">
        <f t="shared" ref="EA389:EF389" si="2148">EA388/DS388-1</f>
        <v>0.0503942406582105</v>
      </c>
      <c r="EB389" s="1082">
        <f t="shared" si="2148"/>
        <v>0.133631484794275</v>
      </c>
      <c r="EC389" s="1082">
        <f t="shared" si="2148"/>
        <v>0.0795847750865053</v>
      </c>
      <c r="ED389" s="1082">
        <f t="shared" si="2148"/>
        <v>0.112938838595716</v>
      </c>
      <c r="EE389" s="1082">
        <f t="shared" si="2148"/>
        <v>0.105388813096862</v>
      </c>
      <c r="EF389" s="1082">
        <f t="shared" si="2148"/>
        <v>0.0914062499999999</v>
      </c>
      <c r="EG389" s="1085">
        <f t="shared" ref="EG389:EQ389" si="2149">EG388/DY388-1</f>
        <v>0.111092577147623</v>
      </c>
      <c r="EH389" s="1082">
        <f t="shared" si="2149"/>
        <v>0.168347082187595</v>
      </c>
      <c r="EI389" s="1082">
        <f t="shared" si="2149"/>
        <v>0.147845953002611</v>
      </c>
      <c r="EJ389" s="1082">
        <f t="shared" si="2149"/>
        <v>0.158434590500237</v>
      </c>
      <c r="EK389" s="1082">
        <f t="shared" si="2149"/>
        <v>0.114583333333333</v>
      </c>
      <c r="EL389" s="1082">
        <f t="shared" si="2149"/>
        <v>0.142148596369408</v>
      </c>
      <c r="EM389" s="1082">
        <f t="shared" si="2149"/>
        <v>0.0394939833384758</v>
      </c>
      <c r="EN389" s="1082">
        <f t="shared" si="2149"/>
        <v>0.0797423049391552</v>
      </c>
      <c r="EO389" s="1085">
        <f t="shared" si="2149"/>
        <v>0.117174598408647</v>
      </c>
      <c r="EP389" s="1082">
        <f t="shared" si="2149"/>
        <v>-0.0190899581589958</v>
      </c>
      <c r="EQ389" s="1082">
        <f t="shared" si="2149"/>
        <v>-0.0381006539664487</v>
      </c>
      <c r="ER389" s="1082">
        <f t="shared" ref="ER389:EW389" si="2150">ER388/EJ388-1</f>
        <v>-0.0281977932161831</v>
      </c>
      <c r="ES389" s="1082">
        <f t="shared" si="2150"/>
        <v>-0.0704529115744069</v>
      </c>
      <c r="ET389" s="1082">
        <f t="shared" si="2150"/>
        <v>-0.0435122459614382</v>
      </c>
      <c r="EU389" s="1082">
        <f t="shared" si="2150"/>
        <v>0.0326506381715643</v>
      </c>
      <c r="EV389" s="1082">
        <f t="shared" si="2150"/>
        <v>-0.0243967117475471</v>
      </c>
      <c r="EW389" s="1085">
        <f t="shared" si="2150"/>
        <v>-0.0262715850298999</v>
      </c>
      <c r="EX389" s="1082">
        <f t="shared" ref="EX389:FG389" si="2151">EX388/EP388-1</f>
        <v>-0.071980805118635</v>
      </c>
      <c r="EY389" s="1082">
        <f t="shared" si="2151"/>
        <v>0.00443393437777129</v>
      </c>
      <c r="EZ389" s="1082">
        <f t="shared" si="2151"/>
        <v>-0.035744322960471</v>
      </c>
      <c r="FA389" s="1082">
        <f t="shared" si="2151"/>
        <v>0.0425367362722351</v>
      </c>
      <c r="FB389" s="1082">
        <f t="shared" si="2151"/>
        <v>-0.00817216017433942</v>
      </c>
      <c r="FC389" s="1082">
        <f t="shared" si="2151"/>
        <v>0.0376544984190859</v>
      </c>
      <c r="FD389" s="1082">
        <f t="shared" si="2151"/>
        <v>0.0402283229138354</v>
      </c>
      <c r="FE389" s="1085">
        <f t="shared" si="2151"/>
        <v>0.00282914711565008</v>
      </c>
      <c r="FF389" s="1082">
        <f t="shared" si="2151"/>
        <v>0.172938810686584</v>
      </c>
      <c r="FG389" s="1082">
        <f t="shared" si="2151"/>
        <v>0.149793996468511</v>
      </c>
      <c r="FH389" s="1082">
        <f t="shared" ref="FH389:FN389" si="2152">FH388/EZ388-1</f>
        <v>0.161506032853612</v>
      </c>
      <c r="FI389" s="1082">
        <f t="shared" si="2152"/>
        <v>0.176310583580613</v>
      </c>
      <c r="FJ389" s="1082">
        <f t="shared" si="2152"/>
        <v>0.166987091458391</v>
      </c>
      <c r="FK389" s="1082">
        <f t="shared" si="2152"/>
        <v>0.154570637119114</v>
      </c>
      <c r="FL389" s="1082">
        <f t="shared" si="2152"/>
        <v>0.166056963679122</v>
      </c>
      <c r="FM389" s="1085">
        <f t="shared" si="2152"/>
        <v>0.163902841808298</v>
      </c>
      <c r="FN389" s="1082">
        <f t="shared" si="2152"/>
        <v>0.168013715405339</v>
      </c>
      <c r="FO389" s="1082">
        <f t="shared" ref="FO389:FW389" si="2153">FO388/FG388-1</f>
        <v>0.132070642436652</v>
      </c>
      <c r="FP389" s="1082">
        <f t="shared" si="2153"/>
        <v>0.150438047559449</v>
      </c>
      <c r="FQ389" s="1082">
        <f t="shared" si="2153"/>
        <v>0.137691822577255</v>
      </c>
      <c r="FR389" s="1082">
        <f t="shared" si="2153"/>
        <v>0.145681336785126</v>
      </c>
      <c r="FS389" s="1082">
        <f t="shared" si="2153"/>
        <v>0.124280230326296</v>
      </c>
      <c r="FT389" s="1082">
        <f t="shared" si="2153"/>
        <v>0.131428571428571</v>
      </c>
      <c r="FU389" s="1082">
        <f t="shared" si="2153"/>
        <v>0.140407921962755</v>
      </c>
      <c r="FV389" s="1086">
        <f t="shared" si="2153"/>
        <v>0.141958481862026</v>
      </c>
      <c r="FW389" s="1082">
        <f t="shared" si="2153"/>
        <v>0.139045896450373</v>
      </c>
      <c r="FX389" s="1082">
        <f t="shared" ref="FX389:GC389" si="2154">FX388/FP388-1</f>
        <v>0.140557006092254</v>
      </c>
      <c r="FY389" s="1082">
        <f t="shared" si="2154"/>
        <v>0.0491500369549149</v>
      </c>
      <c r="FZ389" s="1082">
        <f t="shared" si="2154"/>
        <v>0.106683100520405</v>
      </c>
      <c r="GA389" s="1082">
        <f t="shared" si="2154"/>
        <v>0.0789586000853606</v>
      </c>
      <c r="GB389" s="1082">
        <f t="shared" si="2154"/>
        <v>0.0629827688651219</v>
      </c>
      <c r="GC389" s="1085">
        <f t="shared" si="2154"/>
        <v>0.0999481596682219</v>
      </c>
      <c r="GD389" s="1087">
        <f t="shared" ref="GD389:GK389" si="2155">GD388/FV388-1</f>
        <v>0.0187293426367976</v>
      </c>
      <c r="GE389" s="1082">
        <f t="shared" si="2155"/>
        <v>0.0442635966653433</v>
      </c>
      <c r="GF389" s="1082">
        <f t="shared" si="2155"/>
        <v>0.0309996184662342</v>
      </c>
      <c r="GG389" s="1082">
        <f t="shared" si="2155"/>
        <v>0.0343430785487853</v>
      </c>
      <c r="GH389" s="1082">
        <f t="shared" si="2155"/>
        <v>0.0321742358618986</v>
      </c>
      <c r="GI389" s="1082">
        <f t="shared" si="2155"/>
        <v>0.0350079113924051</v>
      </c>
      <c r="GJ389" s="1082">
        <f t="shared" si="2155"/>
        <v>0.0346562325321411</v>
      </c>
      <c r="GK389" s="1085">
        <f t="shared" si="2155"/>
        <v>0.0328494674333115</v>
      </c>
      <c r="GL389" s="1082">
        <f t="shared" ref="GL389" si="2156">GL388/GD388-1</f>
        <v>0.0603821196827685</v>
      </c>
      <c r="GM389" s="1082">
        <f t="shared" ref="GM389" si="2157">GM388/GE388-1</f>
        <v>0.0471393271241205</v>
      </c>
      <c r="GN389" s="1082">
        <f t="shared" ref="GN389" si="2158">GN388/GF388-1</f>
        <v>0.0539365343695069</v>
      </c>
      <c r="GO389" s="1082">
        <f t="shared" ref="GO389" si="2159">GO388/GG388-1</f>
        <v>0.0914353822577898</v>
      </c>
      <c r="GP389" s="1082">
        <f t="shared" ref="GP389" si="2160">GP388/GH388-1</f>
        <v>0.0671382328258001</v>
      </c>
      <c r="GQ389" s="1082">
        <f t="shared" ref="GQ389" si="2161">GQ388/GI388-1</f>
        <v>0.11580355436652</v>
      </c>
      <c r="GR389" s="1082">
        <f t="shared" ref="GR389" si="2162">GR388/GJ388-1</f>
        <v>0.10291734197731</v>
      </c>
      <c r="GS389" s="1085">
        <f t="shared" ref="GS389" si="2163">GS388/GK388-1</f>
        <v>0.0787588409764999</v>
      </c>
      <c r="GT389" s="1082">
        <f t="shared" ref="GT389" si="2164">GT388/GL388-1</f>
        <v>-0.192078871324154</v>
      </c>
      <c r="GU389" s="1082">
        <f t="shared" ref="GU389" si="2165">GU388/GM388-1</f>
        <v>-0.350399891087312</v>
      </c>
      <c r="GV389" s="1082">
        <f t="shared" ref="GV389" si="2166">GV388/GN388-1</f>
        <v>-0.268640537219101</v>
      </c>
      <c r="GW389" s="1082">
        <f t="shared" ref="GW389" si="2167">GW388/GO388-1</f>
        <v>-0.0695285491419655</v>
      </c>
      <c r="GX389" s="1082">
        <f t="shared" ref="GX389" si="2168">GX388/GP388-1</f>
        <v>-0.196945904954499</v>
      </c>
      <c r="GY389" s="1082">
        <f t="shared" ref="GY389" si="2169">GY388/GQ388-1</f>
        <v>-0.0498319917794146</v>
      </c>
      <c r="GZ389" s="1082">
        <f t="shared" ref="GZ389" si="2170">GZ388/GR388-1</f>
        <v>-0.0601393583149649</v>
      </c>
      <c r="HA389" s="1085">
        <f t="shared" ref="HA389" si="2171">HA388/GS388-1</f>
        <v>-0.160610803265513</v>
      </c>
      <c r="HB389" s="1082">
        <f>HB388/4381-1</f>
        <v>0.202465190595755</v>
      </c>
      <c r="HC389" s="1082">
        <f>HC388/3352-1</f>
        <v>0.514618138424821</v>
      </c>
      <c r="HD389" s="1082">
        <f>HD388/(4381+3352)-1</f>
        <v>0.337773179878443</v>
      </c>
      <c r="HE389" s="1082">
        <f>HE388/5561-1</f>
        <v>0.0343463405862261</v>
      </c>
      <c r="HF389" s="1082">
        <f t="shared" ref="HF389" si="2172">HF388/GX388-1</f>
        <v>0.125981736530067</v>
      </c>
      <c r="HG389" s="1082">
        <f>HG388/5142-1</f>
        <v>-0.000972384286270334</v>
      </c>
      <c r="HH389" s="1082">
        <f>HH388/(5561+5142)-1</f>
        <v>0.0173783051480896</v>
      </c>
      <c r="HI389" s="1085">
        <f>HI388/18435-1</f>
        <v>0.151830756712775</v>
      </c>
      <c r="HJ389" s="1082">
        <f>HJ388/HB388-1</f>
        <v>0.00645406226271805</v>
      </c>
      <c r="HK389" s="1082">
        <f>HK388/HC388-1</f>
        <v>0.102422690565295</v>
      </c>
      <c r="HL389" s="1082">
        <f t="shared" ref="HL389:HS389" si="2173">HL388/HD388-1</f>
        <v>0.0535524407926533</v>
      </c>
      <c r="HM389" s="1082">
        <f t="shared" si="2173"/>
        <v>0.11404728789986</v>
      </c>
      <c r="HN389" s="1082">
        <f t="shared" si="2173"/>
        <v>0.0751692862023978</v>
      </c>
      <c r="HO389" s="1082">
        <f t="shared" si="2173"/>
        <v>0.0130426318863155</v>
      </c>
      <c r="HP389" s="1082">
        <f t="shared" si="2173"/>
        <v>0.0771420699788776</v>
      </c>
      <c r="HQ389" s="1085">
        <f t="shared" si="2173"/>
        <v>0.0601393990769521</v>
      </c>
      <c r="HR389" s="1082">
        <f t="shared" si="2173"/>
        <v>-0.00528102602791369</v>
      </c>
      <c r="HS389" s="1082">
        <f t="shared" si="2173"/>
        <v>-0.116848311595498</v>
      </c>
      <c r="HT389" s="1082">
        <f t="shared" ref="HT389" si="2174">HT388/HL388-1</f>
        <v>-0.064960088081475</v>
      </c>
      <c r="HU389" s="1082">
        <f t="shared" ref="HU389" si="2175">HU388/HM388-1</f>
        <v>-0.118445692883895</v>
      </c>
      <c r="HV389" s="1082">
        <f t="shared" ref="HV389" si="2176">HV388/HN388-1</f>
        <v>-0.0860345524932107</v>
      </c>
      <c r="HW389" s="1082">
        <f t="shared" ref="HW389" si="2177">HW388/HO388-1</f>
        <v>-0.0753266717909302</v>
      </c>
      <c r="HX389" s="1082">
        <f t="shared" ref="HX389" si="2178">HX388/HP388-1</f>
        <v>-0.108108108108108</v>
      </c>
      <c r="HY389" s="1085">
        <f t="shared" ref="HY389:IA389" si="2179">HY388/HQ388-1</f>
        <v>-0.0814268579805427</v>
      </c>
      <c r="HZ389" s="1082">
        <f t="shared" si="2179"/>
        <v>0.00644671975729971</v>
      </c>
      <c r="IA389" s="1082">
        <f t="shared" si="2179"/>
        <v>0.137365972081731</v>
      </c>
      <c r="IB389" s="1082">
        <f t="shared" ref="IB389" si="2180">IB388/HT388-1</f>
        <v>0.0725149641840837</v>
      </c>
      <c r="IC389" s="1082">
        <f t="shared" ref="IC389" si="2181">IC388/HU388-1</f>
        <v>0.10426624181271</v>
      </c>
      <c r="ID389" s="1082">
        <f t="shared" ref="ID389" si="2182">ID388/HV388-1</f>
        <v>0.0835756732836006</v>
      </c>
      <c r="IE389" s="1082">
        <f t="shared" ref="IE389" si="2183">IE388/HW388-1</f>
        <v>0.218827930174565</v>
      </c>
      <c r="IF389" s="1082">
        <f t="shared" ref="IF389" si="2184">IF388/HX388-1</f>
        <v>0.157728706624606</v>
      </c>
      <c r="IG389" s="1085">
        <f t="shared" ref="IG389:II389" si="2185">IG388/HY388-1</f>
        <v>0.113889157558758</v>
      </c>
      <c r="IH389" s="1082">
        <f t="shared" si="2185"/>
        <v>0.159193669932178</v>
      </c>
      <c r="II389" s="1082">
        <f t="shared" si="2185"/>
        <v>0.0586979722518677</v>
      </c>
      <c r="IJ389" s="1082">
        <f t="shared" ref="IJ389" si="2186">IJ388/IB388-1</f>
        <v>0.107502287282708</v>
      </c>
      <c r="IK389" s="1082">
        <f t="shared" ref="IK389" si="2187">IK388/IC388-1</f>
        <v>0.0628406540557875</v>
      </c>
      <c r="IL389" s="1082">
        <f t="shared" ref="IL389" si="2188">IL388/ID388-1</f>
        <v>0.0914235705950992</v>
      </c>
      <c r="IM389" s="1082">
        <f t="shared" ref="IM389" si="2189">IM388/IE388-1</f>
        <v>0.0359761295822665</v>
      </c>
      <c r="IN389" s="1082">
        <f t="shared" ref="IN389" si="2190">IN388/IF388-1</f>
        <v>0.0452481215423992</v>
      </c>
      <c r="IO389" s="1085">
        <f t="shared" ref="IO389:IQ389" si="2191">IO388/IG388-1</f>
        <v>0.0771935918030651</v>
      </c>
      <c r="IP389" s="1082">
        <f t="shared" si="2191"/>
        <v>0.0713473102551598</v>
      </c>
      <c r="IQ389" s="1082">
        <f t="shared" si="2191"/>
        <v>0.132896505376344</v>
      </c>
      <c r="IR389" s="1082">
        <f t="shared" ref="IR389" si="2192">IR388/IJ388-1</f>
        <v>0.101610904584882</v>
      </c>
      <c r="IS389" s="1082">
        <f t="shared" ref="IS389" si="2193">IS388/IK388-1</f>
        <v>0.0983439878228975</v>
      </c>
      <c r="IT389" s="1082">
        <f t="shared" ref="IT389" si="2194">IT388/IL388-1</f>
        <v>0.102101921166718</v>
      </c>
      <c r="IU389" s="1082">
        <f t="shared" ref="IU389" si="2195">IU388/IM388-1</f>
        <v>0.0724013359175655</v>
      </c>
      <c r="IV389" s="1082">
        <f t="shared" ref="IV389" si="2196">IV388/IN388-1</f>
        <v>0.0899700731733106</v>
      </c>
      <c r="IW389" s="1085">
        <f t="shared" ref="IW389" si="2197">IW388/IO388-1</f>
        <v>0.0935847469388953</v>
      </c>
      <c r="IX389" s="1305"/>
      <c r="IY389" s="1087"/>
      <c r="IZ389" s="1094"/>
      <c r="JA389" s="1094"/>
      <c r="JB389" s="1094"/>
      <c r="JC389" s="1049"/>
      <c r="JD389" s="1049"/>
      <c r="JL389" s="1035"/>
      <c r="JN389" s="1082"/>
      <c r="JO389" s="1082"/>
      <c r="JP389" s="1082"/>
      <c r="JQ389" s="1082"/>
      <c r="JR389" s="1082"/>
      <c r="JS389" s="1082"/>
      <c r="JT389" s="1082"/>
      <c r="JU389" s="1082"/>
      <c r="JV389" s="1082"/>
      <c r="KD389" s="1049" t="s">
        <v>581</v>
      </c>
      <c r="KE389" s="1049"/>
      <c r="KF389" s="1049"/>
      <c r="KG389" s="1181"/>
      <c r="KH389" s="1181"/>
      <c r="KI389" s="1037"/>
      <c r="KJ389" s="1037"/>
      <c r="KK389" s="1037"/>
      <c r="KL389" s="1035"/>
      <c r="KM389" s="1104">
        <v>0.01</v>
      </c>
      <c r="KN389" s="1035"/>
      <c r="KO389" s="1035"/>
      <c r="KP389" s="1035"/>
    </row>
    <row r="390" s="883" customFormat="1" spans="1:334">
      <c r="A390" s="883" t="s">
        <v>582</v>
      </c>
      <c r="B390" s="1302"/>
      <c r="C390" s="1302"/>
      <c r="D390" s="1302"/>
      <c r="E390" s="1302"/>
      <c r="F390" s="1302"/>
      <c r="G390" s="1302"/>
      <c r="H390" s="1302"/>
      <c r="I390" s="1302"/>
      <c r="J390" s="1302"/>
      <c r="K390" s="1302"/>
      <c r="L390" s="1302"/>
      <c r="M390" s="1302"/>
      <c r="N390" s="1302"/>
      <c r="O390" s="1302"/>
      <c r="P390" s="1302"/>
      <c r="Q390" s="1302"/>
      <c r="R390" s="1302"/>
      <c r="S390" s="1302"/>
      <c r="T390" s="1302"/>
      <c r="U390" s="1302"/>
      <c r="V390" s="1302"/>
      <c r="W390" s="1302"/>
      <c r="X390" s="1302"/>
      <c r="Y390" s="1302"/>
      <c r="Z390" s="1302"/>
      <c r="AA390" s="1302"/>
      <c r="AB390" s="1302"/>
      <c r="AC390" s="1302"/>
      <c r="AD390" s="1302"/>
      <c r="AE390" s="1302"/>
      <c r="AF390" s="1302"/>
      <c r="AG390" s="1302"/>
      <c r="AH390" s="1302"/>
      <c r="AI390" s="1302"/>
      <c r="AJ390" s="1302"/>
      <c r="AK390" s="1302"/>
      <c r="AL390" s="1302"/>
      <c r="AM390" s="1302"/>
      <c r="AN390" s="1302"/>
      <c r="AO390" s="1302"/>
      <c r="AP390" s="1302"/>
      <c r="AQ390" s="1302"/>
      <c r="AR390" s="1302"/>
      <c r="AS390" s="1302"/>
      <c r="AT390" s="1302"/>
      <c r="AU390" s="1302"/>
      <c r="AV390" s="1302"/>
      <c r="AW390" s="1302"/>
      <c r="AX390" s="1303"/>
      <c r="AY390" s="1302"/>
      <c r="AZ390" s="1302"/>
      <c r="BA390" s="1302"/>
      <c r="BB390" s="1302"/>
      <c r="BC390" s="1302"/>
      <c r="BD390" s="1302"/>
      <c r="BE390" s="1304"/>
      <c r="BF390" s="1302"/>
      <c r="BG390" s="1302"/>
      <c r="BH390" s="1302"/>
      <c r="BI390" s="1302"/>
      <c r="BJ390" s="1302"/>
      <c r="BK390" s="1302"/>
      <c r="BL390" s="1302"/>
      <c r="BM390" s="1302"/>
      <c r="BN390" s="1303"/>
      <c r="BO390" s="1302"/>
      <c r="BP390" s="1302"/>
      <c r="BQ390" s="1302"/>
      <c r="BR390" s="1302"/>
      <c r="BS390" s="1302"/>
      <c r="BT390" s="1302"/>
      <c r="BU390" s="1304"/>
      <c r="BV390" s="1303"/>
      <c r="BW390" s="1302"/>
      <c r="BX390" s="1302"/>
      <c r="BY390" s="1302"/>
      <c r="BZ390" s="1302"/>
      <c r="CA390" s="1302"/>
      <c r="CB390" s="1302"/>
      <c r="CC390" s="1304"/>
      <c r="CD390" s="1303"/>
      <c r="CE390" s="1302"/>
      <c r="CF390" s="1302"/>
      <c r="CG390" s="1302"/>
      <c r="CH390" s="1302"/>
      <c r="CI390" s="1302"/>
      <c r="CJ390" s="1302"/>
      <c r="CK390" s="1304"/>
      <c r="CL390" s="1303"/>
      <c r="CM390" s="1302"/>
      <c r="CN390" s="1302"/>
      <c r="CO390" s="1302"/>
      <c r="CP390" s="1302"/>
      <c r="CQ390" s="1302"/>
      <c r="CR390" s="1302"/>
      <c r="CS390" s="1304"/>
      <c r="CT390" s="1303"/>
      <c r="CU390" s="1302"/>
      <c r="CV390" s="1302"/>
      <c r="CW390" s="1302"/>
      <c r="CX390" s="1302"/>
      <c r="CY390" s="1302"/>
      <c r="CZ390" s="1302"/>
      <c r="DA390" s="1304"/>
      <c r="DB390" s="1109"/>
      <c r="DC390" s="1082"/>
      <c r="DD390" s="1082"/>
      <c r="DE390" s="1082"/>
      <c r="DF390" s="1082"/>
      <c r="DG390" s="1082"/>
      <c r="DH390" s="1082"/>
      <c r="DI390" s="1085"/>
      <c r="DJ390" s="1082"/>
      <c r="DK390" s="1082"/>
      <c r="DL390" s="1082"/>
      <c r="DM390" s="1082"/>
      <c r="DN390" s="1082"/>
      <c r="DO390" s="1082"/>
      <c r="DP390" s="1082"/>
      <c r="DQ390" s="1085"/>
      <c r="DR390" s="1082"/>
      <c r="DS390" s="1082"/>
      <c r="DT390" s="1082"/>
      <c r="DU390" s="1082"/>
      <c r="DV390" s="1082"/>
      <c r="DW390" s="1082"/>
      <c r="DX390" s="1082"/>
      <c r="DY390" s="1085"/>
      <c r="DZ390" s="1082"/>
      <c r="EA390" s="1082"/>
      <c r="EB390" s="1082"/>
      <c r="EC390" s="1082"/>
      <c r="ED390" s="1082"/>
      <c r="EE390" s="1082"/>
      <c r="EF390" s="1082"/>
      <c r="EG390" s="1085"/>
      <c r="EH390" s="1082"/>
      <c r="EI390" s="1082"/>
      <c r="EJ390" s="1082"/>
      <c r="EK390" s="1082"/>
      <c r="EL390" s="1082"/>
      <c r="EM390" s="1082"/>
      <c r="EN390" s="1082"/>
      <c r="EO390" s="1085"/>
      <c r="EP390" s="1082"/>
      <c r="EQ390" s="1082"/>
      <c r="ER390" s="1082"/>
      <c r="ES390" s="1082"/>
      <c r="ET390" s="1082"/>
      <c r="EU390" s="1082"/>
      <c r="EV390" s="1082"/>
      <c r="EW390" s="1085"/>
      <c r="EX390" s="1082"/>
      <c r="EY390" s="1082"/>
      <c r="EZ390" s="1082"/>
      <c r="FA390" s="1082"/>
      <c r="FB390" s="1082"/>
      <c r="FC390" s="1082"/>
      <c r="FD390" s="1082"/>
      <c r="FE390" s="1085"/>
      <c r="FF390" s="1082"/>
      <c r="FG390" s="1082"/>
      <c r="FH390" s="1082"/>
      <c r="FI390" s="1082"/>
      <c r="FJ390" s="1082"/>
      <c r="FK390" s="1082"/>
      <c r="FL390" s="1082"/>
      <c r="FM390" s="1085"/>
      <c r="FN390" s="1082">
        <f>FN219</f>
        <v>0.213338966446241</v>
      </c>
      <c r="FO390" s="1082">
        <f t="shared" ref="FO390:GC390" si="2198">FO219</f>
        <v>0.205087023291528</v>
      </c>
      <c r="FP390" s="1082">
        <f t="shared" si="2198"/>
        <v>0.209303879849812</v>
      </c>
      <c r="FQ390" s="1082">
        <f t="shared" si="2198"/>
        <v>0.171974563800715</v>
      </c>
      <c r="FR390" s="1082">
        <f t="shared" si="2198"/>
        <v>0.195373107397819</v>
      </c>
      <c r="FS390" s="1082">
        <f t="shared" si="2198"/>
        <v>0.13947480806142</v>
      </c>
      <c r="FT390" s="1082">
        <f t="shared" si="2198"/>
        <v>0.156797086834734</v>
      </c>
      <c r="FU390" s="1082">
        <f t="shared" si="2198"/>
        <v>0.1815992905705</v>
      </c>
      <c r="FV390" s="1109">
        <f t="shared" si="2198"/>
        <v>0.163587664380074</v>
      </c>
      <c r="FW390" s="1082">
        <f t="shared" si="2198"/>
        <v>0.194819353380059</v>
      </c>
      <c r="FX390" s="1082">
        <f t="shared" si="2198"/>
        <v>0.177906549173194</v>
      </c>
      <c r="FY390" s="1082">
        <f t="shared" si="2198"/>
        <v>0.123579404363415</v>
      </c>
      <c r="FZ390" s="1082">
        <f t="shared" si="2198"/>
        <v>0.158220166245095</v>
      </c>
      <c r="GA390" s="1082">
        <f t="shared" si="2198"/>
        <v>0.165537772087068</v>
      </c>
      <c r="GB390" s="1082">
        <f t="shared" si="2198"/>
        <v>0.14305028088877</v>
      </c>
      <c r="GC390" s="1085">
        <f t="shared" si="2198"/>
        <v>0.159997786824436</v>
      </c>
      <c r="GD390" s="1082">
        <f t="shared" ref="GD390:GL390" si="2199">GD219</f>
        <v>0.101595666544253</v>
      </c>
      <c r="GE390" s="1082">
        <f t="shared" si="2199"/>
        <v>0.105070265978563</v>
      </c>
      <c r="GF390" s="1082">
        <f t="shared" si="2199"/>
        <v>0.103265356734071</v>
      </c>
      <c r="GG390" s="1082">
        <f t="shared" si="2199"/>
        <v>0.0826051426558651</v>
      </c>
      <c r="GH390" s="1082">
        <f t="shared" si="2199"/>
        <v>0.0960070535824775</v>
      </c>
      <c r="GI390" s="1082">
        <f t="shared" si="2199"/>
        <v>0.0464893196202532</v>
      </c>
      <c r="GJ390" s="1082">
        <f t="shared" si="2199"/>
        <v>0.0655936277249862</v>
      </c>
      <c r="GK390" s="1085">
        <f t="shared" si="2199"/>
        <v>0.0842075596191913</v>
      </c>
      <c r="GL390" s="1082">
        <f t="shared" si="2199"/>
        <v>0.0443403028118238</v>
      </c>
      <c r="GM390" s="1082">
        <f t="shared" ref="GM390:GT390" si="2200">GM219</f>
        <v>0.0375946398023189</v>
      </c>
      <c r="GN390" s="1082">
        <f t="shared" si="2200"/>
        <v>0.0410570265519473</v>
      </c>
      <c r="GO390" s="1082">
        <f t="shared" si="2200"/>
        <v>0.0596494125659799</v>
      </c>
      <c r="GP390" s="1082">
        <f t="shared" si="2200"/>
        <v>0.0476025896175518</v>
      </c>
      <c r="GQ390" s="1082">
        <f t="shared" si="2200"/>
        <v>0.101696923370915</v>
      </c>
      <c r="GR390" s="1082">
        <f t="shared" si="2200"/>
        <v>0.0794616423554835</v>
      </c>
      <c r="GS390" s="1085">
        <f t="shared" si="2200"/>
        <v>0.0605195710700433</v>
      </c>
      <c r="GT390" s="1082">
        <f t="shared" si="2200"/>
        <v>-0.194146183919769</v>
      </c>
      <c r="GU390" s="1082">
        <f t="shared" ref="GU390:HB390" si="2201">GU219</f>
        <v>-0.34220245416591</v>
      </c>
      <c r="GV390" s="1082">
        <f t="shared" si="2201"/>
        <v>-0.265743971207865</v>
      </c>
      <c r="GW390" s="1082">
        <f t="shared" si="2201"/>
        <v>-0.0261279251170047</v>
      </c>
      <c r="GX390" s="1082">
        <f t="shared" si="2201"/>
        <v>-0.179464965734187</v>
      </c>
      <c r="GY390" s="1082">
        <f t="shared" si="2201"/>
        <v>0.00265058740480018</v>
      </c>
      <c r="GZ390" s="1082">
        <f t="shared" si="2201"/>
        <v>-0.0124094391495936</v>
      </c>
      <c r="HA390" s="1085">
        <f t="shared" si="2201"/>
        <v>-0.134484943113378</v>
      </c>
      <c r="HB390" s="1082">
        <f t="shared" si="2201"/>
        <v>0.266102944533212</v>
      </c>
      <c r="HC390" s="1082">
        <f t="shared" ref="HC390:HJ390" si="2202">HC219</f>
        <v>0.557424224343676</v>
      </c>
      <c r="HD390" s="1082">
        <f t="shared" si="2202"/>
        <v>0.391232588651581</v>
      </c>
      <c r="HE390" s="1082">
        <f t="shared" si="2202"/>
        <v>0.03856745732091</v>
      </c>
      <c r="HF390" s="1082">
        <f t="shared" si="2202"/>
        <v>0.244099617012624</v>
      </c>
      <c r="HG390" s="1082">
        <f t="shared" si="2202"/>
        <v>-0.0246713341112408</v>
      </c>
      <c r="HH390" s="1082">
        <f t="shared" si="2202"/>
        <v>0.00809143080677283</v>
      </c>
      <c r="HI390" s="1085">
        <f t="shared" si="2202"/>
        <v>0.16</v>
      </c>
      <c r="HJ390" s="1082">
        <f t="shared" si="2202"/>
        <v>-0.0306351556567961</v>
      </c>
      <c r="HK390" s="1082">
        <f t="shared" ref="HK390:HR390" si="2203">HK219</f>
        <v>0.0356592475871578</v>
      </c>
      <c r="HL390" s="1082">
        <f t="shared" si="2203"/>
        <v>0.0019000483325276</v>
      </c>
      <c r="HM390" s="1082">
        <f t="shared" si="2203"/>
        <v>0.0440361613351878</v>
      </c>
      <c r="HN390" s="1082">
        <f t="shared" si="2203"/>
        <v>0.0169567000062122</v>
      </c>
      <c r="HO390" s="1082">
        <f t="shared" si="2203"/>
        <v>-0.01</v>
      </c>
      <c r="HP390" s="1082">
        <f t="shared" si="2203"/>
        <v>0.0185440352649463</v>
      </c>
      <c r="HQ390" s="1085">
        <f t="shared" si="2203"/>
        <v>0.0104352453612131</v>
      </c>
      <c r="HR390" s="1082">
        <f t="shared" si="2203"/>
        <v>-0.0165437570728027</v>
      </c>
      <c r="HS390" s="1082">
        <f t="shared" ref="HS390:HZ390" si="2204">HS219</f>
        <v>-0.0687477219939252</v>
      </c>
      <c r="HT390" s="1082">
        <f t="shared" si="2204"/>
        <v>-0.043352234149922</v>
      </c>
      <c r="HU390" s="1082">
        <f t="shared" si="2204"/>
        <v>-0.0581412884178331</v>
      </c>
      <c r="HV390" s="1082">
        <f t="shared" si="2204"/>
        <v>-0.0488279526308126</v>
      </c>
      <c r="HW390" s="1082">
        <f t="shared" si="2204"/>
        <v>-0.0512081091468104</v>
      </c>
      <c r="HX390" s="1082">
        <f t="shared" si="2204"/>
        <v>-0.0544851544190874</v>
      </c>
      <c r="HY390" s="1085">
        <f t="shared" si="2204"/>
        <v>-0.0493781873831227</v>
      </c>
      <c r="HZ390" s="1082">
        <f t="shared" si="2204"/>
        <v>0.0533170269245354</v>
      </c>
      <c r="IA390" s="1082">
        <f t="shared" ref="IA390:IH390" si="2205">IA219</f>
        <v>0.1633740643334</v>
      </c>
      <c r="IB390" s="1082">
        <f t="shared" si="2205"/>
        <v>0.106834658031596</v>
      </c>
      <c r="IC390" s="1082">
        <f t="shared" si="2205"/>
        <v>0.143005133651974</v>
      </c>
      <c r="ID390" s="1082">
        <f t="shared" si="2205"/>
        <v>0.119900619547351</v>
      </c>
      <c r="IE390" s="1082">
        <f t="shared" si="2205"/>
        <v>0.196843308395677</v>
      </c>
      <c r="IF390" s="1082">
        <f t="shared" si="2205"/>
        <v>0.169235694734578</v>
      </c>
      <c r="IG390" s="1085">
        <f t="shared" si="2205"/>
        <v>0.13752771061031</v>
      </c>
      <c r="IH390" s="1082">
        <f t="shared" si="2205"/>
        <v>0.169689148455162</v>
      </c>
      <c r="II390" s="1082">
        <f t="shared" ref="II390:IP390" si="2206">II219</f>
        <v>0.12</v>
      </c>
      <c r="IJ390" s="1082">
        <f t="shared" si="2206"/>
        <v>0.146990763037511</v>
      </c>
      <c r="IK390" s="1082">
        <f t="shared" si="2206"/>
        <v>0.118941125360693</v>
      </c>
      <c r="IL390" s="1082">
        <f t="shared" si="2206"/>
        <v>0.137022390898483</v>
      </c>
      <c r="IM390" s="1082">
        <f t="shared" si="2206"/>
        <v>0.11</v>
      </c>
      <c r="IN390" s="1082">
        <f t="shared" si="2206"/>
        <v>0.111756726119933</v>
      </c>
      <c r="IO390" s="1085">
        <f t="shared" si="2206"/>
        <v>0.128168148743108</v>
      </c>
      <c r="IP390" s="1082">
        <f t="shared" si="2206"/>
        <v>0.135164960182025</v>
      </c>
      <c r="IQ390" s="1082">
        <f t="shared" ref="IQ390:IW390" si="2207">IQ219</f>
        <v>0.137283266129032</v>
      </c>
      <c r="IR390" s="1082">
        <f t="shared" si="2207"/>
        <v>0.136206526228831</v>
      </c>
      <c r="IS390" s="1082">
        <f t="shared" si="2207"/>
        <v>0.0888657616892911</v>
      </c>
      <c r="IT390" s="1082">
        <f t="shared" si="2207"/>
        <v>0.119632223231945</v>
      </c>
      <c r="IU390" s="1082">
        <f t="shared" si="2207"/>
        <v>0.0620358788676761</v>
      </c>
      <c r="IV390" s="1082">
        <f t="shared" si="2207"/>
        <v>0.076838582904719</v>
      </c>
      <c r="IW390" s="1085">
        <f t="shared" si="2207"/>
        <v>0.105392366289146</v>
      </c>
      <c r="IX390" s="1305"/>
      <c r="IY390" s="1087"/>
      <c r="IZ390" s="1094"/>
      <c r="JA390" s="1094"/>
      <c r="JB390" s="1094"/>
      <c r="JC390" s="1049"/>
      <c r="JD390" s="1049"/>
      <c r="JL390" s="1035"/>
      <c r="JN390" s="1082"/>
      <c r="JO390" s="1082"/>
      <c r="JP390" s="1082"/>
      <c r="JQ390" s="1082"/>
      <c r="JR390" s="1082"/>
      <c r="JS390" s="1082"/>
      <c r="JT390" s="1082"/>
      <c r="JU390" s="1082"/>
      <c r="JV390" s="1082"/>
      <c r="KD390" s="1049"/>
      <c r="KE390" s="1049"/>
      <c r="KF390" s="1049"/>
      <c r="KG390" s="1181"/>
      <c r="KH390" s="1181"/>
      <c r="KI390" s="1037"/>
      <c r="KJ390" s="1037"/>
      <c r="KK390" s="1037"/>
      <c r="KL390" s="1035"/>
      <c r="KM390" s="1104"/>
      <c r="KN390" s="1035"/>
      <c r="KO390" s="1035"/>
      <c r="KP390" s="1035"/>
    </row>
    <row r="391" s="883" customFormat="1" spans="1:334">
      <c r="A391" s="883" t="s">
        <v>583</v>
      </c>
      <c r="B391" s="1302"/>
      <c r="C391" s="1302"/>
      <c r="D391" s="1302"/>
      <c r="E391" s="1302"/>
      <c r="F391" s="1302"/>
      <c r="G391" s="1302"/>
      <c r="H391" s="1302"/>
      <c r="I391" s="1302"/>
      <c r="J391" s="1302"/>
      <c r="K391" s="1302"/>
      <c r="L391" s="1302"/>
      <c r="M391" s="1302"/>
      <c r="N391" s="1302"/>
      <c r="O391" s="1302"/>
      <c r="P391" s="1302"/>
      <c r="Q391" s="1302"/>
      <c r="R391" s="1302"/>
      <c r="S391" s="1302"/>
      <c r="T391" s="1302"/>
      <c r="U391" s="1302"/>
      <c r="V391" s="1302"/>
      <c r="W391" s="1302"/>
      <c r="X391" s="1302"/>
      <c r="Y391" s="1302"/>
      <c r="Z391" s="1302"/>
      <c r="AA391" s="1302"/>
      <c r="AB391" s="1302"/>
      <c r="AC391" s="1302"/>
      <c r="AD391" s="1302"/>
      <c r="AE391" s="1302"/>
      <c r="AF391" s="1302"/>
      <c r="AG391" s="1302"/>
      <c r="AH391" s="1302"/>
      <c r="AI391" s="1302"/>
      <c r="AJ391" s="1302"/>
      <c r="AK391" s="1302"/>
      <c r="AL391" s="1302"/>
      <c r="AM391" s="1302"/>
      <c r="AN391" s="1302"/>
      <c r="AO391" s="1302"/>
      <c r="AP391" s="1302"/>
      <c r="AQ391" s="1302"/>
      <c r="AR391" s="1302"/>
      <c r="AS391" s="1302"/>
      <c r="AT391" s="1302"/>
      <c r="AU391" s="1302"/>
      <c r="AV391" s="1302"/>
      <c r="AW391" s="1302"/>
      <c r="AX391" s="1303"/>
      <c r="AY391" s="1302"/>
      <c r="AZ391" s="1302"/>
      <c r="BA391" s="1302"/>
      <c r="BB391" s="1302"/>
      <c r="BC391" s="1302"/>
      <c r="BD391" s="1302"/>
      <c r="BE391" s="1304"/>
      <c r="BF391" s="1302"/>
      <c r="BG391" s="1302"/>
      <c r="BH391" s="1302"/>
      <c r="BI391" s="1302"/>
      <c r="BJ391" s="1302"/>
      <c r="BK391" s="1302"/>
      <c r="BL391" s="1302"/>
      <c r="BM391" s="1302"/>
      <c r="BN391" s="1303"/>
      <c r="BO391" s="1302"/>
      <c r="BP391" s="1302"/>
      <c r="BQ391" s="1302"/>
      <c r="BR391" s="1302"/>
      <c r="BS391" s="1302"/>
      <c r="BT391" s="1302"/>
      <c r="BU391" s="1304"/>
      <c r="BV391" s="1303"/>
      <c r="BW391" s="1302"/>
      <c r="BX391" s="1302"/>
      <c r="BY391" s="1302"/>
      <c r="BZ391" s="1302"/>
      <c r="CA391" s="1302"/>
      <c r="CB391" s="1302"/>
      <c r="CC391" s="1304"/>
      <c r="CD391" s="1303"/>
      <c r="CE391" s="1302"/>
      <c r="CF391" s="1302"/>
      <c r="CG391" s="1302"/>
      <c r="CH391" s="1302"/>
      <c r="CI391" s="1302"/>
      <c r="CJ391" s="1302"/>
      <c r="CK391" s="1304"/>
      <c r="CL391" s="1303"/>
      <c r="CM391" s="1302"/>
      <c r="CN391" s="1302"/>
      <c r="CO391" s="1302"/>
      <c r="CP391" s="1302"/>
      <c r="CQ391" s="1302"/>
      <c r="CR391" s="1302"/>
      <c r="CS391" s="1304"/>
      <c r="CT391" s="1303"/>
      <c r="CU391" s="1302"/>
      <c r="CV391" s="1302"/>
      <c r="CW391" s="1302"/>
      <c r="CX391" s="1302"/>
      <c r="CY391" s="1302"/>
      <c r="CZ391" s="1302"/>
      <c r="DA391" s="1304"/>
      <c r="DB391" s="1109"/>
      <c r="DC391" s="1082"/>
      <c r="DD391" s="1082"/>
      <c r="DE391" s="1082"/>
      <c r="DF391" s="1082"/>
      <c r="DG391" s="1082"/>
      <c r="DH391" s="1082"/>
      <c r="DI391" s="1085"/>
      <c r="DJ391" s="1082"/>
      <c r="DK391" s="1082"/>
      <c r="DL391" s="1082"/>
      <c r="DM391" s="1082"/>
      <c r="DN391" s="1082"/>
      <c r="DO391" s="1082"/>
      <c r="DP391" s="1082"/>
      <c r="DQ391" s="1085"/>
      <c r="DR391" s="1082"/>
      <c r="DS391" s="1082"/>
      <c r="DT391" s="1082"/>
      <c r="DU391" s="1082"/>
      <c r="DV391" s="1082"/>
      <c r="DW391" s="1082"/>
      <c r="DX391" s="1082"/>
      <c r="DY391" s="1085"/>
      <c r="DZ391" s="1082"/>
      <c r="EA391" s="1082"/>
      <c r="EB391" s="1082"/>
      <c r="EC391" s="1082"/>
      <c r="ED391" s="1082"/>
      <c r="EE391" s="1082"/>
      <c r="EF391" s="1082"/>
      <c r="EG391" s="1085"/>
      <c r="EH391" s="1082"/>
      <c r="EI391" s="1082"/>
      <c r="EJ391" s="1082"/>
      <c r="EK391" s="1082"/>
      <c r="EL391" s="1082"/>
      <c r="EM391" s="1082"/>
      <c r="EN391" s="1082"/>
      <c r="EO391" s="1085"/>
      <c r="EP391" s="1082"/>
      <c r="EQ391" s="1082"/>
      <c r="ER391" s="1082"/>
      <c r="ES391" s="1082"/>
      <c r="ET391" s="1082"/>
      <c r="EU391" s="1082"/>
      <c r="EV391" s="1082"/>
      <c r="EW391" s="1085"/>
      <c r="EX391" s="1082"/>
      <c r="EY391" s="1082"/>
      <c r="EZ391" s="1082"/>
      <c r="FA391" s="1082"/>
      <c r="FB391" s="1082"/>
      <c r="FC391" s="1082"/>
      <c r="FD391" s="1082"/>
      <c r="FE391" s="1085"/>
      <c r="FF391" s="1082"/>
      <c r="FG391" s="1082"/>
      <c r="FH391" s="1082"/>
      <c r="FI391" s="1082"/>
      <c r="FJ391" s="1082"/>
      <c r="FK391" s="1082"/>
      <c r="FL391" s="1082"/>
      <c r="FM391" s="1085"/>
      <c r="FN391" s="1082">
        <f>FN389-FN390</f>
        <v>-0.0453252510409014</v>
      </c>
      <c r="FO391" s="1082">
        <f t="shared" ref="FO391:GC391" si="2208">FO389-FO390</f>
        <v>-0.0730163808548758</v>
      </c>
      <c r="FP391" s="1082">
        <f t="shared" si="2208"/>
        <v>-0.058865832290363</v>
      </c>
      <c r="FQ391" s="1082">
        <f t="shared" si="2208"/>
        <v>-0.0342827412234602</v>
      </c>
      <c r="FR391" s="1082">
        <f t="shared" si="2208"/>
        <v>-0.0496917706126931</v>
      </c>
      <c r="FS391" s="1082">
        <f t="shared" si="2208"/>
        <v>-0.0151945777351248</v>
      </c>
      <c r="FT391" s="1082">
        <f t="shared" si="2208"/>
        <v>-0.0253685154061624</v>
      </c>
      <c r="FU391" s="1082">
        <f t="shared" si="2208"/>
        <v>-0.0411913686077446</v>
      </c>
      <c r="FV391" s="1109">
        <f t="shared" si="2208"/>
        <v>-0.0216291825180481</v>
      </c>
      <c r="FW391" s="1082">
        <f t="shared" si="2208"/>
        <v>-0.0557734569296856</v>
      </c>
      <c r="FX391" s="1082">
        <f t="shared" si="2208"/>
        <v>-0.03734954308094</v>
      </c>
      <c r="FY391" s="1082">
        <f t="shared" si="2208"/>
        <v>-0.0744293674084998</v>
      </c>
      <c r="FZ391" s="1082">
        <f t="shared" si="2208"/>
        <v>-0.0515370657246899</v>
      </c>
      <c r="GA391" s="1082">
        <f t="shared" si="2208"/>
        <v>-0.0865791720017073</v>
      </c>
      <c r="GB391" s="1082">
        <f t="shared" si="2208"/>
        <v>-0.0800675120236482</v>
      </c>
      <c r="GC391" s="1085">
        <f t="shared" si="2208"/>
        <v>-0.0600496271562142</v>
      </c>
      <c r="GD391" s="1082">
        <f t="shared" ref="GD391:GL391" si="2209">GD389-GD390</f>
        <v>-0.082866323907455</v>
      </c>
      <c r="GE391" s="1082">
        <f t="shared" si="2209"/>
        <v>-0.0608066693132196</v>
      </c>
      <c r="GF391" s="1082">
        <f t="shared" si="2209"/>
        <v>-0.0722657382678367</v>
      </c>
      <c r="GG391" s="1082">
        <f t="shared" si="2209"/>
        <v>-0.0482620641070798</v>
      </c>
      <c r="GH391" s="1082">
        <f t="shared" si="2209"/>
        <v>-0.0638328177205789</v>
      </c>
      <c r="GI391" s="1082">
        <f t="shared" si="2209"/>
        <v>-0.0114814082278481</v>
      </c>
      <c r="GJ391" s="1082">
        <f t="shared" si="2209"/>
        <v>-0.0309373951928451</v>
      </c>
      <c r="GK391" s="1085">
        <f t="shared" si="2209"/>
        <v>-0.0513580921858798</v>
      </c>
      <c r="GL391" s="1082">
        <f t="shared" si="2209"/>
        <v>0.0160418168709447</v>
      </c>
      <c r="GM391" s="1082">
        <f t="shared" ref="GM391:GT391" si="2210">GM389-GM390</f>
        <v>0.00954468732180155</v>
      </c>
      <c r="GN391" s="1082">
        <f t="shared" si="2210"/>
        <v>0.0128795078175595</v>
      </c>
      <c r="GO391" s="1082">
        <f t="shared" si="2210"/>
        <v>0.0317859696918099</v>
      </c>
      <c r="GP391" s="1082">
        <f t="shared" si="2210"/>
        <v>0.0195356432082483</v>
      </c>
      <c r="GQ391" s="1082">
        <f t="shared" si="2210"/>
        <v>0.0141066309956048</v>
      </c>
      <c r="GR391" s="1082">
        <f t="shared" si="2210"/>
        <v>0.023455699621826</v>
      </c>
      <c r="GS391" s="1085">
        <f t="shared" si="2210"/>
        <v>0.0182392699064566</v>
      </c>
      <c r="GT391" s="1082">
        <f t="shared" si="2210"/>
        <v>0.00206731259561449</v>
      </c>
      <c r="GU391" s="1082">
        <f t="shared" ref="GU391:HB391" si="2211">GU389-GU390</f>
        <v>-0.00819743692140112</v>
      </c>
      <c r="GV391" s="1082">
        <f t="shared" si="2211"/>
        <v>-0.00289656601123595</v>
      </c>
      <c r="GW391" s="1082">
        <f t="shared" si="2211"/>
        <v>-0.0434006240249608</v>
      </c>
      <c r="GX391" s="1082">
        <f t="shared" si="2211"/>
        <v>-0.0174809392203122</v>
      </c>
      <c r="GY391" s="1082">
        <f t="shared" si="2211"/>
        <v>-0.0524825791842147</v>
      </c>
      <c r="GZ391" s="1082">
        <f t="shared" si="2211"/>
        <v>-0.0477299191653713</v>
      </c>
      <c r="HA391" s="1085">
        <f t="shared" si="2211"/>
        <v>-0.0261258601521352</v>
      </c>
      <c r="HB391" s="1082">
        <f t="shared" si="2211"/>
        <v>-0.063637753937457</v>
      </c>
      <c r="HC391" s="1082">
        <f t="shared" ref="HC391:HJ391" si="2212">HC389-HC390</f>
        <v>-0.0428060859188546</v>
      </c>
      <c r="HD391" s="1082">
        <f t="shared" si="2212"/>
        <v>-0.0534594087731373</v>
      </c>
      <c r="HE391" s="1082">
        <f t="shared" si="2212"/>
        <v>-0.00422111673468392</v>
      </c>
      <c r="HF391" s="1082">
        <f t="shared" si="2212"/>
        <v>-0.118117880482557</v>
      </c>
      <c r="HG391" s="1082">
        <f t="shared" si="2212"/>
        <v>0.0236989498249704</v>
      </c>
      <c r="HH391" s="1082">
        <f t="shared" si="2212"/>
        <v>0.00928687434131674</v>
      </c>
      <c r="HI391" s="1085">
        <f t="shared" si="2212"/>
        <v>-0.00816924328722543</v>
      </c>
      <c r="HJ391" s="1082">
        <f t="shared" si="2212"/>
        <v>0.0370892179195142</v>
      </c>
      <c r="HK391" s="1082">
        <f t="shared" ref="HK391:HR391" si="2213">HK389-HK390</f>
        <v>0.066763442978137</v>
      </c>
      <c r="HL391" s="1082">
        <f t="shared" si="2213"/>
        <v>0.0516523924601257</v>
      </c>
      <c r="HM391" s="1082">
        <f t="shared" si="2213"/>
        <v>0.0700111265646724</v>
      </c>
      <c r="HN391" s="1082">
        <f t="shared" si="2213"/>
        <v>0.0582125861961856</v>
      </c>
      <c r="HO391" s="1082">
        <f t="shared" si="2213"/>
        <v>0.0230426318863155</v>
      </c>
      <c r="HP391" s="1082">
        <f t="shared" si="2213"/>
        <v>0.0585980347139313</v>
      </c>
      <c r="HQ391" s="1085">
        <f t="shared" si="2213"/>
        <v>0.049704153715739</v>
      </c>
      <c r="HR391" s="1082">
        <f t="shared" si="2213"/>
        <v>0.011262731044889</v>
      </c>
      <c r="HS391" s="1082">
        <f t="shared" ref="HS391:HY391" si="2214">HS389-HS390</f>
        <v>-0.0481005896015723</v>
      </c>
      <c r="HT391" s="1082">
        <f t="shared" si="2214"/>
        <v>-0.021607853931553</v>
      </c>
      <c r="HU391" s="1082">
        <f t="shared" si="2214"/>
        <v>-0.0603044044660621</v>
      </c>
      <c r="HV391" s="1082">
        <f t="shared" si="2214"/>
        <v>-0.037206599862398</v>
      </c>
      <c r="HW391" s="1082">
        <f t="shared" si="2214"/>
        <v>-0.0241185626441199</v>
      </c>
      <c r="HX391" s="1082">
        <f t="shared" si="2214"/>
        <v>-0.0536229536890208</v>
      </c>
      <c r="HY391" s="1085">
        <f t="shared" si="2214"/>
        <v>-0.03204867059742</v>
      </c>
      <c r="HZ391" s="1082">
        <f>HZ218</f>
        <v>-0.0444978159178601</v>
      </c>
      <c r="IA391" s="1082">
        <f>IA218</f>
        <v>-0.0223557435643637</v>
      </c>
      <c r="IB391" s="1082">
        <f t="shared" ref="IB391:IF391" si="2215">IB389-IB390</f>
        <v>-0.0343196938475126</v>
      </c>
      <c r="IC391" s="1082">
        <f>IC218</f>
        <v>-0.0338921416000038</v>
      </c>
      <c r="ID391" s="1082">
        <f t="shared" si="2215"/>
        <v>-0.0363249462637504</v>
      </c>
      <c r="IE391" s="1082">
        <f>IE218</f>
        <v>0.0183688387817089</v>
      </c>
      <c r="IF391" s="1082">
        <f t="shared" si="2215"/>
        <v>-0.0115069881099719</v>
      </c>
      <c r="IG391" s="1085">
        <f>IG218</f>
        <v>-0.0207806393031688</v>
      </c>
      <c r="IH391" s="1082">
        <f>IH218</f>
        <v>-0.0089728784240205</v>
      </c>
      <c r="II391" s="1082">
        <f>II218</f>
        <v>-0.0547339533465468</v>
      </c>
      <c r="IJ391" s="1082">
        <f t="shared" ref="IJ391" si="2216">IJ389-IJ390</f>
        <v>-0.0394884757548034</v>
      </c>
      <c r="IK391" s="1082">
        <f>IK218</f>
        <v>-0.0501371073360279</v>
      </c>
      <c r="IL391" s="1082">
        <f t="shared" ref="IL391" si="2217">IL389-IL390</f>
        <v>-0.0455988203033839</v>
      </c>
      <c r="IM391" s="1082">
        <f>IM218</f>
        <v>-0.0720720720720721</v>
      </c>
      <c r="IN391" s="1082">
        <f t="shared" ref="IN391" si="2218">IN389-IN390</f>
        <v>-0.0665086045775335</v>
      </c>
      <c r="IO391" s="1085">
        <f>IO218</f>
        <v>-0.0451834746414649</v>
      </c>
      <c r="IP391" s="1082">
        <f>IP218</f>
        <v>-0.0562188335311474</v>
      </c>
      <c r="IQ391" s="1082">
        <f>IQ218</f>
        <v>-0.00385722790736132</v>
      </c>
      <c r="IR391" s="1082">
        <f t="shared" ref="IR391" si="2219">IR389-IR390</f>
        <v>-0.0345956216439486</v>
      </c>
      <c r="IS391" s="1082">
        <f>IS218</f>
        <v>0.0087046782689737</v>
      </c>
      <c r="IT391" s="1082">
        <f t="shared" ref="IT391" si="2220">IT389-IT390</f>
        <v>-0.0175303020652266</v>
      </c>
      <c r="IU391" s="1082">
        <f>IU218</f>
        <v>0.00975998763896846</v>
      </c>
      <c r="IV391" s="1082">
        <f t="shared" ref="IV391" si="2221">IV389-IV390</f>
        <v>0.0131314902685916</v>
      </c>
      <c r="IW391" s="1085">
        <f>IW218</f>
        <v>-0.0106818354372116</v>
      </c>
      <c r="IX391" s="1305"/>
      <c r="IY391" s="1087"/>
      <c r="IZ391" s="1094"/>
      <c r="JA391" s="1094"/>
      <c r="JB391" s="1094"/>
      <c r="JC391" s="1049"/>
      <c r="JD391" s="1049"/>
      <c r="JL391" s="1035"/>
      <c r="JN391" s="1082"/>
      <c r="JO391" s="1082"/>
      <c r="JP391" s="1082"/>
      <c r="JQ391" s="1082"/>
      <c r="JR391" s="1082"/>
      <c r="JS391" s="1082"/>
      <c r="JT391" s="1082"/>
      <c r="JU391" s="1082"/>
      <c r="JV391" s="1082"/>
      <c r="KD391" s="1049"/>
      <c r="KE391" s="1049"/>
      <c r="KF391" s="1049"/>
      <c r="KG391" s="1181"/>
      <c r="KH391" s="1181"/>
      <c r="KI391" s="1037"/>
      <c r="KJ391" s="1037"/>
      <c r="KK391" s="1037"/>
      <c r="KL391" s="1035"/>
      <c r="KM391" s="1104"/>
      <c r="KN391" s="1035"/>
      <c r="KO391" s="1035"/>
      <c r="KP391" s="1035"/>
    </row>
    <row r="392" spans="1:334">
      <c r="A392" s="1306" t="s">
        <v>144</v>
      </c>
      <c r="B392" s="1307">
        <v>611</v>
      </c>
      <c r="C392" s="1307">
        <v>453</v>
      </c>
      <c r="D392" s="1307">
        <f>B392+C392</f>
        <v>1064</v>
      </c>
      <c r="E392" s="1307">
        <v>648</v>
      </c>
      <c r="F392" s="1307">
        <f>D392+E392</f>
        <v>1712</v>
      </c>
      <c r="G392" s="1307">
        <v>399</v>
      </c>
      <c r="H392" s="1307">
        <f>E392+G392</f>
        <v>1047</v>
      </c>
      <c r="I392" s="1307">
        <f>F392+G392</f>
        <v>2111</v>
      </c>
      <c r="J392" s="1307">
        <v>358.67695</v>
      </c>
      <c r="K392" s="1307">
        <v>322.37465</v>
      </c>
      <c r="L392" s="1307">
        <f>J392+K392</f>
        <v>681.0516</v>
      </c>
      <c r="M392" s="1307">
        <v>454.5457</v>
      </c>
      <c r="N392" s="1307">
        <f>L392+M392</f>
        <v>1135.5973</v>
      </c>
      <c r="O392" s="1307">
        <v>312.65995</v>
      </c>
      <c r="P392" s="1307">
        <f>M392+O392</f>
        <v>767.20565</v>
      </c>
      <c r="Q392" s="1307">
        <f>N392+O392</f>
        <v>1448.25725</v>
      </c>
      <c r="R392" s="1307">
        <v>509.2548</v>
      </c>
      <c r="S392" s="1307">
        <v>415.1566819</v>
      </c>
      <c r="T392" s="1307">
        <f>R392+S392</f>
        <v>924.4114819</v>
      </c>
      <c r="U392" s="1307">
        <v>642.7041</v>
      </c>
      <c r="V392" s="1307">
        <f>T392+U392</f>
        <v>1567.1155819</v>
      </c>
      <c r="W392" s="1307">
        <v>421.3112</v>
      </c>
      <c r="X392" s="1307">
        <f>U392+W392</f>
        <v>1064.0153</v>
      </c>
      <c r="Y392" s="1307">
        <f>V392+W392</f>
        <v>1988.4267819</v>
      </c>
      <c r="Z392" s="1307">
        <v>804.7862</v>
      </c>
      <c r="AA392" s="1307">
        <v>651.3962</v>
      </c>
      <c r="AB392" s="1307">
        <f>Z392+AA392</f>
        <v>1456.1824</v>
      </c>
      <c r="AC392" s="1307">
        <v>873.8117</v>
      </c>
      <c r="AD392" s="1307">
        <f>AB392+AC392</f>
        <v>2329.9941</v>
      </c>
      <c r="AE392" s="1307">
        <v>611.5148</v>
      </c>
      <c r="AF392" s="1307">
        <f>AC392+AE392</f>
        <v>1485.3265</v>
      </c>
      <c r="AG392" s="1307">
        <f>AD392+AE392</f>
        <v>2941.5089</v>
      </c>
      <c r="AH392" s="1307">
        <v>796.6054</v>
      </c>
      <c r="AI392" s="1307">
        <v>641.6815</v>
      </c>
      <c r="AJ392" s="1307">
        <f>AH392+AI392</f>
        <v>1438.2869</v>
      </c>
      <c r="AK392" s="1307">
        <v>895</v>
      </c>
      <c r="AL392" s="1307">
        <f>AJ392+AK392</f>
        <v>2333.2869</v>
      </c>
      <c r="AM392" s="1307">
        <v>669</v>
      </c>
      <c r="AN392" s="1307">
        <f>AK392+AM392</f>
        <v>1564</v>
      </c>
      <c r="AO392" s="1307">
        <f>AL392+AM392</f>
        <v>3002.2869</v>
      </c>
      <c r="AP392" s="1307">
        <v>880</v>
      </c>
      <c r="AQ392" s="1307">
        <v>685</v>
      </c>
      <c r="AR392" s="1307">
        <f>AP392+AQ392</f>
        <v>1565</v>
      </c>
      <c r="AS392" s="1307">
        <v>948</v>
      </c>
      <c r="AT392" s="1307">
        <f>AR392+AS392</f>
        <v>2513</v>
      </c>
      <c r="AU392" s="1307">
        <v>794</v>
      </c>
      <c r="AV392" s="1307">
        <f>AS392+AU392</f>
        <v>1742</v>
      </c>
      <c r="AW392" s="1307">
        <f>AT392+AU392</f>
        <v>3307</v>
      </c>
      <c r="AX392" s="1308">
        <v>909</v>
      </c>
      <c r="AY392" s="1307">
        <v>750</v>
      </c>
      <c r="AZ392" s="1307">
        <f>AX392+AY392</f>
        <v>1659</v>
      </c>
      <c r="BA392" s="1307">
        <v>1038</v>
      </c>
      <c r="BB392" s="1307">
        <f>AY392+BA392</f>
        <v>1788</v>
      </c>
      <c r="BC392" s="1307">
        <v>815</v>
      </c>
      <c r="BD392" s="1307">
        <f>BA392+BC392</f>
        <v>1853</v>
      </c>
      <c r="BE392" s="1309">
        <f>BB392+BC392</f>
        <v>2603</v>
      </c>
      <c r="BF392" s="1307">
        <v>954</v>
      </c>
      <c r="BG392" s="1307">
        <v>832</v>
      </c>
      <c r="BH392" s="1307">
        <f>BF392+BG392</f>
        <v>1786</v>
      </c>
      <c r="BI392" s="1307">
        <v>1049.5</v>
      </c>
      <c r="BJ392" s="1307">
        <f>BH392+BI392</f>
        <v>2835.5</v>
      </c>
      <c r="BK392" s="1307">
        <v>869</v>
      </c>
      <c r="BL392" s="1307">
        <f>BI392+BK392</f>
        <v>1918.5</v>
      </c>
      <c r="BM392" s="1307">
        <f>BJ392+BK392</f>
        <v>3704.5</v>
      </c>
      <c r="BN392" s="1308">
        <v>960</v>
      </c>
      <c r="BO392" s="1307">
        <v>769</v>
      </c>
      <c r="BP392" s="1307">
        <f>BN392+BO392</f>
        <v>1729</v>
      </c>
      <c r="BQ392" s="1307">
        <v>1018</v>
      </c>
      <c r="BR392" s="1307">
        <f>BP392+BQ392</f>
        <v>2747</v>
      </c>
      <c r="BS392" s="1307">
        <v>706</v>
      </c>
      <c r="BT392" s="1307">
        <f>BQ392+BS392</f>
        <v>1724</v>
      </c>
      <c r="BU392" s="1309">
        <f>BR392+BS392</f>
        <v>3453</v>
      </c>
      <c r="BV392" s="1308">
        <v>798</v>
      </c>
      <c r="BW392" s="1307">
        <v>714</v>
      </c>
      <c r="BX392" s="1307">
        <f>BV392+BW392</f>
        <v>1512</v>
      </c>
      <c r="BY392" s="1307">
        <v>908</v>
      </c>
      <c r="BZ392" s="1307">
        <f>BX392+BY392</f>
        <v>2420</v>
      </c>
      <c r="CA392" s="1307">
        <v>626</v>
      </c>
      <c r="CB392" s="1307">
        <f>BY392+CA392</f>
        <v>1534</v>
      </c>
      <c r="CC392" s="1309">
        <f>BZ392+CA392</f>
        <v>3046</v>
      </c>
      <c r="CD392" s="1308">
        <v>869</v>
      </c>
      <c r="CE392" s="1307">
        <v>773</v>
      </c>
      <c r="CF392" s="1307">
        <f>CD392+CE392</f>
        <v>1642</v>
      </c>
      <c r="CG392" s="1307">
        <v>990</v>
      </c>
      <c r="CH392" s="1307">
        <f>CF392+CG392</f>
        <v>2632</v>
      </c>
      <c r="CI392" s="1307">
        <v>805</v>
      </c>
      <c r="CJ392" s="1307">
        <f>CG392+CI392</f>
        <v>1795</v>
      </c>
      <c r="CK392" s="1309">
        <f>CH392+CI392</f>
        <v>3437</v>
      </c>
      <c r="CL392" s="1308">
        <v>1352</v>
      </c>
      <c r="CM392" s="1307">
        <v>1344</v>
      </c>
      <c r="CN392" s="1307">
        <f>CL392+CM392</f>
        <v>2696</v>
      </c>
      <c r="CO392" s="1307">
        <f>CP392-CN392</f>
        <v>1622</v>
      </c>
      <c r="CP392" s="1307">
        <v>4318</v>
      </c>
      <c r="CQ392" s="1307">
        <f>CS392-CP392</f>
        <v>1271</v>
      </c>
      <c r="CR392" s="1307">
        <f>CQ392+CO392</f>
        <v>2893</v>
      </c>
      <c r="CS392" s="1309">
        <v>5589</v>
      </c>
      <c r="CT392" s="1308">
        <f t="shared" ref="CT392:DA392" si="2222">CT388-CT395</f>
        <v>1350</v>
      </c>
      <c r="CU392" s="1307">
        <f t="shared" si="2222"/>
        <v>1262</v>
      </c>
      <c r="CV392" s="1307">
        <f t="shared" si="2222"/>
        <v>2612</v>
      </c>
      <c r="CW392" s="1307">
        <f t="shared" si="2222"/>
        <v>1512</v>
      </c>
      <c r="CX392" s="1307">
        <f t="shared" si="2222"/>
        <v>4124</v>
      </c>
      <c r="CY392" s="1307">
        <f t="shared" si="2222"/>
        <v>1292</v>
      </c>
      <c r="CZ392" s="1307">
        <f t="shared" si="2222"/>
        <v>2804</v>
      </c>
      <c r="DA392" s="1309">
        <f t="shared" si="2222"/>
        <v>5416</v>
      </c>
      <c r="DB392" s="1310">
        <v>1333</v>
      </c>
      <c r="DC392" s="1311">
        <v>1258</v>
      </c>
      <c r="DD392" s="1311">
        <v>2590</v>
      </c>
      <c r="DE392" s="1311">
        <v>1572</v>
      </c>
      <c r="DF392" s="1311">
        <v>4163</v>
      </c>
      <c r="DG392" s="1311">
        <f t="shared" ref="DG392:DP392" si="2223">DG388-DG395</f>
        <v>1442</v>
      </c>
      <c r="DH392" s="1311">
        <f t="shared" si="2223"/>
        <v>3054</v>
      </c>
      <c r="DI392" s="1312">
        <f t="shared" si="2223"/>
        <v>4512.99686331498</v>
      </c>
      <c r="DJ392" s="1311">
        <f t="shared" si="2223"/>
        <v>1412.196</v>
      </c>
      <c r="DK392" s="1311">
        <f t="shared" si="2223"/>
        <v>1351.35</v>
      </c>
      <c r="DL392" s="1311">
        <f t="shared" si="2223"/>
        <v>2763.546</v>
      </c>
      <c r="DM392" s="1311">
        <f t="shared" si="2223"/>
        <v>1579.736</v>
      </c>
      <c r="DN392" s="1311">
        <f t="shared" si="2223"/>
        <v>4344.282</v>
      </c>
      <c r="DO392" s="1311">
        <f t="shared" si="2223"/>
        <v>1322.404</v>
      </c>
      <c r="DP392" s="1311">
        <f t="shared" si="2223"/>
        <v>2897.14</v>
      </c>
      <c r="DQ392" s="1312">
        <f>'Profit and Loss'!P330</f>
        <v>5669</v>
      </c>
      <c r="DR392" s="1311">
        <f t="shared" ref="DR392:DW392" si="2224">DR388-DR395</f>
        <v>1374.436</v>
      </c>
      <c r="DS392" s="1311">
        <f t="shared" si="2224"/>
        <v>1490.587</v>
      </c>
      <c r="DT392" s="1311">
        <f t="shared" si="2224"/>
        <v>2862.08</v>
      </c>
      <c r="DU392" s="1311">
        <f t="shared" si="2224"/>
        <v>1827.636</v>
      </c>
      <c r="DV392" s="1311">
        <f t="shared" si="2224"/>
        <v>4692.044</v>
      </c>
      <c r="DW392" s="1311">
        <f t="shared" si="2224"/>
        <v>1569.956</v>
      </c>
      <c r="DX392" s="1311">
        <f>DY392-DT392</f>
        <v>3397.92</v>
      </c>
      <c r="DY392" s="1312">
        <f>'Profit and Loss'!Q330</f>
        <v>6260</v>
      </c>
      <c r="DZ392" s="1311">
        <f>DZ388-DZ395</f>
        <v>1685.595</v>
      </c>
      <c r="EA392" s="1311">
        <v>1558</v>
      </c>
      <c r="EB392" s="1311">
        <f>EA392+DZ392</f>
        <v>3243.595</v>
      </c>
      <c r="EC392" s="1311">
        <v>1982</v>
      </c>
      <c r="ED392" s="1311">
        <f t="shared" ref="ED392:EI392" si="2225">ED388-ED395</f>
        <v>5225.595</v>
      </c>
      <c r="EE392" s="1311">
        <f t="shared" si="2225"/>
        <v>1763</v>
      </c>
      <c r="EF392" s="1311">
        <f t="shared" si="2225"/>
        <v>3734.405</v>
      </c>
      <c r="EG392" s="1312">
        <f t="shared" si="2225"/>
        <v>6978</v>
      </c>
      <c r="EH392" s="1311">
        <f t="shared" si="2225"/>
        <v>1998</v>
      </c>
      <c r="EI392" s="1311">
        <f t="shared" si="2225"/>
        <v>1820</v>
      </c>
      <c r="EJ392" s="1311">
        <f>EI392+EH392</f>
        <v>3818</v>
      </c>
      <c r="EK392" s="1311">
        <v>2195</v>
      </c>
      <c r="EL392" s="1311">
        <f>EL388-EL395</f>
        <v>6013</v>
      </c>
      <c r="EM392" s="1311">
        <v>1766</v>
      </c>
      <c r="EN392" s="1311">
        <f>EN388-EN395</f>
        <v>3961</v>
      </c>
      <c r="EO392" s="1312">
        <f>EO388-EO395</f>
        <v>7779</v>
      </c>
      <c r="EP392" s="1311">
        <f>EP388-EP395</f>
        <v>1870</v>
      </c>
      <c r="EQ392" s="1311">
        <f>EQ388-EQ395</f>
        <v>1689</v>
      </c>
      <c r="ER392" s="1311">
        <f>EP392+EQ392</f>
        <v>3559</v>
      </c>
      <c r="ES392" s="1311">
        <f>ES388-ES395</f>
        <v>1966</v>
      </c>
      <c r="ET392" s="1311">
        <f>ER392+ES392</f>
        <v>5525</v>
      </c>
      <c r="EU392" s="1311">
        <v>1827</v>
      </c>
      <c r="EV392" s="1311">
        <f>ES392+EU392</f>
        <v>3793</v>
      </c>
      <c r="EW392" s="1312">
        <f>EP392+EQ392+ES392+EU392</f>
        <v>7352</v>
      </c>
      <c r="EX392" s="1311">
        <f>EX388-EX395</f>
        <v>1769</v>
      </c>
      <c r="EY392" s="1311">
        <f>EY388-EY395</f>
        <v>1725</v>
      </c>
      <c r="EZ392" s="1311">
        <f t="shared" ref="EZ392:FG392" si="2226">EZ388-EZ395</f>
        <v>3494</v>
      </c>
      <c r="FA392" s="1311">
        <f t="shared" si="2226"/>
        <v>2126</v>
      </c>
      <c r="FB392" s="1311">
        <f t="shared" si="2226"/>
        <v>5620</v>
      </c>
      <c r="FC392" s="1311">
        <f t="shared" si="2226"/>
        <v>1989</v>
      </c>
      <c r="FD392" s="1311">
        <f t="shared" si="2226"/>
        <v>4115</v>
      </c>
      <c r="FE392" s="1312">
        <f t="shared" si="2226"/>
        <v>7609</v>
      </c>
      <c r="FF392" s="1311">
        <f t="shared" si="2226"/>
        <v>2075</v>
      </c>
      <c r="FG392" s="1311">
        <f t="shared" si="2226"/>
        <v>2018</v>
      </c>
      <c r="FH392" s="1311">
        <f t="shared" ref="FH392:FN392" si="2227">FH388-FH395</f>
        <v>4093</v>
      </c>
      <c r="FI392" s="1311">
        <f t="shared" si="2227"/>
        <v>2453</v>
      </c>
      <c r="FJ392" s="1311">
        <f t="shared" si="2227"/>
        <v>6546</v>
      </c>
      <c r="FK392" s="1311">
        <f t="shared" si="2227"/>
        <v>2201</v>
      </c>
      <c r="FL392" s="1311">
        <f t="shared" si="2227"/>
        <v>4654</v>
      </c>
      <c r="FM392" s="1312">
        <f t="shared" si="2227"/>
        <v>8747</v>
      </c>
      <c r="FN392" s="1311">
        <f t="shared" si="2227"/>
        <v>2411</v>
      </c>
      <c r="FO392" s="1311">
        <f t="shared" ref="FO392:FT392" si="2228">FO388-FO395</f>
        <v>2264</v>
      </c>
      <c r="FP392" s="1311">
        <f t="shared" si="2228"/>
        <v>4675</v>
      </c>
      <c r="FQ392" s="1311">
        <f t="shared" si="2228"/>
        <v>2838</v>
      </c>
      <c r="FR392" s="1311">
        <f t="shared" si="2228"/>
        <v>7513</v>
      </c>
      <c r="FS392" s="1311">
        <f t="shared" si="2228"/>
        <v>2398</v>
      </c>
      <c r="FT392" s="1311">
        <f t="shared" si="2228"/>
        <v>5236</v>
      </c>
      <c r="FU392" s="1311">
        <f t="shared" ref="FU392:GE392" si="2229">FU388-FU395</f>
        <v>9911</v>
      </c>
      <c r="FV392" s="1313">
        <f t="shared" si="2229"/>
        <v>2744</v>
      </c>
      <c r="FW392" s="1311">
        <f t="shared" si="2229"/>
        <v>2513</v>
      </c>
      <c r="FX392" s="1311">
        <f t="shared" si="2229"/>
        <v>5257</v>
      </c>
      <c r="FY392" s="1311">
        <f t="shared" si="2229"/>
        <v>2814</v>
      </c>
      <c r="FZ392" s="1311">
        <f t="shared" si="2229"/>
        <v>8071</v>
      </c>
      <c r="GA392" s="1311">
        <f t="shared" si="2229"/>
        <v>2444</v>
      </c>
      <c r="GB392" s="1311">
        <f t="shared" si="2229"/>
        <v>5258</v>
      </c>
      <c r="GC392" s="1312">
        <f t="shared" si="2229"/>
        <v>10515</v>
      </c>
      <c r="GD392" s="1314">
        <f t="shared" si="2229"/>
        <v>2713</v>
      </c>
      <c r="GE392" s="1311">
        <f t="shared" si="2229"/>
        <v>2510</v>
      </c>
      <c r="GF392" s="1311">
        <f t="shared" ref="GF392:GM392" si="2230">GF388-GF395</f>
        <v>5223</v>
      </c>
      <c r="GG392" s="1311">
        <f t="shared" si="2230"/>
        <v>2829</v>
      </c>
      <c r="GH392" s="1311">
        <f t="shared" si="2230"/>
        <v>8052</v>
      </c>
      <c r="GI392" s="1311">
        <f t="shared" si="2230"/>
        <v>2500</v>
      </c>
      <c r="GJ392" s="1311">
        <f t="shared" si="2230"/>
        <v>5329</v>
      </c>
      <c r="GK392" s="1312">
        <f t="shared" si="2230"/>
        <v>10552</v>
      </c>
      <c r="GL392" s="1314">
        <f t="shared" si="2230"/>
        <v>2732</v>
      </c>
      <c r="GM392" s="1314">
        <f t="shared" si="2230"/>
        <v>2564</v>
      </c>
      <c r="GN392" s="1311">
        <f t="shared" ref="GN392:GU392" si="2231">GN388-GN395</f>
        <v>5296</v>
      </c>
      <c r="GO392" s="1311">
        <f t="shared" si="2231"/>
        <v>3071</v>
      </c>
      <c r="GP392" s="1311">
        <f t="shared" si="2231"/>
        <v>8367</v>
      </c>
      <c r="GQ392" s="1311">
        <f t="shared" si="2231"/>
        <v>2981</v>
      </c>
      <c r="GR392" s="1311">
        <f t="shared" si="2231"/>
        <v>6052</v>
      </c>
      <c r="GS392" s="1312">
        <f t="shared" si="2231"/>
        <v>11348</v>
      </c>
      <c r="GT392" s="1314">
        <f t="shared" si="2231"/>
        <v>2408</v>
      </c>
      <c r="GU392" s="1314">
        <f t="shared" si="2231"/>
        <v>1752.647</v>
      </c>
      <c r="GV392" s="1311">
        <f t="shared" ref="GV392:HC392" si="2232">GV388-GV395</f>
        <v>4160.647</v>
      </c>
      <c r="GW392" s="1311">
        <f t="shared" si="2232"/>
        <v>2980.322</v>
      </c>
      <c r="GX392" s="1311">
        <f t="shared" si="2232"/>
        <v>7140.969</v>
      </c>
      <c r="GY392" s="1311">
        <f t="shared" si="2232"/>
        <v>2848.031</v>
      </c>
      <c r="GZ392" s="1311">
        <f t="shared" si="2232"/>
        <v>5828.353</v>
      </c>
      <c r="HA392" s="1312">
        <f t="shared" si="2232"/>
        <v>9989</v>
      </c>
      <c r="HB392" s="1314">
        <f t="shared" si="2232"/>
        <v>2538</v>
      </c>
      <c r="HC392" s="1314">
        <f t="shared" si="2232"/>
        <v>2445</v>
      </c>
      <c r="HD392" s="1311">
        <f t="shared" ref="HD392:HK392" si="2233">HD388-HD395</f>
        <v>4983</v>
      </c>
      <c r="HE392" s="1311">
        <f t="shared" si="2233"/>
        <v>2868</v>
      </c>
      <c r="HF392" s="1311">
        <f t="shared" si="2233"/>
        <v>7851</v>
      </c>
      <c r="HG392" s="1311">
        <f t="shared" si="2233"/>
        <v>2618</v>
      </c>
      <c r="HH392" s="1311">
        <f t="shared" si="2233"/>
        <v>5486</v>
      </c>
      <c r="HI392" s="1312">
        <f t="shared" si="2233"/>
        <v>10469</v>
      </c>
      <c r="HJ392" s="1314">
        <f t="shared" si="2233"/>
        <v>2654</v>
      </c>
      <c r="HK392" s="1314">
        <f t="shared" si="2233"/>
        <v>2782</v>
      </c>
      <c r="HL392" s="1311">
        <f t="shared" ref="HL392:HS392" si="2234">HL388-HL395</f>
        <v>5436</v>
      </c>
      <c r="HM392" s="1311">
        <f t="shared" si="2234"/>
        <v>3262</v>
      </c>
      <c r="HN392" s="1311">
        <f t="shared" si="2234"/>
        <v>8698</v>
      </c>
      <c r="HO392" s="1311">
        <f t="shared" si="2234"/>
        <v>3169</v>
      </c>
      <c r="HP392" s="1311">
        <f t="shared" si="2234"/>
        <v>6548</v>
      </c>
      <c r="HQ392" s="1312">
        <f t="shared" si="2234"/>
        <v>11867</v>
      </c>
      <c r="HR392" s="1314">
        <f t="shared" si="2234"/>
        <v>2911</v>
      </c>
      <c r="HS392" s="1314">
        <f t="shared" si="2234"/>
        <v>2544</v>
      </c>
      <c r="HT392" s="1311">
        <f t="shared" ref="HT392:IA392" si="2235">HT388-HT395</f>
        <v>5429</v>
      </c>
      <c r="HU392" s="1311">
        <f t="shared" si="2235"/>
        <v>2974</v>
      </c>
      <c r="HV392" s="1311">
        <f t="shared" si="2235"/>
        <v>8381.00000000001</v>
      </c>
      <c r="HW392" s="1311">
        <f t="shared" si="2235"/>
        <v>2665</v>
      </c>
      <c r="HX392" s="1311">
        <f t="shared" si="2235"/>
        <v>5639</v>
      </c>
      <c r="HY392" s="1312">
        <f t="shared" si="2235"/>
        <v>11094</v>
      </c>
      <c r="HZ392" s="1314">
        <f t="shared" si="2235"/>
        <v>2627.46</v>
      </c>
      <c r="IA392" s="1314">
        <f t="shared" si="2235"/>
        <v>2781.01903297593</v>
      </c>
      <c r="IB392" s="1311">
        <f t="shared" ref="IB392:II392" si="2236">IB388-IB395</f>
        <v>5408.47903297593</v>
      </c>
      <c r="IC392" s="1311">
        <f t="shared" si="2236"/>
        <v>3059.519803151</v>
      </c>
      <c r="ID392" s="1311">
        <f t="shared" si="2236"/>
        <v>8439.99883612693</v>
      </c>
      <c r="IE392" s="1311">
        <f t="shared" si="2236"/>
        <v>2933.33616387307</v>
      </c>
      <c r="IF392" s="1311">
        <f t="shared" si="2236"/>
        <v>6000.85596702407</v>
      </c>
      <c r="IG392" s="1312">
        <f t="shared" si="2236"/>
        <v>11401.335</v>
      </c>
      <c r="IH392" s="1314">
        <f t="shared" si="2236"/>
        <v>2948</v>
      </c>
      <c r="II392" s="1314">
        <f t="shared" si="2236"/>
        <v>2875</v>
      </c>
      <c r="IJ392" s="1311">
        <f t="shared" ref="IJ392:IQ392" si="2237">IJ388-IJ395</f>
        <v>5823</v>
      </c>
      <c r="IK392" s="1311">
        <f t="shared" si="2237"/>
        <v>3195</v>
      </c>
      <c r="IL392" s="1311">
        <f t="shared" si="2237"/>
        <v>8990</v>
      </c>
      <c r="IM392" s="1311">
        <f t="shared" si="2237"/>
        <v>2988</v>
      </c>
      <c r="IN392" s="1311">
        <f t="shared" si="2237"/>
        <v>6136</v>
      </c>
      <c r="IO392" s="1312">
        <f t="shared" si="2237"/>
        <v>12006</v>
      </c>
      <c r="IP392" s="1314">
        <f t="shared" si="2237"/>
        <v>3223</v>
      </c>
      <c r="IQ392" s="1314">
        <f t="shared" si="2237"/>
        <v>3203</v>
      </c>
      <c r="IR392" s="1311">
        <f t="shared" ref="IR392:IW392" si="2238">IR388-IR395</f>
        <v>6426</v>
      </c>
      <c r="IS392" s="1311">
        <f t="shared" si="2238"/>
        <v>3509.20904109416</v>
      </c>
      <c r="IT392" s="1311">
        <f t="shared" si="2238"/>
        <v>9935.20904109415</v>
      </c>
      <c r="IU392" s="1311">
        <f t="shared" si="2238"/>
        <v>3197.1296385555</v>
      </c>
      <c r="IV392" s="1311">
        <f t="shared" si="2238"/>
        <v>6706.33867964966</v>
      </c>
      <c r="IW392" s="1312">
        <f t="shared" si="2238"/>
        <v>13132.3386796497</v>
      </c>
      <c r="IX392" s="1037"/>
      <c r="IY392" s="1314"/>
      <c r="IZ392" s="1082"/>
      <c r="JA392" s="1082"/>
      <c r="JB392" s="1082"/>
      <c r="JC392" s="1037"/>
      <c r="JD392" s="1037"/>
      <c r="JE392" s="1041"/>
      <c r="JF392" s="1037"/>
      <c r="JG392" s="1037"/>
      <c r="JH392" s="1037"/>
      <c r="JI392" s="1035"/>
      <c r="JJ392" s="1035"/>
      <c r="JK392" s="1035"/>
      <c r="JL392" s="969"/>
      <c r="JM392" s="1035"/>
      <c r="JN392" s="1079"/>
      <c r="JO392" s="1079"/>
      <c r="JP392" s="1079"/>
      <c r="JQ392" s="1079"/>
      <c r="JR392" s="1079"/>
      <c r="JS392" s="1079"/>
      <c r="JT392" s="1079"/>
      <c r="JU392" s="1079"/>
      <c r="JV392" s="1079"/>
      <c r="JW392" s="1035"/>
      <c r="JX392" s="1035"/>
      <c r="JY392" s="1035"/>
      <c r="KD392" s="1049" t="s">
        <v>584</v>
      </c>
      <c r="KE392" s="1104">
        <f>DJ397</f>
        <v>0.452</v>
      </c>
      <c r="KF392" s="1104">
        <f>DK397</f>
        <v>0.45</v>
      </c>
      <c r="KG392" s="1104">
        <f>DM397</f>
        <v>0.453</v>
      </c>
      <c r="KH392" s="1104">
        <f>DO397</f>
        <v>0.462</v>
      </c>
      <c r="KI392" s="1104">
        <f>DR397</f>
        <v>0.486</v>
      </c>
      <c r="KJ392" s="1104">
        <f>DS397</f>
        <v>0.489</v>
      </c>
      <c r="KK392" s="1104">
        <f>DU397</f>
        <v>0.473</v>
      </c>
      <c r="KL392" s="1104">
        <f>DW397</f>
        <v>0.464544338335607</v>
      </c>
      <c r="KM392" s="1104">
        <f>DZ397</f>
        <v>0.485</v>
      </c>
      <c r="KN392" s="1104">
        <f>EA397</f>
        <v>0.492</v>
      </c>
      <c r="KO392" s="1104">
        <f>EC397</f>
        <v>0.470619658119658</v>
      </c>
      <c r="KP392" s="1104">
        <f>EE397</f>
        <v>0.456032088861463</v>
      </c>
    </row>
    <row r="393" s="883" customFormat="1" spans="1:334">
      <c r="A393" s="883" t="s">
        <v>142</v>
      </c>
      <c r="B393" s="1302" t="s">
        <v>173</v>
      </c>
      <c r="C393" s="1302" t="s">
        <v>173</v>
      </c>
      <c r="D393" s="1302" t="s">
        <v>173</v>
      </c>
      <c r="E393" s="1302" t="s">
        <v>173</v>
      </c>
      <c r="F393" s="1302" t="s">
        <v>173</v>
      </c>
      <c r="G393" s="1302" t="s">
        <v>173</v>
      </c>
      <c r="H393" s="1302" t="s">
        <v>173</v>
      </c>
      <c r="I393" s="1302" t="s">
        <v>173</v>
      </c>
      <c r="J393" s="1302">
        <f t="shared" ref="J393:AO393" si="2239">J392/B392-1</f>
        <v>-0.412967348608838</v>
      </c>
      <c r="K393" s="1302">
        <f t="shared" si="2239"/>
        <v>-0.288356181015453</v>
      </c>
      <c r="L393" s="1302">
        <f t="shared" si="2239"/>
        <v>-0.359913909774436</v>
      </c>
      <c r="M393" s="1302">
        <f t="shared" si="2239"/>
        <v>-0.298540586419753</v>
      </c>
      <c r="N393" s="1302">
        <f t="shared" si="2239"/>
        <v>-0.336683820093458</v>
      </c>
      <c r="O393" s="1302">
        <f t="shared" si="2239"/>
        <v>-0.216391102756892</v>
      </c>
      <c r="P393" s="1302">
        <f t="shared" si="2239"/>
        <v>-0.267234336198663</v>
      </c>
      <c r="Q393" s="1302">
        <f t="shared" si="2239"/>
        <v>-0.313947299857887</v>
      </c>
      <c r="R393" s="1302">
        <f t="shared" si="2239"/>
        <v>0.419814682822523</v>
      </c>
      <c r="S393" s="1302">
        <f t="shared" si="2239"/>
        <v>0.287808088818398</v>
      </c>
      <c r="T393" s="1302">
        <f t="shared" si="2239"/>
        <v>0.357329579579579</v>
      </c>
      <c r="U393" s="1302">
        <f t="shared" si="2239"/>
        <v>0.413948256467942</v>
      </c>
      <c r="V393" s="1302">
        <f t="shared" si="2239"/>
        <v>0.379992345790185</v>
      </c>
      <c r="W393" s="1302">
        <f t="shared" si="2239"/>
        <v>0.347506132461161</v>
      </c>
      <c r="X393" s="1302">
        <f t="shared" si="2239"/>
        <v>0.386871042985672</v>
      </c>
      <c r="Y393" s="1302">
        <f t="shared" si="2239"/>
        <v>0.372978993821712</v>
      </c>
      <c r="Z393" s="1302">
        <f t="shared" si="2239"/>
        <v>0.580321285140562</v>
      </c>
      <c r="AA393" s="1302">
        <f t="shared" si="2239"/>
        <v>0.569037012770286</v>
      </c>
      <c r="AB393" s="1302">
        <f t="shared" si="2239"/>
        <v>0.575253475873124</v>
      </c>
      <c r="AC393" s="1302">
        <f t="shared" si="2239"/>
        <v>0.35958631662689</v>
      </c>
      <c r="AD393" s="1302">
        <f t="shared" si="2239"/>
        <v>0.486804245271476</v>
      </c>
      <c r="AE393" s="1302">
        <f t="shared" si="2239"/>
        <v>0.451456310679611</v>
      </c>
      <c r="AF393" s="1302">
        <f t="shared" si="2239"/>
        <v>0.395963479096588</v>
      </c>
      <c r="AG393" s="1302">
        <f t="shared" si="2239"/>
        <v>0.479314665631944</v>
      </c>
      <c r="AH393" s="1302">
        <f t="shared" si="2239"/>
        <v>-0.0101651842439645</v>
      </c>
      <c r="AI393" s="1302">
        <f t="shared" si="2239"/>
        <v>-0.0149136577708008</v>
      </c>
      <c r="AJ393" s="1302">
        <f t="shared" si="2239"/>
        <v>-0.0122893258426968</v>
      </c>
      <c r="AK393" s="1302">
        <f t="shared" si="2239"/>
        <v>0.0242481303466182</v>
      </c>
      <c r="AL393" s="1302">
        <f t="shared" si="2239"/>
        <v>0.0014132224626664</v>
      </c>
      <c r="AM393" s="1302">
        <f t="shared" si="2239"/>
        <v>0.0940045931840081</v>
      </c>
      <c r="AN393" s="1302">
        <f t="shared" ref="AN393:BU393" si="2240">AN392/AF392-1</f>
        <v>0.0529671422411166</v>
      </c>
      <c r="AO393" s="1302">
        <f t="shared" si="2239"/>
        <v>0.0206621846359194</v>
      </c>
      <c r="AP393" s="1302">
        <f t="shared" si="2240"/>
        <v>0.104687465086227</v>
      </c>
      <c r="AQ393" s="1302">
        <f t="shared" si="2240"/>
        <v>0.0675077900796581</v>
      </c>
      <c r="AR393" s="1302">
        <f t="shared" si="2240"/>
        <v>0.0881000167629977</v>
      </c>
      <c r="AS393" s="1302">
        <f t="shared" si="2240"/>
        <v>0.0592178770949721</v>
      </c>
      <c r="AT393" s="1302">
        <f t="shared" si="2240"/>
        <v>0.0770214327265113</v>
      </c>
      <c r="AU393" s="1302">
        <f t="shared" si="2240"/>
        <v>0.186846038863976</v>
      </c>
      <c r="AV393" s="1302">
        <f t="shared" si="2240"/>
        <v>0.113810741687979</v>
      </c>
      <c r="AW393" s="1302">
        <f t="shared" si="2240"/>
        <v>0.101493664712723</v>
      </c>
      <c r="AX393" s="1303">
        <f t="shared" si="2240"/>
        <v>0.0329545454545455</v>
      </c>
      <c r="AY393" s="1302">
        <f t="shared" si="2240"/>
        <v>0.0948905109489051</v>
      </c>
      <c r="AZ393" s="1302">
        <f t="shared" si="2240"/>
        <v>0.0600638977635783</v>
      </c>
      <c r="BA393" s="1302">
        <f t="shared" si="2240"/>
        <v>0.0949367088607596</v>
      </c>
      <c r="BB393" s="1302">
        <f t="shared" si="2240"/>
        <v>-0.28849980103462</v>
      </c>
      <c r="BC393" s="1302">
        <f t="shared" si="2240"/>
        <v>0.0264483627204031</v>
      </c>
      <c r="BD393" s="1302">
        <f t="shared" si="2240"/>
        <v>0.063719862227325</v>
      </c>
      <c r="BE393" s="1304">
        <f t="shared" si="2240"/>
        <v>-0.212881765951013</v>
      </c>
      <c r="BF393" s="1302">
        <f t="shared" si="2240"/>
        <v>0.0495049504950495</v>
      </c>
      <c r="BG393" s="1302">
        <f t="shared" si="2240"/>
        <v>0.109333333333333</v>
      </c>
      <c r="BH393" s="1302">
        <f t="shared" si="2240"/>
        <v>0.0765521398432791</v>
      </c>
      <c r="BI393" s="1302">
        <f t="shared" si="2240"/>
        <v>0.0110789980732178</v>
      </c>
      <c r="BJ393" s="1302">
        <f t="shared" si="2240"/>
        <v>0.585850111856823</v>
      </c>
      <c r="BK393" s="1302">
        <f t="shared" si="2240"/>
        <v>0.0662576687116565</v>
      </c>
      <c r="BL393" s="1302">
        <f t="shared" si="2240"/>
        <v>0.0353480841878036</v>
      </c>
      <c r="BM393" s="1302">
        <f t="shared" si="2240"/>
        <v>0.423165578179024</v>
      </c>
      <c r="BN393" s="1303">
        <f t="shared" si="2240"/>
        <v>0.00628930817610063</v>
      </c>
      <c r="BO393" s="1302">
        <f t="shared" si="2240"/>
        <v>-0.0757211538461539</v>
      </c>
      <c r="BP393" s="1302">
        <f t="shared" si="2240"/>
        <v>-0.0319148936170213</v>
      </c>
      <c r="BQ393" s="1302">
        <f t="shared" si="2240"/>
        <v>-0.0300142925202478</v>
      </c>
      <c r="BR393" s="1302">
        <f t="shared" si="2240"/>
        <v>-0.0312114265561629</v>
      </c>
      <c r="BS393" s="1302">
        <f t="shared" si="2240"/>
        <v>-0.187571921749137</v>
      </c>
      <c r="BT393" s="1302">
        <f t="shared" ref="BT393:CN393" si="2241">BT392/BL392-1</f>
        <v>-0.101381287464165</v>
      </c>
      <c r="BU393" s="1304">
        <f t="shared" si="2240"/>
        <v>-0.0678904035632339</v>
      </c>
      <c r="BV393" s="1303">
        <f t="shared" si="2241"/>
        <v>-0.16875</v>
      </c>
      <c r="BW393" s="1302">
        <f t="shared" si="2241"/>
        <v>-0.0715214564369311</v>
      </c>
      <c r="BX393" s="1302">
        <f t="shared" si="2241"/>
        <v>-0.125506072874494</v>
      </c>
      <c r="BY393" s="1302">
        <f t="shared" si="2241"/>
        <v>-0.108055009823183</v>
      </c>
      <c r="BZ393" s="1302">
        <f t="shared" si="2241"/>
        <v>-0.119038951583546</v>
      </c>
      <c r="CA393" s="1302">
        <f t="shared" si="2241"/>
        <v>-0.113314447592068</v>
      </c>
      <c r="CB393" s="1302">
        <f t="shared" si="2241"/>
        <v>-0.110208816705336</v>
      </c>
      <c r="CC393" s="1304">
        <f t="shared" si="2241"/>
        <v>-0.117868520127425</v>
      </c>
      <c r="CD393" s="1303">
        <f t="shared" si="2241"/>
        <v>0.0889724310776943</v>
      </c>
      <c r="CE393" s="1302">
        <f t="shared" si="2241"/>
        <v>0.0826330532212884</v>
      </c>
      <c r="CF393" s="1302">
        <f t="shared" si="2241"/>
        <v>0.085978835978836</v>
      </c>
      <c r="CG393" s="1302">
        <f t="shared" si="2241"/>
        <v>0.0903083700440528</v>
      </c>
      <c r="CH393" s="1302">
        <f t="shared" si="2241"/>
        <v>0.087603305785124</v>
      </c>
      <c r="CI393" s="1302">
        <f t="shared" si="2241"/>
        <v>0.28594249201278</v>
      </c>
      <c r="CJ393" s="1302">
        <f t="shared" si="2241"/>
        <v>0.170143415906128</v>
      </c>
      <c r="CK393" s="1304">
        <f t="shared" si="2241"/>
        <v>0.128365068942876</v>
      </c>
      <c r="CL393" s="1303">
        <v>0.555811277330265</v>
      </c>
      <c r="CM393" s="1302">
        <f t="shared" si="2241"/>
        <v>0.738680465717982</v>
      </c>
      <c r="CN393" s="1302">
        <f t="shared" si="2241"/>
        <v>0.64190012180268</v>
      </c>
      <c r="CO393" s="1302">
        <f t="shared" ref="CO393:CT393" si="2242">CO392/CG392-1</f>
        <v>0.638383838383838</v>
      </c>
      <c r="CP393" s="1302">
        <f t="shared" si="2242"/>
        <v>0.640577507598784</v>
      </c>
      <c r="CQ393" s="1302">
        <f t="shared" si="2242"/>
        <v>0.57888198757764</v>
      </c>
      <c r="CR393" s="1302">
        <f t="shared" si="2242"/>
        <v>0.611699164345404</v>
      </c>
      <c r="CS393" s="1304">
        <f t="shared" si="2242"/>
        <v>0.626127436718068</v>
      </c>
      <c r="CT393" s="1303">
        <f t="shared" si="2242"/>
        <v>-0.00147928994082835</v>
      </c>
      <c r="CU393" s="1302">
        <f t="shared" ref="CU393:DA393" si="2243">CU392/CM392-1</f>
        <v>-0.0610119047619048</v>
      </c>
      <c r="CV393" s="1302">
        <f t="shared" si="2243"/>
        <v>-0.0311572700296736</v>
      </c>
      <c r="CW393" s="1302">
        <f t="shared" si="2243"/>
        <v>-0.0678175092478421</v>
      </c>
      <c r="CX393" s="1302">
        <f t="shared" si="2243"/>
        <v>-0.0449282075034738</v>
      </c>
      <c r="CY393" s="1302">
        <f t="shared" si="2243"/>
        <v>0.0165224232887491</v>
      </c>
      <c r="CZ393" s="1302">
        <f t="shared" si="2243"/>
        <v>-0.0307639128931905</v>
      </c>
      <c r="DA393" s="1304">
        <f t="shared" si="2243"/>
        <v>-0.0309536589729826</v>
      </c>
      <c r="DB393" s="1275">
        <f t="shared" ref="DB393:DI393" si="2244">DB392/CT392-1</f>
        <v>-0.0125925925925926</v>
      </c>
      <c r="DC393" s="1094">
        <f t="shared" si="2244"/>
        <v>-0.00316957210776547</v>
      </c>
      <c r="DD393" s="1094">
        <f t="shared" si="2244"/>
        <v>-0.00842266462480856</v>
      </c>
      <c r="DE393" s="1094">
        <f t="shared" si="2244"/>
        <v>0.0396825396825398</v>
      </c>
      <c r="DF393" s="1094">
        <f t="shared" si="2244"/>
        <v>0.00945683802133845</v>
      </c>
      <c r="DG393" s="1094">
        <f t="shared" si="2244"/>
        <v>0.11609907120743</v>
      </c>
      <c r="DH393" s="1094">
        <f t="shared" si="2244"/>
        <v>0.0891583452211127</v>
      </c>
      <c r="DI393" s="1093">
        <f t="shared" si="2244"/>
        <v>-0.166728791854693</v>
      </c>
      <c r="DJ393" s="1094">
        <f t="shared" ref="DJ393:DQ393" si="2245">DJ392/DB392-1</f>
        <v>0.0594118529632408</v>
      </c>
      <c r="DK393" s="1094">
        <f t="shared" si="2245"/>
        <v>0.0742050874403815</v>
      </c>
      <c r="DL393" s="1094">
        <f t="shared" si="2245"/>
        <v>0.0670061776061774</v>
      </c>
      <c r="DM393" s="1094">
        <f t="shared" si="2245"/>
        <v>0.00492111959287533</v>
      </c>
      <c r="DN393" s="1094">
        <f t="shared" si="2245"/>
        <v>0.0435460004804227</v>
      </c>
      <c r="DO393" s="1094">
        <f t="shared" si="2245"/>
        <v>-0.0829375866851595</v>
      </c>
      <c r="DP393" s="1094">
        <f t="shared" si="2245"/>
        <v>-0.0513621480026195</v>
      </c>
      <c r="DQ393" s="1093">
        <f t="shared" si="2245"/>
        <v>0.256149776234475</v>
      </c>
      <c r="DR393" s="1094">
        <f t="shared" ref="DR393:DZ393" si="2246">DR392/DJ392-1</f>
        <v>-0.0267384980555107</v>
      </c>
      <c r="DS393" s="1094">
        <f t="shared" si="2246"/>
        <v>0.103035483035483</v>
      </c>
      <c r="DT393" s="1094">
        <f t="shared" si="2246"/>
        <v>0.0356549158219186</v>
      </c>
      <c r="DU393" s="1094">
        <f t="shared" si="2246"/>
        <v>0.156924954549368</v>
      </c>
      <c r="DV393" s="1094">
        <f t="shared" si="2246"/>
        <v>0.0800505123746573</v>
      </c>
      <c r="DW393" s="1094">
        <f t="shared" si="2246"/>
        <v>0.187198465824362</v>
      </c>
      <c r="DX393" s="1094">
        <f t="shared" si="2246"/>
        <v>0.172853227665905</v>
      </c>
      <c r="DY393" s="1093">
        <f t="shared" si="2246"/>
        <v>0.104251190686188</v>
      </c>
      <c r="DZ393" s="1094">
        <f t="shared" si="2246"/>
        <v>0.226390315736782</v>
      </c>
      <c r="EA393" s="1094">
        <f t="shared" ref="EA393:EG393" si="2247">EA392/DS392-1</f>
        <v>0.0452258070142837</v>
      </c>
      <c r="EB393" s="1094">
        <f t="shared" si="2247"/>
        <v>0.133299907759392</v>
      </c>
      <c r="EC393" s="1094">
        <f t="shared" si="2247"/>
        <v>0.0844610195903341</v>
      </c>
      <c r="ED393" s="1094">
        <f t="shared" si="2247"/>
        <v>0.113713980516807</v>
      </c>
      <c r="EE393" s="1094">
        <f t="shared" si="2247"/>
        <v>0.122961407835634</v>
      </c>
      <c r="EF393" s="1094">
        <f t="shared" si="2247"/>
        <v>0.0990267575457926</v>
      </c>
      <c r="EG393" s="1093">
        <f t="shared" si="2247"/>
        <v>0.114696485623003</v>
      </c>
      <c r="EH393" s="1094">
        <f t="shared" ref="EH393:EP393" si="2248">EH392/DZ392-1</f>
        <v>0.185338115027631</v>
      </c>
      <c r="EI393" s="1094">
        <f t="shared" si="2248"/>
        <v>0.16816431322208</v>
      </c>
      <c r="EJ393" s="1094">
        <f t="shared" si="2248"/>
        <v>0.177089001555373</v>
      </c>
      <c r="EK393" s="1094">
        <f t="shared" si="2248"/>
        <v>0.107467204843592</v>
      </c>
      <c r="EL393" s="1094">
        <f t="shared" si="2248"/>
        <v>0.150682362486951</v>
      </c>
      <c r="EM393" s="1094">
        <f t="shared" si="2248"/>
        <v>0.00170164492342595</v>
      </c>
      <c r="EN393" s="1094">
        <f t="shared" si="2248"/>
        <v>0.0606776715433919</v>
      </c>
      <c r="EO393" s="1093">
        <f t="shared" si="2248"/>
        <v>0.114789337919174</v>
      </c>
      <c r="EP393" s="1094">
        <f t="shared" si="2248"/>
        <v>-0.0640640640640641</v>
      </c>
      <c r="EQ393" s="1094">
        <f t="shared" ref="EQ393:EW393" si="2249">EQ392/EI392-1</f>
        <v>-0.0719780219780219</v>
      </c>
      <c r="ER393" s="1094">
        <f t="shared" si="2249"/>
        <v>-0.0678365636458879</v>
      </c>
      <c r="ES393" s="1094">
        <f t="shared" si="2249"/>
        <v>-0.104328018223235</v>
      </c>
      <c r="ET393" s="1094">
        <f t="shared" si="2249"/>
        <v>-0.081157492100449</v>
      </c>
      <c r="EU393" s="1094">
        <f t="shared" si="2249"/>
        <v>0.0345413363533409</v>
      </c>
      <c r="EV393" s="1094">
        <f t="shared" si="2249"/>
        <v>-0.0424135319363798</v>
      </c>
      <c r="EW393" s="1093">
        <f t="shared" si="2249"/>
        <v>-0.0548913742126237</v>
      </c>
      <c r="EX393" s="1094">
        <f t="shared" ref="EX393:FG393" si="2250">EX392/EP392-1</f>
        <v>-0.0540106951871657</v>
      </c>
      <c r="EY393" s="1094">
        <f t="shared" si="2250"/>
        <v>0.0213143872113677</v>
      </c>
      <c r="EZ393" s="1094">
        <f t="shared" si="2250"/>
        <v>-0.0182635571789829</v>
      </c>
      <c r="FA393" s="1094">
        <f t="shared" si="2250"/>
        <v>0.081383519837233</v>
      </c>
      <c r="FB393" s="1094">
        <f t="shared" si="2250"/>
        <v>0.0171945701357465</v>
      </c>
      <c r="FC393" s="1094">
        <f t="shared" si="2250"/>
        <v>0.0886699507389161</v>
      </c>
      <c r="FD393" s="1094">
        <f t="shared" si="2250"/>
        <v>0.0848932243606644</v>
      </c>
      <c r="FE393" s="1093">
        <f t="shared" si="2250"/>
        <v>0.034956474428727</v>
      </c>
      <c r="FF393" s="1094">
        <f t="shared" si="2250"/>
        <v>0.172979084228378</v>
      </c>
      <c r="FG393" s="1094">
        <f t="shared" si="2250"/>
        <v>0.169855072463768</v>
      </c>
      <c r="FH393" s="1094">
        <f t="shared" ref="FH393:FN393" si="2251">FH392/EZ392-1</f>
        <v>0.171436748712078</v>
      </c>
      <c r="FI393" s="1094">
        <f t="shared" si="2251"/>
        <v>0.153809971777987</v>
      </c>
      <c r="FJ393" s="1094">
        <f t="shared" si="2251"/>
        <v>0.164768683274021</v>
      </c>
      <c r="FK393" s="1094">
        <f t="shared" si="2251"/>
        <v>0.106586224233283</v>
      </c>
      <c r="FL393" s="1094">
        <f t="shared" si="2251"/>
        <v>0.130984204131227</v>
      </c>
      <c r="FM393" s="1093">
        <f t="shared" si="2251"/>
        <v>0.149559731896438</v>
      </c>
      <c r="FN393" s="1094">
        <f t="shared" si="2251"/>
        <v>0.161927710843373</v>
      </c>
      <c r="FO393" s="1094">
        <f t="shared" ref="FO393:FT393" si="2252">FO392/FG392-1</f>
        <v>0.121902874132805</v>
      </c>
      <c r="FP393" s="1094">
        <f t="shared" si="2252"/>
        <v>0.142193989738578</v>
      </c>
      <c r="FQ393" s="1094">
        <f t="shared" si="2252"/>
        <v>0.15695067264574</v>
      </c>
      <c r="FR393" s="1094">
        <f t="shared" si="2252"/>
        <v>0.147723800794378</v>
      </c>
      <c r="FS393" s="1094">
        <f t="shared" si="2252"/>
        <v>0.089504770558837</v>
      </c>
      <c r="FT393" s="1094">
        <f t="shared" si="2252"/>
        <v>0.125053717232488</v>
      </c>
      <c r="FU393" s="1094">
        <f t="shared" ref="FU393:GC393" si="2253">FU392/FM392-1</f>
        <v>0.133074196867497</v>
      </c>
      <c r="FV393" s="1086">
        <f t="shared" si="2253"/>
        <v>0.138116963915388</v>
      </c>
      <c r="FW393" s="1094">
        <f t="shared" si="2253"/>
        <v>0.109982332155477</v>
      </c>
      <c r="FX393" s="1094">
        <f t="shared" si="2253"/>
        <v>0.124491978609626</v>
      </c>
      <c r="FY393" s="1094">
        <f t="shared" si="2253"/>
        <v>-0.0084566596194503</v>
      </c>
      <c r="FZ393" s="1094">
        <f t="shared" si="2253"/>
        <v>0.074271263143884</v>
      </c>
      <c r="GA393" s="1094">
        <f t="shared" si="2253"/>
        <v>0.0191826522101746</v>
      </c>
      <c r="GB393" s="1094">
        <f t="shared" si="2253"/>
        <v>0.00420168067226867</v>
      </c>
      <c r="GC393" s="1093">
        <f t="shared" si="2253"/>
        <v>0.0609423872464936</v>
      </c>
      <c r="GD393" s="1087">
        <f t="shared" ref="GD393:GS393" si="2254">GD392/FV392-1</f>
        <v>-0.0112973760932945</v>
      </c>
      <c r="GE393" s="1094">
        <f t="shared" si="2254"/>
        <v>-0.00119379228014327</v>
      </c>
      <c r="GF393" s="1094">
        <f t="shared" si="2254"/>
        <v>-0.00646756705345253</v>
      </c>
      <c r="GG393" s="1094">
        <f t="shared" si="2254"/>
        <v>0.00533049040511835</v>
      </c>
      <c r="GH393" s="1094">
        <f t="shared" si="2254"/>
        <v>-0.00235410729773222</v>
      </c>
      <c r="GI393" s="1094">
        <f t="shared" si="2254"/>
        <v>0.0229132569558104</v>
      </c>
      <c r="GJ393" s="1094">
        <f t="shared" si="2254"/>
        <v>0.0135032331685061</v>
      </c>
      <c r="GK393" s="1093">
        <f t="shared" si="2254"/>
        <v>0.00351878269139383</v>
      </c>
      <c r="GL393" s="1087">
        <f t="shared" si="2254"/>
        <v>0.00700331736085524</v>
      </c>
      <c r="GM393" s="1087">
        <f t="shared" si="2254"/>
        <v>0.0215139442231067</v>
      </c>
      <c r="GN393" s="1094">
        <f t="shared" si="2254"/>
        <v>0.0139766417767566</v>
      </c>
      <c r="GO393" s="1094">
        <f t="shared" si="2254"/>
        <v>0.0855425945563804</v>
      </c>
      <c r="GP393" s="1094">
        <f t="shared" si="2254"/>
        <v>0.0391207153502231</v>
      </c>
      <c r="GQ393" s="1094">
        <f t="shared" si="2254"/>
        <v>0.1924</v>
      </c>
      <c r="GR393" s="1094">
        <f t="shared" si="2254"/>
        <v>0.135672734096453</v>
      </c>
      <c r="GS393" s="1093">
        <f t="shared" si="2254"/>
        <v>0.07543593631539</v>
      </c>
      <c r="GT393" s="1087">
        <f t="shared" ref="GT393" si="2255">GT392/GL392-1</f>
        <v>-0.118594436310395</v>
      </c>
      <c r="GU393" s="1087">
        <f t="shared" ref="GU393" si="2256">GU392/GM392-1</f>
        <v>-0.316440327613104</v>
      </c>
      <c r="GV393" s="1094">
        <f t="shared" ref="GV393" si="2257">GV392/GN392-1</f>
        <v>-0.214379342900302</v>
      </c>
      <c r="GW393" s="1094">
        <f t="shared" ref="GW393" si="2258">GW392/GO392-1</f>
        <v>-0.0295271898404424</v>
      </c>
      <c r="GX393" s="1094">
        <f t="shared" ref="GX393" si="2259">GX392/GP392-1</f>
        <v>-0.146531731803513</v>
      </c>
      <c r="GY393" s="1094">
        <f t="shared" ref="GY393" si="2260">GY392/GQ392-1</f>
        <v>-0.0446055015095613</v>
      </c>
      <c r="GZ393" s="1094">
        <f t="shared" ref="GZ393" si="2261">GZ392/GR392-1</f>
        <v>-0.0369542300066101</v>
      </c>
      <c r="HA393" s="1093">
        <f t="shared" ref="HA393:HB393" si="2262">HA392/GS392-1</f>
        <v>-0.119756785336623</v>
      </c>
      <c r="HB393" s="1087">
        <f t="shared" si="2262"/>
        <v>0.0539867109634546</v>
      </c>
      <c r="HC393" s="1087">
        <f t="shared" ref="HC393" si="2263">HC392/GU392-1</f>
        <v>0.39503277043238</v>
      </c>
      <c r="HD393" s="1094">
        <f t="shared" ref="HD393" si="2264">HD392/GV392-1</f>
        <v>0.197650269297059</v>
      </c>
      <c r="HE393" s="1094">
        <f t="shared" ref="HE393" si="2265">HE392/GW392-1</f>
        <v>-0.0376878739948233</v>
      </c>
      <c r="HF393" s="1094">
        <f t="shared" ref="HF393" si="2266">HF392/GX392-1</f>
        <v>0.0994306234910134</v>
      </c>
      <c r="HG393" s="1094">
        <f t="shared" ref="HG393" si="2267">HG392/GY392-1</f>
        <v>-0.080768432646976</v>
      </c>
      <c r="HH393" s="1094">
        <f t="shared" ref="HH393" si="2268">HH392/GZ392-1</f>
        <v>-0.0587392355953728</v>
      </c>
      <c r="HI393" s="1093">
        <f t="shared" ref="HI393" si="2269">HI392/HA392-1</f>
        <v>0.0480528581439581</v>
      </c>
      <c r="HJ393" s="1087">
        <f t="shared" ref="HJ393" si="2270">HJ392/HB392-1</f>
        <v>0.0457052797478321</v>
      </c>
      <c r="HK393" s="1087">
        <f t="shared" ref="HK393" si="2271">HK392/HC392-1</f>
        <v>0.137832310838447</v>
      </c>
      <c r="HL393" s="1094">
        <f t="shared" ref="HL393" si="2272">HL392/HD392-1</f>
        <v>0.0909090909090906</v>
      </c>
      <c r="HM393" s="1094">
        <f t="shared" ref="HM393" si="2273">HM392/HE392-1</f>
        <v>0.137377963737795</v>
      </c>
      <c r="HN393" s="1094">
        <f t="shared" ref="HN393" si="2274">HN392/HF392-1</f>
        <v>0.107884345943192</v>
      </c>
      <c r="HO393" s="1094">
        <f t="shared" ref="HO393" si="2275">HO392/HG392-1</f>
        <v>0.210466004583653</v>
      </c>
      <c r="HP393" s="1094">
        <f t="shared" ref="HP393" si="2276">HP392/HH392-1</f>
        <v>0.193583667517316</v>
      </c>
      <c r="HQ393" s="1093">
        <f t="shared" ref="HQ393" si="2277">HQ392/HI392-1</f>
        <v>0.133537109561563</v>
      </c>
      <c r="HR393" s="1087">
        <f t="shared" ref="HR393" si="2278">HR392/HJ392-1</f>
        <v>0.0968349660889232</v>
      </c>
      <c r="HS393" s="1087">
        <f t="shared" ref="HS393" si="2279">HS392/HK392-1</f>
        <v>-0.0855499640546369</v>
      </c>
      <c r="HT393" s="1094">
        <f t="shared" ref="HT393" si="2280">HT392/HL392-1</f>
        <v>-0.00128771155261143</v>
      </c>
      <c r="HU393" s="1094">
        <f t="shared" ref="HU393" si="2281">HU392/HM392-1</f>
        <v>-0.0882893930104229</v>
      </c>
      <c r="HV393" s="1094">
        <f t="shared" ref="HV393" si="2282">HV392/HN392-1</f>
        <v>-0.0364451598068515</v>
      </c>
      <c r="HW393" s="1094">
        <f t="shared" ref="HW393" si="2283">HW392/HO392-1</f>
        <v>-0.159040706847586</v>
      </c>
      <c r="HX393" s="1094">
        <f t="shared" ref="HX393" si="2284">HX392/HP392-1</f>
        <v>-0.138821014050092</v>
      </c>
      <c r="HY393" s="1093">
        <f t="shared" ref="HY393" si="2285">HY392/HQ392-1</f>
        <v>-0.0651386197016934</v>
      </c>
      <c r="HZ393" s="1087">
        <f t="shared" ref="HZ393" si="2286">HZ392/HR392-1</f>
        <v>-0.0974029543112337</v>
      </c>
      <c r="IA393" s="1087">
        <f t="shared" ref="IA393" si="2287">IA392/HS392-1</f>
        <v>0.0931678588741844</v>
      </c>
      <c r="IB393" s="1094">
        <f t="shared" ref="IB393" si="2288">IB392/HT392-1</f>
        <v>-0.00377987972445704</v>
      </c>
      <c r="IC393" s="1094">
        <f t="shared" ref="IC393" si="2289">IC392/HU392-1</f>
        <v>0.0287558181408871</v>
      </c>
      <c r="ID393" s="1094">
        <f t="shared" ref="ID393" si="2290">ID392/HV392-1</f>
        <v>0.00703959385836095</v>
      </c>
      <c r="IE393" s="1094">
        <f t="shared" ref="IE393" si="2291">IE392/HW392-1</f>
        <v>0.100688992072447</v>
      </c>
      <c r="IF393" s="1094">
        <f t="shared" ref="IF393" si="2292">IF392/HX392-1</f>
        <v>0.0641702371030453</v>
      </c>
      <c r="IG393" s="1093">
        <f t="shared" ref="IG393" si="2293">IG392/HY392-1</f>
        <v>0.0277028123309895</v>
      </c>
      <c r="IH393" s="1087">
        <f t="shared" ref="IH393" si="2294">IH392/HZ392-1</f>
        <v>0.121996148371431</v>
      </c>
      <c r="II393" s="1087">
        <f t="shared" ref="II393" si="2295">II392/IA392-1</f>
        <v>0.0337937158680661</v>
      </c>
      <c r="IJ393" s="1094">
        <f t="shared" ref="IJ393" si="2296">IJ392/IB392-1</f>
        <v>0.0766427981871993</v>
      </c>
      <c r="IK393" s="1094">
        <f t="shared" ref="IK393" si="2297">IK392/IC392-1</f>
        <v>0.0442815231035503</v>
      </c>
      <c r="IL393" s="1094">
        <f t="shared" ref="IL393" si="2298">IL392/ID392-1</f>
        <v>0.0651660236632763</v>
      </c>
      <c r="IM393" s="1094">
        <f t="shared" ref="IM393" si="2299">IM392/IE392-1</f>
        <v>0.0186353806972981</v>
      </c>
      <c r="IN393" s="1094">
        <f t="shared" ref="IN393" si="2300">IN392/IF392-1</f>
        <v>0.0225207926533433</v>
      </c>
      <c r="IO393" s="1093">
        <f t="shared" ref="IO393" si="2301">IO392/IG392-1</f>
        <v>0.0530345788453719</v>
      </c>
      <c r="IP393" s="1087">
        <f t="shared" ref="IP393" si="2302">IP392/IH392-1</f>
        <v>0.0932835820895517</v>
      </c>
      <c r="IQ393" s="1087">
        <f t="shared" ref="IQ393" si="2303">IQ392/II392-1</f>
        <v>0.114086956521739</v>
      </c>
      <c r="IR393" s="1094">
        <f t="shared" ref="IR393" si="2304">IR392/IJ392-1</f>
        <v>0.10355486862442</v>
      </c>
      <c r="IS393" s="1094">
        <f t="shared" ref="IS393" si="2305">IS392/IK392-1</f>
        <v>0.0983439878228975</v>
      </c>
      <c r="IT393" s="1094">
        <f t="shared" ref="IT393" si="2306">IT392/IL392-1</f>
        <v>0.105140049064978</v>
      </c>
      <c r="IU393" s="1094">
        <f t="shared" ref="IU393" si="2307">IU392/IM392-1</f>
        <v>0.0699898388739957</v>
      </c>
      <c r="IV393" s="1094">
        <f t="shared" ref="IV393" si="2308">IV392/IN392-1</f>
        <v>0.0929495892518999</v>
      </c>
      <c r="IW393" s="1093">
        <f t="shared" ref="IW393" si="2309">IW392/IO392-1</f>
        <v>0.0938146493128145</v>
      </c>
      <c r="IY393" s="1087"/>
      <c r="IZ393" s="1082"/>
      <c r="JA393" s="1082"/>
      <c r="JB393" s="1082"/>
      <c r="JL393" s="1035"/>
      <c r="JN393" s="1082"/>
      <c r="JO393" s="1082"/>
      <c r="JP393" s="1082"/>
      <c r="JQ393" s="1082"/>
      <c r="JR393" s="1082"/>
      <c r="JS393" s="1082"/>
      <c r="JT393" s="1082"/>
      <c r="JU393" s="1082"/>
      <c r="JV393" s="1082"/>
      <c r="KP393" s="967"/>
    </row>
    <row r="394" spans="1:334">
      <c r="A394" s="1035" t="s">
        <v>145</v>
      </c>
      <c r="B394" s="1302">
        <v>0.61152713639157</v>
      </c>
      <c r="C394" s="1302">
        <v>0.604068461092257</v>
      </c>
      <c r="D394" s="1302">
        <f t="shared" ref="D394:BN394" si="2310">D392/D$388</f>
        <v>0.608329192997582</v>
      </c>
      <c r="E394" s="1302">
        <v>0.592169652950202</v>
      </c>
      <c r="F394" s="1302">
        <f t="shared" si="2310"/>
        <v>0.602110058121909</v>
      </c>
      <c r="G394" s="1302">
        <v>0.604736038024105</v>
      </c>
      <c r="H394" s="1302">
        <f>H392/H$388</f>
        <v>1.16812406972641</v>
      </c>
      <c r="I394" s="1302">
        <f t="shared" si="2310"/>
        <v>0.602604645108398</v>
      </c>
      <c r="J394" s="1302">
        <f t="shared" si="2310"/>
        <v>0.585950551286335</v>
      </c>
      <c r="K394" s="1302">
        <f t="shared" si="2310"/>
        <v>0.603233830845771</v>
      </c>
      <c r="L394" s="1302">
        <f t="shared" si="2310"/>
        <v>0.594006421691045</v>
      </c>
      <c r="M394" s="1302">
        <f t="shared" si="2310"/>
        <v>0.603940217391304</v>
      </c>
      <c r="N394" s="1302">
        <f t="shared" si="2310"/>
        <v>0.59794314021107</v>
      </c>
      <c r="O394" s="1302">
        <f t="shared" si="2310"/>
        <v>0.614881850175968</v>
      </c>
      <c r="P394" s="1302">
        <f t="shared" si="2310"/>
        <v>0.608228617754357</v>
      </c>
      <c r="Q394" s="1302">
        <f t="shared" si="2310"/>
        <v>0.601520524963367</v>
      </c>
      <c r="R394" s="1302">
        <f t="shared" si="2310"/>
        <v>0.581436077057793</v>
      </c>
      <c r="S394" s="1302">
        <f t="shared" si="2310"/>
        <v>0.569</v>
      </c>
      <c r="T394" s="1302">
        <f t="shared" si="2310"/>
        <v>0.575784394904459</v>
      </c>
      <c r="U394" s="1302">
        <f t="shared" si="2310"/>
        <v>0.586287313432836</v>
      </c>
      <c r="V394" s="1302">
        <f t="shared" si="2310"/>
        <v>0.580045987887964</v>
      </c>
      <c r="W394" s="1302">
        <f t="shared" si="2310"/>
        <v>0.582743988684583</v>
      </c>
      <c r="X394" s="1302">
        <f t="shared" si="2310"/>
        <v>0.584879145587409</v>
      </c>
      <c r="Y394" s="1302">
        <f t="shared" si="2310"/>
        <v>0.580615556882651</v>
      </c>
      <c r="Z394" s="1302">
        <f t="shared" si="2310"/>
        <v>0.581240768094535</v>
      </c>
      <c r="AA394" s="1302">
        <f t="shared" si="2310"/>
        <v>0.56875</v>
      </c>
      <c r="AB394" s="1302">
        <f t="shared" si="2310"/>
        <v>0.575586095392078</v>
      </c>
      <c r="AC394" s="1302">
        <f t="shared" si="2310"/>
        <v>0.577755240027045</v>
      </c>
      <c r="AD394" s="1302">
        <f t="shared" si="2310"/>
        <v>0.576397672653681</v>
      </c>
      <c r="AE394" s="1302">
        <f t="shared" si="2310"/>
        <v>0.597701149425287</v>
      </c>
      <c r="AF394" s="1302">
        <f t="shared" si="2310"/>
        <v>0.585798368036591</v>
      </c>
      <c r="AG394" s="1302">
        <f t="shared" si="2310"/>
        <v>0.580700514787524</v>
      </c>
      <c r="AH394" s="1302">
        <f t="shared" si="2310"/>
        <v>0.573215599705666</v>
      </c>
      <c r="AI394" s="1302">
        <f t="shared" si="2310"/>
        <v>0.537243150684931</v>
      </c>
      <c r="AJ394" s="1302">
        <f t="shared" si="2310"/>
        <v>0.556588840522358</v>
      </c>
      <c r="AK394" s="1302">
        <f t="shared" si="2310"/>
        <v>0.568253968253968</v>
      </c>
      <c r="AL394" s="1302">
        <f t="shared" si="2310"/>
        <v>0.561006270043049</v>
      </c>
      <c r="AM394" s="1302">
        <f t="shared" si="2310"/>
        <v>0.559832635983264</v>
      </c>
      <c r="AN394" s="1302">
        <f t="shared" si="2310"/>
        <v>0.564213564213564</v>
      </c>
      <c r="AO394" s="1302">
        <f t="shared" si="2310"/>
        <v>0.56074432311834</v>
      </c>
      <c r="AP394" s="1302">
        <f t="shared" si="2310"/>
        <v>0.580092287409361</v>
      </c>
      <c r="AQ394" s="1302">
        <f t="shared" si="2310"/>
        <v>0.548878205128205</v>
      </c>
      <c r="AR394" s="1302">
        <f t="shared" si="2310"/>
        <v>0.566003616636528</v>
      </c>
      <c r="AS394" s="1302">
        <f t="shared" si="2310"/>
        <v>0.565295169946333</v>
      </c>
      <c r="AT394" s="1302">
        <f t="shared" si="2310"/>
        <v>0.565736154885187</v>
      </c>
      <c r="AU394" s="1302">
        <f t="shared" si="2310"/>
        <v>0.569992821249103</v>
      </c>
      <c r="AV394" s="1302">
        <f t="shared" si="2310"/>
        <v>0.56742671009772</v>
      </c>
      <c r="AW394" s="1302">
        <f t="shared" si="2310"/>
        <v>0.56675235646958</v>
      </c>
      <c r="AX394" s="1303">
        <f t="shared" si="2310"/>
        <v>0.583440308087291</v>
      </c>
      <c r="AY394" s="1302">
        <f t="shared" si="2310"/>
        <v>0.548245614035088</v>
      </c>
      <c r="AZ394" s="1302">
        <f t="shared" si="2310"/>
        <v>0.566985645933014</v>
      </c>
      <c r="BA394" s="1302">
        <f t="shared" si="2310"/>
        <v>0.579888268156425</v>
      </c>
      <c r="BB394" s="1302">
        <f t="shared" si="2310"/>
        <v>0.566181127295757</v>
      </c>
      <c r="BC394" s="1302">
        <f t="shared" si="2310"/>
        <v>0.584020064493013</v>
      </c>
      <c r="BD394" s="1302">
        <f t="shared" si="2310"/>
        <v>0.581789638932496</v>
      </c>
      <c r="BE394" s="1304">
        <f t="shared" si="2310"/>
        <v>0.571648182716592</v>
      </c>
      <c r="BF394" s="1302">
        <f t="shared" si="2310"/>
        <v>0.582417582417582</v>
      </c>
      <c r="BG394" s="1302">
        <f t="shared" si="2310"/>
        <v>0.552273481579821</v>
      </c>
      <c r="BH394" s="1302">
        <f t="shared" si="2310"/>
        <v>0.56797583081571</v>
      </c>
      <c r="BI394" s="1302">
        <f t="shared" si="2310"/>
        <v>0.562433011789925</v>
      </c>
      <c r="BJ394" s="1302">
        <f t="shared" si="2310"/>
        <v>0.565911585670093</v>
      </c>
      <c r="BK394" s="1302">
        <f t="shared" si="2310"/>
        <v>0.57511581733951</v>
      </c>
      <c r="BL394" s="1302">
        <f t="shared" si="2310"/>
        <v>0.568107787977495</v>
      </c>
      <c r="BM394" s="1302">
        <f t="shared" si="2310"/>
        <v>0.568044161619259</v>
      </c>
      <c r="BN394" s="1303">
        <f t="shared" si="2310"/>
        <v>0.575194727381666</v>
      </c>
      <c r="BO394" s="1302">
        <f t="shared" ref="BO394:CH394" si="2311">BO392/BO$388</f>
        <v>0.552442528735632</v>
      </c>
      <c r="BP394" s="1302">
        <f t="shared" si="2311"/>
        <v>0.56484808885985</v>
      </c>
      <c r="BQ394" s="1302">
        <f t="shared" si="2311"/>
        <v>0.549379384781436</v>
      </c>
      <c r="BR394" s="1302">
        <f t="shared" si="2311"/>
        <v>0.559015059015059</v>
      </c>
      <c r="BS394" s="1302">
        <f t="shared" si="2311"/>
        <v>0.521418020679468</v>
      </c>
      <c r="BT394" s="1302">
        <f t="shared" si="2311"/>
        <v>0.537574056750857</v>
      </c>
      <c r="BU394" s="1304">
        <f t="shared" si="2311"/>
        <v>0.55089342693044</v>
      </c>
      <c r="BV394" s="1303">
        <f t="shared" si="2311"/>
        <v>0.530232558139535</v>
      </c>
      <c r="BW394" s="1302">
        <f t="shared" si="2311"/>
        <v>0.509635974304068</v>
      </c>
      <c r="BX394" s="1302">
        <f t="shared" si="2311"/>
        <v>0.520302821748107</v>
      </c>
      <c r="BY394" s="1302">
        <f t="shared" si="2311"/>
        <v>0.516496018202503</v>
      </c>
      <c r="BZ394" s="1302">
        <f t="shared" si="2311"/>
        <v>0.518867924528302</v>
      </c>
      <c r="CA394" s="1302">
        <f t="shared" si="2311"/>
        <v>0.523411371237458</v>
      </c>
      <c r="CB394" s="1302">
        <f t="shared" si="2311"/>
        <v>0.452908178328905</v>
      </c>
      <c r="CC394" s="1304">
        <f t="shared" si="2311"/>
        <v>0.519795221843003</v>
      </c>
      <c r="CD394" s="1303">
        <f t="shared" si="2311"/>
        <v>0.519426180514047</v>
      </c>
      <c r="CE394" s="1302">
        <f t="shared" si="2311"/>
        <v>0.509894459102902</v>
      </c>
      <c r="CF394" s="1302">
        <f t="shared" si="2311"/>
        <v>0.514894951395422</v>
      </c>
      <c r="CG394" s="1302">
        <f t="shared" si="2311"/>
        <v>0.514553014553014</v>
      </c>
      <c r="CH394" s="1302">
        <f t="shared" si="2311"/>
        <v>0.514766282026208</v>
      </c>
      <c r="CI394" s="1302">
        <f t="shared" ref="CI394:CT394" si="2312">CI392/CI$388</f>
        <v>0.529257067718606</v>
      </c>
      <c r="CJ394" s="1302">
        <f t="shared" si="2312"/>
        <v>0.521044992743106</v>
      </c>
      <c r="CK394" s="1304">
        <f t="shared" si="2312"/>
        <v>0.51808863430811</v>
      </c>
      <c r="CL394" s="1303">
        <v>0.549816998779992</v>
      </c>
      <c r="CM394" s="1302">
        <f t="shared" si="2312"/>
        <v>0.553542009884679</v>
      </c>
      <c r="CN394" s="1302">
        <f t="shared" si="2312"/>
        <v>0.551667689789237</v>
      </c>
      <c r="CO394" s="1302">
        <f t="shared" si="2312"/>
        <v>0.550016954899966</v>
      </c>
      <c r="CP394" s="1302">
        <f t="shared" si="2312"/>
        <v>0.551046452271567</v>
      </c>
      <c r="CQ394" s="1302">
        <f t="shared" si="2312"/>
        <v>0.565391459074733</v>
      </c>
      <c r="CR394" s="1302">
        <f t="shared" si="2312"/>
        <v>0.556665603816191</v>
      </c>
      <c r="CS394" s="1304">
        <f t="shared" si="2312"/>
        <v>0.554244347481158</v>
      </c>
      <c r="CT394" s="1303">
        <f t="shared" si="2312"/>
        <v>0.531914893617021</v>
      </c>
      <c r="CU394" s="1302">
        <f t="shared" ref="CU394:DI394" si="2313">CU392/CU388</f>
        <v>0.525833333333333</v>
      </c>
      <c r="CV394" s="1302">
        <f t="shared" si="2313"/>
        <v>0.528959092750101</v>
      </c>
      <c r="CW394" s="1302">
        <f t="shared" si="2313"/>
        <v>0.514110846650799</v>
      </c>
      <c r="CX394" s="1302">
        <f t="shared" si="2313"/>
        <v>0.523416677243305</v>
      </c>
      <c r="CY394" s="1302">
        <f t="shared" si="2313"/>
        <v>0.53410500206697</v>
      </c>
      <c r="CZ394" s="1302">
        <f t="shared" si="2313"/>
        <v>0.523134328358209</v>
      </c>
      <c r="DA394" s="1304">
        <f t="shared" si="2313"/>
        <v>0.525927364536803</v>
      </c>
      <c r="DB394" s="1275">
        <f t="shared" si="2313"/>
        <v>0.510141599693839</v>
      </c>
      <c r="DC394" s="1094">
        <f t="shared" si="2313"/>
        <v>0.500397772474145</v>
      </c>
      <c r="DD394" s="1094">
        <f t="shared" si="2313"/>
        <v>0.505168714647942</v>
      </c>
      <c r="DE394" s="1094">
        <f t="shared" si="2313"/>
        <v>0.510555375121793</v>
      </c>
      <c r="DF394" s="1094">
        <f t="shared" si="2313"/>
        <v>0.507311723129418</v>
      </c>
      <c r="DG394" s="1094">
        <f t="shared" si="2313"/>
        <v>0.559782608695652</v>
      </c>
      <c r="DH394" s="1094">
        <f t="shared" si="2313"/>
        <v>0.540053050397878</v>
      </c>
      <c r="DI394" s="1093">
        <f t="shared" si="2313"/>
        <v>0.474453148814662</v>
      </c>
      <c r="DJ394" s="1094">
        <f t="shared" ref="DJ394:DQ394" si="2314">DJ392/DJ388</f>
        <v>0.548</v>
      </c>
      <c r="DK394" s="1094">
        <f t="shared" si="2314"/>
        <v>0.55</v>
      </c>
      <c r="DL394" s="1094">
        <f t="shared" si="2314"/>
        <v>0.548976162097735</v>
      </c>
      <c r="DM394" s="1094">
        <f t="shared" si="2314"/>
        <v>0.547</v>
      </c>
      <c r="DN394" s="1094">
        <f t="shared" si="2314"/>
        <v>0.548312760318061</v>
      </c>
      <c r="DO394" s="1094">
        <f t="shared" si="2314"/>
        <v>0.538</v>
      </c>
      <c r="DP394" s="1094">
        <f t="shared" si="2314"/>
        <v>0.542434001123385</v>
      </c>
      <c r="DQ394" s="1093">
        <f t="shared" si="2314"/>
        <v>0.546093825257682</v>
      </c>
      <c r="DR394" s="1094">
        <f t="shared" ref="DR394:DY394" si="2315">DR392/DR388</f>
        <v>0.514</v>
      </c>
      <c r="DS394" s="1094">
        <f t="shared" si="2315"/>
        <v>0.511</v>
      </c>
      <c r="DT394" s="1094">
        <f t="shared" si="2315"/>
        <v>0.512</v>
      </c>
      <c r="DU394" s="1094">
        <f t="shared" si="2315"/>
        <v>0.527</v>
      </c>
      <c r="DV394" s="1094">
        <f t="shared" si="2315"/>
        <v>0.518</v>
      </c>
      <c r="DW394" s="1094">
        <f t="shared" si="2315"/>
        <v>0.535455661664393</v>
      </c>
      <c r="DX394" s="1094">
        <f t="shared" si="2315"/>
        <v>0.530925</v>
      </c>
      <c r="DY394" s="1093">
        <f t="shared" si="2315"/>
        <v>0.52210175145955</v>
      </c>
      <c r="DZ394" s="1094">
        <f t="shared" ref="DZ394:EG394" si="2316">DZ392/DZ388</f>
        <v>0.515</v>
      </c>
      <c r="EA394" s="1094">
        <f t="shared" si="2316"/>
        <v>0.508485639686684</v>
      </c>
      <c r="EB394" s="1094">
        <f t="shared" si="2316"/>
        <v>0.511850244595234</v>
      </c>
      <c r="EC394" s="1094">
        <f t="shared" si="2316"/>
        <v>0.529380341880342</v>
      </c>
      <c r="ED394" s="1094">
        <f t="shared" si="2316"/>
        <v>0.518360777700625</v>
      </c>
      <c r="EE394" s="1094">
        <f t="shared" si="2316"/>
        <v>0.543967911138537</v>
      </c>
      <c r="EF394" s="1094">
        <f t="shared" si="2316"/>
        <v>0.534632068718683</v>
      </c>
      <c r="EG394" s="1093">
        <f t="shared" si="2316"/>
        <v>0.523795225942051</v>
      </c>
      <c r="EH394" s="1094">
        <f t="shared" ref="EH394:EO394" si="2317">EH392/EH388</f>
        <v>0.522489539748954</v>
      </c>
      <c r="EI394" s="1094">
        <f t="shared" si="2317"/>
        <v>0.517486494171169</v>
      </c>
      <c r="EJ394" s="1094">
        <f t="shared" si="2317"/>
        <v>0.520092630431821</v>
      </c>
      <c r="EK394" s="1094">
        <f t="shared" si="2317"/>
        <v>0.526000479271507</v>
      </c>
      <c r="EL394" s="1094">
        <f t="shared" si="2317"/>
        <v>0.522233802327601</v>
      </c>
      <c r="EM394" s="1094">
        <f t="shared" si="2317"/>
        <v>0.524191154645295</v>
      </c>
      <c r="EN394" s="1094">
        <f t="shared" si="2317"/>
        <v>0.525192256695837</v>
      </c>
      <c r="EO394" s="1093">
        <f t="shared" si="2317"/>
        <v>0.522676879661359</v>
      </c>
      <c r="EP394" s="1094">
        <f>EP392/EP$388</f>
        <v>0.498533724340176</v>
      </c>
      <c r="EQ394" s="1094">
        <f t="shared" ref="EQ394:EY394" si="2318">EQ392/EQ$388</f>
        <v>0.499261010937038</v>
      </c>
      <c r="ER394" s="1094">
        <f t="shared" si="2318"/>
        <v>0.49887860947575</v>
      </c>
      <c r="ES394" s="1094">
        <f t="shared" si="2318"/>
        <v>0.506831657643723</v>
      </c>
      <c r="ET394" s="1094">
        <f t="shared" si="2318"/>
        <v>0.501679832924725</v>
      </c>
      <c r="EU394" s="1094">
        <f t="shared" si="2318"/>
        <v>0.525150905432596</v>
      </c>
      <c r="EV394" s="1094">
        <f t="shared" si="2318"/>
        <v>0.51549334058168</v>
      </c>
      <c r="EW394" s="1093">
        <f t="shared" si="2318"/>
        <v>0.507314380347778</v>
      </c>
      <c r="EX394" s="1094">
        <f t="shared" si="2318"/>
        <v>0.508187302499282</v>
      </c>
      <c r="EY394" s="1094">
        <f t="shared" si="2318"/>
        <v>0.507651559741024</v>
      </c>
      <c r="EZ394" s="1094">
        <f t="shared" ref="EZ394:FG394" si="2319">EZ392/EZ$388</f>
        <v>0.507922663177787</v>
      </c>
      <c r="FA394" s="1094">
        <f t="shared" si="2319"/>
        <v>0.525717111770524</v>
      </c>
      <c r="FB394" s="1094">
        <f t="shared" si="2319"/>
        <v>0.514510665568067</v>
      </c>
      <c r="FC394" s="1094">
        <f t="shared" si="2319"/>
        <v>0.550969529085873</v>
      </c>
      <c r="FD394" s="1094">
        <f t="shared" si="2319"/>
        <v>0.537627384374183</v>
      </c>
      <c r="FE394" s="1093">
        <f t="shared" si="2319"/>
        <v>0.523567054290236</v>
      </c>
      <c r="FF394" s="1094">
        <f t="shared" si="2319"/>
        <v>0.508204751408278</v>
      </c>
      <c r="FG394" s="1094">
        <f t="shared" si="2319"/>
        <v>0.516508830304582</v>
      </c>
      <c r="FH394" s="1094">
        <f t="shared" ref="FH394:FN394" si="2320">FH392/FH$388</f>
        <v>0.512265331664581</v>
      </c>
      <c r="FI394" s="1094">
        <f t="shared" si="2320"/>
        <v>0.515661130964894</v>
      </c>
      <c r="FJ394" s="1094">
        <f t="shared" si="2320"/>
        <v>0.513532595904919</v>
      </c>
      <c r="FK394" s="1094">
        <f t="shared" si="2320"/>
        <v>0.528071017274472</v>
      </c>
      <c r="FL394" s="1094">
        <f t="shared" si="2320"/>
        <v>0.521456582633053</v>
      </c>
      <c r="FM394" s="1093">
        <f t="shared" si="2320"/>
        <v>0.517114986698197</v>
      </c>
      <c r="FN394" s="1094">
        <f t="shared" si="2320"/>
        <v>0.505556720486475</v>
      </c>
      <c r="FO394" s="1094">
        <f t="shared" ref="FO394:FT394" si="2321">FO392/FO$388</f>
        <v>0.511869771648203</v>
      </c>
      <c r="FP394" s="1094">
        <f t="shared" si="2321"/>
        <v>0.508594429939077</v>
      </c>
      <c r="FQ394" s="1094">
        <f t="shared" si="2321"/>
        <v>0.524390243902439</v>
      </c>
      <c r="FR394" s="1094">
        <f t="shared" si="2321"/>
        <v>0.514448096411942</v>
      </c>
      <c r="FS394" s="1094">
        <f t="shared" si="2321"/>
        <v>0.511737089201878</v>
      </c>
      <c r="FT394" s="1094">
        <f t="shared" si="2321"/>
        <v>0.518518518518518</v>
      </c>
      <c r="FU394" s="1094">
        <f t="shared" ref="FU394:GF394" si="2322">FU392/FU$388</f>
        <v>0.513789528252981</v>
      </c>
      <c r="FV394" s="1086">
        <f t="shared" si="2322"/>
        <v>0.503856041131105</v>
      </c>
      <c r="FW394" s="1094">
        <f t="shared" si="2322"/>
        <v>0.498809051210798</v>
      </c>
      <c r="FX394" s="1094">
        <f t="shared" si="2322"/>
        <v>0.501430751621519</v>
      </c>
      <c r="FY394" s="1094">
        <f t="shared" si="2322"/>
        <v>0.495597041211694</v>
      </c>
      <c r="FZ394" s="1094">
        <f t="shared" si="2322"/>
        <v>0.499381264694963</v>
      </c>
      <c r="GA394" s="1094">
        <f t="shared" si="2322"/>
        <v>0.483386075949367</v>
      </c>
      <c r="GB394" s="1094">
        <f t="shared" si="2322"/>
        <v>0.489845351220421</v>
      </c>
      <c r="GC394" s="1093">
        <f t="shared" si="2322"/>
        <v>0.495569799227071</v>
      </c>
      <c r="GD394" s="1087">
        <f t="shared" si="2322"/>
        <v>0.489005046863735</v>
      </c>
      <c r="GE394" s="1094">
        <f t="shared" si="2322"/>
        <v>0.477095609199772</v>
      </c>
      <c r="GF394" s="1094">
        <f t="shared" si="2322"/>
        <v>0.483208437413267</v>
      </c>
      <c r="GG394" s="1094">
        <f t="shared" ref="GG394:GN394" si="2323">GG392/GG$388</f>
        <v>0.481695896475396</v>
      </c>
      <c r="GH394" s="1094">
        <f t="shared" si="2323"/>
        <v>0.482675938136914</v>
      </c>
      <c r="GI394" s="1094">
        <f t="shared" si="2323"/>
        <v>0.477737435505446</v>
      </c>
      <c r="GJ394" s="1094">
        <f t="shared" si="2323"/>
        <v>0.479830722132181</v>
      </c>
      <c r="GK394" s="1093">
        <f t="shared" si="2323"/>
        <v>0.481496691763632</v>
      </c>
      <c r="GL394" s="1087">
        <f t="shared" si="2323"/>
        <v>0.464388917219106</v>
      </c>
      <c r="GM394" s="1087">
        <f t="shared" si="2323"/>
        <v>0.465420221455799</v>
      </c>
      <c r="GN394" s="1094">
        <f t="shared" si="2323"/>
        <v>0.464887640449438</v>
      </c>
      <c r="GO394" s="1094">
        <f t="shared" ref="GO394:GV394" si="2324">GO392/GO$388</f>
        <v>0.479095163806552</v>
      </c>
      <c r="GP394" s="1094">
        <f t="shared" si="2324"/>
        <v>0.470003370407819</v>
      </c>
      <c r="GQ394" s="1094">
        <f t="shared" si="2324"/>
        <v>0.510532625449563</v>
      </c>
      <c r="GR394" s="1094">
        <f t="shared" si="2324"/>
        <v>0.49408114948159</v>
      </c>
      <c r="GS394" s="1093">
        <f t="shared" si="2324"/>
        <v>0.480013535806438</v>
      </c>
      <c r="GT394" s="1087">
        <f t="shared" si="2324"/>
        <v>0.506627393225332</v>
      </c>
      <c r="GU394" s="1087">
        <f t="shared" si="2324"/>
        <v>0.489751294274065</v>
      </c>
      <c r="GV394" s="1094">
        <f t="shared" si="2324"/>
        <v>0.499378694272573</v>
      </c>
      <c r="GW394" s="1094">
        <f t="shared" ref="GW394:HD394" si="2325">GW392/GW$388</f>
        <v>0.499691666546508</v>
      </c>
      <c r="GX394" s="1094">
        <f t="shared" si="2325"/>
        <v>0.499509267262681</v>
      </c>
      <c r="GY394" s="1094">
        <f t="shared" si="2325"/>
        <v>0.513340859126418</v>
      </c>
      <c r="GZ394" s="1094">
        <f t="shared" si="2325"/>
        <v>0.50626948287635</v>
      </c>
      <c r="HA394" s="1093">
        <f t="shared" si="2325"/>
        <v>0.503376335416247</v>
      </c>
      <c r="HB394" s="1087">
        <f t="shared" si="2325"/>
        <v>0.481776765375854</v>
      </c>
      <c r="HC394" s="1087">
        <f t="shared" si="2325"/>
        <v>0.48158361236951</v>
      </c>
      <c r="HD394" s="1094">
        <f t="shared" si="2325"/>
        <v>0.481681971967134</v>
      </c>
      <c r="HE394" s="1094">
        <f t="shared" ref="HE394:HL394" si="2326">HE392/HE$388</f>
        <v>0.498609179415856</v>
      </c>
      <c r="HF394" s="1094">
        <f t="shared" si="2326"/>
        <v>0.487730633037212</v>
      </c>
      <c r="HG394" s="1094">
        <f t="shared" si="2326"/>
        <v>0.509635974304068</v>
      </c>
      <c r="HH394" s="1094">
        <f t="shared" si="2326"/>
        <v>0.503811185600147</v>
      </c>
      <c r="HI394" s="1093">
        <f t="shared" si="2326"/>
        <v>0.493030046152397</v>
      </c>
      <c r="HJ394" s="1087">
        <f t="shared" si="2326"/>
        <v>0.500565824217276</v>
      </c>
      <c r="HK394" s="1087">
        <f t="shared" si="2326"/>
        <v>0.497051992138646</v>
      </c>
      <c r="HL394" s="1094">
        <f t="shared" si="2326"/>
        <v>0.498761354252684</v>
      </c>
      <c r="HM394" s="1094">
        <f t="shared" ref="HM394:HT394" si="2327">HM392/HM$388</f>
        <v>0.509051186017478</v>
      </c>
      <c r="HN394" s="1094">
        <f t="shared" si="2327"/>
        <v>0.50257121395967</v>
      </c>
      <c r="HO394" s="1094">
        <f t="shared" si="2327"/>
        <v>0.608954650269024</v>
      </c>
      <c r="HP394" s="1094">
        <f t="shared" si="2327"/>
        <v>0.558274362690766</v>
      </c>
      <c r="HQ394" s="1093">
        <f t="shared" si="2327"/>
        <v>0.527164497356848</v>
      </c>
      <c r="HR394" s="1087">
        <f t="shared" si="2327"/>
        <v>0.551952976867653</v>
      </c>
      <c r="HS394" s="1087">
        <f t="shared" si="2327"/>
        <v>0.514667206150112</v>
      </c>
      <c r="HT394" s="1094">
        <f t="shared" si="2327"/>
        <v>0.532724953390247</v>
      </c>
      <c r="HU394" s="1094">
        <f t="shared" ref="HU394:IB394" si="2328">HU392/HU$388</f>
        <v>0.526464861037352</v>
      </c>
      <c r="HV394" s="1094">
        <f t="shared" si="2328"/>
        <v>0.529839423441649</v>
      </c>
      <c r="HW394" s="1094">
        <f t="shared" si="2328"/>
        <v>0.553823773898587</v>
      </c>
      <c r="HX394" s="1094">
        <f t="shared" si="2328"/>
        <v>0.539049804034031</v>
      </c>
      <c r="HY394" s="1093">
        <f t="shared" si="2328"/>
        <v>0.536512235225844</v>
      </c>
      <c r="HZ394" s="1087">
        <f t="shared" si="2328"/>
        <v>0.495</v>
      </c>
      <c r="IA394" s="1087">
        <f t="shared" si="2328"/>
        <v>0.494667206150112</v>
      </c>
      <c r="IB394" s="1094">
        <f t="shared" si="2328"/>
        <v>0.494828822779133</v>
      </c>
      <c r="IC394" s="1094">
        <f t="shared" ref="IC394:IJ394" si="2329">IC392/IC$388</f>
        <v>0.490464861037352</v>
      </c>
      <c r="ID394" s="1094">
        <f t="shared" si="2329"/>
        <v>0.492415334663181</v>
      </c>
      <c r="IE394" s="1094">
        <f t="shared" si="2329"/>
        <v>0.500142568435306</v>
      </c>
      <c r="IF394" s="1094">
        <f t="shared" si="2329"/>
        <v>0.49548806597507</v>
      </c>
      <c r="IG394" s="1093">
        <f t="shared" si="2329"/>
        <v>0.495</v>
      </c>
      <c r="IH394" s="1087">
        <f t="shared" si="2329"/>
        <v>0.479115878433285</v>
      </c>
      <c r="II394" s="1087">
        <f t="shared" si="2329"/>
        <v>0.483030913978495</v>
      </c>
      <c r="IJ394" s="1094">
        <f t="shared" si="2329"/>
        <v>0.481040892193309</v>
      </c>
      <c r="IK394" s="1094">
        <f t="shared" ref="IK394:IR394" si="2330">IK392/IK$388</f>
        <v>0.481900452488688</v>
      </c>
      <c r="IL394" s="1094">
        <f t="shared" si="2330"/>
        <v>0.480568771048271</v>
      </c>
      <c r="IM394" s="1094">
        <f t="shared" si="2330"/>
        <v>0.491770901909151</v>
      </c>
      <c r="IN394" s="1094">
        <f t="shared" si="2330"/>
        <v>0.484714432419622</v>
      </c>
      <c r="IO394" s="1093">
        <f t="shared" si="2330"/>
        <v>0.483898270928217</v>
      </c>
      <c r="IP394" s="1087">
        <f t="shared" si="2330"/>
        <v>0.488925970873786</v>
      </c>
      <c r="IQ394" s="1087">
        <f t="shared" si="2330"/>
        <v>0.475011122645707</v>
      </c>
      <c r="IR394" s="1094">
        <f t="shared" si="2330"/>
        <v>0.481889763779527</v>
      </c>
      <c r="IS394" s="1094">
        <f t="shared" ref="IS394:IW394" si="2331">IS392/IS$388</f>
        <v>0.481900452488688</v>
      </c>
      <c r="IT394" s="1094">
        <f t="shared" si="2331"/>
        <v>0.481893539077718</v>
      </c>
      <c r="IU394" s="1094">
        <f t="shared" si="2331"/>
        <v>0.490665062111727</v>
      </c>
      <c r="IV394" s="1094">
        <f t="shared" si="2331"/>
        <v>0.486039436179325</v>
      </c>
      <c r="IW394" s="1093">
        <f t="shared" si="2331"/>
        <v>0.484</v>
      </c>
      <c r="IX394" s="1087"/>
      <c r="IY394" s="1037"/>
      <c r="IZ394" s="1037"/>
      <c r="JA394" s="1037"/>
      <c r="JB394" s="1037"/>
      <c r="JC394" s="1037"/>
      <c r="JD394" s="1037"/>
      <c r="JE394" s="1041"/>
      <c r="JF394" s="1037"/>
      <c r="JG394" s="1037"/>
      <c r="JH394" s="1037"/>
      <c r="JI394" s="1035"/>
      <c r="JJ394" s="1035"/>
      <c r="JK394" s="1035"/>
      <c r="JL394" s="1035"/>
      <c r="JM394" s="1035"/>
      <c r="JN394" s="1035"/>
      <c r="JO394" s="1035"/>
      <c r="JP394" s="1035"/>
      <c r="JQ394" s="1035"/>
      <c r="JR394" s="1035"/>
      <c r="JS394" s="1035"/>
      <c r="JT394" s="1035"/>
      <c r="JU394" s="1035"/>
      <c r="JV394" s="1035"/>
      <c r="JW394" s="1035"/>
      <c r="JX394" s="1035"/>
      <c r="JY394" s="1035"/>
      <c r="KP394" s="967"/>
    </row>
    <row r="395" spans="1:334">
      <c r="A395" s="1254" t="s">
        <v>146</v>
      </c>
      <c r="B395" s="1292">
        <f t="shared" ref="B395:BM395" si="2332">B388-B392</f>
        <v>388.138</v>
      </c>
      <c r="C395" s="1292">
        <f t="shared" si="2332"/>
        <v>296.915</v>
      </c>
      <c r="D395" s="1292">
        <f t="shared" si="2332"/>
        <v>685.053</v>
      </c>
      <c r="E395" s="1292">
        <f t="shared" si="2332"/>
        <v>446.281</v>
      </c>
      <c r="F395" s="1292">
        <f t="shared" si="2332"/>
        <v>1131.334</v>
      </c>
      <c r="G395" s="1292">
        <f t="shared" si="2332"/>
        <v>260.792</v>
      </c>
      <c r="H395" s="1292">
        <f t="shared" si="2332"/>
        <v>-150.6911</v>
      </c>
      <c r="I395" s="1292">
        <f t="shared" si="2332"/>
        <v>1392.126</v>
      </c>
      <c r="J395" s="1292">
        <f t="shared" si="2332"/>
        <v>253.45141</v>
      </c>
      <c r="K395" s="1292">
        <f t="shared" si="2332"/>
        <v>212.03611</v>
      </c>
      <c r="L395" s="1292">
        <f t="shared" si="2332"/>
        <v>465.48752</v>
      </c>
      <c r="M395" s="1292">
        <f t="shared" si="2332"/>
        <v>298.0879</v>
      </c>
      <c r="N395" s="1292">
        <f t="shared" si="2332"/>
        <v>763.57542</v>
      </c>
      <c r="O395" s="1292">
        <f t="shared" si="2332"/>
        <v>195.8279</v>
      </c>
      <c r="P395" s="1292">
        <f t="shared" si="2332"/>
        <v>494.17145</v>
      </c>
      <c r="Q395" s="1292">
        <f t="shared" si="2332"/>
        <v>959.40332</v>
      </c>
      <c r="R395" s="1292">
        <f t="shared" si="2332"/>
        <v>366.6021</v>
      </c>
      <c r="S395" s="1292">
        <f t="shared" si="2332"/>
        <v>314.4684181</v>
      </c>
      <c r="T395" s="1292">
        <f t="shared" si="2332"/>
        <v>681.0705181</v>
      </c>
      <c r="U395" s="1292">
        <f t="shared" si="2332"/>
        <v>453.5231</v>
      </c>
      <c r="V395" s="1292">
        <f t="shared" si="2332"/>
        <v>1134.5936181</v>
      </c>
      <c r="W395" s="1292">
        <f t="shared" si="2332"/>
        <v>301.667</v>
      </c>
      <c r="X395" s="1292">
        <f t="shared" si="2332"/>
        <v>755.1901</v>
      </c>
      <c r="Y395" s="1292">
        <f t="shared" si="2332"/>
        <v>1436.2606181</v>
      </c>
      <c r="Z395" s="1292">
        <f t="shared" si="2332"/>
        <v>579.8142</v>
      </c>
      <c r="AA395" s="1292">
        <f t="shared" si="2332"/>
        <v>493.9158</v>
      </c>
      <c r="AB395" s="1292">
        <f t="shared" si="2332"/>
        <v>1073.73</v>
      </c>
      <c r="AC395" s="1292">
        <f t="shared" si="2332"/>
        <v>638.6137</v>
      </c>
      <c r="AD395" s="1292">
        <f t="shared" si="2332"/>
        <v>1712.3437</v>
      </c>
      <c r="AE395" s="1292">
        <f t="shared" si="2332"/>
        <v>411.5965</v>
      </c>
      <c r="AF395" s="1292">
        <f t="shared" si="2332"/>
        <v>1050.2328</v>
      </c>
      <c r="AG395" s="1292">
        <f t="shared" si="2332"/>
        <v>2123.9402</v>
      </c>
      <c r="AH395" s="1292">
        <f t="shared" si="2332"/>
        <v>593.108</v>
      </c>
      <c r="AI395" s="1292">
        <f t="shared" si="2332"/>
        <v>552.7153</v>
      </c>
      <c r="AJ395" s="1292">
        <f t="shared" si="2332"/>
        <v>1145.8233</v>
      </c>
      <c r="AK395" s="1292">
        <f t="shared" si="2332"/>
        <v>680</v>
      </c>
      <c r="AL395" s="1292">
        <f t="shared" si="2332"/>
        <v>1825.8233</v>
      </c>
      <c r="AM395" s="1292">
        <f t="shared" si="2332"/>
        <v>526</v>
      </c>
      <c r="AN395" s="1292">
        <f t="shared" si="2332"/>
        <v>1208</v>
      </c>
      <c r="AO395" s="1292">
        <f t="shared" si="2332"/>
        <v>2351.8233</v>
      </c>
      <c r="AP395" s="1292">
        <f t="shared" si="2332"/>
        <v>637</v>
      </c>
      <c r="AQ395" s="1292">
        <f t="shared" si="2332"/>
        <v>563</v>
      </c>
      <c r="AR395" s="1292">
        <f t="shared" si="2332"/>
        <v>1200</v>
      </c>
      <c r="AS395" s="1292">
        <f t="shared" si="2332"/>
        <v>729</v>
      </c>
      <c r="AT395" s="1292">
        <f t="shared" si="2332"/>
        <v>1929</v>
      </c>
      <c r="AU395" s="1292">
        <f t="shared" si="2332"/>
        <v>599</v>
      </c>
      <c r="AV395" s="1292">
        <f t="shared" si="2332"/>
        <v>1328</v>
      </c>
      <c r="AW395" s="1292">
        <f t="shared" si="2332"/>
        <v>2528</v>
      </c>
      <c r="AX395" s="1293">
        <f t="shared" si="2332"/>
        <v>649</v>
      </c>
      <c r="AY395" s="1292">
        <f t="shared" si="2332"/>
        <v>618</v>
      </c>
      <c r="AZ395" s="1292">
        <f t="shared" si="2332"/>
        <v>1267</v>
      </c>
      <c r="BA395" s="1292">
        <f t="shared" si="2332"/>
        <v>752</v>
      </c>
      <c r="BB395" s="1292">
        <f t="shared" si="2332"/>
        <v>1370</v>
      </c>
      <c r="BC395" s="1292">
        <f t="shared" si="2332"/>
        <v>580.5</v>
      </c>
      <c r="BD395" s="1292">
        <f t="shared" si="2332"/>
        <v>1332</v>
      </c>
      <c r="BE395" s="1294">
        <f t="shared" si="2332"/>
        <v>1950.5</v>
      </c>
      <c r="BF395" s="1292">
        <f t="shared" si="2332"/>
        <v>684</v>
      </c>
      <c r="BG395" s="1292">
        <f t="shared" si="2332"/>
        <v>674.5</v>
      </c>
      <c r="BH395" s="1292">
        <f t="shared" si="2332"/>
        <v>1358.5</v>
      </c>
      <c r="BI395" s="1292">
        <f t="shared" si="2332"/>
        <v>816.5</v>
      </c>
      <c r="BJ395" s="1292">
        <f t="shared" si="2332"/>
        <v>2175</v>
      </c>
      <c r="BK395" s="1292">
        <f t="shared" si="2332"/>
        <v>642</v>
      </c>
      <c r="BL395" s="1292">
        <f t="shared" si="2332"/>
        <v>1458.5</v>
      </c>
      <c r="BM395" s="1292">
        <f t="shared" si="2332"/>
        <v>2817</v>
      </c>
      <c r="BN395" s="1293">
        <f t="shared" ref="BN395:CJ395" si="2333">BN388-BN392</f>
        <v>709</v>
      </c>
      <c r="BO395" s="1292">
        <f t="shared" si="2333"/>
        <v>623</v>
      </c>
      <c r="BP395" s="1292">
        <f t="shared" si="2333"/>
        <v>1332</v>
      </c>
      <c r="BQ395" s="1292">
        <f t="shared" si="2333"/>
        <v>835</v>
      </c>
      <c r="BR395" s="1292">
        <f t="shared" si="2333"/>
        <v>2167</v>
      </c>
      <c r="BS395" s="1292">
        <f t="shared" si="2333"/>
        <v>648</v>
      </c>
      <c r="BT395" s="1292">
        <f t="shared" si="2333"/>
        <v>1483</v>
      </c>
      <c r="BU395" s="1294">
        <f t="shared" si="2333"/>
        <v>2815</v>
      </c>
      <c r="BV395" s="1293">
        <f t="shared" si="2333"/>
        <v>707</v>
      </c>
      <c r="BW395" s="1292">
        <f t="shared" si="2333"/>
        <v>687</v>
      </c>
      <c r="BX395" s="1292">
        <f t="shared" si="2333"/>
        <v>1394</v>
      </c>
      <c r="BY395" s="1292">
        <f t="shared" si="2333"/>
        <v>850</v>
      </c>
      <c r="BZ395" s="1292">
        <f t="shared" si="2333"/>
        <v>2244</v>
      </c>
      <c r="CA395" s="1292">
        <f t="shared" si="2333"/>
        <v>570</v>
      </c>
      <c r="CB395" s="1292">
        <f t="shared" si="2333"/>
        <v>1853</v>
      </c>
      <c r="CC395" s="1294">
        <f t="shared" si="2333"/>
        <v>2814</v>
      </c>
      <c r="CD395" s="1293">
        <f t="shared" si="2333"/>
        <v>804</v>
      </c>
      <c r="CE395" s="1292">
        <f t="shared" si="2333"/>
        <v>743</v>
      </c>
      <c r="CF395" s="1292">
        <f t="shared" si="2333"/>
        <v>1547</v>
      </c>
      <c r="CG395" s="1292">
        <f t="shared" si="2333"/>
        <v>934</v>
      </c>
      <c r="CH395" s="1292">
        <f t="shared" si="2333"/>
        <v>2481</v>
      </c>
      <c r="CI395" s="1292">
        <f t="shared" si="2333"/>
        <v>716</v>
      </c>
      <c r="CJ395" s="1292">
        <f t="shared" si="2333"/>
        <v>1650</v>
      </c>
      <c r="CK395" s="1294">
        <f t="shared" ref="CK395:CS395" si="2334">CK388-CK392</f>
        <v>3197</v>
      </c>
      <c r="CL395" s="1293">
        <v>1107</v>
      </c>
      <c r="CM395" s="1292">
        <f t="shared" si="2334"/>
        <v>1084</v>
      </c>
      <c r="CN395" s="1292">
        <f t="shared" si="2334"/>
        <v>2191</v>
      </c>
      <c r="CO395" s="1292">
        <f>CP395-CN395</f>
        <v>1327</v>
      </c>
      <c r="CP395" s="1292">
        <f t="shared" si="2334"/>
        <v>3518</v>
      </c>
      <c r="CQ395" s="1292">
        <f t="shared" si="2334"/>
        <v>977</v>
      </c>
      <c r="CR395" s="1292">
        <f t="shared" si="2334"/>
        <v>2304.01591075</v>
      </c>
      <c r="CS395" s="1294">
        <f t="shared" si="2334"/>
        <v>4495</v>
      </c>
      <c r="CT395" s="1293">
        <v>1188</v>
      </c>
      <c r="CU395" s="1292">
        <v>1138</v>
      </c>
      <c r="CV395" s="1292">
        <f>+CT395+CU395</f>
        <v>2326</v>
      </c>
      <c r="CW395" s="1292">
        <f>CX395-CV395</f>
        <v>1429</v>
      </c>
      <c r="CX395" s="1292">
        <v>3755</v>
      </c>
      <c r="CY395" s="1292">
        <f>DA395-CX395</f>
        <v>1127</v>
      </c>
      <c r="CZ395" s="1292">
        <f>CY395+CW395</f>
        <v>2556</v>
      </c>
      <c r="DA395" s="1294">
        <v>4882</v>
      </c>
      <c r="DB395" s="1315">
        <f t="shared" ref="DB395:DI395" si="2335">DB45</f>
        <v>1227</v>
      </c>
      <c r="DC395" s="1316">
        <f t="shared" si="2335"/>
        <v>1170</v>
      </c>
      <c r="DD395" s="1316">
        <f t="shared" si="2335"/>
        <v>2397</v>
      </c>
      <c r="DE395" s="1316">
        <f t="shared" si="2335"/>
        <v>1467</v>
      </c>
      <c r="DF395" s="1316">
        <f t="shared" si="2335"/>
        <v>3864</v>
      </c>
      <c r="DG395" s="1316">
        <f t="shared" si="2335"/>
        <v>1134</v>
      </c>
      <c r="DH395" s="1316">
        <f t="shared" si="2335"/>
        <v>2601</v>
      </c>
      <c r="DI395" s="1317">
        <f t="shared" si="2335"/>
        <v>4999</v>
      </c>
      <c r="DJ395" s="1316">
        <f>DJ397*DJ388</f>
        <v>1164.804</v>
      </c>
      <c r="DK395" s="1316">
        <f>DK397*DK388</f>
        <v>1105.65</v>
      </c>
      <c r="DL395" s="1316">
        <f>DJ395+DK395</f>
        <v>2270.454</v>
      </c>
      <c r="DM395" s="1316">
        <f>DM397*DM388</f>
        <v>1308.264</v>
      </c>
      <c r="DN395" s="1316">
        <f>DL395+DM395</f>
        <v>3578.718</v>
      </c>
      <c r="DO395" s="1316">
        <f>DO397*DO388</f>
        <v>1135.596</v>
      </c>
      <c r="DP395" s="1316">
        <f>DM395+DO395</f>
        <v>2443.86</v>
      </c>
      <c r="DQ395" s="1317">
        <f>'Profit and Loss'!P333</f>
        <v>4712</v>
      </c>
      <c r="DR395" s="1316">
        <f>DR397*DR388</f>
        <v>1299.564</v>
      </c>
      <c r="DS395" s="1316">
        <f>DS397*DS388</f>
        <v>1426.413</v>
      </c>
      <c r="DT395" s="1316">
        <f>DT397*DT388</f>
        <v>2727.92</v>
      </c>
      <c r="DU395" s="1316">
        <f>DU397*DU388</f>
        <v>1640.364</v>
      </c>
      <c r="DV395" s="1316">
        <f>DV397*DV388</f>
        <v>4365.956</v>
      </c>
      <c r="DW395" s="1316">
        <f>DY395-DV395</f>
        <v>1362.044</v>
      </c>
      <c r="DX395" s="1316">
        <f>DW395+DU395</f>
        <v>3002.408</v>
      </c>
      <c r="DY395" s="1317">
        <f>DY45</f>
        <v>5728</v>
      </c>
      <c r="DZ395" s="1316">
        <f>DZ397*DZ388</f>
        <v>1587.405</v>
      </c>
      <c r="EA395" s="1316">
        <f>EA388-EA392</f>
        <v>1506</v>
      </c>
      <c r="EB395" s="1316">
        <f>DZ395+EA395</f>
        <v>3093.405</v>
      </c>
      <c r="EC395" s="1316">
        <f>EC388-EC392</f>
        <v>1762</v>
      </c>
      <c r="ED395" s="1316">
        <f>EB395+EC395</f>
        <v>4855.405</v>
      </c>
      <c r="EE395" s="1316">
        <v>1478</v>
      </c>
      <c r="EF395" s="1316">
        <f>+EG395-EB395</f>
        <v>3250.595</v>
      </c>
      <c r="EG395" s="1317">
        <v>6344</v>
      </c>
      <c r="EH395" s="1316">
        <v>1826</v>
      </c>
      <c r="EI395" s="1316">
        <v>1697</v>
      </c>
      <c r="EJ395" s="1316">
        <f>EH395+EI395</f>
        <v>3523</v>
      </c>
      <c r="EK395" s="1316">
        <f>EK388-EK392</f>
        <v>1978</v>
      </c>
      <c r="EL395" s="1316">
        <f>EJ395+EK395</f>
        <v>5501</v>
      </c>
      <c r="EM395" s="1316">
        <f>EM388-EM392</f>
        <v>1603</v>
      </c>
      <c r="EN395" s="1316">
        <f>EK395+EM395</f>
        <v>3581</v>
      </c>
      <c r="EO395" s="1317">
        <f>EH395+EI395+EK395+EM395</f>
        <v>7104</v>
      </c>
      <c r="EP395" s="1316">
        <v>1881</v>
      </c>
      <c r="EQ395" s="1316">
        <v>1694</v>
      </c>
      <c r="ER395" s="1316">
        <f>ER388-ER392</f>
        <v>3575</v>
      </c>
      <c r="ES395" s="1316">
        <v>1913</v>
      </c>
      <c r="ET395" s="1316">
        <f>ET388-ET392</f>
        <v>5488</v>
      </c>
      <c r="EU395" s="1316">
        <f>EU388-EU392</f>
        <v>1652</v>
      </c>
      <c r="EV395" s="1316">
        <f>EV388-EV392</f>
        <v>3565</v>
      </c>
      <c r="EW395" s="1317">
        <f>EW388-EW392</f>
        <v>7140</v>
      </c>
      <c r="EX395" s="1316">
        <v>1712</v>
      </c>
      <c r="EY395" s="1316">
        <v>1673</v>
      </c>
      <c r="EZ395" s="1316">
        <f>EX395+EY395</f>
        <v>3385</v>
      </c>
      <c r="FA395" s="1316">
        <v>1918</v>
      </c>
      <c r="FB395" s="1316">
        <f>EZ395+FA395</f>
        <v>5303</v>
      </c>
      <c r="FC395" s="1316">
        <f>FE395-FB395</f>
        <v>1621</v>
      </c>
      <c r="FD395" s="1316">
        <f>FA395+FC395</f>
        <v>3539</v>
      </c>
      <c r="FE395" s="1317">
        <f>'Profit and Loss'!U333</f>
        <v>6924</v>
      </c>
      <c r="FF395" s="1316">
        <v>2008</v>
      </c>
      <c r="FG395" s="1316">
        <v>1889</v>
      </c>
      <c r="FH395" s="1316">
        <f>FF395+FG395</f>
        <v>3897</v>
      </c>
      <c r="FI395" s="1316">
        <v>2304</v>
      </c>
      <c r="FJ395" s="1316">
        <f>FH395+FI395</f>
        <v>6201</v>
      </c>
      <c r="FK395" s="1316">
        <f>FM395-FJ395</f>
        <v>1967</v>
      </c>
      <c r="FL395" s="1316">
        <f>FI395+FK395</f>
        <v>4271</v>
      </c>
      <c r="FM395" s="1317">
        <f>'Profit and Loss'!V333</f>
        <v>8168</v>
      </c>
      <c r="FN395" s="1316">
        <v>2358</v>
      </c>
      <c r="FO395" s="1316">
        <v>2159</v>
      </c>
      <c r="FP395" s="1316">
        <f>FN395+FO395</f>
        <v>4517</v>
      </c>
      <c r="FQ395" s="1316">
        <v>2574</v>
      </c>
      <c r="FR395" s="1316">
        <f>FP395+FQ395</f>
        <v>7091</v>
      </c>
      <c r="FS395" s="1316">
        <f>FU395-FR395</f>
        <v>2288</v>
      </c>
      <c r="FT395" s="1316">
        <f>FQ395+FS395</f>
        <v>4862</v>
      </c>
      <c r="FU395" s="1316">
        <f>'Profit and Loss'!W333</f>
        <v>9379</v>
      </c>
      <c r="FV395" s="1296">
        <f>FX395-FW395</f>
        <v>2702</v>
      </c>
      <c r="FW395" s="1316">
        <v>2525</v>
      </c>
      <c r="FX395" s="1316">
        <v>5227</v>
      </c>
      <c r="FY395" s="1316">
        <f>FY397*FY388</f>
        <v>2864</v>
      </c>
      <c r="FZ395" s="1316">
        <f>FX395+FY395</f>
        <v>8091</v>
      </c>
      <c r="GA395" s="1316">
        <f>GA397*GA388</f>
        <v>2612</v>
      </c>
      <c r="GB395" s="1316">
        <f>FY395+GA395</f>
        <v>5476</v>
      </c>
      <c r="GC395" s="1317">
        <f>GB395+FX395</f>
        <v>10703</v>
      </c>
      <c r="GD395" s="1316">
        <f>GD397*GD388</f>
        <v>2835</v>
      </c>
      <c r="GE395" s="1316">
        <f>GE397*GE388</f>
        <v>2751</v>
      </c>
      <c r="GF395" s="1316">
        <f>GE395+GD395</f>
        <v>5586</v>
      </c>
      <c r="GG395" s="1316">
        <f>GG397*GG388</f>
        <v>3044</v>
      </c>
      <c r="GH395" s="1316">
        <f>GG395+GF395</f>
        <v>8630</v>
      </c>
      <c r="GI395" s="1316">
        <f>GI397*GI388</f>
        <v>2733</v>
      </c>
      <c r="GJ395" s="1316">
        <f>GG395+GI395</f>
        <v>5777</v>
      </c>
      <c r="GK395" s="1317">
        <f>GJ395+GF395</f>
        <v>11363</v>
      </c>
      <c r="GL395" s="1316">
        <f>GL397*GL388</f>
        <v>3151</v>
      </c>
      <c r="GM395" s="1316">
        <f>GM397*GM388</f>
        <v>2945</v>
      </c>
      <c r="GN395" s="1316">
        <f>GM395+GL395</f>
        <v>6096</v>
      </c>
      <c r="GO395" s="1316">
        <f>GO397*GO388</f>
        <v>3339</v>
      </c>
      <c r="GP395" s="1316">
        <f>GO395+GN395</f>
        <v>9435</v>
      </c>
      <c r="GQ395" s="1316">
        <f>GQ397*GQ388</f>
        <v>2858</v>
      </c>
      <c r="GR395" s="1316">
        <f>GO395+GQ395</f>
        <v>6197</v>
      </c>
      <c r="GS395" s="1317">
        <f>GR395+GN395</f>
        <v>12293</v>
      </c>
      <c r="GT395" s="1316">
        <f>GT397*GT388</f>
        <v>2345</v>
      </c>
      <c r="GU395" s="1316">
        <f>GU397*GU388</f>
        <v>1826</v>
      </c>
      <c r="GV395" s="1316">
        <f>GU395+GT395</f>
        <v>4171</v>
      </c>
      <c r="GW395" s="1316">
        <v>2984</v>
      </c>
      <c r="GX395" s="1316">
        <f>GW395+GV395</f>
        <v>7155</v>
      </c>
      <c r="GY395" s="1316">
        <f>GY397*GY388</f>
        <v>2700</v>
      </c>
      <c r="GZ395" s="1316">
        <f>GW395+GY395</f>
        <v>5684</v>
      </c>
      <c r="HA395" s="1317">
        <f>GZ395+GV395</f>
        <v>9855</v>
      </c>
      <c r="HB395" s="1316">
        <f>HB397*HB388</f>
        <v>2730</v>
      </c>
      <c r="HC395" s="1316">
        <f>HC397*HC388</f>
        <v>2632</v>
      </c>
      <c r="HD395" s="1316">
        <f>HC395+HB395</f>
        <v>5362</v>
      </c>
      <c r="HE395" s="1316">
        <f>HE397*HE388</f>
        <v>2884</v>
      </c>
      <c r="HF395" s="1316">
        <f>HE395+HD395</f>
        <v>8246</v>
      </c>
      <c r="HG395" s="1316">
        <f>HI395-HE395-HC395-HB395</f>
        <v>2519</v>
      </c>
      <c r="HH395" s="1316">
        <f>HE395+HG395</f>
        <v>5403</v>
      </c>
      <c r="HI395" s="1317">
        <f>'Profit and Loss'!AB333</f>
        <v>10765</v>
      </c>
      <c r="HJ395" s="1316">
        <f>HJ397*HJ388</f>
        <v>2648</v>
      </c>
      <c r="HK395" s="1316">
        <f>HK397*HK388</f>
        <v>2815</v>
      </c>
      <c r="HL395" s="1316">
        <f>HK395+HJ395</f>
        <v>5463</v>
      </c>
      <c r="HM395" s="1316">
        <f>HM397*HM388</f>
        <v>3146</v>
      </c>
      <c r="HN395" s="1316">
        <f>HM395+HL395</f>
        <v>8609</v>
      </c>
      <c r="HO395" s="1316">
        <f>HQ395-HM395-HK395-HJ395</f>
        <v>2035</v>
      </c>
      <c r="HP395" s="1316">
        <f>HM395+HO395</f>
        <v>5181</v>
      </c>
      <c r="HQ395" s="1317">
        <f>'Profit and Loss'!AC333</f>
        <v>10644</v>
      </c>
      <c r="HR395" s="1316">
        <f>HR397*HR388</f>
        <v>2363</v>
      </c>
      <c r="HS395" s="1316">
        <f>HS397*HS388</f>
        <v>2399</v>
      </c>
      <c r="HT395" s="1316">
        <f>HS395+HR395</f>
        <v>4762</v>
      </c>
      <c r="HU395" s="1316">
        <f>HU397*HU388</f>
        <v>2675</v>
      </c>
      <c r="HV395" s="1316">
        <f>HU395+HT395</f>
        <v>7437</v>
      </c>
      <c r="HW395" s="1316">
        <f>HY395-HU395-HS395-HR395</f>
        <v>2147</v>
      </c>
      <c r="HX395" s="1316">
        <f>HU395+HW395</f>
        <v>4822</v>
      </c>
      <c r="HY395" s="1317">
        <f>'Profit and Loss'!AD333</f>
        <v>9584</v>
      </c>
      <c r="HZ395" s="1316">
        <f>HZ397*HZ388</f>
        <v>2680.54</v>
      </c>
      <c r="IA395" s="1316">
        <f>IA397*IA388</f>
        <v>2840.98096702407</v>
      </c>
      <c r="IB395" s="1316">
        <f>IA395+HZ395</f>
        <v>5521.52096702407</v>
      </c>
      <c r="IC395" s="1316">
        <f>IC397*IC388</f>
        <v>3178.480196849</v>
      </c>
      <c r="ID395" s="1316">
        <f>IC395+IB395</f>
        <v>8700.00116387307</v>
      </c>
      <c r="IE395" s="1316">
        <f>IG395-IC395-IA395-HZ395</f>
        <v>2931.66383612693</v>
      </c>
      <c r="IF395" s="1316">
        <f>IC395+IE395</f>
        <v>6110.14403297593</v>
      </c>
      <c r="IG395" s="1317">
        <f>'Profit and Loss'!AE333</f>
        <v>11631.665</v>
      </c>
      <c r="IH395" s="1316">
        <f>IH397*IH388</f>
        <v>3205</v>
      </c>
      <c r="II395" s="1316">
        <f>II397*II388</f>
        <v>3077</v>
      </c>
      <c r="IJ395" s="1316">
        <f>II395+IH395</f>
        <v>6282</v>
      </c>
      <c r="IK395" s="1316">
        <f>IK397*IK388</f>
        <v>3435</v>
      </c>
      <c r="IL395" s="1316">
        <f>IK395+IJ395</f>
        <v>9717</v>
      </c>
      <c r="IM395" s="1316">
        <f>IO395-IK395-II395-IH395</f>
        <v>3088</v>
      </c>
      <c r="IN395" s="1316">
        <f>IK395+IM395</f>
        <v>6523</v>
      </c>
      <c r="IO395" s="1317">
        <f>'Profit and Loss'!AF333</f>
        <v>12805</v>
      </c>
      <c r="IP395" s="1316">
        <f>IP397*IP388</f>
        <v>3369</v>
      </c>
      <c r="IQ395" s="1316">
        <f>IQ397*IQ388</f>
        <v>3540</v>
      </c>
      <c r="IR395" s="1316">
        <f>IQ395+IP395</f>
        <v>6909</v>
      </c>
      <c r="IS395" s="1316">
        <f>IS397*IS388</f>
        <v>3772.81159817165</v>
      </c>
      <c r="IT395" s="1316">
        <f>IS395+IR395</f>
        <v>10681.8115981717</v>
      </c>
      <c r="IU395" s="1316">
        <f>IW395-IS395-IQ395-IP395</f>
        <v>3318.78087847963</v>
      </c>
      <c r="IV395" s="1316">
        <f>IS395+IU395</f>
        <v>7091.59247665128</v>
      </c>
      <c r="IW395" s="1317">
        <f>'Profit and Loss'!AG333</f>
        <v>14000.5924766513</v>
      </c>
      <c r="IX395" s="1318"/>
      <c r="IY395" s="1037"/>
      <c r="IZ395" s="1071"/>
      <c r="JA395" s="1071"/>
      <c r="JB395" s="1071"/>
      <c r="JC395" s="1104"/>
      <c r="JD395" s="1104"/>
      <c r="JE395" s="1104"/>
      <c r="JF395" s="1037"/>
      <c r="JG395" s="1037"/>
      <c r="JH395" s="1037"/>
      <c r="JI395" s="1035"/>
      <c r="JJ395" s="1035"/>
      <c r="JK395" s="1035"/>
      <c r="JL395" s="1035"/>
      <c r="JM395" s="1035"/>
      <c r="JN395" s="1035"/>
      <c r="JO395" s="1035"/>
      <c r="JP395" s="1035"/>
      <c r="JQ395" s="1035"/>
      <c r="JR395" s="1035"/>
      <c r="JS395" s="1035"/>
      <c r="JT395" s="1035"/>
      <c r="JU395" s="1035"/>
      <c r="JV395" s="1035"/>
      <c r="JW395" s="1035"/>
      <c r="JX395" s="1035"/>
      <c r="JY395" s="1035"/>
      <c r="KP395" s="1180"/>
    </row>
    <row r="396" s="883" customFormat="1" spans="1:334">
      <c r="A396" s="883" t="s">
        <v>142</v>
      </c>
      <c r="B396" s="1302" t="s">
        <v>173</v>
      </c>
      <c r="C396" s="1302" t="s">
        <v>173</v>
      </c>
      <c r="D396" s="1302" t="s">
        <v>173</v>
      </c>
      <c r="E396" s="1302" t="s">
        <v>173</v>
      </c>
      <c r="F396" s="1302" t="s">
        <v>173</v>
      </c>
      <c r="G396" s="1302" t="s">
        <v>173</v>
      </c>
      <c r="H396" s="1302" t="s">
        <v>173</v>
      </c>
      <c r="I396" s="1302" t="s">
        <v>173</v>
      </c>
      <c r="J396" s="1302">
        <f t="shared" ref="J396:AO396" si="2336">J395/B395-1</f>
        <v>-0.347006966594355</v>
      </c>
      <c r="K396" s="1302">
        <f t="shared" si="2336"/>
        <v>-0.285869322870182</v>
      </c>
      <c r="L396" s="1302">
        <f t="shared" si="2336"/>
        <v>-0.32050874895811</v>
      </c>
      <c r="M396" s="1302">
        <f t="shared" si="2336"/>
        <v>-0.332062310517364</v>
      </c>
      <c r="N396" s="1302">
        <f t="shared" si="2336"/>
        <v>-0.325066319937348</v>
      </c>
      <c r="O396" s="1302">
        <f t="shared" si="2336"/>
        <v>-0.24910311666002</v>
      </c>
      <c r="P396" s="1302">
        <f t="shared" si="2336"/>
        <v>-4.27936719554108</v>
      </c>
      <c r="Q396" s="1302">
        <f t="shared" si="2336"/>
        <v>-0.310835858248463</v>
      </c>
      <c r="R396" s="1302">
        <f t="shared" si="2336"/>
        <v>0.446439378656445</v>
      </c>
      <c r="S396" s="1302">
        <f t="shared" si="2336"/>
        <v>0.483088979985532</v>
      </c>
      <c r="T396" s="1302">
        <f t="shared" si="2336"/>
        <v>0.463133787346222</v>
      </c>
      <c r="U396" s="1302">
        <f t="shared" si="2336"/>
        <v>0.521440823327616</v>
      </c>
      <c r="V396" s="1302">
        <f t="shared" si="2336"/>
        <v>0.48589594214544</v>
      </c>
      <c r="W396" s="1302">
        <f t="shared" si="2336"/>
        <v>0.54046997389034</v>
      </c>
      <c r="X396" s="1302">
        <f t="shared" si="2336"/>
        <v>0.528194516295912</v>
      </c>
      <c r="Y396" s="1302">
        <f t="shared" si="2336"/>
        <v>0.497035280324025</v>
      </c>
      <c r="Z396" s="1302">
        <f t="shared" si="2336"/>
        <v>0.581589958158996</v>
      </c>
      <c r="AA396" s="1302">
        <f t="shared" si="2336"/>
        <v>0.570637213696086</v>
      </c>
      <c r="AB396" s="1302">
        <f t="shared" si="2336"/>
        <v>0.576532783999243</v>
      </c>
      <c r="AC396" s="1302">
        <f t="shared" si="2336"/>
        <v>0.408117249154453</v>
      </c>
      <c r="AD396" s="1302">
        <f t="shared" si="2336"/>
        <v>0.509213230784344</v>
      </c>
      <c r="AE396" s="1302">
        <f t="shared" si="2336"/>
        <v>0.364406779661017</v>
      </c>
      <c r="AF396" s="1302">
        <f t="shared" si="2336"/>
        <v>0.390686662868065</v>
      </c>
      <c r="AG396" s="1302">
        <f t="shared" si="2336"/>
        <v>0.478798606070336</v>
      </c>
      <c r="AH396" s="1302">
        <f t="shared" si="2336"/>
        <v>0.0229276895943564</v>
      </c>
      <c r="AI396" s="1302">
        <f t="shared" si="2336"/>
        <v>0.11904761904762</v>
      </c>
      <c r="AJ396" s="1302">
        <f t="shared" si="2336"/>
        <v>0.0671428571428574</v>
      </c>
      <c r="AK396" s="1302">
        <f t="shared" si="2336"/>
        <v>0.0648064706410152</v>
      </c>
      <c r="AL396" s="1302">
        <f t="shared" si="2336"/>
        <v>0.0662715084594288</v>
      </c>
      <c r="AM396" s="1302">
        <f t="shared" si="2336"/>
        <v>0.277950614254494</v>
      </c>
      <c r="AN396" s="1302">
        <f t="shared" ref="AN396:BU396" si="2337">AN395/AF395-1</f>
        <v>0.150221170011068</v>
      </c>
      <c r="AO396" s="1302">
        <f t="shared" si="2336"/>
        <v>0.10729261586555</v>
      </c>
      <c r="AP396" s="1302">
        <f t="shared" si="2337"/>
        <v>0.074003385555413</v>
      </c>
      <c r="AQ396" s="1302">
        <f t="shared" si="2337"/>
        <v>0.0186075905624468</v>
      </c>
      <c r="AR396" s="1302">
        <f t="shared" si="2337"/>
        <v>0.0472818976538527</v>
      </c>
      <c r="AS396" s="1302">
        <f t="shared" si="2337"/>
        <v>0.0720588235294117</v>
      </c>
      <c r="AT396" s="1302">
        <f t="shared" si="2337"/>
        <v>0.0565096852471978</v>
      </c>
      <c r="AU396" s="1302">
        <f t="shared" si="2337"/>
        <v>0.138783269961977</v>
      </c>
      <c r="AV396" s="1302">
        <f t="shared" si="2337"/>
        <v>0.0993377483443709</v>
      </c>
      <c r="AW396" s="1302">
        <f t="shared" si="2337"/>
        <v>0.0749106873802976</v>
      </c>
      <c r="AX396" s="1303">
        <f t="shared" si="2337"/>
        <v>0.0188383045525902</v>
      </c>
      <c r="AY396" s="1302">
        <f t="shared" si="2337"/>
        <v>0.0976909413854352</v>
      </c>
      <c r="AZ396" s="1302">
        <f t="shared" si="2337"/>
        <v>0.0558333333333334</v>
      </c>
      <c r="BA396" s="1302">
        <f t="shared" si="2337"/>
        <v>0.0315500685871055</v>
      </c>
      <c r="BB396" s="1302">
        <f t="shared" si="2337"/>
        <v>-0.28978745463971</v>
      </c>
      <c r="BC396" s="1302">
        <f t="shared" si="2337"/>
        <v>-0.0308848080133556</v>
      </c>
      <c r="BD396" s="1302">
        <f t="shared" si="2337"/>
        <v>0.00301204819277112</v>
      </c>
      <c r="BE396" s="1304">
        <f t="shared" si="2337"/>
        <v>-0.228441455696203</v>
      </c>
      <c r="BF396" s="1302">
        <f t="shared" si="2337"/>
        <v>0.0539291217257318</v>
      </c>
      <c r="BG396" s="1302">
        <f t="shared" si="2337"/>
        <v>0.0914239482200647</v>
      </c>
      <c r="BH396" s="1302">
        <f t="shared" si="2337"/>
        <v>0.0722178374112077</v>
      </c>
      <c r="BI396" s="1302">
        <f t="shared" si="2337"/>
        <v>0.0857712765957446</v>
      </c>
      <c r="BJ396" s="1302">
        <f t="shared" si="2337"/>
        <v>0.587591240875912</v>
      </c>
      <c r="BK396" s="1302">
        <f t="shared" si="2337"/>
        <v>0.10594315245478</v>
      </c>
      <c r="BL396" s="1302">
        <f t="shared" si="2337"/>
        <v>0.09496996996997</v>
      </c>
      <c r="BM396" s="1302">
        <f t="shared" si="2337"/>
        <v>0.444245065367854</v>
      </c>
      <c r="BN396" s="1303">
        <f t="shared" si="2337"/>
        <v>0.0365497076023391</v>
      </c>
      <c r="BO396" s="1302">
        <f t="shared" si="2337"/>
        <v>-0.0763528539659006</v>
      </c>
      <c r="BP396" s="1302">
        <f t="shared" si="2337"/>
        <v>-0.0195068089804932</v>
      </c>
      <c r="BQ396" s="1302">
        <f t="shared" si="2337"/>
        <v>0.022657685241886</v>
      </c>
      <c r="BR396" s="1302">
        <f t="shared" si="2337"/>
        <v>-0.00367816091954021</v>
      </c>
      <c r="BS396" s="1302">
        <f t="shared" si="2337"/>
        <v>0.00934579439252325</v>
      </c>
      <c r="BT396" s="1302">
        <f t="shared" ref="BT396:CN396" si="2338">BT395/BL395-1</f>
        <v>0.0167980802194034</v>
      </c>
      <c r="BU396" s="1304">
        <f t="shared" si="2337"/>
        <v>-0.000709975150869679</v>
      </c>
      <c r="BV396" s="1303">
        <f t="shared" si="2338"/>
        <v>-0.00282087447108603</v>
      </c>
      <c r="BW396" s="1302">
        <f t="shared" si="2338"/>
        <v>0.102728731942215</v>
      </c>
      <c r="BX396" s="1302">
        <f t="shared" si="2338"/>
        <v>0.0465465465465464</v>
      </c>
      <c r="BY396" s="1302">
        <f t="shared" si="2338"/>
        <v>0.0179640718562875</v>
      </c>
      <c r="BZ396" s="1302">
        <f t="shared" si="2338"/>
        <v>0.0355329949238579</v>
      </c>
      <c r="CA396" s="1302">
        <f t="shared" si="2338"/>
        <v>-0.12037037037037</v>
      </c>
      <c r="CB396" s="1302">
        <f t="shared" si="2338"/>
        <v>0.249494268374916</v>
      </c>
      <c r="CC396" s="1304">
        <f t="shared" si="2338"/>
        <v>-0.000355239786856143</v>
      </c>
      <c r="CD396" s="1303">
        <f t="shared" si="2338"/>
        <v>0.137199434229137</v>
      </c>
      <c r="CE396" s="1302">
        <f t="shared" si="2338"/>
        <v>0.0815138282387191</v>
      </c>
      <c r="CF396" s="1302">
        <f t="shared" si="2338"/>
        <v>0.109756097560976</v>
      </c>
      <c r="CG396" s="1302">
        <f t="shared" si="2338"/>
        <v>0.0988235294117648</v>
      </c>
      <c r="CH396" s="1302">
        <f t="shared" si="2338"/>
        <v>0.105614973262032</v>
      </c>
      <c r="CI396" s="1302">
        <f t="shared" si="2338"/>
        <v>0.256140350877193</v>
      </c>
      <c r="CJ396" s="1302">
        <f t="shared" si="2338"/>
        <v>-0.109552077711819</v>
      </c>
      <c r="CK396" s="1304">
        <f t="shared" si="2338"/>
        <v>0.136105188343994</v>
      </c>
      <c r="CL396" s="1303">
        <v>0.376865671641791</v>
      </c>
      <c r="CM396" s="1302">
        <f t="shared" si="2338"/>
        <v>0.458950201884253</v>
      </c>
      <c r="CN396" s="1302">
        <f t="shared" si="2338"/>
        <v>0.416289592760181</v>
      </c>
      <c r="CO396" s="1302">
        <f t="shared" ref="CO396:CT396" si="2339">CO395/CG395-1</f>
        <v>0.420770877944326</v>
      </c>
      <c r="CP396" s="1302">
        <f t="shared" si="2339"/>
        <v>0.417976622329706</v>
      </c>
      <c r="CQ396" s="1302">
        <f t="shared" si="2339"/>
        <v>0.364525139664804</v>
      </c>
      <c r="CR396" s="1302">
        <f t="shared" si="2339"/>
        <v>0.396373279242424</v>
      </c>
      <c r="CS396" s="1304">
        <f t="shared" si="2339"/>
        <v>0.406005630278386</v>
      </c>
      <c r="CT396" s="1303">
        <f t="shared" si="2339"/>
        <v>0.0731707317073171</v>
      </c>
      <c r="CU396" s="1302">
        <f t="shared" ref="CU396:DA396" si="2340">CU395/CM395-1</f>
        <v>0.0498154981549817</v>
      </c>
      <c r="CV396" s="1302">
        <f t="shared" si="2340"/>
        <v>0.0616157005933364</v>
      </c>
      <c r="CW396" s="1302">
        <f t="shared" si="2340"/>
        <v>0.0768651092690278</v>
      </c>
      <c r="CX396" s="1302">
        <f t="shared" si="2340"/>
        <v>0.0673678226264924</v>
      </c>
      <c r="CY396" s="1302">
        <f t="shared" si="2340"/>
        <v>0.15353121801433</v>
      </c>
      <c r="CZ396" s="1302">
        <f t="shared" si="2340"/>
        <v>0.109367339033685</v>
      </c>
      <c r="DA396" s="1304">
        <f t="shared" si="2340"/>
        <v>0.0860956618464961</v>
      </c>
      <c r="DB396" s="1275">
        <f t="shared" ref="DB396:DI396" si="2341">DB395/CT395-1</f>
        <v>0.0328282828282829</v>
      </c>
      <c r="DC396" s="1094">
        <f t="shared" si="2341"/>
        <v>0.0281195079086116</v>
      </c>
      <c r="DD396" s="1094">
        <f t="shared" si="2341"/>
        <v>0.030524505588994</v>
      </c>
      <c r="DE396" s="1094">
        <f t="shared" si="2341"/>
        <v>0.0265920223932821</v>
      </c>
      <c r="DF396" s="1094">
        <f t="shared" si="2341"/>
        <v>0.0290279627163781</v>
      </c>
      <c r="DG396" s="1094">
        <f t="shared" si="2341"/>
        <v>0.0062111801242235</v>
      </c>
      <c r="DH396" s="1094">
        <f t="shared" si="2341"/>
        <v>0.017605633802817</v>
      </c>
      <c r="DI396" s="1093">
        <f t="shared" si="2341"/>
        <v>0.0239655878738223</v>
      </c>
      <c r="DJ396" s="1094">
        <f t="shared" ref="DJ396:DQ396" si="2342">DJ395/DB395-1</f>
        <v>-0.0506894865525672</v>
      </c>
      <c r="DK396" s="1094">
        <f t="shared" si="2342"/>
        <v>-0.0549999999999999</v>
      </c>
      <c r="DL396" s="1094">
        <f t="shared" si="2342"/>
        <v>-0.052793491864831</v>
      </c>
      <c r="DM396" s="1094">
        <f t="shared" si="2342"/>
        <v>-0.108204498977505</v>
      </c>
      <c r="DN396" s="1094">
        <f t="shared" si="2342"/>
        <v>-0.0738307453416148</v>
      </c>
      <c r="DO396" s="1094">
        <f t="shared" si="2342"/>
        <v>0.0014074074074073</v>
      </c>
      <c r="DP396" s="1094">
        <f t="shared" si="2342"/>
        <v>-0.0604152249134947</v>
      </c>
      <c r="DQ396" s="1093">
        <f t="shared" si="2342"/>
        <v>-0.0574114822964593</v>
      </c>
      <c r="DR396" s="1082">
        <f t="shared" ref="DR396:DY396" si="2343">DR395/DJ395-1</f>
        <v>0.115693284020316</v>
      </c>
      <c r="DS396" s="1082">
        <f t="shared" si="2343"/>
        <v>0.290112603445937</v>
      </c>
      <c r="DT396" s="1082">
        <f t="shared" si="2343"/>
        <v>0.20148657493171</v>
      </c>
      <c r="DU396" s="1082">
        <f t="shared" si="2343"/>
        <v>0.253847847223496</v>
      </c>
      <c r="DV396" s="1082">
        <f t="shared" si="2343"/>
        <v>0.219977656803358</v>
      </c>
      <c r="DW396" s="1082">
        <f t="shared" si="2343"/>
        <v>0.199408944730344</v>
      </c>
      <c r="DX396" s="1082">
        <f t="shared" si="2343"/>
        <v>0.228551553689655</v>
      </c>
      <c r="DY396" s="1085">
        <f t="shared" si="2343"/>
        <v>0.215619694397283</v>
      </c>
      <c r="DZ396" s="1082">
        <f t="shared" ref="DZ396:EP396" si="2344">DZ395/DR395-1</f>
        <v>0.221490438331625</v>
      </c>
      <c r="EA396" s="1082">
        <f t="shared" si="2344"/>
        <v>0.0557952009691443</v>
      </c>
      <c r="EB396" s="1082">
        <f t="shared" si="2344"/>
        <v>0.133979368896448</v>
      </c>
      <c r="EC396" s="1082">
        <f t="shared" si="2344"/>
        <v>0.0741518345928101</v>
      </c>
      <c r="ED396" s="1082">
        <f t="shared" si="2344"/>
        <v>0.112105802257283</v>
      </c>
      <c r="EE396" s="1082">
        <f t="shared" si="2344"/>
        <v>0.0851338135919253</v>
      </c>
      <c r="EF396" s="1082">
        <f t="shared" si="2344"/>
        <v>0.0826626494467111</v>
      </c>
      <c r="EG396" s="1085">
        <f t="shared" si="2344"/>
        <v>0.107541899441341</v>
      </c>
      <c r="EH396" s="1082">
        <f t="shared" si="2344"/>
        <v>0.150305057625496</v>
      </c>
      <c r="EI396" s="1082">
        <f t="shared" si="2344"/>
        <v>0.126826029216468</v>
      </c>
      <c r="EJ396" s="1082">
        <f t="shared" si="2344"/>
        <v>0.138874476507279</v>
      </c>
      <c r="EK396" s="1082">
        <f t="shared" si="2344"/>
        <v>0.122587968217934</v>
      </c>
      <c r="EL396" s="1082">
        <f t="shared" si="2344"/>
        <v>0.132964191452618</v>
      </c>
      <c r="EM396" s="1082">
        <f t="shared" si="2344"/>
        <v>0.0845737483085249</v>
      </c>
      <c r="EN396" s="1082">
        <f t="shared" si="2344"/>
        <v>0.101644468166597</v>
      </c>
      <c r="EO396" s="1085">
        <f t="shared" si="2344"/>
        <v>0.119798234552333</v>
      </c>
      <c r="EP396" s="1082">
        <f t="shared" si="2344"/>
        <v>0.0301204819277108</v>
      </c>
      <c r="EQ396" s="1094">
        <f t="shared" ref="EQ396:EW396" si="2345">EQ395/EI395-1</f>
        <v>-0.00176782557454336</v>
      </c>
      <c r="ER396" s="1094">
        <f t="shared" si="2345"/>
        <v>0.014760147601476</v>
      </c>
      <c r="ES396" s="1094">
        <f t="shared" si="2345"/>
        <v>-0.0328614762386249</v>
      </c>
      <c r="ET396" s="1094">
        <f t="shared" si="2345"/>
        <v>-0.00236320668969281</v>
      </c>
      <c r="EU396" s="1094">
        <f t="shared" si="2345"/>
        <v>0.0305676855895196</v>
      </c>
      <c r="EV396" s="1094">
        <f t="shared" si="2345"/>
        <v>-0.00446802569114768</v>
      </c>
      <c r="EW396" s="1093">
        <f t="shared" si="2345"/>
        <v>0.00506756756756754</v>
      </c>
      <c r="EX396" s="1094">
        <f t="shared" ref="EX396:FG396" si="2346">EX395/EP395-1</f>
        <v>-0.089845826687932</v>
      </c>
      <c r="EY396" s="1094">
        <f t="shared" si="2346"/>
        <v>-0.012396694214876</v>
      </c>
      <c r="EZ396" s="1094">
        <f t="shared" si="2346"/>
        <v>-0.0531468531468532</v>
      </c>
      <c r="FA396" s="1094">
        <f t="shared" si="2346"/>
        <v>0.00261369576581294</v>
      </c>
      <c r="FB396" s="1094">
        <f t="shared" si="2346"/>
        <v>-0.0337099125364432</v>
      </c>
      <c r="FC396" s="1094">
        <f t="shared" si="2346"/>
        <v>-0.0187651331719129</v>
      </c>
      <c r="FD396" s="1094">
        <f t="shared" si="2346"/>
        <v>-0.00729312762973355</v>
      </c>
      <c r="FE396" s="1093">
        <f t="shared" si="2346"/>
        <v>-0.0302521008403361</v>
      </c>
      <c r="FF396" s="1094">
        <f t="shared" si="2346"/>
        <v>0.172897196261682</v>
      </c>
      <c r="FG396" s="1094">
        <f t="shared" si="2346"/>
        <v>0.12910938433951</v>
      </c>
      <c r="FH396" s="1094">
        <f t="shared" ref="FH396:FN396" si="2347">FH395/EZ395-1</f>
        <v>0.151255539143279</v>
      </c>
      <c r="FI396" s="1094">
        <f t="shared" si="2347"/>
        <v>0.201251303441085</v>
      </c>
      <c r="FJ396" s="1094">
        <f t="shared" si="2347"/>
        <v>0.169338110503489</v>
      </c>
      <c r="FK396" s="1094">
        <f t="shared" si="2347"/>
        <v>0.213448488587292</v>
      </c>
      <c r="FL396" s="1094">
        <f t="shared" si="2347"/>
        <v>0.206838089855891</v>
      </c>
      <c r="FM396" s="1093">
        <f t="shared" si="2347"/>
        <v>0.179664933564414</v>
      </c>
      <c r="FN396" s="1094">
        <f t="shared" si="2347"/>
        <v>0.174302788844622</v>
      </c>
      <c r="FO396" s="1094">
        <f t="shared" ref="FO396:FT396" si="2348">FO395/FG395-1</f>
        <v>0.142932768660667</v>
      </c>
      <c r="FP396" s="1094">
        <f t="shared" si="2348"/>
        <v>0.159096741082884</v>
      </c>
      <c r="FQ396" s="1094">
        <f t="shared" si="2348"/>
        <v>0.1171875</v>
      </c>
      <c r="FR396" s="1094">
        <f t="shared" si="2348"/>
        <v>0.143525237864861</v>
      </c>
      <c r="FS396" s="1094">
        <f t="shared" si="2348"/>
        <v>0.163192679206914</v>
      </c>
      <c r="FT396" s="1094">
        <f t="shared" si="2348"/>
        <v>0.138375087801452</v>
      </c>
      <c r="FU396" s="1094">
        <f t="shared" ref="FU396:GH396" si="2349">FU395/FM395-1</f>
        <v>0.148261508325171</v>
      </c>
      <c r="FV396" s="1086">
        <f t="shared" si="2349"/>
        <v>0.145886344359627</v>
      </c>
      <c r="FW396" s="1094">
        <f t="shared" si="2349"/>
        <v>0.169522927281149</v>
      </c>
      <c r="FX396" s="1094">
        <f t="shared" si="2349"/>
        <v>0.157183971662608</v>
      </c>
      <c r="FY396" s="1094">
        <f t="shared" si="2349"/>
        <v>0.112665112665113</v>
      </c>
      <c r="FZ396" s="1094">
        <f t="shared" si="2349"/>
        <v>0.141023833027782</v>
      </c>
      <c r="GA396" s="1094">
        <f t="shared" si="2349"/>
        <v>0.141608391608392</v>
      </c>
      <c r="GB396" s="1094">
        <f t="shared" si="2349"/>
        <v>0.126285479226656</v>
      </c>
      <c r="GC396" s="1093">
        <f t="shared" si="2349"/>
        <v>0.141166435654121</v>
      </c>
      <c r="GD396" s="1087">
        <f t="shared" si="2349"/>
        <v>0.0492227979274611</v>
      </c>
      <c r="GE396" s="1094">
        <f t="shared" si="2349"/>
        <v>0.0895049504950496</v>
      </c>
      <c r="GF396" s="1094">
        <f t="shared" si="2349"/>
        <v>0.0686818442701358</v>
      </c>
      <c r="GG396" s="1094">
        <f t="shared" si="2349"/>
        <v>0.0628491620111731</v>
      </c>
      <c r="GH396" s="1094">
        <f t="shared" si="2349"/>
        <v>0.0666172290198987</v>
      </c>
      <c r="GI396" s="1094">
        <f>GI395/GA395-11</f>
        <v>-9.95367534456355</v>
      </c>
      <c r="GJ396" s="1094">
        <f t="shared" ref="GJ396:GS396" si="2350">GJ395/GB395-1</f>
        <v>0.0549671292914535</v>
      </c>
      <c r="GK396" s="1093">
        <f t="shared" si="2350"/>
        <v>0.0616649537512846</v>
      </c>
      <c r="GL396" s="1087">
        <f t="shared" si="2350"/>
        <v>0.111463844797178</v>
      </c>
      <c r="GM396" s="1087">
        <f t="shared" si="2350"/>
        <v>0.0705198109778264</v>
      </c>
      <c r="GN396" s="1094">
        <f t="shared" si="2350"/>
        <v>0.0912996777658432</v>
      </c>
      <c r="GO396" s="1094">
        <f t="shared" si="2350"/>
        <v>0.0969119579500657</v>
      </c>
      <c r="GP396" s="1094">
        <f t="shared" si="2350"/>
        <v>0.093279258400927</v>
      </c>
      <c r="GQ396" s="1094">
        <f t="shared" si="2350"/>
        <v>0.0457372850347599</v>
      </c>
      <c r="GR396" s="1094">
        <f t="shared" si="2350"/>
        <v>0.0727020945127228</v>
      </c>
      <c r="GS396" s="1093">
        <f t="shared" si="2350"/>
        <v>0.0818445832966646</v>
      </c>
      <c r="GT396" s="1087">
        <f t="shared" ref="GT396" si="2351">GT395/GL395-1</f>
        <v>-0.255791812123136</v>
      </c>
      <c r="GU396" s="1087">
        <f t="shared" ref="GU396" si="2352">GU395/GM395-1</f>
        <v>-0.379966044142615</v>
      </c>
      <c r="GV396" s="1094">
        <f t="shared" ref="GV396" si="2353">GV395/GN395-1</f>
        <v>-0.315780839895013</v>
      </c>
      <c r="GW396" s="1094">
        <f t="shared" ref="GW396" si="2354">GW395/GO395-1</f>
        <v>-0.106319257262653</v>
      </c>
      <c r="GX396" s="1094">
        <f t="shared" ref="GX396:HA396" si="2355">GX395/GP395-1</f>
        <v>-0.241653418124007</v>
      </c>
      <c r="GY396" s="1094">
        <f t="shared" si="2355"/>
        <v>-0.0552834149755072</v>
      </c>
      <c r="GZ396" s="1094">
        <f t="shared" si="2355"/>
        <v>-0.0827819912861062</v>
      </c>
      <c r="HA396" s="1093">
        <f t="shared" si="2355"/>
        <v>-0.198324249572928</v>
      </c>
      <c r="HB396" s="1087">
        <f t="shared" ref="HB396" si="2356">HB395/GT395-1</f>
        <v>0.164179104477613</v>
      </c>
      <c r="HC396" s="1087">
        <f t="shared" ref="HC396" si="2357">HC395/GU395-1</f>
        <v>0.441401971522454</v>
      </c>
      <c r="HD396" s="1094">
        <f t="shared" ref="HD396" si="2358">HD395/GV395-1</f>
        <v>0.285543035243347</v>
      </c>
      <c r="HE396" s="1094">
        <f t="shared" ref="HE396" si="2359">HE395/GW395-1</f>
        <v>-0.0335120643431636</v>
      </c>
      <c r="HF396" s="1094">
        <f t="shared" ref="HF396:HI396" si="2360">HF395/GX395-1</f>
        <v>0.152480782669462</v>
      </c>
      <c r="HG396" s="1094">
        <f t="shared" si="2360"/>
        <v>-0.0670370370370372</v>
      </c>
      <c r="HH396" s="1094">
        <f t="shared" si="2360"/>
        <v>-0.0494370161857847</v>
      </c>
      <c r="HI396" s="1093">
        <f t="shared" si="2360"/>
        <v>0.0923389142567226</v>
      </c>
      <c r="HJ396" s="1087">
        <f t="shared" ref="HJ396" si="2361">HJ395/HB395-1</f>
        <v>-0.03003663003663</v>
      </c>
      <c r="HK396" s="1087">
        <f t="shared" ref="HK396" si="2362">HK395/HC395-1</f>
        <v>0.069528875379939</v>
      </c>
      <c r="HL396" s="1094">
        <f t="shared" ref="HL396:HQ396" si="2363">HL395/HD395-1</f>
        <v>0.0188362551286834</v>
      </c>
      <c r="HM396" s="1094">
        <f t="shared" si="2363"/>
        <v>0.0908460471567267</v>
      </c>
      <c r="HN396" s="1094">
        <f t="shared" si="2363"/>
        <v>0.0440213436817851</v>
      </c>
      <c r="HO396" s="1094">
        <f t="shared" si="2363"/>
        <v>-0.192139737991266</v>
      </c>
      <c r="HP396" s="1094">
        <f t="shared" si="2363"/>
        <v>-0.0410882842865075</v>
      </c>
      <c r="HQ396" s="1093">
        <f t="shared" si="2363"/>
        <v>-0.0112401300510915</v>
      </c>
      <c r="HR396" s="1087">
        <f t="shared" ref="HR396" si="2364">HR395/HJ395-1</f>
        <v>-0.107628398791541</v>
      </c>
      <c r="HS396" s="1087">
        <f t="shared" ref="HS396" si="2365">HS395/HK395-1</f>
        <v>-0.147779751332149</v>
      </c>
      <c r="HT396" s="1094">
        <f t="shared" ref="HT396" si="2366">HT395/HL395-1</f>
        <v>-0.128317774116786</v>
      </c>
      <c r="HU396" s="1094">
        <f t="shared" ref="HU396" si="2367">HU395/HM395-1</f>
        <v>-0.149713922441195</v>
      </c>
      <c r="HV396" s="1094">
        <f t="shared" ref="HV396:HY396" si="2368">HV395/HN395-1</f>
        <v>-0.13613660123127</v>
      </c>
      <c r="HW396" s="1094">
        <f t="shared" si="2368"/>
        <v>0.0550368550368552</v>
      </c>
      <c r="HX396" s="1094">
        <f t="shared" si="2368"/>
        <v>-0.0692916425400502</v>
      </c>
      <c r="HY396" s="1093">
        <f t="shared" si="2368"/>
        <v>-0.0995866215708381</v>
      </c>
      <c r="HZ396" s="1087">
        <f t="shared" ref="HZ396" si="2369">HZ395/HR395-1</f>
        <v>0.134380025391452</v>
      </c>
      <c r="IA396" s="1087">
        <f t="shared" ref="IA396" si="2370">IA395/HS395-1</f>
        <v>0.184235501052135</v>
      </c>
      <c r="IB396" s="1094">
        <f t="shared" ref="IB396" si="2371">IB395/HT395-1</f>
        <v>0.159496213150792</v>
      </c>
      <c r="IC396" s="1094">
        <f t="shared" ref="IC396" si="2372">IC395/HU395-1</f>
        <v>0.188216896018317</v>
      </c>
      <c r="ID396" s="1094">
        <f t="shared" ref="ID396:IG396" si="2373">ID395/HV395-1</f>
        <v>0.169826699458528</v>
      </c>
      <c r="IE396" s="1094">
        <f t="shared" si="2373"/>
        <v>0.36546988175451</v>
      </c>
      <c r="IF396" s="1094">
        <f t="shared" si="2373"/>
        <v>0.267138953333872</v>
      </c>
      <c r="IG396" s="1093">
        <f t="shared" si="2373"/>
        <v>0.213654528380635</v>
      </c>
      <c r="IH396" s="1087">
        <f t="shared" ref="IH396" si="2374">IH395/HZ395-1</f>
        <v>0.195654606907563</v>
      </c>
      <c r="II396" s="1087">
        <f t="shared" ref="II396" si="2375">II395/IA395-1</f>
        <v>0.0830765977369983</v>
      </c>
      <c r="IJ396" s="1094">
        <f t="shared" ref="IJ396" si="2376">IJ395/IB395-1</f>
        <v>0.137729990978519</v>
      </c>
      <c r="IK396" s="1094">
        <f t="shared" ref="IK396" si="2377">IK395/IC395-1</f>
        <v>0.0807051758275241</v>
      </c>
      <c r="IL396" s="1094">
        <f t="shared" ref="IL396:IO396" si="2378">IL395/ID395-1</f>
        <v>0.116896402307397</v>
      </c>
      <c r="IM396" s="1094">
        <f t="shared" si="2378"/>
        <v>0.0533267702614926</v>
      </c>
      <c r="IN396" s="1094">
        <f t="shared" si="2378"/>
        <v>0.0675689418769705</v>
      </c>
      <c r="IO396" s="1093">
        <f t="shared" si="2378"/>
        <v>0.100874208464566</v>
      </c>
      <c r="IP396" s="1087">
        <f t="shared" ref="IP396" si="2379">IP395/IH395-1</f>
        <v>0.0511700468018723</v>
      </c>
      <c r="IQ396" s="1087">
        <f t="shared" ref="IQ396" si="2380">IQ395/II395-1</f>
        <v>0.150471238219044</v>
      </c>
      <c r="IR396" s="1094">
        <f t="shared" ref="IR396" si="2381">IR395/IJ395-1</f>
        <v>0.0998089780324738</v>
      </c>
      <c r="IS396" s="1094">
        <f t="shared" ref="IS396" si="2382">IS395/IK395-1</f>
        <v>0.0983439878228975</v>
      </c>
      <c r="IT396" s="1094">
        <f t="shared" ref="IT396:IW396" si="2383">IT395/IL395-1</f>
        <v>0.0992910978873782</v>
      </c>
      <c r="IU396" s="1094">
        <f t="shared" si="2383"/>
        <v>0.0747347404402943</v>
      </c>
      <c r="IV396" s="1094">
        <f t="shared" si="2383"/>
        <v>0.0871673274032319</v>
      </c>
      <c r="IW396" s="1093">
        <f t="shared" si="2383"/>
        <v>0.0933691898985773</v>
      </c>
      <c r="IX396" s="1087"/>
      <c r="IZ396" s="1319"/>
      <c r="JA396" s="1320"/>
      <c r="JB396" s="1320"/>
      <c r="JC396" s="1321"/>
      <c r="JD396" s="1321"/>
      <c r="JE396" s="1321"/>
      <c r="JF396" s="1321"/>
      <c r="JG396" s="1321"/>
      <c r="JH396" s="1321"/>
      <c r="JI396" s="1321"/>
      <c r="JJ396" s="765"/>
      <c r="JK396" s="765"/>
      <c r="JL396" s="765"/>
      <c r="JM396" s="765"/>
      <c r="JN396" s="765"/>
      <c r="JO396" s="765"/>
      <c r="JP396" s="765"/>
      <c r="JQ396" s="765"/>
      <c r="JR396" s="1049"/>
      <c r="JS396" s="1049"/>
      <c r="KP396" s="967"/>
    </row>
    <row r="397" spans="1:334">
      <c r="A397" s="1035" t="s">
        <v>145</v>
      </c>
      <c r="B397" s="1302">
        <v>0.38847286360843</v>
      </c>
      <c r="C397" s="1302">
        <v>0.395931538907743</v>
      </c>
      <c r="D397" s="1302">
        <f t="shared" ref="D397:BN397" si="2384">D395/D$388</f>
        <v>0.391670807002418</v>
      </c>
      <c r="E397" s="1302">
        <v>0.407830347049798</v>
      </c>
      <c r="F397" s="1302">
        <f t="shared" si="2384"/>
        <v>0.397889941878091</v>
      </c>
      <c r="G397" s="1302">
        <v>0.395263961975895</v>
      </c>
      <c r="H397" s="1302">
        <f>H395/H$388</f>
        <v>-0.168124069726408</v>
      </c>
      <c r="I397" s="1302">
        <f t="shared" si="2384"/>
        <v>0.397395354891602</v>
      </c>
      <c r="J397" s="1302">
        <f t="shared" si="2384"/>
        <v>0.414049448713665</v>
      </c>
      <c r="K397" s="1302">
        <f t="shared" si="2384"/>
        <v>0.396766169154229</v>
      </c>
      <c r="L397" s="1302">
        <f t="shared" si="2384"/>
        <v>0.405993578308955</v>
      </c>
      <c r="M397" s="1302">
        <f t="shared" si="2384"/>
        <v>0.396059782608696</v>
      </c>
      <c r="N397" s="1302">
        <f t="shared" si="2384"/>
        <v>0.40205685978893</v>
      </c>
      <c r="O397" s="1302">
        <f t="shared" si="2384"/>
        <v>0.385118149824032</v>
      </c>
      <c r="P397" s="1302">
        <f t="shared" si="2384"/>
        <v>0.391771382245643</v>
      </c>
      <c r="Q397" s="1302">
        <f t="shared" si="2384"/>
        <v>0.398479475036633</v>
      </c>
      <c r="R397" s="1302">
        <f t="shared" si="2384"/>
        <v>0.418563922942207</v>
      </c>
      <c r="S397" s="1302">
        <f t="shared" si="2384"/>
        <v>0.431</v>
      </c>
      <c r="T397" s="1302">
        <f t="shared" si="2384"/>
        <v>0.424215605095541</v>
      </c>
      <c r="U397" s="1302">
        <f t="shared" si="2384"/>
        <v>0.413712686567164</v>
      </c>
      <c r="V397" s="1302">
        <f t="shared" si="2384"/>
        <v>0.419954012112036</v>
      </c>
      <c r="W397" s="1302">
        <f t="shared" si="2384"/>
        <v>0.417256011315417</v>
      </c>
      <c r="X397" s="1302">
        <f t="shared" si="2384"/>
        <v>0.415120854412591</v>
      </c>
      <c r="Y397" s="1302">
        <f t="shared" si="2384"/>
        <v>0.419384443117349</v>
      </c>
      <c r="Z397" s="1302">
        <f t="shared" si="2384"/>
        <v>0.418759231905465</v>
      </c>
      <c r="AA397" s="1302">
        <f t="shared" si="2384"/>
        <v>0.43125</v>
      </c>
      <c r="AB397" s="1302">
        <f t="shared" si="2384"/>
        <v>0.424413904607922</v>
      </c>
      <c r="AC397" s="1302">
        <f t="shared" si="2384"/>
        <v>0.422244759972955</v>
      </c>
      <c r="AD397" s="1302">
        <f t="shared" si="2384"/>
        <v>0.423602327346319</v>
      </c>
      <c r="AE397" s="1302">
        <f t="shared" si="2384"/>
        <v>0.402298850574713</v>
      </c>
      <c r="AF397" s="1302">
        <f t="shared" si="2384"/>
        <v>0.414201631963409</v>
      </c>
      <c r="AG397" s="1302">
        <f t="shared" si="2384"/>
        <v>0.419299485212476</v>
      </c>
      <c r="AH397" s="1302">
        <f t="shared" si="2384"/>
        <v>0.426784400294334</v>
      </c>
      <c r="AI397" s="1302">
        <f t="shared" si="2384"/>
        <v>0.462756849315069</v>
      </c>
      <c r="AJ397" s="1302">
        <f t="shared" si="2384"/>
        <v>0.443411159477642</v>
      </c>
      <c r="AK397" s="1302">
        <f t="shared" si="2384"/>
        <v>0.431746031746032</v>
      </c>
      <c r="AL397" s="1302">
        <f t="shared" si="2384"/>
        <v>0.438993729956951</v>
      </c>
      <c r="AM397" s="1302">
        <f t="shared" si="2384"/>
        <v>0.440167364016736</v>
      </c>
      <c r="AN397" s="1302">
        <f t="shared" si="2384"/>
        <v>0.435786435786436</v>
      </c>
      <c r="AO397" s="1302">
        <f t="shared" si="2384"/>
        <v>0.43925567688166</v>
      </c>
      <c r="AP397" s="1302">
        <f t="shared" si="2384"/>
        <v>0.419907712590639</v>
      </c>
      <c r="AQ397" s="1302">
        <f t="shared" si="2384"/>
        <v>0.451121794871795</v>
      </c>
      <c r="AR397" s="1302">
        <f t="shared" si="2384"/>
        <v>0.433996383363472</v>
      </c>
      <c r="AS397" s="1302">
        <f t="shared" si="2384"/>
        <v>0.434704830053667</v>
      </c>
      <c r="AT397" s="1302">
        <f t="shared" si="2384"/>
        <v>0.434263845114813</v>
      </c>
      <c r="AU397" s="1302">
        <f t="shared" si="2384"/>
        <v>0.430007178750897</v>
      </c>
      <c r="AV397" s="1302">
        <f t="shared" si="2384"/>
        <v>0.43257328990228</v>
      </c>
      <c r="AW397" s="1302">
        <f t="shared" si="2384"/>
        <v>0.43324764353042</v>
      </c>
      <c r="AX397" s="1303">
        <f t="shared" si="2384"/>
        <v>0.416559691912709</v>
      </c>
      <c r="AY397" s="1302">
        <f t="shared" si="2384"/>
        <v>0.451754385964912</v>
      </c>
      <c r="AZ397" s="1302">
        <f t="shared" si="2384"/>
        <v>0.433014354066986</v>
      </c>
      <c r="BA397" s="1302">
        <f t="shared" si="2384"/>
        <v>0.420111731843575</v>
      </c>
      <c r="BB397" s="1302">
        <f t="shared" si="2384"/>
        <v>0.433818872704243</v>
      </c>
      <c r="BC397" s="1302">
        <f t="shared" si="2384"/>
        <v>0.415979935506987</v>
      </c>
      <c r="BD397" s="1302">
        <f t="shared" si="2384"/>
        <v>0.418210361067504</v>
      </c>
      <c r="BE397" s="1304">
        <f t="shared" si="2384"/>
        <v>0.428351817283408</v>
      </c>
      <c r="BF397" s="1302">
        <f t="shared" si="2384"/>
        <v>0.417582417582418</v>
      </c>
      <c r="BG397" s="1302">
        <f t="shared" si="2384"/>
        <v>0.447726518420179</v>
      </c>
      <c r="BH397" s="1302">
        <f t="shared" si="2384"/>
        <v>0.43202416918429</v>
      </c>
      <c r="BI397" s="1302">
        <f t="shared" si="2384"/>
        <v>0.437566988210075</v>
      </c>
      <c r="BJ397" s="1302">
        <f t="shared" si="2384"/>
        <v>0.434088414329907</v>
      </c>
      <c r="BK397" s="1302">
        <f t="shared" si="2384"/>
        <v>0.42488418266049</v>
      </c>
      <c r="BL397" s="1302">
        <f t="shared" si="2384"/>
        <v>0.431892212022505</v>
      </c>
      <c r="BM397" s="1302">
        <f t="shared" si="2384"/>
        <v>0.431955838380741</v>
      </c>
      <c r="BN397" s="1303">
        <f t="shared" si="2384"/>
        <v>0.424805272618334</v>
      </c>
      <c r="BO397" s="1302">
        <f t="shared" ref="BO397:CJ397" si="2385">BO395/BO$388</f>
        <v>0.447557471264368</v>
      </c>
      <c r="BP397" s="1302">
        <f t="shared" si="2385"/>
        <v>0.43515191114015</v>
      </c>
      <c r="BQ397" s="1302">
        <f t="shared" si="2385"/>
        <v>0.450620615218565</v>
      </c>
      <c r="BR397" s="1302">
        <f t="shared" si="2385"/>
        <v>0.440984940984941</v>
      </c>
      <c r="BS397" s="1302">
        <f t="shared" si="2385"/>
        <v>0.478581979320532</v>
      </c>
      <c r="BT397" s="1302">
        <f t="shared" si="2385"/>
        <v>0.462425943249142</v>
      </c>
      <c r="BU397" s="1304">
        <f t="shared" si="2385"/>
        <v>0.44910657306956</v>
      </c>
      <c r="BV397" s="1303">
        <f t="shared" si="2385"/>
        <v>0.469767441860465</v>
      </c>
      <c r="BW397" s="1302">
        <f t="shared" si="2385"/>
        <v>0.490364025695931</v>
      </c>
      <c r="BX397" s="1302">
        <f t="shared" si="2385"/>
        <v>0.479697178251893</v>
      </c>
      <c r="BY397" s="1302">
        <f t="shared" si="2385"/>
        <v>0.483503981797497</v>
      </c>
      <c r="BZ397" s="1302">
        <f t="shared" si="2385"/>
        <v>0.481132075471698</v>
      </c>
      <c r="CA397" s="1302">
        <f t="shared" si="2385"/>
        <v>0.476588628762542</v>
      </c>
      <c r="CB397" s="1302">
        <f t="shared" si="2385"/>
        <v>0.547091821671095</v>
      </c>
      <c r="CC397" s="1304">
        <f t="shared" si="2385"/>
        <v>0.480204778156997</v>
      </c>
      <c r="CD397" s="1303">
        <f t="shared" si="2385"/>
        <v>0.480573819485953</v>
      </c>
      <c r="CE397" s="1302">
        <f t="shared" si="2385"/>
        <v>0.490105540897098</v>
      </c>
      <c r="CF397" s="1302">
        <f t="shared" si="2385"/>
        <v>0.485105048604578</v>
      </c>
      <c r="CG397" s="1302">
        <f t="shared" si="2385"/>
        <v>0.485446985446985</v>
      </c>
      <c r="CH397" s="1302">
        <f t="shared" si="2385"/>
        <v>0.485233717973792</v>
      </c>
      <c r="CI397" s="1302">
        <f t="shared" si="2385"/>
        <v>0.470742932281394</v>
      </c>
      <c r="CJ397" s="1302">
        <f t="shared" si="2385"/>
        <v>0.478955007256894</v>
      </c>
      <c r="CK397" s="1304">
        <f t="shared" ref="CK397:CT397" si="2386">CK395/CK$388</f>
        <v>0.48191136569189</v>
      </c>
      <c r="CL397" s="1303">
        <v>0.450183001220008</v>
      </c>
      <c r="CM397" s="1302">
        <f t="shared" si="2386"/>
        <v>0.446457990115321</v>
      </c>
      <c r="CN397" s="1302">
        <f t="shared" si="2386"/>
        <v>0.448332310210763</v>
      </c>
      <c r="CO397" s="1302">
        <f t="shared" si="2386"/>
        <v>0.449983045100034</v>
      </c>
      <c r="CP397" s="1302">
        <f t="shared" si="2386"/>
        <v>0.448953547728433</v>
      </c>
      <c r="CQ397" s="1302">
        <f t="shared" si="2386"/>
        <v>0.434608540925267</v>
      </c>
      <c r="CR397" s="1302">
        <f t="shared" si="2386"/>
        <v>0.443334396183809</v>
      </c>
      <c r="CS397" s="1304">
        <f t="shared" si="2386"/>
        <v>0.445755652518842</v>
      </c>
      <c r="CT397" s="1303">
        <f t="shared" si="2386"/>
        <v>0.468085106382979</v>
      </c>
      <c r="CU397" s="1302">
        <f>CU395/CU388</f>
        <v>0.474166666666667</v>
      </c>
      <c r="CV397" s="1302">
        <f>CV395/CV388</f>
        <v>0.471040907249899</v>
      </c>
      <c r="CW397" s="1302">
        <f>CW395/CW388</f>
        <v>0.485889153349201</v>
      </c>
      <c r="CX397" s="1302">
        <f>CX395/CX388</f>
        <v>0.476583322756695</v>
      </c>
      <c r="CY397" s="1302">
        <f t="shared" ref="CY397:DI397" si="2387">CY395/CY$388</f>
        <v>0.46589499793303</v>
      </c>
      <c r="CZ397" s="1302">
        <f t="shared" si="2387"/>
        <v>0.476865671641791</v>
      </c>
      <c r="DA397" s="1304">
        <f t="shared" si="2387"/>
        <v>0.474072635463197</v>
      </c>
      <c r="DB397" s="1109">
        <f t="shared" si="2387"/>
        <v>0.469575200918484</v>
      </c>
      <c r="DC397" s="1082">
        <f t="shared" si="2387"/>
        <v>0.465393794749403</v>
      </c>
      <c r="DD397" s="1082">
        <f t="shared" si="2387"/>
        <v>0.467524868344061</v>
      </c>
      <c r="DE397" s="1082">
        <f t="shared" si="2387"/>
        <v>0.476453393959078</v>
      </c>
      <c r="DF397" s="1082">
        <f t="shared" si="2387"/>
        <v>0.470874969534487</v>
      </c>
      <c r="DG397" s="1082">
        <f t="shared" si="2387"/>
        <v>0.440217391304348</v>
      </c>
      <c r="DH397" s="1082">
        <f t="shared" si="2387"/>
        <v>0.459946949602122</v>
      </c>
      <c r="DI397" s="1085">
        <f t="shared" si="2387"/>
        <v>0.525546851185338</v>
      </c>
      <c r="DJ397" s="1082">
        <v>0.452</v>
      </c>
      <c r="DK397" s="1082">
        <v>0.45</v>
      </c>
      <c r="DL397" s="1082">
        <f>DL395/DL388</f>
        <v>0.451023837902265</v>
      </c>
      <c r="DM397" s="1082">
        <v>0.453</v>
      </c>
      <c r="DN397" s="1082">
        <f>DN395/DN388</f>
        <v>0.451687239681939</v>
      </c>
      <c r="DO397" s="1082">
        <v>0.462</v>
      </c>
      <c r="DP397" s="1082">
        <f>DP395/DP388</f>
        <v>0.457565998876615</v>
      </c>
      <c r="DQ397" s="1085">
        <f>DQ395/DQ$388</f>
        <v>0.453906174742318</v>
      </c>
      <c r="DR397" s="1082">
        <v>0.486</v>
      </c>
      <c r="DS397" s="1082">
        <v>0.489</v>
      </c>
      <c r="DT397" s="1094">
        <v>0.488</v>
      </c>
      <c r="DU397" s="1082">
        <v>0.473</v>
      </c>
      <c r="DV397" s="1082">
        <v>0.482</v>
      </c>
      <c r="DW397" s="1082">
        <f>DW395/DW$388</f>
        <v>0.464544338335607</v>
      </c>
      <c r="DX397" s="1082">
        <f>DX395/DX$388</f>
        <v>0.46912625</v>
      </c>
      <c r="DY397" s="1085">
        <f>DY395/DY$388</f>
        <v>0.477731442869058</v>
      </c>
      <c r="DZ397" s="1083">
        <v>0.485</v>
      </c>
      <c r="EA397" s="1083">
        <v>0.492</v>
      </c>
      <c r="EB397" s="1083">
        <f>EB395/EB388</f>
        <v>0.488149755404766</v>
      </c>
      <c r="EC397" s="1083">
        <f>EC395/EC388</f>
        <v>0.470619658119658</v>
      </c>
      <c r="ED397" s="1083">
        <f>ED395/ED388</f>
        <v>0.481639222299375</v>
      </c>
      <c r="EE397" s="1083">
        <f>EE395/EE388</f>
        <v>0.456032088861463</v>
      </c>
      <c r="EF397" s="1083">
        <f>EF395/EF388</f>
        <v>0.465367931281317</v>
      </c>
      <c r="EG397" s="1093">
        <f>EG395/EG$388</f>
        <v>0.476204774057949</v>
      </c>
      <c r="EH397" s="1083">
        <v>0.477</v>
      </c>
      <c r="EI397" s="1083">
        <f t="shared" ref="EI397:EN397" si="2388">EI395/EI388</f>
        <v>0.482513505828831</v>
      </c>
      <c r="EJ397" s="1083">
        <f t="shared" si="2388"/>
        <v>0.479907369568179</v>
      </c>
      <c r="EK397" s="1083">
        <f t="shared" si="2388"/>
        <v>0.473999520728493</v>
      </c>
      <c r="EL397" s="1083">
        <f t="shared" si="2388"/>
        <v>0.477766197672399</v>
      </c>
      <c r="EM397" s="1083">
        <f t="shared" si="2388"/>
        <v>0.475808845354705</v>
      </c>
      <c r="EN397" s="1083">
        <f t="shared" si="2388"/>
        <v>0.474807743304163</v>
      </c>
      <c r="EO397" s="1093">
        <f>EO395/EO$388</f>
        <v>0.477323120338641</v>
      </c>
      <c r="EP397" s="1083">
        <f>EP395/EP388</f>
        <v>0.501466275659824</v>
      </c>
      <c r="EQ397" s="1083">
        <f>EQ395/EQ388</f>
        <v>0.500738989062962</v>
      </c>
      <c r="ER397" s="1094">
        <f>ER395/ER$388</f>
        <v>0.50112139052425</v>
      </c>
      <c r="ES397" s="1083">
        <f>ES395/ES388</f>
        <v>0.493168342356277</v>
      </c>
      <c r="ET397" s="1094">
        <f t="shared" ref="ET397:EY397" si="2389">ET395/ET$388</f>
        <v>0.498320167075275</v>
      </c>
      <c r="EU397" s="1094">
        <f t="shared" si="2389"/>
        <v>0.474849094567404</v>
      </c>
      <c r="EV397" s="1094">
        <f t="shared" si="2389"/>
        <v>0.48450665941832</v>
      </c>
      <c r="EW397" s="1084">
        <f t="shared" si="2389"/>
        <v>0.492685619652222</v>
      </c>
      <c r="EX397" s="1094">
        <f t="shared" si="2389"/>
        <v>0.491812697500718</v>
      </c>
      <c r="EY397" s="1094">
        <f t="shared" si="2389"/>
        <v>0.492348440258976</v>
      </c>
      <c r="EZ397" s="1083">
        <f t="shared" ref="EZ397:FF397" si="2390">EZ395/EZ388</f>
        <v>0.492077336822213</v>
      </c>
      <c r="FA397" s="1083">
        <f t="shared" si="2390"/>
        <v>0.474282888229476</v>
      </c>
      <c r="FB397" s="1087">
        <f t="shared" si="2390"/>
        <v>0.485489334431933</v>
      </c>
      <c r="FC397" s="1087">
        <f t="shared" si="2390"/>
        <v>0.449030470914127</v>
      </c>
      <c r="FD397" s="1087">
        <f t="shared" si="2390"/>
        <v>0.462372615625817</v>
      </c>
      <c r="FE397" s="1088">
        <f t="shared" si="2390"/>
        <v>0.476432945709764</v>
      </c>
      <c r="FF397" s="1087">
        <f t="shared" si="2390"/>
        <v>0.491795248591722</v>
      </c>
      <c r="FG397" s="1083">
        <f t="shared" ref="FG397:FN397" si="2391">FG395/FG$388</f>
        <v>0.483491169695418</v>
      </c>
      <c r="FH397" s="1083">
        <f t="shared" si="2391"/>
        <v>0.487734668335419</v>
      </c>
      <c r="FI397" s="1083">
        <f t="shared" si="2391"/>
        <v>0.484338869035106</v>
      </c>
      <c r="FJ397" s="1083">
        <f t="shared" si="2391"/>
        <v>0.486467404095081</v>
      </c>
      <c r="FK397" s="1083">
        <f t="shared" si="2391"/>
        <v>0.471928982725528</v>
      </c>
      <c r="FL397" s="1083">
        <f t="shared" si="2391"/>
        <v>0.478543417366947</v>
      </c>
      <c r="FM397" s="1084">
        <f t="shared" si="2391"/>
        <v>0.482885013301803</v>
      </c>
      <c r="FN397" s="1083">
        <f t="shared" si="2391"/>
        <v>0.494443279513525</v>
      </c>
      <c r="FO397" s="1083">
        <f t="shared" ref="FO397:FU397" si="2392">FO395/FO$388</f>
        <v>0.488130228351797</v>
      </c>
      <c r="FP397" s="1083">
        <f t="shared" si="2392"/>
        <v>0.491405570060923</v>
      </c>
      <c r="FQ397" s="1083">
        <f t="shared" si="2392"/>
        <v>0.475609756097561</v>
      </c>
      <c r="FR397" s="1083">
        <f t="shared" si="2392"/>
        <v>0.485551903588058</v>
      </c>
      <c r="FS397" s="1083">
        <f t="shared" si="2392"/>
        <v>0.488262910798122</v>
      </c>
      <c r="FT397" s="1083">
        <f t="shared" si="2392"/>
        <v>0.481481481481481</v>
      </c>
      <c r="FU397" s="1094">
        <f t="shared" si="2392"/>
        <v>0.486210471747019</v>
      </c>
      <c r="FV397" s="1086">
        <f>FV395/FV388</f>
        <v>0.496143958868895</v>
      </c>
      <c r="FW397" s="1083">
        <f>FW395/FW388</f>
        <v>0.501190948789202</v>
      </c>
      <c r="FX397" s="1083">
        <f>FX395/FX$388</f>
        <v>0.498569248378481</v>
      </c>
      <c r="FY397" s="1083">
        <v>0.504402958788306</v>
      </c>
      <c r="FZ397" s="1083">
        <f>FZ395/FZ$388</f>
        <v>0.500618735305037</v>
      </c>
      <c r="GA397" s="1083">
        <v>0.516613924050633</v>
      </c>
      <c r="GB397" s="1083">
        <f>GB395/GB$388</f>
        <v>0.510154648779579</v>
      </c>
      <c r="GC397" s="1093">
        <f>GC395/GC$388</f>
        <v>0.504430200772929</v>
      </c>
      <c r="GD397" s="1087">
        <v>0.510994953136265</v>
      </c>
      <c r="GE397" s="1087">
        <v>0.522904390800228</v>
      </c>
      <c r="GF397" s="1083">
        <f>GF395/GF$388</f>
        <v>0.516791562586733</v>
      </c>
      <c r="GG397" s="1087">
        <v>0.518304103524604</v>
      </c>
      <c r="GH397" s="1083">
        <f>GH395/GH$388</f>
        <v>0.517324061863086</v>
      </c>
      <c r="GI397" s="1087">
        <v>0.522262564494554</v>
      </c>
      <c r="GJ397" s="1083">
        <f>GJ395/GJ$388</f>
        <v>0.520169277867819</v>
      </c>
      <c r="GK397" s="1093">
        <f>GK395/GK$388</f>
        <v>0.518503308236368</v>
      </c>
      <c r="GL397" s="1087">
        <v>0.535611082780894</v>
      </c>
      <c r="GM397" s="1087">
        <v>0.534579778544201</v>
      </c>
      <c r="GN397" s="1083">
        <f>GN395/GN$388</f>
        <v>0.535112359550562</v>
      </c>
      <c r="GO397" s="1087">
        <v>0.520904836193448</v>
      </c>
      <c r="GP397" s="1083">
        <f>GP395/GP$388</f>
        <v>0.529996629592181</v>
      </c>
      <c r="GQ397" s="1087">
        <v>0.489467374550437</v>
      </c>
      <c r="GR397" s="1083">
        <f>GR395/GR$388</f>
        <v>0.50591885051841</v>
      </c>
      <c r="GS397" s="1093">
        <f>GS395/GS$388</f>
        <v>0.519986464193562</v>
      </c>
      <c r="GT397" s="1087">
        <v>0.493372606774668</v>
      </c>
      <c r="GU397" s="1087">
        <v>0.510248705725935</v>
      </c>
      <c r="GV397" s="1083">
        <f>GV395/GV$388</f>
        <v>0.500621305727427</v>
      </c>
      <c r="GW397" s="1087">
        <f>GW395/GW388</f>
        <v>0.500308333453492</v>
      </c>
      <c r="GX397" s="1083">
        <f>GX395/GX$388</f>
        <v>0.500490732737319</v>
      </c>
      <c r="GY397" s="1087">
        <v>0.486659140873582</v>
      </c>
      <c r="GZ397" s="1083">
        <f>GZ395/GZ$388</f>
        <v>0.49373051712365</v>
      </c>
      <c r="HA397" s="1093">
        <f>HA395/HA$388</f>
        <v>0.496623664583753</v>
      </c>
      <c r="HB397" s="1087">
        <v>0.518223234624146</v>
      </c>
      <c r="HC397" s="1087">
        <v>0.51841638763049</v>
      </c>
      <c r="HD397" s="1083">
        <f>HD395/HD$388</f>
        <v>0.518318028032866</v>
      </c>
      <c r="HE397" s="1087">
        <v>0.501390820584144</v>
      </c>
      <c r="HF397" s="1083">
        <f>HF395/HF$388</f>
        <v>0.512269366962788</v>
      </c>
      <c r="HG397" s="1083">
        <f>HG395/HG$388</f>
        <v>0.490364025695932</v>
      </c>
      <c r="HH397" s="1083">
        <f>HH395/HH$388</f>
        <v>0.496188814399853</v>
      </c>
      <c r="HI397" s="1093">
        <f>HI395/HI$388</f>
        <v>0.506969953847603</v>
      </c>
      <c r="HJ397" s="1087">
        <v>0.499434175782724</v>
      </c>
      <c r="HK397" s="1087">
        <v>0.502948007861354</v>
      </c>
      <c r="HL397" s="1083">
        <f>HL395/HL$388</f>
        <v>0.501238645747316</v>
      </c>
      <c r="HM397" s="1087">
        <v>0.490948813982522</v>
      </c>
      <c r="HN397" s="1083">
        <f>HN395/HN$388</f>
        <v>0.497428786040331</v>
      </c>
      <c r="HO397" s="1083">
        <f>HO395/HO$388</f>
        <v>0.391045349730976</v>
      </c>
      <c r="HP397" s="1083">
        <f>HP395/HP$388</f>
        <v>0.441725637309234</v>
      </c>
      <c r="HQ397" s="1093">
        <f>HQ395/HQ$388</f>
        <v>0.472835502643152</v>
      </c>
      <c r="HR397" s="1087">
        <v>0.448047023132347</v>
      </c>
      <c r="HS397" s="1087">
        <v>0.485332793849888</v>
      </c>
      <c r="HT397" s="1083">
        <f>HT395/HT$388</f>
        <v>0.467275046609753</v>
      </c>
      <c r="HU397" s="1087">
        <v>0.473535138962648</v>
      </c>
      <c r="HV397" s="1083">
        <f>HV395/HV$388</f>
        <v>0.470160576558351</v>
      </c>
      <c r="HW397" s="1083">
        <f>HW395/HW$388</f>
        <v>0.446176226101413</v>
      </c>
      <c r="HX397" s="1083">
        <f>HX395/HX$388</f>
        <v>0.460950195965969</v>
      </c>
      <c r="HY397" s="1093">
        <f>HY395/HY$388</f>
        <v>0.463487764774156</v>
      </c>
      <c r="HZ397" s="1087">
        <v>0.505</v>
      </c>
      <c r="IA397" s="1087">
        <f>HS397+0.02</f>
        <v>0.505332793849888</v>
      </c>
      <c r="IB397" s="1083">
        <f>IB395/IB$388</f>
        <v>0.505171177220867</v>
      </c>
      <c r="IC397" s="1087">
        <f>HU397+0.036</f>
        <v>0.509535138962648</v>
      </c>
      <c r="ID397" s="1083">
        <f>ID395/ID$388</f>
        <v>0.507584665336819</v>
      </c>
      <c r="IE397" s="1083">
        <f>IE395/IE$388</f>
        <v>0.499857431564694</v>
      </c>
      <c r="IF397" s="1083">
        <f>IF395/IF$388</f>
        <v>0.50451193402493</v>
      </c>
      <c r="IG397" s="1093">
        <f>IG395/IG$388</f>
        <v>0.505</v>
      </c>
      <c r="IH397" s="1087">
        <v>0.520884121566715</v>
      </c>
      <c r="II397" s="1087">
        <v>0.516969086021505</v>
      </c>
      <c r="IJ397" s="1083">
        <f>IJ395/IJ$388</f>
        <v>0.518959107806691</v>
      </c>
      <c r="IK397" s="1087">
        <v>0.518099547511312</v>
      </c>
      <c r="IL397" s="1083">
        <f>IL395/IL$388</f>
        <v>0.519431228951729</v>
      </c>
      <c r="IM397" s="1083">
        <f>IM395/IM$388</f>
        <v>0.508229098090849</v>
      </c>
      <c r="IN397" s="1083">
        <f>IN395/IN$388</f>
        <v>0.515285567580378</v>
      </c>
      <c r="IO397" s="1093">
        <f>IO395/IO$388</f>
        <v>0.516101729071783</v>
      </c>
      <c r="IP397" s="1087">
        <v>0.511074029126214</v>
      </c>
      <c r="IQ397" s="1087">
        <v>0.524988877354293</v>
      </c>
      <c r="IR397" s="1083">
        <f>IR395/IR$388</f>
        <v>0.518110236220472</v>
      </c>
      <c r="IS397" s="1087">
        <f>IK397</f>
        <v>0.518099547511312</v>
      </c>
      <c r="IT397" s="1083">
        <f>IT395/IT$388</f>
        <v>0.518106460922282</v>
      </c>
      <c r="IU397" s="1083">
        <f>IU395/IU$388</f>
        <v>0.509334937888273</v>
      </c>
      <c r="IV397" s="1083">
        <f>IV395/IV$388</f>
        <v>0.513960563820675</v>
      </c>
      <c r="IW397" s="1093">
        <f>IW395/IW$388</f>
        <v>0.516</v>
      </c>
      <c r="IX397" s="1322"/>
      <c r="IY397" s="1037"/>
      <c r="IZ397" s="1082"/>
      <c r="JA397" s="1082"/>
      <c r="JB397" s="1082"/>
      <c r="JC397" s="1321"/>
      <c r="JD397" s="1321"/>
      <c r="JE397" s="1321"/>
      <c r="JF397" s="1321"/>
      <c r="JG397" s="1321"/>
      <c r="JH397" s="1321"/>
      <c r="JI397" s="1321"/>
      <c r="JJ397" s="765"/>
      <c r="JK397" s="765"/>
      <c r="JL397" s="765"/>
      <c r="JM397" s="765"/>
      <c r="JN397" s="765"/>
      <c r="JO397" s="765"/>
      <c r="JP397" s="765"/>
      <c r="JQ397" s="765"/>
      <c r="JR397" s="1035"/>
      <c r="JS397" s="1035"/>
      <c r="JT397" s="1035"/>
      <c r="JU397" s="1035"/>
      <c r="JV397" s="1035"/>
      <c r="JW397" s="1035"/>
      <c r="JX397" s="1035"/>
      <c r="JY397" s="1035"/>
      <c r="KP397" s="967"/>
    </row>
    <row r="398" spans="1:334">
      <c r="A398" s="1035" t="s">
        <v>585</v>
      </c>
      <c r="B398" s="1302"/>
      <c r="C398" s="1302"/>
      <c r="D398" s="1302"/>
      <c r="E398" s="1302"/>
      <c r="F398" s="1302"/>
      <c r="G398" s="1302"/>
      <c r="H398" s="1302"/>
      <c r="I398" s="1302"/>
      <c r="J398" s="1302"/>
      <c r="K398" s="1302"/>
      <c r="L398" s="1302"/>
      <c r="M398" s="1302"/>
      <c r="N398" s="1302"/>
      <c r="O398" s="1302"/>
      <c r="P398" s="1302"/>
      <c r="Q398" s="1302"/>
      <c r="R398" s="1302"/>
      <c r="S398" s="1302"/>
      <c r="T398" s="1302"/>
      <c r="U398" s="1302"/>
      <c r="V398" s="1302"/>
      <c r="W398" s="1302"/>
      <c r="X398" s="1302"/>
      <c r="Y398" s="1302"/>
      <c r="Z398" s="1302"/>
      <c r="AA398" s="1302"/>
      <c r="AB398" s="1302"/>
      <c r="AC398" s="1302"/>
      <c r="AD398" s="1302"/>
      <c r="AE398" s="1302"/>
      <c r="AF398" s="1302"/>
      <c r="AG398" s="1302"/>
      <c r="AH398" s="1323">
        <f>(AH397-Z397)*10000</f>
        <v>80.2516838886885</v>
      </c>
      <c r="AI398" s="1323">
        <f t="shared" ref="AI398" si="2393">(AI397-AA397)*10000</f>
        <v>315.068493150686</v>
      </c>
      <c r="AJ398" s="1323">
        <f t="shared" ref="AJ398" si="2394">(AJ397-AB397)*10000</f>
        <v>189.972548697191</v>
      </c>
      <c r="AK398" s="1323">
        <f t="shared" ref="AK398" si="2395">(AK397-AC397)*10000</f>
        <v>95.0127177307708</v>
      </c>
      <c r="AL398" s="1323">
        <f t="shared" ref="AL398" si="2396">(AL397-AD397)*10000</f>
        <v>153.914026106316</v>
      </c>
      <c r="AM398" s="1323">
        <f t="shared" ref="AM398" si="2397">(AM397-AE397)*10000</f>
        <v>378.685134420236</v>
      </c>
      <c r="AN398" s="1323">
        <f t="shared" ref="AN398" si="2398">(AN397-AF397)*10000</f>
        <v>215.848038230264</v>
      </c>
      <c r="AO398" s="1324">
        <f t="shared" ref="AO398:AP398" si="2399">(AO397-AG397)*10000</f>
        <v>199.561916691839</v>
      </c>
      <c r="AP398" s="1323">
        <f t="shared" si="2399"/>
        <v>-68.7668770369476</v>
      </c>
      <c r="AQ398" s="1323">
        <f t="shared" ref="AQ398" si="2400">(AQ397-AI397)*10000</f>
        <v>-116.350544432737</v>
      </c>
      <c r="AR398" s="1323">
        <f t="shared" ref="AR398" si="2401">(AR397-AJ397)*10000</f>
        <v>-94.1477611416958</v>
      </c>
      <c r="AS398" s="1323">
        <f t="shared" ref="AS398" si="2402">(AS397-AK397)*10000</f>
        <v>29.5879830763551</v>
      </c>
      <c r="AT398" s="1323">
        <f t="shared" ref="AT398" si="2403">(AT397-AL397)*10000</f>
        <v>-47.2988484213777</v>
      </c>
      <c r="AU398" s="1323">
        <f t="shared" ref="AU398" si="2404">(AU397-AM397)*10000</f>
        <v>-101.601852658391</v>
      </c>
      <c r="AV398" s="1323">
        <f t="shared" ref="AV398" si="2405">(AV397-AN397)*10000</f>
        <v>-32.1314588415567</v>
      </c>
      <c r="AW398" s="1324">
        <f t="shared" ref="AW398:AX398" si="2406">(AW397-AO397)*10000</f>
        <v>-60.0803335124012</v>
      </c>
      <c r="AX398" s="1323">
        <f t="shared" si="2406"/>
        <v>-33.4802067793083</v>
      </c>
      <c r="AY398" s="1323">
        <f t="shared" ref="AY398" si="2407">(AY397-AQ397)*10000</f>
        <v>6.32591093117418</v>
      </c>
      <c r="AZ398" s="1323">
        <f t="shared" ref="AZ398" si="2408">(AZ397-AR397)*10000</f>
        <v>-9.82029296486331</v>
      </c>
      <c r="BA398" s="1323">
        <f t="shared" ref="BA398" si="2409">(BA397-AS397)*10000</f>
        <v>-145.930982100919</v>
      </c>
      <c r="BB398" s="1323">
        <f t="shared" ref="BB398" si="2410">(BB397-AT397)*10000</f>
        <v>-4.44972410569955</v>
      </c>
      <c r="BC398" s="1323">
        <f t="shared" ref="BC398" si="2411">(BC397-AU397)*10000</f>
        <v>-140.272432439106</v>
      </c>
      <c r="BD398" s="1323">
        <f t="shared" ref="BD398" si="2412">(BD397-AV397)*10000</f>
        <v>-143.629288347762</v>
      </c>
      <c r="BE398" s="1324">
        <f t="shared" ref="BE398:BF398" si="2413">(BE397-AW397)*10000</f>
        <v>-48.9582624701151</v>
      </c>
      <c r="BF398" s="1323">
        <f t="shared" si="2413"/>
        <v>10.2272566970901</v>
      </c>
      <c r="BG398" s="1323">
        <f t="shared" ref="BG398" si="2414">(BG397-AY397)*10000</f>
        <v>-40.2786754473305</v>
      </c>
      <c r="BH398" s="1323">
        <f t="shared" ref="BH398" si="2415">(BH397-AZ397)*10000</f>
        <v>-9.90184882695588</v>
      </c>
      <c r="BI398" s="1323">
        <f t="shared" ref="BI398" si="2416">(BI397-BA397)*10000</f>
        <v>174.552563664996</v>
      </c>
      <c r="BJ398" s="1323">
        <f t="shared" ref="BJ398" si="2417">(BJ397-BB397)*10000</f>
        <v>2.69541625664005</v>
      </c>
      <c r="BK398" s="1323">
        <f t="shared" ref="BK398" si="2418">(BK397-BC397)*10000</f>
        <v>89.0424715350296</v>
      </c>
      <c r="BL398" s="1323">
        <f t="shared" ref="BL398" si="2419">(BL397-BD397)*10000</f>
        <v>136.818509550012</v>
      </c>
      <c r="BM398" s="1324">
        <f t="shared" ref="BM398:BN398" si="2420">(BM397-BE397)*10000</f>
        <v>36.0402109733227</v>
      </c>
      <c r="BN398" s="1323">
        <f t="shared" si="2420"/>
        <v>72.2285503591674</v>
      </c>
      <c r="BO398" s="1323">
        <f t="shared" ref="BO398" si="2421">(BO397-BG397)*10000</f>
        <v>-1.69047155811453</v>
      </c>
      <c r="BP398" s="1323">
        <f t="shared" ref="BP398" si="2422">(BP397-BH397)*10000</f>
        <v>31.2774195586024</v>
      </c>
      <c r="BQ398" s="1323">
        <f t="shared" ref="BQ398" si="2423">(BQ397-BI397)*10000</f>
        <v>130.536270084895</v>
      </c>
      <c r="BR398" s="1323">
        <f t="shared" ref="BR398" si="2424">(BR397-BJ397)*10000</f>
        <v>68.9652665503382</v>
      </c>
      <c r="BS398" s="1323">
        <f t="shared" ref="BS398" si="2425">(BS397-BK397)*10000</f>
        <v>536.97796660042</v>
      </c>
      <c r="BT398" s="1323">
        <f t="shared" ref="BT398" si="2426">(BT397-BL397)*10000</f>
        <v>305.337312266373</v>
      </c>
      <c r="BU398" s="1324">
        <f t="shared" ref="BU398:BV398" si="2427">(BU397-BM397)*10000</f>
        <v>171.50734688819</v>
      </c>
      <c r="BV398" s="1323">
        <f t="shared" si="2427"/>
        <v>449.621692421308</v>
      </c>
      <c r="BW398" s="1323">
        <f t="shared" ref="BW398" si="2428">(BW397-BO397)*10000</f>
        <v>428.065544315637</v>
      </c>
      <c r="BX398" s="1323">
        <f t="shared" ref="BX398" si="2429">(BX397-BP397)*10000</f>
        <v>445.452671117423</v>
      </c>
      <c r="BY398" s="1323">
        <f t="shared" ref="BY398" si="2430">(BY397-BQ397)*10000</f>
        <v>328.833665789327</v>
      </c>
      <c r="BZ398" s="1323">
        <f t="shared" ref="BZ398" si="2431">(BZ397-BR397)*10000</f>
        <v>401.471344867571</v>
      </c>
      <c r="CA398" s="1323">
        <f t="shared" ref="CA398" si="2432">(CA397-BS397)*10000</f>
        <v>-19.9335055798994</v>
      </c>
      <c r="CB398" s="1323">
        <f t="shared" ref="CB398" si="2433">(CB397-BT397)*10000</f>
        <v>846.658784219529</v>
      </c>
      <c r="CC398" s="1324">
        <f t="shared" ref="CC398:CD398" si="2434">(CC397-BU397)*10000</f>
        <v>310.982050874369</v>
      </c>
      <c r="CD398" s="1323">
        <f t="shared" si="2434"/>
        <v>108.063776254883</v>
      </c>
      <c r="CE398" s="1323">
        <f t="shared" ref="CE398" si="2435">(CE397-BW397)*10000</f>
        <v>-2.58484798833836</v>
      </c>
      <c r="CF398" s="1323">
        <f t="shared" ref="CF398" si="2436">(CF397-BX397)*10000</f>
        <v>54.0787035268564</v>
      </c>
      <c r="CG398" s="1323">
        <f t="shared" ref="CG398" si="2437">(CG397-BY397)*10000</f>
        <v>19.430036494883</v>
      </c>
      <c r="CH398" s="1323">
        <f t="shared" ref="CH398" si="2438">(CH397-BZ397)*10000</f>
        <v>41.0164250209416</v>
      </c>
      <c r="CI398" s="1323">
        <f t="shared" ref="CI398" si="2439">(CI397-CA397)*10000</f>
        <v>-58.4569648114802</v>
      </c>
      <c r="CJ398" s="1323">
        <f t="shared" ref="CJ398" si="2440">(CJ397-CB397)*10000</f>
        <v>-681.368144142013</v>
      </c>
      <c r="CK398" s="1324">
        <f t="shared" ref="CK398:CL398" si="2441">(CK397-CC397)*10000</f>
        <v>17.0658753489367</v>
      </c>
      <c r="CL398" s="1323">
        <f t="shared" si="2441"/>
        <v>-303.908182659453</v>
      </c>
      <c r="CM398" s="1323">
        <f t="shared" ref="CM398" si="2442">(CM397-CE397)*10000</f>
        <v>-436.475507817763</v>
      </c>
      <c r="CN398" s="1323">
        <f t="shared" ref="CN398" si="2443">(CN397-CF397)*10000</f>
        <v>-367.72738393815</v>
      </c>
      <c r="CO398" s="1323">
        <f t="shared" ref="CO398" si="2444">(CO397-CG397)*10000</f>
        <v>-354.639403469516</v>
      </c>
      <c r="CP398" s="1323">
        <f t="shared" ref="CP398" si="2445">(CP397-CH397)*10000</f>
        <v>-362.801702453594</v>
      </c>
      <c r="CQ398" s="1323">
        <f t="shared" ref="CQ398" si="2446">(CQ397-CI397)*10000</f>
        <v>-361.343913561269</v>
      </c>
      <c r="CR398" s="1323">
        <f t="shared" ref="CR398" si="2447">(CR397-CJ397)*10000</f>
        <v>-356.206110730849</v>
      </c>
      <c r="CS398" s="1324">
        <f t="shared" ref="CS398:CT398" si="2448">(CS397-CK397)*10000</f>
        <v>-361.557131730485</v>
      </c>
      <c r="CT398" s="1323">
        <f t="shared" si="2448"/>
        <v>179.021051629706</v>
      </c>
      <c r="CU398" s="1323">
        <f t="shared" ref="CU398" si="2449">(CU397-CM397)*10000</f>
        <v>277.086765513454</v>
      </c>
      <c r="CV398" s="1323">
        <f t="shared" ref="CV398" si="2450">(CV397-CN397)*10000</f>
        <v>227.085970391355</v>
      </c>
      <c r="CW398" s="1323">
        <f t="shared" ref="CW398" si="2451">(CW397-CO397)*10000</f>
        <v>359.061082491671</v>
      </c>
      <c r="CX398" s="1323">
        <f t="shared" ref="CX398" si="2452">(CX397-CP397)*10000</f>
        <v>276.297750282621</v>
      </c>
      <c r="CY398" s="1323">
        <f t="shared" ref="CY398" si="2453">(CY397-CQ397)*10000</f>
        <v>312.864570077633</v>
      </c>
      <c r="CZ398" s="1323">
        <f t="shared" ref="CZ398" si="2454">(CZ397-CR397)*10000</f>
        <v>335.312754579819</v>
      </c>
      <c r="DA398" s="1324">
        <f t="shared" ref="DA398:DB398" si="2455">(DA397-CS397)*10000</f>
        <v>283.16982944355</v>
      </c>
      <c r="DB398" s="1323">
        <f t="shared" si="2455"/>
        <v>14.9009453550575</v>
      </c>
      <c r="DC398" s="1323">
        <f t="shared" ref="DC398" si="2456">(DC397-CU397)*10000</f>
        <v>-87.7287191726334</v>
      </c>
      <c r="DD398" s="1323">
        <f t="shared" ref="DD398" si="2457">(DD397-CV397)*10000</f>
        <v>-35.1603890583785</v>
      </c>
      <c r="DE398" s="1323">
        <f t="shared" ref="DE398" si="2458">(DE397-CW397)*10000</f>
        <v>-94.3575939012337</v>
      </c>
      <c r="DF398" s="1323">
        <f t="shared" ref="DF398" si="2459">(DF397-CX397)*10000</f>
        <v>-57.0835322220803</v>
      </c>
      <c r="DG398" s="1323">
        <f t="shared" ref="DG398" si="2460">(DG397-CY397)*10000</f>
        <v>-256.776066286823</v>
      </c>
      <c r="DH398" s="1323">
        <f t="shared" ref="DH398" si="2461">(DH397-CZ397)*10000</f>
        <v>-169.18722039669</v>
      </c>
      <c r="DI398" s="1324">
        <f t="shared" ref="DI398:DJ398" si="2462">(DI397-DA397)*10000</f>
        <v>514.742157221413</v>
      </c>
      <c r="DJ398" s="1323">
        <f t="shared" si="2462"/>
        <v>-175.752009184845</v>
      </c>
      <c r="DK398" s="1323">
        <f t="shared" ref="DK398" si="2463">(DK397-DC397)*10000</f>
        <v>-153.937947494033</v>
      </c>
      <c r="DL398" s="1323">
        <f t="shared" ref="DL398" si="2464">(DL397-DD397)*10000</f>
        <v>-165.010304417962</v>
      </c>
      <c r="DM398" s="1323">
        <f t="shared" ref="DM398" si="2465">(DM397-DE397)*10000</f>
        <v>-234.533939590776</v>
      </c>
      <c r="DN398" s="1323">
        <f t="shared" ref="DN398" si="2466">(DN397-DF397)*10000</f>
        <v>-191.877298525483</v>
      </c>
      <c r="DO398" s="1323">
        <f t="shared" ref="DO398" si="2467">(DO397-DG397)*10000</f>
        <v>217.826086956522</v>
      </c>
      <c r="DP398" s="1323">
        <f t="shared" ref="DP398" si="2468">(DP397-DH397)*10000</f>
        <v>-23.8095072550715</v>
      </c>
      <c r="DQ398" s="1324">
        <f t="shared" ref="DQ398:DR398" si="2469">(DQ397-DI397)*10000</f>
        <v>-716.406764430204</v>
      </c>
      <c r="DR398" s="1323">
        <f t="shared" si="2469"/>
        <v>340</v>
      </c>
      <c r="DS398" s="1323">
        <f t="shared" ref="DS398" si="2470">(DS397-DK397)*10000</f>
        <v>390</v>
      </c>
      <c r="DT398" s="1323">
        <f t="shared" ref="DT398" si="2471">(DT397-DL397)*10000</f>
        <v>369.761620977354</v>
      </c>
      <c r="DU398" s="1323">
        <f t="shared" ref="DU398" si="2472">(DU397-DM397)*10000</f>
        <v>200</v>
      </c>
      <c r="DV398" s="1323">
        <f t="shared" ref="DV398" si="2473">(DV397-DN397)*10000</f>
        <v>303.127603180613</v>
      </c>
      <c r="DW398" s="1323">
        <f t="shared" ref="DW398" si="2474">(DW397-DO397)*10000</f>
        <v>25.4433833560702</v>
      </c>
      <c r="DX398" s="1323">
        <f t="shared" ref="DX398" si="2475">(DX397-DP397)*10000</f>
        <v>115.60251123385</v>
      </c>
      <c r="DY398" s="1324">
        <f t="shared" ref="DY398:DZ398" si="2476">(DY397-DQ397)*10000</f>
        <v>238.252681267399</v>
      </c>
      <c r="DZ398" s="1323">
        <f t="shared" si="2476"/>
        <v>-10</v>
      </c>
      <c r="EA398" s="1323">
        <f t="shared" ref="EA398" si="2477">(EA397-DS397)*10000</f>
        <v>30</v>
      </c>
      <c r="EB398" s="1323">
        <f t="shared" ref="EB398" si="2478">(EB397-DT397)*10000</f>
        <v>1.49755404765639</v>
      </c>
      <c r="EC398" s="1323">
        <f t="shared" ref="EC398" si="2479">(EC397-DU397)*10000</f>
        <v>-23.8034188034186</v>
      </c>
      <c r="ED398" s="1323">
        <f t="shared" ref="ED398" si="2480">(ED397-DV397)*10000</f>
        <v>-3.60777700624926</v>
      </c>
      <c r="EE398" s="1323">
        <f t="shared" ref="EE398" si="2481">(EE397-DW397)*10000</f>
        <v>-85.1224947414453</v>
      </c>
      <c r="EF398" s="1323">
        <f t="shared" ref="EF398" si="2482">(EF397-DX397)*10000</f>
        <v>-37.5831871868276</v>
      </c>
      <c r="EG398" s="1324">
        <f t="shared" ref="EG398:EH398" si="2483">(EG397-DY397)*10000</f>
        <v>-15.266688111083</v>
      </c>
      <c r="EH398" s="1323">
        <f t="shared" si="2483"/>
        <v>-80.0000000000001</v>
      </c>
      <c r="EI398" s="1323">
        <f t="shared" ref="EI398" si="2484">(EI397-EA397)*10000</f>
        <v>-94.8649417116859</v>
      </c>
      <c r="EJ398" s="1323">
        <f t="shared" ref="EJ398" si="2485">(EJ397-EB397)*10000</f>
        <v>-82.4238583658693</v>
      </c>
      <c r="EK398" s="1323">
        <f t="shared" ref="EK398" si="2486">(EK397-EC397)*10000</f>
        <v>33.7986260883461</v>
      </c>
      <c r="EL398" s="1323">
        <f t="shared" ref="EL398" si="2487">(EL397-ED397)*10000</f>
        <v>-38.7302462697625</v>
      </c>
      <c r="EM398" s="1323">
        <f t="shared" ref="EM398" si="2488">(EM397-EE397)*10000</f>
        <v>197.767564932421</v>
      </c>
      <c r="EN398" s="1323">
        <f t="shared" ref="EN398" si="2489">(EN397-EF397)*10000</f>
        <v>94.3981202284622</v>
      </c>
      <c r="EO398" s="1324">
        <f t="shared" ref="EO398:EP398" si="2490">(EO397-EG397)*10000</f>
        <v>11.1834628069213</v>
      </c>
      <c r="EP398" s="1323">
        <f t="shared" si="2490"/>
        <v>244.662756598241</v>
      </c>
      <c r="EQ398" s="1323">
        <f t="shared" ref="EQ398" si="2491">(EQ397-EI397)*10000</f>
        <v>182.254832341305</v>
      </c>
      <c r="ER398" s="1323">
        <f t="shared" ref="ER398" si="2492">(ER397-EJ397)*10000</f>
        <v>212.140209560714</v>
      </c>
      <c r="ES398" s="1323">
        <f t="shared" ref="ES398" si="2493">(ES397-EK397)*10000</f>
        <v>191.688216277847</v>
      </c>
      <c r="ET398" s="1323">
        <f t="shared" ref="ET398" si="2494">(ET397-EL397)*10000</f>
        <v>205.539694028759</v>
      </c>
      <c r="EU398" s="1323">
        <f t="shared" ref="EU398" si="2495">(EU397-EM397)*10000</f>
        <v>-9.59750787300207</v>
      </c>
      <c r="EV398" s="1323">
        <f t="shared" ref="EV398" si="2496">(EV397-EN397)*10000</f>
        <v>96.9891611415685</v>
      </c>
      <c r="EW398" s="1324">
        <f t="shared" ref="EW398:EX398" si="2497">(EW397-EO397)*10000</f>
        <v>153.624993135805</v>
      </c>
      <c r="EX398" s="1323">
        <f t="shared" si="2497"/>
        <v>-96.5357815910584</v>
      </c>
      <c r="EY398" s="1323">
        <f t="shared" ref="EY398:FS398" si="2498">(EY397-EQ397)*10000</f>
        <v>-83.9054880398599</v>
      </c>
      <c r="EZ398" s="1323">
        <f t="shared" si="2498"/>
        <v>-90.4405370203754</v>
      </c>
      <c r="FA398" s="1323">
        <f t="shared" si="2498"/>
        <v>-188.854541268016</v>
      </c>
      <c r="FB398" s="1323">
        <f t="shared" si="2498"/>
        <v>-128.308326433421</v>
      </c>
      <c r="FC398" s="1323">
        <f t="shared" si="2498"/>
        <v>-258.18623653277</v>
      </c>
      <c r="FD398" s="1323">
        <f t="shared" si="2498"/>
        <v>-221.340437925037</v>
      </c>
      <c r="FE398" s="1324">
        <f t="shared" si="2498"/>
        <v>-162.526739424579</v>
      </c>
      <c r="FF398" s="1323">
        <f t="shared" si="2498"/>
        <v>-0.174489089964092</v>
      </c>
      <c r="FG398" s="1323">
        <f t="shared" si="2498"/>
        <v>-88.572705635574</v>
      </c>
      <c r="FH398" s="1323">
        <f t="shared" si="2498"/>
        <v>-43.4266848679327</v>
      </c>
      <c r="FI398" s="1323">
        <f t="shared" si="2498"/>
        <v>100.559808056304</v>
      </c>
      <c r="FJ398" s="1323">
        <f t="shared" si="2498"/>
        <v>9.78069663148617</v>
      </c>
      <c r="FK398" s="1323">
        <f t="shared" si="2498"/>
        <v>228.985118114005</v>
      </c>
      <c r="FL398" s="1323">
        <f t="shared" si="2498"/>
        <v>161.708017411302</v>
      </c>
      <c r="FM398" s="1324">
        <f t="shared" si="2498"/>
        <v>64.5206759203915</v>
      </c>
      <c r="FN398" s="1323">
        <f t="shared" si="2498"/>
        <v>26.4803092180305</v>
      </c>
      <c r="FO398" s="1323">
        <f t="shared" si="2498"/>
        <v>46.3905865637892</v>
      </c>
      <c r="FP398" s="1323">
        <f t="shared" si="2498"/>
        <v>36.7090172550327</v>
      </c>
      <c r="FQ398" s="1323">
        <f t="shared" si="2498"/>
        <v>-87.2911293754519</v>
      </c>
      <c r="FR398" s="1323">
        <f t="shared" si="2498"/>
        <v>-9.15500507023159</v>
      </c>
      <c r="FS398" s="1325">
        <f t="shared" si="2498"/>
        <v>163.339280725942</v>
      </c>
      <c r="FT398" s="1325">
        <f t="shared" ref="FT398:GC398" si="2499">(FT397-FL397)*10000</f>
        <v>29.3806411453468</v>
      </c>
      <c r="FU398" s="1325">
        <f t="shared" si="2499"/>
        <v>33.2545844521609</v>
      </c>
      <c r="FV398" s="1326">
        <f t="shared" si="2499"/>
        <v>17.0067935536977</v>
      </c>
      <c r="FW398" s="1325">
        <f t="shared" si="2499"/>
        <v>130.607204374047</v>
      </c>
      <c r="FX398" s="1325">
        <f t="shared" si="2499"/>
        <v>71.6367831755893</v>
      </c>
      <c r="FY398" s="1325">
        <f t="shared" si="2499"/>
        <v>287.932026907448</v>
      </c>
      <c r="FZ398" s="1325">
        <f t="shared" si="2499"/>
        <v>150.668317169785</v>
      </c>
      <c r="GA398" s="1325">
        <f t="shared" si="2499"/>
        <v>283.510132525112</v>
      </c>
      <c r="GB398" s="1325">
        <f t="shared" si="2499"/>
        <v>286.731672980976</v>
      </c>
      <c r="GC398" s="1327">
        <f t="shared" si="2499"/>
        <v>182.197290259096</v>
      </c>
      <c r="GD398" s="1325">
        <f t="shared" ref="GD398:GT398" si="2500">(GD397-FV397)*10000</f>
        <v>148.509942673707</v>
      </c>
      <c r="GE398" s="1325">
        <f t="shared" si="2500"/>
        <v>217.13442011026</v>
      </c>
      <c r="GF398" s="1325">
        <f t="shared" si="2500"/>
        <v>182.223142082518</v>
      </c>
      <c r="GG398" s="1325">
        <f t="shared" si="2500"/>
        <v>139.011447362981</v>
      </c>
      <c r="GH398" s="1325">
        <f t="shared" si="2500"/>
        <v>167.053265580494</v>
      </c>
      <c r="GI398" s="1325">
        <f t="shared" si="2500"/>
        <v>56.4864044392077</v>
      </c>
      <c r="GJ398" s="1325">
        <f t="shared" si="2500"/>
        <v>100.1462908824</v>
      </c>
      <c r="GK398" s="1327">
        <f t="shared" si="2500"/>
        <v>140.731074634389</v>
      </c>
      <c r="GL398" s="1325">
        <f t="shared" si="2500"/>
        <v>246.161296446288</v>
      </c>
      <c r="GM398" s="1325">
        <f t="shared" si="2500"/>
        <v>116.753877439726</v>
      </c>
      <c r="GN398" s="1325">
        <f t="shared" si="2500"/>
        <v>183.207969638285</v>
      </c>
      <c r="GO398" s="1325">
        <f t="shared" si="2500"/>
        <v>26.0073266884364</v>
      </c>
      <c r="GP398" s="1325">
        <f t="shared" si="2500"/>
        <v>126.725677290948</v>
      </c>
      <c r="GQ398" s="1325">
        <f t="shared" si="2500"/>
        <v>-327.951899441173</v>
      </c>
      <c r="GR398" s="1325">
        <f t="shared" si="2500"/>
        <v>-142.504273494095</v>
      </c>
      <c r="GS398" s="1327">
        <f t="shared" si="2500"/>
        <v>14.8315595719428</v>
      </c>
      <c r="GT398" s="1325">
        <f t="shared" si="2500"/>
        <v>-422.384760062259</v>
      </c>
      <c r="GU398" s="1325">
        <f t="shared" ref="GU398" si="2501">(GU397-GM397)*10000</f>
        <v>-243.310728182657</v>
      </c>
      <c r="GV398" s="1325">
        <f t="shared" ref="GV398" si="2502">(GV397-GN397)*10000</f>
        <v>-344.910538231351</v>
      </c>
      <c r="GW398" s="1325">
        <f t="shared" ref="GW398" si="2503">(GW397-GO397)*10000</f>
        <v>-205.965027399555</v>
      </c>
      <c r="GX398" s="1325">
        <f t="shared" ref="GX398" si="2504">(GX397-GP397)*10000</f>
        <v>-295.058968548617</v>
      </c>
      <c r="GY398" s="1325">
        <f t="shared" ref="GY398" si="2505">(GY397-GQ397)*10000</f>
        <v>-28.0823367685445</v>
      </c>
      <c r="GZ398" s="1325">
        <f t="shared" ref="GZ398" si="2506">(GZ397-GR397)*10000</f>
        <v>-121.883333947598</v>
      </c>
      <c r="HA398" s="1327">
        <f t="shared" ref="HA398" si="2507">(HA397-GS397)*10000</f>
        <v>-233.627996098088</v>
      </c>
      <c r="HB398" s="1325">
        <f t="shared" ref="HB398" si="2508">(HB397-GT397)*10000</f>
        <v>248.506278494774</v>
      </c>
      <c r="HC398" s="1325">
        <f t="shared" ref="HC398" si="2509">(HC397-GU397)*10000</f>
        <v>81.6768190455552</v>
      </c>
      <c r="HD398" s="1325">
        <f t="shared" ref="HD398" si="2510">(HD397-GV397)*10000</f>
        <v>176.967223054393</v>
      </c>
      <c r="HE398" s="1325">
        <f t="shared" ref="HE398" si="2511">(HE397-GW397)*10000</f>
        <v>10.8248713065229</v>
      </c>
      <c r="HF398" s="1325">
        <f t="shared" ref="HF398" si="2512">(HF397-GX397)*10000</f>
        <v>117.786342254691</v>
      </c>
      <c r="HG398" s="1325">
        <f t="shared" ref="HG398" si="2513">(HG397-GY397)*10000</f>
        <v>37.0488482234937</v>
      </c>
      <c r="HH398" s="1325">
        <f t="shared" ref="HH398" si="2514">(HH397-GZ397)*10000</f>
        <v>24.5829727620323</v>
      </c>
      <c r="HI398" s="1327">
        <f t="shared" ref="HI398" si="2515">(HI397-HA397)*10000</f>
        <v>103.462892638497</v>
      </c>
      <c r="HJ398" s="1325">
        <f t="shared" ref="HJ398" si="2516">(HJ397-HB397)*10000</f>
        <v>-187.890588414221</v>
      </c>
      <c r="HK398" s="1325">
        <f t="shared" ref="HK398" si="2517">(HK397-HC397)*10000</f>
        <v>-154.683797691364</v>
      </c>
      <c r="HL398" s="1325">
        <f t="shared" ref="HL398:HQ398" si="2518">(HL397-HD397)*10000</f>
        <v>-170.793822855497</v>
      </c>
      <c r="HM398" s="1325">
        <f t="shared" si="2518"/>
        <v>-104.420066016225</v>
      </c>
      <c r="HN398" s="1325">
        <f t="shared" si="2518"/>
        <v>-148.405809224575</v>
      </c>
      <c r="HO398" s="1325">
        <f t="shared" si="2518"/>
        <v>-993.186759649555</v>
      </c>
      <c r="HP398" s="1325">
        <f t="shared" si="2518"/>
        <v>-544.631770906194</v>
      </c>
      <c r="HQ398" s="1327">
        <f t="shared" si="2518"/>
        <v>-341.344512044507</v>
      </c>
      <c r="HR398" s="1325">
        <f t="shared" ref="HR398" si="2519">(HR397-HJ397)*10000</f>
        <v>-513.871526503764</v>
      </c>
      <c r="HS398" s="1325">
        <f t="shared" ref="HS398" si="2520">(HS397-HK397)*10000</f>
        <v>-176.152140114657</v>
      </c>
      <c r="HT398" s="1325">
        <f t="shared" ref="HT398" si="2521">(HT397-HL397)*10000</f>
        <v>-339.635991375628</v>
      </c>
      <c r="HU398" s="1325">
        <f t="shared" ref="HU398" si="2522">(HU397-HM397)*10000</f>
        <v>-174.136750198736</v>
      </c>
      <c r="HV398" s="1325">
        <f t="shared" ref="HV398" si="2523">(HV397-HN397)*10000</f>
        <v>-272.682094819795</v>
      </c>
      <c r="HW398" s="1325">
        <f t="shared" ref="HW398" si="2524">(HW397-HO397)*10000</f>
        <v>551.308763704371</v>
      </c>
      <c r="HX398" s="1325">
        <f t="shared" ref="HX398" si="2525">(HX397-HP397)*10000</f>
        <v>192.245586567353</v>
      </c>
      <c r="HY398" s="1327">
        <f t="shared" ref="HY398" si="2526">(HY397-HQ397)*10000</f>
        <v>-93.4773786899618</v>
      </c>
      <c r="HZ398" s="1325">
        <f t="shared" ref="HZ398" si="2527">(HZ397-HR397)*10000</f>
        <v>569.529768676528</v>
      </c>
      <c r="IA398" s="1325">
        <f t="shared" ref="IA398" si="2528">(IA397-HS397)*10000</f>
        <v>200</v>
      </c>
      <c r="IB398" s="1325">
        <f t="shared" ref="IB398" si="2529">(IB397-HT397)*10000</f>
        <v>378.961306111132</v>
      </c>
      <c r="IC398" s="1325">
        <f t="shared" ref="IC398" si="2530">(IC397-HU397)*10000</f>
        <v>360</v>
      </c>
      <c r="ID398" s="1325">
        <f t="shared" ref="ID398" si="2531">(ID397-HV397)*10000</f>
        <v>374.240887784676</v>
      </c>
      <c r="IE398" s="1325">
        <f t="shared" ref="IE398" si="2532">(IE397-HW397)*10000</f>
        <v>536.812054632808</v>
      </c>
      <c r="IF398" s="1325">
        <f t="shared" ref="IF398" si="2533">(IF397-HX397)*10000</f>
        <v>435.617380589614</v>
      </c>
      <c r="IG398" s="1327">
        <f t="shared" ref="IG398" si="2534">(IG397-HY397)*10000</f>
        <v>415.12235225844</v>
      </c>
      <c r="IH398" s="1325">
        <f t="shared" ref="IH398" si="2535">(IH397-HZ397)*10000</f>
        <v>158.841215667154</v>
      </c>
      <c r="II398" s="1325">
        <f t="shared" ref="II398" si="2536">(II397-IA397)*10000</f>
        <v>116.36292171617</v>
      </c>
      <c r="IJ398" s="1325">
        <f t="shared" ref="IJ398" si="2537">(IJ397-IB397)*10000</f>
        <v>137.879305858247</v>
      </c>
      <c r="IK398" s="1325">
        <f t="shared" ref="IK398" si="2538">(IK397-IC397)*10000</f>
        <v>85.6440854866403</v>
      </c>
      <c r="IL398" s="1325">
        <f t="shared" ref="IL398" si="2539">(IL397-ID397)*10000</f>
        <v>118.465636149107</v>
      </c>
      <c r="IM398" s="1325">
        <f t="shared" ref="IM398" si="2540">(IM397-IE397)*10000</f>
        <v>83.7166652615534</v>
      </c>
      <c r="IN398" s="1325">
        <f t="shared" ref="IN398" si="2541">(IN397-IF397)*10000</f>
        <v>107.736335554475</v>
      </c>
      <c r="IO398" s="1327">
        <f t="shared" ref="IO398" si="2542">(IO397-IG397)*10000</f>
        <v>111.017290717826</v>
      </c>
      <c r="IP398" s="1325">
        <f t="shared" ref="IP398" si="2543">(IP397-IH397)*10000</f>
        <v>-98.1009244050168</v>
      </c>
      <c r="IQ398" s="1325">
        <f t="shared" ref="IQ398" si="2544">(IQ397-II397)*10000</f>
        <v>80.1979133278796</v>
      </c>
      <c r="IR398" s="1325">
        <f t="shared" ref="IR398" si="2545">(IR397-IJ397)*10000</f>
        <v>-8.48871586218936</v>
      </c>
      <c r="IS398" s="1325">
        <f t="shared" ref="IS398" si="2546">(IS397-IK397)*10000</f>
        <v>0</v>
      </c>
      <c r="IT398" s="1325">
        <f t="shared" ref="IT398" si="2547">(IT397-IL397)*10000</f>
        <v>-13.2476802944703</v>
      </c>
      <c r="IU398" s="1325">
        <f t="shared" ref="IU398" si="2548">(IU397-IM397)*10000</f>
        <v>11.0583979742329</v>
      </c>
      <c r="IV398" s="1325">
        <f t="shared" ref="IV398:IW398" si="2549">(IV397-IN397)*10000</f>
        <v>-13.2500375970313</v>
      </c>
      <c r="IW398" s="1327">
        <f t="shared" si="2549"/>
        <v>-1.0172907178263</v>
      </c>
      <c r="IX398" s="1322"/>
      <c r="IY398" s="1037"/>
      <c r="IZ398" s="1082"/>
      <c r="JA398" s="1082"/>
      <c r="JB398" s="1082"/>
      <c r="JC398" s="1321"/>
      <c r="JD398" s="1321"/>
      <c r="JE398" s="1321"/>
      <c r="JF398" s="1321"/>
      <c r="JG398" s="1321"/>
      <c r="JH398" s="1321"/>
      <c r="JI398" s="1321"/>
      <c r="JJ398" s="765"/>
      <c r="JK398" s="765"/>
      <c r="JL398" s="765"/>
      <c r="JM398" s="765"/>
      <c r="JN398" s="765"/>
      <c r="JO398" s="765"/>
      <c r="JP398" s="765"/>
      <c r="JQ398" s="765"/>
      <c r="JR398" s="1035"/>
      <c r="JS398" s="1035"/>
      <c r="JT398" s="1035"/>
      <c r="JU398" s="1035"/>
      <c r="JV398" s="1035"/>
      <c r="JW398" s="1035"/>
      <c r="JX398" s="1035"/>
      <c r="JY398" s="1035"/>
      <c r="KP398" s="967"/>
    </row>
    <row r="399" spans="1:334">
      <c r="A399" s="1306" t="s">
        <v>147</v>
      </c>
      <c r="B399" s="1307">
        <v>23</v>
      </c>
      <c r="C399" s="1307">
        <v>25</v>
      </c>
      <c r="D399" s="1307">
        <f>B399+C399</f>
        <v>48</v>
      </c>
      <c r="E399" s="1307">
        <v>23</v>
      </c>
      <c r="F399" s="1307">
        <f>D399+E399</f>
        <v>71</v>
      </c>
      <c r="G399" s="1307">
        <v>29</v>
      </c>
      <c r="H399" s="1307">
        <f>E399+G399</f>
        <v>52</v>
      </c>
      <c r="I399" s="1307">
        <f>F399+G399</f>
        <v>100</v>
      </c>
      <c r="J399" s="1307">
        <v>11.2486</v>
      </c>
      <c r="K399" s="1307">
        <v>14.8277</v>
      </c>
      <c r="L399" s="1307">
        <f>J399+K399</f>
        <v>26.0763</v>
      </c>
      <c r="M399" s="1307">
        <v>10.7373</v>
      </c>
      <c r="N399" s="1307">
        <f>L399+M399</f>
        <v>36.8136</v>
      </c>
      <c r="O399" s="1307">
        <v>12.7825</v>
      </c>
      <c r="P399" s="1307">
        <f>M399+O399</f>
        <v>23.5198</v>
      </c>
      <c r="Q399" s="1307">
        <f>N399+O399</f>
        <v>49.5961</v>
      </c>
      <c r="R399" s="1307">
        <v>11.2486</v>
      </c>
      <c r="S399" s="1307">
        <v>9.7147</v>
      </c>
      <c r="T399" s="1307">
        <f>R399+S399</f>
        <v>20.9633</v>
      </c>
      <c r="U399" s="1307">
        <v>11.2486</v>
      </c>
      <c r="V399" s="1307">
        <f>T399+U399</f>
        <v>32.2119</v>
      </c>
      <c r="W399" s="1307">
        <v>11.2486</v>
      </c>
      <c r="X399" s="1307">
        <f>U399+W399</f>
        <v>22.4972</v>
      </c>
      <c r="Y399" s="1307">
        <f>V399+W399</f>
        <v>43.4605</v>
      </c>
      <c r="Z399" s="1307">
        <v>11.2486</v>
      </c>
      <c r="AA399" s="1307">
        <v>11.2486</v>
      </c>
      <c r="AB399" s="1307">
        <f>Z399+AA399</f>
        <v>22.4972</v>
      </c>
      <c r="AC399" s="1307">
        <v>10.7373</v>
      </c>
      <c r="AD399" s="1307">
        <f>AB399+AC399</f>
        <v>33.2345</v>
      </c>
      <c r="AE399" s="1307">
        <v>11.269052</v>
      </c>
      <c r="AF399" s="1307">
        <f>AC399+AE399</f>
        <v>22.006352</v>
      </c>
      <c r="AG399" s="1307">
        <f>AD399+AE399</f>
        <v>44.503552</v>
      </c>
      <c r="AH399" s="1307">
        <v>7.6695</v>
      </c>
      <c r="AI399" s="1307">
        <v>8.18</v>
      </c>
      <c r="AJ399" s="1307">
        <f>AH399+AI399</f>
        <v>15.8495</v>
      </c>
      <c r="AK399" s="1307">
        <v>7</v>
      </c>
      <c r="AL399" s="1307">
        <f>AJ399+AK399</f>
        <v>22.8495</v>
      </c>
      <c r="AM399" s="1307">
        <v>12</v>
      </c>
      <c r="AN399" s="1307">
        <f>AK399+AM399</f>
        <v>19</v>
      </c>
      <c r="AO399" s="1307">
        <f>AL399+AM399</f>
        <v>34.8495</v>
      </c>
      <c r="AP399" s="1307">
        <v>9</v>
      </c>
      <c r="AQ399" s="1307">
        <v>11</v>
      </c>
      <c r="AR399" s="1307">
        <f>AP399+AQ399</f>
        <v>20</v>
      </c>
      <c r="AS399" s="1307">
        <v>11</v>
      </c>
      <c r="AT399" s="1307">
        <f>AR399+AS399</f>
        <v>31</v>
      </c>
      <c r="AU399" s="1307">
        <v>12</v>
      </c>
      <c r="AV399" s="1307">
        <f>AS399+AU399</f>
        <v>23</v>
      </c>
      <c r="AW399" s="1307">
        <f>AT399+AU399</f>
        <v>43</v>
      </c>
      <c r="AX399" s="1308">
        <v>10</v>
      </c>
      <c r="AY399" s="1307">
        <v>9</v>
      </c>
      <c r="AZ399" s="1307">
        <f>AX399+AY399</f>
        <v>19</v>
      </c>
      <c r="BA399" s="1307">
        <v>9</v>
      </c>
      <c r="BB399" s="1307">
        <f>AY399+BA399</f>
        <v>18</v>
      </c>
      <c r="BC399" s="1307">
        <v>14</v>
      </c>
      <c r="BD399" s="1307">
        <f>BA399+BC399</f>
        <v>23</v>
      </c>
      <c r="BE399" s="1309">
        <f>BB399+BC399</f>
        <v>32</v>
      </c>
      <c r="BF399" s="1307">
        <v>11</v>
      </c>
      <c r="BG399" s="1307">
        <v>11.5</v>
      </c>
      <c r="BH399" s="1307">
        <f>BF399+BG399</f>
        <v>22.5</v>
      </c>
      <c r="BI399" s="1307">
        <v>12</v>
      </c>
      <c r="BJ399" s="1307">
        <f>BH399+BI399</f>
        <v>34.5</v>
      </c>
      <c r="BK399" s="1307">
        <v>12</v>
      </c>
      <c r="BL399" s="1307">
        <f>BI399+BK399</f>
        <v>24</v>
      </c>
      <c r="BM399" s="1307">
        <f>BJ399+BK399</f>
        <v>46.5</v>
      </c>
      <c r="BN399" s="1308">
        <v>11</v>
      </c>
      <c r="BO399" s="1307">
        <v>10</v>
      </c>
      <c r="BP399" s="1307">
        <f>BN399+BO399</f>
        <v>21</v>
      </c>
      <c r="BQ399" s="1307">
        <v>11</v>
      </c>
      <c r="BR399" s="1307">
        <f>BP399+BQ399</f>
        <v>32</v>
      </c>
      <c r="BS399" s="1307">
        <v>11</v>
      </c>
      <c r="BT399" s="1307">
        <f>BQ399+BS399</f>
        <v>22</v>
      </c>
      <c r="BU399" s="1309">
        <f>BR399+BS399</f>
        <v>43</v>
      </c>
      <c r="BV399" s="1308">
        <v>9</v>
      </c>
      <c r="BW399" s="1307">
        <v>11</v>
      </c>
      <c r="BX399" s="1307">
        <f>BV399+BW399</f>
        <v>20</v>
      </c>
      <c r="BY399" s="1307">
        <v>11</v>
      </c>
      <c r="BZ399" s="1307">
        <f>BX399+BY399</f>
        <v>31</v>
      </c>
      <c r="CA399" s="1307">
        <v>11</v>
      </c>
      <c r="CB399" s="1307">
        <f>BY399+CA399</f>
        <v>22</v>
      </c>
      <c r="CC399" s="1309">
        <f>BZ399+CA399</f>
        <v>42</v>
      </c>
      <c r="CD399" s="1308">
        <v>10</v>
      </c>
      <c r="CE399" s="1307">
        <v>11</v>
      </c>
      <c r="CF399" s="1307">
        <f>CD399+CE399</f>
        <v>21</v>
      </c>
      <c r="CG399" s="1307">
        <v>13</v>
      </c>
      <c r="CH399" s="1307">
        <f>CF399+CG399</f>
        <v>34</v>
      </c>
      <c r="CI399" s="1307">
        <v>13</v>
      </c>
      <c r="CJ399" s="1307">
        <f>CG399+CI399</f>
        <v>26</v>
      </c>
      <c r="CK399" s="1309">
        <f>CH399+CI399</f>
        <v>47</v>
      </c>
      <c r="CL399" s="1308">
        <v>15</v>
      </c>
      <c r="CM399" s="1307">
        <v>23</v>
      </c>
      <c r="CN399" s="1307">
        <f>CL399+CM399</f>
        <v>38</v>
      </c>
      <c r="CO399" s="1307">
        <f>CP399-CN399</f>
        <v>24</v>
      </c>
      <c r="CP399" s="1307">
        <v>62</v>
      </c>
      <c r="CQ399" s="1307">
        <f>CS399-CP399</f>
        <v>28</v>
      </c>
      <c r="CR399" s="1307">
        <f>CS399-CQ399-CO399</f>
        <v>38</v>
      </c>
      <c r="CS399" s="1309">
        <v>90</v>
      </c>
      <c r="CT399" s="1308">
        <v>23</v>
      </c>
      <c r="CU399" s="1307">
        <v>22</v>
      </c>
      <c r="CV399" s="1307">
        <f>+CT399+CU399</f>
        <v>45</v>
      </c>
      <c r="CW399" s="1307">
        <f>CX399-CV399</f>
        <v>26</v>
      </c>
      <c r="CX399" s="1307">
        <v>71</v>
      </c>
      <c r="CY399" s="1307">
        <f>DA399-CX399</f>
        <v>31</v>
      </c>
      <c r="CZ399" s="1307">
        <f>CY399+CW399</f>
        <v>57</v>
      </c>
      <c r="DA399" s="1309">
        <v>102</v>
      </c>
      <c r="DB399" s="1310">
        <v>21</v>
      </c>
      <c r="DC399" s="1311">
        <f>DD399-DB399</f>
        <v>20</v>
      </c>
      <c r="DD399" s="1311">
        <v>41</v>
      </c>
      <c r="DE399" s="1311">
        <v>23</v>
      </c>
      <c r="DF399" s="1311">
        <v>64</v>
      </c>
      <c r="DG399" s="1311">
        <f>DI399-DF399</f>
        <v>25</v>
      </c>
      <c r="DH399" s="1311">
        <f>DI399-DD399</f>
        <v>48</v>
      </c>
      <c r="DI399" s="1312">
        <f>'Profit and Loss'!O336</f>
        <v>89</v>
      </c>
      <c r="DJ399" s="1311">
        <f>DJ401*DJ388</f>
        <v>20</v>
      </c>
      <c r="DK399" s="1311">
        <f>DK401*DK388</f>
        <v>24</v>
      </c>
      <c r="DL399" s="1311">
        <f>DK399+DJ399</f>
        <v>44</v>
      </c>
      <c r="DM399" s="1311">
        <f>DM401*DM388</f>
        <v>19</v>
      </c>
      <c r="DN399" s="1311">
        <f>DM399+DL399</f>
        <v>63</v>
      </c>
      <c r="DO399" s="1311">
        <f>DO401*DO388</f>
        <v>22.99999998426</v>
      </c>
      <c r="DP399" s="1311">
        <f>DO399+DM399</f>
        <v>41.99999998426</v>
      </c>
      <c r="DQ399" s="1312">
        <f>'Profit and Loss'!P336</f>
        <v>86</v>
      </c>
      <c r="DR399" s="1311">
        <v>22</v>
      </c>
      <c r="DS399" s="1311">
        <v>24</v>
      </c>
      <c r="DT399" s="1311">
        <f>DS399+DR399</f>
        <v>46</v>
      </c>
      <c r="DU399" s="1311">
        <v>26</v>
      </c>
      <c r="DV399" s="1311">
        <f>DU399+DT399</f>
        <v>72</v>
      </c>
      <c r="DW399" s="1311">
        <f>DY399-DV399</f>
        <v>28</v>
      </c>
      <c r="DX399" s="1311">
        <f>DW399+DU399</f>
        <v>54</v>
      </c>
      <c r="DY399" s="1312">
        <f>'Profit and Loss'!Q336</f>
        <v>100</v>
      </c>
      <c r="DZ399" s="1311">
        <v>18</v>
      </c>
      <c r="EA399" s="1311">
        <v>22</v>
      </c>
      <c r="EB399" s="1311">
        <f>EA399+DZ399</f>
        <v>40</v>
      </c>
      <c r="EC399" s="1311">
        <v>23</v>
      </c>
      <c r="ED399" s="1311">
        <f>EC399+EB399</f>
        <v>63</v>
      </c>
      <c r="EE399" s="1311">
        <f>+EF399-EC399</f>
        <v>30</v>
      </c>
      <c r="EF399" s="1311">
        <f>+EG399-EB399</f>
        <v>53</v>
      </c>
      <c r="EG399" s="1312">
        <v>93</v>
      </c>
      <c r="EH399" s="1311">
        <v>25</v>
      </c>
      <c r="EI399" s="1311">
        <v>27</v>
      </c>
      <c r="EJ399" s="1311">
        <f>EI399+EH399</f>
        <v>52</v>
      </c>
      <c r="EK399" s="1311">
        <v>27</v>
      </c>
      <c r="EL399" s="1311">
        <f>EK399+EJ399</f>
        <v>79</v>
      </c>
      <c r="EM399" s="1311">
        <v>27</v>
      </c>
      <c r="EN399" s="1311">
        <f>EM399+EK399</f>
        <v>54</v>
      </c>
      <c r="EO399" s="1312">
        <f>'Profit and Loss'!S336</f>
        <v>105</v>
      </c>
      <c r="EP399" s="1311">
        <v>25</v>
      </c>
      <c r="EQ399" s="1311">
        <v>26</v>
      </c>
      <c r="ER399" s="1311">
        <f>EP399+EQ399</f>
        <v>51</v>
      </c>
      <c r="ES399" s="1311">
        <v>27</v>
      </c>
      <c r="ET399" s="1311">
        <f>ER399+ES399</f>
        <v>78</v>
      </c>
      <c r="EU399" s="1311">
        <v>26</v>
      </c>
      <c r="EV399" s="1311">
        <f>ES399+EU399</f>
        <v>53</v>
      </c>
      <c r="EW399" s="1312">
        <f>EP399+EQ399+ES399+EU399</f>
        <v>104</v>
      </c>
      <c r="EX399" s="1311">
        <v>24</v>
      </c>
      <c r="EY399" s="1311">
        <v>26</v>
      </c>
      <c r="EZ399" s="1311">
        <f>EX399+EY399</f>
        <v>50</v>
      </c>
      <c r="FA399" s="1311">
        <v>27</v>
      </c>
      <c r="FB399" s="1311">
        <f>EZ399+FA399</f>
        <v>77</v>
      </c>
      <c r="FC399" s="1311">
        <f>FE399-FB399</f>
        <v>25</v>
      </c>
      <c r="FD399" s="1311">
        <f>FA399+FC399</f>
        <v>52</v>
      </c>
      <c r="FE399" s="1312">
        <f>'Profit and Loss'!U336</f>
        <v>102</v>
      </c>
      <c r="FF399" s="1311">
        <v>27</v>
      </c>
      <c r="FG399" s="1311">
        <v>31</v>
      </c>
      <c r="FH399" s="1311">
        <f>FF399+FG399</f>
        <v>58</v>
      </c>
      <c r="FI399" s="1311">
        <v>32</v>
      </c>
      <c r="FJ399" s="1311">
        <f>FH399+FI399</f>
        <v>90</v>
      </c>
      <c r="FK399" s="1311">
        <f>FM399-FJ399</f>
        <v>29</v>
      </c>
      <c r="FL399" s="1311">
        <f>FI399+FK399</f>
        <v>61</v>
      </c>
      <c r="FM399" s="1312">
        <f>'Profit and Loss'!V336</f>
        <v>119</v>
      </c>
      <c r="FN399" s="1311">
        <v>24</v>
      </c>
      <c r="FO399" s="1311">
        <v>31</v>
      </c>
      <c r="FP399" s="1311">
        <f>FN399+FO399</f>
        <v>55</v>
      </c>
      <c r="FQ399" s="1311">
        <v>30</v>
      </c>
      <c r="FR399" s="1311">
        <f>FP399+FQ399</f>
        <v>85</v>
      </c>
      <c r="FS399" s="1311">
        <f>FU399-FR399</f>
        <v>24</v>
      </c>
      <c r="FT399" s="1311">
        <f>FQ399+FS399</f>
        <v>54</v>
      </c>
      <c r="FU399" s="1311">
        <f>'Profit and Loss'!W336</f>
        <v>109</v>
      </c>
      <c r="FV399" s="1313">
        <f>FX399-FW399</f>
        <v>28</v>
      </c>
      <c r="FW399" s="1314">
        <v>29</v>
      </c>
      <c r="FX399" s="1314">
        <v>57</v>
      </c>
      <c r="FY399" s="1311">
        <v>29</v>
      </c>
      <c r="FZ399" s="1311">
        <f>FX399+FY399</f>
        <v>86</v>
      </c>
      <c r="GA399" s="1311">
        <f>GC399-FZ399</f>
        <v>29</v>
      </c>
      <c r="GB399" s="1311">
        <f>FY399+GA399</f>
        <v>58</v>
      </c>
      <c r="GC399" s="1312">
        <f>'Profit and Loss'!X336</f>
        <v>115</v>
      </c>
      <c r="GD399" s="1314">
        <f>GD401*GD388</f>
        <v>26</v>
      </c>
      <c r="GE399" s="1314">
        <f>GE401*GE388</f>
        <v>32</v>
      </c>
      <c r="GF399" s="1314">
        <f>GE399+GD399</f>
        <v>58</v>
      </c>
      <c r="GG399" s="1314">
        <f>GG401*GG388</f>
        <v>37</v>
      </c>
      <c r="GH399" s="1311">
        <f>GG399+GF399</f>
        <v>95</v>
      </c>
      <c r="GI399" s="1314">
        <f>GI401*GI388</f>
        <v>34</v>
      </c>
      <c r="GJ399" s="1311">
        <f>GG399+GI399</f>
        <v>71</v>
      </c>
      <c r="GK399" s="1312">
        <f>GJ399+GF399</f>
        <v>129</v>
      </c>
      <c r="GL399" s="1314">
        <f>GL401*GL388</f>
        <v>35</v>
      </c>
      <c r="GM399" s="1314">
        <f>GM401*GM388</f>
        <v>39</v>
      </c>
      <c r="GN399" s="1314">
        <f>GM399+GL399</f>
        <v>74</v>
      </c>
      <c r="GO399" s="1314">
        <f>GO401*GO388</f>
        <v>37</v>
      </c>
      <c r="GP399" s="1311">
        <f>GO399+GN399</f>
        <v>111</v>
      </c>
      <c r="GQ399" s="1314">
        <f>GQ401*GQ388</f>
        <v>43</v>
      </c>
      <c r="GR399" s="1311">
        <f>GO399+GQ399</f>
        <v>80</v>
      </c>
      <c r="GS399" s="1312">
        <f>GR399+GN399</f>
        <v>154</v>
      </c>
      <c r="GT399" s="1314">
        <f>GT401*GT388</f>
        <v>23</v>
      </c>
      <c r="GU399" s="1314">
        <f>GU401*GU388</f>
        <v>11</v>
      </c>
      <c r="GV399" s="1314">
        <f>GU399+GT399</f>
        <v>34</v>
      </c>
      <c r="GW399" s="1314">
        <v>24</v>
      </c>
      <c r="GX399" s="1311">
        <f>GW399+GV399</f>
        <v>58</v>
      </c>
      <c r="GY399" s="1314">
        <f>GY401*GY388</f>
        <v>25</v>
      </c>
      <c r="GZ399" s="1311">
        <f>GW399+GY399</f>
        <v>49</v>
      </c>
      <c r="HA399" s="1312">
        <f>GZ399+GV399</f>
        <v>83</v>
      </c>
      <c r="HB399" s="1314">
        <f>HB401*HB388</f>
        <v>14</v>
      </c>
      <c r="HC399" s="1314">
        <f>HC401*HC388</f>
        <v>17</v>
      </c>
      <c r="HD399" s="1314">
        <f>HC399+HB399</f>
        <v>31</v>
      </c>
      <c r="HE399" s="1314">
        <v>22</v>
      </c>
      <c r="HF399" s="1311">
        <f>HE399+HD399</f>
        <v>53</v>
      </c>
      <c r="HG399" s="1314">
        <f>HI399-HE399-HC399-HB399</f>
        <v>33</v>
      </c>
      <c r="HH399" s="1311">
        <f>HE399+HG399</f>
        <v>55</v>
      </c>
      <c r="HI399" s="1328">
        <f>HI401*HI388</f>
        <v>86</v>
      </c>
      <c r="HJ399" s="1314">
        <f>HJ401*HJ388</f>
        <v>23</v>
      </c>
      <c r="HK399" s="1314">
        <f>HK401*HK388</f>
        <v>27</v>
      </c>
      <c r="HL399" s="1314">
        <f>HK399+HJ399</f>
        <v>50</v>
      </c>
      <c r="HM399" s="1314">
        <v>36</v>
      </c>
      <c r="HN399" s="1311">
        <f>HM399+HL399</f>
        <v>86</v>
      </c>
      <c r="HO399" s="1314">
        <f>HQ399-HM399-HK399-HJ399</f>
        <v>26</v>
      </c>
      <c r="HP399" s="1311">
        <f>HM399+HO399</f>
        <v>62</v>
      </c>
      <c r="HQ399" s="1328">
        <f>HQ401*HQ388</f>
        <v>112</v>
      </c>
      <c r="HR399" s="1314">
        <v>25</v>
      </c>
      <c r="HS399" s="1314">
        <f>HS401*HS388</f>
        <v>21</v>
      </c>
      <c r="HT399" s="1314">
        <f>HS399+HR399</f>
        <v>46</v>
      </c>
      <c r="HU399" s="1314">
        <v>20</v>
      </c>
      <c r="HV399" s="1311">
        <f>HU399+HT399</f>
        <v>66</v>
      </c>
      <c r="HW399" s="1314">
        <f>HY399-HU399-HS399-HR399</f>
        <v>17</v>
      </c>
      <c r="HX399" s="1311">
        <f>HU399+HW399</f>
        <v>37</v>
      </c>
      <c r="HY399" s="1328">
        <f>HY401*HY388</f>
        <v>83</v>
      </c>
      <c r="HZ399" s="1314">
        <v>17</v>
      </c>
      <c r="IA399" s="1314">
        <f>IA401*IA388</f>
        <v>18.0056518462698</v>
      </c>
      <c r="IB399" s="1314">
        <f>IA399+HZ399</f>
        <v>35.0056518462698</v>
      </c>
      <c r="IC399" s="1314">
        <v>20</v>
      </c>
      <c r="ID399" s="1311">
        <f>IC399+IB399</f>
        <v>55.0056518462698</v>
      </c>
      <c r="IE399" s="1314">
        <f>IG399-IC399-IA399-HZ399</f>
        <v>25.9943481537303</v>
      </c>
      <c r="IF399" s="1311">
        <f>IC399+IE399</f>
        <v>45.9943481537303</v>
      </c>
      <c r="IG399" s="1328">
        <f>IG401*IG388</f>
        <v>81</v>
      </c>
      <c r="IH399" s="1314">
        <v>19</v>
      </c>
      <c r="II399" s="1314">
        <f>II401*II388</f>
        <v>18</v>
      </c>
      <c r="IJ399" s="1314">
        <f>II399+IH399</f>
        <v>37</v>
      </c>
      <c r="IK399" s="1314">
        <f>IK401*IK388</f>
        <v>24</v>
      </c>
      <c r="IL399" s="1311">
        <f>IK399+IJ399</f>
        <v>61</v>
      </c>
      <c r="IM399" s="1314">
        <f>IO399-IK399-II399-IH399</f>
        <v>-41</v>
      </c>
      <c r="IN399" s="1311">
        <f>IK399+IM399</f>
        <v>-17</v>
      </c>
      <c r="IO399" s="1328">
        <f>'Profit and Loss'!AF336</f>
        <v>20</v>
      </c>
      <c r="IP399" s="1314">
        <v>19</v>
      </c>
      <c r="IQ399" s="1314">
        <v>16</v>
      </c>
      <c r="IR399" s="1314">
        <f>IQ399+IP399</f>
        <v>35</v>
      </c>
      <c r="IS399" s="1314">
        <f>IS401*IS388</f>
        <v>17.2790049278145</v>
      </c>
      <c r="IT399" s="1311">
        <f>IS399+IR399</f>
        <v>52.2790049278145</v>
      </c>
      <c r="IU399" s="1314">
        <f>IW399-IS399-IQ399-IP399</f>
        <v>-30.4073099890366</v>
      </c>
      <c r="IV399" s="1311">
        <f>IS399+IU399</f>
        <v>-13.1283050612221</v>
      </c>
      <c r="IW399" s="1328">
        <f>IW401*IW388</f>
        <v>21.8716949387779</v>
      </c>
      <c r="IX399" s="1314"/>
      <c r="IY399" s="1037"/>
      <c r="IZ399" s="1037"/>
      <c r="JA399" s="1037"/>
      <c r="JB399" s="1037"/>
      <c r="JC399" s="1037"/>
      <c r="JD399" s="1037"/>
      <c r="JE399" s="1089"/>
      <c r="JF399" s="1037"/>
      <c r="JG399" s="1037"/>
      <c r="JH399" s="1037"/>
      <c r="JI399" s="1035"/>
      <c r="JJ399" s="1035"/>
      <c r="JK399" s="1035"/>
      <c r="JL399" s="1035"/>
      <c r="JM399" s="1035"/>
      <c r="JN399" s="1035"/>
      <c r="JO399" s="1035"/>
      <c r="JP399" s="1035"/>
      <c r="JQ399" s="1035"/>
      <c r="JR399" s="1035"/>
      <c r="JS399" s="1035"/>
      <c r="JT399" s="1035"/>
      <c r="JU399" s="1035"/>
      <c r="JV399" s="1035"/>
      <c r="JW399" s="1035"/>
      <c r="JX399" s="1035"/>
      <c r="JY399" s="1035"/>
      <c r="KP399" s="967"/>
    </row>
    <row r="400" s="883" customFormat="1" spans="1:334">
      <c r="A400" s="883" t="s">
        <v>142</v>
      </c>
      <c r="B400" s="1302" t="s">
        <v>173</v>
      </c>
      <c r="C400" s="1302" t="s">
        <v>173</v>
      </c>
      <c r="D400" s="1302" t="s">
        <v>173</v>
      </c>
      <c r="E400" s="1302" t="s">
        <v>173</v>
      </c>
      <c r="F400" s="1302" t="s">
        <v>173</v>
      </c>
      <c r="G400" s="1302" t="s">
        <v>173</v>
      </c>
      <c r="H400" s="1302" t="s">
        <v>173</v>
      </c>
      <c r="I400" s="1302" t="s">
        <v>173</v>
      </c>
      <c r="J400" s="1302">
        <f t="shared" ref="J400:AO400" si="2550">J399/B399-1</f>
        <v>-0.510930434782609</v>
      </c>
      <c r="K400" s="1302">
        <f t="shared" si="2550"/>
        <v>-0.406892</v>
      </c>
      <c r="L400" s="1302">
        <f t="shared" si="2550"/>
        <v>-0.45674375</v>
      </c>
      <c r="M400" s="1302">
        <f t="shared" si="2550"/>
        <v>-0.533160869565217</v>
      </c>
      <c r="N400" s="1302">
        <f t="shared" si="2550"/>
        <v>-0.481498591549296</v>
      </c>
      <c r="O400" s="1302">
        <f t="shared" si="2550"/>
        <v>-0.559224137931035</v>
      </c>
      <c r="P400" s="1302">
        <f t="shared" si="2550"/>
        <v>-0.547696153846154</v>
      </c>
      <c r="Q400" s="1302">
        <f t="shared" si="2550"/>
        <v>-0.504039</v>
      </c>
      <c r="R400" s="1302">
        <f t="shared" si="2550"/>
        <v>0</v>
      </c>
      <c r="S400" s="1302">
        <f t="shared" si="2550"/>
        <v>-0.344827586206897</v>
      </c>
      <c r="T400" s="1302">
        <f t="shared" si="2550"/>
        <v>-0.196078431372549</v>
      </c>
      <c r="U400" s="1302">
        <f t="shared" si="2550"/>
        <v>0.0476190476190477</v>
      </c>
      <c r="V400" s="1302">
        <f t="shared" si="2550"/>
        <v>-0.125</v>
      </c>
      <c r="W400" s="1302">
        <f t="shared" si="2550"/>
        <v>-0.12</v>
      </c>
      <c r="X400" s="1302">
        <f t="shared" si="2550"/>
        <v>-0.0434782608695652</v>
      </c>
      <c r="Y400" s="1302">
        <f t="shared" si="2550"/>
        <v>-0.123711340206186</v>
      </c>
      <c r="Z400" s="1302">
        <f t="shared" si="2550"/>
        <v>0</v>
      </c>
      <c r="AA400" s="1302">
        <f t="shared" si="2550"/>
        <v>0.157894736842105</v>
      </c>
      <c r="AB400" s="1302">
        <f t="shared" si="2550"/>
        <v>0.0731707317073171</v>
      </c>
      <c r="AC400" s="1302">
        <f t="shared" si="2550"/>
        <v>-0.0454545454545455</v>
      </c>
      <c r="AD400" s="1302">
        <f t="shared" si="2550"/>
        <v>0.0317460317460316</v>
      </c>
      <c r="AE400" s="1302">
        <f t="shared" si="2550"/>
        <v>0.00181818181818172</v>
      </c>
      <c r="AF400" s="1302">
        <f t="shared" si="2550"/>
        <v>-0.0218181818181818</v>
      </c>
      <c r="AG400" s="1302">
        <f t="shared" si="2550"/>
        <v>0.024</v>
      </c>
      <c r="AH400" s="1302">
        <f t="shared" si="2550"/>
        <v>-0.318181818181818</v>
      </c>
      <c r="AI400" s="1302">
        <f t="shared" si="2550"/>
        <v>-0.272798392688868</v>
      </c>
      <c r="AJ400" s="1302">
        <f t="shared" si="2550"/>
        <v>-0.295490105435343</v>
      </c>
      <c r="AK400" s="1302">
        <f t="shared" si="2550"/>
        <v>-0.348067018710477</v>
      </c>
      <c r="AL400" s="1302">
        <f t="shared" si="2550"/>
        <v>-0.312476492801155</v>
      </c>
      <c r="AM400" s="1302">
        <f t="shared" si="2550"/>
        <v>0.0648633088213633</v>
      </c>
      <c r="AN400" s="1302">
        <f t="shared" ref="AN400:BU400" si="2551">AN399/AF399-1</f>
        <v>-0.136612919760622</v>
      </c>
      <c r="AO400" s="1302">
        <f t="shared" si="2550"/>
        <v>-0.216927673548394</v>
      </c>
      <c r="AP400" s="1302">
        <f t="shared" si="2551"/>
        <v>0.173479366321142</v>
      </c>
      <c r="AQ400" s="1302">
        <f t="shared" si="2551"/>
        <v>0.344743276283619</v>
      </c>
      <c r="AR400" s="1302">
        <f t="shared" si="2551"/>
        <v>0.261869459604404</v>
      </c>
      <c r="AS400" s="1302">
        <f t="shared" si="2551"/>
        <v>0.571428571428571</v>
      </c>
      <c r="AT400" s="1302">
        <f t="shared" si="2551"/>
        <v>0.356703647782227</v>
      </c>
      <c r="AU400" s="1302">
        <f t="shared" si="2551"/>
        <v>0</v>
      </c>
      <c r="AV400" s="1302">
        <f t="shared" si="2551"/>
        <v>0.210526315789474</v>
      </c>
      <c r="AW400" s="1302">
        <f t="shared" si="2551"/>
        <v>0.233877100101867</v>
      </c>
      <c r="AX400" s="1303">
        <f t="shared" si="2551"/>
        <v>0.111111111111111</v>
      </c>
      <c r="AY400" s="1302">
        <f t="shared" si="2551"/>
        <v>-0.181818181818182</v>
      </c>
      <c r="AZ400" s="1302">
        <f t="shared" si="2551"/>
        <v>-0.05</v>
      </c>
      <c r="BA400" s="1302">
        <f t="shared" si="2551"/>
        <v>-0.181818181818182</v>
      </c>
      <c r="BB400" s="1302">
        <f t="shared" si="2551"/>
        <v>-0.419354838709677</v>
      </c>
      <c r="BC400" s="1302">
        <f t="shared" si="2551"/>
        <v>0.166666666666667</v>
      </c>
      <c r="BD400" s="1302">
        <f t="shared" si="2551"/>
        <v>0</v>
      </c>
      <c r="BE400" s="1304">
        <f t="shared" si="2551"/>
        <v>-0.255813953488372</v>
      </c>
      <c r="BF400" s="1302">
        <f t="shared" si="2551"/>
        <v>0.1</v>
      </c>
      <c r="BG400" s="1302">
        <f t="shared" si="2551"/>
        <v>0.277777777777778</v>
      </c>
      <c r="BH400" s="1302">
        <f t="shared" si="2551"/>
        <v>0.184210526315789</v>
      </c>
      <c r="BI400" s="1302">
        <f t="shared" si="2551"/>
        <v>0.333333333333333</v>
      </c>
      <c r="BJ400" s="1302">
        <f t="shared" si="2551"/>
        <v>0.916666666666667</v>
      </c>
      <c r="BK400" s="1302">
        <f t="shared" si="2551"/>
        <v>-0.142857142857143</v>
      </c>
      <c r="BL400" s="1302">
        <f t="shared" si="2551"/>
        <v>0.0434782608695652</v>
      </c>
      <c r="BM400" s="1302">
        <f t="shared" si="2551"/>
        <v>0.453125</v>
      </c>
      <c r="BN400" s="1303">
        <f t="shared" si="2551"/>
        <v>0</v>
      </c>
      <c r="BO400" s="1302">
        <f t="shared" si="2551"/>
        <v>-0.130434782608696</v>
      </c>
      <c r="BP400" s="1302">
        <f t="shared" si="2551"/>
        <v>-0.0666666666666667</v>
      </c>
      <c r="BQ400" s="1302">
        <f t="shared" si="2551"/>
        <v>-0.0833333333333334</v>
      </c>
      <c r="BR400" s="1302">
        <f t="shared" si="2551"/>
        <v>-0.072463768115942</v>
      </c>
      <c r="BS400" s="1302">
        <f t="shared" si="2551"/>
        <v>-0.0833333333333334</v>
      </c>
      <c r="BT400" s="1302">
        <f t="shared" ref="BT400:CN400" si="2552">BT399/BL399-1</f>
        <v>-0.0833333333333334</v>
      </c>
      <c r="BU400" s="1304">
        <f t="shared" si="2551"/>
        <v>-0.0752688172043011</v>
      </c>
      <c r="BV400" s="1303">
        <f t="shared" si="2552"/>
        <v>-0.181818181818182</v>
      </c>
      <c r="BW400" s="1302">
        <f t="shared" si="2552"/>
        <v>0.1</v>
      </c>
      <c r="BX400" s="1302">
        <f t="shared" si="2552"/>
        <v>-0.0476190476190477</v>
      </c>
      <c r="BY400" s="1302">
        <f t="shared" si="2552"/>
        <v>0</v>
      </c>
      <c r="BZ400" s="1302">
        <f t="shared" si="2552"/>
        <v>-0.03125</v>
      </c>
      <c r="CA400" s="1302">
        <f t="shared" si="2552"/>
        <v>0</v>
      </c>
      <c r="CB400" s="1302">
        <f t="shared" si="2552"/>
        <v>0</v>
      </c>
      <c r="CC400" s="1304">
        <f t="shared" si="2552"/>
        <v>-0.0232558139534884</v>
      </c>
      <c r="CD400" s="1303">
        <f t="shared" si="2552"/>
        <v>0.111111111111111</v>
      </c>
      <c r="CE400" s="1302">
        <f t="shared" si="2552"/>
        <v>0</v>
      </c>
      <c r="CF400" s="1302">
        <f t="shared" si="2552"/>
        <v>0.05</v>
      </c>
      <c r="CG400" s="1302">
        <f t="shared" si="2552"/>
        <v>0.181818181818182</v>
      </c>
      <c r="CH400" s="1302">
        <f t="shared" si="2552"/>
        <v>0.096774193548387</v>
      </c>
      <c r="CI400" s="1302">
        <f t="shared" si="2552"/>
        <v>0.181818181818182</v>
      </c>
      <c r="CJ400" s="1302">
        <f t="shared" si="2552"/>
        <v>0.181818181818182</v>
      </c>
      <c r="CK400" s="1304">
        <f t="shared" si="2552"/>
        <v>0.119047619047619</v>
      </c>
      <c r="CL400" s="1303">
        <v>0.5</v>
      </c>
      <c r="CM400" s="1302">
        <f t="shared" si="2552"/>
        <v>1.09090909090909</v>
      </c>
      <c r="CN400" s="1302">
        <f t="shared" si="2552"/>
        <v>0.80952380952381</v>
      </c>
      <c r="CO400" s="1302">
        <f t="shared" ref="CO400:CT400" si="2553">CO399/CG399-1</f>
        <v>0.846153846153846</v>
      </c>
      <c r="CP400" s="1302">
        <f t="shared" si="2553"/>
        <v>0.823529411764706</v>
      </c>
      <c r="CQ400" s="1302">
        <f t="shared" si="2553"/>
        <v>1.15384615384615</v>
      </c>
      <c r="CR400" s="1302">
        <f t="shared" si="2553"/>
        <v>0.461538461538461</v>
      </c>
      <c r="CS400" s="1304">
        <f t="shared" si="2553"/>
        <v>0.914893617021277</v>
      </c>
      <c r="CT400" s="1303">
        <f t="shared" si="2553"/>
        <v>0.533333333333333</v>
      </c>
      <c r="CU400" s="1302">
        <f t="shared" ref="CU400:DA400" si="2554">CU399/CM399-1</f>
        <v>-0.0434782608695652</v>
      </c>
      <c r="CV400" s="1302">
        <f t="shared" si="2554"/>
        <v>0.184210526315789</v>
      </c>
      <c r="CW400" s="1302">
        <f t="shared" si="2554"/>
        <v>0.0833333333333333</v>
      </c>
      <c r="CX400" s="1302">
        <f t="shared" si="2554"/>
        <v>0.145161290322581</v>
      </c>
      <c r="CY400" s="1302">
        <f t="shared" si="2554"/>
        <v>0.107142857142857</v>
      </c>
      <c r="CZ400" s="1302">
        <f t="shared" si="2554"/>
        <v>0.5</v>
      </c>
      <c r="DA400" s="1304">
        <f t="shared" si="2554"/>
        <v>0.133333333333333</v>
      </c>
      <c r="DB400" s="1109">
        <f t="shared" ref="DB400:DI400" si="2555">DB399/CT399-1</f>
        <v>-0.0869565217391305</v>
      </c>
      <c r="DC400" s="1082">
        <f t="shared" si="2555"/>
        <v>-0.0909090909090909</v>
      </c>
      <c r="DD400" s="1082">
        <f t="shared" si="2555"/>
        <v>-0.0888888888888889</v>
      </c>
      <c r="DE400" s="1082">
        <f t="shared" si="2555"/>
        <v>-0.115384615384615</v>
      </c>
      <c r="DF400" s="1082">
        <f t="shared" si="2555"/>
        <v>-0.0985915492957746</v>
      </c>
      <c r="DG400" s="1082">
        <f t="shared" si="2555"/>
        <v>-0.193548387096774</v>
      </c>
      <c r="DH400" s="1082">
        <f t="shared" si="2555"/>
        <v>-0.157894736842105</v>
      </c>
      <c r="DI400" s="1085">
        <f t="shared" si="2555"/>
        <v>-0.127450980392157</v>
      </c>
      <c r="DJ400" s="1082">
        <f t="shared" ref="DJ400:DQ400" si="2556">DJ399/DB399-1</f>
        <v>-0.0476190476190472</v>
      </c>
      <c r="DK400" s="1082">
        <f t="shared" si="2556"/>
        <v>0.2</v>
      </c>
      <c r="DL400" s="1082">
        <f t="shared" si="2556"/>
        <v>0.0731707317073174</v>
      </c>
      <c r="DM400" s="1082">
        <f t="shared" si="2556"/>
        <v>-0.173913043478261</v>
      </c>
      <c r="DN400" s="1082">
        <f t="shared" si="2556"/>
        <v>-0.0156249999999999</v>
      </c>
      <c r="DO400" s="1082">
        <f t="shared" si="2556"/>
        <v>-0.0800000006296</v>
      </c>
      <c r="DP400" s="1082">
        <f t="shared" si="2556"/>
        <v>-0.125000000327917</v>
      </c>
      <c r="DQ400" s="1085">
        <f t="shared" si="2556"/>
        <v>-0.0337078651685393</v>
      </c>
      <c r="DR400" s="1082">
        <f t="shared" ref="DR400:DY400" si="2557">DR399/DJ399-1</f>
        <v>0.0999999999999996</v>
      </c>
      <c r="DS400" s="1082">
        <f t="shared" si="2557"/>
        <v>0</v>
      </c>
      <c r="DT400" s="1082">
        <f t="shared" si="2557"/>
        <v>0.0454545454545452</v>
      </c>
      <c r="DU400" s="1082">
        <f t="shared" si="2557"/>
        <v>0.368421052631579</v>
      </c>
      <c r="DV400" s="1082">
        <f t="shared" si="2557"/>
        <v>0.142857142857143</v>
      </c>
      <c r="DW400" s="1082">
        <f t="shared" si="2557"/>
        <v>0.217391305180945</v>
      </c>
      <c r="DX400" s="1082">
        <f t="shared" si="2557"/>
        <v>0.285714286196123</v>
      </c>
      <c r="DY400" s="1085">
        <f t="shared" si="2557"/>
        <v>0.162790697674419</v>
      </c>
      <c r="DZ400" s="1082">
        <f t="shared" ref="DZ400:EF400" si="2558">DZ399/DR399-1</f>
        <v>-0.181818181818182</v>
      </c>
      <c r="EA400" s="1082">
        <f t="shared" si="2558"/>
        <v>-0.0833333333333334</v>
      </c>
      <c r="EB400" s="1082">
        <f t="shared" si="2558"/>
        <v>-0.130434782608696</v>
      </c>
      <c r="EC400" s="1082">
        <f t="shared" si="2558"/>
        <v>-0.115384615384615</v>
      </c>
      <c r="ED400" s="1082">
        <f t="shared" si="2558"/>
        <v>-0.125</v>
      </c>
      <c r="EE400" s="1082">
        <f t="shared" si="2558"/>
        <v>0.0714285714285714</v>
      </c>
      <c r="EF400" s="1082">
        <f t="shared" si="2558"/>
        <v>-0.0185185185185185</v>
      </c>
      <c r="EG400" s="1085">
        <f>+EG399/DY399-1</f>
        <v>-0.07</v>
      </c>
      <c r="EH400" s="1082">
        <f t="shared" ref="EH400:EO400" si="2559">EH399/DZ399-1</f>
        <v>0.388888888888889</v>
      </c>
      <c r="EI400" s="1082">
        <f t="shared" si="2559"/>
        <v>0.227272727272727</v>
      </c>
      <c r="EJ400" s="1082">
        <f t="shared" si="2559"/>
        <v>0.3</v>
      </c>
      <c r="EK400" s="1082">
        <f t="shared" si="2559"/>
        <v>0.173913043478261</v>
      </c>
      <c r="EL400" s="1082">
        <f t="shared" si="2559"/>
        <v>0.253968253968254</v>
      </c>
      <c r="EM400" s="1082">
        <f t="shared" si="2559"/>
        <v>-0.1</v>
      </c>
      <c r="EN400" s="1082">
        <f t="shared" si="2559"/>
        <v>0.0188679245283019</v>
      </c>
      <c r="EO400" s="1085">
        <f t="shared" si="2559"/>
        <v>0.129032258064516</v>
      </c>
      <c r="EP400" s="1082">
        <f t="shared" ref="EP400:EY400" si="2560">EP399/EH399-1</f>
        <v>0</v>
      </c>
      <c r="EQ400" s="1094">
        <f t="shared" si="2560"/>
        <v>-0.0370370370370371</v>
      </c>
      <c r="ER400" s="1094">
        <f t="shared" si="2560"/>
        <v>-0.0192307692307693</v>
      </c>
      <c r="ES400" s="1094">
        <f t="shared" si="2560"/>
        <v>0</v>
      </c>
      <c r="ET400" s="1094">
        <f t="shared" si="2560"/>
        <v>-0.0126582278481012</v>
      </c>
      <c r="EU400" s="1094">
        <f t="shared" si="2560"/>
        <v>-0.0370370370370371</v>
      </c>
      <c r="EV400" s="1094">
        <f t="shared" si="2560"/>
        <v>-0.0185185185185185</v>
      </c>
      <c r="EW400" s="1093">
        <f t="shared" si="2560"/>
        <v>-0.00952380952380949</v>
      </c>
      <c r="EX400" s="1094">
        <f t="shared" si="2560"/>
        <v>-0.04</v>
      </c>
      <c r="EY400" s="1094">
        <f t="shared" si="2560"/>
        <v>0</v>
      </c>
      <c r="EZ400" s="1094">
        <f t="shared" ref="EZ400:FF400" si="2561">EZ399/ER399-1</f>
        <v>-0.0196078431372549</v>
      </c>
      <c r="FA400" s="1094">
        <f t="shared" si="2561"/>
        <v>0</v>
      </c>
      <c r="FB400" s="1094">
        <f t="shared" si="2561"/>
        <v>-0.0128205128205128</v>
      </c>
      <c r="FC400" s="1094">
        <f t="shared" si="2561"/>
        <v>-0.0384615384615384</v>
      </c>
      <c r="FD400" s="1094">
        <f t="shared" si="2561"/>
        <v>-0.0188679245283019</v>
      </c>
      <c r="FE400" s="1093">
        <f t="shared" si="2561"/>
        <v>-0.0192307692307693</v>
      </c>
      <c r="FF400" s="1094">
        <f t="shared" si="2561"/>
        <v>0.125</v>
      </c>
      <c r="FG400" s="1094">
        <f t="shared" ref="FG400:FO400" si="2562">FG399/EY399-1</f>
        <v>0.192307692307692</v>
      </c>
      <c r="FH400" s="1094">
        <f t="shared" si="2562"/>
        <v>0.16</v>
      </c>
      <c r="FI400" s="1094">
        <f t="shared" si="2562"/>
        <v>0.185185185185185</v>
      </c>
      <c r="FJ400" s="1094">
        <f t="shared" si="2562"/>
        <v>0.168831168831169</v>
      </c>
      <c r="FK400" s="1094">
        <f t="shared" si="2562"/>
        <v>0.16</v>
      </c>
      <c r="FL400" s="1094">
        <f t="shared" si="2562"/>
        <v>0.173076923076923</v>
      </c>
      <c r="FM400" s="1093">
        <f t="shared" si="2562"/>
        <v>0.166666666666667</v>
      </c>
      <c r="FN400" s="1094">
        <f t="shared" si="2562"/>
        <v>-0.111111111111111</v>
      </c>
      <c r="FO400" s="1094">
        <f t="shared" si="2562"/>
        <v>0</v>
      </c>
      <c r="FP400" s="1094">
        <f t="shared" ref="FP400:FU400" si="2563">FP399/FH399-1</f>
        <v>-0.0517241379310345</v>
      </c>
      <c r="FQ400" s="1094">
        <f t="shared" si="2563"/>
        <v>-0.0625</v>
      </c>
      <c r="FR400" s="1094">
        <f t="shared" si="2563"/>
        <v>-0.0555555555555556</v>
      </c>
      <c r="FS400" s="1094">
        <f t="shared" si="2563"/>
        <v>-0.172413793103448</v>
      </c>
      <c r="FT400" s="1094">
        <f t="shared" si="2563"/>
        <v>-0.114754098360656</v>
      </c>
      <c r="FU400" s="1094">
        <f t="shared" si="2563"/>
        <v>-0.0840336134453782</v>
      </c>
      <c r="FV400" s="1086">
        <f t="shared" ref="FV400:GC400" si="2564">FV399/FN399-1</f>
        <v>0.166666666666667</v>
      </c>
      <c r="FW400" s="1087">
        <f t="shared" si="2564"/>
        <v>-0.0645161290322581</v>
      </c>
      <c r="FX400" s="1087">
        <f t="shared" si="2564"/>
        <v>0.0363636363636364</v>
      </c>
      <c r="FY400" s="1094">
        <f t="shared" si="2564"/>
        <v>-0.0333333333333333</v>
      </c>
      <c r="FZ400" s="1094">
        <f t="shared" si="2564"/>
        <v>0.0117647058823529</v>
      </c>
      <c r="GA400" s="1094">
        <f t="shared" si="2564"/>
        <v>0.208333333333333</v>
      </c>
      <c r="GB400" s="1094">
        <f t="shared" si="2564"/>
        <v>0.0740740740740737</v>
      </c>
      <c r="GC400" s="1093">
        <f t="shared" si="2564"/>
        <v>0.0550458715596329</v>
      </c>
      <c r="GD400" s="1087">
        <f t="shared" ref="GD400:GS400" si="2565">GD399/FV399-1</f>
        <v>-0.0714285714285712</v>
      </c>
      <c r="GE400" s="1087">
        <f t="shared" si="2565"/>
        <v>0.103448275862069</v>
      </c>
      <c r="GF400" s="1087">
        <f t="shared" si="2565"/>
        <v>0.0175438596491229</v>
      </c>
      <c r="GG400" s="1094">
        <f t="shared" si="2565"/>
        <v>0.275862068965517</v>
      </c>
      <c r="GH400" s="1094">
        <f t="shared" si="2565"/>
        <v>0.104651162790698</v>
      </c>
      <c r="GI400" s="1094">
        <f t="shared" si="2565"/>
        <v>0.172413793103449</v>
      </c>
      <c r="GJ400" s="1094">
        <f t="shared" si="2565"/>
        <v>0.224137931034483</v>
      </c>
      <c r="GK400" s="1093">
        <f t="shared" si="2565"/>
        <v>0.121739130434783</v>
      </c>
      <c r="GL400" s="1087">
        <f t="shared" si="2565"/>
        <v>0.346153846153846</v>
      </c>
      <c r="GM400" s="1087">
        <f t="shared" si="2565"/>
        <v>0.21875</v>
      </c>
      <c r="GN400" s="1087">
        <f t="shared" si="2565"/>
        <v>0.275862068965517</v>
      </c>
      <c r="GO400" s="1094">
        <f t="shared" si="2565"/>
        <v>0</v>
      </c>
      <c r="GP400" s="1094">
        <f t="shared" si="2565"/>
        <v>0.168421052631579</v>
      </c>
      <c r="GQ400" s="1094">
        <f t="shared" si="2565"/>
        <v>0.264705882352942</v>
      </c>
      <c r="GR400" s="1094">
        <f t="shared" si="2565"/>
        <v>0.126760563380282</v>
      </c>
      <c r="GS400" s="1093">
        <f t="shared" si="2565"/>
        <v>0.193798449612403</v>
      </c>
      <c r="GT400" s="1087">
        <f t="shared" ref="GT400" si="2566">GT399/GL399-1</f>
        <v>-0.342857142857143</v>
      </c>
      <c r="GU400" s="1087">
        <f t="shared" ref="GU400" si="2567">GU399/GM399-1</f>
        <v>-0.717948717948718</v>
      </c>
      <c r="GV400" s="1087">
        <f t="shared" ref="GV400" si="2568">GV399/GN399-1</f>
        <v>-0.540540540540541</v>
      </c>
      <c r="GW400" s="1094">
        <f t="shared" ref="GW400" si="2569">GW399/GO399-1</f>
        <v>-0.351351351351351</v>
      </c>
      <c r="GX400" s="1094">
        <f t="shared" ref="GX400" si="2570">GX399/GP399-1</f>
        <v>-0.477477477477477</v>
      </c>
      <c r="GY400" s="1094">
        <f t="shared" ref="GY400" si="2571">GY399/GQ399-1</f>
        <v>-0.418604651162791</v>
      </c>
      <c r="GZ400" s="1094">
        <f t="shared" ref="GZ400" si="2572">GZ399/GR399-1</f>
        <v>-0.3875</v>
      </c>
      <c r="HA400" s="1093">
        <f t="shared" ref="HA400:HB400" si="2573">HA399/GS399-1</f>
        <v>-0.461038961038961</v>
      </c>
      <c r="HB400" s="1087">
        <f t="shared" si="2573"/>
        <v>-0.391304347826087</v>
      </c>
      <c r="HC400" s="1087">
        <f t="shared" ref="HC400" si="2574">HC399/GU399-1</f>
        <v>0.545454545454545</v>
      </c>
      <c r="HD400" s="1087">
        <f t="shared" ref="HD400" si="2575">HD399/GV399-1</f>
        <v>-0.088235294117647</v>
      </c>
      <c r="HE400" s="1094">
        <f t="shared" ref="HE400" si="2576">HE399/GW399-1</f>
        <v>-0.0833333333333334</v>
      </c>
      <c r="HF400" s="1094">
        <f t="shared" ref="HF400" si="2577">HF399/GX399-1</f>
        <v>-0.0862068965517241</v>
      </c>
      <c r="HG400" s="1094">
        <f t="shared" ref="HG400" si="2578">HG399/GY399-1</f>
        <v>0.320000000000001</v>
      </c>
      <c r="HH400" s="1094">
        <f t="shared" ref="HH400" si="2579">HH399/GZ399-1</f>
        <v>0.122448979591837</v>
      </c>
      <c r="HI400" s="1093">
        <f t="shared" ref="HI400" si="2580">HI399/HA399-1</f>
        <v>0.0361445783132532</v>
      </c>
      <c r="HJ400" s="1087">
        <f t="shared" ref="HJ400" si="2581">HJ399/HB399-1</f>
        <v>0.642857142857142</v>
      </c>
      <c r="HK400" s="1087">
        <f t="shared" ref="HK400" si="2582">HK399/HC399-1</f>
        <v>0.588235294117647</v>
      </c>
      <c r="HL400" s="1087">
        <f t="shared" ref="HL400:HQ400" si="2583">HL399/HD399-1</f>
        <v>0.612903225806452</v>
      </c>
      <c r="HM400" s="1094">
        <f t="shared" si="2583"/>
        <v>0.636363636363636</v>
      </c>
      <c r="HN400" s="1094">
        <f t="shared" si="2583"/>
        <v>0.622641509433962</v>
      </c>
      <c r="HO400" s="1094">
        <f t="shared" si="2583"/>
        <v>-0.212121212121213</v>
      </c>
      <c r="HP400" s="1094">
        <f t="shared" si="2583"/>
        <v>0.127272727272727</v>
      </c>
      <c r="HQ400" s="1093">
        <f t="shared" si="2583"/>
        <v>0.302325581395349</v>
      </c>
      <c r="HR400" s="1087">
        <f t="shared" ref="HR400" si="2584">HR399/HJ399-1</f>
        <v>0.0869565217391304</v>
      </c>
      <c r="HS400" s="1087">
        <f t="shared" ref="HS400" si="2585">HS399/HK399-1</f>
        <v>-0.222222222222222</v>
      </c>
      <c r="HT400" s="1087">
        <f t="shared" ref="HT400" si="2586">HT399/HL399-1</f>
        <v>-0.0800000000000002</v>
      </c>
      <c r="HU400" s="1094">
        <f t="shared" ref="HU400" si="2587">HU399/HM399-1</f>
        <v>-0.444444444444444</v>
      </c>
      <c r="HV400" s="1094">
        <f t="shared" ref="HV400" si="2588">HV399/HN399-1</f>
        <v>-0.232558139534884</v>
      </c>
      <c r="HW400" s="1094">
        <f t="shared" ref="HW400" si="2589">HW399/HO399-1</f>
        <v>-0.346153846153845</v>
      </c>
      <c r="HX400" s="1094">
        <f t="shared" ref="HX400" si="2590">HX399/HP399-1</f>
        <v>-0.403225806451612</v>
      </c>
      <c r="HY400" s="1093">
        <f t="shared" ref="HY400" si="2591">HY399/HQ399-1</f>
        <v>-0.258928571428571</v>
      </c>
      <c r="HZ400" s="1087">
        <f t="shared" ref="HZ400" si="2592">HZ399/HR399-1</f>
        <v>-0.32</v>
      </c>
      <c r="IA400" s="1087">
        <f t="shared" ref="IA400" si="2593">IA399/HS399-1</f>
        <v>-0.142588007320486</v>
      </c>
      <c r="IB400" s="1087">
        <f t="shared" ref="IB400" si="2594">IB399/HT399-1</f>
        <v>-0.239007568559352</v>
      </c>
      <c r="IC400" s="1094">
        <f t="shared" ref="IC400" si="2595">IC399/HU399-1</f>
        <v>0</v>
      </c>
      <c r="ID400" s="1094">
        <f t="shared" ref="ID400" si="2596">ID399/HV399-1</f>
        <v>-0.166581032632276</v>
      </c>
      <c r="IE400" s="1094">
        <f t="shared" ref="IE400" si="2597">IE399/HW399-1</f>
        <v>0.529079303160601</v>
      </c>
      <c r="IF400" s="1094">
        <f t="shared" ref="IF400" si="2598">IF399/HX399-1</f>
        <v>0.243090490641358</v>
      </c>
      <c r="IG400" s="1093">
        <f t="shared" ref="IG400" si="2599">IG399/HY399-1</f>
        <v>-0.0240963855421683</v>
      </c>
      <c r="IH400" s="1087">
        <f t="shared" ref="IH400" si="2600">IH399/HZ399-1</f>
        <v>0.117647058823529</v>
      </c>
      <c r="II400" s="1087">
        <f t="shared" ref="II400" si="2601">II399/IA399-1</f>
        <v>-0.000313892899742596</v>
      </c>
      <c r="IJ400" s="1087">
        <f t="shared" ref="IJ400" si="2602">IJ399/IB399-1</f>
        <v>0.0569721758785855</v>
      </c>
      <c r="IK400" s="1094">
        <f t="shared" ref="IK400" si="2603">IK399/IC399-1</f>
        <v>0.2</v>
      </c>
      <c r="IL400" s="1094">
        <f t="shared" ref="IL400" si="2604">IL399/ID399-1</f>
        <v>0.108976949686612</v>
      </c>
      <c r="IM400" s="1094">
        <f t="shared" ref="IM400" si="2605">IM399/IE399-1</f>
        <v>-2.57726594094711</v>
      </c>
      <c r="IN400" s="1094">
        <f t="shared" ref="IN400" si="2606">IN399/IF399-1</f>
        <v>-1.36961063005349</v>
      </c>
      <c r="IO400" s="1093">
        <f t="shared" ref="IO400:IP400" si="2607">IO399/IG399-1</f>
        <v>-0.753086419753087</v>
      </c>
      <c r="IP400" s="1087">
        <f t="shared" si="2607"/>
        <v>0</v>
      </c>
      <c r="IQ400" s="1087">
        <f t="shared" ref="IQ400" si="2608">IQ399/II399-1</f>
        <v>-0.111111111111111</v>
      </c>
      <c r="IR400" s="1087">
        <f t="shared" ref="IR400" si="2609">IR399/IJ399-1</f>
        <v>-0.0540540540540541</v>
      </c>
      <c r="IS400" s="1094">
        <f t="shared" ref="IS400" si="2610">IS399/IK399-1</f>
        <v>-0.280041461341064</v>
      </c>
      <c r="IT400" s="1094">
        <f t="shared" ref="IT400" si="2611">IT399/IL399-1</f>
        <v>-0.14296713233091</v>
      </c>
      <c r="IU400" s="1094">
        <f t="shared" ref="IU400" si="2612">IU399/IM399-1</f>
        <v>-0.258358292950328</v>
      </c>
      <c r="IV400" s="1094">
        <f t="shared" ref="IV400:IW400" si="2613">IV399/IN399-1</f>
        <v>-0.227746761104582</v>
      </c>
      <c r="IW400" s="1093">
        <f t="shared" si="2613"/>
        <v>0.0935847469388953</v>
      </c>
      <c r="IX400" s="1087"/>
      <c r="IZ400" s="1082"/>
      <c r="JA400" s="1082"/>
      <c r="JB400" s="1082"/>
      <c r="JE400" s="1181"/>
      <c r="JF400" s="1082"/>
      <c r="JG400" s="1049"/>
      <c r="JH400" s="1049"/>
      <c r="JI400" s="1049"/>
      <c r="JJ400" s="1049"/>
      <c r="JK400" s="1049"/>
      <c r="JL400" s="1049"/>
      <c r="JM400" s="1049"/>
      <c r="JN400" s="1049"/>
      <c r="JO400" s="1049"/>
      <c r="JP400" s="1049"/>
      <c r="JQ400" s="1049"/>
      <c r="KP400" s="967"/>
    </row>
    <row r="401" spans="1:302">
      <c r="A401" s="1035" t="s">
        <v>145</v>
      </c>
      <c r="B401" s="1302">
        <v>0.0230198431047563</v>
      </c>
      <c r="C401" s="1302">
        <v>0.0333371115393078</v>
      </c>
      <c r="D401" s="1302">
        <f t="shared" ref="D401:BN401" si="2614">D399/D$388</f>
        <v>0.0274434222404924</v>
      </c>
      <c r="E401" s="1302">
        <v>0.0210183673115041</v>
      </c>
      <c r="F401" s="1302">
        <f t="shared" si="2614"/>
        <v>0.0249706858216446</v>
      </c>
      <c r="G401" s="1302">
        <v>0.0439532458714261</v>
      </c>
      <c r="H401" s="1302">
        <f>H399/H$388</f>
        <v>0.058015713109621</v>
      </c>
      <c r="I401" s="1302">
        <f t="shared" si="2614"/>
        <v>0.0285459329752912</v>
      </c>
      <c r="J401" s="1302">
        <f t="shared" si="2614"/>
        <v>0.0183762111593719</v>
      </c>
      <c r="K401" s="1302">
        <f t="shared" si="2614"/>
        <v>0.0277458859548412</v>
      </c>
      <c r="L401" s="1302">
        <f t="shared" si="2614"/>
        <v>0.0227434891188013</v>
      </c>
      <c r="M401" s="1302">
        <f t="shared" si="2614"/>
        <v>0.0142663043478261</v>
      </c>
      <c r="N401" s="1302">
        <f t="shared" si="2614"/>
        <v>0.019384018953263</v>
      </c>
      <c r="O401" s="1302">
        <f t="shared" si="2614"/>
        <v>0.0251382604323781</v>
      </c>
      <c r="P401" s="1302">
        <f t="shared" si="2614"/>
        <v>0.0186461289014998</v>
      </c>
      <c r="Q401" s="1302">
        <f t="shared" si="2614"/>
        <v>0.0205992907048355</v>
      </c>
      <c r="R401" s="1302">
        <f t="shared" si="2614"/>
        <v>0.0128429655575015</v>
      </c>
      <c r="S401" s="1302">
        <f t="shared" si="2614"/>
        <v>0.0133146461107218</v>
      </c>
      <c r="T401" s="1302">
        <f t="shared" si="2614"/>
        <v>0.0130573248407643</v>
      </c>
      <c r="U401" s="1302">
        <f t="shared" si="2614"/>
        <v>0.0102611940298507</v>
      </c>
      <c r="V401" s="1302">
        <f t="shared" si="2614"/>
        <v>0.0119227857683573</v>
      </c>
      <c r="W401" s="1302">
        <f t="shared" si="2614"/>
        <v>0.0155586987270156</v>
      </c>
      <c r="X401" s="1302">
        <f t="shared" si="2614"/>
        <v>0.0123664980326026</v>
      </c>
      <c r="Y401" s="1302">
        <f t="shared" si="2614"/>
        <v>0.0126903553299492</v>
      </c>
      <c r="Z401" s="1302">
        <f t="shared" si="2614"/>
        <v>0.00812407680945347</v>
      </c>
      <c r="AA401" s="1302">
        <f t="shared" si="2614"/>
        <v>0.00982142857142857</v>
      </c>
      <c r="AB401" s="1302">
        <f t="shared" si="2614"/>
        <v>0.00889248181083266</v>
      </c>
      <c r="AC401" s="1302">
        <f t="shared" si="2614"/>
        <v>0.00709939148073022</v>
      </c>
      <c r="AD401" s="1302">
        <f t="shared" si="2614"/>
        <v>0.00822160384518087</v>
      </c>
      <c r="AE401" s="1302">
        <f t="shared" si="2614"/>
        <v>0.0110144927536232</v>
      </c>
      <c r="AF401" s="1302">
        <f t="shared" si="2614"/>
        <v>0.00867909182798446</v>
      </c>
      <c r="AG401" s="1302">
        <f t="shared" si="2614"/>
        <v>0.00878570707580499</v>
      </c>
      <c r="AH401" s="1302">
        <f t="shared" si="2614"/>
        <v>0.00551876379690949</v>
      </c>
      <c r="AI401" s="1302">
        <f t="shared" si="2614"/>
        <v>0.00684864527433429</v>
      </c>
      <c r="AJ401" s="1302">
        <f t="shared" si="2614"/>
        <v>0.00613344585691431</v>
      </c>
      <c r="AK401" s="1302">
        <f t="shared" si="2614"/>
        <v>0.00444444444444444</v>
      </c>
      <c r="AL401" s="1302">
        <f t="shared" si="2614"/>
        <v>0.0054938433706325</v>
      </c>
      <c r="AM401" s="1302">
        <f t="shared" si="2614"/>
        <v>0.0100418410041841</v>
      </c>
      <c r="AN401" s="1302">
        <f t="shared" si="2614"/>
        <v>0.00685425685425685</v>
      </c>
      <c r="AO401" s="1302">
        <f t="shared" si="2614"/>
        <v>0.00650892467622351</v>
      </c>
      <c r="AP401" s="1302">
        <f t="shared" si="2614"/>
        <v>0.00593276203032301</v>
      </c>
      <c r="AQ401" s="1302">
        <f t="shared" si="2614"/>
        <v>0.00881410256410256</v>
      </c>
      <c r="AR401" s="1302">
        <f t="shared" si="2614"/>
        <v>0.00723327305605787</v>
      </c>
      <c r="AS401" s="1302">
        <f t="shared" si="2614"/>
        <v>0.00655933214072749</v>
      </c>
      <c r="AT401" s="1302">
        <f t="shared" si="2614"/>
        <v>0.0069788383610986</v>
      </c>
      <c r="AU401" s="1302">
        <f t="shared" si="2614"/>
        <v>0.00861450107681263</v>
      </c>
      <c r="AV401" s="1302">
        <f t="shared" si="2614"/>
        <v>0.00749185667752443</v>
      </c>
      <c r="AW401" s="1302">
        <f t="shared" si="2614"/>
        <v>0.00736932305055698</v>
      </c>
      <c r="AX401" s="1303">
        <f t="shared" si="2614"/>
        <v>0.00641848523748395</v>
      </c>
      <c r="AY401" s="1302">
        <f t="shared" si="2614"/>
        <v>0.00657894736842105</v>
      </c>
      <c r="AZ401" s="1302">
        <f t="shared" si="2614"/>
        <v>0.00649350649350649</v>
      </c>
      <c r="BA401" s="1302">
        <f t="shared" si="2614"/>
        <v>0.00502793296089385</v>
      </c>
      <c r="BB401" s="1302">
        <f t="shared" si="2614"/>
        <v>0.00569981000633312</v>
      </c>
      <c r="BC401" s="1302">
        <f t="shared" si="2614"/>
        <v>0.0100322465066284</v>
      </c>
      <c r="BD401" s="1302">
        <f t="shared" si="2614"/>
        <v>0.00722135007849294</v>
      </c>
      <c r="BE401" s="1304">
        <f t="shared" si="2614"/>
        <v>0.00702756121664654</v>
      </c>
      <c r="BF401" s="1302">
        <f t="shared" si="2614"/>
        <v>0.00671550671550672</v>
      </c>
      <c r="BG401" s="1302">
        <f t="shared" si="2614"/>
        <v>0.00763358778625954</v>
      </c>
      <c r="BH401" s="1302">
        <f t="shared" si="2614"/>
        <v>0.00715535061218</v>
      </c>
      <c r="BI401" s="1302">
        <f t="shared" si="2614"/>
        <v>0.00643086816720257</v>
      </c>
      <c r="BJ401" s="1302">
        <f t="shared" si="2614"/>
        <v>0.00688554036523301</v>
      </c>
      <c r="BK401" s="1302">
        <f t="shared" si="2614"/>
        <v>0.00794176042356056</v>
      </c>
      <c r="BL401" s="1302">
        <f t="shared" si="2614"/>
        <v>0.00710689961504294</v>
      </c>
      <c r="BM401" s="1302">
        <f t="shared" si="2614"/>
        <v>0.00713026144291957</v>
      </c>
      <c r="BN401" s="1303">
        <f t="shared" si="2614"/>
        <v>0.00659077291791492</v>
      </c>
      <c r="BO401" s="1302">
        <f t="shared" ref="BO401:CJ401" si="2615">BO399/BO$388</f>
        <v>0.00718390804597701</v>
      </c>
      <c r="BP401" s="1302">
        <f t="shared" si="2615"/>
        <v>0.00686050310356093</v>
      </c>
      <c r="BQ401" s="1302">
        <f t="shared" si="2615"/>
        <v>0.00593631948192121</v>
      </c>
      <c r="BR401" s="1302">
        <f t="shared" si="2615"/>
        <v>0.00651200651200651</v>
      </c>
      <c r="BS401" s="1302">
        <f t="shared" si="2615"/>
        <v>0.00812407680945347</v>
      </c>
      <c r="BT401" s="1302">
        <f t="shared" si="2615"/>
        <v>0.00685999376364203</v>
      </c>
      <c r="BU401" s="1304">
        <f t="shared" si="2615"/>
        <v>0.0068602425015954</v>
      </c>
      <c r="BV401" s="1303">
        <f t="shared" si="2615"/>
        <v>0.00598006644518272</v>
      </c>
      <c r="BW401" s="1302">
        <f t="shared" si="2615"/>
        <v>0.00785153461812991</v>
      </c>
      <c r="BX401" s="1302">
        <f t="shared" si="2615"/>
        <v>0.00688231245698555</v>
      </c>
      <c r="BY401" s="1302">
        <f t="shared" si="2615"/>
        <v>0.00625711035267349</v>
      </c>
      <c r="BZ401" s="1302">
        <f t="shared" si="2615"/>
        <v>0.00664665523156089</v>
      </c>
      <c r="CA401" s="1302">
        <f t="shared" si="2615"/>
        <v>0.00919732441471572</v>
      </c>
      <c r="CB401" s="1302">
        <f t="shared" si="2615"/>
        <v>0.00649542367877177</v>
      </c>
      <c r="CC401" s="1304">
        <f t="shared" si="2615"/>
        <v>0.00716723549488055</v>
      </c>
      <c r="CD401" s="1303">
        <f t="shared" si="2615"/>
        <v>0.00597728631201435</v>
      </c>
      <c r="CE401" s="1302">
        <f t="shared" si="2615"/>
        <v>0.00725593667546174</v>
      </c>
      <c r="CF401" s="1302">
        <f t="shared" si="2615"/>
        <v>0.00658513640639699</v>
      </c>
      <c r="CG401" s="1302">
        <f t="shared" si="2615"/>
        <v>0.00675675675675676</v>
      </c>
      <c r="CH401" s="1302">
        <f t="shared" si="2615"/>
        <v>0.00664971640915314</v>
      </c>
      <c r="CI401" s="1302">
        <f t="shared" si="2615"/>
        <v>0.00854700854700855</v>
      </c>
      <c r="CJ401" s="1302">
        <f t="shared" si="2615"/>
        <v>0.00754716981132075</v>
      </c>
      <c r="CK401" s="1304">
        <f t="shared" ref="CK401:CT401" si="2616">CK399/CK$388</f>
        <v>0.00708471510400965</v>
      </c>
      <c r="CL401" s="1303">
        <v>0.00610004066693778</v>
      </c>
      <c r="CM401" s="1302">
        <f t="shared" si="2616"/>
        <v>0.00947281713344316</v>
      </c>
      <c r="CN401" s="1302">
        <f t="shared" si="2616"/>
        <v>0.00777573153263761</v>
      </c>
      <c r="CO401" s="1302">
        <f t="shared" si="2616"/>
        <v>0.0081383519837233</v>
      </c>
      <c r="CP401" s="1302">
        <f t="shared" si="2616"/>
        <v>0.0079122001020929</v>
      </c>
      <c r="CQ401" s="1302">
        <f t="shared" si="2616"/>
        <v>0.0124555160142349</v>
      </c>
      <c r="CR401" s="1302">
        <f t="shared" si="2616"/>
        <v>0.0073118883321864</v>
      </c>
      <c r="CS401" s="1304">
        <f t="shared" si="2616"/>
        <v>0.00892502975009917</v>
      </c>
      <c r="CT401" s="1303">
        <f t="shared" si="2616"/>
        <v>0.00906225374310481</v>
      </c>
      <c r="CU401" s="1302">
        <f t="shared" ref="CU401:DD401" si="2617">CU399/CU388</f>
        <v>0.00916666666666667</v>
      </c>
      <c r="CV401" s="1302">
        <f t="shared" si="2617"/>
        <v>0.00911300121506683</v>
      </c>
      <c r="CW401" s="1302">
        <f t="shared" si="2617"/>
        <v>0.00884053043182591</v>
      </c>
      <c r="CX401" s="1302">
        <f t="shared" si="2617"/>
        <v>0.00901129584972712</v>
      </c>
      <c r="CY401" s="1302">
        <f t="shared" si="2617"/>
        <v>0.0128152128978917</v>
      </c>
      <c r="CZ401" s="1302">
        <f t="shared" si="2617"/>
        <v>0.010634328358209</v>
      </c>
      <c r="DA401" s="1304">
        <f t="shared" si="2617"/>
        <v>0.00990483589046417</v>
      </c>
      <c r="DB401" s="1109">
        <f t="shared" si="2617"/>
        <v>0.00803673938002296</v>
      </c>
      <c r="DC401" s="1082">
        <f t="shared" si="2617"/>
        <v>0.00795544948289578</v>
      </c>
      <c r="DD401" s="1082">
        <f t="shared" si="2617"/>
        <v>0.00799687926662766</v>
      </c>
      <c r="DE401" s="1082">
        <v>0.008</v>
      </c>
      <c r="DF401" s="1082">
        <f>DF399/DF388</f>
        <v>0.00779917133804533</v>
      </c>
      <c r="DG401" s="1082">
        <f>DG399/DG388</f>
        <v>0.00970496894409938</v>
      </c>
      <c r="DH401" s="1082">
        <f>DH399/DH388</f>
        <v>0.00848806366047745</v>
      </c>
      <c r="DI401" s="1085">
        <f>DI399/DI388</f>
        <v>0.00935660527215345</v>
      </c>
      <c r="DJ401" s="1082">
        <v>0.00776096235933256</v>
      </c>
      <c r="DK401" s="1082">
        <v>0.00976800976800977</v>
      </c>
      <c r="DL401" s="1082">
        <f>DL399/DL388</f>
        <v>0.00874056416368693</v>
      </c>
      <c r="DM401" s="1082">
        <v>0.00657894736842105</v>
      </c>
      <c r="DN401" s="1082">
        <f>DN399/DN388</f>
        <v>0.00795153351003408</v>
      </c>
      <c r="DO401" s="1082">
        <v>0.00935720097</v>
      </c>
      <c r="DP401" s="1082">
        <f t="shared" ref="DP401:DY401" si="2618">DP399/DP388</f>
        <v>0.00786369593414342</v>
      </c>
      <c r="DQ401" s="1085">
        <f t="shared" si="2618"/>
        <v>0.00828436566804739</v>
      </c>
      <c r="DR401" s="1082">
        <f t="shared" si="2618"/>
        <v>0.00822737471952132</v>
      </c>
      <c r="DS401" s="1082">
        <f t="shared" si="2618"/>
        <v>0.0082276311278711</v>
      </c>
      <c r="DT401" s="1082">
        <f t="shared" si="2618"/>
        <v>0.00822898032200358</v>
      </c>
      <c r="DU401" s="1082">
        <f t="shared" si="2618"/>
        <v>0.00749711649365629</v>
      </c>
      <c r="DV401" s="1082">
        <f t="shared" si="2618"/>
        <v>0.0079487745639214</v>
      </c>
      <c r="DW401" s="1082">
        <f t="shared" si="2618"/>
        <v>0.00954979536152797</v>
      </c>
      <c r="DX401" s="1082">
        <f t="shared" si="2618"/>
        <v>0.0084375</v>
      </c>
      <c r="DY401" s="1085">
        <f t="shared" si="2618"/>
        <v>0.00834028356964137</v>
      </c>
      <c r="DZ401" s="1083">
        <f>DZ399/DZ$388</f>
        <v>0.00549954170485793</v>
      </c>
      <c r="EA401" s="1083">
        <f>EA399/EA$388</f>
        <v>0.00718015665796345</v>
      </c>
      <c r="EB401" s="1083">
        <f t="shared" ref="EB401:EG401" si="2619">EB399/EB388</f>
        <v>0.00631213507969071</v>
      </c>
      <c r="EC401" s="1083">
        <f t="shared" si="2619"/>
        <v>0.00614316239316239</v>
      </c>
      <c r="ED401" s="1083">
        <f t="shared" si="2619"/>
        <v>0.00624938002182323</v>
      </c>
      <c r="EE401" s="1083">
        <f t="shared" si="2619"/>
        <v>0.00925640234495526</v>
      </c>
      <c r="EF401" s="1083">
        <f t="shared" si="2619"/>
        <v>0.00758768790264853</v>
      </c>
      <c r="EG401" s="1093">
        <f t="shared" si="2619"/>
        <v>0.00698093379372467</v>
      </c>
      <c r="EH401" s="1083">
        <f>EH399/EH$388</f>
        <v>0.00653765690376569</v>
      </c>
      <c r="EI401" s="1083">
        <f>EI399/EI$388</f>
        <v>0.00767699744100085</v>
      </c>
      <c r="EJ401" s="1083">
        <f>EJ399/EJ388</f>
        <v>0.00708350360986242</v>
      </c>
      <c r="EK401" s="1083">
        <f>EK399/EK$388</f>
        <v>0.00647016534867002</v>
      </c>
      <c r="EL401" s="1083">
        <f>EL399/EL388</f>
        <v>0.00686121243703318</v>
      </c>
      <c r="EM401" s="1083">
        <f>EM399/EM$388</f>
        <v>0.00801424755120214</v>
      </c>
      <c r="EN401" s="1083">
        <f>EN399/EN388</f>
        <v>0.00715990453460621</v>
      </c>
      <c r="EO401" s="1084">
        <f>EO399/EO388</f>
        <v>0.00705502922797823</v>
      </c>
      <c r="EP401" s="1083">
        <f>EP399/EP$388</f>
        <v>0.00666488936283658</v>
      </c>
      <c r="EQ401" s="1083">
        <f>EQ399/EQ$388</f>
        <v>0.00768548625480343</v>
      </c>
      <c r="ER401" s="1083">
        <f t="shared" ref="ER401:EY401" si="2620">ER399/ER388</f>
        <v>0.0071488645920942</v>
      </c>
      <c r="ES401" s="1083">
        <f t="shared" si="2620"/>
        <v>0.00696055684454756</v>
      </c>
      <c r="ET401" s="1083">
        <f t="shared" si="2620"/>
        <v>0.00708253881776083</v>
      </c>
      <c r="EU401" s="1083">
        <f t="shared" si="2620"/>
        <v>0.00747341189997126</v>
      </c>
      <c r="EV401" s="1083">
        <f t="shared" si="2620"/>
        <v>0.0072030443055178</v>
      </c>
      <c r="EW401" s="1093">
        <f t="shared" si="2620"/>
        <v>0.00717637317140491</v>
      </c>
      <c r="EX401" s="1083">
        <f t="shared" si="2620"/>
        <v>0.006894570525711</v>
      </c>
      <c r="EY401" s="1083">
        <f t="shared" si="2620"/>
        <v>0.00765155974102413</v>
      </c>
      <c r="EZ401" s="1083">
        <f t="shared" ref="EZ401:FE401" si="2621">EZ399/EZ$388</f>
        <v>0.00726849832824538</v>
      </c>
      <c r="FA401" s="1083">
        <f t="shared" si="2621"/>
        <v>0.00667655786350148</v>
      </c>
      <c r="FB401" s="1083">
        <f t="shared" si="2621"/>
        <v>0.00704934541792548</v>
      </c>
      <c r="FC401" s="1083">
        <f t="shared" si="2621"/>
        <v>0.00692520775623269</v>
      </c>
      <c r="FD401" s="1083">
        <f t="shared" si="2621"/>
        <v>0.00679383328978312</v>
      </c>
      <c r="FE401" s="1084">
        <f t="shared" si="2621"/>
        <v>0.00701850959884401</v>
      </c>
      <c r="FF401" s="1083">
        <f>FF399/FF388</f>
        <v>0.00661278471711976</v>
      </c>
      <c r="FG401" s="1083">
        <f>FG399/FG388</f>
        <v>0.00793447658049654</v>
      </c>
      <c r="FH401" s="1083">
        <f t="shared" ref="FH401:FN401" si="2622">FH399/FH$388</f>
        <v>0.00725907384230288</v>
      </c>
      <c r="FI401" s="1083">
        <f t="shared" si="2622"/>
        <v>0.0067269287365987</v>
      </c>
      <c r="FJ401" s="1083">
        <f t="shared" si="2622"/>
        <v>0.00706048481995764</v>
      </c>
      <c r="FK401" s="1083">
        <f t="shared" si="2622"/>
        <v>0.00695777351247601</v>
      </c>
      <c r="FL401" s="1083">
        <f t="shared" si="2622"/>
        <v>0.00683473389355742</v>
      </c>
      <c r="FM401" s="1084">
        <f t="shared" si="2622"/>
        <v>0.00703517587939699</v>
      </c>
      <c r="FN401" s="1083">
        <f t="shared" si="2622"/>
        <v>0.00503250157265674</v>
      </c>
      <c r="FO401" s="1083">
        <f t="shared" ref="FO401:FZ401" si="2623">FO399/FO$388</f>
        <v>0.00700881754465295</v>
      </c>
      <c r="FP401" s="1083">
        <f t="shared" si="2623"/>
        <v>0.00598346388163621</v>
      </c>
      <c r="FQ401" s="1083">
        <f t="shared" si="2623"/>
        <v>0.00554323725055432</v>
      </c>
      <c r="FR401" s="1083">
        <f t="shared" si="2623"/>
        <v>0.00582032319912353</v>
      </c>
      <c r="FS401" s="1083">
        <f t="shared" si="2623"/>
        <v>0.00512163892445583</v>
      </c>
      <c r="FT401" s="1083">
        <f t="shared" si="2623"/>
        <v>0.0053475935828877</v>
      </c>
      <c r="FU401" s="1094">
        <f t="shared" si="2623"/>
        <v>0.00565059616381545</v>
      </c>
      <c r="FV401" s="1086">
        <f t="shared" si="2623"/>
        <v>0.0051413881748072</v>
      </c>
      <c r="FW401" s="1083">
        <f t="shared" si="2623"/>
        <v>0.00575625248114331</v>
      </c>
      <c r="FX401" s="1083">
        <f t="shared" si="2623"/>
        <v>0.00543685616177032</v>
      </c>
      <c r="FY401" s="1083">
        <f t="shared" si="2623"/>
        <v>0.00510743219443466</v>
      </c>
      <c r="FZ401" s="1083">
        <f t="shared" si="2623"/>
        <v>0.00532112362331395</v>
      </c>
      <c r="GA401" s="1083">
        <f>GA399/GA388</f>
        <v>0.00573575949367088</v>
      </c>
      <c r="GB401" s="1083">
        <f>GB399/GB$388</f>
        <v>0.00540339109372089</v>
      </c>
      <c r="GC401" s="1093">
        <f>GC399/GC$388</f>
        <v>0.00541992647751909</v>
      </c>
      <c r="GD401" s="1087">
        <v>0.00468637346791637</v>
      </c>
      <c r="GE401" s="1087">
        <v>0.00608249382246721</v>
      </c>
      <c r="GF401" s="1083">
        <f>GF399/GF$388</f>
        <v>0.005365898788047</v>
      </c>
      <c r="GG401" s="1087">
        <v>0.00630001702707304</v>
      </c>
      <c r="GH401" s="1083">
        <f>GH399/GH$388</f>
        <v>0.00569476082004556</v>
      </c>
      <c r="GI401" s="1087">
        <v>0.00649722912287407</v>
      </c>
      <c r="GJ401" s="1083">
        <f>GJ399/GJ$388</f>
        <v>0.00639294075274626</v>
      </c>
      <c r="GK401" s="1093">
        <f>GK399/GK$388</f>
        <v>0.00588637919233402</v>
      </c>
      <c r="GL401" s="1087">
        <v>0.00594934557198708</v>
      </c>
      <c r="GM401" s="1087">
        <v>0.00707932474133237</v>
      </c>
      <c r="GN401" s="1083">
        <f>GN399/GN$388</f>
        <v>0.00649578651685393</v>
      </c>
      <c r="GO401" s="1087">
        <v>0.00577223088923557</v>
      </c>
      <c r="GP401" s="1083">
        <f>GP399/GP$388</f>
        <v>0.00623525446579036</v>
      </c>
      <c r="GQ401" s="1087">
        <v>0.0073642747045727</v>
      </c>
      <c r="GR401" s="1083">
        <f>GR399/GR$388</f>
        <v>0.00653114539962446</v>
      </c>
      <c r="GS401" s="1093">
        <f>GS399/GS$388</f>
        <v>0.00651410684827207</v>
      </c>
      <c r="GT401" s="1087">
        <v>0.00483904902167052</v>
      </c>
      <c r="GU401" s="1087">
        <v>0.00307378738389117</v>
      </c>
      <c r="GV401" s="1083">
        <f>GV399/GV$388</f>
        <v>0.00408082579590806</v>
      </c>
      <c r="GW401" s="1087">
        <f>GW399/GW388</f>
        <v>0.00402392761490744</v>
      </c>
      <c r="GX401" s="1083">
        <f>GX399/GX$388</f>
        <v>0.00405708770073578</v>
      </c>
      <c r="GY401" s="1087">
        <v>0.00450610315623687</v>
      </c>
      <c r="GZ401" s="1083">
        <f>GZ399/GZ$388</f>
        <v>0.00425629756141077</v>
      </c>
      <c r="HA401" s="1093">
        <f>HA399/HA$388</f>
        <v>0.00418262447087281</v>
      </c>
      <c r="HB401" s="1094">
        <v>0.00265755504935459</v>
      </c>
      <c r="HC401" s="1094">
        <v>0.00334843411463463</v>
      </c>
      <c r="HD401" s="1083">
        <f>HD399/HD$388</f>
        <v>0.00299661672305462</v>
      </c>
      <c r="HE401" s="1094">
        <f>HC401</f>
        <v>0.00334843411463463</v>
      </c>
      <c r="HF401" s="1094"/>
      <c r="HG401" s="1083">
        <f>HG399/HG$388</f>
        <v>0.00642398286937902</v>
      </c>
      <c r="HH401" s="1083">
        <f>HH399/HH$388</f>
        <v>0.00505096886766461</v>
      </c>
      <c r="HI401" s="1093">
        <f>'Profit and Loss'!AB338</f>
        <v>0.00405010831685033</v>
      </c>
      <c r="HJ401" s="1094">
        <v>0.0043379856657865</v>
      </c>
      <c r="HK401" s="1094">
        <v>0.0048240128640343</v>
      </c>
      <c r="HL401" s="1083">
        <f>HL399/HL$388</f>
        <v>0.0045875768419121</v>
      </c>
      <c r="HM401" s="1094">
        <f>HK401</f>
        <v>0.0048240128640343</v>
      </c>
      <c r="HN401" s="1094"/>
      <c r="HO401" s="1083">
        <f>HO399/HO$388</f>
        <v>0.00499615680245964</v>
      </c>
      <c r="HP401" s="1083">
        <f>HP399/HP$388</f>
        <v>0.00528604314093273</v>
      </c>
      <c r="HQ401" s="1093">
        <f>'Profit and Loss'!AC338</f>
        <v>0.00497534538669984</v>
      </c>
      <c r="HR401" s="1083">
        <f>HR399/HR$388</f>
        <v>0.00474023511566174</v>
      </c>
      <c r="HS401" s="1094">
        <v>0.00424843212623912</v>
      </c>
      <c r="HT401" s="1083">
        <f>HT399/HT$388</f>
        <v>0.00451378667451673</v>
      </c>
      <c r="HU401" s="1083">
        <f>HU399/HU$388</f>
        <v>0.00354044963710391</v>
      </c>
      <c r="HV401" s="1094"/>
      <c r="HW401" s="1083">
        <f>HW399/HW$388</f>
        <v>0.00353283458021613</v>
      </c>
      <c r="HX401" s="1083">
        <f>HX399/HX$388</f>
        <v>0.00353694675461237</v>
      </c>
      <c r="HY401" s="1093">
        <f>'Profit and Loss'!AD338</f>
        <v>0.00401392784601992</v>
      </c>
      <c r="HZ401" s="1083">
        <f>HZ399/HZ$388</f>
        <v>0.0032027128862095</v>
      </c>
      <c r="IA401" s="1094">
        <f>HZ401</f>
        <v>0.0032027128862095</v>
      </c>
      <c r="IB401" s="1083">
        <f>IB399/IB$388</f>
        <v>0.0032027128862095</v>
      </c>
      <c r="IC401" s="1083">
        <f>IC399/IC$388</f>
        <v>0.00320615581917281</v>
      </c>
      <c r="ID401" s="1083">
        <f>ID399/ID$388</f>
        <v>0.00320919789068085</v>
      </c>
      <c r="IE401" s="1083">
        <f>IE399/IE$388</f>
        <v>0.00443211392220464</v>
      </c>
      <c r="IF401" s="1083">
        <f>IF399/IF$388</f>
        <v>0.00379773331299895</v>
      </c>
      <c r="IG401" s="1093">
        <f>'Profit and Loss'!AE338</f>
        <v>0.00351669343984718</v>
      </c>
      <c r="IH401" s="1083">
        <f>IH399/IH$388</f>
        <v>0.00308792458963107</v>
      </c>
      <c r="II401" s="1094">
        <v>0.0030241935483871</v>
      </c>
      <c r="IJ401" s="1083">
        <f>IJ399/IJ$388</f>
        <v>0.00305658818669971</v>
      </c>
      <c r="IK401" s="1083">
        <v>0.00361990950226244</v>
      </c>
      <c r="IL401" s="1083">
        <f>IL399/IL$388</f>
        <v>0.00326081146095045</v>
      </c>
      <c r="IM401" s="1083">
        <f>IM399/IM$388</f>
        <v>-0.00674786043449639</v>
      </c>
      <c r="IN401" s="1083">
        <f>IN399/IN$388</f>
        <v>-0.001342918081997</v>
      </c>
      <c r="IO401" s="1093">
        <f>'Profit and Loss'!AF338</f>
        <v>0.000806094071178105</v>
      </c>
      <c r="IP401" s="1083">
        <f>IP399/IP$388</f>
        <v>0.00288228155339806</v>
      </c>
      <c r="IQ401" s="1083">
        <f>IQ399/IQ$388</f>
        <v>0.0023728310840872</v>
      </c>
      <c r="IR401" s="1083">
        <f>IR399/IR$388</f>
        <v>0.0026246719160105</v>
      </c>
      <c r="IS401" s="1083">
        <f>IQ401</f>
        <v>0.0023728310840872</v>
      </c>
      <c r="IT401" s="1083">
        <f>IT399/IT$388</f>
        <v>0.00253572064764039</v>
      </c>
      <c r="IU401" s="1083">
        <f>IU399/IU$388</f>
        <v>-0.00466662485765267</v>
      </c>
      <c r="IV401" s="1083">
        <f>IV399/IV$388</f>
        <v>-0.000951469094352379</v>
      </c>
      <c r="IW401" s="1093">
        <f>'Profit and Loss'!AG338</f>
        <v>0.000806094071178105</v>
      </c>
      <c r="IX401" s="1329"/>
      <c r="IY401" s="1037"/>
      <c r="IZ401" s="1104"/>
      <c r="JA401" s="883"/>
      <c r="JB401" s="883"/>
      <c r="JC401" s="1037"/>
      <c r="JD401" s="1037"/>
      <c r="JE401" s="1330"/>
      <c r="JF401" s="1037"/>
      <c r="JG401" s="1037"/>
      <c r="JH401" s="1037"/>
      <c r="JI401" s="1035"/>
      <c r="JJ401" s="883"/>
      <c r="JK401" s="883"/>
      <c r="JL401" s="883"/>
      <c r="JM401" s="883"/>
      <c r="JN401" s="883"/>
      <c r="JO401" s="883"/>
      <c r="JP401" s="883"/>
      <c r="JQ401" s="883"/>
      <c r="JR401" s="1035"/>
      <c r="JS401" s="1035"/>
      <c r="JT401" s="1035"/>
      <c r="JU401" s="1035"/>
      <c r="JV401" s="1035"/>
      <c r="JW401" s="1035"/>
      <c r="JX401" s="1035"/>
      <c r="JY401" s="1035"/>
      <c r="KP401" s="1180"/>
    </row>
    <row r="402" hidden="1" outlineLevel="1" spans="1:302">
      <c r="A402" s="969" t="s">
        <v>586</v>
      </c>
      <c r="B402" s="1302"/>
      <c r="C402" s="1302"/>
      <c r="D402" s="1302"/>
      <c r="E402" s="1302"/>
      <c r="F402" s="1302"/>
      <c r="G402" s="1302"/>
      <c r="H402" s="1302"/>
      <c r="I402" s="1302"/>
      <c r="J402" s="1302"/>
      <c r="K402" s="1302"/>
      <c r="L402" s="1302"/>
      <c r="M402" s="1302"/>
      <c r="N402" s="1302"/>
      <c r="O402" s="1302"/>
      <c r="P402" s="1302"/>
      <c r="Q402" s="1302"/>
      <c r="R402" s="1302"/>
      <c r="S402" s="1302"/>
      <c r="T402" s="1302"/>
      <c r="U402" s="1302"/>
      <c r="V402" s="1302"/>
      <c r="W402" s="1302"/>
      <c r="X402" s="1302"/>
      <c r="Y402" s="1302"/>
      <c r="Z402" s="1302"/>
      <c r="AA402" s="1302"/>
      <c r="AB402" s="1302"/>
      <c r="AC402" s="1302"/>
      <c r="AD402" s="1302"/>
      <c r="AE402" s="1302"/>
      <c r="AF402" s="1302"/>
      <c r="AG402" s="1302"/>
      <c r="AH402" s="1302"/>
      <c r="AI402" s="1302"/>
      <c r="AJ402" s="1302"/>
      <c r="AK402" s="1302"/>
      <c r="AL402" s="1302"/>
      <c r="AM402" s="1302"/>
      <c r="AN402" s="1302"/>
      <c r="AO402" s="1302"/>
      <c r="AP402" s="1302"/>
      <c r="AQ402" s="1302"/>
      <c r="AR402" s="1302"/>
      <c r="AS402" s="1302"/>
      <c r="AT402" s="1302"/>
      <c r="AU402" s="1302"/>
      <c r="AV402" s="1302"/>
      <c r="AW402" s="1302"/>
      <c r="AX402" s="1303"/>
      <c r="AY402" s="1302"/>
      <c r="AZ402" s="1302"/>
      <c r="BA402" s="1302"/>
      <c r="BB402" s="1302"/>
      <c r="BC402" s="1302"/>
      <c r="BD402" s="1302"/>
      <c r="BE402" s="1304"/>
      <c r="BF402" s="1302"/>
      <c r="BG402" s="1302"/>
      <c r="BH402" s="1302"/>
      <c r="BI402" s="1302"/>
      <c r="BJ402" s="1302"/>
      <c r="BK402" s="1302"/>
      <c r="BL402" s="1302"/>
      <c r="BM402" s="1302"/>
      <c r="BN402" s="1303"/>
      <c r="BO402" s="1302"/>
      <c r="BP402" s="1302"/>
      <c r="BQ402" s="1302"/>
      <c r="BR402" s="1302"/>
      <c r="BS402" s="1302"/>
      <c r="BT402" s="1302"/>
      <c r="BU402" s="1304"/>
      <c r="BV402" s="1303"/>
      <c r="BW402" s="1302"/>
      <c r="BX402" s="1302"/>
      <c r="BY402" s="1302"/>
      <c r="BZ402" s="1302"/>
      <c r="CA402" s="1302"/>
      <c r="CB402" s="1302"/>
      <c r="CC402" s="1304"/>
      <c r="CD402" s="1303"/>
      <c r="CE402" s="1302"/>
      <c r="CF402" s="1302"/>
      <c r="CG402" s="1302"/>
      <c r="CH402" s="1302"/>
      <c r="CI402" s="1302"/>
      <c r="CJ402" s="1302"/>
      <c r="CK402" s="1304"/>
      <c r="CL402" s="1303"/>
      <c r="CM402" s="1302"/>
      <c r="CN402" s="1302"/>
      <c r="CO402" s="1302"/>
      <c r="CP402" s="1302"/>
      <c r="CQ402" s="1302"/>
      <c r="CR402" s="1302"/>
      <c r="CS402" s="1304"/>
      <c r="CT402" s="1303"/>
      <c r="CU402" s="1302"/>
      <c r="CV402" s="1302"/>
      <c r="CW402" s="1302"/>
      <c r="CX402" s="1302"/>
      <c r="CY402" s="1302"/>
      <c r="CZ402" s="1302"/>
      <c r="DA402" s="1304"/>
      <c r="DB402" s="1109"/>
      <c r="DC402" s="1082"/>
      <c r="DD402" s="1082"/>
      <c r="DE402" s="1082"/>
      <c r="DF402" s="1082"/>
      <c r="DG402" s="1082"/>
      <c r="DH402" s="1082"/>
      <c r="DI402" s="1085"/>
      <c r="DJ402" s="1082"/>
      <c r="DK402" s="1082"/>
      <c r="DL402" s="1082"/>
      <c r="DM402" s="1082"/>
      <c r="DN402" s="1082"/>
      <c r="DO402" s="1082"/>
      <c r="DP402" s="1082"/>
      <c r="DQ402" s="1085"/>
      <c r="DR402" s="1082"/>
      <c r="DS402" s="1082"/>
      <c r="DT402" s="1082"/>
      <c r="DU402" s="1082"/>
      <c r="DV402" s="1082"/>
      <c r="DW402" s="1082"/>
      <c r="DX402" s="1082"/>
      <c r="DY402" s="1085"/>
      <c r="DZ402" s="1311">
        <v>417</v>
      </c>
      <c r="EA402" s="1311">
        <f>EB402-DZ402</f>
        <v>415</v>
      </c>
      <c r="EB402" s="1311">
        <v>832</v>
      </c>
      <c r="EC402" s="1311">
        <f>ED402-EB402</f>
        <v>413</v>
      </c>
      <c r="ED402" s="1311">
        <v>1245</v>
      </c>
      <c r="EE402" s="1311">
        <f>EG402-ED402</f>
        <v>454</v>
      </c>
      <c r="EF402" s="1311">
        <f>EC402+EE402</f>
        <v>867</v>
      </c>
      <c r="EG402" s="1312">
        <f>'Profit and Loss'!R342</f>
        <v>1699</v>
      </c>
      <c r="EH402" s="1311">
        <v>426</v>
      </c>
      <c r="EI402" s="1311">
        <f>EJ402-EH402</f>
        <v>468</v>
      </c>
      <c r="EJ402" s="1311">
        <v>894</v>
      </c>
      <c r="EK402" s="1311">
        <f>EL402-EJ402</f>
        <v>452</v>
      </c>
      <c r="EL402" s="1311">
        <v>1346</v>
      </c>
      <c r="EM402" s="1311">
        <f>EO402-EL402</f>
        <v>460</v>
      </c>
      <c r="EN402" s="1311">
        <f>EK402+EM402</f>
        <v>912</v>
      </c>
      <c r="EO402" s="1312">
        <f>304+1502</f>
        <v>1806</v>
      </c>
      <c r="EP402" s="1311">
        <v>437</v>
      </c>
      <c r="EQ402" s="1311">
        <f>ER402-EP402</f>
        <v>445</v>
      </c>
      <c r="ER402" s="1311">
        <v>882</v>
      </c>
      <c r="ES402" s="1311">
        <f>ET402-ER402</f>
        <v>454</v>
      </c>
      <c r="ET402" s="1311">
        <v>1336</v>
      </c>
      <c r="EU402" s="1311">
        <f>EW402-ET402</f>
        <v>461</v>
      </c>
      <c r="EV402" s="1311">
        <f>ES402+EU402</f>
        <v>915</v>
      </c>
      <c r="EW402" s="1312">
        <f>340+1457</f>
        <v>1797</v>
      </c>
      <c r="EX402" s="1311">
        <v>442</v>
      </c>
      <c r="EY402" s="1311">
        <f>EZ402-EX402</f>
        <v>505</v>
      </c>
      <c r="EZ402" s="1311">
        <v>947</v>
      </c>
      <c r="FA402" s="1311">
        <f>FB402-EZ402</f>
        <v>494</v>
      </c>
      <c r="FB402" s="1311">
        <v>1441</v>
      </c>
      <c r="FC402" s="1311">
        <f>FE402-FB402</f>
        <v>482</v>
      </c>
      <c r="FD402" s="1311">
        <f>FA402+FC402</f>
        <v>976</v>
      </c>
      <c r="FE402" s="1312">
        <f>'Profit and Loss'!U342</f>
        <v>1923</v>
      </c>
      <c r="FF402" s="1311">
        <v>554</v>
      </c>
      <c r="FG402" s="1311">
        <f>FH402-FF402</f>
        <v>548</v>
      </c>
      <c r="FH402" s="1311">
        <v>1102</v>
      </c>
      <c r="FI402" s="1311">
        <f>FJ402-FH402</f>
        <v>602</v>
      </c>
      <c r="FJ402" s="1311">
        <v>1704</v>
      </c>
      <c r="FK402" s="1311">
        <f>FM402-FJ402</f>
        <v>644</v>
      </c>
      <c r="FL402" s="1311">
        <f>FI402+FK402</f>
        <v>1246</v>
      </c>
      <c r="FM402" s="1312">
        <f>'Profit and Loss'!V342</f>
        <v>2348</v>
      </c>
      <c r="FN402" s="1311">
        <v>606</v>
      </c>
      <c r="FO402" s="1314">
        <f>FP402-FN402</f>
        <v>581</v>
      </c>
      <c r="FP402" s="1314">
        <v>1187</v>
      </c>
      <c r="FQ402" s="1311">
        <f>FR402-FP402</f>
        <v>517</v>
      </c>
      <c r="FR402" s="1311">
        <v>1704</v>
      </c>
      <c r="FS402" s="1311">
        <f>FU402-FR402</f>
        <v>817</v>
      </c>
      <c r="FT402" s="1311">
        <f>FU402-FP402</f>
        <v>1334</v>
      </c>
      <c r="FU402" s="1311">
        <f>'Profit and Loss'!W342</f>
        <v>2521</v>
      </c>
      <c r="FV402" s="1313">
        <v>630</v>
      </c>
      <c r="FW402" s="1314">
        <f>FX402-FV402</f>
        <v>620</v>
      </c>
      <c r="FX402" s="1314">
        <v>1250</v>
      </c>
      <c r="FY402" s="1314">
        <v>665</v>
      </c>
      <c r="FZ402" s="1311">
        <f>FY402+FX402</f>
        <v>1915</v>
      </c>
      <c r="GA402" s="1311">
        <f>GC402-FZ402</f>
        <v>809</v>
      </c>
      <c r="GB402" s="1311">
        <f>GC402-FX402</f>
        <v>1474</v>
      </c>
      <c r="GC402" s="1312">
        <f>'Profit and Loss'!X342</f>
        <v>2724</v>
      </c>
      <c r="GD402" s="1314">
        <v>707</v>
      </c>
      <c r="GE402" s="1314">
        <f>GF402-GD402</f>
        <v>709</v>
      </c>
      <c r="GF402" s="1314">
        <v>1416</v>
      </c>
      <c r="GG402" s="1311">
        <f>GG404*GG388</f>
        <v>716.506</v>
      </c>
      <c r="GH402" s="1311">
        <f>GG402+GF402</f>
        <v>2132.506</v>
      </c>
      <c r="GI402" s="1311">
        <f>GK402-GG402-GE402-GD402</f>
        <v>868.494</v>
      </c>
      <c r="GJ402" s="1311">
        <f>GK402-GF402</f>
        <v>1585</v>
      </c>
      <c r="GK402" s="1312">
        <f>'Profit and Loss'!Y342</f>
        <v>3001</v>
      </c>
      <c r="GL402" s="1314">
        <v>703</v>
      </c>
      <c r="GM402" s="1314">
        <f>GN402-GL402</f>
        <v>745</v>
      </c>
      <c r="GN402" s="1314">
        <v>1448</v>
      </c>
      <c r="GO402" s="1311">
        <f>GP402-GN402</f>
        <v>752</v>
      </c>
      <c r="GP402" s="1311">
        <v>2200</v>
      </c>
      <c r="GQ402" s="1311">
        <f>GS402-GP402</f>
        <v>842</v>
      </c>
      <c r="GR402" s="1311">
        <f>GS402-GN402</f>
        <v>1594</v>
      </c>
      <c r="GS402" s="1312">
        <v>3042</v>
      </c>
      <c r="GT402" s="1314">
        <v>704</v>
      </c>
      <c r="GU402" s="1314">
        <f>GV402-GT402</f>
        <v>560</v>
      </c>
      <c r="GV402" s="1314">
        <v>1264</v>
      </c>
      <c r="GW402" s="1311">
        <v>579</v>
      </c>
      <c r="GX402" s="1311"/>
      <c r="GY402" s="1311">
        <f>GQ402*(1+GY403)</f>
        <v>730</v>
      </c>
      <c r="GZ402" s="1311">
        <f>GY402+GW402</f>
        <v>1309</v>
      </c>
      <c r="HA402" s="1312">
        <f>GY402+GW402+GV402</f>
        <v>2573</v>
      </c>
      <c r="HB402" s="1314">
        <v>541</v>
      </c>
      <c r="HC402" s="1314">
        <v>616</v>
      </c>
      <c r="HD402" s="1311">
        <f>HC402+HB402</f>
        <v>1157</v>
      </c>
      <c r="HE402" s="1311">
        <v>674</v>
      </c>
      <c r="HF402" s="1311"/>
      <c r="HG402" s="1311">
        <v>715</v>
      </c>
      <c r="HH402" s="1311">
        <f>HG402+HE402</f>
        <v>1389</v>
      </c>
      <c r="HI402" s="1312">
        <f>HG402+HE402+HD402</f>
        <v>2546</v>
      </c>
      <c r="HJ402" s="1314">
        <v>641</v>
      </c>
      <c r="HK402" s="1314">
        <v>663</v>
      </c>
      <c r="HL402" s="1311">
        <f>HK402+HJ402</f>
        <v>1304</v>
      </c>
      <c r="HM402" s="1311">
        <v>691</v>
      </c>
      <c r="HN402" s="1311"/>
      <c r="HO402" s="1311"/>
      <c r="HP402" s="1311"/>
      <c r="HQ402" s="1312"/>
      <c r="HR402" s="1314">
        <v>601</v>
      </c>
      <c r="HS402" s="1314">
        <v>617</v>
      </c>
      <c r="HT402" s="1311">
        <f>HS402+HR402</f>
        <v>1218</v>
      </c>
      <c r="HU402" s="1311">
        <v>644</v>
      </c>
      <c r="HV402" s="1311"/>
      <c r="HW402" s="1311"/>
      <c r="HX402" s="1311"/>
      <c r="HY402" s="1312"/>
      <c r="HZ402" s="1314">
        <v>657</v>
      </c>
      <c r="IA402" s="1314">
        <v>706</v>
      </c>
      <c r="IB402" s="1311">
        <f>IA402+HZ402</f>
        <v>1363</v>
      </c>
      <c r="IC402" s="1311">
        <v>644</v>
      </c>
      <c r="ID402" s="1311"/>
      <c r="IE402" s="1311"/>
      <c r="IF402" s="1311"/>
      <c r="IG402" s="1312"/>
      <c r="IH402" s="1314">
        <v>746</v>
      </c>
      <c r="II402" s="1314">
        <v>712</v>
      </c>
      <c r="IJ402" s="1311">
        <f>II402+IH402</f>
        <v>1458</v>
      </c>
      <c r="IK402" s="1311">
        <v>798</v>
      </c>
      <c r="IL402" s="1311"/>
      <c r="IM402" s="1311"/>
      <c r="IN402" s="1311"/>
      <c r="IO402" s="1312"/>
      <c r="IP402" s="1314"/>
      <c r="IQ402" s="1314"/>
      <c r="IR402" s="1311"/>
      <c r="IS402" s="1311"/>
      <c r="IT402" s="1311"/>
      <c r="IU402" s="1311"/>
      <c r="IV402" s="1311"/>
      <c r="IW402" s="1312"/>
      <c r="IX402" s="1331"/>
      <c r="IY402" s="1037"/>
      <c r="IZ402" s="1049"/>
      <c r="JA402" s="1049"/>
      <c r="JB402" s="1049"/>
      <c r="JC402" s="1037"/>
      <c r="JD402" s="1037"/>
      <c r="JE402" s="1330"/>
      <c r="JF402" s="1037"/>
      <c r="JG402" s="1037"/>
      <c r="JH402" s="1037"/>
      <c r="JI402" s="1035"/>
      <c r="JJ402" s="1049"/>
      <c r="JK402" s="1049"/>
      <c r="JL402" s="1049"/>
      <c r="JM402" s="1049"/>
      <c r="JN402" s="1049"/>
      <c r="JO402" s="1049"/>
      <c r="JP402" s="1049"/>
      <c r="JQ402" s="1049"/>
      <c r="JR402" s="1035"/>
      <c r="JS402" s="1035"/>
      <c r="JT402" s="1035"/>
      <c r="JU402" s="1035"/>
      <c r="JV402" s="1035"/>
      <c r="JW402" s="1035"/>
      <c r="JX402" s="1035"/>
      <c r="JY402" s="1035"/>
      <c r="KP402" s="1180"/>
    </row>
    <row r="403" hidden="1" outlineLevel="1" spans="1:302">
      <c r="A403" s="1035" t="s">
        <v>61</v>
      </c>
      <c r="B403" s="1302"/>
      <c r="C403" s="1302"/>
      <c r="D403" s="1302"/>
      <c r="E403" s="1302"/>
      <c r="F403" s="1302"/>
      <c r="G403" s="1302"/>
      <c r="H403" s="1302"/>
      <c r="I403" s="1302"/>
      <c r="J403" s="1302"/>
      <c r="K403" s="1302"/>
      <c r="L403" s="1302"/>
      <c r="M403" s="1302"/>
      <c r="N403" s="1302"/>
      <c r="O403" s="1302"/>
      <c r="P403" s="1302"/>
      <c r="Q403" s="1302"/>
      <c r="R403" s="1302"/>
      <c r="S403" s="1302"/>
      <c r="T403" s="1302"/>
      <c r="U403" s="1302"/>
      <c r="V403" s="1302"/>
      <c r="W403" s="1302"/>
      <c r="X403" s="1302"/>
      <c r="Y403" s="1302"/>
      <c r="Z403" s="1302"/>
      <c r="AA403" s="1302"/>
      <c r="AB403" s="1302"/>
      <c r="AC403" s="1302"/>
      <c r="AD403" s="1302"/>
      <c r="AE403" s="1302"/>
      <c r="AF403" s="1302"/>
      <c r="AG403" s="1302"/>
      <c r="AH403" s="1302"/>
      <c r="AI403" s="1302"/>
      <c r="AJ403" s="1302"/>
      <c r="AK403" s="1302"/>
      <c r="AL403" s="1302"/>
      <c r="AM403" s="1302"/>
      <c r="AN403" s="1302"/>
      <c r="AO403" s="1302"/>
      <c r="AP403" s="1302"/>
      <c r="AQ403" s="1302"/>
      <c r="AR403" s="1302"/>
      <c r="AS403" s="1302"/>
      <c r="AT403" s="1302"/>
      <c r="AU403" s="1302"/>
      <c r="AV403" s="1302"/>
      <c r="AW403" s="1302"/>
      <c r="AX403" s="1303"/>
      <c r="AY403" s="1302"/>
      <c r="AZ403" s="1302"/>
      <c r="BA403" s="1302"/>
      <c r="BB403" s="1302"/>
      <c r="BC403" s="1302"/>
      <c r="BD403" s="1302"/>
      <c r="BE403" s="1304"/>
      <c r="BF403" s="1302"/>
      <c r="BG403" s="1302"/>
      <c r="BH403" s="1302"/>
      <c r="BI403" s="1302"/>
      <c r="BJ403" s="1302"/>
      <c r="BK403" s="1302"/>
      <c r="BL403" s="1302"/>
      <c r="BM403" s="1302"/>
      <c r="BN403" s="1303"/>
      <c r="BO403" s="1302"/>
      <c r="BP403" s="1302"/>
      <c r="BQ403" s="1302"/>
      <c r="BR403" s="1302"/>
      <c r="BS403" s="1302"/>
      <c r="BT403" s="1302"/>
      <c r="BU403" s="1304"/>
      <c r="BV403" s="1303"/>
      <c r="BW403" s="1302"/>
      <c r="BX403" s="1302"/>
      <c r="BY403" s="1302"/>
      <c r="BZ403" s="1302"/>
      <c r="CA403" s="1302"/>
      <c r="CB403" s="1302"/>
      <c r="CC403" s="1304"/>
      <c r="CD403" s="1303"/>
      <c r="CE403" s="1302"/>
      <c r="CF403" s="1302"/>
      <c r="CG403" s="1302"/>
      <c r="CH403" s="1302"/>
      <c r="CI403" s="1302"/>
      <c r="CJ403" s="1302"/>
      <c r="CK403" s="1304"/>
      <c r="CL403" s="1303"/>
      <c r="CM403" s="1302"/>
      <c r="CN403" s="1302"/>
      <c r="CO403" s="1302"/>
      <c r="CP403" s="1302"/>
      <c r="CQ403" s="1302"/>
      <c r="CR403" s="1302"/>
      <c r="CS403" s="1304"/>
      <c r="CT403" s="1303"/>
      <c r="CU403" s="1302"/>
      <c r="CV403" s="1302"/>
      <c r="CW403" s="1302"/>
      <c r="CX403" s="1302"/>
      <c r="CY403" s="1302"/>
      <c r="CZ403" s="1302"/>
      <c r="DA403" s="1304"/>
      <c r="DB403" s="1109"/>
      <c r="DC403" s="1082"/>
      <c r="DD403" s="1082"/>
      <c r="DE403" s="1082"/>
      <c r="DF403" s="1082"/>
      <c r="DG403" s="1082"/>
      <c r="DH403" s="1082"/>
      <c r="DI403" s="1085"/>
      <c r="DJ403" s="1082"/>
      <c r="DK403" s="1082"/>
      <c r="DL403" s="1082"/>
      <c r="DM403" s="1082"/>
      <c r="DN403" s="1082"/>
      <c r="DO403" s="1082"/>
      <c r="DP403" s="1082"/>
      <c r="DQ403" s="1085"/>
      <c r="DR403" s="1082"/>
      <c r="DS403" s="1082"/>
      <c r="DT403" s="1082"/>
      <c r="DU403" s="1082"/>
      <c r="DV403" s="1082"/>
      <c r="DW403" s="1082"/>
      <c r="DX403" s="1082"/>
      <c r="DY403" s="1085"/>
      <c r="DZ403" s="1082" t="e">
        <f t="shared" ref="DZ403:EO403" si="2624">DZ402/DR402-1</f>
        <v>#DIV/0!</v>
      </c>
      <c r="EA403" s="1082" t="e">
        <f t="shared" si="2624"/>
        <v>#DIV/0!</v>
      </c>
      <c r="EB403" s="1082" t="e">
        <f t="shared" si="2624"/>
        <v>#DIV/0!</v>
      </c>
      <c r="EC403" s="1082" t="e">
        <f t="shared" si="2624"/>
        <v>#DIV/0!</v>
      </c>
      <c r="ED403" s="1082" t="e">
        <f t="shared" si="2624"/>
        <v>#DIV/0!</v>
      </c>
      <c r="EE403" s="1082" t="e">
        <f t="shared" si="2624"/>
        <v>#DIV/0!</v>
      </c>
      <c r="EF403" s="1082" t="e">
        <f t="shared" si="2624"/>
        <v>#DIV/0!</v>
      </c>
      <c r="EG403" s="1085" t="e">
        <f t="shared" si="2624"/>
        <v>#DIV/0!</v>
      </c>
      <c r="EH403" s="1082">
        <f t="shared" si="2624"/>
        <v>0.0215827338129497</v>
      </c>
      <c r="EI403" s="1082">
        <f t="shared" si="2624"/>
        <v>0.127710843373494</v>
      </c>
      <c r="EJ403" s="1082">
        <f t="shared" si="2624"/>
        <v>0.0745192307692308</v>
      </c>
      <c r="EK403" s="1082">
        <f t="shared" si="2624"/>
        <v>0.0944309927360776</v>
      </c>
      <c r="EL403" s="1082">
        <f t="shared" si="2624"/>
        <v>0.0811244979919679</v>
      </c>
      <c r="EM403" s="1082">
        <f t="shared" si="2624"/>
        <v>0.0132158590308371</v>
      </c>
      <c r="EN403" s="1082">
        <f t="shared" si="2624"/>
        <v>0.0519031141868511</v>
      </c>
      <c r="EO403" s="1085">
        <f t="shared" si="2624"/>
        <v>0.062978222483814</v>
      </c>
      <c r="EP403" s="1082">
        <f t="shared" ref="EP403:EV403" si="2625">EP402/EH402-1</f>
        <v>0.0258215962441315</v>
      </c>
      <c r="EQ403" s="1082">
        <f t="shared" si="2625"/>
        <v>-0.0491452991452992</v>
      </c>
      <c r="ER403" s="1082">
        <f t="shared" si="2625"/>
        <v>-0.0134228187919463</v>
      </c>
      <c r="ES403" s="1082">
        <f t="shared" si="2625"/>
        <v>0.00442477876106184</v>
      </c>
      <c r="ET403" s="1082">
        <f t="shared" si="2625"/>
        <v>-0.00742942050520057</v>
      </c>
      <c r="EU403" s="1082">
        <f t="shared" si="2625"/>
        <v>0.00217391304347836</v>
      </c>
      <c r="EV403" s="1082">
        <f t="shared" si="2625"/>
        <v>0.00328947368421062</v>
      </c>
      <c r="EW403" s="1085">
        <f t="shared" ref="EW403:FE403" si="2626">EW402/EO402-1</f>
        <v>-0.00498338870431891</v>
      </c>
      <c r="EX403" s="1082">
        <f t="shared" si="2626"/>
        <v>0.0114416475972541</v>
      </c>
      <c r="EY403" s="1082">
        <f t="shared" si="2626"/>
        <v>0.134831460674157</v>
      </c>
      <c r="EZ403" s="1082">
        <f t="shared" si="2626"/>
        <v>0.0736961451247164</v>
      </c>
      <c r="FA403" s="1082">
        <f t="shared" si="2626"/>
        <v>0.0881057268722467</v>
      </c>
      <c r="FB403" s="1082">
        <f t="shared" si="2626"/>
        <v>0.0785928143712575</v>
      </c>
      <c r="FC403" s="1082">
        <f t="shared" si="2626"/>
        <v>0.0455531453362257</v>
      </c>
      <c r="FD403" s="1082">
        <f t="shared" si="2626"/>
        <v>0.0666666666666667</v>
      </c>
      <c r="FE403" s="1085">
        <f t="shared" si="2626"/>
        <v>0.0701168614357262</v>
      </c>
      <c r="FF403" s="1082">
        <f t="shared" ref="FF403:FN403" si="2627">FF402/EX402-1</f>
        <v>0.253393665158371</v>
      </c>
      <c r="FG403" s="1082">
        <f t="shared" si="2627"/>
        <v>0.0851485148514852</v>
      </c>
      <c r="FH403" s="1082">
        <f t="shared" si="2627"/>
        <v>0.163674762407603</v>
      </c>
      <c r="FI403" s="1082">
        <f t="shared" si="2627"/>
        <v>0.218623481781377</v>
      </c>
      <c r="FJ403" s="1082">
        <f t="shared" si="2627"/>
        <v>0.182512144344205</v>
      </c>
      <c r="FK403" s="1082">
        <f t="shared" si="2627"/>
        <v>0.336099585062241</v>
      </c>
      <c r="FL403" s="1082">
        <f t="shared" si="2627"/>
        <v>0.276639344262295</v>
      </c>
      <c r="FM403" s="1085">
        <f t="shared" si="2627"/>
        <v>0.221008840353614</v>
      </c>
      <c r="FN403" s="1082">
        <f t="shared" si="2627"/>
        <v>0.0938628158844765</v>
      </c>
      <c r="FO403" s="1087">
        <f t="shared" ref="FO403:FX403" si="2628">FO402/FG402-1</f>
        <v>0.0602189781021898</v>
      </c>
      <c r="FP403" s="1087">
        <f t="shared" si="2628"/>
        <v>0.0771324863883847</v>
      </c>
      <c r="FQ403" s="1082">
        <f t="shared" si="2628"/>
        <v>-0.141196013289037</v>
      </c>
      <c r="FR403" s="1082">
        <f t="shared" si="2628"/>
        <v>0</v>
      </c>
      <c r="FS403" s="1082">
        <f t="shared" si="2628"/>
        <v>0.268633540372671</v>
      </c>
      <c r="FT403" s="1082">
        <f t="shared" si="2628"/>
        <v>0.0706260032102728</v>
      </c>
      <c r="FU403" s="1094">
        <f t="shared" si="2628"/>
        <v>0.073679727427598</v>
      </c>
      <c r="FV403" s="1086">
        <f t="shared" si="2628"/>
        <v>0.0396039603960396</v>
      </c>
      <c r="FW403" s="1087">
        <f t="shared" si="2628"/>
        <v>0.0671256454388984</v>
      </c>
      <c r="FX403" s="1087">
        <f t="shared" si="2628"/>
        <v>0.0530749789385003</v>
      </c>
      <c r="FY403" s="1087">
        <f t="shared" ref="FY403" si="2629">FY402/FQ402-1</f>
        <v>0.286266924564797</v>
      </c>
      <c r="FZ403" s="1082">
        <f t="shared" ref="FZ403" si="2630">FZ402/FR402-1</f>
        <v>0.123826291079812</v>
      </c>
      <c r="GA403" s="1082">
        <f t="shared" ref="GA403" si="2631">GA402/FS402-1</f>
        <v>-0.00979192166462672</v>
      </c>
      <c r="GB403" s="1087">
        <f t="shared" ref="GB403:GG403" si="2632">GB402/FT402-1</f>
        <v>0.104947526236882</v>
      </c>
      <c r="GC403" s="1093">
        <f t="shared" si="2632"/>
        <v>0.0805236017453392</v>
      </c>
      <c r="GD403" s="1087">
        <f t="shared" si="2632"/>
        <v>0.122222222222222</v>
      </c>
      <c r="GE403" s="1087">
        <f t="shared" si="2632"/>
        <v>0.143548387096774</v>
      </c>
      <c r="GF403" s="1087">
        <f t="shared" si="2632"/>
        <v>0.1328</v>
      </c>
      <c r="GG403" s="1087">
        <f t="shared" si="2632"/>
        <v>0.0774526315789479</v>
      </c>
      <c r="GH403" s="1082">
        <f>GH402/GA402-1</f>
        <v>1.63597775030902</v>
      </c>
      <c r="GI403" s="1087">
        <f>GI402/GA402-1</f>
        <v>0.0735401730531517</v>
      </c>
      <c r="GJ403" s="1087">
        <f>GJ402/GB402-1</f>
        <v>0.0753052917232022</v>
      </c>
      <c r="GK403" s="1093">
        <f>GK402/GC402-1</f>
        <v>0.101688693098385</v>
      </c>
      <c r="GL403" s="1087">
        <f t="shared" ref="GL403" si="2633">GL402/GD402-1</f>
        <v>-0.00565770862800563</v>
      </c>
      <c r="GM403" s="1087">
        <f t="shared" ref="GM403" si="2634">GM402/GE402-1</f>
        <v>0.0507757404795486</v>
      </c>
      <c r="GN403" s="1087">
        <f t="shared" ref="GN403:GP403" si="2635">GN402/GF402-1</f>
        <v>0.0225988700564972</v>
      </c>
      <c r="GO403" s="1087">
        <f t="shared" si="2635"/>
        <v>0.049537617270476</v>
      </c>
      <c r="GP403" s="1087">
        <f t="shared" si="2635"/>
        <v>0.0316500867992866</v>
      </c>
      <c r="GQ403" s="1087">
        <f t="shared" ref="GQ403" si="2636">GQ402/GI402-1</f>
        <v>-0.0305056799471265</v>
      </c>
      <c r="GR403" s="1087">
        <f t="shared" ref="GR403" si="2637">GR402/GJ402-1</f>
        <v>0.00567823343848572</v>
      </c>
      <c r="GS403" s="1088">
        <f t="shared" ref="GS403" si="2638">GS402/GK402-1</f>
        <v>0.0136621126291236</v>
      </c>
      <c r="GT403" s="1087">
        <f t="shared" ref="GT403" si="2639">GT402/GL402-1</f>
        <v>0.00142247510668558</v>
      </c>
      <c r="GU403" s="1087">
        <f t="shared" ref="GU403" si="2640">GU402/GM402-1</f>
        <v>-0.248322147651007</v>
      </c>
      <c r="GV403" s="1087">
        <f t="shared" ref="GV403:GW403" si="2641">GV402/GN402-1</f>
        <v>-0.12707182320442</v>
      </c>
      <c r="GW403" s="1087">
        <f t="shared" si="2641"/>
        <v>-0.230053191489362</v>
      </c>
      <c r="GX403" s="1082"/>
      <c r="GY403" s="1087">
        <v>-0.133016627078385</v>
      </c>
      <c r="GZ403" s="1087"/>
      <c r="HA403" s="1088">
        <f t="shared" ref="HA403" si="2642">HA402/GS402-1</f>
        <v>-0.154174884944116</v>
      </c>
      <c r="HB403" s="1087">
        <f>HB402/648-1</f>
        <v>-0.165123456790123</v>
      </c>
      <c r="HC403" s="1087">
        <f>HC402/648-1</f>
        <v>-0.0493827160493827</v>
      </c>
      <c r="HD403" s="1087">
        <f>HD402/GV402-1</f>
        <v>-0.0846518987341772</v>
      </c>
      <c r="HE403" s="1087">
        <f>HE402/GW402-1</f>
        <v>0.164075993091537</v>
      </c>
      <c r="HF403" s="1094"/>
      <c r="HG403" s="1087">
        <f>HG402/GY402-1</f>
        <v>-0.020547945205479</v>
      </c>
      <c r="HH403" s="1087">
        <f>HH402/GZ402-1</f>
        <v>0.0611153552330026</v>
      </c>
      <c r="HI403" s="1088">
        <f t="shared" ref="HI403" si="2643">HI402/HA402-1</f>
        <v>-0.0104935872522346</v>
      </c>
      <c r="HJ403" s="1087">
        <f>HJ402/648-1</f>
        <v>-0.0108024691358025</v>
      </c>
      <c r="HK403" s="1087">
        <f>HK402/648-1</f>
        <v>0.0231481481481481</v>
      </c>
      <c r="HL403" s="1087">
        <f>HL402/HD402-1</f>
        <v>0.12705272255834</v>
      </c>
      <c r="HM403" s="1087">
        <f>HM402/648-1</f>
        <v>0.066358024691358</v>
      </c>
      <c r="HN403" s="1094"/>
      <c r="HO403" s="1094"/>
      <c r="HP403" s="1094"/>
      <c r="HQ403" s="1093"/>
      <c r="HR403" s="1087">
        <f>HR402/648-1</f>
        <v>-0.0725308641975309</v>
      </c>
      <c r="HS403" s="1087">
        <f>HS402/648-1</f>
        <v>-0.0478395061728395</v>
      </c>
      <c r="HT403" s="1311"/>
      <c r="HU403" s="1087">
        <f>HU402/648-1</f>
        <v>-0.00617283950617287</v>
      </c>
      <c r="HV403" s="1094"/>
      <c r="HW403" s="1094"/>
      <c r="HX403" s="1094"/>
      <c r="HY403" s="1093"/>
      <c r="HZ403" s="1087">
        <f>HZ402/648-1</f>
        <v>0.0138888888888888</v>
      </c>
      <c r="IA403" s="1087">
        <f>IA402/648-1</f>
        <v>0.0895061728395066</v>
      </c>
      <c r="IB403" s="1087">
        <f>IB402/HT402-1</f>
        <v>0.119047619047619</v>
      </c>
      <c r="IC403" s="1087">
        <f>IC402/648-1</f>
        <v>-0.00617283950617287</v>
      </c>
      <c r="ID403" s="1094"/>
      <c r="IE403" s="1094"/>
      <c r="IF403" s="1094"/>
      <c r="IG403" s="1093"/>
      <c r="IH403" s="1087">
        <f>IH402/648-1</f>
        <v>0.151234567901235</v>
      </c>
      <c r="II403" s="1087">
        <f>II402/648-1</f>
        <v>0.0987654320987654</v>
      </c>
      <c r="IJ403" s="1087">
        <f>IJ402/IB402-1</f>
        <v>0.069699192956713</v>
      </c>
      <c r="IK403" s="1087">
        <f>IK402/648-1</f>
        <v>0.231481481481481</v>
      </c>
      <c r="IL403" s="1094"/>
      <c r="IM403" s="1094"/>
      <c r="IN403" s="1094"/>
      <c r="IO403" s="1093"/>
      <c r="IP403" s="1087"/>
      <c r="IQ403" s="1087"/>
      <c r="IR403" s="1087"/>
      <c r="IS403" s="1087"/>
      <c r="IT403" s="1094"/>
      <c r="IU403" s="1094"/>
      <c r="IV403" s="1094"/>
      <c r="IW403" s="1093"/>
      <c r="IX403" s="1329"/>
      <c r="IY403" s="1037"/>
      <c r="IZ403" s="1049"/>
      <c r="JA403" s="969"/>
      <c r="JB403" s="1049"/>
      <c r="JC403" s="1049"/>
      <c r="JD403" s="1049"/>
      <c r="JE403" s="1037"/>
      <c r="JF403" s="1037"/>
      <c r="JG403" s="1037"/>
      <c r="JH403" s="1037"/>
      <c r="JI403" s="1035"/>
      <c r="JJ403" s="1035"/>
      <c r="JK403" s="1035"/>
      <c r="JL403" s="1035"/>
      <c r="JM403" s="1035"/>
      <c r="JN403" s="1035"/>
      <c r="JO403" s="1035"/>
      <c r="JP403" s="1035"/>
      <c r="JQ403" s="1035"/>
      <c r="JR403" s="1035"/>
      <c r="JS403" s="1035"/>
      <c r="JT403" s="1035"/>
      <c r="JU403" s="1035"/>
      <c r="JV403" s="1035"/>
      <c r="JW403" s="1035"/>
      <c r="JX403" s="1035"/>
      <c r="JY403" s="1035"/>
      <c r="KP403" s="1180"/>
    </row>
    <row r="404" hidden="1" outlineLevel="1" spans="1:302">
      <c r="A404" s="1035" t="s">
        <v>86</v>
      </c>
      <c r="B404" s="1302"/>
      <c r="C404" s="1302"/>
      <c r="D404" s="1302"/>
      <c r="E404" s="1302"/>
      <c r="F404" s="1302"/>
      <c r="G404" s="1302"/>
      <c r="H404" s="1302"/>
      <c r="I404" s="1302"/>
      <c r="J404" s="1302"/>
      <c r="K404" s="1302"/>
      <c r="L404" s="1302"/>
      <c r="M404" s="1302"/>
      <c r="N404" s="1302"/>
      <c r="O404" s="1302"/>
      <c r="P404" s="1302"/>
      <c r="Q404" s="1302"/>
      <c r="R404" s="1302"/>
      <c r="S404" s="1302"/>
      <c r="T404" s="1302"/>
      <c r="U404" s="1302"/>
      <c r="V404" s="1302"/>
      <c r="W404" s="1302"/>
      <c r="X404" s="1302"/>
      <c r="Y404" s="1302"/>
      <c r="Z404" s="1302"/>
      <c r="AA404" s="1302"/>
      <c r="AB404" s="1302"/>
      <c r="AC404" s="1302"/>
      <c r="AD404" s="1302"/>
      <c r="AE404" s="1302"/>
      <c r="AF404" s="1302"/>
      <c r="AG404" s="1302"/>
      <c r="AH404" s="1302"/>
      <c r="AI404" s="1302"/>
      <c r="AJ404" s="1302"/>
      <c r="AK404" s="1302"/>
      <c r="AL404" s="1302"/>
      <c r="AM404" s="1302"/>
      <c r="AN404" s="1302"/>
      <c r="AO404" s="1302"/>
      <c r="AP404" s="1302"/>
      <c r="AQ404" s="1302"/>
      <c r="AR404" s="1302"/>
      <c r="AS404" s="1302"/>
      <c r="AT404" s="1302"/>
      <c r="AU404" s="1302"/>
      <c r="AV404" s="1302"/>
      <c r="AW404" s="1302"/>
      <c r="AX404" s="1303"/>
      <c r="AY404" s="1302"/>
      <c r="AZ404" s="1302"/>
      <c r="BA404" s="1302"/>
      <c r="BB404" s="1302"/>
      <c r="BC404" s="1302"/>
      <c r="BD404" s="1302"/>
      <c r="BE404" s="1304"/>
      <c r="BF404" s="1302"/>
      <c r="BG404" s="1302"/>
      <c r="BH404" s="1302"/>
      <c r="BI404" s="1302"/>
      <c r="BJ404" s="1302"/>
      <c r="BK404" s="1302"/>
      <c r="BL404" s="1302"/>
      <c r="BM404" s="1302"/>
      <c r="BN404" s="1303"/>
      <c r="BO404" s="1302"/>
      <c r="BP404" s="1302"/>
      <c r="BQ404" s="1302"/>
      <c r="BR404" s="1302"/>
      <c r="BS404" s="1302"/>
      <c r="BT404" s="1302"/>
      <c r="BU404" s="1304"/>
      <c r="BV404" s="1303"/>
      <c r="BW404" s="1302"/>
      <c r="BX404" s="1302"/>
      <c r="BY404" s="1302"/>
      <c r="BZ404" s="1302"/>
      <c r="CA404" s="1302"/>
      <c r="CB404" s="1302"/>
      <c r="CC404" s="1304"/>
      <c r="CD404" s="1303"/>
      <c r="CE404" s="1302"/>
      <c r="CF404" s="1302"/>
      <c r="CG404" s="1302"/>
      <c r="CH404" s="1302"/>
      <c r="CI404" s="1302"/>
      <c r="CJ404" s="1302"/>
      <c r="CK404" s="1304"/>
      <c r="CL404" s="1303"/>
      <c r="CM404" s="1302"/>
      <c r="CN404" s="1302"/>
      <c r="CO404" s="1302"/>
      <c r="CP404" s="1302"/>
      <c r="CQ404" s="1302"/>
      <c r="CR404" s="1302"/>
      <c r="CS404" s="1304"/>
      <c r="CT404" s="1303"/>
      <c r="CU404" s="1302"/>
      <c r="CV404" s="1302"/>
      <c r="CW404" s="1302"/>
      <c r="CX404" s="1302"/>
      <c r="CY404" s="1302"/>
      <c r="CZ404" s="1302"/>
      <c r="DA404" s="1304"/>
      <c r="DB404" s="1109"/>
      <c r="DC404" s="1082"/>
      <c r="DD404" s="1082"/>
      <c r="DE404" s="1082"/>
      <c r="DF404" s="1082"/>
      <c r="DG404" s="1082"/>
      <c r="DH404" s="1082"/>
      <c r="DI404" s="1085"/>
      <c r="DJ404" s="1082"/>
      <c r="DK404" s="1082"/>
      <c r="DL404" s="1082"/>
      <c r="DM404" s="1082"/>
      <c r="DN404" s="1082"/>
      <c r="DO404" s="1082"/>
      <c r="DP404" s="1082"/>
      <c r="DQ404" s="1085"/>
      <c r="DR404" s="1082"/>
      <c r="DS404" s="1082"/>
      <c r="DT404" s="1082"/>
      <c r="DU404" s="1082"/>
      <c r="DV404" s="1082"/>
      <c r="DW404" s="1082"/>
      <c r="DX404" s="1082"/>
      <c r="DY404" s="1085"/>
      <c r="DZ404" s="1082">
        <f>DZ402/DZ$388</f>
        <v>0.127406049495875</v>
      </c>
      <c r="EA404" s="1082">
        <f t="shared" ref="EA404:EF404" si="2644">EA402/EA$388</f>
        <v>0.135443864229765</v>
      </c>
      <c r="EB404" s="1082">
        <f t="shared" si="2644"/>
        <v>0.131292409657567</v>
      </c>
      <c r="EC404" s="1082">
        <f t="shared" si="2644"/>
        <v>0.110309829059829</v>
      </c>
      <c r="ED404" s="1082">
        <f t="shared" si="2644"/>
        <v>0.123499652812221</v>
      </c>
      <c r="EE404" s="1082">
        <f t="shared" si="2644"/>
        <v>0.140080222153656</v>
      </c>
      <c r="EF404" s="1082">
        <f t="shared" si="2644"/>
        <v>0.124123120973515</v>
      </c>
      <c r="EG404" s="1085">
        <f t="shared" ref="EG404:EV404" si="2645">EG402/EG$388</f>
        <v>0.127533403392884</v>
      </c>
      <c r="EH404" s="1082">
        <f t="shared" si="2645"/>
        <v>0.111401673640167</v>
      </c>
      <c r="EI404" s="1082">
        <f t="shared" si="2645"/>
        <v>0.133067955644015</v>
      </c>
      <c r="EJ404" s="1082">
        <f t="shared" si="2645"/>
        <v>0.121781773600327</v>
      </c>
      <c r="EK404" s="1082">
        <f t="shared" si="2645"/>
        <v>0.108315360651809</v>
      </c>
      <c r="EL404" s="1082">
        <f t="shared" si="2645"/>
        <v>0.116901163800591</v>
      </c>
      <c r="EM404" s="1082">
        <f t="shared" si="2645"/>
        <v>0.136539032353814</v>
      </c>
      <c r="EN404" s="1082">
        <f t="shared" si="2645"/>
        <v>0.120922832140016</v>
      </c>
      <c r="EO404" s="1085">
        <f t="shared" si="2645"/>
        <v>0.121346502721226</v>
      </c>
      <c r="EP404" s="1082">
        <f t="shared" si="2645"/>
        <v>0.116502266062383</v>
      </c>
      <c r="EQ404" s="1082">
        <f t="shared" si="2645"/>
        <v>0.131540053207213</v>
      </c>
      <c r="ER404" s="1082">
        <f t="shared" si="2645"/>
        <v>0.12363330529857</v>
      </c>
      <c r="ES404" s="1082">
        <f t="shared" si="2645"/>
        <v>0.117040474349059</v>
      </c>
      <c r="ET404" s="1082">
        <f t="shared" si="2645"/>
        <v>0.121311177699083</v>
      </c>
      <c r="EU404" s="1082">
        <f t="shared" si="2645"/>
        <v>0.132509341764875</v>
      </c>
      <c r="EV404" s="1082">
        <f t="shared" si="2645"/>
        <v>0.12435444414243</v>
      </c>
      <c r="EW404" s="1085">
        <f t="shared" ref="EW404:FE404" si="2646">EW402/EW$388</f>
        <v>0.123999447971295</v>
      </c>
      <c r="EX404" s="1082">
        <f t="shared" si="2646"/>
        <v>0.126975007181844</v>
      </c>
      <c r="EY404" s="1082">
        <f t="shared" si="2646"/>
        <v>0.14861683343143</v>
      </c>
      <c r="EZ404" s="1082">
        <f t="shared" si="2646"/>
        <v>0.137665358336968</v>
      </c>
      <c r="FA404" s="1082">
        <f t="shared" si="2646"/>
        <v>0.12215628090999</v>
      </c>
      <c r="FB404" s="1082">
        <f t="shared" si="2646"/>
        <v>0.131923464249748</v>
      </c>
      <c r="FC404" s="1082">
        <f t="shared" si="2646"/>
        <v>0.133518005540166</v>
      </c>
      <c r="FD404" s="1082">
        <f t="shared" si="2646"/>
        <v>0.127515024823622</v>
      </c>
      <c r="FE404" s="1085">
        <f t="shared" si="2646"/>
        <v>0.1323195486135</v>
      </c>
      <c r="FF404" s="1082">
        <f t="shared" ref="FF404:FL404" si="2647">FF402/FF$388</f>
        <v>0.135684545677198</v>
      </c>
      <c r="FG404" s="1082">
        <f t="shared" si="2647"/>
        <v>0.140261069874584</v>
      </c>
      <c r="FH404" s="1082">
        <f t="shared" si="2647"/>
        <v>0.137922403003755</v>
      </c>
      <c r="FI404" s="1082">
        <f t="shared" si="2647"/>
        <v>0.126550346857263</v>
      </c>
      <c r="FJ404" s="1082">
        <f t="shared" si="2647"/>
        <v>0.133678512591198</v>
      </c>
      <c r="FK404" s="1082">
        <f t="shared" si="2647"/>
        <v>0.154510556621881</v>
      </c>
      <c r="FL404" s="1082">
        <f t="shared" si="2647"/>
        <v>0.139607843137255</v>
      </c>
      <c r="FM404" s="1085">
        <f>FM402/FM388</f>
        <v>0.138811705586757</v>
      </c>
      <c r="FN404" s="1082">
        <f>FN402/FN$388</f>
        <v>0.127070664709583</v>
      </c>
      <c r="FO404" s="1087">
        <f t="shared" ref="FO404:FY404" si="2648">FO402/FO$388</f>
        <v>0.131358806240109</v>
      </c>
      <c r="FP404" s="1087">
        <f t="shared" si="2648"/>
        <v>0.129134029590949</v>
      </c>
      <c r="FQ404" s="1082">
        <f t="shared" si="2648"/>
        <v>0.0955284552845529</v>
      </c>
      <c r="FR404" s="1082">
        <f t="shared" si="2648"/>
        <v>0.116680361544782</v>
      </c>
      <c r="FS404" s="1082">
        <f t="shared" si="2648"/>
        <v>0.17434912505335</v>
      </c>
      <c r="FT404" s="1082">
        <f t="shared" si="2648"/>
        <v>0.132105367399485</v>
      </c>
      <c r="FU404" s="1094">
        <f t="shared" si="2648"/>
        <v>0.130689476412649</v>
      </c>
      <c r="FV404" s="1086">
        <f t="shared" si="2648"/>
        <v>0.115681233933162</v>
      </c>
      <c r="FW404" s="1087">
        <f t="shared" si="2648"/>
        <v>0.123064708217547</v>
      </c>
      <c r="FX404" s="1082">
        <f t="shared" si="2648"/>
        <v>0.119229301793209</v>
      </c>
      <c r="FY404" s="1087">
        <f t="shared" si="2648"/>
        <v>0.117118703768933</v>
      </c>
      <c r="FZ404" s="1082">
        <f t="shared" ref="FZ404:GA404" si="2649">FZ402/FZ$388</f>
        <v>0.118487810914491</v>
      </c>
      <c r="GA404" s="1082">
        <f t="shared" si="2649"/>
        <v>0.160007911392405</v>
      </c>
      <c r="GB404" s="1087">
        <v>0.14</v>
      </c>
      <c r="GC404" s="1093">
        <f>GC402/GC$388</f>
        <v>0.128381562824017</v>
      </c>
      <c r="GD404" s="1087">
        <f>GD402/GD$388</f>
        <v>0.127433309300649</v>
      </c>
      <c r="GE404" s="1087">
        <f>GE402/GE$388</f>
        <v>0.134765253754039</v>
      </c>
      <c r="GF404" s="1082">
        <f>GF402/GF$388</f>
        <v>0.131001942825423</v>
      </c>
      <c r="GG404" s="1082">
        <v>0.122</v>
      </c>
      <c r="GH404" s="1082">
        <f t="shared" ref="GH404:GI404" si="2650">GH402/GH$388</f>
        <v>0.127832753866443</v>
      </c>
      <c r="GI404" s="1087">
        <f t="shared" si="2650"/>
        <v>0.165964838524747</v>
      </c>
      <c r="GJ404" s="1087">
        <v>0.14</v>
      </c>
      <c r="GK404" s="1093">
        <f t="shared" ref="GK404:GP404" si="2651">GK402/GK$388</f>
        <v>0.136938170203057</v>
      </c>
      <c r="GL404" s="1087">
        <f t="shared" si="2651"/>
        <v>0.119496855345912</v>
      </c>
      <c r="GM404" s="1087">
        <f t="shared" si="2651"/>
        <v>0.13523325467417</v>
      </c>
      <c r="GN404" s="1082">
        <f t="shared" si="2651"/>
        <v>0.127106741573034</v>
      </c>
      <c r="GO404" s="1082">
        <f t="shared" si="2651"/>
        <v>0.117316692667707</v>
      </c>
      <c r="GP404" s="1082">
        <f t="shared" si="2651"/>
        <v>0.123581620042692</v>
      </c>
      <c r="GQ404" s="1082">
        <f t="shared" ref="GQ404:GW404" si="2652">GQ402/GQ$388</f>
        <v>0.144202774447679</v>
      </c>
      <c r="GR404" s="1082">
        <f t="shared" si="2652"/>
        <v>0.130133072087517</v>
      </c>
      <c r="GS404" s="1085">
        <f t="shared" si="2652"/>
        <v>0.128674759950933</v>
      </c>
      <c r="GT404" s="1087">
        <f t="shared" si="2652"/>
        <v>0.148116978750263</v>
      </c>
      <c r="GU404" s="1087">
        <f t="shared" si="2652"/>
        <v>0.156483721361733</v>
      </c>
      <c r="GV404" s="1082">
        <f t="shared" si="2652"/>
        <v>0.151710700177288</v>
      </c>
      <c r="GW404" s="1082">
        <f t="shared" si="2652"/>
        <v>0.097077253709642</v>
      </c>
      <c r="GX404" s="1082"/>
      <c r="GY404" s="1082">
        <f>GY402/GY$388</f>
        <v>0.131578212162117</v>
      </c>
      <c r="GZ404" s="1087"/>
      <c r="HA404" s="1085">
        <f>HA402/HA$388</f>
        <v>0.129661358597057</v>
      </c>
      <c r="HB404" s="1087">
        <f>HB402/HB$388</f>
        <v>0.102695520121488</v>
      </c>
      <c r="HC404" s="1087">
        <f>HC402/HC$388</f>
        <v>0.121331494977349</v>
      </c>
      <c r="HD404" s="1082">
        <f>HD402/HD$388</f>
        <v>0.111841469308845</v>
      </c>
      <c r="HE404" s="1082">
        <f>HE402/HE$388</f>
        <v>0.117176634214186</v>
      </c>
      <c r="HF404" s="1094"/>
      <c r="HG404" s="1082">
        <f t="shared" ref="HG404:HL404" si="2653">HG402/HG$388</f>
        <v>0.139186295503212</v>
      </c>
      <c r="HH404" s="1082">
        <f t="shared" si="2653"/>
        <v>0.12755992285793</v>
      </c>
      <c r="HI404" s="1085">
        <f t="shared" si="2653"/>
        <v>0.119902043891872</v>
      </c>
      <c r="HJ404" s="1087">
        <f t="shared" si="2653"/>
        <v>0.120897774424745</v>
      </c>
      <c r="HK404" s="1087">
        <f t="shared" si="2653"/>
        <v>0.118456315883509</v>
      </c>
      <c r="HL404" s="1082">
        <f t="shared" si="2653"/>
        <v>0.119644004037068</v>
      </c>
      <c r="HM404" s="1087">
        <f t="shared" ref="HM404" si="2654">HM402/HM$388</f>
        <v>0.107833957553059</v>
      </c>
      <c r="HN404" s="1094"/>
      <c r="HO404" s="1094"/>
      <c r="HP404" s="1094"/>
      <c r="HQ404" s="1093"/>
      <c r="HR404" s="1087">
        <f t="shared" ref="HR404:HS404" si="2655">HR402/HR$388</f>
        <v>0.113955252180508</v>
      </c>
      <c r="HS404" s="1087">
        <f t="shared" si="2655"/>
        <v>0.12482298199474</v>
      </c>
      <c r="HT404" s="1311"/>
      <c r="HU404" s="1087">
        <f t="shared" ref="HU404" si="2656">HU402/HU$388</f>
        <v>0.114002478314746</v>
      </c>
      <c r="HV404" s="1094"/>
      <c r="HW404" s="1094"/>
      <c r="HX404" s="1094"/>
      <c r="HY404" s="1093"/>
      <c r="HZ404" s="1087">
        <f t="shared" ref="HZ404:IA404" si="2657">HZ402/HZ$388</f>
        <v>0.123775433308214</v>
      </c>
      <c r="IA404" s="1087">
        <f t="shared" si="2657"/>
        <v>0.125578086090359</v>
      </c>
      <c r="IB404" s="1087">
        <f t="shared" ref="IB404" si="2658">IB402/IB$388</f>
        <v>0.124702653247941</v>
      </c>
      <c r="IC404" s="1087">
        <f t="shared" ref="IC404" si="2659">IC402/IC$388</f>
        <v>0.103238217377365</v>
      </c>
      <c r="ID404" s="1094"/>
      <c r="IE404" s="1094"/>
      <c r="IF404" s="1094"/>
      <c r="IG404" s="1093"/>
      <c r="IH404" s="1087">
        <f t="shared" ref="IH404" si="2660">IH402/IH$388</f>
        <v>0.121241670729725</v>
      </c>
      <c r="II404" s="1087">
        <f t="shared" ref="II404:IK404" si="2661">II402/II$388</f>
        <v>0.119623655913978</v>
      </c>
      <c r="IJ404" s="1087">
        <f t="shared" si="2661"/>
        <v>0.120446096654275</v>
      </c>
      <c r="IK404" s="1087">
        <f t="shared" si="2661"/>
        <v>0.120361990950226</v>
      </c>
      <c r="IL404" s="1094"/>
      <c r="IM404" s="1094"/>
      <c r="IN404" s="1094"/>
      <c r="IO404" s="1093"/>
      <c r="IP404" s="1087"/>
      <c r="IQ404" s="1087"/>
      <c r="IR404" s="1087"/>
      <c r="IS404" s="1087"/>
      <c r="IT404" s="1094"/>
      <c r="IU404" s="1094"/>
      <c r="IV404" s="1094"/>
      <c r="IW404" s="1093"/>
      <c r="IX404" s="1329"/>
      <c r="IY404" s="1037"/>
      <c r="IZ404" s="1049"/>
      <c r="JA404" s="1112"/>
      <c r="JB404" s="1112"/>
      <c r="JC404" s="1112"/>
      <c r="JD404" s="1112"/>
      <c r="JE404" s="1037"/>
      <c r="JF404" s="1037"/>
      <c r="JG404" s="1037"/>
      <c r="JH404" s="1037"/>
      <c r="JI404" s="1035"/>
      <c r="JJ404" s="1035"/>
      <c r="JK404" s="1035"/>
      <c r="JL404" s="1035"/>
      <c r="JM404" s="1035"/>
      <c r="JN404" s="1035"/>
      <c r="JO404" s="1035"/>
      <c r="JP404" s="1035"/>
      <c r="JQ404" s="1035"/>
      <c r="JR404" s="1035"/>
      <c r="JS404" s="1035"/>
      <c r="JT404" s="1035"/>
      <c r="JU404" s="1035"/>
      <c r="JV404" s="1035"/>
      <c r="JW404" s="1035"/>
      <c r="JX404" s="1035"/>
      <c r="JY404" s="1035"/>
      <c r="KP404" s="1180"/>
    </row>
    <row r="405" hidden="1" outlineLevel="1" spans="1:302">
      <c r="A405" s="1035" t="s">
        <v>587</v>
      </c>
      <c r="B405" s="1302"/>
      <c r="C405" s="1302"/>
      <c r="D405" s="1302"/>
      <c r="E405" s="1302"/>
      <c r="F405" s="1302"/>
      <c r="G405" s="1302"/>
      <c r="H405" s="1302"/>
      <c r="I405" s="1302"/>
      <c r="J405" s="1302"/>
      <c r="K405" s="1302"/>
      <c r="L405" s="1302"/>
      <c r="M405" s="1302"/>
      <c r="N405" s="1302"/>
      <c r="O405" s="1302"/>
      <c r="P405" s="1302"/>
      <c r="Q405" s="1302"/>
      <c r="R405" s="1302"/>
      <c r="S405" s="1302"/>
      <c r="T405" s="1302"/>
      <c r="U405" s="1302"/>
      <c r="V405" s="1302"/>
      <c r="W405" s="1302"/>
      <c r="X405" s="1302"/>
      <c r="Y405" s="1302"/>
      <c r="Z405" s="1302"/>
      <c r="AA405" s="1302"/>
      <c r="AB405" s="1302"/>
      <c r="AC405" s="1302"/>
      <c r="AD405" s="1302"/>
      <c r="AE405" s="1302"/>
      <c r="AF405" s="1302"/>
      <c r="AG405" s="1302"/>
      <c r="AH405" s="1302"/>
      <c r="AI405" s="1302"/>
      <c r="AJ405" s="1302"/>
      <c r="AK405" s="1302"/>
      <c r="AL405" s="1302"/>
      <c r="AM405" s="1302"/>
      <c r="AN405" s="1302"/>
      <c r="AO405" s="1302"/>
      <c r="AP405" s="1302"/>
      <c r="AQ405" s="1302"/>
      <c r="AR405" s="1302"/>
      <c r="AS405" s="1302"/>
      <c r="AT405" s="1302"/>
      <c r="AU405" s="1302"/>
      <c r="AV405" s="1302"/>
      <c r="AW405" s="1302"/>
      <c r="AX405" s="1303"/>
      <c r="AY405" s="1302"/>
      <c r="AZ405" s="1302"/>
      <c r="BA405" s="1302"/>
      <c r="BB405" s="1302"/>
      <c r="BC405" s="1302"/>
      <c r="BD405" s="1302"/>
      <c r="BE405" s="1304"/>
      <c r="BF405" s="1302"/>
      <c r="BG405" s="1302"/>
      <c r="BH405" s="1302"/>
      <c r="BI405" s="1302"/>
      <c r="BJ405" s="1302"/>
      <c r="BK405" s="1302"/>
      <c r="BL405" s="1302"/>
      <c r="BM405" s="1302"/>
      <c r="BN405" s="1303"/>
      <c r="BO405" s="1302"/>
      <c r="BP405" s="1302"/>
      <c r="BQ405" s="1302"/>
      <c r="BR405" s="1302"/>
      <c r="BS405" s="1302"/>
      <c r="BT405" s="1302"/>
      <c r="BU405" s="1304"/>
      <c r="BV405" s="1303"/>
      <c r="BW405" s="1302"/>
      <c r="BX405" s="1302"/>
      <c r="BY405" s="1302"/>
      <c r="BZ405" s="1302"/>
      <c r="CA405" s="1302"/>
      <c r="CB405" s="1302"/>
      <c r="CC405" s="1304"/>
      <c r="CD405" s="1303"/>
      <c r="CE405" s="1302"/>
      <c r="CF405" s="1302"/>
      <c r="CG405" s="1302"/>
      <c r="CH405" s="1302"/>
      <c r="CI405" s="1302"/>
      <c r="CJ405" s="1302"/>
      <c r="CK405" s="1304"/>
      <c r="CL405" s="1303"/>
      <c r="CM405" s="1302"/>
      <c r="CN405" s="1302"/>
      <c r="CO405" s="1302"/>
      <c r="CP405" s="1302"/>
      <c r="CQ405" s="1302"/>
      <c r="CR405" s="1302"/>
      <c r="CS405" s="1304"/>
      <c r="CT405" s="1303"/>
      <c r="CU405" s="1302"/>
      <c r="CV405" s="1302"/>
      <c r="CW405" s="1302"/>
      <c r="CX405" s="1302"/>
      <c r="CY405" s="1302"/>
      <c r="CZ405" s="1302"/>
      <c r="DA405" s="1304"/>
      <c r="DB405" s="1109"/>
      <c r="DC405" s="1082"/>
      <c r="DD405" s="1082"/>
      <c r="DE405" s="1082"/>
      <c r="DF405" s="1082"/>
      <c r="DG405" s="1082"/>
      <c r="DH405" s="1082"/>
      <c r="DI405" s="1085"/>
      <c r="DJ405" s="1082"/>
      <c r="DK405" s="1082"/>
      <c r="DL405" s="1082"/>
      <c r="DM405" s="1082"/>
      <c r="DN405" s="1082"/>
      <c r="DO405" s="1082"/>
      <c r="DP405" s="1082"/>
      <c r="DQ405" s="1085"/>
      <c r="DR405" s="1082"/>
      <c r="DS405" s="1082"/>
      <c r="DT405" s="1082"/>
      <c r="DU405" s="1082"/>
      <c r="DV405" s="1082"/>
      <c r="DW405" s="1082"/>
      <c r="DX405" s="1082"/>
      <c r="DY405" s="1085"/>
      <c r="DZ405" s="1082">
        <f>DZ402/$EG402</f>
        <v>0.245438493231313</v>
      </c>
      <c r="EA405" s="1082">
        <f t="shared" ref="EA405:EG405" si="2662">EA402/$EG402</f>
        <v>0.244261330194232</v>
      </c>
      <c r="EB405" s="1082">
        <f t="shared" si="2662"/>
        <v>0.489699823425544</v>
      </c>
      <c r="EC405" s="1082">
        <f t="shared" si="2662"/>
        <v>0.243084167157151</v>
      </c>
      <c r="ED405" s="1082">
        <f t="shared" si="2662"/>
        <v>0.732783990582696</v>
      </c>
      <c r="EE405" s="1082">
        <f t="shared" si="2662"/>
        <v>0.267216009417304</v>
      </c>
      <c r="EF405" s="1082">
        <f t="shared" si="2662"/>
        <v>0.510300176574456</v>
      </c>
      <c r="EG405" s="1085">
        <f t="shared" si="2662"/>
        <v>1</v>
      </c>
      <c r="EH405" s="1082">
        <f>EH402/$EO402</f>
        <v>0.235880398671096</v>
      </c>
      <c r="EI405" s="1082">
        <f t="shared" ref="EI405:EO405" si="2663">EI402/$EO402</f>
        <v>0.259136212624585</v>
      </c>
      <c r="EJ405" s="1082">
        <f t="shared" si="2663"/>
        <v>0.495016611295681</v>
      </c>
      <c r="EK405" s="1082">
        <f t="shared" si="2663"/>
        <v>0.250276854928018</v>
      </c>
      <c r="EL405" s="1082">
        <f t="shared" si="2663"/>
        <v>0.745293466223699</v>
      </c>
      <c r="EM405" s="1082">
        <f t="shared" si="2663"/>
        <v>0.254706533776301</v>
      </c>
      <c r="EN405" s="1082">
        <f t="shared" si="2663"/>
        <v>0.504983388704319</v>
      </c>
      <c r="EO405" s="1085">
        <f t="shared" si="2663"/>
        <v>1</v>
      </c>
      <c r="EP405" s="1082">
        <f>EP402/$EW402</f>
        <v>0.243183082915971</v>
      </c>
      <c r="EQ405" s="1082">
        <f t="shared" ref="EQ405:EW405" si="2664">EQ402/$EW402</f>
        <v>0.247634947134112</v>
      </c>
      <c r="ER405" s="1082">
        <f t="shared" si="2664"/>
        <v>0.490818030050083</v>
      </c>
      <c r="ES405" s="1082">
        <f t="shared" si="2664"/>
        <v>0.252643294379521</v>
      </c>
      <c r="ET405" s="1082">
        <f t="shared" si="2664"/>
        <v>0.743461324429605</v>
      </c>
      <c r="EU405" s="1082">
        <f t="shared" si="2664"/>
        <v>0.256538675570395</v>
      </c>
      <c r="EV405" s="1082">
        <f t="shared" si="2664"/>
        <v>0.509181969949916</v>
      </c>
      <c r="EW405" s="1085">
        <f t="shared" si="2664"/>
        <v>1</v>
      </c>
      <c r="EX405" s="1082">
        <f>EX402/$FE402</f>
        <v>0.229849193967759</v>
      </c>
      <c r="EY405" s="1082">
        <f t="shared" ref="EY405:FE405" si="2665">EY402/$FE402</f>
        <v>0.262610504420177</v>
      </c>
      <c r="EZ405" s="1082">
        <f t="shared" si="2665"/>
        <v>0.492459698387936</v>
      </c>
      <c r="FA405" s="1082">
        <f t="shared" si="2665"/>
        <v>0.256890275611024</v>
      </c>
      <c r="FB405" s="1082">
        <f t="shared" si="2665"/>
        <v>0.74934997399896</v>
      </c>
      <c r="FC405" s="1082">
        <f t="shared" si="2665"/>
        <v>0.25065002600104</v>
      </c>
      <c r="FD405" s="1082">
        <f t="shared" si="2665"/>
        <v>0.507540301612065</v>
      </c>
      <c r="FE405" s="1085">
        <f t="shared" si="2665"/>
        <v>1</v>
      </c>
      <c r="FF405" s="1082">
        <f t="shared" ref="FF405:FM405" si="2666">FF402/$FM402</f>
        <v>0.235945485519591</v>
      </c>
      <c r="FG405" s="1082">
        <f t="shared" si="2666"/>
        <v>0.233390119250426</v>
      </c>
      <c r="FH405" s="1082">
        <f t="shared" si="2666"/>
        <v>0.469335604770017</v>
      </c>
      <c r="FI405" s="1082">
        <f t="shared" si="2666"/>
        <v>0.256388415672913</v>
      </c>
      <c r="FJ405" s="1082">
        <f t="shared" si="2666"/>
        <v>0.72572402044293</v>
      </c>
      <c r="FK405" s="1082">
        <f t="shared" si="2666"/>
        <v>0.27427597955707</v>
      </c>
      <c r="FL405" s="1082">
        <f t="shared" si="2666"/>
        <v>0.530664395229983</v>
      </c>
      <c r="FM405" s="1085">
        <f t="shared" si="2666"/>
        <v>1</v>
      </c>
      <c r="FN405" s="1082">
        <f>FN402/$FU402</f>
        <v>0.240380801269338</v>
      </c>
      <c r="FO405" s="1087">
        <f>FO402/$FU402</f>
        <v>0.230464101547005</v>
      </c>
      <c r="FP405" s="1087">
        <f>FP402/$FU402</f>
        <v>0.470844902816343</v>
      </c>
      <c r="FQ405" s="1082">
        <f>FQ402/$FM402</f>
        <v>0.220187393526405</v>
      </c>
      <c r="FR405" s="1082">
        <f>FR402/$FM402</f>
        <v>0.72572402044293</v>
      </c>
      <c r="FS405" s="1082">
        <f>FS402/$FM402</f>
        <v>0.347955706984668</v>
      </c>
      <c r="FT405" s="1082">
        <f>FT402/$FU402</f>
        <v>0.529155097183657</v>
      </c>
      <c r="FU405" s="1082">
        <f>FU402/$FU402</f>
        <v>1</v>
      </c>
      <c r="FV405" s="1086">
        <f>FV402/$FU402</f>
        <v>0.249900833002777</v>
      </c>
      <c r="FW405" s="1087"/>
      <c r="FX405" s="1087"/>
      <c r="FY405" s="1087">
        <f>FY402/$FU402</f>
        <v>0.263784212614042</v>
      </c>
      <c r="FZ405" s="1082">
        <f>FZ402/$FM402</f>
        <v>0.815587734241908</v>
      </c>
      <c r="GA405" s="1082">
        <f>GA402/$FM402</f>
        <v>0.344548551959114</v>
      </c>
      <c r="GB405" s="1082"/>
      <c r="GC405" s="1085"/>
      <c r="GD405" s="1087">
        <f>GD402/$FU402</f>
        <v>0.280444268147561</v>
      </c>
      <c r="GE405" s="1087"/>
      <c r="GF405" s="1087"/>
      <c r="GG405" s="1082"/>
      <c r="GH405" s="1082">
        <f>GH402/$FM402</f>
        <v>0.908222316865418</v>
      </c>
      <c r="GI405" s="1082"/>
      <c r="GJ405" s="1082"/>
      <c r="GK405" s="1085"/>
      <c r="GL405" s="1087"/>
      <c r="GM405" s="1087"/>
      <c r="GN405" s="1087"/>
      <c r="GO405" s="1082"/>
      <c r="GP405" s="1082"/>
      <c r="GQ405" s="1082"/>
      <c r="GR405" s="1082"/>
      <c r="GS405" s="1085"/>
      <c r="GT405" s="1082"/>
      <c r="GU405" s="1082"/>
      <c r="GV405" s="1082"/>
      <c r="GW405" s="1082"/>
      <c r="GX405" s="1082"/>
      <c r="GY405" s="1082"/>
      <c r="GZ405" s="1082"/>
      <c r="HA405" s="1085"/>
      <c r="HD405" s="1082"/>
      <c r="HE405" s="1082"/>
      <c r="HF405" s="1082"/>
      <c r="HG405" s="1082"/>
      <c r="HH405" s="1082"/>
      <c r="HI405" s="1085"/>
      <c r="HL405" s="1082"/>
      <c r="HM405" s="1082"/>
      <c r="HN405" s="1082"/>
      <c r="HO405" s="1082"/>
      <c r="HP405" s="1082"/>
      <c r="HQ405" s="1085"/>
      <c r="HT405" s="1082"/>
      <c r="HU405" s="1082"/>
      <c r="HV405" s="1082"/>
      <c r="HW405" s="1082"/>
      <c r="HX405" s="1082"/>
      <c r="HY405" s="1085"/>
      <c r="IB405" s="1082"/>
      <c r="IC405" s="1082"/>
      <c r="ID405" s="1082"/>
      <c r="IE405" s="1082"/>
      <c r="IF405" s="1082"/>
      <c r="IG405" s="1085"/>
      <c r="IJ405" s="1082"/>
      <c r="IK405" s="1082"/>
      <c r="IL405" s="1082"/>
      <c r="IM405" s="1082"/>
      <c r="IN405" s="1082"/>
      <c r="IO405" s="1085"/>
      <c r="IR405" s="1082"/>
      <c r="IS405" s="1082"/>
      <c r="IT405" s="1082"/>
      <c r="IU405" s="1082"/>
      <c r="IV405" s="1082"/>
      <c r="IW405" s="1085"/>
      <c r="IX405" s="1329"/>
      <c r="IY405" s="1037"/>
      <c r="IZ405" s="1049"/>
      <c r="JA405" s="1112"/>
      <c r="JB405" s="1112"/>
      <c r="JC405" s="1112"/>
      <c r="JD405" s="1112"/>
      <c r="JE405" s="1037"/>
      <c r="JF405" s="1037"/>
      <c r="JG405" s="1037"/>
      <c r="JH405" s="1037"/>
      <c r="JI405" s="1035"/>
      <c r="JJ405" s="1035"/>
      <c r="JK405" s="1035"/>
      <c r="JL405" s="1035"/>
      <c r="JM405" s="1035"/>
      <c r="JN405" s="1035"/>
      <c r="JO405" s="1035"/>
      <c r="JP405" s="1035"/>
      <c r="JQ405" s="1035"/>
      <c r="JR405" s="1035"/>
      <c r="JS405" s="1035"/>
      <c r="JT405" s="1035"/>
      <c r="JU405" s="1035"/>
      <c r="JV405" s="1035"/>
      <c r="JW405" s="1035"/>
      <c r="JX405" s="1035"/>
      <c r="JY405" s="1035"/>
      <c r="KP405" s="1180"/>
    </row>
    <row r="406" hidden="1" outlineLevel="1" spans="1:302">
      <c r="A406" s="969" t="s">
        <v>588</v>
      </c>
      <c r="B406" s="1302"/>
      <c r="C406" s="1302"/>
      <c r="D406" s="1302"/>
      <c r="E406" s="1302"/>
      <c r="F406" s="1302"/>
      <c r="G406" s="1302"/>
      <c r="H406" s="1302"/>
      <c r="I406" s="1302"/>
      <c r="J406" s="1302"/>
      <c r="K406" s="1302"/>
      <c r="L406" s="1302"/>
      <c r="M406" s="1302"/>
      <c r="N406" s="1302"/>
      <c r="O406" s="1302"/>
      <c r="P406" s="1302"/>
      <c r="Q406" s="1302"/>
      <c r="R406" s="1302"/>
      <c r="S406" s="1302"/>
      <c r="T406" s="1302"/>
      <c r="U406" s="1302"/>
      <c r="V406" s="1302"/>
      <c r="W406" s="1302"/>
      <c r="X406" s="1302"/>
      <c r="Y406" s="1302"/>
      <c r="Z406" s="1302"/>
      <c r="AA406" s="1302"/>
      <c r="AB406" s="1302"/>
      <c r="AC406" s="1302"/>
      <c r="AD406" s="1302"/>
      <c r="AE406" s="1302"/>
      <c r="AF406" s="1302"/>
      <c r="AG406" s="1302"/>
      <c r="AH406" s="1302"/>
      <c r="AI406" s="1302"/>
      <c r="AJ406" s="1302"/>
      <c r="AK406" s="1302"/>
      <c r="AL406" s="1302"/>
      <c r="AM406" s="1302"/>
      <c r="AN406" s="1302"/>
      <c r="AO406" s="1302"/>
      <c r="AP406" s="1302"/>
      <c r="AQ406" s="1302"/>
      <c r="AR406" s="1302"/>
      <c r="AS406" s="1302"/>
      <c r="AT406" s="1302"/>
      <c r="AU406" s="1302"/>
      <c r="AV406" s="1302"/>
      <c r="AW406" s="1302"/>
      <c r="AX406" s="1303"/>
      <c r="AY406" s="1302"/>
      <c r="AZ406" s="1302"/>
      <c r="BA406" s="1302"/>
      <c r="BB406" s="1302"/>
      <c r="BC406" s="1302"/>
      <c r="BD406" s="1302"/>
      <c r="BE406" s="1304"/>
      <c r="BF406" s="1302"/>
      <c r="BG406" s="1302"/>
      <c r="BH406" s="1302"/>
      <c r="BI406" s="1302"/>
      <c r="BJ406" s="1302"/>
      <c r="BK406" s="1302"/>
      <c r="BL406" s="1302"/>
      <c r="BM406" s="1302"/>
      <c r="BN406" s="1303"/>
      <c r="BO406" s="1302"/>
      <c r="BP406" s="1302"/>
      <c r="BQ406" s="1302"/>
      <c r="BR406" s="1302"/>
      <c r="BS406" s="1302"/>
      <c r="BT406" s="1302"/>
      <c r="BU406" s="1304"/>
      <c r="BV406" s="1303"/>
      <c r="BW406" s="1302"/>
      <c r="BX406" s="1302"/>
      <c r="BY406" s="1302"/>
      <c r="BZ406" s="1302"/>
      <c r="CA406" s="1302"/>
      <c r="CB406" s="1302"/>
      <c r="CC406" s="1304"/>
      <c r="CD406" s="1303"/>
      <c r="CE406" s="1302"/>
      <c r="CF406" s="1302"/>
      <c r="CG406" s="1302"/>
      <c r="CH406" s="1302"/>
      <c r="CI406" s="1302"/>
      <c r="CJ406" s="1302"/>
      <c r="CK406" s="1304"/>
      <c r="CL406" s="1303"/>
      <c r="CM406" s="1302"/>
      <c r="CN406" s="1302"/>
      <c r="CO406" s="1302"/>
      <c r="CP406" s="1302"/>
      <c r="CQ406" s="1302"/>
      <c r="CR406" s="1302"/>
      <c r="CS406" s="1304"/>
      <c r="CT406" s="1303"/>
      <c r="CU406" s="1302"/>
      <c r="CV406" s="1302"/>
      <c r="CW406" s="1302"/>
      <c r="CX406" s="1302"/>
      <c r="CY406" s="1302"/>
      <c r="CZ406" s="1302"/>
      <c r="DA406" s="1304"/>
      <c r="DB406" s="1109"/>
      <c r="DC406" s="1082"/>
      <c r="DD406" s="1082"/>
      <c r="DE406" s="1082"/>
      <c r="DF406" s="1082"/>
      <c r="DG406" s="1082"/>
      <c r="DH406" s="1082"/>
      <c r="DI406" s="1085"/>
      <c r="DJ406" s="1082"/>
      <c r="DK406" s="1082"/>
      <c r="DL406" s="1082"/>
      <c r="DM406" s="1082"/>
      <c r="DN406" s="1082"/>
      <c r="DO406" s="1082"/>
      <c r="DP406" s="1082"/>
      <c r="DQ406" s="1085"/>
      <c r="DR406" s="1082"/>
      <c r="DS406" s="1082"/>
      <c r="DT406" s="1082"/>
      <c r="DU406" s="1082"/>
      <c r="DV406" s="1082"/>
      <c r="DW406" s="1082"/>
      <c r="DX406" s="1082"/>
      <c r="DY406" s="1085"/>
      <c r="DZ406" s="1311">
        <f t="shared" ref="DZ406:EG406" si="2667">DZ415-DZ402</f>
        <v>875.405</v>
      </c>
      <c r="EA406" s="1311">
        <f t="shared" si="2667"/>
        <v>894</v>
      </c>
      <c r="EB406" s="1311">
        <f t="shared" si="2667"/>
        <v>1769.405</v>
      </c>
      <c r="EC406" s="1311">
        <f t="shared" si="2667"/>
        <v>931</v>
      </c>
      <c r="ED406" s="1311">
        <f t="shared" si="2667"/>
        <v>2700.405</v>
      </c>
      <c r="EE406" s="1311">
        <f t="shared" si="2667"/>
        <v>1074</v>
      </c>
      <c r="EF406" s="1311">
        <f t="shared" si="2667"/>
        <v>2005</v>
      </c>
      <c r="EG406" s="1312">
        <f t="shared" si="2667"/>
        <v>3774.405</v>
      </c>
      <c r="EH406" s="1311">
        <f t="shared" ref="EH406:EV406" si="2668">EH415-EH402</f>
        <v>953</v>
      </c>
      <c r="EI406" s="1311">
        <f t="shared" si="2668"/>
        <v>938</v>
      </c>
      <c r="EJ406" s="1311">
        <f t="shared" si="2668"/>
        <v>1891</v>
      </c>
      <c r="EK406" s="1311">
        <f t="shared" si="2668"/>
        <v>987</v>
      </c>
      <c r="EL406" s="1311">
        <f t="shared" si="2668"/>
        <v>2878</v>
      </c>
      <c r="EM406" s="1311">
        <f t="shared" si="2668"/>
        <v>1343</v>
      </c>
      <c r="EN406" s="1311">
        <f t="shared" si="2668"/>
        <v>2330</v>
      </c>
      <c r="EO406" s="1312">
        <f t="shared" si="2668"/>
        <v>4221</v>
      </c>
      <c r="EP406" s="1311">
        <f t="shared" si="2668"/>
        <v>959</v>
      </c>
      <c r="EQ406" s="1311">
        <f t="shared" si="2668"/>
        <v>956</v>
      </c>
      <c r="ER406" s="1311">
        <f t="shared" si="2668"/>
        <v>1915</v>
      </c>
      <c r="ES406" s="1311">
        <f t="shared" si="2668"/>
        <v>950</v>
      </c>
      <c r="ET406" s="1311">
        <f t="shared" si="2668"/>
        <v>2865</v>
      </c>
      <c r="EU406" s="1311">
        <f t="shared" si="2668"/>
        <v>1094</v>
      </c>
      <c r="EV406" s="1311">
        <f t="shared" si="2668"/>
        <v>2044</v>
      </c>
      <c r="EW406" s="1312">
        <f t="shared" ref="EW406:FE406" si="2669">EW415-EW402</f>
        <v>3959</v>
      </c>
      <c r="EX406" s="1311">
        <f t="shared" si="2669"/>
        <v>916</v>
      </c>
      <c r="EY406" s="1311">
        <f t="shared" si="2669"/>
        <v>903</v>
      </c>
      <c r="EZ406" s="1311">
        <f t="shared" si="2669"/>
        <v>1819</v>
      </c>
      <c r="FA406" s="1311">
        <f t="shared" si="2669"/>
        <v>968</v>
      </c>
      <c r="FB406" s="1311">
        <f t="shared" si="2669"/>
        <v>2787</v>
      </c>
      <c r="FC406" s="1311">
        <f t="shared" si="2669"/>
        <v>1110</v>
      </c>
      <c r="FD406" s="1311">
        <f t="shared" si="2669"/>
        <v>2078</v>
      </c>
      <c r="FE406" s="1312">
        <f t="shared" si="2669"/>
        <v>3897</v>
      </c>
      <c r="FF406" s="1311">
        <f t="shared" ref="FF406:FX406" si="2670">FF415-FF402</f>
        <v>1022</v>
      </c>
      <c r="FG406" s="1311">
        <f t="shared" si="2670"/>
        <v>1055</v>
      </c>
      <c r="FH406" s="1311">
        <f t="shared" si="2670"/>
        <v>2077</v>
      </c>
      <c r="FI406" s="1311">
        <f t="shared" si="2670"/>
        <v>1145</v>
      </c>
      <c r="FJ406" s="1311">
        <f t="shared" si="2670"/>
        <v>3222</v>
      </c>
      <c r="FK406" s="1311">
        <f t="shared" si="2670"/>
        <v>1270</v>
      </c>
      <c r="FL406" s="1311">
        <f t="shared" si="2670"/>
        <v>2415</v>
      </c>
      <c r="FM406" s="1312">
        <f t="shared" si="2670"/>
        <v>4492</v>
      </c>
      <c r="FN406" s="1311">
        <f t="shared" si="2670"/>
        <v>1200</v>
      </c>
      <c r="FO406" s="1314">
        <f t="shared" si="2670"/>
        <v>1105</v>
      </c>
      <c r="FP406" s="1314">
        <f t="shared" si="2670"/>
        <v>2305</v>
      </c>
      <c r="FQ406" s="1311">
        <f t="shared" si="2670"/>
        <v>1431.93220338983</v>
      </c>
      <c r="FR406" s="1311">
        <f t="shared" si="2670"/>
        <v>3736.93220338983</v>
      </c>
      <c r="FS406" s="1311">
        <f t="shared" si="2670"/>
        <v>1352.06779661017</v>
      </c>
      <c r="FT406" s="1311">
        <f t="shared" si="2670"/>
        <v>2784</v>
      </c>
      <c r="FU406" s="1311">
        <f t="shared" si="2670"/>
        <v>5088</v>
      </c>
      <c r="FV406" s="1313">
        <f t="shared" si="2670"/>
        <v>1337</v>
      </c>
      <c r="FW406" s="1314">
        <f t="shared" si="2670"/>
        <v>1335</v>
      </c>
      <c r="FX406" s="1311">
        <f t="shared" si="2670"/>
        <v>2672</v>
      </c>
      <c r="FY406" s="1314">
        <f t="shared" ref="FY406:GC406" si="2671">FY415-FY402</f>
        <v>1327</v>
      </c>
      <c r="FZ406" s="1311">
        <f t="shared" si="2671"/>
        <v>3999</v>
      </c>
      <c r="GA406" s="1311">
        <f t="shared" si="2671"/>
        <v>1574</v>
      </c>
      <c r="GB406" s="1311">
        <f t="shared" si="2671"/>
        <v>2901</v>
      </c>
      <c r="GC406" s="1312">
        <f t="shared" si="2671"/>
        <v>5573</v>
      </c>
      <c r="GD406" s="1314">
        <f t="shared" ref="GD406:GK406" si="2672">GD415-GD402</f>
        <v>1297</v>
      </c>
      <c r="GE406" s="1314">
        <f t="shared" si="2672"/>
        <v>1373</v>
      </c>
      <c r="GF406" s="1311">
        <f t="shared" si="2672"/>
        <v>2670</v>
      </c>
      <c r="GG406" s="1314">
        <f t="shared" si="2672"/>
        <v>1338.494</v>
      </c>
      <c r="GH406" s="1311">
        <f t="shared" si="2672"/>
        <v>4008.494</v>
      </c>
      <c r="GI406" s="1314">
        <f t="shared" si="2672"/>
        <v>1600.506</v>
      </c>
      <c r="GJ406" s="1311">
        <f t="shared" si="2672"/>
        <v>2939</v>
      </c>
      <c r="GK406" s="1312">
        <f t="shared" si="2672"/>
        <v>5609</v>
      </c>
      <c r="GL406" s="1314">
        <f t="shared" ref="GL406:GN406" si="2673">GL415-GL402</f>
        <v>1322</v>
      </c>
      <c r="GM406" s="1314">
        <f t="shared" si="2673"/>
        <v>1278</v>
      </c>
      <c r="GN406" s="1311">
        <f t="shared" si="2673"/>
        <v>2600</v>
      </c>
      <c r="GO406" s="1314">
        <f t="shared" ref="GO406:GQ406" si="2674">GO415-GO402</f>
        <v>1382</v>
      </c>
      <c r="GP406" s="1314">
        <f t="shared" ref="GP406" si="2675">GP415-GP402</f>
        <v>3982</v>
      </c>
      <c r="GQ406" s="1314">
        <f t="shared" si="2674"/>
        <v>1549</v>
      </c>
      <c r="GR406" s="1314">
        <f t="shared" ref="GR406" si="2676">GR415-GR402</f>
        <v>2931</v>
      </c>
      <c r="GS406" s="1328">
        <f t="shared" ref="GS406:GU406" si="2677">GS415-GS402</f>
        <v>5531</v>
      </c>
      <c r="GT406" s="1314">
        <f t="shared" si="2677"/>
        <v>1265</v>
      </c>
      <c r="GU406" s="1314">
        <f t="shared" si="2677"/>
        <v>1220</v>
      </c>
      <c r="GV406" s="1311">
        <f t="shared" ref="GV406:GW406" si="2678">GV415-GV402</f>
        <v>2485</v>
      </c>
      <c r="GW406" s="1314">
        <f t="shared" si="2678"/>
        <v>1284.96991144</v>
      </c>
      <c r="GX406" s="1311"/>
      <c r="GY406" s="1314">
        <f t="shared" ref="GY406" si="2679">GY415-GY402</f>
        <v>1474.03008856</v>
      </c>
      <c r="GZ406" s="1311">
        <f>GY406+GW406</f>
        <v>2759</v>
      </c>
      <c r="HA406" s="1328">
        <f t="shared" ref="HA406:HC406" si="2680">HA415-HA402</f>
        <v>5244</v>
      </c>
      <c r="HB406" s="1314">
        <f t="shared" si="2680"/>
        <v>1225</v>
      </c>
      <c r="HC406" s="1314">
        <f t="shared" si="2680"/>
        <v>1207</v>
      </c>
      <c r="HD406" s="1311">
        <f>HC406+HB406</f>
        <v>2432</v>
      </c>
      <c r="HE406" s="1314">
        <f>HE415-HE402</f>
        <v>1314</v>
      </c>
      <c r="HF406" s="1311"/>
      <c r="HG406" s="1314">
        <f t="shared" ref="HG406" si="2681">HG415-HG402</f>
        <v>1424</v>
      </c>
      <c r="HH406" s="1311">
        <f>HG406+HE406</f>
        <v>2738</v>
      </c>
      <c r="HI406" s="1328">
        <f t="shared" ref="HI406:HK406" si="2682">HI415-HI402</f>
        <v>5170</v>
      </c>
      <c r="HJ406" s="1314">
        <f t="shared" si="2682"/>
        <v>1226</v>
      </c>
      <c r="HK406" s="1314">
        <f t="shared" si="2682"/>
        <v>1503</v>
      </c>
      <c r="HL406" s="1311">
        <f>HK406+HJ406</f>
        <v>2729</v>
      </c>
      <c r="HM406" s="1314">
        <f>HM415-HM402</f>
        <v>1549</v>
      </c>
      <c r="HN406" s="1311"/>
      <c r="HO406" s="1311"/>
      <c r="HP406" s="1311"/>
      <c r="HQ406" s="1312"/>
      <c r="HR406" s="1314">
        <f>HR415-HR402</f>
        <v>1443</v>
      </c>
      <c r="HS406" s="1314">
        <f>HS415-HS402</f>
        <v>1447</v>
      </c>
      <c r="HT406" s="1311">
        <f>HS406+HR406</f>
        <v>2890</v>
      </c>
      <c r="HU406" s="1314">
        <f>HU415-HU402</f>
        <v>1430</v>
      </c>
      <c r="HV406" s="1311"/>
      <c r="HW406" s="1311"/>
      <c r="HX406" s="1311"/>
      <c r="HY406" s="1312"/>
      <c r="HZ406" s="1314">
        <f>HZ415-HZ402</f>
        <v>1481.54</v>
      </c>
      <c r="IA406" s="1314">
        <f>IA415-IA402</f>
        <v>1569.98661887034</v>
      </c>
      <c r="IB406" s="1311">
        <f>IA406+HZ406</f>
        <v>3051.52661887034</v>
      </c>
      <c r="IC406" s="1314">
        <f>IC415-IC402</f>
        <v>1668.480196849</v>
      </c>
      <c r="ID406" s="1311"/>
      <c r="IE406" s="1311"/>
      <c r="IF406" s="1311"/>
      <c r="IG406" s="1312"/>
      <c r="IH406" s="1314">
        <f>IH415-IH402</f>
        <v>1586</v>
      </c>
      <c r="II406" s="1314">
        <f>II415-II402</f>
        <v>1559</v>
      </c>
      <c r="IJ406" s="1311">
        <f>II406+IH406</f>
        <v>3145</v>
      </c>
      <c r="IK406" s="1314">
        <f>IK415-IK402</f>
        <v>1613.39</v>
      </c>
      <c r="IL406" s="1311"/>
      <c r="IM406" s="1311"/>
      <c r="IN406" s="1311"/>
      <c r="IO406" s="1312"/>
      <c r="IP406" s="1314"/>
      <c r="IQ406" s="1314"/>
      <c r="IR406" s="1311"/>
      <c r="IS406" s="1314"/>
      <c r="IT406" s="1311"/>
      <c r="IU406" s="1311"/>
      <c r="IV406" s="1311"/>
      <c r="IW406" s="1312"/>
      <c r="IX406" s="1329"/>
      <c r="IY406" s="1037"/>
      <c r="IZ406" s="1049"/>
      <c r="JA406" s="1112"/>
      <c r="JB406" s="1112"/>
      <c r="JC406" s="1112"/>
      <c r="JD406" s="1112"/>
      <c r="JE406" s="1037"/>
      <c r="JF406" s="1037"/>
      <c r="JG406" s="1037"/>
      <c r="JH406" s="1037"/>
      <c r="JI406" s="1035"/>
      <c r="JJ406" s="1035"/>
      <c r="JK406" s="1035"/>
      <c r="JL406" s="1035"/>
      <c r="JM406" s="1035"/>
      <c r="JN406" s="1035"/>
      <c r="JO406" s="1035"/>
      <c r="JP406" s="1035"/>
      <c r="JQ406" s="1035"/>
      <c r="JR406" s="1035"/>
      <c r="JS406" s="1035"/>
      <c r="JT406" s="1035"/>
      <c r="JU406" s="1035"/>
      <c r="JV406" s="1035"/>
      <c r="JW406" s="1035"/>
      <c r="JX406" s="1035"/>
      <c r="JY406" s="1035"/>
      <c r="KP406" s="1180"/>
    </row>
    <row r="407" hidden="1" outlineLevel="1" spans="1:302">
      <c r="A407" s="1035" t="s">
        <v>61</v>
      </c>
      <c r="B407" s="1302"/>
      <c r="C407" s="1302"/>
      <c r="D407" s="1302"/>
      <c r="E407" s="1302"/>
      <c r="F407" s="1302"/>
      <c r="G407" s="1302"/>
      <c r="H407" s="1302"/>
      <c r="I407" s="1302"/>
      <c r="J407" s="1302"/>
      <c r="K407" s="1302"/>
      <c r="L407" s="1302"/>
      <c r="M407" s="1302"/>
      <c r="N407" s="1302"/>
      <c r="O407" s="1302"/>
      <c r="P407" s="1302"/>
      <c r="Q407" s="1302"/>
      <c r="R407" s="1302"/>
      <c r="S407" s="1302"/>
      <c r="T407" s="1302"/>
      <c r="U407" s="1302"/>
      <c r="V407" s="1302"/>
      <c r="W407" s="1302"/>
      <c r="X407" s="1302"/>
      <c r="Y407" s="1302"/>
      <c r="Z407" s="1302"/>
      <c r="AA407" s="1302"/>
      <c r="AB407" s="1302"/>
      <c r="AC407" s="1302"/>
      <c r="AD407" s="1302"/>
      <c r="AE407" s="1302"/>
      <c r="AF407" s="1302"/>
      <c r="AG407" s="1302"/>
      <c r="AH407" s="1302"/>
      <c r="AI407" s="1302"/>
      <c r="AJ407" s="1302"/>
      <c r="AK407" s="1302"/>
      <c r="AL407" s="1302"/>
      <c r="AM407" s="1302"/>
      <c r="AN407" s="1302"/>
      <c r="AO407" s="1302"/>
      <c r="AP407" s="1302"/>
      <c r="AQ407" s="1302"/>
      <c r="AR407" s="1302"/>
      <c r="AS407" s="1302"/>
      <c r="AT407" s="1302"/>
      <c r="AU407" s="1302"/>
      <c r="AV407" s="1302"/>
      <c r="AW407" s="1302"/>
      <c r="AX407" s="1303"/>
      <c r="AY407" s="1302"/>
      <c r="AZ407" s="1302"/>
      <c r="BA407" s="1302"/>
      <c r="BB407" s="1302"/>
      <c r="BC407" s="1302"/>
      <c r="BD407" s="1302"/>
      <c r="BE407" s="1304"/>
      <c r="BF407" s="1302"/>
      <c r="BG407" s="1302"/>
      <c r="BH407" s="1302"/>
      <c r="BI407" s="1302"/>
      <c r="BJ407" s="1302"/>
      <c r="BK407" s="1302"/>
      <c r="BL407" s="1302"/>
      <c r="BM407" s="1302"/>
      <c r="BN407" s="1303"/>
      <c r="BO407" s="1302"/>
      <c r="BP407" s="1302"/>
      <c r="BQ407" s="1302"/>
      <c r="BR407" s="1302"/>
      <c r="BS407" s="1302"/>
      <c r="BT407" s="1302"/>
      <c r="BU407" s="1304"/>
      <c r="BV407" s="1303"/>
      <c r="BW407" s="1302"/>
      <c r="BX407" s="1302"/>
      <c r="BY407" s="1302"/>
      <c r="BZ407" s="1302"/>
      <c r="CA407" s="1302"/>
      <c r="CB407" s="1302"/>
      <c r="CC407" s="1304"/>
      <c r="CD407" s="1303"/>
      <c r="CE407" s="1302"/>
      <c r="CF407" s="1302"/>
      <c r="CG407" s="1302"/>
      <c r="CH407" s="1302"/>
      <c r="CI407" s="1302"/>
      <c r="CJ407" s="1302"/>
      <c r="CK407" s="1304"/>
      <c r="CL407" s="1303"/>
      <c r="CM407" s="1302"/>
      <c r="CN407" s="1302"/>
      <c r="CO407" s="1302"/>
      <c r="CP407" s="1302"/>
      <c r="CQ407" s="1302"/>
      <c r="CR407" s="1302"/>
      <c r="CS407" s="1304"/>
      <c r="CT407" s="1303"/>
      <c r="CU407" s="1302"/>
      <c r="CV407" s="1302"/>
      <c r="CW407" s="1302"/>
      <c r="CX407" s="1302"/>
      <c r="CY407" s="1302"/>
      <c r="CZ407" s="1302"/>
      <c r="DA407" s="1304"/>
      <c r="DB407" s="1109"/>
      <c r="DC407" s="1082"/>
      <c r="DD407" s="1082"/>
      <c r="DE407" s="1082"/>
      <c r="DF407" s="1082"/>
      <c r="DG407" s="1082"/>
      <c r="DH407" s="1082"/>
      <c r="DI407" s="1085"/>
      <c r="DJ407" s="1082"/>
      <c r="DK407" s="1082"/>
      <c r="DL407" s="1082"/>
      <c r="DM407" s="1082"/>
      <c r="DN407" s="1082"/>
      <c r="DO407" s="1082"/>
      <c r="DP407" s="1082"/>
      <c r="DQ407" s="1085"/>
      <c r="DR407" s="1082"/>
      <c r="DS407" s="1082"/>
      <c r="DT407" s="1082"/>
      <c r="DU407" s="1082"/>
      <c r="DV407" s="1082"/>
      <c r="DW407" s="1082"/>
      <c r="DX407" s="1082"/>
      <c r="DY407" s="1085"/>
      <c r="DZ407" s="1082" t="e">
        <f t="shared" ref="DZ407:FE407" si="2683">DZ406/DR406-1</f>
        <v>#DIV/0!</v>
      </c>
      <c r="EA407" s="1082" t="e">
        <f t="shared" si="2683"/>
        <v>#DIV/0!</v>
      </c>
      <c r="EB407" s="1082" t="e">
        <f t="shared" si="2683"/>
        <v>#DIV/0!</v>
      </c>
      <c r="EC407" s="1082" t="e">
        <f t="shared" si="2683"/>
        <v>#DIV/0!</v>
      </c>
      <c r="ED407" s="1082" t="e">
        <f t="shared" si="2683"/>
        <v>#DIV/0!</v>
      </c>
      <c r="EE407" s="1082" t="e">
        <f t="shared" si="2683"/>
        <v>#DIV/0!</v>
      </c>
      <c r="EF407" s="1082" t="e">
        <f t="shared" si="2683"/>
        <v>#DIV/0!</v>
      </c>
      <c r="EG407" s="1085" t="e">
        <f t="shared" si="2683"/>
        <v>#DIV/0!</v>
      </c>
      <c r="EH407" s="1082">
        <f t="shared" si="2683"/>
        <v>0.0886389728182955</v>
      </c>
      <c r="EI407" s="1082">
        <f t="shared" si="2683"/>
        <v>0.0492170022371365</v>
      </c>
      <c r="EJ407" s="1082">
        <f t="shared" si="2683"/>
        <v>0.0687208411867268</v>
      </c>
      <c r="EK407" s="1082">
        <f t="shared" si="2683"/>
        <v>0.0601503759398496</v>
      </c>
      <c r="EL407" s="1082">
        <f t="shared" si="2683"/>
        <v>0.0657660610167734</v>
      </c>
      <c r="EM407" s="1082">
        <f t="shared" si="2683"/>
        <v>0.250465549348231</v>
      </c>
      <c r="EN407" s="1082">
        <f t="shared" si="2683"/>
        <v>0.162094763092269</v>
      </c>
      <c r="EO407" s="1085">
        <f t="shared" si="2683"/>
        <v>0.118321960679895</v>
      </c>
      <c r="EP407" s="1082">
        <f t="shared" si="2683"/>
        <v>0.00629590766002108</v>
      </c>
      <c r="EQ407" s="1082">
        <f t="shared" si="2683"/>
        <v>0.0191897654584221</v>
      </c>
      <c r="ER407" s="1082">
        <f t="shared" si="2683"/>
        <v>0.0126916975145426</v>
      </c>
      <c r="ES407" s="1082">
        <f t="shared" si="2683"/>
        <v>-0.0374873353596757</v>
      </c>
      <c r="ET407" s="1082">
        <f t="shared" si="2683"/>
        <v>-0.00451702571230017</v>
      </c>
      <c r="EU407" s="1082">
        <f t="shared" si="2683"/>
        <v>-0.185405807892777</v>
      </c>
      <c r="EV407" s="1082">
        <f t="shared" si="2683"/>
        <v>-0.12274678111588</v>
      </c>
      <c r="EW407" s="1085">
        <f t="shared" si="2683"/>
        <v>-0.0620705993840323</v>
      </c>
      <c r="EX407" s="1082">
        <f t="shared" si="2683"/>
        <v>-0.0448383733055265</v>
      </c>
      <c r="EY407" s="1082">
        <f t="shared" si="2683"/>
        <v>-0.055439330543933</v>
      </c>
      <c r="EZ407" s="1082">
        <f t="shared" si="2683"/>
        <v>-0.0501305483028721</v>
      </c>
      <c r="FA407" s="1082">
        <f t="shared" si="2683"/>
        <v>0.0189473684210526</v>
      </c>
      <c r="FB407" s="1082">
        <f t="shared" si="2683"/>
        <v>-0.0272251308900524</v>
      </c>
      <c r="FC407" s="1082">
        <f t="shared" si="2683"/>
        <v>0.0146252285191957</v>
      </c>
      <c r="FD407" s="1082">
        <f t="shared" si="2683"/>
        <v>0.0166340508806262</v>
      </c>
      <c r="FE407" s="1085">
        <f t="shared" si="2683"/>
        <v>-0.0156605203334176</v>
      </c>
      <c r="FF407" s="1082">
        <f t="shared" ref="FF407:FN407" si="2684">FF406/EX406-1</f>
        <v>0.115720524017467</v>
      </c>
      <c r="FG407" s="1082">
        <f t="shared" si="2684"/>
        <v>0.168327796234773</v>
      </c>
      <c r="FH407" s="1082">
        <f t="shared" si="2684"/>
        <v>0.141836173721825</v>
      </c>
      <c r="FI407" s="1082">
        <f t="shared" si="2684"/>
        <v>0.182851239669422</v>
      </c>
      <c r="FJ407" s="1082">
        <f t="shared" si="2684"/>
        <v>0.156081808396125</v>
      </c>
      <c r="FK407" s="1082">
        <f t="shared" si="2684"/>
        <v>0.144144144144144</v>
      </c>
      <c r="FL407" s="1082">
        <f t="shared" si="2684"/>
        <v>0.162175168431184</v>
      </c>
      <c r="FM407" s="1085">
        <f t="shared" si="2684"/>
        <v>0.152681549910187</v>
      </c>
      <c r="FN407" s="1082">
        <f t="shared" si="2684"/>
        <v>0.174168297455969</v>
      </c>
      <c r="FO407" s="1087">
        <f t="shared" ref="FO407:FX407" si="2685">FO406/FG406-1</f>
        <v>0.04739336492891</v>
      </c>
      <c r="FP407" s="1087">
        <f t="shared" si="2685"/>
        <v>0.109773712084738</v>
      </c>
      <c r="FQ407" s="1082">
        <f t="shared" si="2685"/>
        <v>0.250595810820813</v>
      </c>
      <c r="FR407" s="1082">
        <f t="shared" si="2685"/>
        <v>0.159817567780829</v>
      </c>
      <c r="FS407" s="1082">
        <f t="shared" si="2685"/>
        <v>0.0646203122914719</v>
      </c>
      <c r="FT407" s="1082">
        <f t="shared" si="2685"/>
        <v>0.152795031055901</v>
      </c>
      <c r="FU407" s="1082">
        <f t="shared" si="2685"/>
        <v>0.132680320569902</v>
      </c>
      <c r="FV407" s="1086">
        <f t="shared" si="2685"/>
        <v>0.114166666666667</v>
      </c>
      <c r="FW407" s="1087">
        <f t="shared" si="2685"/>
        <v>0.20814479638009</v>
      </c>
      <c r="FX407" s="1082">
        <f t="shared" si="2685"/>
        <v>0.159219088937093</v>
      </c>
      <c r="FY407" s="1087">
        <f t="shared" ref="FY407" si="2686">FY406/FQ406-1</f>
        <v>-0.0732801477202785</v>
      </c>
      <c r="FZ407" s="1082">
        <f t="shared" ref="FZ407" si="2687">FZ406/FR406-1</f>
        <v>0.0701291279441578</v>
      </c>
      <c r="GA407" s="1082">
        <f t="shared" ref="GA407" si="2688">GA406/FS406-1</f>
        <v>0.164142806999951</v>
      </c>
      <c r="GB407" s="1082">
        <f t="shared" ref="GB407:GG407" si="2689">GB406/FT406-1</f>
        <v>0.0420258620689662</v>
      </c>
      <c r="GC407" s="1085">
        <f t="shared" si="2689"/>
        <v>0.0953223270440255</v>
      </c>
      <c r="GD407" s="1087">
        <f t="shared" si="2689"/>
        <v>-0.0299177262528046</v>
      </c>
      <c r="GE407" s="1087">
        <f t="shared" si="2689"/>
        <v>0.0284644194756551</v>
      </c>
      <c r="GF407" s="1082">
        <f t="shared" si="2689"/>
        <v>-0.000748502994011968</v>
      </c>
      <c r="GG407" s="1087">
        <f t="shared" si="2689"/>
        <v>0.00866164280331549</v>
      </c>
      <c r="GH407" s="1082">
        <f>GH406/GA406-1</f>
        <v>1.54669250317662</v>
      </c>
      <c r="GI407" s="1087">
        <f>GI406/GA406-1</f>
        <v>0.0168398983481564</v>
      </c>
      <c r="GJ407" s="1082">
        <f>GJ406/GB406-1</f>
        <v>0.0130989314029635</v>
      </c>
      <c r="GK407" s="1085">
        <f>GK406/GC406-1</f>
        <v>0.00645971649022048</v>
      </c>
      <c r="GL407" s="1087">
        <f t="shared" ref="GL407" si="2690">GL406/GD406-1</f>
        <v>0.0192752505782574</v>
      </c>
      <c r="GM407" s="1087">
        <f t="shared" ref="GM407:GS407" si="2691">GM406/GE406-1</f>
        <v>-0.0691915513474141</v>
      </c>
      <c r="GN407" s="1082">
        <f t="shared" ref="GN407" si="2692">GN406/GF406-1</f>
        <v>-0.0262172284644194</v>
      </c>
      <c r="GO407" s="1087">
        <f t="shared" si="2691"/>
        <v>0.0325036944506292</v>
      </c>
      <c r="GP407" s="1087">
        <f t="shared" si="2691"/>
        <v>-0.00660946480149394</v>
      </c>
      <c r="GQ407" s="1087">
        <f t="shared" si="2691"/>
        <v>-0.032181072735747</v>
      </c>
      <c r="GR407" s="1087">
        <f t="shared" si="2691"/>
        <v>-0.00272201429057473</v>
      </c>
      <c r="GS407" s="1088">
        <f t="shared" si="2691"/>
        <v>-0.0139062221429845</v>
      </c>
      <c r="GT407" s="1087">
        <f t="shared" ref="GT407" si="2693">GT406/GL406-1</f>
        <v>-0.0431164901664159</v>
      </c>
      <c r="GU407" s="1087">
        <f t="shared" ref="GU407:HA407" si="2694">GU406/GM406-1</f>
        <v>-0.0453834115805941</v>
      </c>
      <c r="GV407" s="1082">
        <f t="shared" ref="GV407" si="2695">GV406/GN406-1</f>
        <v>-0.0442307692307696</v>
      </c>
      <c r="GW407" s="1087">
        <f t="shared" si="2694"/>
        <v>-0.0702099048914606</v>
      </c>
      <c r="GX407" s="1082"/>
      <c r="GY407" s="1087">
        <f t="shared" si="2694"/>
        <v>-0.0483989099031649</v>
      </c>
      <c r="GZ407" s="1082"/>
      <c r="HA407" s="1088">
        <f t="shared" si="2694"/>
        <v>-0.0518893509311159</v>
      </c>
      <c r="HB407" s="1087">
        <f>HB406/1211-1</f>
        <v>0.0115606936416186</v>
      </c>
      <c r="HC407" s="1087">
        <f>HC406/1211-1</f>
        <v>-0.00330305532617647</v>
      </c>
      <c r="HD407" s="1087">
        <f>HD406/GV406-1</f>
        <v>-0.0213279678068407</v>
      </c>
      <c r="HE407" s="1087">
        <f t="shared" ref="HE407" si="2696">HE406/GW406-1</f>
        <v>0.0225920376045741</v>
      </c>
      <c r="HF407" s="1082"/>
      <c r="HG407" s="1087">
        <f t="shared" ref="HG407:HH407" si="2697">HG406/GY406-1</f>
        <v>-0.0339410226075323</v>
      </c>
      <c r="HH407" s="1087">
        <f t="shared" si="2697"/>
        <v>-0.00761145342515368</v>
      </c>
      <c r="HI407" s="1088">
        <f t="shared" ref="HI407" si="2698">HI406/HA406-1</f>
        <v>-0.0141113653699463</v>
      </c>
      <c r="HJ407" s="1087">
        <f>HJ406/1211-1</f>
        <v>0.012386457473162</v>
      </c>
      <c r="HK407" s="1087">
        <f>HK406/1211-1</f>
        <v>0.241123038810901</v>
      </c>
      <c r="HL407" s="1087">
        <f>HL406/HD406-1</f>
        <v>0.122121710526316</v>
      </c>
      <c r="HM407" s="1087">
        <f>HM406/1211-1</f>
        <v>0.279108175061932</v>
      </c>
      <c r="HN407" s="1082"/>
      <c r="HO407" s="1082"/>
      <c r="HP407" s="1082"/>
      <c r="HQ407" s="1085"/>
      <c r="HR407" s="1087">
        <f>HR406/1211-1</f>
        <v>0.191577208918249</v>
      </c>
      <c r="HS407" s="1087">
        <f>HS406/1211-1</f>
        <v>0.194880264244426</v>
      </c>
      <c r="HT407" s="1087">
        <f>HT406/HL406-1</f>
        <v>0.0589959692194941</v>
      </c>
      <c r="HU407" s="1087">
        <f>HU406/1211-1</f>
        <v>0.180842279108174</v>
      </c>
      <c r="HV407" s="1082"/>
      <c r="HW407" s="1082"/>
      <c r="HX407" s="1082"/>
      <c r="HY407" s="1085"/>
      <c r="HZ407" s="1087">
        <f>HZ406/1211-1</f>
        <v>0.223402146985962</v>
      </c>
      <c r="IA407" s="1087">
        <f>IA406/1211-1</f>
        <v>0.296438165871463</v>
      </c>
      <c r="IB407" s="1087">
        <f>IB406/HT406-1</f>
        <v>0.0558915636229558</v>
      </c>
      <c r="IC407" s="1087">
        <f>IC406/1211-1</f>
        <v>0.377770600205614</v>
      </c>
      <c r="ID407" s="1082"/>
      <c r="IE407" s="1082"/>
      <c r="IF407" s="1082"/>
      <c r="IG407" s="1085"/>
      <c r="IH407" s="1087">
        <f>IH406/1211-1</f>
        <v>0.309661436829067</v>
      </c>
      <c r="II407" s="1087">
        <f>II406/1211-1</f>
        <v>0.287365813377373</v>
      </c>
      <c r="IJ407" s="1087">
        <f>IJ406/IB406-1</f>
        <v>0.0306316781087954</v>
      </c>
      <c r="IK407" s="1087">
        <f>IK406/1211-1</f>
        <v>0.332279108175062</v>
      </c>
      <c r="IL407" s="1082"/>
      <c r="IM407" s="1082"/>
      <c r="IN407" s="1082"/>
      <c r="IO407" s="1085"/>
      <c r="IP407" s="1087"/>
      <c r="IQ407" s="1087"/>
      <c r="IR407" s="1087"/>
      <c r="IS407" s="1087"/>
      <c r="IT407" s="1082"/>
      <c r="IU407" s="1082"/>
      <c r="IV407" s="1082"/>
      <c r="IW407" s="1085"/>
      <c r="IX407" s="1329"/>
      <c r="IY407" s="1037"/>
      <c r="IZ407" s="1037"/>
      <c r="JA407" s="1037"/>
      <c r="JB407" s="1037"/>
      <c r="JC407" s="1035"/>
      <c r="JD407" s="1035"/>
      <c r="JE407" s="1330"/>
      <c r="JF407" s="1037"/>
      <c r="JG407" s="1035"/>
      <c r="JH407" s="1035"/>
      <c r="JI407" s="1035"/>
      <c r="JJ407" s="1035"/>
      <c r="JK407" s="1035"/>
      <c r="JL407" s="1035"/>
      <c r="JM407" s="1035"/>
      <c r="JN407" s="1035"/>
      <c r="JO407" s="1035"/>
      <c r="JP407" s="1035"/>
      <c r="JQ407" s="1035"/>
      <c r="JR407" s="1035"/>
      <c r="JS407" s="1035"/>
      <c r="JT407" s="1035"/>
      <c r="JU407" s="1035"/>
      <c r="JV407" s="1035"/>
      <c r="JW407" s="1035"/>
      <c r="JX407" s="1035"/>
      <c r="JY407" s="1035"/>
      <c r="KP407" s="1180"/>
    </row>
    <row r="408" hidden="1" outlineLevel="1" spans="1:302">
      <c r="A408" s="1035" t="s">
        <v>86</v>
      </c>
      <c r="B408" s="1302"/>
      <c r="C408" s="1302"/>
      <c r="D408" s="1302"/>
      <c r="E408" s="1302"/>
      <c r="F408" s="1302"/>
      <c r="G408" s="1302"/>
      <c r="H408" s="1302"/>
      <c r="I408" s="1302"/>
      <c r="J408" s="1302"/>
      <c r="K408" s="1302"/>
      <c r="L408" s="1302"/>
      <c r="M408" s="1302"/>
      <c r="N408" s="1302"/>
      <c r="O408" s="1302"/>
      <c r="P408" s="1302"/>
      <c r="Q408" s="1302"/>
      <c r="R408" s="1302"/>
      <c r="S408" s="1302"/>
      <c r="T408" s="1302"/>
      <c r="U408" s="1302"/>
      <c r="V408" s="1302"/>
      <c r="W408" s="1302"/>
      <c r="X408" s="1302"/>
      <c r="Y408" s="1302"/>
      <c r="Z408" s="1302"/>
      <c r="AA408" s="1302"/>
      <c r="AB408" s="1302"/>
      <c r="AC408" s="1302"/>
      <c r="AD408" s="1302"/>
      <c r="AE408" s="1302"/>
      <c r="AF408" s="1302"/>
      <c r="AG408" s="1302"/>
      <c r="AH408" s="1302"/>
      <c r="AI408" s="1302"/>
      <c r="AJ408" s="1302"/>
      <c r="AK408" s="1302"/>
      <c r="AL408" s="1302"/>
      <c r="AM408" s="1302"/>
      <c r="AN408" s="1302"/>
      <c r="AO408" s="1302"/>
      <c r="AP408" s="1302"/>
      <c r="AQ408" s="1302"/>
      <c r="AR408" s="1302"/>
      <c r="AS408" s="1302"/>
      <c r="AT408" s="1302"/>
      <c r="AU408" s="1302"/>
      <c r="AV408" s="1302"/>
      <c r="AW408" s="1302"/>
      <c r="AX408" s="1303"/>
      <c r="AY408" s="1302"/>
      <c r="AZ408" s="1302"/>
      <c r="BA408" s="1302"/>
      <c r="BB408" s="1302"/>
      <c r="BC408" s="1302"/>
      <c r="BD408" s="1302"/>
      <c r="BE408" s="1304"/>
      <c r="BF408" s="1302"/>
      <c r="BG408" s="1302"/>
      <c r="BH408" s="1302"/>
      <c r="BI408" s="1302"/>
      <c r="BJ408" s="1302"/>
      <c r="BK408" s="1302"/>
      <c r="BL408" s="1302"/>
      <c r="BM408" s="1302"/>
      <c r="BN408" s="1303"/>
      <c r="BO408" s="1302"/>
      <c r="BP408" s="1302"/>
      <c r="BQ408" s="1302"/>
      <c r="BR408" s="1302"/>
      <c r="BS408" s="1302"/>
      <c r="BT408" s="1302"/>
      <c r="BU408" s="1304"/>
      <c r="BV408" s="1303"/>
      <c r="BW408" s="1302"/>
      <c r="BX408" s="1302"/>
      <c r="BY408" s="1302"/>
      <c r="BZ408" s="1302"/>
      <c r="CA408" s="1302"/>
      <c r="CB408" s="1302"/>
      <c r="CC408" s="1304"/>
      <c r="CD408" s="1303"/>
      <c r="CE408" s="1302"/>
      <c r="CF408" s="1302"/>
      <c r="CG408" s="1302"/>
      <c r="CH408" s="1302"/>
      <c r="CI408" s="1302"/>
      <c r="CJ408" s="1302"/>
      <c r="CK408" s="1304"/>
      <c r="CL408" s="1303"/>
      <c r="CM408" s="1302"/>
      <c r="CN408" s="1302"/>
      <c r="CO408" s="1302"/>
      <c r="CP408" s="1302"/>
      <c r="CQ408" s="1302"/>
      <c r="CR408" s="1302"/>
      <c r="CS408" s="1304"/>
      <c r="CT408" s="1303"/>
      <c r="CU408" s="1302"/>
      <c r="CV408" s="1302"/>
      <c r="CW408" s="1302"/>
      <c r="CX408" s="1302"/>
      <c r="CY408" s="1302"/>
      <c r="CZ408" s="1302"/>
      <c r="DA408" s="1304"/>
      <c r="DB408" s="1109"/>
      <c r="DC408" s="1082"/>
      <c r="DD408" s="1082"/>
      <c r="DE408" s="1082"/>
      <c r="DF408" s="1082"/>
      <c r="DG408" s="1082"/>
      <c r="DH408" s="1082"/>
      <c r="DI408" s="1085"/>
      <c r="DJ408" s="1082"/>
      <c r="DK408" s="1082"/>
      <c r="DL408" s="1082"/>
      <c r="DM408" s="1082"/>
      <c r="DN408" s="1082"/>
      <c r="DO408" s="1082"/>
      <c r="DP408" s="1082"/>
      <c r="DQ408" s="1085"/>
      <c r="DR408" s="1082"/>
      <c r="DS408" s="1082"/>
      <c r="DT408" s="1082"/>
      <c r="DU408" s="1082"/>
      <c r="DV408" s="1082"/>
      <c r="DW408" s="1082"/>
      <c r="DX408" s="1082"/>
      <c r="DY408" s="1085"/>
      <c r="DZ408" s="1082">
        <f t="shared" ref="DZ408:FE408" si="2699">DZ406/DZ$388</f>
        <v>0.267462572563398</v>
      </c>
      <c r="EA408" s="1082">
        <f t="shared" si="2699"/>
        <v>0.29177545691906</v>
      </c>
      <c r="EB408" s="1082">
        <f t="shared" si="2699"/>
        <v>0.279218084267003</v>
      </c>
      <c r="EC408" s="1082">
        <f t="shared" si="2699"/>
        <v>0.24866452991453</v>
      </c>
      <c r="ED408" s="1082">
        <f t="shared" si="2699"/>
        <v>0.267870746949707</v>
      </c>
      <c r="EE408" s="1082">
        <f t="shared" si="2699"/>
        <v>0.331379203949398</v>
      </c>
      <c r="EF408" s="1082">
        <f t="shared" si="2699"/>
        <v>0.287043664996421</v>
      </c>
      <c r="EG408" s="1085">
        <f t="shared" si="2699"/>
        <v>0.283321198018316</v>
      </c>
      <c r="EH408" s="1082">
        <f t="shared" si="2699"/>
        <v>0.249215481171548</v>
      </c>
      <c r="EI408" s="1082">
        <f t="shared" si="2699"/>
        <v>0.266704577765141</v>
      </c>
      <c r="EJ408" s="1082">
        <f t="shared" si="2699"/>
        <v>0.257594333197112</v>
      </c>
      <c r="EK408" s="1082">
        <f t="shared" si="2699"/>
        <v>0.236520488856937</v>
      </c>
      <c r="EL408" s="1082">
        <f t="shared" si="2699"/>
        <v>0.249956574604829</v>
      </c>
      <c r="EM408" s="1082">
        <f t="shared" si="2699"/>
        <v>0.398634609676462</v>
      </c>
      <c r="EN408" s="1082">
        <f t="shared" si="2699"/>
        <v>0.308936621585786</v>
      </c>
      <c r="EO408" s="1085">
        <f t="shared" si="2699"/>
        <v>0.283612174964725</v>
      </c>
      <c r="EP408" s="1082">
        <f t="shared" si="2699"/>
        <v>0.255665155958411</v>
      </c>
      <c r="EQ408" s="1082">
        <f t="shared" si="2699"/>
        <v>0.282589417676618</v>
      </c>
      <c r="ER408" s="1082">
        <f t="shared" si="2699"/>
        <v>0.268432856742361</v>
      </c>
      <c r="ES408" s="1082">
        <f t="shared" si="2699"/>
        <v>0.244908481567414</v>
      </c>
      <c r="ET408" s="1082">
        <f t="shared" si="2699"/>
        <v>0.260147098883138</v>
      </c>
      <c r="EU408" s="1082">
        <f t="shared" si="2699"/>
        <v>0.314458177637252</v>
      </c>
      <c r="EV408" s="1082">
        <f t="shared" si="2699"/>
        <v>0.277792878499592</v>
      </c>
      <c r="EW408" s="1085">
        <f t="shared" si="2699"/>
        <v>0.273185205630693</v>
      </c>
      <c r="EX408" s="1082">
        <f t="shared" si="2699"/>
        <v>0.263142775064637</v>
      </c>
      <c r="EY408" s="1082">
        <f t="shared" si="2699"/>
        <v>0.265744555620954</v>
      </c>
      <c r="EZ408" s="1082">
        <f t="shared" si="2699"/>
        <v>0.264427969181567</v>
      </c>
      <c r="FA408" s="1082">
        <f t="shared" si="2699"/>
        <v>0.239366963402572</v>
      </c>
      <c r="FB408" s="1082">
        <f t="shared" si="2699"/>
        <v>0.255149684152705</v>
      </c>
      <c r="FC408" s="1082">
        <f t="shared" si="2699"/>
        <v>0.307479224376731</v>
      </c>
      <c r="FD408" s="1082">
        <f t="shared" si="2699"/>
        <v>0.271492030310949</v>
      </c>
      <c r="FE408" s="1085">
        <f t="shared" si="2699"/>
        <v>0.268148352026423</v>
      </c>
      <c r="FF408" s="1082">
        <f t="shared" ref="FF408:FM408" si="2700">FF406/FF$388</f>
        <v>0.250306147440607</v>
      </c>
      <c r="FG408" s="1082">
        <f t="shared" si="2700"/>
        <v>0.270028154594318</v>
      </c>
      <c r="FH408" s="1082">
        <f t="shared" si="2700"/>
        <v>0.259949937421777</v>
      </c>
      <c r="FI408" s="1082">
        <f t="shared" si="2700"/>
        <v>0.240697918856422</v>
      </c>
      <c r="FJ408" s="1082">
        <f t="shared" si="2700"/>
        <v>0.252765356554483</v>
      </c>
      <c r="FK408" s="1082">
        <f t="shared" si="2700"/>
        <v>0.304702495201536</v>
      </c>
      <c r="FL408" s="1082">
        <f t="shared" si="2700"/>
        <v>0.270588235294118</v>
      </c>
      <c r="FM408" s="1085">
        <f t="shared" si="2700"/>
        <v>0.265563109665977</v>
      </c>
      <c r="FN408" s="1082">
        <f t="shared" ref="FN408:FX408" si="2701">FN406/FN$388</f>
        <v>0.251625078632837</v>
      </c>
      <c r="FO408" s="1087">
        <f t="shared" si="2701"/>
        <v>0.249830431833597</v>
      </c>
      <c r="FP408" s="1087">
        <f t="shared" si="2701"/>
        <v>0.250761531766754</v>
      </c>
      <c r="FQ408" s="1082">
        <f t="shared" si="2701"/>
        <v>0.264584664336628</v>
      </c>
      <c r="FR408" s="1082">
        <f t="shared" si="2701"/>
        <v>0.255884155258137</v>
      </c>
      <c r="FS408" s="1082">
        <f t="shared" si="2701"/>
        <v>0.288533460650911</v>
      </c>
      <c r="FT408" s="1082">
        <f t="shared" si="2701"/>
        <v>0.275698158051099</v>
      </c>
      <c r="FU408" s="1082">
        <f t="shared" si="2701"/>
        <v>0.263763608087092</v>
      </c>
      <c r="FV408" s="1086">
        <f t="shared" si="2701"/>
        <v>0.245501285347044</v>
      </c>
      <c r="FW408" s="1087">
        <f t="shared" si="2701"/>
        <v>0.264986105597459</v>
      </c>
      <c r="FX408" s="1082">
        <f t="shared" si="2701"/>
        <v>0.254864555513163</v>
      </c>
      <c r="FY408" s="1087">
        <f t="shared" ref="FY408:GC408" si="2702">FY406/FY$388</f>
        <v>0.233709052483269</v>
      </c>
      <c r="FZ408" s="1082">
        <f t="shared" si="2702"/>
        <v>0.247432248484099</v>
      </c>
      <c r="GA408" s="1082">
        <f t="shared" si="2702"/>
        <v>0.311313291139241</v>
      </c>
      <c r="GB408" s="1082">
        <f t="shared" si="2702"/>
        <v>0.270262716601454</v>
      </c>
      <c r="GC408" s="1085">
        <f t="shared" si="2702"/>
        <v>0.262654350080121</v>
      </c>
      <c r="GD408" s="1087">
        <f t="shared" ref="GD408:GG408" si="2703">GD406/GD$388</f>
        <v>0.233777937995674</v>
      </c>
      <c r="GE408" s="1087">
        <f t="shared" si="2703"/>
        <v>0.260977000570234</v>
      </c>
      <c r="GF408" s="1082">
        <f t="shared" si="2703"/>
        <v>0.247016375242853</v>
      </c>
      <c r="GG408" s="1087">
        <f t="shared" si="2703"/>
        <v>0.227906351098246</v>
      </c>
      <c r="GH408" s="1082">
        <f t="shared" ref="GH408:GK408" si="2704">GH406/GH$388</f>
        <v>0.240288574511449</v>
      </c>
      <c r="GI408" s="1087">
        <f t="shared" si="2704"/>
        <v>0.305848652780432</v>
      </c>
      <c r="GJ408" s="1082">
        <f t="shared" si="2704"/>
        <v>0.264631730596074</v>
      </c>
      <c r="GK408" s="1085">
        <f t="shared" si="2704"/>
        <v>0.255943417750399</v>
      </c>
      <c r="GL408" s="1087">
        <f t="shared" ref="GL408" si="2705">GL406/GL$388</f>
        <v>0.224715281319055</v>
      </c>
      <c r="GM408" s="1087">
        <f t="shared" ref="GM408:GS408" si="2706">GM406/GM$388</f>
        <v>0.231984026139045</v>
      </c>
      <c r="GN408" s="1082">
        <f t="shared" si="2706"/>
        <v>0.228230337078652</v>
      </c>
      <c r="GO408" s="1087">
        <f t="shared" si="2706"/>
        <v>0.215600624024961</v>
      </c>
      <c r="GP408" s="1087">
        <f t="shared" si="2706"/>
        <v>0.223682732277272</v>
      </c>
      <c r="GQ408" s="1087">
        <f t="shared" si="2706"/>
        <v>0.265285151567049</v>
      </c>
      <c r="GR408" s="1087">
        <f t="shared" si="2706"/>
        <v>0.239284839578741</v>
      </c>
      <c r="GS408" s="1088">
        <f t="shared" si="2706"/>
        <v>0.233957954401252</v>
      </c>
      <c r="GT408" s="1087">
        <f t="shared" ref="GT408:GW408" si="2707">GT406/GT$388</f>
        <v>0.266147696191878</v>
      </c>
      <c r="GU408" s="1087">
        <f t="shared" si="2707"/>
        <v>0.340910964395203</v>
      </c>
      <c r="GV408" s="1082">
        <f t="shared" si="2707"/>
        <v>0.298260355965633</v>
      </c>
      <c r="GW408" s="1087">
        <f t="shared" si="2707"/>
        <v>0.215442746290358</v>
      </c>
      <c r="GX408" s="1082"/>
      <c r="GY408" s="1087">
        <f>GY406/GY$388</f>
        <v>0.265685265377933</v>
      </c>
      <c r="GZ408" s="1082"/>
      <c r="HA408" s="1088">
        <f>HA406/HA$388</f>
        <v>0.264261237653699</v>
      </c>
      <c r="HB408" s="1087">
        <f t="shared" ref="HB408:HE408" si="2708">HB406/HB$388</f>
        <v>0.232536066818527</v>
      </c>
      <c r="HC408" s="1087">
        <f t="shared" si="2708"/>
        <v>0.237738822139059</v>
      </c>
      <c r="HD408" s="1082">
        <f t="shared" si="2708"/>
        <v>0.235089415176414</v>
      </c>
      <c r="HE408" s="1087">
        <f t="shared" si="2708"/>
        <v>0.228442280945758</v>
      </c>
      <c r="HF408" s="1082"/>
      <c r="HG408" s="1087">
        <f>HG406/HG$388</f>
        <v>0.277204594121082</v>
      </c>
      <c r="HH408" s="1082">
        <f>HH406/HH$388</f>
        <v>0.251446413812104</v>
      </c>
      <c r="HI408" s="1088">
        <f>HI406/HI$388</f>
        <v>0.243477441838561</v>
      </c>
      <c r="HJ408" s="1087">
        <f t="shared" ref="HJ408:HL408" si="2709">HJ406/HJ$388</f>
        <v>0.231233496793663</v>
      </c>
      <c r="HK408" s="1087">
        <f t="shared" si="2709"/>
        <v>0.26853671609791</v>
      </c>
      <c r="HL408" s="1082">
        <f t="shared" si="2709"/>
        <v>0.250389944031563</v>
      </c>
      <c r="HM408" s="1087">
        <f t="shared" ref="HM408" si="2710">HM406/HM$388</f>
        <v>0.241729088639201</v>
      </c>
      <c r="HN408" s="1082"/>
      <c r="HO408" s="1082"/>
      <c r="HP408" s="1082"/>
      <c r="HQ408" s="1085"/>
      <c r="HR408" s="1087">
        <f t="shared" ref="HR408:HT408" si="2711">HR406/HR$388</f>
        <v>0.273606370875995</v>
      </c>
      <c r="HS408" s="1087">
        <f t="shared" si="2711"/>
        <v>0.292737204127048</v>
      </c>
      <c r="HT408" s="1082">
        <f t="shared" si="2711"/>
        <v>0.283583554116377</v>
      </c>
      <c r="HU408" s="1087">
        <f t="shared" ref="HU408" si="2712">HU406/HU$388</f>
        <v>0.253142149052929</v>
      </c>
      <c r="HV408" s="1082"/>
      <c r="HW408" s="1082"/>
      <c r="HX408" s="1082"/>
      <c r="HY408" s="1085"/>
      <c r="HZ408" s="1087">
        <f t="shared" ref="HZ408:IB408" si="2713">HZ406/HZ$388</f>
        <v>0.279114544084401</v>
      </c>
      <c r="IA408" s="1087">
        <f t="shared" si="2713"/>
        <v>0.279257669667439</v>
      </c>
      <c r="IB408" s="1082">
        <f t="shared" si="2713"/>
        <v>0.279188162751175</v>
      </c>
      <c r="IC408" s="1087">
        <f t="shared" ref="IC408" si="2714">IC406/IC$388</f>
        <v>0.267470374615101</v>
      </c>
      <c r="ID408" s="1082"/>
      <c r="IE408" s="1082"/>
      <c r="IF408" s="1082"/>
      <c r="IG408" s="1085"/>
      <c r="IH408" s="1087">
        <f t="shared" ref="IH408:IJ408" si="2715">IH406/IH$388</f>
        <v>0.257760442060783</v>
      </c>
      <c r="II408" s="1087">
        <f t="shared" si="2715"/>
        <v>0.26192876344086</v>
      </c>
      <c r="IJ408" s="1082">
        <f t="shared" si="2715"/>
        <v>0.259809995869475</v>
      </c>
      <c r="IK408" s="1087">
        <f t="shared" ref="IK408" si="2716">IK406/IK$388</f>
        <v>0.243346907993967</v>
      </c>
      <c r="IL408" s="1082"/>
      <c r="IM408" s="1082"/>
      <c r="IN408" s="1082"/>
      <c r="IO408" s="1085"/>
      <c r="IP408" s="1087"/>
      <c r="IQ408" s="1087"/>
      <c r="IR408" s="1082"/>
      <c r="IS408" s="1087"/>
      <c r="IT408" s="1082"/>
      <c r="IU408" s="1082"/>
      <c r="IV408" s="1082"/>
      <c r="IW408" s="1085"/>
      <c r="IX408" s="1329"/>
      <c r="IY408" s="1037"/>
      <c r="IZ408" s="1071"/>
      <c r="JA408" s="1071"/>
      <c r="JB408" s="1071"/>
      <c r="JC408" s="1049"/>
      <c r="JD408" s="1049"/>
      <c r="JE408" s="1330"/>
      <c r="JF408" s="1037"/>
      <c r="JG408" s="1037"/>
      <c r="JH408" s="1037"/>
      <c r="JI408" s="1035"/>
      <c r="JJ408" s="1035"/>
      <c r="JK408" s="1035"/>
      <c r="JL408" s="1035"/>
      <c r="JM408" s="1035"/>
      <c r="JN408" s="1035"/>
      <c r="JO408" s="1035"/>
      <c r="JP408" s="1035"/>
      <c r="JQ408" s="1035"/>
      <c r="JR408" s="1035"/>
      <c r="JS408" s="1035"/>
      <c r="JT408" s="1035"/>
      <c r="JU408" s="1035"/>
      <c r="JV408" s="1035"/>
      <c r="JW408" s="1035"/>
      <c r="JX408" s="1035"/>
      <c r="JY408" s="1035"/>
      <c r="KP408" s="1180"/>
    </row>
    <row r="409" hidden="1" outlineLevel="1" spans="1:302">
      <c r="A409" s="1306" t="s">
        <v>155</v>
      </c>
      <c r="B409" s="1307">
        <v>279</v>
      </c>
      <c r="C409" s="1307">
        <v>243</v>
      </c>
      <c r="D409" s="1307">
        <f>B409+C409</f>
        <v>522</v>
      </c>
      <c r="E409" s="1307">
        <v>295</v>
      </c>
      <c r="F409" s="1307">
        <f>D409+E409</f>
        <v>817</v>
      </c>
      <c r="G409" s="1307">
        <v>278</v>
      </c>
      <c r="H409" s="1307">
        <f>E409+G409</f>
        <v>573</v>
      </c>
      <c r="I409" s="1307">
        <f>F409+G409</f>
        <v>1095</v>
      </c>
      <c r="J409" s="1307">
        <v>166.6838</v>
      </c>
      <c r="K409" s="1307">
        <v>178.955</v>
      </c>
      <c r="L409" s="1307">
        <f>J409+K409</f>
        <v>345.6388</v>
      </c>
      <c r="M409" s="1307">
        <v>203.4974</v>
      </c>
      <c r="N409" s="1307">
        <f>L409+M409</f>
        <v>549.1362</v>
      </c>
      <c r="O409" s="1307">
        <v>194.294</v>
      </c>
      <c r="P409" s="1307">
        <f>M409+O409</f>
        <v>397.7914</v>
      </c>
      <c r="Q409" s="1307">
        <f>N409+O409</f>
        <v>743.4302</v>
      </c>
      <c r="R409" s="1307">
        <v>245.9353</v>
      </c>
      <c r="S409" s="1307">
        <v>266.8970661</v>
      </c>
      <c r="T409" s="1307">
        <f>R409+S409</f>
        <v>512.8323661</v>
      </c>
      <c r="U409" s="1307">
        <v>295.5314</v>
      </c>
      <c r="V409" s="1307">
        <f>T409+U409</f>
        <v>808.3637661</v>
      </c>
      <c r="W409" s="1307">
        <v>280.1924</v>
      </c>
      <c r="X409" s="1307">
        <f>U409+W409</f>
        <v>575.7238</v>
      </c>
      <c r="Y409" s="1307">
        <f>V409+W409</f>
        <v>1088.5561661</v>
      </c>
      <c r="Z409" s="1307">
        <v>404.9496</v>
      </c>
      <c r="AA409" s="1307">
        <v>427.4468</v>
      </c>
      <c r="AB409" s="1307">
        <f>Z409+AA409</f>
        <v>832.3964</v>
      </c>
      <c r="AC409" s="1307">
        <v>419.266</v>
      </c>
      <c r="AD409" s="1307">
        <f>AB409+AC409</f>
        <v>1251.6624</v>
      </c>
      <c r="AE409" s="1307">
        <v>402.9044</v>
      </c>
      <c r="AF409" s="1307">
        <f>AC409+AE409</f>
        <v>822.1704</v>
      </c>
      <c r="AG409" s="1307">
        <f>AD409+AE409</f>
        <v>1654.5668</v>
      </c>
      <c r="AH409" s="1307">
        <v>456.0796</v>
      </c>
      <c r="AI409" s="1307">
        <v>457.6135</v>
      </c>
      <c r="AJ409" s="1307">
        <f>AH409+AI409</f>
        <v>913.6931</v>
      </c>
      <c r="AK409" s="1307">
        <v>422</v>
      </c>
      <c r="AL409" s="1307">
        <f>AJ409+AK409</f>
        <v>1335.6931</v>
      </c>
      <c r="AM409" s="1307">
        <v>471</v>
      </c>
      <c r="AN409" s="1307">
        <f>AK409+AM409</f>
        <v>893</v>
      </c>
      <c r="AO409" s="1307">
        <f>AL409+AM409</f>
        <v>1806.6931</v>
      </c>
      <c r="AP409" s="1307">
        <v>506</v>
      </c>
      <c r="AQ409" s="1307">
        <v>489</v>
      </c>
      <c r="AR409" s="1307">
        <f>AP409+AQ409</f>
        <v>995</v>
      </c>
      <c r="AS409" s="1307">
        <v>495</v>
      </c>
      <c r="AT409" s="1307">
        <f>AR409+AS409</f>
        <v>1490</v>
      </c>
      <c r="AU409" s="1307">
        <v>523</v>
      </c>
      <c r="AV409" s="1307">
        <f>AS409+AU409</f>
        <v>1018</v>
      </c>
      <c r="AW409" s="1307">
        <f>AT409+AU409</f>
        <v>2013</v>
      </c>
      <c r="AX409" s="1308">
        <v>506</v>
      </c>
      <c r="AY409" s="1307">
        <v>522.5</v>
      </c>
      <c r="AZ409" s="1307">
        <f>AX409+AY409</f>
        <v>1028.5</v>
      </c>
      <c r="BA409" s="1307">
        <v>510</v>
      </c>
      <c r="BB409" s="1307">
        <f>AY409+BA409</f>
        <v>1032.5</v>
      </c>
      <c r="BC409" s="1307">
        <v>497</v>
      </c>
      <c r="BD409" s="1307">
        <f>BA409+BC409</f>
        <v>1007</v>
      </c>
      <c r="BE409" s="1309">
        <f>BB409+BC409</f>
        <v>1529.5</v>
      </c>
      <c r="BF409" s="1307">
        <v>563</v>
      </c>
      <c r="BG409" s="1307">
        <v>583.0155</v>
      </c>
      <c r="BH409" s="1307">
        <f>BF409+BG409</f>
        <v>1146.0155</v>
      </c>
      <c r="BI409" s="1307">
        <v>552</v>
      </c>
      <c r="BJ409" s="1307">
        <f>BH409+BI409</f>
        <v>1698.0155</v>
      </c>
      <c r="BK409" s="1307">
        <v>548</v>
      </c>
      <c r="BL409" s="1307">
        <f>BI409+BK409</f>
        <v>1100</v>
      </c>
      <c r="BM409" s="1307">
        <f>BJ409+BK409</f>
        <v>2246.0155</v>
      </c>
      <c r="BN409" s="1308">
        <v>567</v>
      </c>
      <c r="BO409" s="1307">
        <v>539</v>
      </c>
      <c r="BP409" s="1307">
        <f>BN409+BO409</f>
        <v>1106</v>
      </c>
      <c r="BQ409" s="1307">
        <v>540</v>
      </c>
      <c r="BR409" s="1307">
        <f>BP409+BQ409</f>
        <v>1646</v>
      </c>
      <c r="BS409" s="1307">
        <v>583</v>
      </c>
      <c r="BT409" s="1307">
        <f>BQ409+BS409</f>
        <v>1123</v>
      </c>
      <c r="BU409" s="1309">
        <f>BR409+BS409</f>
        <v>2229</v>
      </c>
      <c r="BV409" s="1308">
        <v>526</v>
      </c>
      <c r="BW409" s="1307">
        <v>544</v>
      </c>
      <c r="BX409" s="1307">
        <f>BV409+BW409</f>
        <v>1070</v>
      </c>
      <c r="BY409" s="1307">
        <v>549</v>
      </c>
      <c r="BZ409" s="1307">
        <f>BX409+BY409</f>
        <v>1619</v>
      </c>
      <c r="CA409" s="1307">
        <v>522</v>
      </c>
      <c r="CB409" s="1307">
        <f>BY409+CA409</f>
        <v>1071</v>
      </c>
      <c r="CC409" s="1309">
        <f>BZ409+CA409</f>
        <v>2141</v>
      </c>
      <c r="CD409" s="1308">
        <v>586</v>
      </c>
      <c r="CE409" s="1307">
        <v>576</v>
      </c>
      <c r="CF409" s="1307">
        <f>CD409+CE409</f>
        <v>1162</v>
      </c>
      <c r="CG409" s="1307">
        <v>606</v>
      </c>
      <c r="CH409" s="1307">
        <f>CF409+CG409</f>
        <v>1768</v>
      </c>
      <c r="CI409" s="1307">
        <v>656</v>
      </c>
      <c r="CJ409" s="1307">
        <f>CG409+CI409</f>
        <v>1262</v>
      </c>
      <c r="CK409" s="1309">
        <f>CH409+CI409</f>
        <v>2424</v>
      </c>
      <c r="CL409" s="1308">
        <v>836</v>
      </c>
      <c r="CM409" s="1307">
        <v>891</v>
      </c>
      <c r="CN409" s="1307">
        <f>CL409+CM409</f>
        <v>1727</v>
      </c>
      <c r="CO409" s="1307">
        <f>CP409-CN409</f>
        <v>896</v>
      </c>
      <c r="CP409" s="1307">
        <v>2623</v>
      </c>
      <c r="CQ409" s="1307">
        <f>CS409-CP409</f>
        <v>888</v>
      </c>
      <c r="CR409" s="1307">
        <f>CS409-CQ409-CO409</f>
        <v>1727</v>
      </c>
      <c r="CS409" s="1309">
        <f>3704-CS412</f>
        <v>3511</v>
      </c>
      <c r="CT409" s="1308">
        <f>982-CT412</f>
        <v>932</v>
      </c>
      <c r="CU409" s="1307">
        <f>+CU415-CU412</f>
        <v>922</v>
      </c>
      <c r="CV409" s="1307">
        <f>+CT409+CU409</f>
        <v>1854</v>
      </c>
      <c r="CW409" s="1307">
        <f>CX409-CV409</f>
        <v>931</v>
      </c>
      <c r="CX409" s="1307">
        <f>2937-CX412</f>
        <v>2785</v>
      </c>
      <c r="CY409" s="1307">
        <f>DA409-CX409</f>
        <v>1035</v>
      </c>
      <c r="CZ409" s="1307">
        <f>CY409+CW409</f>
        <v>1966</v>
      </c>
      <c r="DA409" s="1309">
        <f>'Profit and Loss'!N360</f>
        <v>3820</v>
      </c>
      <c r="DB409" s="1332"/>
      <c r="DC409" s="1311"/>
      <c r="DD409" s="1311"/>
      <c r="DE409" s="1311"/>
      <c r="DF409" s="1311"/>
      <c r="DG409" s="1311"/>
      <c r="DH409" s="1311"/>
      <c r="DI409" s="1312"/>
      <c r="DJ409" s="1311"/>
      <c r="DK409" s="1311"/>
      <c r="DL409" s="1311"/>
      <c r="DM409" s="1311"/>
      <c r="DN409" s="1311"/>
      <c r="DO409" s="1311"/>
      <c r="DP409" s="1311"/>
      <c r="DQ409" s="1312"/>
      <c r="DR409" s="1311"/>
      <c r="DS409" s="1311"/>
      <c r="DT409" s="1311"/>
      <c r="DU409" s="1311"/>
      <c r="DV409" s="1311"/>
      <c r="DW409" s="1311"/>
      <c r="DX409" s="1311"/>
      <c r="DY409" s="1312"/>
      <c r="DZ409" s="1311"/>
      <c r="EA409" s="1311"/>
      <c r="EB409" s="1311"/>
      <c r="EC409" s="1311"/>
      <c r="ED409" s="1311"/>
      <c r="EE409" s="1311"/>
      <c r="EF409" s="1311"/>
      <c r="EG409" s="1085"/>
      <c r="EH409" s="1082"/>
      <c r="EI409" s="1082"/>
      <c r="EJ409" s="1082"/>
      <c r="EK409" s="1082"/>
      <c r="EL409" s="1311"/>
      <c r="EM409" s="1311"/>
      <c r="EN409" s="1311"/>
      <c r="EO409" s="1312"/>
      <c r="EP409" s="1311"/>
      <c r="EQ409" s="1311"/>
      <c r="ER409" s="1311"/>
      <c r="ES409" s="1311"/>
      <c r="ET409" s="1311"/>
      <c r="EU409" s="1311">
        <f>EU412-EU402</f>
        <v>1041</v>
      </c>
      <c r="EV409" s="1311"/>
      <c r="EW409" s="1312"/>
      <c r="EX409" s="1311"/>
      <c r="EY409" s="1311"/>
      <c r="EZ409" s="1311"/>
      <c r="FA409" s="1311"/>
      <c r="FB409" s="1311"/>
      <c r="FC409" s="1311"/>
      <c r="FD409" s="1311"/>
      <c r="FE409" s="1312"/>
      <c r="FF409" s="1311"/>
      <c r="FG409" s="1311"/>
      <c r="FH409" s="1311"/>
      <c r="FI409" s="1311"/>
      <c r="FJ409" s="1311"/>
      <c r="FK409" s="1311"/>
      <c r="FL409" s="1311"/>
      <c r="FM409" s="1312"/>
      <c r="FN409" s="1311"/>
      <c r="FO409" s="1314"/>
      <c r="FP409" s="1314"/>
      <c r="FQ409" s="1311"/>
      <c r="FR409" s="1311"/>
      <c r="FS409" s="1311"/>
      <c r="FT409" s="1311"/>
      <c r="FU409" s="1311"/>
      <c r="FV409" s="1313"/>
      <c r="FW409" s="1314"/>
      <c r="FX409" s="1314"/>
      <c r="FY409" s="1311"/>
      <c r="FZ409" s="1311"/>
      <c r="GA409" s="1311"/>
      <c r="GB409" s="1311"/>
      <c r="GC409" s="1312"/>
      <c r="GD409" s="1314"/>
      <c r="GE409" s="1314"/>
      <c r="GF409" s="1314"/>
      <c r="GG409" s="1311"/>
      <c r="GH409" s="1311"/>
      <c r="GI409" s="1311"/>
      <c r="GJ409" s="1311"/>
      <c r="GK409" s="1312"/>
      <c r="GL409" s="1314"/>
      <c r="GM409" s="1314"/>
      <c r="GN409" s="1314"/>
      <c r="GO409" s="1311"/>
      <c r="GP409" s="1311"/>
      <c r="GQ409" s="1311"/>
      <c r="GR409" s="1311"/>
      <c r="GS409" s="1312"/>
      <c r="GT409" s="1314"/>
      <c r="GU409" s="1314"/>
      <c r="GV409" s="1314"/>
      <c r="GW409" s="1311"/>
      <c r="GX409" s="1311"/>
      <c r="GY409" s="1311"/>
      <c r="GZ409" s="1311"/>
      <c r="HA409" s="1312"/>
      <c r="HC409" s="1311"/>
      <c r="HD409" s="1311"/>
      <c r="HE409" s="1311"/>
      <c r="HF409" s="1311"/>
      <c r="HG409" s="1311"/>
      <c r="HH409" s="1311"/>
      <c r="HI409" s="1312"/>
      <c r="HK409" s="1311"/>
      <c r="HL409" s="1311"/>
      <c r="HM409" s="1311"/>
      <c r="HN409" s="1311"/>
      <c r="HO409" s="1311"/>
      <c r="HP409" s="1311"/>
      <c r="HQ409" s="1312"/>
      <c r="HS409" s="1311"/>
      <c r="HT409" s="1311"/>
      <c r="HU409" s="1311"/>
      <c r="HV409" s="1311"/>
      <c r="HW409" s="1311"/>
      <c r="HX409" s="1311"/>
      <c r="HY409" s="1312"/>
      <c r="IA409" s="1311"/>
      <c r="IB409" s="1311"/>
      <c r="IC409" s="1311"/>
      <c r="ID409" s="1311"/>
      <c r="IE409" s="1311"/>
      <c r="IF409" s="1311"/>
      <c r="IG409" s="1312"/>
      <c r="II409" s="1311"/>
      <c r="IJ409" s="1311"/>
      <c r="IK409" s="1311"/>
      <c r="IL409" s="1311"/>
      <c r="IM409" s="1311"/>
      <c r="IN409" s="1311"/>
      <c r="IO409" s="1312"/>
      <c r="IQ409" s="1311"/>
      <c r="IR409" s="1311"/>
      <c r="IS409" s="1311"/>
      <c r="IT409" s="1311"/>
      <c r="IU409" s="1311"/>
      <c r="IV409" s="1311"/>
      <c r="IW409" s="1312"/>
      <c r="IX409" s="1314"/>
      <c r="IY409" s="1037"/>
      <c r="IZ409" s="1071"/>
      <c r="JA409" s="1071"/>
      <c r="JB409" s="1071"/>
      <c r="JC409" s="1049"/>
      <c r="JD409" s="1049"/>
      <c r="JE409" s="1181"/>
      <c r="JF409" s="1037"/>
      <c r="JG409" s="1037"/>
      <c r="JH409" s="1037"/>
      <c r="JI409" s="1035"/>
      <c r="JJ409" s="1035"/>
      <c r="JK409" s="1035"/>
      <c r="JL409" s="1035"/>
      <c r="JM409" s="1035"/>
      <c r="JN409" s="1035"/>
      <c r="JO409" s="1035"/>
      <c r="JP409" s="1035"/>
      <c r="JQ409" s="1035"/>
      <c r="JR409" s="1035"/>
      <c r="JS409" s="1035"/>
      <c r="JT409" s="1035"/>
      <c r="JU409" s="1035"/>
      <c r="JV409" s="1035"/>
      <c r="JW409" s="1035"/>
      <c r="JX409" s="1035"/>
      <c r="JY409" s="1035"/>
      <c r="KP409" s="967"/>
    </row>
    <row r="410" s="883" customFormat="1" hidden="1" outlineLevel="1" spans="1:302">
      <c r="A410" s="883" t="s">
        <v>142</v>
      </c>
      <c r="B410" s="1302" t="s">
        <v>173</v>
      </c>
      <c r="C410" s="1302" t="s">
        <v>173</v>
      </c>
      <c r="D410" s="1302" t="s">
        <v>173</v>
      </c>
      <c r="E410" s="1302" t="s">
        <v>173</v>
      </c>
      <c r="F410" s="1302" t="s">
        <v>173</v>
      </c>
      <c r="G410" s="1302" t="s">
        <v>173</v>
      </c>
      <c r="H410" s="1302" t="s">
        <v>173</v>
      </c>
      <c r="I410" s="1302" t="s">
        <v>173</v>
      </c>
      <c r="J410" s="1302">
        <f t="shared" ref="J410:AO410" si="2717">J409/B409-1</f>
        <v>-0.402567025089606</v>
      </c>
      <c r="K410" s="1302">
        <f t="shared" si="2717"/>
        <v>-0.263559670781893</v>
      </c>
      <c r="L410" s="1302">
        <f t="shared" si="2717"/>
        <v>-0.337856704980843</v>
      </c>
      <c r="M410" s="1302">
        <f t="shared" si="2717"/>
        <v>-0.310178305084746</v>
      </c>
      <c r="N410" s="1302">
        <f t="shared" si="2717"/>
        <v>-0.327862668298654</v>
      </c>
      <c r="O410" s="1302">
        <f t="shared" si="2717"/>
        <v>-0.30110071942446</v>
      </c>
      <c r="P410" s="1302">
        <f t="shared" si="2717"/>
        <v>-0.305774171029669</v>
      </c>
      <c r="Q410" s="1302">
        <f t="shared" si="2717"/>
        <v>-0.321068310502283</v>
      </c>
      <c r="R410" s="1302">
        <f t="shared" si="2717"/>
        <v>0.475460122699386</v>
      </c>
      <c r="S410" s="1302">
        <f t="shared" si="2717"/>
        <v>0.49142</v>
      </c>
      <c r="T410" s="1302">
        <f t="shared" si="2717"/>
        <v>0.483723372781065</v>
      </c>
      <c r="U410" s="1302">
        <f t="shared" si="2717"/>
        <v>0.452261306532663</v>
      </c>
      <c r="V410" s="1302">
        <f t="shared" si="2717"/>
        <v>0.472064245810056</v>
      </c>
      <c r="W410" s="1302">
        <f t="shared" si="2717"/>
        <v>0.442105263157895</v>
      </c>
      <c r="X410" s="1302">
        <f t="shared" si="2717"/>
        <v>0.447300771208226</v>
      </c>
      <c r="Y410" s="1302">
        <f t="shared" si="2717"/>
        <v>0.464234525447043</v>
      </c>
      <c r="Z410" s="1302">
        <f t="shared" si="2717"/>
        <v>0.646569646569647</v>
      </c>
      <c r="AA410" s="1302">
        <f t="shared" si="2717"/>
        <v>0.601541771312862</v>
      </c>
      <c r="AB410" s="1302">
        <f t="shared" si="2717"/>
        <v>0.623135463017337</v>
      </c>
      <c r="AC410" s="1302">
        <f t="shared" si="2717"/>
        <v>0.418685121107266</v>
      </c>
      <c r="AD410" s="1302">
        <f t="shared" si="2717"/>
        <v>0.548390034895702</v>
      </c>
      <c r="AE410" s="1302">
        <f t="shared" si="2717"/>
        <v>0.437956204379562</v>
      </c>
      <c r="AF410" s="1302">
        <f t="shared" si="2717"/>
        <v>0.428063943161634</v>
      </c>
      <c r="AG410" s="1302">
        <f t="shared" si="2717"/>
        <v>0.519964565473789</v>
      </c>
      <c r="AH410" s="1302">
        <f t="shared" si="2717"/>
        <v>0.126262626262626</v>
      </c>
      <c r="AI410" s="1302">
        <f t="shared" si="2717"/>
        <v>0.0705741626794258</v>
      </c>
      <c r="AJ410" s="1302">
        <f t="shared" si="2717"/>
        <v>0.0976658476658476</v>
      </c>
      <c r="AK410" s="1302">
        <f t="shared" si="2717"/>
        <v>0.00652091989333758</v>
      </c>
      <c r="AL410" s="1302">
        <f t="shared" si="2717"/>
        <v>0.0671352754544676</v>
      </c>
      <c r="AM410" s="1302">
        <f t="shared" si="2717"/>
        <v>0.169011805281849</v>
      </c>
      <c r="AN410" s="1302">
        <f t="shared" ref="AN410:BU410" si="2718">AN409/AF409-1</f>
        <v>0.0861495378573591</v>
      </c>
      <c r="AO410" s="1302">
        <f t="shared" si="2717"/>
        <v>0.0919432808636074</v>
      </c>
      <c r="AP410" s="1302">
        <f t="shared" si="2718"/>
        <v>0.109455454705714</v>
      </c>
      <c r="AQ410" s="1302">
        <f t="shared" si="2718"/>
        <v>0.0685873559237218</v>
      </c>
      <c r="AR410" s="1302">
        <f t="shared" si="2718"/>
        <v>0.0889871008109835</v>
      </c>
      <c r="AS410" s="1302">
        <f t="shared" si="2718"/>
        <v>0.172985781990521</v>
      </c>
      <c r="AT410" s="1302">
        <f t="shared" si="2718"/>
        <v>0.115525714701978</v>
      </c>
      <c r="AU410" s="1302">
        <f t="shared" si="2718"/>
        <v>0.110403397027601</v>
      </c>
      <c r="AV410" s="1302">
        <f t="shared" si="2718"/>
        <v>0.139977603583427</v>
      </c>
      <c r="AW410" s="1302">
        <f t="shared" si="2718"/>
        <v>0.114190340351662</v>
      </c>
      <c r="AX410" s="1303">
        <f t="shared" si="2718"/>
        <v>0</v>
      </c>
      <c r="AY410" s="1302">
        <f t="shared" si="2718"/>
        <v>0.0685071574642127</v>
      </c>
      <c r="AZ410" s="1302">
        <f t="shared" si="2718"/>
        <v>0.0336683417085426</v>
      </c>
      <c r="BA410" s="1302">
        <f t="shared" si="2718"/>
        <v>0.0303030303030303</v>
      </c>
      <c r="BB410" s="1302">
        <f t="shared" si="2718"/>
        <v>-0.307046979865772</v>
      </c>
      <c r="BC410" s="1302">
        <f t="shared" si="2718"/>
        <v>-0.0497131931166348</v>
      </c>
      <c r="BD410" s="1302">
        <f t="shared" si="2718"/>
        <v>-0.0108055009823183</v>
      </c>
      <c r="BE410" s="1304">
        <f t="shared" si="2718"/>
        <v>-0.240188772975658</v>
      </c>
      <c r="BF410" s="1302">
        <f t="shared" si="2718"/>
        <v>0.112648221343874</v>
      </c>
      <c r="BG410" s="1302">
        <f t="shared" si="2718"/>
        <v>0.115819138755981</v>
      </c>
      <c r="BH410" s="1302">
        <f t="shared" si="2718"/>
        <v>0.114259115216334</v>
      </c>
      <c r="BI410" s="1302">
        <f t="shared" si="2718"/>
        <v>0.0823529411764705</v>
      </c>
      <c r="BJ410" s="1302">
        <f t="shared" si="2718"/>
        <v>0.644567070217918</v>
      </c>
      <c r="BK410" s="1302">
        <f t="shared" si="2718"/>
        <v>0.10261569416499</v>
      </c>
      <c r="BL410" s="1302">
        <f t="shared" si="2718"/>
        <v>0.0923535253227408</v>
      </c>
      <c r="BM410" s="1302">
        <f t="shared" si="2718"/>
        <v>0.468463877084014</v>
      </c>
      <c r="BN410" s="1303">
        <f t="shared" si="2718"/>
        <v>0.00710479573712264</v>
      </c>
      <c r="BO410" s="1302">
        <f t="shared" si="2718"/>
        <v>-0.0754962775432214</v>
      </c>
      <c r="BP410" s="1302">
        <f t="shared" si="2718"/>
        <v>-0.0349170670030204</v>
      </c>
      <c r="BQ410" s="1302">
        <f t="shared" si="2718"/>
        <v>-0.0217391304347826</v>
      </c>
      <c r="BR410" s="1302">
        <f t="shared" si="2718"/>
        <v>-0.0306331125952619</v>
      </c>
      <c r="BS410" s="1302">
        <f t="shared" si="2718"/>
        <v>0.0638686131386861</v>
      </c>
      <c r="BT410" s="1302">
        <f t="shared" ref="BT410:CN410" si="2719">BT409/BL409-1</f>
        <v>0.020909090909091</v>
      </c>
      <c r="BU410" s="1304">
        <f t="shared" si="2718"/>
        <v>-0.00757586045154179</v>
      </c>
      <c r="BV410" s="1303">
        <f t="shared" si="2719"/>
        <v>-0.072310405643739</v>
      </c>
      <c r="BW410" s="1302">
        <f t="shared" si="2719"/>
        <v>0.00927643784786647</v>
      </c>
      <c r="BX410" s="1302">
        <f t="shared" si="2719"/>
        <v>-0.0325497287522604</v>
      </c>
      <c r="BY410" s="1302">
        <f t="shared" si="2719"/>
        <v>0.0166666666666666</v>
      </c>
      <c r="BZ410" s="1302">
        <f t="shared" si="2719"/>
        <v>-0.0164034021871203</v>
      </c>
      <c r="CA410" s="1302">
        <f t="shared" si="2719"/>
        <v>-0.104631217838765</v>
      </c>
      <c r="CB410" s="1302">
        <f t="shared" si="2719"/>
        <v>-0.0463045414069457</v>
      </c>
      <c r="CC410" s="1304">
        <f t="shared" si="2719"/>
        <v>-0.0394795872588605</v>
      </c>
      <c r="CD410" s="1303">
        <f t="shared" si="2719"/>
        <v>0.114068441064639</v>
      </c>
      <c r="CE410" s="1302">
        <f t="shared" si="2719"/>
        <v>0.0588235294117647</v>
      </c>
      <c r="CF410" s="1302">
        <f t="shared" si="2719"/>
        <v>0.0859813084112149</v>
      </c>
      <c r="CG410" s="1302">
        <f t="shared" si="2719"/>
        <v>0.103825136612022</v>
      </c>
      <c r="CH410" s="1302">
        <f t="shared" si="2719"/>
        <v>0.0920321185917232</v>
      </c>
      <c r="CI410" s="1302">
        <f t="shared" si="2719"/>
        <v>0.256704980842912</v>
      </c>
      <c r="CJ410" s="1302">
        <f t="shared" si="2719"/>
        <v>0.178338001867414</v>
      </c>
      <c r="CK410" s="1304">
        <f t="shared" si="2719"/>
        <v>0.13218122372723</v>
      </c>
      <c r="CL410" s="1303">
        <v>0.426621160409556</v>
      </c>
      <c r="CM410" s="1302">
        <f t="shared" si="2719"/>
        <v>0.546875</v>
      </c>
      <c r="CN410" s="1302">
        <f t="shared" si="2719"/>
        <v>0.486230636833046</v>
      </c>
      <c r="CO410" s="1302">
        <f t="shared" ref="CO410:CT410" si="2720">CO409/CG409-1</f>
        <v>0.478547854785478</v>
      </c>
      <c r="CP410" s="1302">
        <f t="shared" si="2720"/>
        <v>0.483597285067873</v>
      </c>
      <c r="CQ410" s="1302">
        <f t="shared" si="2720"/>
        <v>0.353658536585366</v>
      </c>
      <c r="CR410" s="1302">
        <f t="shared" si="2720"/>
        <v>0.368462757527734</v>
      </c>
      <c r="CS410" s="1304">
        <f t="shared" si="2720"/>
        <v>0.448432343234323</v>
      </c>
      <c r="CT410" s="1303">
        <f t="shared" si="2720"/>
        <v>0.114832535885167</v>
      </c>
      <c r="CU410" s="1302">
        <f t="shared" ref="CU410:DA410" si="2721">CU409/CM409-1</f>
        <v>0.0347923681257014</v>
      </c>
      <c r="CV410" s="1302">
        <f t="shared" si="2721"/>
        <v>0.0735379270411118</v>
      </c>
      <c r="CW410" s="1302">
        <f t="shared" si="2721"/>
        <v>0.0390625</v>
      </c>
      <c r="CX410" s="1302">
        <f t="shared" si="2721"/>
        <v>0.061761341974838</v>
      </c>
      <c r="CY410" s="1302">
        <f t="shared" si="2721"/>
        <v>0.165540540540541</v>
      </c>
      <c r="CZ410" s="1302">
        <f t="shared" si="2721"/>
        <v>0.138390272148234</v>
      </c>
      <c r="DA410" s="1304">
        <f t="shared" si="2721"/>
        <v>0.088009114212475</v>
      </c>
      <c r="DB410" s="1109"/>
      <c r="DC410" s="1082"/>
      <c r="DD410" s="1082"/>
      <c r="DE410" s="1082"/>
      <c r="DF410" s="1082"/>
      <c r="DG410" s="1082"/>
      <c r="DH410" s="1082"/>
      <c r="DI410" s="1085"/>
      <c r="DJ410" s="1082"/>
      <c r="DK410" s="1082"/>
      <c r="DL410" s="1082"/>
      <c r="DM410" s="1082"/>
      <c r="DN410" s="1082"/>
      <c r="DO410" s="1082"/>
      <c r="DP410" s="1082"/>
      <c r="DQ410" s="1085"/>
      <c r="DR410" s="1082"/>
      <c r="DS410" s="1082"/>
      <c r="DT410" s="1082"/>
      <c r="DU410" s="1082"/>
      <c r="DV410" s="1082"/>
      <c r="DW410" s="1082"/>
      <c r="DX410" s="1082"/>
      <c r="DY410" s="1085"/>
      <c r="DZ410" s="1082"/>
      <c r="EA410" s="1082"/>
      <c r="EB410" s="1082"/>
      <c r="EC410" s="1082"/>
      <c r="ED410" s="1082"/>
      <c r="EE410" s="1082"/>
      <c r="EF410" s="1082"/>
      <c r="EG410" s="1085"/>
      <c r="EH410" s="1082"/>
      <c r="EI410" s="1082"/>
      <c r="EJ410" s="1082"/>
      <c r="EK410" s="1082"/>
      <c r="EL410" s="1082"/>
      <c r="EM410" s="1082"/>
      <c r="EN410" s="1082"/>
      <c r="EO410" s="1085"/>
      <c r="EP410" s="1082"/>
      <c r="EQ410" s="1082"/>
      <c r="ER410" s="1082"/>
      <c r="ES410" s="1082"/>
      <c r="ET410" s="1082"/>
      <c r="EU410" s="1082"/>
      <c r="EV410" s="1082"/>
      <c r="EW410" s="1085"/>
      <c r="EX410" s="1082"/>
      <c r="EY410" s="1082"/>
      <c r="EZ410" s="1082"/>
      <c r="FA410" s="1082">
        <f>FA397-EY397</f>
        <v>-0.0180655520295001</v>
      </c>
      <c r="FB410" s="1082"/>
      <c r="FC410" s="1082">
        <f>(FC406-10)/EU409-1</f>
        <v>0.0566762728146013</v>
      </c>
      <c r="FD410" s="1082"/>
      <c r="FE410" s="1085"/>
      <c r="FF410" s="1082"/>
      <c r="FG410" s="1082"/>
      <c r="FH410" s="1082"/>
      <c r="FI410" s="1082"/>
      <c r="FJ410" s="1082"/>
      <c r="FK410" s="1082"/>
      <c r="FL410" s="1082"/>
      <c r="FM410" s="1085"/>
      <c r="FN410" s="1082"/>
      <c r="FO410" s="1087"/>
      <c r="FP410" s="1087"/>
      <c r="FQ410" s="1082"/>
      <c r="FR410" s="1082"/>
      <c r="FS410" s="1082"/>
      <c r="FT410" s="1082"/>
      <c r="FU410" s="1082"/>
      <c r="FV410" s="1086"/>
      <c r="FW410" s="1087"/>
      <c r="FX410" s="1087"/>
      <c r="FY410" s="1082"/>
      <c r="FZ410" s="1082"/>
      <c r="GA410" s="1082"/>
      <c r="GB410" s="1082"/>
      <c r="GC410" s="1085"/>
      <c r="GD410" s="1087"/>
      <c r="GE410" s="1087"/>
      <c r="GF410" s="1087"/>
      <c r="GG410" s="1082"/>
      <c r="GH410" s="1082"/>
      <c r="GI410" s="1082"/>
      <c r="GJ410" s="1082"/>
      <c r="GK410" s="1085"/>
      <c r="GL410" s="1087"/>
      <c r="GM410" s="1087"/>
      <c r="GN410" s="1087"/>
      <c r="GO410" s="1082"/>
      <c r="GP410" s="1082"/>
      <c r="GQ410" s="1082"/>
      <c r="GR410" s="1082"/>
      <c r="GS410" s="1085"/>
      <c r="GT410" s="1087"/>
      <c r="GU410" s="1087"/>
      <c r="GV410" s="1087"/>
      <c r="GW410" s="1082"/>
      <c r="GX410" s="1082"/>
      <c r="GY410" s="1082"/>
      <c r="GZ410" s="1082"/>
      <c r="HA410" s="1085"/>
      <c r="HB410" s="891"/>
      <c r="HC410" s="1082"/>
      <c r="HD410" s="1082"/>
      <c r="HE410" s="1082"/>
      <c r="HF410" s="1082"/>
      <c r="HG410" s="1082"/>
      <c r="HH410" s="1082"/>
      <c r="HI410" s="1085"/>
      <c r="HJ410" s="891"/>
      <c r="HK410" s="1082"/>
      <c r="HL410" s="1082"/>
      <c r="HM410" s="1082"/>
      <c r="HN410" s="1082"/>
      <c r="HO410" s="1082"/>
      <c r="HP410" s="1082"/>
      <c r="HQ410" s="1085"/>
      <c r="HR410" s="891"/>
      <c r="HS410" s="1082"/>
      <c r="HT410" s="1082"/>
      <c r="HU410" s="1082"/>
      <c r="HV410" s="1082"/>
      <c r="HW410" s="1082"/>
      <c r="HX410" s="1082"/>
      <c r="HY410" s="1085"/>
      <c r="HZ410" s="891"/>
      <c r="IA410" s="1082"/>
      <c r="IB410" s="1082"/>
      <c r="IC410" s="1082"/>
      <c r="ID410" s="1082"/>
      <c r="IE410" s="1082"/>
      <c r="IF410" s="1082"/>
      <c r="IG410" s="1085"/>
      <c r="IH410" s="891"/>
      <c r="II410" s="1082"/>
      <c r="IJ410" s="1082"/>
      <c r="IK410" s="1082"/>
      <c r="IL410" s="1082"/>
      <c r="IM410" s="1082"/>
      <c r="IN410" s="1082"/>
      <c r="IO410" s="1085"/>
      <c r="IP410" s="891"/>
      <c r="IQ410" s="1082"/>
      <c r="IR410" s="1082"/>
      <c r="IS410" s="1082"/>
      <c r="IT410" s="1082"/>
      <c r="IU410" s="1082"/>
      <c r="IV410" s="1082"/>
      <c r="IW410" s="1085"/>
      <c r="IX410" s="1087"/>
      <c r="IZ410" s="1071"/>
      <c r="JA410" s="1071"/>
      <c r="JB410" s="1071"/>
      <c r="JC410" s="1049"/>
      <c r="JD410" s="1049"/>
      <c r="JE410" s="1181"/>
      <c r="JF410" s="1082"/>
      <c r="JG410" s="1082"/>
      <c r="JH410" s="1082"/>
      <c r="KP410" s="967"/>
    </row>
    <row r="411" hidden="1" outlineLevel="1" spans="1:302">
      <c r="A411" s="1035" t="s">
        <v>145</v>
      </c>
      <c r="B411" s="1302">
        <v>0.279240705488131</v>
      </c>
      <c r="C411" s="1302">
        <v>0.324036724162072</v>
      </c>
      <c r="D411" s="1302">
        <f t="shared" ref="D411:BN411" si="2722">D409/D$388</f>
        <v>0.298447216865355</v>
      </c>
      <c r="E411" s="1302">
        <v>0.269583406821465</v>
      </c>
      <c r="F411" s="1302">
        <f t="shared" si="2722"/>
        <v>0.287338736849065</v>
      </c>
      <c r="G411" s="1302">
        <v>0.421344908698499</v>
      </c>
      <c r="H411" s="1302">
        <f>H409/H$388</f>
        <v>0.639288530996401</v>
      </c>
      <c r="I411" s="1302">
        <f t="shared" si="2722"/>
        <v>0.312577966079439</v>
      </c>
      <c r="J411" s="1302">
        <f t="shared" si="2722"/>
        <v>0.272302038088874</v>
      </c>
      <c r="K411" s="1302">
        <f t="shared" si="2722"/>
        <v>0.33486414083429</v>
      </c>
      <c r="L411" s="1302">
        <f t="shared" si="2722"/>
        <v>0.301462718515876</v>
      </c>
      <c r="M411" s="1302">
        <f t="shared" si="2722"/>
        <v>0.270380434782609</v>
      </c>
      <c r="N411" s="1302">
        <f t="shared" si="2722"/>
        <v>0.289144949386173</v>
      </c>
      <c r="O411" s="1302">
        <f t="shared" si="2722"/>
        <v>0.382101558572147</v>
      </c>
      <c r="P411" s="1302">
        <f t="shared" si="2722"/>
        <v>0.315362788812323</v>
      </c>
      <c r="Q411" s="1302">
        <f t="shared" si="2722"/>
        <v>0.308776996750834</v>
      </c>
      <c r="R411" s="1302">
        <f t="shared" si="2722"/>
        <v>0.280793928779918</v>
      </c>
      <c r="S411" s="1302">
        <f t="shared" si="2722"/>
        <v>0.365800280308339</v>
      </c>
      <c r="T411" s="1302">
        <f t="shared" si="2722"/>
        <v>0.319425796178344</v>
      </c>
      <c r="U411" s="1302">
        <f t="shared" si="2722"/>
        <v>0.269589552238806</v>
      </c>
      <c r="V411" s="1302">
        <f t="shared" si="2722"/>
        <v>0.29920457986374</v>
      </c>
      <c r="W411" s="1302">
        <f t="shared" si="2722"/>
        <v>0.387553041018388</v>
      </c>
      <c r="X411" s="1302">
        <f t="shared" si="2722"/>
        <v>0.316469926925239</v>
      </c>
      <c r="Y411" s="1302">
        <f t="shared" si="2722"/>
        <v>0.317855628545835</v>
      </c>
      <c r="Z411" s="1302">
        <f t="shared" si="2722"/>
        <v>0.292466765140325</v>
      </c>
      <c r="AA411" s="1302">
        <f t="shared" si="2722"/>
        <v>0.373214285714286</v>
      </c>
      <c r="AB411" s="1302">
        <f t="shared" si="2722"/>
        <v>0.329021827000808</v>
      </c>
      <c r="AC411" s="1302">
        <f t="shared" si="2722"/>
        <v>0.277214334009466</v>
      </c>
      <c r="AD411" s="1302">
        <f t="shared" si="2722"/>
        <v>0.309638249430812</v>
      </c>
      <c r="AE411" s="1302">
        <f t="shared" si="2722"/>
        <v>0.393803098450774</v>
      </c>
      <c r="AF411" s="1302">
        <f t="shared" si="2722"/>
        <v>0.324256032978602</v>
      </c>
      <c r="AG411" s="1302">
        <f t="shared" si="2722"/>
        <v>0.326637730897345</v>
      </c>
      <c r="AH411" s="1302">
        <f t="shared" si="2722"/>
        <v>0.328182487122884</v>
      </c>
      <c r="AI411" s="1302">
        <f t="shared" si="2722"/>
        <v>0.383133561643836</v>
      </c>
      <c r="AJ411" s="1302">
        <f t="shared" si="2722"/>
        <v>0.353581321725366</v>
      </c>
      <c r="AK411" s="1302">
        <f t="shared" si="2722"/>
        <v>0.267936507936508</v>
      </c>
      <c r="AL411" s="1302">
        <f t="shared" si="2722"/>
        <v>0.321148763983219</v>
      </c>
      <c r="AM411" s="1302">
        <f t="shared" si="2722"/>
        <v>0.394142259414226</v>
      </c>
      <c r="AN411" s="1302">
        <f t="shared" si="2722"/>
        <v>0.322150072150072</v>
      </c>
      <c r="AO411" s="1302">
        <f t="shared" si="2722"/>
        <v>0.337440402328663</v>
      </c>
      <c r="AP411" s="1302">
        <f t="shared" si="2722"/>
        <v>0.333553065260382</v>
      </c>
      <c r="AQ411" s="1302">
        <f t="shared" si="2722"/>
        <v>0.391826923076923</v>
      </c>
      <c r="AR411" s="1302">
        <f t="shared" si="2722"/>
        <v>0.359855334538879</v>
      </c>
      <c r="AS411" s="1302">
        <f t="shared" si="2722"/>
        <v>0.295169946332737</v>
      </c>
      <c r="AT411" s="1302">
        <f t="shared" si="2722"/>
        <v>0.335434488968933</v>
      </c>
      <c r="AU411" s="1302">
        <f t="shared" si="2722"/>
        <v>0.375448671931084</v>
      </c>
      <c r="AV411" s="1302">
        <f t="shared" si="2722"/>
        <v>0.331596091205212</v>
      </c>
      <c r="AW411" s="1302">
        <f t="shared" si="2722"/>
        <v>0.344987146529563</v>
      </c>
      <c r="AX411" s="1303">
        <f t="shared" si="2722"/>
        <v>0.324775353016688</v>
      </c>
      <c r="AY411" s="1302">
        <f t="shared" si="2722"/>
        <v>0.381944444444444</v>
      </c>
      <c r="AZ411" s="1302">
        <f t="shared" si="2722"/>
        <v>0.351503759398496</v>
      </c>
      <c r="BA411" s="1302">
        <f t="shared" si="2722"/>
        <v>0.284916201117318</v>
      </c>
      <c r="BB411" s="1302">
        <f t="shared" si="2722"/>
        <v>0.326947435085497</v>
      </c>
      <c r="BC411" s="1302">
        <f t="shared" si="2722"/>
        <v>0.35614475098531</v>
      </c>
      <c r="BD411" s="1302">
        <f t="shared" si="2722"/>
        <v>0.316169544740973</v>
      </c>
      <c r="BE411" s="1304">
        <f t="shared" si="2722"/>
        <v>0.335895465026902</v>
      </c>
      <c r="BF411" s="1302">
        <f t="shared" si="2722"/>
        <v>0.343711843711844</v>
      </c>
      <c r="BG411" s="1302">
        <f t="shared" si="2722"/>
        <v>0.387</v>
      </c>
      <c r="BH411" s="1302">
        <f t="shared" si="2722"/>
        <v>0.364450787088567</v>
      </c>
      <c r="BI411" s="1302">
        <f t="shared" si="2722"/>
        <v>0.295819935691318</v>
      </c>
      <c r="BJ411" s="1302">
        <f t="shared" si="2722"/>
        <v>0.338891428001197</v>
      </c>
      <c r="BK411" s="1302">
        <f t="shared" si="2722"/>
        <v>0.362673726009265</v>
      </c>
      <c r="BL411" s="1302">
        <f t="shared" si="2722"/>
        <v>0.325732899022801</v>
      </c>
      <c r="BM411" s="1302">
        <f t="shared" si="2722"/>
        <v>0.344401671394618</v>
      </c>
      <c r="BN411" s="1303">
        <f t="shared" si="2722"/>
        <v>0.339724385859796</v>
      </c>
      <c r="BO411" s="1302">
        <f t="shared" ref="BO411:CJ411" si="2723">BO409/BO$388</f>
        <v>0.387212643678161</v>
      </c>
      <c r="BP411" s="1302">
        <f t="shared" si="2723"/>
        <v>0.361319830120876</v>
      </c>
      <c r="BQ411" s="1302">
        <f t="shared" si="2723"/>
        <v>0.291419320021587</v>
      </c>
      <c r="BR411" s="1302">
        <f t="shared" si="2723"/>
        <v>0.334961334961335</v>
      </c>
      <c r="BS411" s="1302">
        <f t="shared" si="2723"/>
        <v>0.430576070901034</v>
      </c>
      <c r="BT411" s="1302">
        <f t="shared" si="2723"/>
        <v>0.350171499844091</v>
      </c>
      <c r="BU411" s="1304">
        <f t="shared" si="2723"/>
        <v>0.355615826419911</v>
      </c>
      <c r="BV411" s="1303">
        <f t="shared" si="2723"/>
        <v>0.349501661129568</v>
      </c>
      <c r="BW411" s="1302">
        <f t="shared" si="2723"/>
        <v>0.388294075660243</v>
      </c>
      <c r="BX411" s="1302">
        <f t="shared" si="2723"/>
        <v>0.368203716448727</v>
      </c>
      <c r="BY411" s="1302">
        <f t="shared" si="2723"/>
        <v>0.312286689419795</v>
      </c>
      <c r="BZ411" s="1302">
        <f t="shared" si="2723"/>
        <v>0.347126929674099</v>
      </c>
      <c r="CA411" s="1302">
        <f t="shared" si="2723"/>
        <v>0.436454849498328</v>
      </c>
      <c r="CB411" s="1302">
        <f t="shared" si="2723"/>
        <v>0.316209034543844</v>
      </c>
      <c r="CC411" s="1304">
        <f t="shared" si="2723"/>
        <v>0.365358361774744</v>
      </c>
      <c r="CD411" s="1303">
        <f t="shared" si="2723"/>
        <v>0.350268977884041</v>
      </c>
      <c r="CE411" s="1302">
        <f t="shared" si="2723"/>
        <v>0.379947229551451</v>
      </c>
      <c r="CF411" s="1302">
        <f t="shared" si="2723"/>
        <v>0.364377547820633</v>
      </c>
      <c r="CG411" s="1302">
        <f t="shared" si="2723"/>
        <v>0.314968814968815</v>
      </c>
      <c r="CH411" s="1302">
        <f t="shared" si="2723"/>
        <v>0.345785253275963</v>
      </c>
      <c r="CI411" s="1302">
        <f t="shared" si="2723"/>
        <v>0.43129520052597</v>
      </c>
      <c r="CJ411" s="1302">
        <f t="shared" si="2723"/>
        <v>0.36632801161103</v>
      </c>
      <c r="CK411" s="1304">
        <f t="shared" ref="CK411:CS411" si="2724">CK409/CK$388</f>
        <v>0.365390413023817</v>
      </c>
      <c r="CL411" s="1303">
        <v>0.339975599837332</v>
      </c>
      <c r="CM411" s="1302">
        <f t="shared" si="2724"/>
        <v>0.366968698517298</v>
      </c>
      <c r="CN411" s="1302">
        <f t="shared" si="2724"/>
        <v>0.353386535706978</v>
      </c>
      <c r="CO411" s="1302">
        <f t="shared" si="2724"/>
        <v>0.303831807392336</v>
      </c>
      <c r="CP411" s="1302">
        <f t="shared" si="2724"/>
        <v>0.334737110770801</v>
      </c>
      <c r="CQ411" s="1302">
        <f t="shared" si="2724"/>
        <v>0.395017793594306</v>
      </c>
      <c r="CR411" s="1302">
        <f t="shared" si="2724"/>
        <v>0.332306082886471</v>
      </c>
      <c r="CS411" s="1304">
        <f t="shared" si="2724"/>
        <v>0.348175327251091</v>
      </c>
      <c r="CT411" s="1303">
        <f t="shared" ref="CT411:DA411" si="2725">CT409/CT$388</f>
        <v>0.367218282111899</v>
      </c>
      <c r="CU411" s="1302">
        <f t="shared" si="2725"/>
        <v>0.384166666666667</v>
      </c>
      <c r="CV411" s="1302">
        <f t="shared" si="2725"/>
        <v>0.375455650060753</v>
      </c>
      <c r="CW411" s="1302">
        <f t="shared" si="2725"/>
        <v>0.316558993539612</v>
      </c>
      <c r="CX411" s="1302">
        <f t="shared" si="2725"/>
        <v>0.353471252697043</v>
      </c>
      <c r="CY411" s="1302">
        <f t="shared" si="2725"/>
        <v>0.427862753203803</v>
      </c>
      <c r="CZ411" s="1302">
        <f t="shared" si="2725"/>
        <v>0.366791044776119</v>
      </c>
      <c r="DA411" s="1304">
        <f t="shared" si="2725"/>
        <v>0.370945814721305</v>
      </c>
      <c r="DB411" s="1109"/>
      <c r="DC411" s="1082"/>
      <c r="DD411" s="1082"/>
      <c r="DE411" s="1082"/>
      <c r="DF411" s="1082"/>
      <c r="DG411" s="1082"/>
      <c r="DH411" s="1082"/>
      <c r="DI411" s="1085"/>
      <c r="DJ411" s="1082"/>
      <c r="DK411" s="1082"/>
      <c r="DL411" s="1082"/>
      <c r="DM411" s="1082"/>
      <c r="DN411" s="1082"/>
      <c r="DO411" s="1082"/>
      <c r="DP411" s="1082"/>
      <c r="DQ411" s="1085"/>
      <c r="DR411" s="1082"/>
      <c r="DS411" s="1082"/>
      <c r="DT411" s="1082"/>
      <c r="DU411" s="1082"/>
      <c r="DV411" s="1082"/>
      <c r="DW411" s="1082"/>
      <c r="DX411" s="1082"/>
      <c r="DY411" s="1085"/>
      <c r="DZ411" s="1082"/>
      <c r="EA411" s="1082"/>
      <c r="EB411" s="1082"/>
      <c r="EC411" s="1082"/>
      <c r="ED411" s="1082"/>
      <c r="EE411" s="1082"/>
      <c r="EF411" s="1082"/>
      <c r="EG411" s="1085"/>
      <c r="EH411" s="1082"/>
      <c r="EI411" s="1082"/>
      <c r="EJ411" s="1082"/>
      <c r="EK411" s="1082"/>
      <c r="EL411" s="1082"/>
      <c r="EM411" s="1082"/>
      <c r="EN411" s="1082"/>
      <c r="EO411" s="1085"/>
      <c r="EP411" s="1082"/>
      <c r="EQ411" s="1082"/>
      <c r="ER411" s="1082"/>
      <c r="ES411" s="1082"/>
      <c r="ET411" s="1082"/>
      <c r="EU411" s="1082"/>
      <c r="EV411" s="1082"/>
      <c r="EW411" s="1085"/>
      <c r="EX411" s="1082"/>
      <c r="EY411" s="1082"/>
      <c r="EZ411" s="1082"/>
      <c r="FA411" s="1082"/>
      <c r="FB411" s="1082"/>
      <c r="FC411" s="1082"/>
      <c r="FD411" s="1082"/>
      <c r="FE411" s="1085"/>
      <c r="FF411" s="1082"/>
      <c r="FG411" s="1082"/>
      <c r="FH411" s="1082"/>
      <c r="FI411" s="1082"/>
      <c r="FJ411" s="1082"/>
      <c r="FK411" s="1082"/>
      <c r="FL411" s="1082"/>
      <c r="FM411" s="1085"/>
      <c r="FN411" s="1082"/>
      <c r="FO411" s="1087"/>
      <c r="FP411" s="1087"/>
      <c r="FQ411" s="1082"/>
      <c r="FR411" s="1082"/>
      <c r="FS411" s="1082"/>
      <c r="FT411" s="1082"/>
      <c r="FU411" s="1082"/>
      <c r="FV411" s="1086"/>
      <c r="FW411" s="1087"/>
      <c r="FX411" s="1087"/>
      <c r="FY411" s="1082"/>
      <c r="FZ411" s="1082"/>
      <c r="GA411" s="1082"/>
      <c r="GB411" s="1082"/>
      <c r="GC411" s="1085"/>
      <c r="GD411" s="1087"/>
      <c r="GE411" s="1087"/>
      <c r="GF411" s="1087"/>
      <c r="GG411" s="1082"/>
      <c r="GH411" s="1082"/>
      <c r="GI411" s="1082"/>
      <c r="GJ411" s="1082"/>
      <c r="GK411" s="1085"/>
      <c r="GL411" s="1087"/>
      <c r="GM411" s="1087"/>
      <c r="GN411" s="1087"/>
      <c r="GO411" s="1082"/>
      <c r="GP411" s="1082"/>
      <c r="GQ411" s="1082"/>
      <c r="GR411" s="1082"/>
      <c r="GS411" s="1085"/>
      <c r="GT411" s="1087"/>
      <c r="GU411" s="1087"/>
      <c r="GV411" s="1087"/>
      <c r="GW411" s="1082"/>
      <c r="GX411" s="1082"/>
      <c r="GY411" s="1082"/>
      <c r="GZ411" s="1082"/>
      <c r="HA411" s="1085"/>
      <c r="HC411" s="1082"/>
      <c r="HD411" s="1082"/>
      <c r="HE411" s="1082"/>
      <c r="HF411" s="1082"/>
      <c r="HG411" s="1082"/>
      <c r="HH411" s="1082"/>
      <c r="HI411" s="1085"/>
      <c r="HK411" s="1082"/>
      <c r="HL411" s="1082"/>
      <c r="HM411" s="1082"/>
      <c r="HN411" s="1082"/>
      <c r="HO411" s="1082"/>
      <c r="HP411" s="1082"/>
      <c r="HQ411" s="1085"/>
      <c r="HS411" s="1082"/>
      <c r="HT411" s="1082"/>
      <c r="HU411" s="1082"/>
      <c r="HV411" s="1082"/>
      <c r="HW411" s="1082"/>
      <c r="HX411" s="1082"/>
      <c r="HY411" s="1085"/>
      <c r="IA411" s="1082"/>
      <c r="IB411" s="1082"/>
      <c r="IC411" s="1082"/>
      <c r="ID411" s="1082"/>
      <c r="IE411" s="1082"/>
      <c r="IF411" s="1082"/>
      <c r="IG411" s="1085"/>
      <c r="II411" s="1082"/>
      <c r="IJ411" s="1082"/>
      <c r="IK411" s="1082"/>
      <c r="IL411" s="1082"/>
      <c r="IM411" s="1082"/>
      <c r="IN411" s="1082"/>
      <c r="IO411" s="1085"/>
      <c r="IQ411" s="1082"/>
      <c r="IR411" s="1082"/>
      <c r="IS411" s="1082"/>
      <c r="IT411" s="1082"/>
      <c r="IU411" s="1082"/>
      <c r="IV411" s="1082"/>
      <c r="IW411" s="1085"/>
      <c r="IX411" s="1087"/>
      <c r="IY411" s="1037"/>
      <c r="IZ411" s="1071"/>
      <c r="JA411" s="1071"/>
      <c r="JB411" s="1071"/>
      <c r="JC411" s="1049"/>
      <c r="JD411" s="1049"/>
      <c r="JE411" s="1181"/>
      <c r="JF411" s="1037"/>
      <c r="JG411" s="1037"/>
      <c r="JH411" s="1037"/>
      <c r="JI411" s="1035"/>
      <c r="JJ411" s="1035"/>
      <c r="JK411" s="1035"/>
      <c r="JL411" s="1035"/>
      <c r="JM411" s="1035"/>
      <c r="JN411" s="1035"/>
      <c r="JO411" s="1035"/>
      <c r="JP411" s="1035"/>
      <c r="JQ411" s="1035"/>
      <c r="JR411" s="1035"/>
      <c r="JS411" s="1035"/>
      <c r="JT411" s="1035"/>
      <c r="JU411" s="1035"/>
      <c r="JV411" s="1035"/>
      <c r="JW411" s="1035"/>
      <c r="JX411" s="1035"/>
      <c r="JY411" s="1035"/>
      <c r="KP411" s="967"/>
    </row>
    <row r="412" hidden="1" outlineLevel="1" spans="1:302">
      <c r="A412" s="1306" t="s">
        <v>156</v>
      </c>
      <c r="B412" s="1307">
        <v>11</v>
      </c>
      <c r="C412" s="1307">
        <v>11</v>
      </c>
      <c r="D412" s="1307">
        <f>B412+C412</f>
        <v>22</v>
      </c>
      <c r="E412" s="1307">
        <v>14</v>
      </c>
      <c r="F412" s="1307">
        <f>D412+E412</f>
        <v>36</v>
      </c>
      <c r="G412" s="1307">
        <v>15</v>
      </c>
      <c r="H412" s="1307">
        <f>E412+G412</f>
        <v>29</v>
      </c>
      <c r="I412" s="1307">
        <f>F412+G412</f>
        <v>51</v>
      </c>
      <c r="J412" s="1307">
        <v>6.6469</v>
      </c>
      <c r="K412" s="1307">
        <v>6.6469</v>
      </c>
      <c r="L412" s="1307">
        <f>J412+K412</f>
        <v>13.2938</v>
      </c>
      <c r="M412" s="1307">
        <v>8.1808</v>
      </c>
      <c r="N412" s="1307">
        <f>L412+M412</f>
        <v>21.4746</v>
      </c>
      <c r="O412" s="1307">
        <v>10.711735</v>
      </c>
      <c r="P412" s="1307">
        <f>M412+O412</f>
        <v>18.892535</v>
      </c>
      <c r="Q412" s="1307">
        <f>N412+O412</f>
        <v>32.186335</v>
      </c>
      <c r="R412" s="1307">
        <v>8.94775</v>
      </c>
      <c r="S412" s="1307">
        <v>9.2034</v>
      </c>
      <c r="T412" s="1307">
        <f>R412+S412</f>
        <v>18.15115</v>
      </c>
      <c r="U412" s="1307">
        <v>11.7599</v>
      </c>
      <c r="V412" s="1307">
        <f>T412+U412</f>
        <v>29.91105</v>
      </c>
      <c r="W412" s="1307">
        <v>10.7373</v>
      </c>
      <c r="X412" s="1307">
        <f>U412+W412</f>
        <v>22.4972</v>
      </c>
      <c r="Y412" s="1307">
        <f>V412+W412</f>
        <v>40.64835</v>
      </c>
      <c r="Z412" s="1307">
        <v>21.9859</v>
      </c>
      <c r="AA412" s="1307">
        <v>21.4746</v>
      </c>
      <c r="AB412" s="1307">
        <f>Z412+AA412</f>
        <v>43.4605</v>
      </c>
      <c r="AC412" s="1307">
        <v>23.5198</v>
      </c>
      <c r="AD412" s="1307">
        <f>AB412+AC412</f>
        <v>66.9803</v>
      </c>
      <c r="AE412" s="1307">
        <v>25.565</v>
      </c>
      <c r="AF412" s="1307">
        <f>AC412+AE412</f>
        <v>49.0848</v>
      </c>
      <c r="AG412" s="1307">
        <f>AD412+AE412</f>
        <v>92.5453</v>
      </c>
      <c r="AH412" s="1307">
        <v>24.0311</v>
      </c>
      <c r="AI412" s="1307">
        <v>25.0537</v>
      </c>
      <c r="AJ412" s="1307">
        <f>AH412+AI412</f>
        <v>49.0848</v>
      </c>
      <c r="AK412" s="1307">
        <v>25</v>
      </c>
      <c r="AL412" s="1307">
        <f>AJ412+AK412</f>
        <v>74.0848</v>
      </c>
      <c r="AM412" s="1307">
        <v>30</v>
      </c>
      <c r="AN412" s="1307">
        <f>AK412+AM412</f>
        <v>55</v>
      </c>
      <c r="AO412" s="1307">
        <f>AL412+AM412</f>
        <v>104.0848</v>
      </c>
      <c r="AP412" s="1307">
        <v>27</v>
      </c>
      <c r="AQ412" s="1307">
        <v>29</v>
      </c>
      <c r="AR412" s="1307">
        <f>AP412+AQ412</f>
        <v>56</v>
      </c>
      <c r="AS412" s="1307">
        <v>30</v>
      </c>
      <c r="AT412" s="1307">
        <f>AR412+AS412</f>
        <v>86</v>
      </c>
      <c r="AU412" s="1307">
        <v>34</v>
      </c>
      <c r="AV412" s="1307">
        <f>AS412+AU412</f>
        <v>64</v>
      </c>
      <c r="AW412" s="1307">
        <f>AT412+AU412</f>
        <v>120</v>
      </c>
      <c r="AX412" s="1308">
        <v>29</v>
      </c>
      <c r="AY412" s="1307">
        <v>31</v>
      </c>
      <c r="AZ412" s="1307">
        <f>AX412+AY412</f>
        <v>60</v>
      </c>
      <c r="BA412" s="1307">
        <v>31</v>
      </c>
      <c r="BB412" s="1307">
        <f>AY412+BA412</f>
        <v>62</v>
      </c>
      <c r="BC412" s="1307">
        <v>38.5</v>
      </c>
      <c r="BD412" s="1307">
        <f>BA412+BC412</f>
        <v>69.5</v>
      </c>
      <c r="BE412" s="1309">
        <f>BB412+BC412</f>
        <v>100.5</v>
      </c>
      <c r="BF412" s="1307">
        <v>34</v>
      </c>
      <c r="BG412" s="1307">
        <v>34</v>
      </c>
      <c r="BH412" s="1307">
        <f>BF412+BG412</f>
        <v>68</v>
      </c>
      <c r="BI412" s="1307">
        <v>35</v>
      </c>
      <c r="BJ412" s="1307">
        <f>BH412+BI412</f>
        <v>103</v>
      </c>
      <c r="BK412" s="1307">
        <v>39</v>
      </c>
      <c r="BL412" s="1307">
        <f>BI412+BK412</f>
        <v>74</v>
      </c>
      <c r="BM412" s="1307">
        <f>BJ412+BK412</f>
        <v>142</v>
      </c>
      <c r="BN412" s="1308">
        <v>36</v>
      </c>
      <c r="BO412" s="1307">
        <v>34</v>
      </c>
      <c r="BP412" s="1307">
        <f>BN412+BO412</f>
        <v>70</v>
      </c>
      <c r="BQ412" s="1307">
        <v>36</v>
      </c>
      <c r="BR412" s="1307">
        <f>BP412+BQ412</f>
        <v>106</v>
      </c>
      <c r="BS412" s="1307">
        <v>34</v>
      </c>
      <c r="BT412" s="1307">
        <f>BQ412+BS412</f>
        <v>70</v>
      </c>
      <c r="BU412" s="1309">
        <f>BR412+BS412</f>
        <v>140</v>
      </c>
      <c r="BV412" s="1308">
        <v>30</v>
      </c>
      <c r="BW412" s="1307">
        <v>31</v>
      </c>
      <c r="BX412" s="1307">
        <f>BV412+BW412</f>
        <v>61</v>
      </c>
      <c r="BY412" s="1307">
        <v>32</v>
      </c>
      <c r="BZ412" s="1307">
        <f>BX412+BY412</f>
        <v>93</v>
      </c>
      <c r="CA412" s="1307">
        <v>38</v>
      </c>
      <c r="CB412" s="1307">
        <f>BY412+CA412</f>
        <v>70</v>
      </c>
      <c r="CC412" s="1309">
        <f>BZ412+CA412</f>
        <v>131</v>
      </c>
      <c r="CD412" s="1308">
        <v>24</v>
      </c>
      <c r="CE412" s="1307">
        <v>25</v>
      </c>
      <c r="CF412" s="1307">
        <f>CD412+CE412</f>
        <v>49</v>
      </c>
      <c r="CG412" s="1307">
        <v>26</v>
      </c>
      <c r="CH412" s="1307">
        <f>CF412+CG412</f>
        <v>75</v>
      </c>
      <c r="CI412" s="1307">
        <v>38</v>
      </c>
      <c r="CJ412" s="1307">
        <f>CG412+CI412</f>
        <v>64</v>
      </c>
      <c r="CK412" s="1309">
        <f>CH412+CI412</f>
        <v>113</v>
      </c>
      <c r="CL412" s="1308">
        <v>38</v>
      </c>
      <c r="CM412" s="1307">
        <v>43.3</v>
      </c>
      <c r="CN412" s="1307">
        <v>82</v>
      </c>
      <c r="CO412" s="1307">
        <f>CP412-CN412</f>
        <v>45</v>
      </c>
      <c r="CP412" s="1307">
        <v>127</v>
      </c>
      <c r="CQ412" s="1307">
        <f>CS412-CP412</f>
        <v>66</v>
      </c>
      <c r="CR412" s="1307">
        <f>CS412-CQ412-CO412</f>
        <v>82</v>
      </c>
      <c r="CS412" s="1309">
        <v>193</v>
      </c>
      <c r="CT412" s="1308">
        <v>50</v>
      </c>
      <c r="CU412" s="1307">
        <v>50</v>
      </c>
      <c r="CV412" s="1307">
        <f>+CT412+CU412</f>
        <v>100</v>
      </c>
      <c r="CW412" s="1307">
        <f>CX412-CV412</f>
        <v>52</v>
      </c>
      <c r="CX412" s="1307">
        <v>152</v>
      </c>
      <c r="CY412" s="1307">
        <f>DA412-CX412</f>
        <v>63</v>
      </c>
      <c r="CZ412" s="1307">
        <f>CY412+CW412</f>
        <v>115</v>
      </c>
      <c r="DA412" s="1309">
        <v>215</v>
      </c>
      <c r="DB412" s="1332"/>
      <c r="DC412" s="1311"/>
      <c r="DD412" s="1311"/>
      <c r="DE412" s="1311"/>
      <c r="DF412" s="1311"/>
      <c r="DG412" s="1311"/>
      <c r="DH412" s="1311"/>
      <c r="DI412" s="1312"/>
      <c r="DJ412" s="1311"/>
      <c r="DK412" s="1311"/>
      <c r="DL412" s="1311"/>
      <c r="DM412" s="1311"/>
      <c r="DN412" s="1311"/>
      <c r="DO412" s="1311"/>
      <c r="DP412" s="1311"/>
      <c r="DQ412" s="1312"/>
      <c r="DR412" s="1311"/>
      <c r="DS412" s="1311"/>
      <c r="DT412" s="1311"/>
      <c r="DU412" s="1311"/>
      <c r="DV412" s="1311"/>
      <c r="DW412" s="1311"/>
      <c r="DX412" s="1311"/>
      <c r="DY412" s="1312"/>
      <c r="DZ412" s="1311"/>
      <c r="EA412" s="1311"/>
      <c r="EB412" s="1311"/>
      <c r="EC412" s="1311"/>
      <c r="ED412" s="1311"/>
      <c r="EE412" s="1311"/>
      <c r="EF412" s="1311"/>
      <c r="EG412" s="1312"/>
      <c r="EH412" s="1311"/>
      <c r="EI412" s="1311"/>
      <c r="EJ412" s="1311"/>
      <c r="EK412" s="1311"/>
      <c r="EL412" s="1311"/>
      <c r="EM412" s="1311"/>
      <c r="EN412" s="1311"/>
      <c r="EO412" s="1312"/>
      <c r="EP412" s="1311"/>
      <c r="EQ412" s="1311"/>
      <c r="ER412" s="1311"/>
      <c r="ES412" s="1311"/>
      <c r="ET412" s="1311"/>
      <c r="EU412" s="1311">
        <f>EU415-EU421</f>
        <v>1502</v>
      </c>
      <c r="EV412" s="1311"/>
      <c r="EW412" s="1312"/>
      <c r="EX412" s="1311"/>
      <c r="EY412" s="1311"/>
      <c r="EZ412" s="1311"/>
      <c r="FA412" s="1311"/>
      <c r="FB412" s="1311"/>
      <c r="FC412" s="1311"/>
      <c r="FD412" s="1311"/>
      <c r="FE412" s="1312"/>
      <c r="FF412" s="1311"/>
      <c r="FG412" s="1311"/>
      <c r="FH412" s="1311"/>
      <c r="FI412" s="1311"/>
      <c r="FJ412" s="1311"/>
      <c r="FK412" s="1311"/>
      <c r="FL412" s="1311"/>
      <c r="FM412" s="1312"/>
      <c r="FN412" s="1311"/>
      <c r="FO412" s="1314"/>
      <c r="FP412" s="1314"/>
      <c r="FQ412" s="1311"/>
      <c r="FR412" s="1311"/>
      <c r="FS412" s="1311"/>
      <c r="FT412" s="1311"/>
      <c r="FU412" s="1311"/>
      <c r="FV412" s="1313"/>
      <c r="FW412" s="1314"/>
      <c r="FX412" s="1314"/>
      <c r="FY412" s="1314"/>
      <c r="FZ412" s="1311"/>
      <c r="GA412" s="1314"/>
      <c r="GB412" s="1311"/>
      <c r="GC412" s="1312"/>
      <c r="GD412" s="1314"/>
      <c r="GE412" s="1314"/>
      <c r="GF412" s="1314"/>
      <c r="GG412" s="1314"/>
      <c r="GH412" s="1311"/>
      <c r="GI412" s="1314"/>
      <c r="GJ412" s="1311"/>
      <c r="GK412" s="1312"/>
      <c r="GL412" s="1314"/>
      <c r="GM412" s="1314"/>
      <c r="GN412" s="1314"/>
      <c r="GO412" s="1314"/>
      <c r="GP412" s="1311"/>
      <c r="GQ412" s="1314"/>
      <c r="GR412" s="1311"/>
      <c r="GS412" s="1312"/>
      <c r="GT412" s="1314"/>
      <c r="GU412" s="1314"/>
      <c r="GV412" s="1314"/>
      <c r="GW412" s="1314"/>
      <c r="GX412" s="1311"/>
      <c r="GY412" s="1314"/>
      <c r="GZ412" s="1311"/>
      <c r="HA412" s="1312"/>
      <c r="HC412" s="1311"/>
      <c r="HD412" s="1311"/>
      <c r="HE412" s="1311"/>
      <c r="HF412" s="1311"/>
      <c r="HG412" s="1311"/>
      <c r="HH412" s="1311"/>
      <c r="HI412" s="1312"/>
      <c r="HK412" s="1311"/>
      <c r="HL412" s="1311"/>
      <c r="HM412" s="1311"/>
      <c r="HN412" s="1311"/>
      <c r="HO412" s="1311"/>
      <c r="HP412" s="1311"/>
      <c r="HQ412" s="1312"/>
      <c r="HS412" s="1311"/>
      <c r="HT412" s="1311"/>
      <c r="HU412" s="1311"/>
      <c r="HV412" s="1311"/>
      <c r="HW412" s="1311"/>
      <c r="HX412" s="1311"/>
      <c r="HY412" s="1312"/>
      <c r="IA412" s="1311"/>
      <c r="IB412" s="1311"/>
      <c r="IC412" s="1311"/>
      <c r="ID412" s="1311"/>
      <c r="IE412" s="1311"/>
      <c r="IF412" s="1311"/>
      <c r="IG412" s="1312"/>
      <c r="II412" s="1311"/>
      <c r="IJ412" s="1311"/>
      <c r="IK412" s="1311"/>
      <c r="IL412" s="1311"/>
      <c r="IM412" s="1311"/>
      <c r="IN412" s="1311"/>
      <c r="IO412" s="1312"/>
      <c r="IQ412" s="1311"/>
      <c r="IR412" s="1311"/>
      <c r="IS412" s="1311"/>
      <c r="IT412" s="1311"/>
      <c r="IU412" s="1311"/>
      <c r="IV412" s="1311"/>
      <c r="IW412" s="1312"/>
      <c r="IX412" s="1314"/>
      <c r="IY412" s="1037"/>
      <c r="IZ412" s="1071"/>
      <c r="JA412" s="1071"/>
      <c r="JB412" s="1071"/>
      <c r="JC412" s="1049"/>
      <c r="JD412" s="1049"/>
      <c r="JE412" s="1181"/>
      <c r="JF412" s="1037"/>
      <c r="JG412" s="1037"/>
      <c r="JH412" s="1037"/>
      <c r="JI412" s="1035"/>
      <c r="JJ412" s="1035"/>
      <c r="JK412" s="1035"/>
      <c r="JL412" s="1035"/>
      <c r="JM412" s="1035"/>
      <c r="JN412" s="1035"/>
      <c r="JO412" s="1035"/>
      <c r="JP412" s="1035"/>
      <c r="JQ412" s="1035"/>
      <c r="JR412" s="1035"/>
      <c r="JS412" s="1035"/>
      <c r="JT412" s="1035"/>
      <c r="JU412" s="1035"/>
      <c r="JV412" s="1035"/>
      <c r="JW412" s="1035"/>
      <c r="JX412" s="1035"/>
      <c r="JY412" s="1035"/>
      <c r="KP412" s="967"/>
    </row>
    <row r="413" s="883" customFormat="1" hidden="1" outlineLevel="1" spans="1:302">
      <c r="A413" s="883" t="s">
        <v>142</v>
      </c>
      <c r="B413" s="1302" t="s">
        <v>173</v>
      </c>
      <c r="C413" s="1302" t="s">
        <v>173</v>
      </c>
      <c r="D413" s="1302" t="s">
        <v>173</v>
      </c>
      <c r="E413" s="1302" t="s">
        <v>173</v>
      </c>
      <c r="F413" s="1302" t="s">
        <v>173</v>
      </c>
      <c r="G413" s="1302" t="s">
        <v>173</v>
      </c>
      <c r="H413" s="1302" t="s">
        <v>173</v>
      </c>
      <c r="I413" s="1302" t="s">
        <v>173</v>
      </c>
      <c r="J413" s="1302">
        <f t="shared" ref="J413:AO413" si="2726">J412/B412-1</f>
        <v>-0.395736363636364</v>
      </c>
      <c r="K413" s="1302">
        <f t="shared" si="2726"/>
        <v>-0.395736363636364</v>
      </c>
      <c r="L413" s="1302">
        <f t="shared" si="2726"/>
        <v>-0.395736363636364</v>
      </c>
      <c r="M413" s="1302">
        <f t="shared" si="2726"/>
        <v>-0.415657142857143</v>
      </c>
      <c r="N413" s="1302">
        <f t="shared" si="2726"/>
        <v>-0.403483333333333</v>
      </c>
      <c r="O413" s="1302">
        <f t="shared" si="2726"/>
        <v>-0.285884333333333</v>
      </c>
      <c r="P413" s="1302">
        <f t="shared" si="2726"/>
        <v>-0.348533275862069</v>
      </c>
      <c r="Q413" s="1302">
        <f t="shared" si="2726"/>
        <v>-0.368895392156863</v>
      </c>
      <c r="R413" s="1302">
        <f t="shared" si="2726"/>
        <v>0.346153846153846</v>
      </c>
      <c r="S413" s="1302">
        <f t="shared" si="2726"/>
        <v>0.384615384615385</v>
      </c>
      <c r="T413" s="1302">
        <f t="shared" si="2726"/>
        <v>0.365384615384616</v>
      </c>
      <c r="U413" s="1302">
        <f t="shared" si="2726"/>
        <v>0.4375</v>
      </c>
      <c r="V413" s="1302">
        <f t="shared" si="2726"/>
        <v>0.392857142857143</v>
      </c>
      <c r="W413" s="1302">
        <f t="shared" si="2726"/>
        <v>0.00238663484486867</v>
      </c>
      <c r="X413" s="1302">
        <f t="shared" si="2726"/>
        <v>0.190798376184033</v>
      </c>
      <c r="Y413" s="1302">
        <f t="shared" si="2726"/>
        <v>0.262907069102462</v>
      </c>
      <c r="Z413" s="1302">
        <f t="shared" si="2726"/>
        <v>1.45714285714286</v>
      </c>
      <c r="AA413" s="1302">
        <f t="shared" si="2726"/>
        <v>1.33333333333333</v>
      </c>
      <c r="AB413" s="1302">
        <f t="shared" si="2726"/>
        <v>1.3943661971831</v>
      </c>
      <c r="AC413" s="1302">
        <f t="shared" si="2726"/>
        <v>1</v>
      </c>
      <c r="AD413" s="1302">
        <f t="shared" si="2726"/>
        <v>1.23931623931624</v>
      </c>
      <c r="AE413" s="1302">
        <f t="shared" si="2726"/>
        <v>1.38095238095238</v>
      </c>
      <c r="AF413" s="1302">
        <f t="shared" si="2726"/>
        <v>1.18181818181818</v>
      </c>
      <c r="AG413" s="1302">
        <f t="shared" si="2726"/>
        <v>1.27672955974843</v>
      </c>
      <c r="AH413" s="1302">
        <f t="shared" si="2726"/>
        <v>0.0930232558139537</v>
      </c>
      <c r="AI413" s="1302">
        <f t="shared" si="2726"/>
        <v>0.166666666666667</v>
      </c>
      <c r="AJ413" s="1302">
        <f t="shared" si="2726"/>
        <v>0.129411764705883</v>
      </c>
      <c r="AK413" s="1302">
        <f t="shared" si="2726"/>
        <v>0.0629342086242231</v>
      </c>
      <c r="AL413" s="1302">
        <f t="shared" si="2726"/>
        <v>0.106068500738277</v>
      </c>
      <c r="AM413" s="1302">
        <f t="shared" si="2726"/>
        <v>0.173479366321142</v>
      </c>
      <c r="AN413" s="1302">
        <f t="shared" ref="AN413:BU413" si="2727">AN412/AF412-1</f>
        <v>0.120509811591368</v>
      </c>
      <c r="AO413" s="1302">
        <f t="shared" si="2726"/>
        <v>0.124690286810892</v>
      </c>
      <c r="AP413" s="1302">
        <f t="shared" si="2727"/>
        <v>0.123544074137264</v>
      </c>
      <c r="AQ413" s="1302">
        <f t="shared" si="2727"/>
        <v>0.157513660656909</v>
      </c>
      <c r="AR413" s="1302">
        <f t="shared" si="2727"/>
        <v>0.140882717256666</v>
      </c>
      <c r="AS413" s="1302">
        <f t="shared" si="2727"/>
        <v>0.2</v>
      </c>
      <c r="AT413" s="1302">
        <f t="shared" si="2727"/>
        <v>0.160831911539209</v>
      </c>
      <c r="AU413" s="1302">
        <f t="shared" si="2727"/>
        <v>0.133333333333333</v>
      </c>
      <c r="AV413" s="1302">
        <f t="shared" si="2727"/>
        <v>0.163636363636364</v>
      </c>
      <c r="AW413" s="1302">
        <f t="shared" si="2727"/>
        <v>0.15290609195579</v>
      </c>
      <c r="AX413" s="1303">
        <f t="shared" si="2727"/>
        <v>0.0740740740740742</v>
      </c>
      <c r="AY413" s="1302">
        <f t="shared" si="2727"/>
        <v>0.0689655172413792</v>
      </c>
      <c r="AZ413" s="1302">
        <f t="shared" si="2727"/>
        <v>0.0714285714285714</v>
      </c>
      <c r="BA413" s="1302">
        <f t="shared" si="2727"/>
        <v>0.0333333333333334</v>
      </c>
      <c r="BB413" s="1302">
        <f t="shared" si="2727"/>
        <v>-0.279069767441861</v>
      </c>
      <c r="BC413" s="1302">
        <f t="shared" si="2727"/>
        <v>0.132352941176471</v>
      </c>
      <c r="BD413" s="1302">
        <f t="shared" si="2727"/>
        <v>0.0859375</v>
      </c>
      <c r="BE413" s="1304">
        <f t="shared" si="2727"/>
        <v>-0.1625</v>
      </c>
      <c r="BF413" s="1302">
        <f t="shared" si="2727"/>
        <v>0.172413793103448</v>
      </c>
      <c r="BG413" s="1302">
        <f t="shared" si="2727"/>
        <v>0.096774193548387</v>
      </c>
      <c r="BH413" s="1302">
        <f t="shared" si="2727"/>
        <v>0.133333333333333</v>
      </c>
      <c r="BI413" s="1302">
        <f t="shared" si="2727"/>
        <v>0.129032258064516</v>
      </c>
      <c r="BJ413" s="1302">
        <f t="shared" si="2727"/>
        <v>0.661290322580645</v>
      </c>
      <c r="BK413" s="1302">
        <f t="shared" si="2727"/>
        <v>0.0129870129870129</v>
      </c>
      <c r="BL413" s="1302">
        <f t="shared" si="2727"/>
        <v>0.064748201438849</v>
      </c>
      <c r="BM413" s="1302">
        <f t="shared" si="2727"/>
        <v>0.412935323383085</v>
      </c>
      <c r="BN413" s="1303">
        <f t="shared" si="2727"/>
        <v>0.0588235294117647</v>
      </c>
      <c r="BO413" s="1302">
        <f t="shared" si="2727"/>
        <v>0</v>
      </c>
      <c r="BP413" s="1302">
        <f t="shared" si="2727"/>
        <v>0.0294117647058822</v>
      </c>
      <c r="BQ413" s="1302">
        <f t="shared" si="2727"/>
        <v>0.0285714285714285</v>
      </c>
      <c r="BR413" s="1302">
        <f t="shared" si="2727"/>
        <v>0.029126213592233</v>
      </c>
      <c r="BS413" s="1302">
        <f t="shared" si="2727"/>
        <v>-0.128205128205128</v>
      </c>
      <c r="BT413" s="1302">
        <f t="shared" ref="BT413:CK413" si="2728">BT412/BL412-1</f>
        <v>-0.0540540540540541</v>
      </c>
      <c r="BU413" s="1304">
        <f t="shared" si="2727"/>
        <v>-0.0140845070422535</v>
      </c>
      <c r="BV413" s="1303">
        <f t="shared" si="2728"/>
        <v>-0.166666666666667</v>
      </c>
      <c r="BW413" s="1302">
        <f t="shared" si="2728"/>
        <v>-0.0882352941176471</v>
      </c>
      <c r="BX413" s="1302">
        <f t="shared" si="2728"/>
        <v>-0.128571428571429</v>
      </c>
      <c r="BY413" s="1302">
        <f t="shared" si="2728"/>
        <v>-0.111111111111111</v>
      </c>
      <c r="BZ413" s="1302">
        <f t="shared" si="2728"/>
        <v>-0.122641509433962</v>
      </c>
      <c r="CA413" s="1302">
        <f t="shared" si="2728"/>
        <v>0.117647058823529</v>
      </c>
      <c r="CB413" s="1302">
        <f t="shared" si="2728"/>
        <v>0</v>
      </c>
      <c r="CC413" s="1304">
        <f t="shared" si="2728"/>
        <v>-0.0642857142857143</v>
      </c>
      <c r="CD413" s="1303">
        <f t="shared" si="2728"/>
        <v>-0.2</v>
      </c>
      <c r="CE413" s="1302">
        <f t="shared" si="2728"/>
        <v>-0.193548387096774</v>
      </c>
      <c r="CF413" s="1302">
        <f t="shared" si="2728"/>
        <v>-0.19672131147541</v>
      </c>
      <c r="CG413" s="1302">
        <f t="shared" si="2728"/>
        <v>-0.1875</v>
      </c>
      <c r="CH413" s="1302">
        <f t="shared" si="2728"/>
        <v>-0.193548387096774</v>
      </c>
      <c r="CI413" s="1302">
        <f t="shared" si="2728"/>
        <v>0</v>
      </c>
      <c r="CJ413" s="1302">
        <f t="shared" si="2728"/>
        <v>-0.0857142857142857</v>
      </c>
      <c r="CK413" s="1304">
        <f t="shared" si="2728"/>
        <v>-0.137404580152672</v>
      </c>
      <c r="CL413" s="1303">
        <v>0.583333333333333</v>
      </c>
      <c r="CM413" s="1302">
        <f t="shared" ref="CM413:CS413" si="2729">CM412/CE412-1</f>
        <v>0.732</v>
      </c>
      <c r="CN413" s="1302">
        <f t="shared" si="2729"/>
        <v>0.673469387755102</v>
      </c>
      <c r="CO413" s="1302">
        <f t="shared" si="2729"/>
        <v>0.730769230769231</v>
      </c>
      <c r="CP413" s="1302">
        <f t="shared" si="2729"/>
        <v>0.693333333333333</v>
      </c>
      <c r="CQ413" s="1302">
        <f t="shared" si="2729"/>
        <v>0.736842105263158</v>
      </c>
      <c r="CR413" s="1302">
        <f t="shared" si="2729"/>
        <v>0.28125</v>
      </c>
      <c r="CS413" s="1304">
        <f t="shared" si="2729"/>
        <v>0.707964601769911</v>
      </c>
      <c r="CT413" s="1303">
        <f t="shared" ref="CT413:DA413" si="2730">CT412/CL412-1</f>
        <v>0.315789473684211</v>
      </c>
      <c r="CU413" s="1302">
        <f t="shared" si="2730"/>
        <v>0.15473441108545</v>
      </c>
      <c r="CV413" s="1302">
        <f t="shared" si="2730"/>
        <v>0.219512195121951</v>
      </c>
      <c r="CW413" s="1302">
        <f t="shared" si="2730"/>
        <v>0.155555555555555</v>
      </c>
      <c r="CX413" s="1302">
        <f t="shared" si="2730"/>
        <v>0.196850393700787</v>
      </c>
      <c r="CY413" s="1302">
        <f t="shared" si="2730"/>
        <v>-0.0454545454545454</v>
      </c>
      <c r="CZ413" s="1302">
        <f t="shared" si="2730"/>
        <v>0.402439024390244</v>
      </c>
      <c r="DA413" s="1304">
        <f t="shared" si="2730"/>
        <v>0.113989637305699</v>
      </c>
      <c r="DB413" s="1109"/>
      <c r="DC413" s="1082"/>
      <c r="DD413" s="1082"/>
      <c r="DE413" s="1082"/>
      <c r="DF413" s="1082"/>
      <c r="DG413" s="1082"/>
      <c r="DH413" s="1082"/>
      <c r="DI413" s="1085"/>
      <c r="DK413" s="1082"/>
      <c r="DL413" s="1082"/>
      <c r="DM413" s="1082" t="s">
        <v>589</v>
      </c>
      <c r="DO413" s="1082"/>
      <c r="DP413" s="1082"/>
      <c r="DQ413" s="1085"/>
      <c r="DR413" s="1082"/>
      <c r="DS413" s="1082"/>
      <c r="DT413" s="1082"/>
      <c r="DU413" s="1082"/>
      <c r="DV413" s="1082"/>
      <c r="DW413" s="1082"/>
      <c r="DX413" s="1082"/>
      <c r="DY413" s="1085"/>
      <c r="DZ413" s="1082"/>
      <c r="EA413" s="1082"/>
      <c r="EB413" s="1082"/>
      <c r="EC413" s="1082"/>
      <c r="ED413" s="1082"/>
      <c r="EE413" s="1082"/>
      <c r="EF413" s="1082"/>
      <c r="EG413" s="1085"/>
      <c r="EH413" s="1082"/>
      <c r="EI413" s="1082"/>
      <c r="EJ413" s="1082"/>
      <c r="EK413" s="1082"/>
      <c r="EL413" s="1082"/>
      <c r="EM413" s="1082"/>
      <c r="EN413" s="1082"/>
      <c r="EO413" s="1085"/>
      <c r="EP413" s="1082"/>
      <c r="EQ413" s="1082"/>
      <c r="ER413" s="1082"/>
      <c r="ES413" s="1082"/>
      <c r="ET413" s="1082"/>
      <c r="EU413" s="1082"/>
      <c r="EV413" s="1082"/>
      <c r="EW413" s="1085"/>
      <c r="EX413" s="1082"/>
      <c r="EY413" s="1082"/>
      <c r="EZ413" s="1082"/>
      <c r="FA413" s="1082"/>
      <c r="FB413" s="1082"/>
      <c r="FC413" s="1082">
        <f>(FC415-10)/EU412-1</f>
        <v>0.0532623169107855</v>
      </c>
      <c r="FD413" s="1082"/>
      <c r="FE413" s="1085"/>
      <c r="FF413" s="1082"/>
      <c r="FG413" s="1082"/>
      <c r="FH413" s="1082"/>
      <c r="FI413" s="1082"/>
      <c r="FJ413" s="1082"/>
      <c r="FK413" s="1082"/>
      <c r="FL413" s="1082"/>
      <c r="FM413" s="1085"/>
      <c r="FN413" s="1082"/>
      <c r="FO413" s="1087"/>
      <c r="FP413" s="1087"/>
      <c r="FQ413" s="1082"/>
      <c r="FR413" s="1082"/>
      <c r="FS413" s="1082"/>
      <c r="FT413" s="1082"/>
      <c r="FU413" s="1082"/>
      <c r="FV413" s="1086"/>
      <c r="FW413" s="1087"/>
      <c r="FX413" s="1087"/>
      <c r="FY413" s="1087"/>
      <c r="FZ413" s="1087"/>
      <c r="GA413" s="1087"/>
      <c r="GB413" s="1087"/>
      <c r="GC413" s="1085"/>
      <c r="GD413" s="1087"/>
      <c r="GE413" s="1087"/>
      <c r="GF413" s="1087"/>
      <c r="GG413" s="1087"/>
      <c r="GH413" s="1087"/>
      <c r="GI413" s="1087"/>
      <c r="GJ413" s="1087"/>
      <c r="GK413" s="1085"/>
      <c r="GL413" s="1087"/>
      <c r="GM413" s="1087"/>
      <c r="GN413" s="1087"/>
      <c r="GO413" s="1087"/>
      <c r="GP413" s="1087"/>
      <c r="GQ413" s="1087"/>
      <c r="GR413" s="1087"/>
      <c r="GS413" s="1085"/>
      <c r="GT413" s="1087"/>
      <c r="GU413" s="1087"/>
      <c r="GV413" s="1087"/>
      <c r="GW413" s="1087"/>
      <c r="GX413" s="1087"/>
      <c r="GY413" s="1087"/>
      <c r="GZ413" s="1087"/>
      <c r="HA413" s="1085"/>
      <c r="HB413" s="891"/>
      <c r="HC413" s="1082"/>
      <c r="HD413" s="1082"/>
      <c r="HE413" s="1082"/>
      <c r="HF413" s="1082"/>
      <c r="HG413" s="1082"/>
      <c r="HH413" s="1082"/>
      <c r="HI413" s="1085"/>
      <c r="HJ413" s="891"/>
      <c r="HK413" s="1082"/>
      <c r="HL413" s="1082"/>
      <c r="HM413" s="1082"/>
      <c r="HN413" s="1082"/>
      <c r="HO413" s="1082"/>
      <c r="HP413" s="1082"/>
      <c r="HQ413" s="1085"/>
      <c r="HR413" s="891"/>
      <c r="HS413" s="1082"/>
      <c r="HT413" s="1082"/>
      <c r="HU413" s="1082"/>
      <c r="HV413" s="1082"/>
      <c r="HW413" s="1082"/>
      <c r="HX413" s="1082"/>
      <c r="HY413" s="1085"/>
      <c r="HZ413" s="891"/>
      <c r="IA413" s="1082"/>
      <c r="IB413" s="1082"/>
      <c r="IC413" s="1082"/>
      <c r="ID413" s="1082"/>
      <c r="IE413" s="1082"/>
      <c r="IF413" s="1082"/>
      <c r="IG413" s="1085"/>
      <c r="IH413" s="891"/>
      <c r="II413" s="1082"/>
      <c r="IJ413" s="1082"/>
      <c r="IK413" s="1082"/>
      <c r="IL413" s="1082"/>
      <c r="IM413" s="1082"/>
      <c r="IN413" s="1082"/>
      <c r="IO413" s="1085"/>
      <c r="IP413" s="891"/>
      <c r="IQ413" s="1082"/>
      <c r="IR413" s="1082"/>
      <c r="IS413" s="1082"/>
      <c r="IT413" s="1082"/>
      <c r="IU413" s="1082"/>
      <c r="IV413" s="1082"/>
      <c r="IW413" s="1085"/>
      <c r="IX413" s="1087"/>
      <c r="IZ413" s="1071"/>
      <c r="JA413" s="1071"/>
      <c r="JB413" s="1071"/>
      <c r="JC413" s="1049"/>
      <c r="JD413" s="1049"/>
      <c r="JE413" s="1181"/>
      <c r="JF413" s="1082"/>
      <c r="JG413" s="1082"/>
      <c r="JH413" s="1082"/>
      <c r="KP413" s="1180"/>
    </row>
    <row r="414" hidden="1" outlineLevel="1" spans="1:302">
      <c r="A414" s="1035" t="s">
        <v>145</v>
      </c>
      <c r="B414" s="1302">
        <v>0.0110094901805356</v>
      </c>
      <c r="C414" s="1302">
        <v>0.0146683290772954</v>
      </c>
      <c r="D414" s="1302">
        <f t="shared" ref="D414:BN414" si="2731">D412/D$388</f>
        <v>0.012578235193559</v>
      </c>
      <c r="E414" s="1302">
        <v>0.0127937887983068</v>
      </c>
      <c r="F414" s="1302">
        <f t="shared" si="2731"/>
        <v>0.0126611928109747</v>
      </c>
      <c r="G414" s="1302">
        <v>0.0227344375197032</v>
      </c>
      <c r="H414" s="1302">
        <f>H412/H$388</f>
        <v>0.0323549169265194</v>
      </c>
      <c r="I414" s="1302">
        <f t="shared" si="2731"/>
        <v>0.0145584258173985</v>
      </c>
      <c r="J414" s="1302">
        <f t="shared" si="2731"/>
        <v>0.0108586702305379</v>
      </c>
      <c r="K414" s="1302">
        <f t="shared" si="2731"/>
        <v>0.0124378109452736</v>
      </c>
      <c r="L414" s="1302">
        <f t="shared" si="2731"/>
        <v>0.0115947199429183</v>
      </c>
      <c r="M414" s="1302">
        <f t="shared" si="2731"/>
        <v>0.0108695652173913</v>
      </c>
      <c r="N414" s="1302">
        <f t="shared" si="2731"/>
        <v>0.0113073443894034</v>
      </c>
      <c r="O414" s="1302">
        <f t="shared" si="2731"/>
        <v>0.0210658622423328</v>
      </c>
      <c r="P414" s="1302">
        <f t="shared" si="2731"/>
        <v>0.0149777057154439</v>
      </c>
      <c r="Q414" s="1302">
        <f t="shared" si="2731"/>
        <v>0.0133683025759732</v>
      </c>
      <c r="R414" s="1302">
        <f t="shared" si="2731"/>
        <v>0.0102159953298307</v>
      </c>
      <c r="S414" s="1302">
        <f t="shared" si="2731"/>
        <v>0.0126138752627891</v>
      </c>
      <c r="T414" s="1302">
        <f t="shared" si="2731"/>
        <v>0.0113057324840764</v>
      </c>
      <c r="U414" s="1302">
        <f t="shared" si="2731"/>
        <v>0.0107276119402985</v>
      </c>
      <c r="V414" s="1302">
        <f t="shared" si="2731"/>
        <v>0.0110711582134746</v>
      </c>
      <c r="W414" s="1302">
        <f t="shared" si="2731"/>
        <v>0.0148514851485149</v>
      </c>
      <c r="X414" s="1302">
        <f t="shared" si="2731"/>
        <v>0.0123664980326026</v>
      </c>
      <c r="Y414" s="1302">
        <f t="shared" si="2731"/>
        <v>0.0118692146909525</v>
      </c>
      <c r="Z414" s="1302">
        <f t="shared" si="2731"/>
        <v>0.0158788774002954</v>
      </c>
      <c r="AA414" s="1302">
        <f t="shared" si="2731"/>
        <v>0.01875</v>
      </c>
      <c r="AB414" s="1302">
        <f t="shared" si="2731"/>
        <v>0.017178658043654</v>
      </c>
      <c r="AC414" s="1302">
        <f t="shared" si="2731"/>
        <v>0.0155510480054091</v>
      </c>
      <c r="AD414" s="1302">
        <f t="shared" si="2731"/>
        <v>0.0165696939033645</v>
      </c>
      <c r="AE414" s="1302">
        <f t="shared" si="2731"/>
        <v>0.0249875062468766</v>
      </c>
      <c r="AF414" s="1302">
        <f t="shared" si="2731"/>
        <v>0.0193585691330508</v>
      </c>
      <c r="AG414" s="1302">
        <f t="shared" si="2731"/>
        <v>0.0182699101645301</v>
      </c>
      <c r="AH414" s="1302">
        <f t="shared" si="2731"/>
        <v>0.0172921265636497</v>
      </c>
      <c r="AI414" s="1302">
        <f t="shared" si="2731"/>
        <v>0.0209760273972603</v>
      </c>
      <c r="AJ414" s="1302">
        <f t="shared" si="2731"/>
        <v>0.0189948555599525</v>
      </c>
      <c r="AK414" s="1302">
        <f t="shared" si="2731"/>
        <v>0.0158730158730159</v>
      </c>
      <c r="AL414" s="1302">
        <f t="shared" si="2731"/>
        <v>0.0178126561782374</v>
      </c>
      <c r="AM414" s="1302">
        <f t="shared" si="2731"/>
        <v>0.0251046025104603</v>
      </c>
      <c r="AN414" s="1302">
        <f t="shared" si="2731"/>
        <v>0.0198412698412698</v>
      </c>
      <c r="AO414" s="1302">
        <f t="shared" si="2731"/>
        <v>0.0194401676678227</v>
      </c>
      <c r="AP414" s="1302">
        <f t="shared" si="2731"/>
        <v>0.017798286090969</v>
      </c>
      <c r="AQ414" s="1302">
        <f t="shared" si="2731"/>
        <v>0.0232371794871795</v>
      </c>
      <c r="AR414" s="1302">
        <f t="shared" si="2731"/>
        <v>0.020253164556962</v>
      </c>
      <c r="AS414" s="1302">
        <f t="shared" si="2731"/>
        <v>0.0178890876565295</v>
      </c>
      <c r="AT414" s="1302">
        <f t="shared" si="2731"/>
        <v>0.0193606483565961</v>
      </c>
      <c r="AU414" s="1302">
        <f t="shared" si="2731"/>
        <v>0.0244077530509691</v>
      </c>
      <c r="AV414" s="1302">
        <f t="shared" si="2731"/>
        <v>0.0208469055374593</v>
      </c>
      <c r="AW414" s="1302">
        <f t="shared" si="2731"/>
        <v>0.0205655526992288</v>
      </c>
      <c r="AX414" s="1303">
        <f t="shared" si="2731"/>
        <v>0.0186136071887035</v>
      </c>
      <c r="AY414" s="1302">
        <f t="shared" si="2731"/>
        <v>0.0226608187134503</v>
      </c>
      <c r="AZ414" s="1302">
        <f t="shared" si="2731"/>
        <v>0.0205058099794942</v>
      </c>
      <c r="BA414" s="1302">
        <f t="shared" si="2731"/>
        <v>0.0173184357541899</v>
      </c>
      <c r="BB414" s="1302">
        <f t="shared" si="2731"/>
        <v>0.019632678910703</v>
      </c>
      <c r="BC414" s="1302">
        <f t="shared" si="2731"/>
        <v>0.0275886778932282</v>
      </c>
      <c r="BD414" s="1302">
        <f t="shared" si="2731"/>
        <v>0.0218210361067504</v>
      </c>
      <c r="BE414" s="1304">
        <f t="shared" si="2731"/>
        <v>0.0220709344460305</v>
      </c>
      <c r="BF414" s="1302">
        <f t="shared" si="2731"/>
        <v>0.0207570207570208</v>
      </c>
      <c r="BG414" s="1302">
        <f t="shared" si="2731"/>
        <v>0.0225688682376369</v>
      </c>
      <c r="BH414" s="1302">
        <f t="shared" si="2731"/>
        <v>0.0216250596279218</v>
      </c>
      <c r="BI414" s="1302">
        <f t="shared" si="2731"/>
        <v>0.0187566988210075</v>
      </c>
      <c r="BJ414" s="1302">
        <f t="shared" si="2731"/>
        <v>0.0205568306556232</v>
      </c>
      <c r="BK414" s="1302">
        <f t="shared" si="2731"/>
        <v>0.0258107213765718</v>
      </c>
      <c r="BL414" s="1302">
        <f t="shared" si="2731"/>
        <v>0.0219129404797157</v>
      </c>
      <c r="BM414" s="1302">
        <f t="shared" si="2731"/>
        <v>0.021774131718163</v>
      </c>
      <c r="BN414" s="1303">
        <f t="shared" si="2731"/>
        <v>0.0215698022768125</v>
      </c>
      <c r="BO414" s="1302">
        <f t="shared" ref="BO414:CJ414" si="2732">BO412/BO$388</f>
        <v>0.0244252873563218</v>
      </c>
      <c r="BP414" s="1302">
        <f t="shared" si="2732"/>
        <v>0.0228683436785364</v>
      </c>
      <c r="BQ414" s="1302">
        <f t="shared" si="2732"/>
        <v>0.0194279546681058</v>
      </c>
      <c r="BR414" s="1302">
        <f t="shared" si="2732"/>
        <v>0.0215710215710216</v>
      </c>
      <c r="BS414" s="1302">
        <f t="shared" si="2732"/>
        <v>0.0251107828655835</v>
      </c>
      <c r="BT414" s="1302">
        <f t="shared" si="2732"/>
        <v>0.0218272528843156</v>
      </c>
      <c r="BU414" s="1304">
        <f t="shared" si="2732"/>
        <v>0.0223356732610083</v>
      </c>
      <c r="BV414" s="1303">
        <f t="shared" si="2732"/>
        <v>0.0199335548172757</v>
      </c>
      <c r="BW414" s="1302">
        <f t="shared" si="2732"/>
        <v>0.0221270521056388</v>
      </c>
      <c r="BX414" s="1302">
        <f t="shared" si="2732"/>
        <v>0.0209910529938059</v>
      </c>
      <c r="BY414" s="1302">
        <f t="shared" si="2732"/>
        <v>0.0182025028441411</v>
      </c>
      <c r="BZ414" s="1302">
        <f t="shared" si="2732"/>
        <v>0.0199399656946827</v>
      </c>
      <c r="CA414" s="1302">
        <f t="shared" si="2732"/>
        <v>0.0317725752508361</v>
      </c>
      <c r="CB414" s="1302">
        <f t="shared" si="2732"/>
        <v>0.0206672571597284</v>
      </c>
      <c r="CC414" s="1304">
        <f t="shared" si="2732"/>
        <v>0.0223549488054607</v>
      </c>
      <c r="CD414" s="1303">
        <f t="shared" si="2732"/>
        <v>0.0143454871488344</v>
      </c>
      <c r="CE414" s="1302">
        <f t="shared" si="2732"/>
        <v>0.016490765171504</v>
      </c>
      <c r="CF414" s="1302">
        <f t="shared" si="2732"/>
        <v>0.015365318281593</v>
      </c>
      <c r="CG414" s="1302">
        <f t="shared" si="2732"/>
        <v>0.0135135135135135</v>
      </c>
      <c r="CH414" s="1302">
        <f t="shared" si="2732"/>
        <v>0.0146684920790143</v>
      </c>
      <c r="CI414" s="1302">
        <f t="shared" si="2732"/>
        <v>0.0249835634451019</v>
      </c>
      <c r="CJ414" s="1302">
        <f t="shared" si="2732"/>
        <v>0.018577648766328</v>
      </c>
      <c r="CK414" s="1304">
        <f t="shared" ref="CK414:CP414" si="2733">CK412/CK$388</f>
        <v>0.01703346397347</v>
      </c>
      <c r="CL414" s="1303">
        <v>0.0154534363562424</v>
      </c>
      <c r="CM414" s="1302">
        <f t="shared" si="2733"/>
        <v>0.017833607907743</v>
      </c>
      <c r="CN414" s="1302">
        <f t="shared" si="2733"/>
        <v>0.0167792101493759</v>
      </c>
      <c r="CO414" s="1302">
        <f t="shared" si="2733"/>
        <v>0.0152594099694812</v>
      </c>
      <c r="CP414" s="1302">
        <f t="shared" si="2733"/>
        <v>0.0162072485962226</v>
      </c>
      <c r="CQ414" s="1302">
        <f>CQ412/CQ388</f>
        <v>0.0293594306049822</v>
      </c>
      <c r="CR414" s="1302">
        <f t="shared" ref="CR414:DA414" si="2734">CR412/CR$388</f>
        <v>0.0157782853484022</v>
      </c>
      <c r="CS414" s="1304">
        <f t="shared" si="2734"/>
        <v>0.0191392304641015</v>
      </c>
      <c r="CT414" s="1303">
        <f t="shared" si="2734"/>
        <v>0.0197005516154452</v>
      </c>
      <c r="CU414" s="1302">
        <f t="shared" si="2734"/>
        <v>0.0208333333333333</v>
      </c>
      <c r="CV414" s="1302">
        <f t="shared" si="2734"/>
        <v>0.0202511138112596</v>
      </c>
      <c r="CW414" s="1302">
        <f t="shared" si="2734"/>
        <v>0.0176810608636518</v>
      </c>
      <c r="CX414" s="1302">
        <f t="shared" si="2734"/>
        <v>0.0192917882980074</v>
      </c>
      <c r="CY414" s="1302">
        <f t="shared" si="2734"/>
        <v>0.0260438197602315</v>
      </c>
      <c r="CZ414" s="1302">
        <f t="shared" si="2734"/>
        <v>0.021455223880597</v>
      </c>
      <c r="DA414" s="1304">
        <f t="shared" si="2734"/>
        <v>0.0208778403573509</v>
      </c>
      <c r="DB414" s="1109"/>
      <c r="DC414" s="1082"/>
      <c r="DD414" s="1082"/>
      <c r="DE414" s="1082"/>
      <c r="DF414" s="1082"/>
      <c r="DG414" s="1082"/>
      <c r="DH414" s="1082"/>
      <c r="DI414" s="1085"/>
      <c r="DJ414" s="1082"/>
      <c r="DK414" s="1082"/>
      <c r="DL414" s="1082"/>
      <c r="DM414" s="1082"/>
      <c r="DN414" s="1082"/>
      <c r="DO414" s="1082"/>
      <c r="DP414" s="1082"/>
      <c r="DQ414" s="1085"/>
      <c r="DR414" s="1082"/>
      <c r="DS414" s="1082"/>
      <c r="DT414" s="1082"/>
      <c r="DU414" s="1082"/>
      <c r="DV414" s="1082"/>
      <c r="DW414" s="1082"/>
      <c r="DX414" s="1082"/>
      <c r="DY414" s="1085"/>
      <c r="DZ414" s="1082"/>
      <c r="EA414" s="1082"/>
      <c r="EB414" s="1082"/>
      <c r="EC414" s="1082"/>
      <c r="ED414" s="1082"/>
      <c r="EE414" s="1082"/>
      <c r="EF414" s="1082"/>
      <c r="EG414" s="1085"/>
      <c r="EH414" s="1082"/>
      <c r="EI414" s="1082"/>
      <c r="EJ414" s="1082"/>
      <c r="EK414" s="1082"/>
      <c r="EL414" s="1082"/>
      <c r="EM414" s="1082"/>
      <c r="EN414" s="1082"/>
      <c r="EO414" s="1085"/>
      <c r="EP414" s="1082"/>
      <c r="EQ414" s="1082"/>
      <c r="ER414" s="1082"/>
      <c r="ES414" s="1082"/>
      <c r="ET414" s="1082"/>
      <c r="EU414" s="1082"/>
      <c r="EV414" s="1082"/>
      <c r="EW414" s="1085"/>
      <c r="EX414" s="1082"/>
      <c r="EY414" s="1082"/>
      <c r="EZ414" s="1082"/>
      <c r="FA414" s="1082"/>
      <c r="FB414" s="1082"/>
      <c r="FC414" s="1082"/>
      <c r="FD414" s="1082"/>
      <c r="FE414" s="1085"/>
      <c r="FF414" s="1082"/>
      <c r="FG414" s="1314"/>
      <c r="FH414" s="1087"/>
      <c r="FI414" s="1082"/>
      <c r="FJ414" s="1082"/>
      <c r="FK414" s="1082"/>
      <c r="FL414" s="1082"/>
      <c r="FM414" s="1085"/>
      <c r="FN414" s="1082"/>
      <c r="FO414" s="1314"/>
      <c r="FP414" s="1087"/>
      <c r="FQ414" s="1082"/>
      <c r="FR414" s="1082"/>
      <c r="FS414" s="1082"/>
      <c r="FT414" s="1082"/>
      <c r="FU414" s="1082"/>
      <c r="FV414" s="1333"/>
      <c r="FW414" s="1035"/>
      <c r="FX414" s="1035"/>
      <c r="FY414" s="1082"/>
      <c r="FZ414" s="1082"/>
      <c r="GA414" s="1082"/>
      <c r="GB414" s="1082"/>
      <c r="GC414" s="1085"/>
      <c r="GD414" s="1035"/>
      <c r="GE414" s="1035"/>
      <c r="GF414" s="1035"/>
      <c r="GG414" s="1111"/>
      <c r="GH414" s="1082"/>
      <c r="GI414" s="1082"/>
      <c r="GJ414" s="1082"/>
      <c r="GK414" s="1085"/>
      <c r="GL414" s="1035"/>
      <c r="GM414" s="883"/>
      <c r="GN414" s="1035"/>
      <c r="GO414" s="1111"/>
      <c r="GP414" s="1082"/>
      <c r="GQ414" s="1082"/>
      <c r="GR414" s="1082"/>
      <c r="GS414" s="1085"/>
      <c r="GT414" s="1035"/>
      <c r="GU414" s="883"/>
      <c r="GV414" s="1035"/>
      <c r="GW414" s="1111"/>
      <c r="GX414" s="1082"/>
      <c r="GY414" s="1082"/>
      <c r="GZ414" s="1082"/>
      <c r="HA414" s="1085"/>
      <c r="HC414" s="1082"/>
      <c r="HD414" s="1082"/>
      <c r="HE414" s="1082"/>
      <c r="HF414" s="1082"/>
      <c r="HG414" s="1082"/>
      <c r="HH414" s="1082"/>
      <c r="HI414" s="1085"/>
      <c r="HK414" s="1082"/>
      <c r="HL414" s="1082"/>
      <c r="HM414" s="1082"/>
      <c r="HN414" s="1082"/>
      <c r="HO414" s="1082"/>
      <c r="HP414" s="1082"/>
      <c r="HQ414" s="1085"/>
      <c r="HS414" s="1082"/>
      <c r="HT414" s="1082"/>
      <c r="HU414" s="1082"/>
      <c r="HV414" s="1082"/>
      <c r="HW414" s="1082"/>
      <c r="HX414" s="1082"/>
      <c r="HY414" s="1085"/>
      <c r="IA414" s="1082"/>
      <c r="IB414" s="1082"/>
      <c r="IC414" s="1082"/>
      <c r="ID414" s="1082"/>
      <c r="IE414" s="1082"/>
      <c r="IF414" s="1082"/>
      <c r="IG414" s="1085"/>
      <c r="II414" s="1082"/>
      <c r="IJ414" s="1082"/>
      <c r="IK414" s="1082"/>
      <c r="IL414" s="1082"/>
      <c r="IM414" s="1082"/>
      <c r="IN414" s="1082"/>
      <c r="IO414" s="1085"/>
      <c r="IQ414" s="1082"/>
      <c r="IR414" s="1082"/>
      <c r="IS414" s="1082"/>
      <c r="IT414" s="1082"/>
      <c r="IU414" s="1082"/>
      <c r="IV414" s="1082"/>
      <c r="IW414" s="1085"/>
      <c r="IX414" s="1087"/>
      <c r="IY414" s="1037"/>
      <c r="IZ414" s="1071"/>
      <c r="JA414" s="1071"/>
      <c r="JB414" s="1071"/>
      <c r="JC414" s="1049"/>
      <c r="JD414" s="1049"/>
      <c r="JE414" s="1334"/>
      <c r="JF414" s="1037"/>
      <c r="JG414" s="1037"/>
      <c r="JH414" s="1037"/>
      <c r="JI414" s="1035"/>
      <c r="JJ414" s="1035"/>
      <c r="JK414" s="1035"/>
      <c r="JL414" s="1035"/>
      <c r="JM414" s="1035"/>
      <c r="JN414" s="1035"/>
      <c r="JO414" s="1035"/>
      <c r="JP414" s="1035"/>
      <c r="JQ414" s="1035"/>
      <c r="JR414" s="1035"/>
      <c r="JS414" s="1035"/>
      <c r="JT414" s="1035"/>
      <c r="JU414" s="1035"/>
      <c r="JV414" s="1035"/>
      <c r="JW414" s="1035"/>
      <c r="JX414" s="1035"/>
      <c r="JY414" s="1035"/>
      <c r="KP414" s="967"/>
    </row>
    <row r="415" collapsed="1" spans="1:302">
      <c r="A415" s="1306" t="s">
        <v>590</v>
      </c>
      <c r="B415" s="1307">
        <f t="shared" ref="B415:BM415" si="2735">B409+B412</f>
        <v>290</v>
      </c>
      <c r="C415" s="1307">
        <f t="shared" si="2735"/>
        <v>254</v>
      </c>
      <c r="D415" s="1307">
        <f t="shared" si="2735"/>
        <v>544</v>
      </c>
      <c r="E415" s="1307">
        <f t="shared" si="2735"/>
        <v>309</v>
      </c>
      <c r="F415" s="1307">
        <f t="shared" si="2735"/>
        <v>853</v>
      </c>
      <c r="G415" s="1307">
        <f t="shared" si="2735"/>
        <v>293</v>
      </c>
      <c r="H415" s="1307">
        <f t="shared" si="2735"/>
        <v>602</v>
      </c>
      <c r="I415" s="1307">
        <f t="shared" si="2735"/>
        <v>1146</v>
      </c>
      <c r="J415" s="1307">
        <f t="shared" si="2735"/>
        <v>173.3307</v>
      </c>
      <c r="K415" s="1307">
        <f t="shared" si="2735"/>
        <v>185.6019</v>
      </c>
      <c r="L415" s="1307">
        <f t="shared" si="2735"/>
        <v>358.9326</v>
      </c>
      <c r="M415" s="1307">
        <f t="shared" si="2735"/>
        <v>211.6782</v>
      </c>
      <c r="N415" s="1307">
        <f t="shared" si="2735"/>
        <v>570.6108</v>
      </c>
      <c r="O415" s="1307">
        <f t="shared" si="2735"/>
        <v>205.005735</v>
      </c>
      <c r="P415" s="1307">
        <f t="shared" si="2735"/>
        <v>416.683935</v>
      </c>
      <c r="Q415" s="1307">
        <f t="shared" si="2735"/>
        <v>775.616535</v>
      </c>
      <c r="R415" s="1307">
        <f t="shared" si="2735"/>
        <v>254.88305</v>
      </c>
      <c r="S415" s="1307">
        <f t="shared" si="2735"/>
        <v>276.1004661</v>
      </c>
      <c r="T415" s="1307">
        <f t="shared" si="2735"/>
        <v>530.9835161</v>
      </c>
      <c r="U415" s="1307">
        <f t="shared" si="2735"/>
        <v>307.2913</v>
      </c>
      <c r="V415" s="1307">
        <f t="shared" si="2735"/>
        <v>838.2748161</v>
      </c>
      <c r="W415" s="1307">
        <f t="shared" si="2735"/>
        <v>290.9297</v>
      </c>
      <c r="X415" s="1307">
        <f t="shared" si="2735"/>
        <v>598.221</v>
      </c>
      <c r="Y415" s="1307">
        <f t="shared" si="2735"/>
        <v>1129.2045161</v>
      </c>
      <c r="Z415" s="1307">
        <f t="shared" si="2735"/>
        <v>426.9355</v>
      </c>
      <c r="AA415" s="1307">
        <f t="shared" si="2735"/>
        <v>448.9214</v>
      </c>
      <c r="AB415" s="1307">
        <f t="shared" si="2735"/>
        <v>875.8569</v>
      </c>
      <c r="AC415" s="1307">
        <f t="shared" si="2735"/>
        <v>442.7858</v>
      </c>
      <c r="AD415" s="1307">
        <f t="shared" si="2735"/>
        <v>1318.6427</v>
      </c>
      <c r="AE415" s="1307">
        <f t="shared" si="2735"/>
        <v>428.4694</v>
      </c>
      <c r="AF415" s="1307">
        <f t="shared" si="2735"/>
        <v>871.2552</v>
      </c>
      <c r="AG415" s="1307">
        <f t="shared" si="2735"/>
        <v>1747.1121</v>
      </c>
      <c r="AH415" s="1307">
        <f t="shared" si="2735"/>
        <v>480.1107</v>
      </c>
      <c r="AI415" s="1307">
        <f t="shared" si="2735"/>
        <v>482.6672</v>
      </c>
      <c r="AJ415" s="1307">
        <f t="shared" si="2735"/>
        <v>962.7779</v>
      </c>
      <c r="AK415" s="1307">
        <f t="shared" si="2735"/>
        <v>447</v>
      </c>
      <c r="AL415" s="1307">
        <f t="shared" si="2735"/>
        <v>1409.7779</v>
      </c>
      <c r="AM415" s="1307">
        <f t="shared" si="2735"/>
        <v>501</v>
      </c>
      <c r="AN415" s="1307">
        <f t="shared" si="2735"/>
        <v>948</v>
      </c>
      <c r="AO415" s="1307">
        <f t="shared" si="2735"/>
        <v>1910.7779</v>
      </c>
      <c r="AP415" s="1307">
        <f t="shared" si="2735"/>
        <v>533</v>
      </c>
      <c r="AQ415" s="1307">
        <f t="shared" si="2735"/>
        <v>518</v>
      </c>
      <c r="AR415" s="1307">
        <f t="shared" si="2735"/>
        <v>1051</v>
      </c>
      <c r="AS415" s="1307">
        <f t="shared" si="2735"/>
        <v>525</v>
      </c>
      <c r="AT415" s="1307">
        <f t="shared" si="2735"/>
        <v>1576</v>
      </c>
      <c r="AU415" s="1307">
        <f t="shared" si="2735"/>
        <v>557</v>
      </c>
      <c r="AV415" s="1307">
        <f t="shared" si="2735"/>
        <v>1082</v>
      </c>
      <c r="AW415" s="1307">
        <f t="shared" si="2735"/>
        <v>2133</v>
      </c>
      <c r="AX415" s="1308">
        <f t="shared" si="2735"/>
        <v>535</v>
      </c>
      <c r="AY415" s="1307">
        <f t="shared" si="2735"/>
        <v>553.5</v>
      </c>
      <c r="AZ415" s="1307">
        <f t="shared" si="2735"/>
        <v>1088.5</v>
      </c>
      <c r="BA415" s="1307">
        <f t="shared" si="2735"/>
        <v>541</v>
      </c>
      <c r="BB415" s="1307">
        <f t="shared" si="2735"/>
        <v>1094.5</v>
      </c>
      <c r="BC415" s="1307">
        <f t="shared" si="2735"/>
        <v>535.5</v>
      </c>
      <c r="BD415" s="1307">
        <f t="shared" si="2735"/>
        <v>1076.5</v>
      </c>
      <c r="BE415" s="1309">
        <f t="shared" si="2735"/>
        <v>1630</v>
      </c>
      <c r="BF415" s="1307">
        <f t="shared" si="2735"/>
        <v>597</v>
      </c>
      <c r="BG415" s="1307">
        <f t="shared" si="2735"/>
        <v>617.0155</v>
      </c>
      <c r="BH415" s="1307">
        <f t="shared" si="2735"/>
        <v>1214.0155</v>
      </c>
      <c r="BI415" s="1307">
        <f t="shared" si="2735"/>
        <v>587</v>
      </c>
      <c r="BJ415" s="1307">
        <f t="shared" si="2735"/>
        <v>1801.0155</v>
      </c>
      <c r="BK415" s="1307">
        <f t="shared" si="2735"/>
        <v>587</v>
      </c>
      <c r="BL415" s="1307">
        <f t="shared" si="2735"/>
        <v>1174</v>
      </c>
      <c r="BM415" s="1307">
        <f t="shared" si="2735"/>
        <v>2388.0155</v>
      </c>
      <c r="BN415" s="1308">
        <f t="shared" ref="BN415:CP415" si="2736">BN409+BN412</f>
        <v>603</v>
      </c>
      <c r="BO415" s="1307">
        <f t="shared" si="2736"/>
        <v>573</v>
      </c>
      <c r="BP415" s="1307">
        <f t="shared" si="2736"/>
        <v>1176</v>
      </c>
      <c r="BQ415" s="1307">
        <f t="shared" si="2736"/>
        <v>576</v>
      </c>
      <c r="BR415" s="1307">
        <f t="shared" si="2736"/>
        <v>1752</v>
      </c>
      <c r="BS415" s="1307">
        <f t="shared" si="2736"/>
        <v>617</v>
      </c>
      <c r="BT415" s="1307">
        <f t="shared" si="2736"/>
        <v>1193</v>
      </c>
      <c r="BU415" s="1309">
        <f t="shared" si="2736"/>
        <v>2369</v>
      </c>
      <c r="BV415" s="1308">
        <f t="shared" si="2736"/>
        <v>556</v>
      </c>
      <c r="BW415" s="1307">
        <f t="shared" si="2736"/>
        <v>575</v>
      </c>
      <c r="BX415" s="1307">
        <f t="shared" si="2736"/>
        <v>1131</v>
      </c>
      <c r="BY415" s="1307">
        <f t="shared" si="2736"/>
        <v>581</v>
      </c>
      <c r="BZ415" s="1307">
        <f t="shared" si="2736"/>
        <v>1712</v>
      </c>
      <c r="CA415" s="1307">
        <f t="shared" si="2736"/>
        <v>560</v>
      </c>
      <c r="CB415" s="1307">
        <f t="shared" si="2736"/>
        <v>1141</v>
      </c>
      <c r="CC415" s="1309">
        <f t="shared" si="2736"/>
        <v>2272</v>
      </c>
      <c r="CD415" s="1308">
        <f t="shared" si="2736"/>
        <v>610</v>
      </c>
      <c r="CE415" s="1307">
        <f t="shared" si="2736"/>
        <v>601</v>
      </c>
      <c r="CF415" s="1307">
        <f t="shared" si="2736"/>
        <v>1211</v>
      </c>
      <c r="CG415" s="1307">
        <f t="shared" si="2736"/>
        <v>632</v>
      </c>
      <c r="CH415" s="1307">
        <f t="shared" si="2736"/>
        <v>1843</v>
      </c>
      <c r="CI415" s="1307">
        <f t="shared" si="2736"/>
        <v>694</v>
      </c>
      <c r="CJ415" s="1307">
        <f t="shared" si="2736"/>
        <v>1326</v>
      </c>
      <c r="CK415" s="1309">
        <f t="shared" si="2736"/>
        <v>2537</v>
      </c>
      <c r="CL415" s="1308">
        <f t="shared" si="2736"/>
        <v>874</v>
      </c>
      <c r="CM415" s="1307">
        <f t="shared" si="2736"/>
        <v>934.3</v>
      </c>
      <c r="CN415" s="1307">
        <f t="shared" si="2736"/>
        <v>1809</v>
      </c>
      <c r="CO415" s="1307">
        <f t="shared" si="2736"/>
        <v>941</v>
      </c>
      <c r="CP415" s="1307">
        <f t="shared" si="2736"/>
        <v>2750</v>
      </c>
      <c r="CQ415" s="1307">
        <f t="shared" ref="CQ415:CX415" si="2737">CQ409+CQ412</f>
        <v>954</v>
      </c>
      <c r="CR415" s="1307">
        <f t="shared" si="2737"/>
        <v>1809</v>
      </c>
      <c r="CS415" s="1309">
        <f t="shared" si="2737"/>
        <v>3704</v>
      </c>
      <c r="CT415" s="1308">
        <f t="shared" si="2737"/>
        <v>982</v>
      </c>
      <c r="CU415" s="1307">
        <v>972</v>
      </c>
      <c r="CV415" s="1307">
        <f t="shared" si="2737"/>
        <v>1954</v>
      </c>
      <c r="CW415" s="1307">
        <f t="shared" si="2737"/>
        <v>983</v>
      </c>
      <c r="CX415" s="1307">
        <f t="shared" si="2737"/>
        <v>2937</v>
      </c>
      <c r="CY415" s="1307">
        <f>DA415-CX415</f>
        <v>1098</v>
      </c>
      <c r="CZ415" s="1307">
        <f>CZ409+CZ412</f>
        <v>2081</v>
      </c>
      <c r="DA415" s="1309">
        <f>DA409+DA412</f>
        <v>4035</v>
      </c>
      <c r="DB415" s="1310">
        <v>1028</v>
      </c>
      <c r="DC415" s="1311">
        <f>DD415-DB415</f>
        <v>1075</v>
      </c>
      <c r="DD415" s="1311">
        <v>2103</v>
      </c>
      <c r="DE415" s="1311">
        <f>DE395+DE399-DE426</f>
        <v>1017</v>
      </c>
      <c r="DF415" s="1311">
        <v>3163</v>
      </c>
      <c r="DG415" s="1311">
        <f>DI415-DF415</f>
        <v>855</v>
      </c>
      <c r="DH415" s="1311">
        <f>DI415-DD415</f>
        <v>1915</v>
      </c>
      <c r="DI415" s="1312">
        <f>DI395+DI399-DI426</f>
        <v>4018</v>
      </c>
      <c r="DJ415" s="1311">
        <f>DJ417*DJ388</f>
        <v>1151.919</v>
      </c>
      <c r="DK415" s="1311">
        <f>DK417*DK388</f>
        <v>1078.623</v>
      </c>
      <c r="DL415" s="1311">
        <f>DK415+DJ415</f>
        <v>2230.542</v>
      </c>
      <c r="DM415" s="1311">
        <v>1014</v>
      </c>
      <c r="DN415" s="1311">
        <v>3246</v>
      </c>
      <c r="DO415" s="1311">
        <f>DO417*DO388</f>
        <v>1145.428</v>
      </c>
      <c r="DP415" s="1311">
        <f>DO415+DM415</f>
        <v>2159.428</v>
      </c>
      <c r="DQ415" s="1335">
        <f>'Profit and Loss'!P360+'Profit and Loss'!P364</f>
        <v>4290</v>
      </c>
      <c r="DR415" s="1311">
        <f t="shared" ref="DR415:DY415" si="2738">DR395-DR426+DR399</f>
        <v>1061.564</v>
      </c>
      <c r="DS415" s="1311">
        <f t="shared" si="2738"/>
        <v>1255.413</v>
      </c>
      <c r="DT415" s="1311">
        <f t="shared" si="2738"/>
        <v>2318.92</v>
      </c>
      <c r="DU415" s="1311">
        <f t="shared" si="2738"/>
        <v>1255.364</v>
      </c>
      <c r="DV415" s="1311">
        <f t="shared" si="2738"/>
        <v>3571.956</v>
      </c>
      <c r="DW415" s="1311">
        <f t="shared" si="2738"/>
        <v>1362.044</v>
      </c>
      <c r="DX415" s="1311">
        <f t="shared" si="2738"/>
        <v>2617.408</v>
      </c>
      <c r="DY415" s="1312">
        <f t="shared" si="2738"/>
        <v>4934</v>
      </c>
      <c r="DZ415" s="1311">
        <f>DZ395+DZ399-DZ426</f>
        <v>1292.405</v>
      </c>
      <c r="EA415" s="1311">
        <f>EA395+EA399-EA426</f>
        <v>1309</v>
      </c>
      <c r="EB415" s="1311">
        <f>DZ415+EA415</f>
        <v>2601.405</v>
      </c>
      <c r="EC415" s="1311">
        <f>EC395+EC399-EC426</f>
        <v>1344</v>
      </c>
      <c r="ED415" s="1311">
        <f>EB415+EC415</f>
        <v>3945.405</v>
      </c>
      <c r="EE415" s="1311">
        <f>EE395+EE399-EE426</f>
        <v>1528</v>
      </c>
      <c r="EF415" s="1311">
        <f>EE415+EC415</f>
        <v>2872</v>
      </c>
      <c r="EG415" s="1312">
        <f>DZ415+EA415+EC415+EE415</f>
        <v>5473.405</v>
      </c>
      <c r="EH415" s="1311">
        <f>EH395+EH399-EH426-EH418</f>
        <v>1379</v>
      </c>
      <c r="EI415" s="1311">
        <f>EI395+EI399-EI426-EI418</f>
        <v>1406</v>
      </c>
      <c r="EJ415" s="1311">
        <f>EH415+EI415</f>
        <v>2785</v>
      </c>
      <c r="EK415" s="1311">
        <f>EK395+EK399-EK426-EK418</f>
        <v>1439</v>
      </c>
      <c r="EL415" s="1311">
        <f>EJ415+EK415</f>
        <v>4224</v>
      </c>
      <c r="EM415" s="1311">
        <f>EM395+EM399-EM426-EM418</f>
        <v>1803</v>
      </c>
      <c r="EN415" s="1311">
        <f>EM415+EK415</f>
        <v>3242</v>
      </c>
      <c r="EO415" s="1312">
        <f>EH415+EI415+EK415+EM415</f>
        <v>6027</v>
      </c>
      <c r="EP415" s="1311">
        <f>EP395+EP399-EP418-EP426</f>
        <v>1396</v>
      </c>
      <c r="EQ415" s="1311">
        <f>EQ395+EQ399-EQ418-EQ426</f>
        <v>1401</v>
      </c>
      <c r="ER415" s="1311">
        <f>EP415+EQ415</f>
        <v>2797</v>
      </c>
      <c r="ES415" s="1311">
        <f>ES395+ES399-ES418-ES426</f>
        <v>1404</v>
      </c>
      <c r="ET415" s="1311">
        <f>ER415+ES415</f>
        <v>4201</v>
      </c>
      <c r="EU415" s="1311">
        <f>EU395+EU399-EU418-EU426</f>
        <v>1555</v>
      </c>
      <c r="EV415" s="1311">
        <f>ES415+EU415</f>
        <v>2959</v>
      </c>
      <c r="EW415" s="1312">
        <f>EP415+EQ415+ES415+EU415</f>
        <v>5756</v>
      </c>
      <c r="EX415" s="1311">
        <f>EX395+EX399-EX418-EX426</f>
        <v>1358</v>
      </c>
      <c r="EY415" s="1314">
        <f>EY395+EY399-EY418-EY422</f>
        <v>1408</v>
      </c>
      <c r="EZ415" s="1311">
        <f>EX415+EY415</f>
        <v>2766</v>
      </c>
      <c r="FA415" s="1311">
        <f>FA395+FA399-FA418-FA422</f>
        <v>1462</v>
      </c>
      <c r="FB415" s="1311">
        <f>EZ415+FA415</f>
        <v>4228</v>
      </c>
      <c r="FC415" s="1311">
        <f>FE415-FB415</f>
        <v>1592</v>
      </c>
      <c r="FD415" s="1311">
        <f>FA415+FC415</f>
        <v>3054</v>
      </c>
      <c r="FE415" s="1312">
        <f>'Profit and Loss'!U360</f>
        <v>5820</v>
      </c>
      <c r="FF415" s="1314">
        <f>FF395+FF399-FF418-FF422</f>
        <v>1576</v>
      </c>
      <c r="FG415" s="1314">
        <f>FG395+FG399-FG418-FG422</f>
        <v>1603</v>
      </c>
      <c r="FH415" s="1314">
        <f>FH395+FH399-FH418-FH422</f>
        <v>3179</v>
      </c>
      <c r="FI415" s="1314">
        <f>FI395+FI399-FI418-FI422</f>
        <v>1747</v>
      </c>
      <c r="FJ415" s="1314">
        <f>FJ395+FJ399-FJ418-FJ422</f>
        <v>4926</v>
      </c>
      <c r="FK415" s="1311">
        <f>FM415-FJ415</f>
        <v>1914</v>
      </c>
      <c r="FL415" s="1311">
        <f>FM415-FH415</f>
        <v>3661</v>
      </c>
      <c r="FM415" s="1328">
        <f>FM395+FM399-FM418-FM422</f>
        <v>6840</v>
      </c>
      <c r="FN415" s="1314">
        <f>FN395+FN399-FN418-FN422</f>
        <v>1806</v>
      </c>
      <c r="FO415" s="1314">
        <f>FO395+FO399-FO418-FO426</f>
        <v>1686</v>
      </c>
      <c r="FP415" s="1314">
        <f>FN415+FO415</f>
        <v>3492</v>
      </c>
      <c r="FQ415" s="1314">
        <f>FQ395+FQ399-FQ418-FQ426</f>
        <v>1948.93220338983</v>
      </c>
      <c r="FR415" s="1314">
        <f>FN415+FO415+FQ415</f>
        <v>5440.93220338983</v>
      </c>
      <c r="FS415" s="1314">
        <f>FS395+FS399-FS418-FS426</f>
        <v>2169.06779661017</v>
      </c>
      <c r="FT415" s="1314">
        <f>FQ415+FS415</f>
        <v>4118</v>
      </c>
      <c r="FU415" s="1314">
        <f>FU395+FU399-FU418-FU426</f>
        <v>7609</v>
      </c>
      <c r="FV415" s="1313">
        <f>FV395+FV399-FV418-FV422</f>
        <v>1967</v>
      </c>
      <c r="FW415" s="1314">
        <f>FW395+FW399-FW418-FW426</f>
        <v>1955</v>
      </c>
      <c r="FX415" s="1314">
        <f>FV415+FW415</f>
        <v>3922</v>
      </c>
      <c r="FY415" s="1314">
        <f>FY395+FY399-FY418-FY426</f>
        <v>1992</v>
      </c>
      <c r="FZ415" s="1314">
        <f>FV415+FW415+FY415</f>
        <v>5914</v>
      </c>
      <c r="GA415" s="1314">
        <f>GA395+GA399-GA418-GA426</f>
        <v>2383</v>
      </c>
      <c r="GB415" s="1314">
        <f>FY415+GA415</f>
        <v>4375</v>
      </c>
      <c r="GC415" s="1328">
        <f>GC395+GC399-GC418-GC426</f>
        <v>8297</v>
      </c>
      <c r="GD415" s="1314">
        <f>GD417*GD388</f>
        <v>2004</v>
      </c>
      <c r="GE415" s="1314">
        <f>GE417*GE388</f>
        <v>2082</v>
      </c>
      <c r="GF415" s="1314">
        <f>GD415+GE415</f>
        <v>4086</v>
      </c>
      <c r="GG415" s="1314">
        <f>GG417*GG388</f>
        <v>2055</v>
      </c>
      <c r="GH415" s="1314">
        <f>GD415+GE415+GG415</f>
        <v>6141</v>
      </c>
      <c r="GI415" s="1314">
        <f>GI417*GI388</f>
        <v>2469</v>
      </c>
      <c r="GJ415" s="1314">
        <f>GG415+GI415</f>
        <v>4524</v>
      </c>
      <c r="GK415" s="1328">
        <f>GJ415+GF415</f>
        <v>8610</v>
      </c>
      <c r="GL415" s="1314">
        <f>GL417*GL388</f>
        <v>2025</v>
      </c>
      <c r="GM415" s="1314">
        <f>GM417*GM388</f>
        <v>2023</v>
      </c>
      <c r="GN415" s="1314">
        <f>GL415+GM415</f>
        <v>4048</v>
      </c>
      <c r="GO415" s="1314">
        <f>GO417*GO388</f>
        <v>2134</v>
      </c>
      <c r="GP415" s="1314">
        <f>GL415+GM415+GO415</f>
        <v>6182</v>
      </c>
      <c r="GQ415" s="1314">
        <f>GS415-GP415</f>
        <v>2391</v>
      </c>
      <c r="GR415" s="1314">
        <f>GO415+GQ415</f>
        <v>4525</v>
      </c>
      <c r="GS415" s="1328">
        <f>'Profit and Loss'!Z360</f>
        <v>8573</v>
      </c>
      <c r="GT415" s="1314">
        <f>GT417*GT388</f>
        <v>1969</v>
      </c>
      <c r="GU415" s="1314">
        <f>GU417*GU388</f>
        <v>1780</v>
      </c>
      <c r="GV415" s="1314">
        <f>GT415+GU415</f>
        <v>3749</v>
      </c>
      <c r="GW415" s="1314">
        <f>GW417*GW388</f>
        <v>1863.96991144</v>
      </c>
      <c r="GX415" s="1314">
        <f>GT415+GU415+GW415</f>
        <v>5612.96991144</v>
      </c>
      <c r="GY415" s="1314">
        <f>HA415-GX415</f>
        <v>2204.03008856</v>
      </c>
      <c r="GZ415" s="1314">
        <f>GW415+GY415</f>
        <v>4068</v>
      </c>
      <c r="HA415" s="1328">
        <f>'Profit and Loss'!AA360</f>
        <v>7817</v>
      </c>
      <c r="HB415" s="1314">
        <f>HB417*HB388</f>
        <v>1766</v>
      </c>
      <c r="HC415" s="1314">
        <f>HC417*HC388</f>
        <v>1823</v>
      </c>
      <c r="HD415" s="1314">
        <f>HB415+HC415</f>
        <v>3589</v>
      </c>
      <c r="HE415" s="1314">
        <f>HE417*HE388</f>
        <v>1988</v>
      </c>
      <c r="HF415" s="1314">
        <f>HB415+HC415+HE415</f>
        <v>5577</v>
      </c>
      <c r="HG415" s="1314">
        <f>HI415-HE415-HC415-HB415</f>
        <v>2139</v>
      </c>
      <c r="HH415" s="1314">
        <f>HE415+HG415</f>
        <v>4127</v>
      </c>
      <c r="HI415" s="1328">
        <f>'Profit and Loss'!AB360</f>
        <v>7716</v>
      </c>
      <c r="HJ415" s="1314">
        <f>HJ417*HJ388</f>
        <v>1867</v>
      </c>
      <c r="HK415" s="1314">
        <f>HK417*HK388</f>
        <v>2166</v>
      </c>
      <c r="HL415" s="1314">
        <f>HJ415+HK415</f>
        <v>4033</v>
      </c>
      <c r="HM415" s="1314">
        <f>HM417*HM388</f>
        <v>2240</v>
      </c>
      <c r="HN415" s="1314">
        <f>HJ415+HK415+HM415</f>
        <v>6273</v>
      </c>
      <c r="HO415" s="1314">
        <f>HQ415-HM415-HK415-HJ415</f>
        <v>2439</v>
      </c>
      <c r="HP415" s="1314">
        <f>HM415+HO415</f>
        <v>4679</v>
      </c>
      <c r="HQ415" s="1328">
        <f>'Profit and Loss'!AC360</f>
        <v>8712</v>
      </c>
      <c r="HR415" s="1314">
        <f>HR417*HR388</f>
        <v>2044</v>
      </c>
      <c r="HS415" s="1314">
        <f>HS417*HS388</f>
        <v>2064</v>
      </c>
      <c r="HT415" s="1314">
        <f>HR415+HS415</f>
        <v>4108</v>
      </c>
      <c r="HU415" s="1314">
        <f>HU417*HU388</f>
        <v>2074</v>
      </c>
      <c r="HV415" s="1314">
        <f>HR415+HS415+HU415</f>
        <v>6182</v>
      </c>
      <c r="HW415" s="1314">
        <f>HY415-HU415-HS415-HR415</f>
        <v>2195</v>
      </c>
      <c r="HX415" s="1314">
        <f>HU415+HW415</f>
        <v>4269</v>
      </c>
      <c r="HY415" s="1328">
        <f>'Profit and Loss'!AD360</f>
        <v>8377</v>
      </c>
      <c r="HZ415" s="1314">
        <f>HZ417*HZ388</f>
        <v>2138.54</v>
      </c>
      <c r="IA415" s="1314">
        <f>IA417*IA388</f>
        <v>2275.98661887034</v>
      </c>
      <c r="IB415" s="1314">
        <f>HZ415+IA415</f>
        <v>4414.52661887034</v>
      </c>
      <c r="IC415" s="1314">
        <f>IC417*IC388</f>
        <v>2312.480196849</v>
      </c>
      <c r="ID415" s="1314">
        <f>HZ415+IA415+IC415</f>
        <v>6727.00681571934</v>
      </c>
      <c r="IE415" s="1314">
        <f>IG415-IC415-IA415-HZ415</f>
        <v>2668.65818428067</v>
      </c>
      <c r="IF415" s="1314">
        <f>IC415+IE415</f>
        <v>4981.13838112967</v>
      </c>
      <c r="IG415" s="1328">
        <f>'Profit and Loss'!AE360</f>
        <v>9395.66500000001</v>
      </c>
      <c r="IH415" s="1314">
        <f>IH417*IH388</f>
        <v>2332</v>
      </c>
      <c r="II415" s="1314">
        <f>II417*II388</f>
        <v>2271</v>
      </c>
      <c r="IJ415" s="1314">
        <f>IH415+II415</f>
        <v>4603</v>
      </c>
      <c r="IK415" s="1314">
        <f>IK417*IK388</f>
        <v>2411.39</v>
      </c>
      <c r="IL415" s="1314">
        <f>IH415+II415+IK415</f>
        <v>7014.39</v>
      </c>
      <c r="IM415" s="1314">
        <f>IO415-IK415-II415-IH415</f>
        <v>2600.61</v>
      </c>
      <c r="IN415" s="1314">
        <f>IK415+IM415</f>
        <v>5012</v>
      </c>
      <c r="IO415" s="1328">
        <f>'Profit and Loss'!AF360</f>
        <v>9615</v>
      </c>
      <c r="IP415" s="1314">
        <f>IP417*IP388</f>
        <v>2415</v>
      </c>
      <c r="IQ415" s="1314">
        <f>IQ417*IQ388</f>
        <v>2689</v>
      </c>
      <c r="IR415" s="1314">
        <f>IP415+IQ415</f>
        <v>5104</v>
      </c>
      <c r="IS415" s="1314">
        <f>IS417*IS388</f>
        <v>2554.68169497177</v>
      </c>
      <c r="IT415" s="1314">
        <f>IP415+IQ415+IS415</f>
        <v>7658.68169497177</v>
      </c>
      <c r="IU415" s="1314">
        <f>IW415-IS415-IQ415-IP415</f>
        <v>2672.06643689735</v>
      </c>
      <c r="IV415" s="1314">
        <f>IS415+IU415</f>
        <v>5226.74813186912</v>
      </c>
      <c r="IW415" s="1328">
        <f>'Profit and Loss'!AG360</f>
        <v>10330.7481318691</v>
      </c>
      <c r="IX415" s="1314"/>
      <c r="IY415" s="1314"/>
      <c r="IZ415" s="1071"/>
      <c r="JA415" s="1336"/>
      <c r="JB415" s="1071"/>
      <c r="JC415" s="1049"/>
      <c r="JD415" s="1049"/>
      <c r="JE415" s="1049"/>
      <c r="JF415" s="1049"/>
      <c r="JG415" s="1037"/>
      <c r="JH415" s="1037"/>
      <c r="JI415" s="1035"/>
      <c r="JJ415" s="1035"/>
      <c r="JK415" s="1035"/>
      <c r="JL415" s="1035"/>
      <c r="JM415" s="1035"/>
      <c r="JN415" s="1035"/>
      <c r="JO415" s="1035"/>
      <c r="JP415" s="1035"/>
      <c r="JQ415" s="1035"/>
      <c r="JR415" s="1035"/>
      <c r="JS415" s="1035"/>
      <c r="JT415" s="1035"/>
      <c r="JU415" s="1035"/>
      <c r="JV415" s="1035"/>
      <c r="JW415" s="1035"/>
      <c r="JX415" s="1035"/>
      <c r="JY415" s="1035"/>
      <c r="KP415" s="969"/>
    </row>
    <row r="416" s="883" customFormat="1" spans="1:302">
      <c r="A416" s="883" t="s">
        <v>142</v>
      </c>
      <c r="B416" s="1302" t="s">
        <v>173</v>
      </c>
      <c r="C416" s="1302" t="s">
        <v>173</v>
      </c>
      <c r="D416" s="1302" t="s">
        <v>173</v>
      </c>
      <c r="E416" s="1302" t="s">
        <v>173</v>
      </c>
      <c r="F416" s="1302" t="s">
        <v>173</v>
      </c>
      <c r="G416" s="1302" t="s">
        <v>173</v>
      </c>
      <c r="H416" s="1302" t="s">
        <v>173</v>
      </c>
      <c r="I416" s="1302" t="s">
        <v>173</v>
      </c>
      <c r="J416" s="1302">
        <f t="shared" ref="J416:AO416" si="2739">J415/B415-1</f>
        <v>-0.402307931034483</v>
      </c>
      <c r="K416" s="1302">
        <f t="shared" si="2739"/>
        <v>-0.269283858267717</v>
      </c>
      <c r="L416" s="1302">
        <f t="shared" si="2739"/>
        <v>-0.340197426470588</v>
      </c>
      <c r="M416" s="1302">
        <f t="shared" si="2739"/>
        <v>-0.314957281553398</v>
      </c>
      <c r="N416" s="1302">
        <f t="shared" si="2739"/>
        <v>-0.331054161781946</v>
      </c>
      <c r="O416" s="1302">
        <f t="shared" si="2739"/>
        <v>-0.300321723549488</v>
      </c>
      <c r="P416" s="1302">
        <f t="shared" si="2739"/>
        <v>-0.307833995016611</v>
      </c>
      <c r="Q416" s="1302">
        <f t="shared" si="2739"/>
        <v>-0.323196740837696</v>
      </c>
      <c r="R416" s="1302">
        <f t="shared" si="2739"/>
        <v>0.470501474926254</v>
      </c>
      <c r="S416" s="1302">
        <f t="shared" si="2739"/>
        <v>0.487595041322314</v>
      </c>
      <c r="T416" s="1302">
        <f t="shared" si="2739"/>
        <v>0.479340455840456</v>
      </c>
      <c r="U416" s="1302">
        <f t="shared" si="2739"/>
        <v>0.451690821256038</v>
      </c>
      <c r="V416" s="1302">
        <f t="shared" si="2739"/>
        <v>0.469083333333333</v>
      </c>
      <c r="W416" s="1302">
        <f t="shared" si="2739"/>
        <v>0.419129567277715</v>
      </c>
      <c r="X416" s="1302">
        <f t="shared" si="2739"/>
        <v>0.435670900055218</v>
      </c>
      <c r="Y416" s="1302">
        <f t="shared" si="2739"/>
        <v>0.455879890569893</v>
      </c>
      <c r="Z416" s="1302">
        <f t="shared" si="2739"/>
        <v>0.675025075225677</v>
      </c>
      <c r="AA416" s="1302">
        <f t="shared" si="2739"/>
        <v>0.62593495889792</v>
      </c>
      <c r="AB416" s="1302">
        <f t="shared" si="2739"/>
        <v>0.64949922821154</v>
      </c>
      <c r="AC416" s="1302">
        <f t="shared" si="2739"/>
        <v>0.440931780366056</v>
      </c>
      <c r="AD416" s="1302">
        <f t="shared" si="2739"/>
        <v>0.573043439542738</v>
      </c>
      <c r="AE416" s="1302">
        <f t="shared" si="2739"/>
        <v>0.472759226713532</v>
      </c>
      <c r="AF416" s="1302">
        <f t="shared" si="2739"/>
        <v>0.456410256410256</v>
      </c>
      <c r="AG416" s="1302">
        <f t="shared" si="2739"/>
        <v>0.547206086311188</v>
      </c>
      <c r="AH416" s="1302">
        <f t="shared" si="2739"/>
        <v>0.124550898203593</v>
      </c>
      <c r="AI416" s="1302">
        <f t="shared" si="2739"/>
        <v>0.0751708428246014</v>
      </c>
      <c r="AJ416" s="1302">
        <f t="shared" si="2739"/>
        <v>0.0992410974897839</v>
      </c>
      <c r="AK416" s="1302">
        <f t="shared" si="2739"/>
        <v>0.00951746871738002</v>
      </c>
      <c r="AL416" s="1302">
        <f t="shared" si="2739"/>
        <v>0.069112884028403</v>
      </c>
      <c r="AM416" s="1302">
        <f t="shared" si="2739"/>
        <v>0.169278366203048</v>
      </c>
      <c r="AN416" s="1302">
        <f t="shared" si="2739"/>
        <v>0.088085327926881</v>
      </c>
      <c r="AO416" s="1302">
        <f t="shared" si="2739"/>
        <v>0.0936779042398026</v>
      </c>
      <c r="AP416" s="1302">
        <f t="shared" ref="AP416:BU416" si="2740">AP415/AH415-1</f>
        <v>0.110160635870019</v>
      </c>
      <c r="AQ416" s="1302">
        <f t="shared" si="2740"/>
        <v>0.0732032340295756</v>
      </c>
      <c r="AR416" s="1302">
        <f t="shared" si="2740"/>
        <v>0.0916328677673222</v>
      </c>
      <c r="AS416" s="1302">
        <f t="shared" si="2740"/>
        <v>0.174496644295302</v>
      </c>
      <c r="AT416" s="1302">
        <f t="shared" si="2740"/>
        <v>0.117906586562323</v>
      </c>
      <c r="AU416" s="1302">
        <f t="shared" si="2740"/>
        <v>0.111776447105788</v>
      </c>
      <c r="AV416" s="1302">
        <f t="shared" si="2740"/>
        <v>0.141350210970464</v>
      </c>
      <c r="AW416" s="1302">
        <f t="shared" si="2740"/>
        <v>0.116299283134895</v>
      </c>
      <c r="AX416" s="1303">
        <f t="shared" si="2740"/>
        <v>0.00375234521575996</v>
      </c>
      <c r="AY416" s="1302">
        <f t="shared" si="2740"/>
        <v>0.0685328185328185</v>
      </c>
      <c r="AZ416" s="1302">
        <f t="shared" si="2740"/>
        <v>0.0356803044719316</v>
      </c>
      <c r="BA416" s="1302">
        <f t="shared" si="2740"/>
        <v>0.0304761904761905</v>
      </c>
      <c r="BB416" s="1302">
        <f t="shared" si="2740"/>
        <v>-0.305520304568528</v>
      </c>
      <c r="BC416" s="1302">
        <f t="shared" si="2740"/>
        <v>-0.0385996409335727</v>
      </c>
      <c r="BD416" s="1302">
        <f t="shared" si="2740"/>
        <v>-0.00508317929759705</v>
      </c>
      <c r="BE416" s="1304">
        <f t="shared" si="2740"/>
        <v>-0.23581809657759</v>
      </c>
      <c r="BF416" s="1302">
        <f t="shared" si="2740"/>
        <v>0.11588785046729</v>
      </c>
      <c r="BG416" s="1302">
        <f t="shared" si="2740"/>
        <v>0.114752484191509</v>
      </c>
      <c r="BH416" s="1302">
        <f t="shared" si="2740"/>
        <v>0.115310519062931</v>
      </c>
      <c r="BI416" s="1302">
        <f t="shared" si="2740"/>
        <v>0.0850277264325323</v>
      </c>
      <c r="BJ416" s="1302">
        <f t="shared" si="2740"/>
        <v>0.64551439013248</v>
      </c>
      <c r="BK416" s="1302">
        <f t="shared" si="2740"/>
        <v>0.0961718020541551</v>
      </c>
      <c r="BL416" s="1302">
        <f t="shared" si="2740"/>
        <v>0.0905712958662332</v>
      </c>
      <c r="BM416" s="1302">
        <f t="shared" si="2740"/>
        <v>0.46504018404908</v>
      </c>
      <c r="BN416" s="1303">
        <f t="shared" si="2740"/>
        <v>0.0100502512562815</v>
      </c>
      <c r="BO416" s="1302">
        <f t="shared" si="2740"/>
        <v>-0.0713361333710417</v>
      </c>
      <c r="BP416" s="1302">
        <f t="shared" si="2740"/>
        <v>-0.0313138506056966</v>
      </c>
      <c r="BQ416" s="1302">
        <f t="shared" si="2740"/>
        <v>-0.0187393526405452</v>
      </c>
      <c r="BR416" s="1302">
        <f t="shared" si="2740"/>
        <v>-0.0272154792671134</v>
      </c>
      <c r="BS416" s="1302">
        <f t="shared" si="2740"/>
        <v>0.051107325383305</v>
      </c>
      <c r="BT416" s="1302">
        <f t="shared" si="2740"/>
        <v>0.01618398637138</v>
      </c>
      <c r="BU416" s="1304">
        <f t="shared" si="2740"/>
        <v>-0.00796288801308032</v>
      </c>
      <c r="BV416" s="1303">
        <f t="shared" ref="BV416:CK416" si="2741">BV415/BN415-1</f>
        <v>-0.0779436152570481</v>
      </c>
      <c r="BW416" s="1302">
        <f t="shared" si="2741"/>
        <v>0.00349040139616053</v>
      </c>
      <c r="BX416" s="1302">
        <f t="shared" si="2741"/>
        <v>-0.0382653061224489</v>
      </c>
      <c r="BY416" s="1302">
        <f t="shared" si="2741"/>
        <v>0.00868055555555558</v>
      </c>
      <c r="BZ416" s="1302">
        <f t="shared" si="2741"/>
        <v>-0.0228310502283106</v>
      </c>
      <c r="CA416" s="1302">
        <f t="shared" si="2741"/>
        <v>-0.0923824959481362</v>
      </c>
      <c r="CB416" s="1302">
        <f t="shared" si="2741"/>
        <v>-0.0435875943000839</v>
      </c>
      <c r="CC416" s="1304">
        <f t="shared" si="2741"/>
        <v>-0.0409455466441536</v>
      </c>
      <c r="CD416" s="1303">
        <f t="shared" si="2741"/>
        <v>0.0971223021582734</v>
      </c>
      <c r="CE416" s="1302">
        <f t="shared" si="2741"/>
        <v>0.0452173913043479</v>
      </c>
      <c r="CF416" s="1302">
        <f t="shared" si="2741"/>
        <v>0.0707338638373121</v>
      </c>
      <c r="CG416" s="1302">
        <f t="shared" si="2741"/>
        <v>0.0877796901893289</v>
      </c>
      <c r="CH416" s="1302">
        <f t="shared" si="2741"/>
        <v>0.076518691588785</v>
      </c>
      <c r="CI416" s="1302">
        <f t="shared" si="2741"/>
        <v>0.239285714285714</v>
      </c>
      <c r="CJ416" s="1302">
        <f t="shared" si="2741"/>
        <v>0.162138475021911</v>
      </c>
      <c r="CK416" s="1304">
        <f t="shared" si="2741"/>
        <v>0.116637323943662</v>
      </c>
      <c r="CL416" s="1303">
        <v>0.583333333333333</v>
      </c>
      <c r="CM416" s="1302">
        <f t="shared" ref="CM416:CS416" si="2742">CM415/CE415-1</f>
        <v>0.554575707154742</v>
      </c>
      <c r="CN416" s="1302">
        <f t="shared" si="2742"/>
        <v>0.493806771263419</v>
      </c>
      <c r="CO416" s="1302">
        <f t="shared" si="2742"/>
        <v>0.488924050632911</v>
      </c>
      <c r="CP416" s="1302">
        <f t="shared" si="2742"/>
        <v>0.492132392837765</v>
      </c>
      <c r="CQ416" s="1302">
        <f t="shared" si="2742"/>
        <v>0.374639769452449</v>
      </c>
      <c r="CR416" s="1302">
        <f t="shared" si="2742"/>
        <v>0.364253393665158</v>
      </c>
      <c r="CS416" s="1304">
        <f t="shared" si="2742"/>
        <v>0.459992116673236</v>
      </c>
      <c r="CT416" s="1303">
        <f t="shared" ref="CT416:DB416" si="2743">CT415/CL415-1</f>
        <v>0.123569794050343</v>
      </c>
      <c r="CU416" s="1302">
        <f t="shared" si="2743"/>
        <v>0.0403510649684256</v>
      </c>
      <c r="CV416" s="1302">
        <f t="shared" si="2743"/>
        <v>0.0801547816473189</v>
      </c>
      <c r="CW416" s="1302">
        <f t="shared" si="2743"/>
        <v>0.0446333687566418</v>
      </c>
      <c r="CX416" s="1302">
        <f t="shared" si="2743"/>
        <v>0.0680000000000001</v>
      </c>
      <c r="CY416" s="1302">
        <f t="shared" si="2743"/>
        <v>0.150943396226415</v>
      </c>
      <c r="CZ416" s="1302">
        <f t="shared" si="2743"/>
        <v>0.150359314538419</v>
      </c>
      <c r="DA416" s="1304">
        <f t="shared" si="2743"/>
        <v>0.0893628509719222</v>
      </c>
      <c r="DB416" s="1109">
        <f t="shared" si="2743"/>
        <v>0.0468431771894093</v>
      </c>
      <c r="DC416" s="1082">
        <f>DD416-DB416</f>
        <v>0.029410661091041</v>
      </c>
      <c r="DD416" s="1082">
        <f t="shared" ref="DD416:DI416" si="2744">DD415/CV415-1</f>
        <v>0.0762538382804503</v>
      </c>
      <c r="DE416" s="1082">
        <f t="shared" si="2744"/>
        <v>0.034587995930824</v>
      </c>
      <c r="DF416" s="1082">
        <f t="shared" si="2744"/>
        <v>0.0769492679605039</v>
      </c>
      <c r="DG416" s="1082">
        <f t="shared" si="2744"/>
        <v>-0.221311475409836</v>
      </c>
      <c r="DH416" s="1082">
        <f t="shared" si="2744"/>
        <v>-0.0797693416626621</v>
      </c>
      <c r="DI416" s="1085">
        <f t="shared" si="2744"/>
        <v>-0.00421313506815368</v>
      </c>
      <c r="DJ416" s="1082">
        <f t="shared" ref="DJ416:DQ416" si="2745">DJ415/DB415-1</f>
        <v>0.120543774319066</v>
      </c>
      <c r="DK416" s="1082">
        <f t="shared" si="2745"/>
        <v>0.00337023255813951</v>
      </c>
      <c r="DL416" s="1082">
        <f t="shared" si="2745"/>
        <v>0.0606476462196863</v>
      </c>
      <c r="DM416" s="1082">
        <f t="shared" si="2745"/>
        <v>-0.00294985250737467</v>
      </c>
      <c r="DN416" s="1082">
        <f t="shared" si="2745"/>
        <v>0.0262409105279797</v>
      </c>
      <c r="DO416" s="1082">
        <f t="shared" si="2745"/>
        <v>0.339681871345029</v>
      </c>
      <c r="DP416" s="1082">
        <f t="shared" si="2745"/>
        <v>0.12763864229765</v>
      </c>
      <c r="DQ416" s="1085">
        <f t="shared" si="2745"/>
        <v>0.0676953708312593</v>
      </c>
      <c r="DR416" s="1082">
        <f t="shared" ref="DR416:DY416" si="2746">DR415/DJ415-1</f>
        <v>-0.0784386749415541</v>
      </c>
      <c r="DS416" s="1082">
        <f t="shared" si="2746"/>
        <v>0.16390342130661</v>
      </c>
      <c r="DT416" s="1082">
        <f t="shared" si="2746"/>
        <v>0.03962176009239</v>
      </c>
      <c r="DU416" s="1082">
        <f t="shared" si="2746"/>
        <v>0.238031558185404</v>
      </c>
      <c r="DV416" s="1082">
        <f t="shared" si="2746"/>
        <v>0.100417744916821</v>
      </c>
      <c r="DW416" s="1082">
        <f t="shared" si="2746"/>
        <v>0.189113588981586</v>
      </c>
      <c r="DX416" s="1082">
        <f t="shared" si="2746"/>
        <v>0.212083940747272</v>
      </c>
      <c r="DY416" s="1085">
        <f t="shared" si="2746"/>
        <v>0.15011655011655</v>
      </c>
      <c r="DZ416" s="1082">
        <f t="shared" ref="DZ416:EH416" si="2747">DZ415/DR415-1</f>
        <v>0.21745368154911</v>
      </c>
      <c r="EA416" s="1082">
        <f t="shared" si="2747"/>
        <v>0.0426847579242846</v>
      </c>
      <c r="EB416" s="1082">
        <f t="shared" si="2747"/>
        <v>0.121817484001173</v>
      </c>
      <c r="EC416" s="1082">
        <f t="shared" si="2747"/>
        <v>0.0706058163210035</v>
      </c>
      <c r="ED416" s="1082">
        <f t="shared" si="2747"/>
        <v>0.104550280014647</v>
      </c>
      <c r="EE416" s="1082">
        <f t="shared" si="2747"/>
        <v>0.121843347204643</v>
      </c>
      <c r="EF416" s="1082">
        <f t="shared" si="2747"/>
        <v>0.0972687483189478</v>
      </c>
      <c r="EG416" s="1085">
        <f t="shared" si="2747"/>
        <v>0.109324077827321</v>
      </c>
      <c r="EH416" s="1082">
        <f t="shared" si="2747"/>
        <v>0.0670029905486285</v>
      </c>
      <c r="EI416" s="1082">
        <f t="shared" ref="EI416:EO416" si="2748">EI415/EA415-1</f>
        <v>0.0741023682200153</v>
      </c>
      <c r="EJ416" s="1082">
        <f t="shared" si="2748"/>
        <v>0.0705753237192979</v>
      </c>
      <c r="EK416" s="1082">
        <f t="shared" si="2748"/>
        <v>0.0706845238095237</v>
      </c>
      <c r="EL416" s="1082">
        <f t="shared" si="2748"/>
        <v>0.0706125226687755</v>
      </c>
      <c r="EM416" s="1082">
        <f t="shared" si="2748"/>
        <v>0.179973821989529</v>
      </c>
      <c r="EN416" s="1082">
        <f t="shared" si="2748"/>
        <v>0.12883008356546</v>
      </c>
      <c r="EO416" s="1085">
        <f t="shared" si="2748"/>
        <v>0.101142707327523</v>
      </c>
      <c r="EP416" s="1082">
        <f t="shared" ref="EP416:EW416" si="2749">EP415/EH415-1</f>
        <v>0.0123277737490934</v>
      </c>
      <c r="EQ416" s="1094">
        <f t="shared" si="2749"/>
        <v>-0.00355618776671407</v>
      </c>
      <c r="ER416" s="1094">
        <f t="shared" si="2749"/>
        <v>0.00430879712746868</v>
      </c>
      <c r="ES416" s="1094">
        <f t="shared" si="2749"/>
        <v>-0.0243224461431549</v>
      </c>
      <c r="ET416" s="1094">
        <f t="shared" si="2749"/>
        <v>-0.0054450757575758</v>
      </c>
      <c r="EU416" s="1094">
        <f t="shared" si="2749"/>
        <v>-0.137548530227399</v>
      </c>
      <c r="EV416" s="1094">
        <f t="shared" si="2749"/>
        <v>-0.0872917951881554</v>
      </c>
      <c r="EW416" s="1093">
        <f t="shared" si="2749"/>
        <v>-0.0449643271942923</v>
      </c>
      <c r="EX416" s="1087">
        <f t="shared" ref="EX416:FE416" si="2750">EX415/EP415-1</f>
        <v>-0.0272206303724928</v>
      </c>
      <c r="EY416" s="1094">
        <f t="shared" si="2750"/>
        <v>0.00499643112062809</v>
      </c>
      <c r="EZ416" s="1094">
        <f t="shared" si="2750"/>
        <v>-0.0110833035395066</v>
      </c>
      <c r="FA416" s="1094">
        <f t="shared" si="2750"/>
        <v>0.0413105413105412</v>
      </c>
      <c r="FB416" s="1094">
        <f t="shared" si="2750"/>
        <v>0.00642704118067128</v>
      </c>
      <c r="FC416" s="1094">
        <f t="shared" si="2750"/>
        <v>0.0237942122186494</v>
      </c>
      <c r="FD416" s="1094">
        <f t="shared" si="2750"/>
        <v>0.032105441027374</v>
      </c>
      <c r="FE416" s="1093">
        <f t="shared" si="2750"/>
        <v>0.0111188325225851</v>
      </c>
      <c r="FF416" s="1087">
        <f t="shared" ref="FF416:FM416" si="2751">FF415/EX415-1</f>
        <v>0.160530191458027</v>
      </c>
      <c r="FG416" s="1087">
        <f t="shared" si="2751"/>
        <v>0.138494318181818</v>
      </c>
      <c r="FH416" s="1087">
        <f t="shared" si="2751"/>
        <v>0.149313087490962</v>
      </c>
      <c r="FI416" s="1087">
        <f t="shared" si="2751"/>
        <v>0.194938440492476</v>
      </c>
      <c r="FJ416" s="1087">
        <f t="shared" si="2751"/>
        <v>0.165089877010407</v>
      </c>
      <c r="FK416" s="1087">
        <f t="shared" si="2751"/>
        <v>0.202261306532663</v>
      </c>
      <c r="FL416" s="1087">
        <f t="shared" si="2751"/>
        <v>0.198755730189915</v>
      </c>
      <c r="FM416" s="1088">
        <f t="shared" si="2751"/>
        <v>0.175257731958763</v>
      </c>
      <c r="FN416" s="1087">
        <f t="shared" ref="FN416:GC416" si="2752">FN415/FF415-1</f>
        <v>0.145939086294416</v>
      </c>
      <c r="FO416" s="1087">
        <f t="shared" si="2752"/>
        <v>0.0517779164067373</v>
      </c>
      <c r="FP416" s="1087">
        <f t="shared" si="2752"/>
        <v>0.0984586347908147</v>
      </c>
      <c r="FQ416" s="1087">
        <f t="shared" si="2752"/>
        <v>0.115587981333618</v>
      </c>
      <c r="FR416" s="1087">
        <f t="shared" si="2752"/>
        <v>0.10453353702595</v>
      </c>
      <c r="FS416" s="1087">
        <f t="shared" si="2752"/>
        <v>0.133264261551813</v>
      </c>
      <c r="FT416" s="1087">
        <f t="shared" si="2752"/>
        <v>0.124829281617044</v>
      </c>
      <c r="FU416" s="1094">
        <f t="shared" si="2752"/>
        <v>0.112426900584795</v>
      </c>
      <c r="FV416" s="1086">
        <f t="shared" si="2752"/>
        <v>0.0891472868217054</v>
      </c>
      <c r="FW416" s="1087">
        <f t="shared" si="2752"/>
        <v>0.159549228944247</v>
      </c>
      <c r="FX416" s="1087">
        <f t="shared" si="2752"/>
        <v>0.123138602520046</v>
      </c>
      <c r="FY416" s="1087">
        <f t="shared" si="2752"/>
        <v>0.0220981502256776</v>
      </c>
      <c r="FZ416" s="1087">
        <f t="shared" si="2752"/>
        <v>0.0869460928617043</v>
      </c>
      <c r="GA416" s="1087">
        <f t="shared" si="2752"/>
        <v>0.0986286384059394</v>
      </c>
      <c r="GB416" s="1087">
        <f t="shared" si="2752"/>
        <v>0.0624089363768825</v>
      </c>
      <c r="GC416" s="1093">
        <f t="shared" si="2752"/>
        <v>0.0904192403732424</v>
      </c>
      <c r="GD416" s="1087">
        <f t="shared" ref="GD416:GS416" si="2753">GD415/FV415-1</f>
        <v>0.0188103711235386</v>
      </c>
      <c r="GE416" s="1087">
        <f t="shared" si="2753"/>
        <v>0.0649616368286443</v>
      </c>
      <c r="GF416" s="1087">
        <f t="shared" si="2753"/>
        <v>0.0418154003059663</v>
      </c>
      <c r="GG416" s="1087">
        <f t="shared" si="2753"/>
        <v>0.0316265060240963</v>
      </c>
      <c r="GH416" s="1087">
        <f t="shared" si="2753"/>
        <v>0.0383834967872845</v>
      </c>
      <c r="GI416" s="1087">
        <f t="shared" si="2753"/>
        <v>0.0360889634913963</v>
      </c>
      <c r="GJ416" s="1087">
        <f t="shared" si="2753"/>
        <v>0.0340571428571421</v>
      </c>
      <c r="GK416" s="1093">
        <f t="shared" si="2753"/>
        <v>0.0377244787272506</v>
      </c>
      <c r="GL416" s="1087">
        <f t="shared" si="2753"/>
        <v>0.0104790419161676</v>
      </c>
      <c r="GM416" s="1087">
        <f t="shared" si="2753"/>
        <v>-0.0283381364073004</v>
      </c>
      <c r="GN416" s="1087">
        <f t="shared" si="2753"/>
        <v>-0.00930004894762604</v>
      </c>
      <c r="GO416" s="1087">
        <f t="shared" si="2753"/>
        <v>0.0384428223844282</v>
      </c>
      <c r="GP416" s="1087">
        <f t="shared" si="2753"/>
        <v>0.00667643706236776</v>
      </c>
      <c r="GQ416" s="1087">
        <f t="shared" si="2753"/>
        <v>-0.0315917375455647</v>
      </c>
      <c r="GR416" s="1087">
        <f t="shared" si="2753"/>
        <v>0.000221043324491799</v>
      </c>
      <c r="GS416" s="1093">
        <f t="shared" si="2753"/>
        <v>-0.0042973286875726</v>
      </c>
      <c r="GT416" s="1087">
        <f t="shared" ref="GT416" si="2754">GT415/GL415-1</f>
        <v>-0.0276543209876552</v>
      </c>
      <c r="GU416" s="1087">
        <f t="shared" ref="GU416" si="2755">GU415/GM415-1</f>
        <v>-0.12011863568957</v>
      </c>
      <c r="GV416" s="1087">
        <f t="shared" ref="GV416" si="2756">GV415/GN415-1</f>
        <v>-0.0738636363636366</v>
      </c>
      <c r="GW416" s="1087">
        <f t="shared" ref="GW416" si="2757">GW415/GO415-1</f>
        <v>-0.12653706118088</v>
      </c>
      <c r="GX416" s="1087">
        <f t="shared" ref="GX416" si="2758">GX415/GP415-1</f>
        <v>-0.0920462776706565</v>
      </c>
      <c r="GY416" s="1087">
        <f t="shared" ref="GY416" si="2759">GY415/GQ415-1</f>
        <v>-0.0781973699038071</v>
      </c>
      <c r="GZ416" s="1087">
        <f t="shared" ref="GZ416" si="2760">GZ415/GR415-1</f>
        <v>-0.100994475138122</v>
      </c>
      <c r="HA416" s="1093">
        <f t="shared" ref="HA416:HB416" si="2761">HA415/GS415-1</f>
        <v>-0.0881838329639568</v>
      </c>
      <c r="HB416" s="1087">
        <f t="shared" si="2761"/>
        <v>-0.103098019299136</v>
      </c>
      <c r="HC416" s="1087">
        <f t="shared" ref="HC416" si="2762">HC415/GU415-1</f>
        <v>0.0241573033707863</v>
      </c>
      <c r="HD416" s="1087">
        <f t="shared" ref="HD416" si="2763">HD415/GV415-1</f>
        <v>-0.0426780474793276</v>
      </c>
      <c r="HE416" s="1087">
        <f t="shared" ref="HE416" si="2764">HE415/GW415-1</f>
        <v>0.0665408211789105</v>
      </c>
      <c r="HF416" s="1087">
        <f t="shared" ref="HF416" si="2765">HF415/GX415-1</f>
        <v>-0.0064083563616989</v>
      </c>
      <c r="HG416" s="1087">
        <f t="shared" ref="HG416" si="2766">HG415/GY415-1</f>
        <v>-0.0295050820302025</v>
      </c>
      <c r="HH416" s="1087">
        <f t="shared" ref="HH416" si="2767">HH415/GZ415-1</f>
        <v>0.0145034414945924</v>
      </c>
      <c r="HI416" s="1093">
        <f t="shared" ref="HI416" si="2768">HI415/HA415-1</f>
        <v>-0.0129205577587307</v>
      </c>
      <c r="HJ416" s="1087">
        <f t="shared" ref="HJ416" si="2769">HJ415/HB415-1</f>
        <v>0.057191392978482</v>
      </c>
      <c r="HK416" s="1087">
        <f t="shared" ref="HK416" si="2770">HK415/HC415-1</f>
        <v>0.188151398793198</v>
      </c>
      <c r="HL416" s="1087">
        <f t="shared" ref="HL416:HQ416" si="2771">HL415/HD415-1</f>
        <v>0.123711340206186</v>
      </c>
      <c r="HM416" s="1087">
        <f t="shared" si="2771"/>
        <v>0.126760563380282</v>
      </c>
      <c r="HN416" s="1087">
        <f t="shared" si="2771"/>
        <v>0.124798278644432</v>
      </c>
      <c r="HO416" s="1087">
        <f t="shared" si="2771"/>
        <v>0.140252454417952</v>
      </c>
      <c r="HP416" s="1087">
        <f t="shared" si="2771"/>
        <v>0.133753331717955</v>
      </c>
      <c r="HQ416" s="1093">
        <f t="shared" si="2771"/>
        <v>0.129082426127527</v>
      </c>
      <c r="HR416" s="1087">
        <f t="shared" ref="HR416" si="2772">HR415/HJ415-1</f>
        <v>0.0948044991965724</v>
      </c>
      <c r="HS416" s="1087">
        <f t="shared" ref="HS416" si="2773">HS415/HK415-1</f>
        <v>-0.0470914127423827</v>
      </c>
      <c r="HT416" s="1087">
        <f t="shared" ref="HT416" si="2774">HT415/HL415-1</f>
        <v>0.0185965782296058</v>
      </c>
      <c r="HU416" s="1087">
        <f t="shared" ref="HU416" si="2775">HU415/HM415-1</f>
        <v>-0.0741071428571437</v>
      </c>
      <c r="HV416" s="1087">
        <f t="shared" ref="HV416" si="2776">HV415/HN415-1</f>
        <v>-0.0145066156543922</v>
      </c>
      <c r="HW416" s="1087">
        <f t="shared" ref="HW416" si="2777">HW415/HO415-1</f>
        <v>-0.100041000410004</v>
      </c>
      <c r="HX416" s="1087">
        <f t="shared" ref="HX416" si="2778">HX415/HP415-1</f>
        <v>-0.0876255610173118</v>
      </c>
      <c r="HY416" s="1093">
        <f t="shared" ref="HY416" si="2779">HY415/HQ415-1</f>
        <v>-0.0384527089072546</v>
      </c>
      <c r="HZ416" s="1087">
        <f t="shared" ref="HZ416" si="2780">HZ415/HR415-1</f>
        <v>0.0462524461839533</v>
      </c>
      <c r="IA416" s="1087">
        <f t="shared" ref="IA416" si="2781">IA415/HS415-1</f>
        <v>0.102706695189119</v>
      </c>
      <c r="IB416" s="1087">
        <f t="shared" ref="IB416" si="2782">IB415/HT415-1</f>
        <v>0.074616995830171</v>
      </c>
      <c r="IC416" s="1087">
        <f t="shared" ref="IC416" si="2783">IC415/HU415-1</f>
        <v>0.114985630110415</v>
      </c>
      <c r="ID416" s="1087">
        <f t="shared" ref="ID416" si="2784">ID415/HV415-1</f>
        <v>0.0881602742994734</v>
      </c>
      <c r="IE416" s="1087">
        <f t="shared" ref="IE416" si="2785">IE415/HW415-1</f>
        <v>0.215789605594838</v>
      </c>
      <c r="IF416" s="1087">
        <f t="shared" ref="IF416" si="2786">IF415/HX415-1</f>
        <v>0.166816205464903</v>
      </c>
      <c r="IG416" s="1093">
        <f t="shared" ref="IG416" si="2787">IG415/HY415-1</f>
        <v>0.121602602363616</v>
      </c>
      <c r="IH416" s="1087">
        <f t="shared" ref="IH416" si="2788">IH415/HZ415-1</f>
        <v>0.0904635873072284</v>
      </c>
      <c r="II416" s="1087">
        <f t="shared" ref="II416" si="2789">II415/IA415-1</f>
        <v>-0.00219097020562364</v>
      </c>
      <c r="IJ416" s="1087">
        <f t="shared" ref="IJ416" si="2790">IJ415/IB415-1</f>
        <v>0.0426939052364093</v>
      </c>
      <c r="IK416" s="1087">
        <f t="shared" ref="IK416" si="2791">IK415/IC415-1</f>
        <v>0.0427721730485635</v>
      </c>
      <c r="IL416" s="1087">
        <f t="shared" ref="IL416" si="2792">IL415/ID415-1</f>
        <v>0.0427208106299395</v>
      </c>
      <c r="IM416" s="1087">
        <f t="shared" ref="IM416" si="2793">IM415/IE415-1</f>
        <v>-0.0254990259455092</v>
      </c>
      <c r="IN416" s="1087">
        <f t="shared" ref="IN416" si="2794">IN415/IF415-1</f>
        <v>0.00619569594517766</v>
      </c>
      <c r="IO416" s="1093">
        <f t="shared" ref="IO416" si="2795">IO415/IG415-1</f>
        <v>0.0233442763231757</v>
      </c>
      <c r="IP416" s="1087">
        <f t="shared" ref="IP416" si="2796">IP415/IH415-1</f>
        <v>0.0355917667238423</v>
      </c>
      <c r="IQ416" s="1087">
        <f t="shared" ref="IQ416" si="2797">IQ415/II415-1</f>
        <v>0.18405988551299</v>
      </c>
      <c r="IR416" s="1087">
        <f t="shared" ref="IR416" si="2798">IR415/IJ415-1</f>
        <v>0.108842059526396</v>
      </c>
      <c r="IS416" s="1087">
        <f t="shared" ref="IS416" si="2799">IS415/IK415-1</f>
        <v>0.059422861906109</v>
      </c>
      <c r="IT416" s="1087">
        <f t="shared" ref="IT416" si="2800">IT415/IL415-1</f>
        <v>0.0918528474994651</v>
      </c>
      <c r="IU416" s="1087">
        <f t="shared" ref="IU416" si="2801">IU415/IM415-1</f>
        <v>0.0274767984808746</v>
      </c>
      <c r="IV416" s="1087">
        <f t="shared" ref="IV416:IW416" si="2802">IV415/IN415-1</f>
        <v>0.0428467940680606</v>
      </c>
      <c r="IW416" s="1093">
        <f t="shared" si="2802"/>
        <v>0.0744407833457223</v>
      </c>
      <c r="IX416" s="1337"/>
      <c r="IZ416" s="1071"/>
      <c r="JA416" s="1071"/>
      <c r="JB416" s="1071"/>
      <c r="JC416" s="1049"/>
      <c r="JD416" s="1049"/>
      <c r="JE416" s="1181"/>
      <c r="JF416" s="1082"/>
      <c r="JG416" s="1082"/>
      <c r="JH416" s="1082"/>
    </row>
    <row r="417" spans="1:285">
      <c r="A417" s="1035" t="s">
        <v>145</v>
      </c>
      <c r="B417" s="1302">
        <v>0.0110094901805356</v>
      </c>
      <c r="C417" s="1302">
        <v>0.0146683290772954</v>
      </c>
      <c r="D417" s="1302">
        <f>D415/D$388</f>
        <v>0.311025452058914</v>
      </c>
      <c r="E417" s="1302">
        <v>0.0127937887983068</v>
      </c>
      <c r="F417" s="1302">
        <f>F415/F$388</f>
        <v>0.29999992966004</v>
      </c>
      <c r="G417" s="1302">
        <v>0.0227344375197032</v>
      </c>
      <c r="H417" s="1302">
        <f t="shared" ref="H417:AM417" si="2803">H415/H$388</f>
        <v>0.67164344792292</v>
      </c>
      <c r="I417" s="1302">
        <f t="shared" si="2803"/>
        <v>0.327136391896837</v>
      </c>
      <c r="J417" s="1302">
        <f t="shared" si="2803"/>
        <v>0.283160708319412</v>
      </c>
      <c r="K417" s="1302">
        <f t="shared" si="2803"/>
        <v>0.347301951779564</v>
      </c>
      <c r="L417" s="1302">
        <f t="shared" si="2803"/>
        <v>0.313057438458794</v>
      </c>
      <c r="M417" s="1302">
        <f t="shared" si="2803"/>
        <v>0.28125</v>
      </c>
      <c r="N417" s="1302">
        <f t="shared" si="2803"/>
        <v>0.300452293775576</v>
      </c>
      <c r="O417" s="1302">
        <f t="shared" si="2803"/>
        <v>0.40316742081448</v>
      </c>
      <c r="P417" s="1302">
        <f t="shared" si="2803"/>
        <v>0.330340494527766</v>
      </c>
      <c r="Q417" s="1302">
        <f t="shared" si="2803"/>
        <v>0.322145299326807</v>
      </c>
      <c r="R417" s="1302">
        <f t="shared" si="2803"/>
        <v>0.291009924109749</v>
      </c>
      <c r="S417" s="1302">
        <f t="shared" si="2803"/>
        <v>0.378414155571128</v>
      </c>
      <c r="T417" s="1302">
        <f t="shared" si="2803"/>
        <v>0.33073152866242</v>
      </c>
      <c r="U417" s="1302">
        <f t="shared" si="2803"/>
        <v>0.280317164179104</v>
      </c>
      <c r="V417" s="1302">
        <f t="shared" si="2803"/>
        <v>0.310275738077214</v>
      </c>
      <c r="W417" s="1302">
        <f t="shared" si="2803"/>
        <v>0.402404526166902</v>
      </c>
      <c r="X417" s="1302">
        <f t="shared" si="2803"/>
        <v>0.328836424957842</v>
      </c>
      <c r="Y417" s="1302">
        <f t="shared" si="2803"/>
        <v>0.329724843236787</v>
      </c>
      <c r="Z417" s="1302">
        <f t="shared" si="2803"/>
        <v>0.30834564254062</v>
      </c>
      <c r="AA417" s="1302">
        <f t="shared" si="2803"/>
        <v>0.391964285714286</v>
      </c>
      <c r="AB417" s="1302">
        <f t="shared" si="2803"/>
        <v>0.346200485044462</v>
      </c>
      <c r="AC417" s="1302">
        <f t="shared" si="2803"/>
        <v>0.292765382014875</v>
      </c>
      <c r="AD417" s="1302">
        <f t="shared" si="2803"/>
        <v>0.326207943334177</v>
      </c>
      <c r="AE417" s="1302">
        <f t="shared" si="2803"/>
        <v>0.418790604697651</v>
      </c>
      <c r="AF417" s="1302">
        <f t="shared" si="2803"/>
        <v>0.343614602111652</v>
      </c>
      <c r="AG417" s="1302">
        <f t="shared" si="2803"/>
        <v>0.344907641061875</v>
      </c>
      <c r="AH417" s="1302">
        <f t="shared" si="2803"/>
        <v>0.345474613686534</v>
      </c>
      <c r="AI417" s="1302">
        <f t="shared" si="2803"/>
        <v>0.404109589041096</v>
      </c>
      <c r="AJ417" s="1302">
        <f t="shared" si="2803"/>
        <v>0.372576177285318</v>
      </c>
      <c r="AK417" s="1302">
        <f t="shared" si="2803"/>
        <v>0.283809523809524</v>
      </c>
      <c r="AL417" s="1302">
        <f t="shared" si="2803"/>
        <v>0.338961420161457</v>
      </c>
      <c r="AM417" s="1302">
        <f t="shared" si="2803"/>
        <v>0.419246861924686</v>
      </c>
      <c r="AN417" s="1302">
        <f t="shared" ref="AN417:BS417" si="2804">AN415/AN$388</f>
        <v>0.341991341991342</v>
      </c>
      <c r="AO417" s="1302">
        <f t="shared" si="2804"/>
        <v>0.356880569996486</v>
      </c>
      <c r="AP417" s="1302">
        <f t="shared" si="2804"/>
        <v>0.351351351351351</v>
      </c>
      <c r="AQ417" s="1302">
        <f t="shared" si="2804"/>
        <v>0.415064102564103</v>
      </c>
      <c r="AR417" s="1302">
        <f t="shared" si="2804"/>
        <v>0.380108499095841</v>
      </c>
      <c r="AS417" s="1302">
        <f t="shared" si="2804"/>
        <v>0.313059033989267</v>
      </c>
      <c r="AT417" s="1302">
        <f t="shared" si="2804"/>
        <v>0.354795137325529</v>
      </c>
      <c r="AU417" s="1302">
        <f t="shared" si="2804"/>
        <v>0.399856424982053</v>
      </c>
      <c r="AV417" s="1302">
        <f t="shared" si="2804"/>
        <v>0.352442996742671</v>
      </c>
      <c r="AW417" s="1302">
        <f t="shared" si="2804"/>
        <v>0.365552699228792</v>
      </c>
      <c r="AX417" s="1303">
        <f t="shared" si="2804"/>
        <v>0.343388960205392</v>
      </c>
      <c r="AY417" s="1302">
        <f t="shared" si="2804"/>
        <v>0.404605263157895</v>
      </c>
      <c r="AZ417" s="1302">
        <f t="shared" si="2804"/>
        <v>0.37200956937799</v>
      </c>
      <c r="BA417" s="1302">
        <f t="shared" si="2804"/>
        <v>0.302234636871508</v>
      </c>
      <c r="BB417" s="1302">
        <f t="shared" si="2804"/>
        <v>0.3465801139962</v>
      </c>
      <c r="BC417" s="1302">
        <f t="shared" si="2804"/>
        <v>0.383733428878538</v>
      </c>
      <c r="BD417" s="1302">
        <f t="shared" si="2804"/>
        <v>0.337990580847724</v>
      </c>
      <c r="BE417" s="1304">
        <f t="shared" si="2804"/>
        <v>0.357966399472933</v>
      </c>
      <c r="BF417" s="1302">
        <f t="shared" si="2804"/>
        <v>0.364468864468864</v>
      </c>
      <c r="BG417" s="1302">
        <f t="shared" si="2804"/>
        <v>0.409568868237637</v>
      </c>
      <c r="BH417" s="1302">
        <f t="shared" si="2804"/>
        <v>0.386075846716489</v>
      </c>
      <c r="BI417" s="1302">
        <f t="shared" si="2804"/>
        <v>0.314576634512326</v>
      </c>
      <c r="BJ417" s="1302">
        <f t="shared" si="2804"/>
        <v>0.359448258656821</v>
      </c>
      <c r="BK417" s="1302">
        <f t="shared" si="2804"/>
        <v>0.388484447385837</v>
      </c>
      <c r="BL417" s="1302">
        <f t="shared" si="2804"/>
        <v>0.347645839502517</v>
      </c>
      <c r="BM417" s="1302">
        <f t="shared" si="2804"/>
        <v>0.366175803112781</v>
      </c>
      <c r="BN417" s="1303">
        <f t="shared" si="2804"/>
        <v>0.361294188136609</v>
      </c>
      <c r="BO417" s="1302">
        <f t="shared" si="2804"/>
        <v>0.411637931034483</v>
      </c>
      <c r="BP417" s="1302">
        <f t="shared" si="2804"/>
        <v>0.384188173799412</v>
      </c>
      <c r="BQ417" s="1302">
        <f t="shared" si="2804"/>
        <v>0.310847274689692</v>
      </c>
      <c r="BR417" s="1302">
        <f t="shared" si="2804"/>
        <v>0.356532356532357</v>
      </c>
      <c r="BS417" s="1302">
        <f t="shared" si="2804"/>
        <v>0.455686853766617</v>
      </c>
      <c r="BT417" s="1302">
        <f t="shared" ref="BT417:CK417" si="2805">BT415/BT$388</f>
        <v>0.371998752728407</v>
      </c>
      <c r="BU417" s="1304">
        <f t="shared" si="2805"/>
        <v>0.377951499680919</v>
      </c>
      <c r="BV417" s="1303">
        <f t="shared" si="2805"/>
        <v>0.369435215946844</v>
      </c>
      <c r="BW417" s="1302">
        <f t="shared" si="2805"/>
        <v>0.410421127765882</v>
      </c>
      <c r="BX417" s="1302">
        <f t="shared" si="2805"/>
        <v>0.389194769442533</v>
      </c>
      <c r="BY417" s="1302">
        <f t="shared" si="2805"/>
        <v>0.330489192263936</v>
      </c>
      <c r="BZ417" s="1302">
        <f t="shared" si="2805"/>
        <v>0.367066895368782</v>
      </c>
      <c r="CA417" s="1302">
        <f t="shared" si="2805"/>
        <v>0.468227424749164</v>
      </c>
      <c r="CB417" s="1302">
        <f t="shared" si="2805"/>
        <v>0.336876291703572</v>
      </c>
      <c r="CC417" s="1304">
        <f t="shared" si="2805"/>
        <v>0.387713310580205</v>
      </c>
      <c r="CD417" s="1303">
        <f t="shared" si="2805"/>
        <v>0.364614465032875</v>
      </c>
      <c r="CE417" s="1302">
        <f t="shared" si="2805"/>
        <v>0.396437994722955</v>
      </c>
      <c r="CF417" s="1302">
        <f t="shared" si="2805"/>
        <v>0.379742866102226</v>
      </c>
      <c r="CG417" s="1302">
        <f t="shared" si="2805"/>
        <v>0.328482328482329</v>
      </c>
      <c r="CH417" s="1302">
        <f t="shared" si="2805"/>
        <v>0.360453745354977</v>
      </c>
      <c r="CI417" s="1302">
        <f t="shared" si="2805"/>
        <v>0.456278763971072</v>
      </c>
      <c r="CJ417" s="1302">
        <f t="shared" si="2805"/>
        <v>0.384905660377359</v>
      </c>
      <c r="CK417" s="1304">
        <f t="shared" si="2805"/>
        <v>0.382423876997287</v>
      </c>
      <c r="CL417" s="1303">
        <f t="shared" ref="CL417:DI417" si="2806">CL415/CL$388</f>
        <v>0.355429036193575</v>
      </c>
      <c r="CM417" s="1302">
        <f t="shared" si="2806"/>
        <v>0.384802306425041</v>
      </c>
      <c r="CN417" s="1302">
        <f t="shared" si="2806"/>
        <v>0.370165745856354</v>
      </c>
      <c r="CO417" s="1302">
        <f t="shared" si="2806"/>
        <v>0.319091217361818</v>
      </c>
      <c r="CP417" s="1302">
        <f t="shared" si="2806"/>
        <v>0.350944359367024</v>
      </c>
      <c r="CQ417" s="1302">
        <f t="shared" si="2806"/>
        <v>0.424377224199288</v>
      </c>
      <c r="CR417" s="1302">
        <f t="shared" si="2806"/>
        <v>0.348084368234874</v>
      </c>
      <c r="CS417" s="1304">
        <f t="shared" si="2806"/>
        <v>0.367314557715192</v>
      </c>
      <c r="CT417" s="1303">
        <f t="shared" si="2806"/>
        <v>0.386918833727344</v>
      </c>
      <c r="CU417" s="1302">
        <f t="shared" si="2806"/>
        <v>0.405</v>
      </c>
      <c r="CV417" s="1302">
        <f t="shared" si="2806"/>
        <v>0.395706763872013</v>
      </c>
      <c r="CW417" s="1302">
        <f t="shared" si="2806"/>
        <v>0.334240054403264</v>
      </c>
      <c r="CX417" s="1302">
        <f t="shared" si="2806"/>
        <v>0.37276304099505</v>
      </c>
      <c r="CY417" s="1302">
        <f t="shared" si="2806"/>
        <v>0.453906572964035</v>
      </c>
      <c r="CZ417" s="1302">
        <f t="shared" si="2806"/>
        <v>0.388246268656716</v>
      </c>
      <c r="DA417" s="1304">
        <f t="shared" si="2806"/>
        <v>0.391823655078656</v>
      </c>
      <c r="DB417" s="1109">
        <f t="shared" si="2806"/>
        <v>0.393417527745886</v>
      </c>
      <c r="DC417" s="1082">
        <f t="shared" si="2806"/>
        <v>0.427605409705648</v>
      </c>
      <c r="DD417" s="1082">
        <f t="shared" si="2806"/>
        <v>0.410181392627267</v>
      </c>
      <c r="DE417" s="1082">
        <f t="shared" si="2806"/>
        <v>0.33030204611887</v>
      </c>
      <c r="DF417" s="1082">
        <f t="shared" si="2806"/>
        <v>0.385449670972459</v>
      </c>
      <c r="DG417" s="1082">
        <f t="shared" si="2806"/>
        <v>0.331909937888199</v>
      </c>
      <c r="DH417" s="1082">
        <f t="shared" si="2806"/>
        <v>0.338638373121132</v>
      </c>
      <c r="DI417" s="1085">
        <f t="shared" si="2806"/>
        <v>0.422413932399017</v>
      </c>
      <c r="DJ417" s="1082">
        <v>0.447</v>
      </c>
      <c r="DK417" s="1082">
        <v>0.439</v>
      </c>
      <c r="DL417" s="1082">
        <f>DL415/DL388</f>
        <v>0.443095351609058</v>
      </c>
      <c r="DM417" s="1082">
        <f>DM415/DM388</f>
        <v>0.351108033240997</v>
      </c>
      <c r="DN417" s="1082">
        <f>DN415/DN388</f>
        <v>0.409693297993184</v>
      </c>
      <c r="DO417" s="1082">
        <v>0.466</v>
      </c>
      <c r="DP417" s="1082">
        <f>DP415/DP388</f>
        <v>0.404311552143793</v>
      </c>
      <c r="DQ417" s="1085">
        <f>DQ415/DQ388</f>
        <v>0.413254985068876</v>
      </c>
      <c r="DR417" s="1082">
        <f>DR415/DR388</f>
        <v>0.396994764397906</v>
      </c>
      <c r="DS417" s="1082">
        <v>0.439</v>
      </c>
      <c r="DT417" s="1082">
        <f t="shared" ref="DT417:EO417" si="2807">DT415/DT388</f>
        <v>0.414833631484794</v>
      </c>
      <c r="DU417" s="1082">
        <f t="shared" si="2807"/>
        <v>0.361985005767013</v>
      </c>
      <c r="DV417" s="1082">
        <f t="shared" si="2807"/>
        <v>0.394342680503422</v>
      </c>
      <c r="DW417" s="1082">
        <f t="shared" si="2807"/>
        <v>0.464544338335607</v>
      </c>
      <c r="DX417" s="1082">
        <f t="shared" si="2807"/>
        <v>0.40897</v>
      </c>
      <c r="DY417" s="1085">
        <f t="shared" si="2807"/>
        <v>0.411509591326105</v>
      </c>
      <c r="DZ417" s="1083">
        <f t="shared" si="2807"/>
        <v>0.394868622059273</v>
      </c>
      <c r="EA417" s="1083">
        <f t="shared" si="2807"/>
        <v>0.427219321148825</v>
      </c>
      <c r="EB417" s="1083">
        <f t="shared" si="2807"/>
        <v>0.41051049392457</v>
      </c>
      <c r="EC417" s="1083">
        <f t="shared" si="2807"/>
        <v>0.358974358974359</v>
      </c>
      <c r="ED417" s="1083">
        <f t="shared" si="2807"/>
        <v>0.391370399761928</v>
      </c>
      <c r="EE417" s="1083">
        <f t="shared" si="2807"/>
        <v>0.471459426103055</v>
      </c>
      <c r="EF417" s="1083">
        <f t="shared" si="2807"/>
        <v>0.411166785969936</v>
      </c>
      <c r="EG417" s="1093">
        <f t="shared" si="2807"/>
        <v>0.4108546014112</v>
      </c>
      <c r="EH417" s="1083">
        <f t="shared" si="2807"/>
        <v>0.360617154811715</v>
      </c>
      <c r="EI417" s="1083">
        <f t="shared" si="2807"/>
        <v>0.399772533409156</v>
      </c>
      <c r="EJ417" s="1083">
        <f t="shared" si="2807"/>
        <v>0.379376106797439</v>
      </c>
      <c r="EK417" s="1083">
        <f t="shared" si="2807"/>
        <v>0.344835849508747</v>
      </c>
      <c r="EL417" s="1083">
        <f t="shared" si="2807"/>
        <v>0.366857738405419</v>
      </c>
      <c r="EM417" s="1083">
        <f t="shared" si="2807"/>
        <v>0.535173642030276</v>
      </c>
      <c r="EN417" s="1083">
        <f t="shared" si="2807"/>
        <v>0.429859453725802</v>
      </c>
      <c r="EO417" s="1093">
        <f t="shared" si="2807"/>
        <v>0.40495867768595</v>
      </c>
      <c r="EP417" s="1083">
        <f t="shared" ref="EP417:FD417" si="2808">EP415/EP$388</f>
        <v>0.372167422020794</v>
      </c>
      <c r="EQ417" s="1094">
        <f t="shared" si="2808"/>
        <v>0.414129470883831</v>
      </c>
      <c r="ER417" s="1094">
        <f t="shared" si="2808"/>
        <v>0.392066162040931</v>
      </c>
      <c r="ES417" s="1094">
        <f t="shared" si="2808"/>
        <v>0.361948955916473</v>
      </c>
      <c r="ET417" s="1094">
        <f t="shared" si="2808"/>
        <v>0.381458276582221</v>
      </c>
      <c r="EU417" s="1094">
        <f t="shared" si="2808"/>
        <v>0.446967519402127</v>
      </c>
      <c r="EV417" s="1094">
        <f t="shared" si="2808"/>
        <v>0.402147322642022</v>
      </c>
      <c r="EW417" s="1093">
        <f t="shared" si="2808"/>
        <v>0.397184653601987</v>
      </c>
      <c r="EX417" s="1087">
        <f t="shared" si="2808"/>
        <v>0.390117782246481</v>
      </c>
      <c r="EY417" s="1094">
        <f t="shared" si="2808"/>
        <v>0.414361389052384</v>
      </c>
      <c r="EZ417" s="1094">
        <f t="shared" si="2808"/>
        <v>0.402093327518535</v>
      </c>
      <c r="FA417" s="1094">
        <f t="shared" si="2808"/>
        <v>0.361523244312562</v>
      </c>
      <c r="FB417" s="1094">
        <f t="shared" si="2808"/>
        <v>0.387073148402454</v>
      </c>
      <c r="FC417" s="1094">
        <f t="shared" si="2808"/>
        <v>0.440997229916897</v>
      </c>
      <c r="FD417" s="1094">
        <f t="shared" si="2808"/>
        <v>0.39900705513457</v>
      </c>
      <c r="FE417" s="1093">
        <f>FE415/FE388</f>
        <v>0.400467900639923</v>
      </c>
      <c r="FF417" s="1087">
        <f t="shared" ref="FF417:FM417" si="2809">FF415/FF$388</f>
        <v>0.385990693117806</v>
      </c>
      <c r="FG417" s="1087">
        <f t="shared" si="2809"/>
        <v>0.410289224468902</v>
      </c>
      <c r="FH417" s="1087">
        <f t="shared" si="2809"/>
        <v>0.397872340425532</v>
      </c>
      <c r="FI417" s="1087">
        <f t="shared" si="2809"/>
        <v>0.367248265713685</v>
      </c>
      <c r="FJ417" s="1087">
        <f t="shared" si="2809"/>
        <v>0.386443869145681</v>
      </c>
      <c r="FK417" s="1087">
        <f t="shared" si="2809"/>
        <v>0.459213051823416</v>
      </c>
      <c r="FL417" s="1087">
        <f t="shared" si="2809"/>
        <v>0.410196078431373</v>
      </c>
      <c r="FM417" s="1088">
        <f t="shared" si="2809"/>
        <v>0.404374815252734</v>
      </c>
      <c r="FN417" s="1087">
        <f t="shared" ref="FN417:GC417" si="2810">FN415/FN$388</f>
        <v>0.37869574334242</v>
      </c>
      <c r="FO417" s="1087">
        <f t="shared" si="2810"/>
        <v>0.381189238073706</v>
      </c>
      <c r="FP417" s="1087">
        <f t="shared" si="2810"/>
        <v>0.379895561357702</v>
      </c>
      <c r="FQ417" s="1087">
        <f t="shared" si="2810"/>
        <v>0.360113119621181</v>
      </c>
      <c r="FR417" s="1087">
        <f t="shared" si="2810"/>
        <v>0.372564516802919</v>
      </c>
      <c r="FS417" s="1087">
        <f t="shared" si="2810"/>
        <v>0.462882585704261</v>
      </c>
      <c r="FT417" s="1087">
        <f t="shared" si="2810"/>
        <v>0.407803525450584</v>
      </c>
      <c r="FU417" s="1094">
        <f t="shared" si="2810"/>
        <v>0.394453084499741</v>
      </c>
      <c r="FV417" s="1086">
        <f t="shared" si="2810"/>
        <v>0.361182519280206</v>
      </c>
      <c r="FW417" s="1087">
        <f t="shared" si="2810"/>
        <v>0.388050813815006</v>
      </c>
      <c r="FX417" s="1087">
        <f t="shared" si="2810"/>
        <v>0.374093857306372</v>
      </c>
      <c r="FY417" s="1087">
        <f t="shared" si="2810"/>
        <v>0.350827756252201</v>
      </c>
      <c r="FZ417" s="1087">
        <f t="shared" si="2810"/>
        <v>0.365920059398589</v>
      </c>
      <c r="GA417" s="1087">
        <f t="shared" si="2810"/>
        <v>0.471321202531646</v>
      </c>
      <c r="GB417" s="1087">
        <f t="shared" si="2810"/>
        <v>0.407583379914291</v>
      </c>
      <c r="GC417" s="1093">
        <f t="shared" si="2810"/>
        <v>0.391035912904138</v>
      </c>
      <c r="GD417" s="1087">
        <v>0.361211247296323</v>
      </c>
      <c r="GE417" s="1087">
        <v>0.395742254324273</v>
      </c>
      <c r="GF417" s="1087">
        <f t="shared" ref="GF417:GK417" si="2811">GF415/GF$388</f>
        <v>0.378018318068276</v>
      </c>
      <c r="GG417" s="1087">
        <v>0.349906351098246</v>
      </c>
      <c r="GH417" s="1087">
        <f t="shared" si="2811"/>
        <v>0.368121328377892</v>
      </c>
      <c r="GI417" s="1087">
        <v>0.471813491305179</v>
      </c>
      <c r="GJ417" s="1087">
        <f t="shared" si="2811"/>
        <v>0.407347379794705</v>
      </c>
      <c r="GK417" s="1093">
        <f t="shared" si="2811"/>
        <v>0.392881587953456</v>
      </c>
      <c r="GL417" s="1087">
        <v>0.344212136664967</v>
      </c>
      <c r="GM417" s="1087">
        <v>0.367217280813215</v>
      </c>
      <c r="GN417" s="1087">
        <f t="shared" ref="GN417" si="2812">GN415/GN$388</f>
        <v>0.355337078651685</v>
      </c>
      <c r="GO417" s="1087">
        <v>0.332917316692668</v>
      </c>
      <c r="GP417" s="1087">
        <f t="shared" ref="GP417" si="2813">GP415/GP$388</f>
        <v>0.347264352319964</v>
      </c>
      <c r="GQ417" s="1087">
        <f>GQ415/GQ388</f>
        <v>0.409487926014729</v>
      </c>
      <c r="GR417" s="1087">
        <f t="shared" ref="GR417:GS417" si="2814">GR415/GR$388</f>
        <v>0.369417911666258</v>
      </c>
      <c r="GS417" s="1093">
        <f t="shared" si="2814"/>
        <v>0.362632714352185</v>
      </c>
      <c r="GT417" s="1087">
        <v>0.414264674942141</v>
      </c>
      <c r="GU417" s="1087">
        <v>0.497394685756936</v>
      </c>
      <c r="GV417" s="1087">
        <f t="shared" ref="GV417" si="2815">GV415/GV$388</f>
        <v>0.449971056142921</v>
      </c>
      <c r="GW417" s="1087">
        <v>0.31252</v>
      </c>
      <c r="GX417" s="1087">
        <f t="shared" ref="GX417" si="2816">GX415/GX$388</f>
        <v>0.392626055039711</v>
      </c>
      <c r="GY417" s="1087">
        <f>GY415/GY388</f>
        <v>0.397263477540049</v>
      </c>
      <c r="GZ417" s="1087">
        <f t="shared" ref="GZ417:HA417" si="2817">GZ415/GZ$388</f>
        <v>0.353359560812633</v>
      </c>
      <c r="HA417" s="1093">
        <f t="shared" si="2817"/>
        <v>0.393922596250756</v>
      </c>
      <c r="HB417" s="1338">
        <v>0.335231586940015</v>
      </c>
      <c r="HC417" s="1338">
        <v>0.359070317116407</v>
      </c>
      <c r="HD417" s="1094"/>
      <c r="HE417" s="1338">
        <v>0.345618915159944</v>
      </c>
      <c r="HF417" s="1094"/>
      <c r="HG417" s="1094">
        <f>HG415/HG388</f>
        <v>0.416390889624294</v>
      </c>
      <c r="HH417" s="1087">
        <f t="shared" ref="HH417" si="2818">HH415/HH$388</f>
        <v>0.379006336670034</v>
      </c>
      <c r="HI417" s="1093">
        <f>HI415/HI388</f>
        <v>0.363379485730432</v>
      </c>
      <c r="HJ417" s="1338">
        <v>0.352131271218408</v>
      </c>
      <c r="HK417" s="1338">
        <v>0.386993031981419</v>
      </c>
      <c r="HL417" s="1094">
        <f>HL415/HL388</f>
        <v>0.37003394806863</v>
      </c>
      <c r="HM417" s="1338">
        <v>0.34956304619226</v>
      </c>
      <c r="HN417" s="1094"/>
      <c r="HO417" s="1094">
        <f>HO415/HO388</f>
        <v>0.468677940046118</v>
      </c>
      <c r="HP417" s="1087">
        <f t="shared" ref="HP417" si="2819">HP415/HP$388</f>
        <v>0.398925739619746</v>
      </c>
      <c r="HQ417" s="1093">
        <f>HQ415/HQ388</f>
        <v>0.38701079472258</v>
      </c>
      <c r="HR417" s="1338">
        <v>0.387561623056503</v>
      </c>
      <c r="HS417" s="1338">
        <v>0.417560186121788</v>
      </c>
      <c r="HT417" s="1094">
        <f>HT415/HT388</f>
        <v>0.403100775193798</v>
      </c>
      <c r="HU417" s="1338">
        <v>0.367144627367675</v>
      </c>
      <c r="HV417" s="1094"/>
      <c r="HW417" s="1094">
        <f>HW415/HW388</f>
        <v>0.456151288445553</v>
      </c>
      <c r="HX417" s="1087">
        <f t="shared" ref="HX417" si="2820">HX415/HX$388</f>
        <v>0.408087180957843</v>
      </c>
      <c r="HY417" s="1093">
        <f>HY415/HY388</f>
        <v>0.405116548989264</v>
      </c>
      <c r="HZ417" s="1338">
        <v>0.402889977392615</v>
      </c>
      <c r="IA417" s="1338">
        <v>0.404835755757798</v>
      </c>
      <c r="IB417" s="1094">
        <f>IB415/IB388</f>
        <v>0.403890815999116</v>
      </c>
      <c r="IC417" s="1338">
        <v>0.370708591992465</v>
      </c>
      <c r="ID417" s="1094">
        <f>ID415/ID388</f>
        <v>0.392474143274174</v>
      </c>
      <c r="IE417" s="1094">
        <f>IE415/IE388</f>
        <v>0.455014183168059</v>
      </c>
      <c r="IF417" s="1087">
        <f t="shared" ref="IF417" si="2821">IF415/IF$388</f>
        <v>0.411290428629318</v>
      </c>
      <c r="IG417" s="1093">
        <f>IG415/IG388</f>
        <v>0.407921894672861</v>
      </c>
      <c r="IH417" s="1338">
        <v>0.379002112790509</v>
      </c>
      <c r="II417" s="1338">
        <v>0.381552419354839</v>
      </c>
      <c r="IJ417" s="1094">
        <f>IJ415/IJ388</f>
        <v>0.38025609252375</v>
      </c>
      <c r="IK417" s="1338">
        <v>0.363708898944193</v>
      </c>
      <c r="IL417" s="1094">
        <f>IL415/IL388</f>
        <v>0.374960709894692</v>
      </c>
      <c r="IM417" s="1094">
        <f>IM415/IM388</f>
        <v>0.428013495720869</v>
      </c>
      <c r="IN417" s="1087">
        <f t="shared" ref="IN417" si="2822">IN415/IN$388</f>
        <v>0.395923848645233</v>
      </c>
      <c r="IO417" s="1093">
        <f>IO415/IO388</f>
        <v>0.387529724718875</v>
      </c>
      <c r="IP417" s="1338">
        <v>0.366353155339806</v>
      </c>
      <c r="IQ417" s="1338">
        <v>0.398783924069405</v>
      </c>
      <c r="IR417" s="1094">
        <f>IR415/IR388</f>
        <v>0.382752155980502</v>
      </c>
      <c r="IS417" s="1338">
        <v>0.350820441402833</v>
      </c>
      <c r="IT417" s="1094">
        <f>IT415/IT388</f>
        <v>0.371473736626405</v>
      </c>
      <c r="IU417" s="1094">
        <f>IU415/IU388</f>
        <v>0.410083353648201</v>
      </c>
      <c r="IV417" s="1087">
        <f t="shared" ref="IV417" si="2823">IV415/IV$388</f>
        <v>0.3788066538861</v>
      </c>
      <c r="IW417" s="1093">
        <f>IW415/IW388</f>
        <v>0.380745746648536</v>
      </c>
      <c r="IX417" s="1337"/>
      <c r="IY417" s="1037"/>
      <c r="IZ417" s="1071"/>
      <c r="JA417" s="1071"/>
      <c r="JB417" s="1071"/>
      <c r="JC417" s="1049"/>
      <c r="JD417" s="1049"/>
      <c r="JE417" s="1112"/>
      <c r="JF417" s="1037"/>
      <c r="JG417" s="1037"/>
      <c r="JH417" s="1037"/>
      <c r="JI417" s="1035"/>
      <c r="JJ417" s="1035"/>
      <c r="JK417" s="1035"/>
      <c r="JL417" s="1035"/>
      <c r="JM417" s="1035"/>
      <c r="JN417" s="1035"/>
      <c r="JO417" s="1035"/>
      <c r="JP417" s="1035"/>
      <c r="JQ417" s="1035"/>
      <c r="JR417" s="1035"/>
      <c r="JS417" s="1035"/>
      <c r="JT417" s="1035"/>
      <c r="JU417" s="1035"/>
      <c r="JV417" s="1035"/>
      <c r="JW417" s="1035"/>
      <c r="JX417" s="1035"/>
      <c r="JY417" s="1035"/>
    </row>
    <row r="418" spans="1:285">
      <c r="A418" s="969" t="s">
        <v>156</v>
      </c>
      <c r="B418" s="1302"/>
      <c r="C418" s="1302"/>
      <c r="D418" s="1302"/>
      <c r="E418" s="1302"/>
      <c r="F418" s="1302"/>
      <c r="G418" s="1302"/>
      <c r="H418" s="1302"/>
      <c r="I418" s="1302"/>
      <c r="J418" s="1302"/>
      <c r="K418" s="1302"/>
      <c r="L418" s="1302"/>
      <c r="M418" s="1302"/>
      <c r="N418" s="1302"/>
      <c r="O418" s="1302"/>
      <c r="P418" s="1302"/>
      <c r="Q418" s="1302"/>
      <c r="R418" s="1302"/>
      <c r="S418" s="1302"/>
      <c r="T418" s="1302"/>
      <c r="U418" s="1302"/>
      <c r="V418" s="1302"/>
      <c r="W418" s="1302"/>
      <c r="X418" s="1302"/>
      <c r="Y418" s="1302"/>
      <c r="Z418" s="1302"/>
      <c r="AA418" s="1302"/>
      <c r="AB418" s="1302"/>
      <c r="AC418" s="1302"/>
      <c r="AD418" s="1302"/>
      <c r="AE418" s="1302"/>
      <c r="AF418" s="1302"/>
      <c r="AG418" s="1302"/>
      <c r="AH418" s="1302"/>
      <c r="AI418" s="1302"/>
      <c r="AJ418" s="1302"/>
      <c r="AK418" s="1302"/>
      <c r="AL418" s="1302"/>
      <c r="AM418" s="1302"/>
      <c r="AN418" s="1302"/>
      <c r="AO418" s="1302"/>
      <c r="AP418" s="1302"/>
      <c r="AQ418" s="1302"/>
      <c r="AR418" s="1302"/>
      <c r="AS418" s="1302"/>
      <c r="AT418" s="1302"/>
      <c r="AU418" s="1302"/>
      <c r="AV418" s="1302"/>
      <c r="AW418" s="1302"/>
      <c r="AX418" s="1303"/>
      <c r="AY418" s="1302"/>
      <c r="AZ418" s="1302"/>
      <c r="BA418" s="1302"/>
      <c r="BB418" s="1302"/>
      <c r="BC418" s="1302"/>
      <c r="BD418" s="1302"/>
      <c r="BE418" s="1304"/>
      <c r="BF418" s="1302"/>
      <c r="BG418" s="1302"/>
      <c r="BH418" s="1302"/>
      <c r="BI418" s="1302"/>
      <c r="BJ418" s="1302"/>
      <c r="BK418" s="1302"/>
      <c r="BL418" s="1302"/>
      <c r="BM418" s="1302"/>
      <c r="BN418" s="1303"/>
      <c r="BO418" s="1302"/>
      <c r="BP418" s="1302"/>
      <c r="BQ418" s="1302"/>
      <c r="BR418" s="1302"/>
      <c r="BS418" s="1302"/>
      <c r="BT418" s="1302"/>
      <c r="BU418" s="1304"/>
      <c r="BV418" s="1303"/>
      <c r="BW418" s="1302"/>
      <c r="BX418" s="1302"/>
      <c r="BY418" s="1302"/>
      <c r="BZ418" s="1302"/>
      <c r="CA418" s="1302"/>
      <c r="CB418" s="1302"/>
      <c r="CC418" s="1304"/>
      <c r="CD418" s="1303"/>
      <c r="CE418" s="1302"/>
      <c r="CF418" s="1302"/>
      <c r="CG418" s="1302"/>
      <c r="CH418" s="1302"/>
      <c r="CI418" s="1302"/>
      <c r="CJ418" s="1302"/>
      <c r="CK418" s="1304"/>
      <c r="CL418" s="1303"/>
      <c r="CM418" s="1302"/>
      <c r="CN418" s="1302"/>
      <c r="CO418" s="1302"/>
      <c r="CP418" s="1302"/>
      <c r="CQ418" s="1302"/>
      <c r="CR418" s="1302"/>
      <c r="CS418" s="1304"/>
      <c r="CT418" s="1303"/>
      <c r="CU418" s="1302"/>
      <c r="CV418" s="1302"/>
      <c r="CW418" s="1302"/>
      <c r="CX418" s="1302"/>
      <c r="CY418" s="1302"/>
      <c r="CZ418" s="1302"/>
      <c r="DA418" s="1304"/>
      <c r="DB418" s="1109"/>
      <c r="DC418" s="1082"/>
      <c r="DD418" s="1082"/>
      <c r="DE418" s="1082"/>
      <c r="DF418" s="1082"/>
      <c r="DG418" s="1082"/>
      <c r="DH418" s="1082"/>
      <c r="DI418" s="1085"/>
      <c r="DJ418" s="1082"/>
      <c r="DK418" s="1082"/>
      <c r="DL418" s="1082"/>
      <c r="DM418" s="1082"/>
      <c r="DN418" s="1082"/>
      <c r="DO418" s="1082"/>
      <c r="DP418" s="1082"/>
      <c r="DQ418" s="1085"/>
      <c r="DR418" s="1082"/>
      <c r="DS418" s="1082"/>
      <c r="DT418" s="1082"/>
      <c r="DU418" s="1082"/>
      <c r="DV418" s="1082"/>
      <c r="DW418" s="1082"/>
      <c r="DX418" s="1082"/>
      <c r="DY418" s="1085"/>
      <c r="DZ418" s="1311">
        <v>59</v>
      </c>
      <c r="EA418" s="1311"/>
      <c r="EB418" s="1311"/>
      <c r="EC418" s="1311"/>
      <c r="ED418" s="1311"/>
      <c r="EE418" s="1311">
        <f>EE420*EE388</f>
        <v>60.5771655907521</v>
      </c>
      <c r="EF418" s="1083"/>
      <c r="EG418" s="1312">
        <f>'Profit and Loss'!R364</f>
        <v>249</v>
      </c>
      <c r="EH418" s="1311">
        <v>63</v>
      </c>
      <c r="EI418" s="1311">
        <v>62</v>
      </c>
      <c r="EJ418" s="1311">
        <f>EH418+EI418</f>
        <v>125</v>
      </c>
      <c r="EK418" s="1311">
        <f>EL418-EJ418</f>
        <v>72</v>
      </c>
      <c r="EL418" s="1311">
        <v>197</v>
      </c>
      <c r="EM418" s="1311">
        <f>EO418-EL418</f>
        <v>66</v>
      </c>
      <c r="EN418" s="1311">
        <f>EK418+EM418</f>
        <v>138</v>
      </c>
      <c r="EO418" s="1312">
        <f>'Profit and Loss'!S364</f>
        <v>263</v>
      </c>
      <c r="EP418" s="1311">
        <v>68</v>
      </c>
      <c r="EQ418" s="1311">
        <v>67</v>
      </c>
      <c r="ER418" s="1311">
        <f>EP418+EQ418</f>
        <v>135</v>
      </c>
      <c r="ES418" s="1311">
        <f>ET418-ER418</f>
        <v>73</v>
      </c>
      <c r="ET418" s="1311">
        <v>208</v>
      </c>
      <c r="EU418" s="1311">
        <f>EW418-ER418-ES418</f>
        <v>78</v>
      </c>
      <c r="EV418" s="1311">
        <f>ES418+EU418</f>
        <v>151</v>
      </c>
      <c r="EW418" s="1312">
        <f>'Profit and Loss'!T364</f>
        <v>286</v>
      </c>
      <c r="EX418" s="1314">
        <v>71</v>
      </c>
      <c r="EY418" s="1314">
        <v>74</v>
      </c>
      <c r="EZ418" s="1311">
        <v>144</v>
      </c>
      <c r="FA418" s="1311">
        <f>FB418-EZ418</f>
        <v>74</v>
      </c>
      <c r="FB418" s="1311">
        <v>218</v>
      </c>
      <c r="FC418" s="1311">
        <f>FE418-FB418</f>
        <v>105</v>
      </c>
      <c r="FD418" s="1311">
        <f>FA418+FC418</f>
        <v>179</v>
      </c>
      <c r="FE418" s="1312">
        <f>'Profit and Loss'!U364</f>
        <v>323</v>
      </c>
      <c r="FF418" s="1311">
        <v>96</v>
      </c>
      <c r="FG418" s="1311">
        <f>FH418-FF418</f>
        <v>83</v>
      </c>
      <c r="FH418" s="1311">
        <v>179</v>
      </c>
      <c r="FI418" s="1311">
        <f>FJ418-FH418</f>
        <v>84</v>
      </c>
      <c r="FJ418" s="1311">
        <v>263</v>
      </c>
      <c r="FK418" s="1311">
        <f>FM418-FJ418</f>
        <v>91</v>
      </c>
      <c r="FL418" s="1311">
        <f>FM418-FH418</f>
        <v>175</v>
      </c>
      <c r="FM418" s="1312">
        <f>'Profit and Loss'!V364</f>
        <v>354</v>
      </c>
      <c r="FN418" s="1311">
        <v>86</v>
      </c>
      <c r="FO418" s="1311">
        <f>FP418-FN418</f>
        <v>90</v>
      </c>
      <c r="FP418" s="1311">
        <v>176</v>
      </c>
      <c r="FQ418" s="1311">
        <f>$FU418*(FI418/$FM418)</f>
        <v>92.0677966101695</v>
      </c>
      <c r="FR418" s="1311">
        <f>FN418+FO418+FQ418</f>
        <v>268.067796610169</v>
      </c>
      <c r="FS418" s="1311">
        <f>FU418-FR418</f>
        <v>119.932203389831</v>
      </c>
      <c r="FT418" s="1311">
        <f>FQ418+FS418</f>
        <v>212</v>
      </c>
      <c r="FU418" s="1311">
        <f>'Profit and Loss'!W364</f>
        <v>388</v>
      </c>
      <c r="FV418" s="1313">
        <f>FX418-FW418</f>
        <v>126</v>
      </c>
      <c r="FW418" s="1314">
        <v>94</v>
      </c>
      <c r="FX418" s="1314">
        <f>1362-1142</f>
        <v>220</v>
      </c>
      <c r="FY418" s="1311">
        <f>FY420*FY388</f>
        <v>106</v>
      </c>
      <c r="FZ418" s="1311">
        <f>FV418+FW418+FY418</f>
        <v>326</v>
      </c>
      <c r="GA418" s="1311">
        <f>GC418-FV418-FW418-FY418</f>
        <v>125</v>
      </c>
      <c r="GB418" s="1311">
        <f>FY418+GA418</f>
        <v>231</v>
      </c>
      <c r="GC418" s="1312">
        <f>'Profit and Loss'!X364</f>
        <v>451</v>
      </c>
      <c r="GD418" s="1314">
        <f>GD420*GD388</f>
        <v>111</v>
      </c>
      <c r="GE418" s="1314">
        <f>GE420*GE388</f>
        <v>109</v>
      </c>
      <c r="GF418" s="1314">
        <f>GE418+GD418</f>
        <v>220</v>
      </c>
      <c r="GG418" s="1314">
        <f>GG420*GG388</f>
        <v>125</v>
      </c>
      <c r="GH418" s="1311">
        <f>GG418+GF418</f>
        <v>345</v>
      </c>
      <c r="GI418" s="1314">
        <f>GJ418-GG418</f>
        <v>169</v>
      </c>
      <c r="GJ418" s="1311">
        <f>GK418-GF418</f>
        <v>294</v>
      </c>
      <c r="GK418" s="1312">
        <f>'Profit and Loss'!Y364</f>
        <v>514</v>
      </c>
      <c r="GL418" s="1314">
        <f>GL420*GL388</f>
        <v>286</v>
      </c>
      <c r="GM418" s="1314">
        <f>GM420*GM388</f>
        <v>318</v>
      </c>
      <c r="GN418" s="1314">
        <f>GM418+GL418</f>
        <v>604</v>
      </c>
      <c r="GO418" s="1314">
        <f>GO420*GO388</f>
        <v>345</v>
      </c>
      <c r="GP418" s="1311">
        <f>GO418+GN418</f>
        <v>949</v>
      </c>
      <c r="GQ418" s="1314">
        <f>GS418-GP418</f>
        <v>265</v>
      </c>
      <c r="GR418" s="1311">
        <f>GS418-GN418</f>
        <v>610</v>
      </c>
      <c r="GS418" s="1312">
        <f>'Profit and Loss'!Z364</f>
        <v>1214</v>
      </c>
      <c r="GT418" s="1314">
        <f>GT420*GT388</f>
        <v>334</v>
      </c>
      <c r="GU418" s="1314">
        <f>GM418*(1+GU419)</f>
        <v>390</v>
      </c>
      <c r="GV418" s="1314">
        <f>GU418+GT418</f>
        <v>724</v>
      </c>
      <c r="GW418" s="1314">
        <v>350</v>
      </c>
      <c r="GX418" s="1311">
        <f>GW418+GV418</f>
        <v>1074</v>
      </c>
      <c r="GY418" s="1314">
        <f>HA418-GX418</f>
        <v>296</v>
      </c>
      <c r="GZ418" s="1311">
        <f>HA418-GV418</f>
        <v>646</v>
      </c>
      <c r="HA418" s="1312">
        <f>'Profit and Loss'!AA364</f>
        <v>1370</v>
      </c>
      <c r="HB418" s="1314">
        <v>274</v>
      </c>
      <c r="HC418" s="1314">
        <v>283</v>
      </c>
      <c r="HD418" s="1314">
        <f>HC418+HB418</f>
        <v>557</v>
      </c>
      <c r="HE418" s="1314">
        <v>246</v>
      </c>
      <c r="HF418" s="1314">
        <f>HE418+HD418</f>
        <v>803</v>
      </c>
      <c r="HG418" s="1314">
        <f>HI418-HE418-HC418-HB418</f>
        <v>346.000000000001</v>
      </c>
      <c r="HH418" s="1311">
        <f>HI418-HD418</f>
        <v>592.000000000001</v>
      </c>
      <c r="HI418" s="1312">
        <f>'Profit and Loss'!AB364</f>
        <v>1149</v>
      </c>
      <c r="HJ418" s="1314">
        <v>367</v>
      </c>
      <c r="HK418" s="1314">
        <f>HK420*HK388</f>
        <v>285</v>
      </c>
      <c r="HL418" s="1314">
        <f>HK418+HJ418</f>
        <v>652</v>
      </c>
      <c r="HM418" s="1314">
        <f>HM420*HM388</f>
        <v>378</v>
      </c>
      <c r="HN418" s="1314">
        <f>HM418+HL418</f>
        <v>1030</v>
      </c>
      <c r="HO418" s="1314">
        <f>HQ418-HM418-HK418-HJ418</f>
        <v>345</v>
      </c>
      <c r="HP418" s="1311">
        <f>HQ418-HL418</f>
        <v>723</v>
      </c>
      <c r="HQ418" s="1312">
        <f>'Profit and Loss'!AC364</f>
        <v>1375</v>
      </c>
      <c r="HR418" s="1314">
        <f>HR420*HR388</f>
        <v>284</v>
      </c>
      <c r="HS418" s="1314">
        <f>HS420*HS388</f>
        <v>280</v>
      </c>
      <c r="HT418" s="1314">
        <f>HS418+HR418</f>
        <v>564</v>
      </c>
      <c r="HU418" s="1314">
        <f>HU420*HU388</f>
        <v>252</v>
      </c>
      <c r="HV418" s="1314">
        <f>HU418+HT418</f>
        <v>816</v>
      </c>
      <c r="HW418" s="1314">
        <f>HY418-HU418-HS418-HR418</f>
        <v>274</v>
      </c>
      <c r="HX418" s="1311">
        <f>HY418-HT418</f>
        <v>526</v>
      </c>
      <c r="HY418" s="1312">
        <f>'Profit and Loss'!AD364</f>
        <v>1090</v>
      </c>
      <c r="HZ418" s="1314">
        <f>HZ420*HZ388</f>
        <v>273</v>
      </c>
      <c r="IA418" s="1314">
        <f>IA420*IA388</f>
        <v>287</v>
      </c>
      <c r="IB418" s="1314">
        <f>IA418+HZ418</f>
        <v>560</v>
      </c>
      <c r="IC418" s="1314">
        <f>IC420*IC388</f>
        <v>338</v>
      </c>
      <c r="ID418" s="1314">
        <f>IC418+IB418</f>
        <v>898</v>
      </c>
      <c r="IE418" s="1314">
        <f>IG418-IC418-IA418-HZ418</f>
        <v>282.000000000001</v>
      </c>
      <c r="IF418" s="1311">
        <f>IG418-IB418</f>
        <v>620.000000000001</v>
      </c>
      <c r="IG418" s="1312">
        <f>'Profit and Loss'!AE364</f>
        <v>1180</v>
      </c>
      <c r="IH418" s="1314">
        <f>IH420*IH388</f>
        <v>281.999999999999</v>
      </c>
      <c r="II418" s="1314">
        <f>II420*II388</f>
        <v>278.000000000001</v>
      </c>
      <c r="IJ418" s="1314">
        <f>II418+IH418</f>
        <v>560</v>
      </c>
      <c r="IK418" s="1314">
        <f>IK420*IK388</f>
        <v>311.61</v>
      </c>
      <c r="IL418" s="1314">
        <f>IK418+IJ418</f>
        <v>871.61</v>
      </c>
      <c r="IM418" s="1314">
        <f>IO418-IK418-II418-IH418</f>
        <v>282.39</v>
      </c>
      <c r="IN418" s="1311">
        <f>IO418-IJ418</f>
        <v>594</v>
      </c>
      <c r="IO418" s="1312">
        <f>'Profit and Loss'!AF364</f>
        <v>1154</v>
      </c>
      <c r="IP418" s="1314">
        <f>IP420*IP388</f>
        <v>268</v>
      </c>
      <c r="IQ418" s="1314">
        <f>IQ420*IQ388</f>
        <v>293</v>
      </c>
      <c r="IR418" s="1314">
        <f>IQ418+IP418</f>
        <v>561</v>
      </c>
      <c r="IS418" s="1314">
        <f>IS420*IS388</f>
        <v>320.408908127696</v>
      </c>
      <c r="IT418" s="1314">
        <f>IS418+IR418</f>
        <v>881.408908127695</v>
      </c>
      <c r="IU418" s="1314">
        <f>IW418-IS418-IQ418-IP418</f>
        <v>285.307131593245</v>
      </c>
      <c r="IV418" s="1311">
        <f>IW418-IR418</f>
        <v>605.71603972094</v>
      </c>
      <c r="IW418" s="1312">
        <f>'Profit and Loss'!AG364</f>
        <v>1166.71603972094</v>
      </c>
      <c r="IX418" s="1314"/>
      <c r="IY418" s="1037"/>
      <c r="IZ418" s="1071"/>
      <c r="JA418" s="1071"/>
      <c r="JB418" s="1071"/>
      <c r="JC418" s="1049"/>
      <c r="JD418" s="1049"/>
      <c r="JE418" s="1112"/>
      <c r="JF418" s="1037"/>
      <c r="JG418" s="1037"/>
      <c r="JH418" s="1037"/>
      <c r="JI418" s="1035"/>
      <c r="JJ418" s="1035"/>
      <c r="JK418" s="1035"/>
      <c r="JL418" s="1035"/>
      <c r="JM418" s="1035"/>
      <c r="JN418" s="1035"/>
      <c r="JO418" s="1035"/>
      <c r="JP418" s="1035"/>
      <c r="JQ418" s="1035"/>
      <c r="JR418" s="1035"/>
      <c r="JS418" s="1035"/>
      <c r="JT418" s="1035"/>
      <c r="JU418" s="1035"/>
      <c r="JV418" s="1035"/>
      <c r="JW418" s="1035"/>
      <c r="JX418" s="1035"/>
      <c r="JY418" s="1035"/>
    </row>
    <row r="419" spans="1:285">
      <c r="A419" s="883" t="s">
        <v>142</v>
      </c>
      <c r="B419" s="1302"/>
      <c r="C419" s="1302"/>
      <c r="D419" s="1302"/>
      <c r="E419" s="1302"/>
      <c r="F419" s="1302"/>
      <c r="G419" s="1302"/>
      <c r="H419" s="1302"/>
      <c r="I419" s="1302"/>
      <c r="J419" s="1302"/>
      <c r="K419" s="1302"/>
      <c r="L419" s="1302"/>
      <c r="M419" s="1302"/>
      <c r="N419" s="1302"/>
      <c r="O419" s="1302"/>
      <c r="P419" s="1302"/>
      <c r="Q419" s="1302"/>
      <c r="R419" s="1302"/>
      <c r="S419" s="1302"/>
      <c r="T419" s="1302"/>
      <c r="U419" s="1302"/>
      <c r="V419" s="1302"/>
      <c r="W419" s="1302"/>
      <c r="X419" s="1302"/>
      <c r="Y419" s="1302"/>
      <c r="Z419" s="1302"/>
      <c r="AA419" s="1302"/>
      <c r="AB419" s="1302"/>
      <c r="AC419" s="1302"/>
      <c r="AD419" s="1302"/>
      <c r="AE419" s="1302"/>
      <c r="AF419" s="1302"/>
      <c r="AG419" s="1302"/>
      <c r="AH419" s="1302"/>
      <c r="AI419" s="1302"/>
      <c r="AJ419" s="1302"/>
      <c r="AK419" s="1302"/>
      <c r="AL419" s="1302"/>
      <c r="AM419" s="1302"/>
      <c r="AN419" s="1302"/>
      <c r="AO419" s="1302"/>
      <c r="AP419" s="1302"/>
      <c r="AQ419" s="1302"/>
      <c r="AR419" s="1302"/>
      <c r="AS419" s="1302"/>
      <c r="AT419" s="1302"/>
      <c r="AU419" s="1302"/>
      <c r="AV419" s="1302"/>
      <c r="AW419" s="1302"/>
      <c r="AX419" s="1303"/>
      <c r="AY419" s="1302"/>
      <c r="AZ419" s="1302"/>
      <c r="BA419" s="1302"/>
      <c r="BB419" s="1302"/>
      <c r="BC419" s="1302"/>
      <c r="BD419" s="1302"/>
      <c r="BE419" s="1304"/>
      <c r="BF419" s="1302"/>
      <c r="BG419" s="1302"/>
      <c r="BH419" s="1302"/>
      <c r="BI419" s="1302"/>
      <c r="BJ419" s="1302"/>
      <c r="BK419" s="1302"/>
      <c r="BL419" s="1302"/>
      <c r="BM419" s="1302"/>
      <c r="BN419" s="1303"/>
      <c r="BO419" s="1302"/>
      <c r="BP419" s="1302"/>
      <c r="BQ419" s="1302"/>
      <c r="BR419" s="1302"/>
      <c r="BS419" s="1302"/>
      <c r="BT419" s="1302"/>
      <c r="BU419" s="1304"/>
      <c r="BV419" s="1303"/>
      <c r="BW419" s="1302"/>
      <c r="BX419" s="1302"/>
      <c r="BY419" s="1302"/>
      <c r="BZ419" s="1302"/>
      <c r="CA419" s="1302"/>
      <c r="CB419" s="1302"/>
      <c r="CC419" s="1304"/>
      <c r="CD419" s="1303"/>
      <c r="CE419" s="1302"/>
      <c r="CF419" s="1302"/>
      <c r="CG419" s="1302"/>
      <c r="CH419" s="1302"/>
      <c r="CI419" s="1302"/>
      <c r="CJ419" s="1302"/>
      <c r="CK419" s="1304"/>
      <c r="CL419" s="1303"/>
      <c r="CM419" s="1302"/>
      <c r="CN419" s="1302"/>
      <c r="CO419" s="1302"/>
      <c r="CP419" s="1302"/>
      <c r="CQ419" s="1302"/>
      <c r="CR419" s="1302"/>
      <c r="CS419" s="1304"/>
      <c r="CT419" s="1303"/>
      <c r="CU419" s="1302"/>
      <c r="CV419" s="1302"/>
      <c r="CW419" s="1302"/>
      <c r="CX419" s="1302"/>
      <c r="CY419" s="1302"/>
      <c r="CZ419" s="1302"/>
      <c r="DA419" s="1304"/>
      <c r="DB419" s="1109"/>
      <c r="DC419" s="1082"/>
      <c r="DD419" s="1082"/>
      <c r="DE419" s="1082"/>
      <c r="DF419" s="1082"/>
      <c r="DG419" s="1082"/>
      <c r="DH419" s="1082"/>
      <c r="DI419" s="1085"/>
      <c r="DJ419" s="1082"/>
      <c r="DK419" s="1082"/>
      <c r="DL419" s="1082"/>
      <c r="DM419" s="1082"/>
      <c r="DN419" s="1082"/>
      <c r="DO419" s="1082"/>
      <c r="DP419" s="1082"/>
      <c r="DQ419" s="1085"/>
      <c r="DR419" s="1082"/>
      <c r="DS419" s="1082"/>
      <c r="DT419" s="1082"/>
      <c r="DU419" s="1082"/>
      <c r="DV419" s="1082"/>
      <c r="DW419" s="1082"/>
      <c r="DX419" s="1082"/>
      <c r="DY419" s="1085"/>
      <c r="DZ419" s="1311"/>
      <c r="EA419" s="1083"/>
      <c r="EB419" s="1083"/>
      <c r="EC419" s="1083"/>
      <c r="ED419" s="1083"/>
      <c r="EE419" s="1083"/>
      <c r="EF419" s="1083"/>
      <c r="EG419" s="1093"/>
      <c r="EH419" s="1311"/>
      <c r="EI419" s="1083"/>
      <c r="EJ419" s="1083"/>
      <c r="EK419" s="1083"/>
      <c r="EL419" s="1083"/>
      <c r="EM419" s="1083"/>
      <c r="EN419" s="1083"/>
      <c r="EO419" s="1093"/>
      <c r="EP419" s="1083">
        <f>EP418/EH418-1</f>
        <v>0.0793650793650793</v>
      </c>
      <c r="EQ419" s="1094">
        <f t="shared" ref="EQ419:EW419" si="2824">EQ418/EI418-1</f>
        <v>0.0806451612903225</v>
      </c>
      <c r="ER419" s="1094">
        <f t="shared" si="2824"/>
        <v>0.0800000000000001</v>
      </c>
      <c r="ES419" s="1094">
        <f t="shared" si="2824"/>
        <v>0.0138888888888888</v>
      </c>
      <c r="ET419" s="1094">
        <f t="shared" si="2824"/>
        <v>0.0558375634517767</v>
      </c>
      <c r="EU419" s="1094">
        <f t="shared" si="2824"/>
        <v>0.181818181818182</v>
      </c>
      <c r="EV419" s="1094">
        <f t="shared" si="2824"/>
        <v>0.0942028985507246</v>
      </c>
      <c r="EW419" s="1093">
        <f t="shared" si="2824"/>
        <v>0.0874524714828897</v>
      </c>
      <c r="EX419" s="1083">
        <f t="shared" ref="EX419:FE419" si="2825">EX418/EP418-1</f>
        <v>0.0441176470588236</v>
      </c>
      <c r="EY419" s="1094">
        <f t="shared" si="2825"/>
        <v>0.104477611940299</v>
      </c>
      <c r="EZ419" s="1094">
        <f t="shared" si="2825"/>
        <v>0.0666666666666667</v>
      </c>
      <c r="FA419" s="1094">
        <f t="shared" si="2825"/>
        <v>0.0136986301369864</v>
      </c>
      <c r="FB419" s="1094">
        <f t="shared" si="2825"/>
        <v>0.0480769230769231</v>
      </c>
      <c r="FC419" s="1094">
        <f t="shared" si="2825"/>
        <v>0.346153846153846</v>
      </c>
      <c r="FD419" s="1094">
        <f t="shared" si="2825"/>
        <v>0.185430463576159</v>
      </c>
      <c r="FE419" s="1093">
        <f t="shared" si="2825"/>
        <v>0.129370629370629</v>
      </c>
      <c r="FF419" s="1083">
        <f t="shared" ref="FF419:FM419" si="2826">FF418/EX418-1</f>
        <v>0.352112676056338</v>
      </c>
      <c r="FG419" s="1083">
        <f t="shared" si="2826"/>
        <v>0.121621621621622</v>
      </c>
      <c r="FH419" s="1083">
        <f t="shared" si="2826"/>
        <v>0.243055555555556</v>
      </c>
      <c r="FI419" s="1083">
        <f t="shared" si="2826"/>
        <v>0.135135135135135</v>
      </c>
      <c r="FJ419" s="1083">
        <f t="shared" si="2826"/>
        <v>0.206422018348624</v>
      </c>
      <c r="FK419" s="1083">
        <f t="shared" si="2826"/>
        <v>-0.133333333333333</v>
      </c>
      <c r="FL419" s="1083">
        <f t="shared" si="2826"/>
        <v>-0.0223463687150838</v>
      </c>
      <c r="FM419" s="1093">
        <f t="shared" si="2826"/>
        <v>0.0959752321981424</v>
      </c>
      <c r="FN419" s="1094">
        <f t="shared" ref="FN419:GC419" si="2827">FN418/FF418-1</f>
        <v>-0.104166666666667</v>
      </c>
      <c r="FO419" s="1094">
        <f t="shared" si="2827"/>
        <v>0.0843373493975903</v>
      </c>
      <c r="FP419" s="1094">
        <f t="shared" si="2827"/>
        <v>-0.0167597765363129</v>
      </c>
      <c r="FQ419" s="1094">
        <f t="shared" si="2827"/>
        <v>0.0960451977401131</v>
      </c>
      <c r="FR419" s="1094">
        <f t="shared" si="2827"/>
        <v>0.019269188631823</v>
      </c>
      <c r="FS419" s="1094">
        <f t="shared" si="2827"/>
        <v>0.317936300987149</v>
      </c>
      <c r="FT419" s="1094">
        <f t="shared" si="2827"/>
        <v>0.211428571428572</v>
      </c>
      <c r="FU419" s="1094">
        <f t="shared" si="2827"/>
        <v>0.0960451977401129</v>
      </c>
      <c r="FV419" s="1086">
        <f t="shared" si="2827"/>
        <v>0.465116279069767</v>
      </c>
      <c r="FW419" s="1087">
        <f t="shared" si="2827"/>
        <v>0.0444444444444445</v>
      </c>
      <c r="FX419" s="1087">
        <f t="shared" si="2827"/>
        <v>0.25</v>
      </c>
      <c r="FY419" s="1094">
        <f t="shared" si="2827"/>
        <v>0.151325478645066</v>
      </c>
      <c r="FZ419" s="1094">
        <f t="shared" si="2827"/>
        <v>0.216110268082954</v>
      </c>
      <c r="GA419" s="1094">
        <f t="shared" si="2827"/>
        <v>0.0422555115884677</v>
      </c>
      <c r="GB419" s="1094">
        <f t="shared" si="2827"/>
        <v>0.0896226415094339</v>
      </c>
      <c r="GC419" s="1093">
        <f t="shared" si="2827"/>
        <v>0.162371134020619</v>
      </c>
      <c r="GD419" s="1087">
        <f t="shared" ref="GD419:GS419" si="2828">GD418/FV418-1</f>
        <v>-0.119047619047619</v>
      </c>
      <c r="GE419" s="1087">
        <f t="shared" si="2828"/>
        <v>0.159574468085106</v>
      </c>
      <c r="GF419" s="1087">
        <f t="shared" si="2828"/>
        <v>0</v>
      </c>
      <c r="GG419" s="1094">
        <f t="shared" si="2828"/>
        <v>0.179245283018868</v>
      </c>
      <c r="GH419" s="1094">
        <f t="shared" si="2828"/>
        <v>0.0582822085889572</v>
      </c>
      <c r="GI419" s="1094">
        <f t="shared" si="2828"/>
        <v>0.351999999999998</v>
      </c>
      <c r="GJ419" s="1094">
        <f t="shared" si="2828"/>
        <v>0.272727272727272</v>
      </c>
      <c r="GK419" s="1093">
        <f t="shared" si="2828"/>
        <v>0.139689578713968</v>
      </c>
      <c r="GL419" s="1087">
        <f t="shared" si="2828"/>
        <v>1.57657657657658</v>
      </c>
      <c r="GM419" s="1087">
        <f t="shared" si="2828"/>
        <v>1.91743119266055</v>
      </c>
      <c r="GN419" s="1087">
        <f t="shared" si="2828"/>
        <v>1.74545454545455</v>
      </c>
      <c r="GO419" s="1094">
        <f t="shared" si="2828"/>
        <v>1.76</v>
      </c>
      <c r="GP419" s="1094">
        <f t="shared" si="2828"/>
        <v>1.75072463768116</v>
      </c>
      <c r="GQ419" s="1094">
        <f t="shared" si="2828"/>
        <v>0.568047337278107</v>
      </c>
      <c r="GR419" s="1094">
        <f t="shared" si="2828"/>
        <v>1.07482993197279</v>
      </c>
      <c r="GS419" s="1093">
        <f t="shared" si="2828"/>
        <v>1.36186770428016</v>
      </c>
      <c r="GT419" s="1087">
        <f t="shared" ref="GT419" si="2829">GT418/GL418-1</f>
        <v>0.167832167832168</v>
      </c>
      <c r="GU419" s="1087">
        <v>0.226415094339622</v>
      </c>
      <c r="GV419" s="1087">
        <f t="shared" ref="GV419:GW419" si="2830">GV418/GN418-1</f>
        <v>0.198675496688742</v>
      </c>
      <c r="GW419" s="1087">
        <f t="shared" si="2830"/>
        <v>0.0144927536231882</v>
      </c>
      <c r="GX419" s="1094">
        <f t="shared" ref="GX419" si="2831">GX418/GP418-1</f>
        <v>0.131717597471022</v>
      </c>
      <c r="GY419" s="1094">
        <f t="shared" ref="GY419" si="2832">GY418/GQ418-1</f>
        <v>0.116981132075473</v>
      </c>
      <c r="GZ419" s="1094">
        <f t="shared" ref="GZ419" si="2833">GZ418/GR418-1</f>
        <v>0.059016393442624</v>
      </c>
      <c r="HA419" s="1093">
        <f t="shared" ref="HA419" si="2834">HA418/GS418-1</f>
        <v>0.128500823723229</v>
      </c>
      <c r="HB419" s="1087">
        <f>HB418/311-1</f>
        <v>-0.118971061093248</v>
      </c>
      <c r="HC419" s="1087">
        <f>HC418/311-1</f>
        <v>-0.090032154340836</v>
      </c>
      <c r="HD419" s="1087">
        <f t="shared" ref="HD419:HE419" si="2835">HD418/GV418-1</f>
        <v>-0.230662983425414</v>
      </c>
      <c r="HE419" s="1087">
        <f t="shared" si="2835"/>
        <v>-0.297142857142857</v>
      </c>
      <c r="HF419" s="1094">
        <f t="shared" ref="HF419" si="2836">HF418/GX418-1</f>
        <v>-0.252327746741155</v>
      </c>
      <c r="HG419" s="1094">
        <f t="shared" ref="HG419" si="2837">HG418/GY418-1</f>
        <v>0.168918918918922</v>
      </c>
      <c r="HH419" s="1094">
        <f t="shared" ref="HH419" si="2838">HH418/GZ418-1</f>
        <v>-0.0835913312693486</v>
      </c>
      <c r="HI419" s="1093">
        <f t="shared" ref="HI419" si="2839">HI418/HA418-1</f>
        <v>-0.161313868613138</v>
      </c>
      <c r="HJ419" s="1087">
        <f>HJ418/311-1</f>
        <v>0.180064308681672</v>
      </c>
      <c r="HK419" s="1087">
        <f>HK418/311-1</f>
        <v>-0.0836012861736336</v>
      </c>
      <c r="HL419" s="1087">
        <f t="shared" ref="HL419:HM419" si="2840">HL418/HD418-1</f>
        <v>0.170556552962298</v>
      </c>
      <c r="HM419" s="1087">
        <f t="shared" si="2840"/>
        <v>0.536585365853658</v>
      </c>
      <c r="HN419" s="1094">
        <f t="shared" ref="HN419:HQ419" si="2841">HN418/HF418-1</f>
        <v>0.282689912826899</v>
      </c>
      <c r="HO419" s="1094">
        <f t="shared" si="2841"/>
        <v>-0.0028901734104072</v>
      </c>
      <c r="HP419" s="1094">
        <f t="shared" si="2841"/>
        <v>0.221283783783781</v>
      </c>
      <c r="HQ419" s="1093">
        <f t="shared" si="2841"/>
        <v>0.19669277632724</v>
      </c>
      <c r="HR419" s="1087">
        <f>HR418/311-1</f>
        <v>-0.0868167202572345</v>
      </c>
      <c r="HS419" s="1087">
        <f>HS418/311-1</f>
        <v>-0.0996784565916402</v>
      </c>
      <c r="HT419" s="1087">
        <f t="shared" ref="HT419:HU419" si="2842">HT418/HL418-1</f>
        <v>-0.134969325153374</v>
      </c>
      <c r="HU419" s="1087">
        <f t="shared" si="2842"/>
        <v>-0.333333333333333</v>
      </c>
      <c r="HV419" s="1094">
        <f t="shared" ref="HV419" si="2843">HV418/HN418-1</f>
        <v>-0.207766990291262</v>
      </c>
      <c r="HW419" s="1094">
        <f t="shared" ref="HW419" si="2844">HW418/HO418-1</f>
        <v>-0.205797101449275</v>
      </c>
      <c r="HX419" s="1094">
        <f t="shared" ref="HX419" si="2845">HX418/HP418-1</f>
        <v>-0.272475795297372</v>
      </c>
      <c r="HY419" s="1093">
        <f t="shared" ref="HY419:IA419" si="2846">HY418/HQ418-1</f>
        <v>-0.207272727272727</v>
      </c>
      <c r="HZ419" s="1087">
        <f t="shared" si="2846"/>
        <v>-0.0387323943661974</v>
      </c>
      <c r="IA419" s="1087">
        <f t="shared" si="2846"/>
        <v>0.0250000000000006</v>
      </c>
      <c r="IB419" s="1087">
        <f t="shared" ref="IB419:IC419" si="2847">IB418/HT418-1</f>
        <v>-0.00709219858156029</v>
      </c>
      <c r="IC419" s="1087">
        <f t="shared" si="2847"/>
        <v>0.34126984126984</v>
      </c>
      <c r="ID419" s="1094">
        <f t="shared" ref="ID419" si="2848">ID418/HV418-1</f>
        <v>0.100490196078431</v>
      </c>
      <c r="IE419" s="1094">
        <f t="shared" ref="IE419" si="2849">IE418/HW418-1</f>
        <v>0.029197080291973</v>
      </c>
      <c r="IF419" s="1094">
        <f t="shared" ref="IF419" si="2850">IF418/HX418-1</f>
        <v>0.178707224334602</v>
      </c>
      <c r="IG419" s="1093">
        <f t="shared" ref="IG419:II419" si="2851">IG418/HY418-1</f>
        <v>0.0825688073394499</v>
      </c>
      <c r="IH419" s="1087">
        <f t="shared" si="2851"/>
        <v>0.0329670329670311</v>
      </c>
      <c r="II419" s="1087">
        <f t="shared" si="2851"/>
        <v>-0.0313588850174192</v>
      </c>
      <c r="IJ419" s="1087">
        <f t="shared" ref="IJ419:IK419" si="2852">IJ418/IB418-1</f>
        <v>0</v>
      </c>
      <c r="IK419" s="1087">
        <f t="shared" si="2852"/>
        <v>-0.0780769230769224</v>
      </c>
      <c r="IL419" s="1094">
        <f t="shared" ref="IL419" si="2853">IL418/ID418-1</f>
        <v>-0.0293875278396432</v>
      </c>
      <c r="IM419" s="1094">
        <f t="shared" ref="IM419" si="2854">IM418/IE418-1</f>
        <v>0.00138297872339987</v>
      </c>
      <c r="IN419" s="1094">
        <f t="shared" ref="IN419" si="2855">IN418/IF418-1</f>
        <v>-0.0419354838709691</v>
      </c>
      <c r="IO419" s="1093">
        <f t="shared" ref="IO419:IQ419" si="2856">IO418/IG418-1</f>
        <v>-0.0220338983050853</v>
      </c>
      <c r="IP419" s="1087">
        <f t="shared" si="2856"/>
        <v>-0.0496453900709211</v>
      </c>
      <c r="IQ419" s="1087">
        <f t="shared" si="2856"/>
        <v>0.0539568345323713</v>
      </c>
      <c r="IR419" s="1087">
        <f t="shared" ref="IR419:IS419" si="2857">IR418/IJ418-1</f>
        <v>0.00178571428571339</v>
      </c>
      <c r="IS419" s="1087">
        <f t="shared" si="2857"/>
        <v>0.0282369247703722</v>
      </c>
      <c r="IT419" s="1094">
        <f t="shared" ref="IT419" si="2858">IT418/IL418-1</f>
        <v>0.0112423080594477</v>
      </c>
      <c r="IU419" s="1094">
        <f t="shared" ref="IU419" si="2859">IU418/IM418-1</f>
        <v>0.0103301518936394</v>
      </c>
      <c r="IV419" s="1094">
        <f t="shared" ref="IV419:IW419" si="2860">IV418/IN418-1</f>
        <v>0.0197239725941758</v>
      </c>
      <c r="IW419" s="1093">
        <f t="shared" si="2860"/>
        <v>0.0110190985450087</v>
      </c>
      <c r="IX419" s="1087"/>
      <c r="IY419" s="1037"/>
      <c r="IZ419" s="1071"/>
      <c r="JA419" s="1071"/>
      <c r="JB419" s="1071"/>
      <c r="JC419" s="1049"/>
      <c r="JD419" s="1049"/>
      <c r="JE419" s="1079"/>
      <c r="JF419" s="1037"/>
      <c r="JG419" s="1037"/>
      <c r="JH419" s="1037"/>
      <c r="JI419" s="1035"/>
      <c r="JJ419" s="1035"/>
      <c r="JK419" s="1035"/>
      <c r="JL419" s="1035"/>
      <c r="JM419" s="1035"/>
      <c r="JN419" s="1035"/>
      <c r="JO419" s="1035"/>
      <c r="JP419" s="1035"/>
      <c r="JQ419" s="1035"/>
      <c r="JR419" s="1035"/>
      <c r="JS419" s="1035"/>
      <c r="JT419" s="1035"/>
      <c r="JU419" s="1035"/>
      <c r="JV419" s="1035"/>
      <c r="JW419" s="1035"/>
      <c r="JX419" s="1035"/>
      <c r="JY419" s="1035"/>
    </row>
    <row r="420" spans="1:285">
      <c r="A420" s="1035" t="s">
        <v>145</v>
      </c>
      <c r="B420" s="1302"/>
      <c r="C420" s="1302"/>
      <c r="D420" s="1302"/>
      <c r="E420" s="1302"/>
      <c r="F420" s="1302"/>
      <c r="G420" s="1302"/>
      <c r="H420" s="1302"/>
      <c r="I420" s="1302"/>
      <c r="J420" s="1302"/>
      <c r="K420" s="1302"/>
      <c r="L420" s="1302"/>
      <c r="M420" s="1302"/>
      <c r="N420" s="1302"/>
      <c r="O420" s="1302"/>
      <c r="P420" s="1302"/>
      <c r="Q420" s="1302"/>
      <c r="R420" s="1302"/>
      <c r="S420" s="1302"/>
      <c r="T420" s="1302"/>
      <c r="U420" s="1302"/>
      <c r="V420" s="1302"/>
      <c r="W420" s="1302"/>
      <c r="X420" s="1302"/>
      <c r="Y420" s="1302"/>
      <c r="Z420" s="1302"/>
      <c r="AA420" s="1302"/>
      <c r="AB420" s="1302"/>
      <c r="AC420" s="1302"/>
      <c r="AD420" s="1302"/>
      <c r="AE420" s="1302"/>
      <c r="AF420" s="1302"/>
      <c r="AG420" s="1302"/>
      <c r="AH420" s="1302"/>
      <c r="AI420" s="1302"/>
      <c r="AJ420" s="1302"/>
      <c r="AK420" s="1302"/>
      <c r="AL420" s="1302"/>
      <c r="AM420" s="1302"/>
      <c r="AN420" s="1302"/>
      <c r="AO420" s="1302"/>
      <c r="AP420" s="1302"/>
      <c r="AQ420" s="1302"/>
      <c r="AR420" s="1302"/>
      <c r="AS420" s="1302"/>
      <c r="AT420" s="1302"/>
      <c r="AU420" s="1302"/>
      <c r="AV420" s="1302"/>
      <c r="AW420" s="1302"/>
      <c r="AX420" s="1303"/>
      <c r="AY420" s="1302"/>
      <c r="AZ420" s="1302"/>
      <c r="BA420" s="1302"/>
      <c r="BB420" s="1302"/>
      <c r="BC420" s="1302"/>
      <c r="BD420" s="1302"/>
      <c r="BE420" s="1304"/>
      <c r="BF420" s="1302"/>
      <c r="BG420" s="1302"/>
      <c r="BH420" s="1302"/>
      <c r="BI420" s="1302"/>
      <c r="BJ420" s="1302"/>
      <c r="BK420" s="1302"/>
      <c r="BL420" s="1302"/>
      <c r="BM420" s="1302"/>
      <c r="BN420" s="1303"/>
      <c r="BO420" s="1302"/>
      <c r="BP420" s="1302"/>
      <c r="BQ420" s="1302"/>
      <c r="BR420" s="1302"/>
      <c r="BS420" s="1302"/>
      <c r="BT420" s="1302"/>
      <c r="BU420" s="1304"/>
      <c r="BV420" s="1303"/>
      <c r="BW420" s="1302"/>
      <c r="BX420" s="1302"/>
      <c r="BY420" s="1302"/>
      <c r="BZ420" s="1302"/>
      <c r="CA420" s="1302"/>
      <c r="CB420" s="1302"/>
      <c r="CC420" s="1304"/>
      <c r="CD420" s="1303"/>
      <c r="CE420" s="1302"/>
      <c r="CF420" s="1302"/>
      <c r="CG420" s="1302"/>
      <c r="CH420" s="1302"/>
      <c r="CI420" s="1302"/>
      <c r="CJ420" s="1302"/>
      <c r="CK420" s="1304"/>
      <c r="CL420" s="1303"/>
      <c r="CM420" s="1302"/>
      <c r="CN420" s="1302"/>
      <c r="CO420" s="1302"/>
      <c r="CP420" s="1302"/>
      <c r="CQ420" s="1302"/>
      <c r="CR420" s="1302"/>
      <c r="CS420" s="1304"/>
      <c r="CT420" s="1303"/>
      <c r="CU420" s="1302"/>
      <c r="CV420" s="1302"/>
      <c r="CW420" s="1302"/>
      <c r="CX420" s="1302"/>
      <c r="CY420" s="1302"/>
      <c r="CZ420" s="1302"/>
      <c r="DA420" s="1304"/>
      <c r="DB420" s="1109"/>
      <c r="DC420" s="1082"/>
      <c r="DD420" s="1082"/>
      <c r="DE420" s="1082"/>
      <c r="DF420" s="1082"/>
      <c r="DG420" s="1082"/>
      <c r="DH420" s="1082"/>
      <c r="DI420" s="1085"/>
      <c r="DJ420" s="1082"/>
      <c r="DK420" s="1082"/>
      <c r="DL420" s="1082"/>
      <c r="DM420" s="1082"/>
      <c r="DN420" s="1082"/>
      <c r="DO420" s="1082"/>
      <c r="DP420" s="1082"/>
      <c r="DQ420" s="1085"/>
      <c r="DR420" s="1082"/>
      <c r="DS420" s="1082"/>
      <c r="DT420" s="1082"/>
      <c r="DU420" s="1082"/>
      <c r="DV420" s="1082"/>
      <c r="DW420" s="1082"/>
      <c r="DX420" s="1082"/>
      <c r="DY420" s="1085"/>
      <c r="DZ420" s="1096"/>
      <c r="EA420" s="1096"/>
      <c r="EB420" s="1083"/>
      <c r="EC420" s="1096"/>
      <c r="ED420" s="1083"/>
      <c r="EE420" s="1083">
        <f>EG420</f>
        <v>0.018690887254166</v>
      </c>
      <c r="EF420" s="1083"/>
      <c r="EG420" s="1093">
        <f>EG418/EG388</f>
        <v>0.018690887254166</v>
      </c>
      <c r="EH420" s="1083">
        <f>EH418/EH388</f>
        <v>0.0164748953974895</v>
      </c>
      <c r="EI420" s="1083">
        <f>EI418/EI388</f>
        <v>0.0176286607904464</v>
      </c>
      <c r="EJ420" s="1083">
        <f>EJ418/EJ388</f>
        <v>0.0170276529083231</v>
      </c>
      <c r="EK420" s="1083">
        <f>EK418/EK388</f>
        <v>0.0172537742631201</v>
      </c>
      <c r="EL420" s="1083"/>
      <c r="EM420" s="1094">
        <f>EM418/EM388</f>
        <v>0.0195903829029386</v>
      </c>
      <c r="EN420" s="1083"/>
      <c r="EO420" s="1093">
        <f>EO418/EO388</f>
        <v>0.0176711684472217</v>
      </c>
      <c r="EP420" s="1083">
        <f t="shared" ref="EP420:EZ420" si="2861">EP418/EP$388</f>
        <v>0.0181284990669155</v>
      </c>
      <c r="EQ420" s="1094">
        <f t="shared" si="2861"/>
        <v>0.0198049068873781</v>
      </c>
      <c r="ER420" s="1094">
        <f t="shared" si="2861"/>
        <v>0.0189234650967199</v>
      </c>
      <c r="ES420" s="1094">
        <f t="shared" si="2861"/>
        <v>0.0188192833204434</v>
      </c>
      <c r="ET420" s="1094">
        <f t="shared" si="2861"/>
        <v>0.0188867701806955</v>
      </c>
      <c r="EU420" s="1094">
        <f t="shared" si="2861"/>
        <v>0.0224202356999138</v>
      </c>
      <c r="EV420" s="1094">
        <f t="shared" si="2861"/>
        <v>0.0205218809459092</v>
      </c>
      <c r="EW420" s="1093">
        <f t="shared" si="2861"/>
        <v>0.0197350262213635</v>
      </c>
      <c r="EX420" s="1094">
        <f t="shared" si="2861"/>
        <v>0.0203964378052284</v>
      </c>
      <c r="EY420" s="1094">
        <f t="shared" si="2861"/>
        <v>0.0217775161859918</v>
      </c>
      <c r="EZ420" s="1094">
        <f t="shared" si="2861"/>
        <v>0.0209332751853467</v>
      </c>
      <c r="FA420" s="1094">
        <f t="shared" ref="FA420:FF420" si="2862">FA418/FA$388</f>
        <v>0.0182987141444115</v>
      </c>
      <c r="FB420" s="1094">
        <f t="shared" si="2862"/>
        <v>0.0199578870273734</v>
      </c>
      <c r="FC420" s="1094">
        <f t="shared" si="2862"/>
        <v>0.0290858725761773</v>
      </c>
      <c r="FD420" s="1094">
        <f t="shared" si="2862"/>
        <v>0.0233864645936765</v>
      </c>
      <c r="FE420" s="1093">
        <f t="shared" si="2862"/>
        <v>0.0222252803963394</v>
      </c>
      <c r="FF420" s="1094">
        <f t="shared" si="2862"/>
        <v>0.0235121234386481</v>
      </c>
      <c r="FG420" s="1094">
        <f t="shared" ref="FG420:FU420" si="2863">FG418/FG$388</f>
        <v>0.0212439211671359</v>
      </c>
      <c r="FH420" s="1094">
        <f t="shared" si="2863"/>
        <v>0.0224030037546934</v>
      </c>
      <c r="FI420" s="1094">
        <f t="shared" si="2863"/>
        <v>0.0176581879335716</v>
      </c>
      <c r="FJ420" s="1094">
        <f t="shared" si="2863"/>
        <v>0.0206323056405429</v>
      </c>
      <c r="FK420" s="1094">
        <f t="shared" si="2863"/>
        <v>0.0218330134357006</v>
      </c>
      <c r="FL420" s="1094">
        <f t="shared" si="2863"/>
        <v>0.0196078431372549</v>
      </c>
      <c r="FM420" s="1093">
        <f t="shared" si="2863"/>
        <v>0.0209281702630801</v>
      </c>
      <c r="FN420" s="1094">
        <f t="shared" si="2863"/>
        <v>0.0180331306353533</v>
      </c>
      <c r="FO420" s="1094">
        <f t="shared" si="2863"/>
        <v>0.0203481799683473</v>
      </c>
      <c r="FP420" s="1094">
        <f t="shared" si="2863"/>
        <v>0.0191470844212359</v>
      </c>
      <c r="FQ420" s="1094">
        <f t="shared" si="2863"/>
        <v>0.0170117879915317</v>
      </c>
      <c r="FR420" s="1094">
        <f t="shared" si="2863"/>
        <v>0.0183557790064482</v>
      </c>
      <c r="FS420" s="1094">
        <f t="shared" si="2863"/>
        <v>0.0255937267157129</v>
      </c>
      <c r="FT420" s="1094">
        <f t="shared" si="2863"/>
        <v>0.0209942562883739</v>
      </c>
      <c r="FU420" s="1094">
        <f t="shared" si="2863"/>
        <v>0.0201140487299119</v>
      </c>
      <c r="FV420" s="1086">
        <f>FV418/FV388</f>
        <v>0.0231362467866324</v>
      </c>
      <c r="FW420" s="1087">
        <f>FW418/FW388</f>
        <v>0.018658197697499</v>
      </c>
      <c r="FX420" s="1087">
        <f>FX418/FX$388</f>
        <v>0.0209843571156047</v>
      </c>
      <c r="FY420" s="1087">
        <v>0.0186685452624163</v>
      </c>
      <c r="FZ420" s="1094">
        <f>FZ418/FZ$388</f>
        <v>0.0201707709441901</v>
      </c>
      <c r="GA420" s="1083">
        <f>GA418/GA388</f>
        <v>0.0247231012658228</v>
      </c>
      <c r="GB420" s="1094">
        <f>GB418/GB$388</f>
        <v>0.0215204024594746</v>
      </c>
      <c r="GC420" s="1093">
        <f>GC418/GC$388</f>
        <v>0.0212555377509662</v>
      </c>
      <c r="GD420" s="1087">
        <v>0.0200072098053353</v>
      </c>
      <c r="GE420" s="1087">
        <v>0.0207184945827789</v>
      </c>
      <c r="GF420" s="1087">
        <f>GF418/GF$388</f>
        <v>0.0203534091960403</v>
      </c>
      <c r="GG420" s="1087">
        <v>0.0212838413076792</v>
      </c>
      <c r="GH420" s="1094">
        <f>GH418/GH$388</f>
        <v>0.020680973504376</v>
      </c>
      <c r="GI420" s="1094">
        <f t="shared" ref="GI420:GK420" si="2864">GI418/GI$388</f>
        <v>0.0322950506401681</v>
      </c>
      <c r="GJ420" s="1094">
        <f t="shared" si="2864"/>
        <v>0.0264721772015127</v>
      </c>
      <c r="GK420" s="1093">
        <f t="shared" si="2864"/>
        <v>0.0234542550764317</v>
      </c>
      <c r="GL420" s="1087">
        <v>0.0486146523882373</v>
      </c>
      <c r="GM420" s="1087">
        <v>0.0577237248139409</v>
      </c>
      <c r="GN420" s="1087">
        <f>GN418/GN$388</f>
        <v>0.0530196629213483</v>
      </c>
      <c r="GO420" s="1087">
        <v>0.0538221528861154</v>
      </c>
      <c r="GP420" s="1094">
        <f>GP418/GP$388</f>
        <v>0.0533086170093248</v>
      </c>
      <c r="GQ420" s="1094">
        <f t="shared" ref="GQ420:GS420" si="2865">GQ418/GQ$388</f>
        <v>0.0453844836444596</v>
      </c>
      <c r="GR420" s="1094">
        <f t="shared" si="2865"/>
        <v>0.0497999836721365</v>
      </c>
      <c r="GS420" s="1093">
        <f t="shared" si="2865"/>
        <v>0.0513514656740408</v>
      </c>
      <c r="GT420" s="1087">
        <v>0.070271407532085</v>
      </c>
      <c r="GU420" s="1087">
        <f>GU418/GU388</f>
        <v>0.108979734519778</v>
      </c>
      <c r="GV420" s="1087">
        <f>GV418/GV$388</f>
        <v>0.0868975845952187</v>
      </c>
      <c r="GW420" s="1087">
        <f>GW418/GW388</f>
        <v>0.0586822777174002</v>
      </c>
      <c r="GX420" s="1094">
        <f>GX418/GX$388</f>
        <v>0.0751260722515557</v>
      </c>
      <c r="GY420" s="1094">
        <f t="shared" ref="GY420:HA420" si="2866">GY418/GY$388</f>
        <v>0.0533522613698446</v>
      </c>
      <c r="GZ420" s="1094">
        <f t="shared" si="2866"/>
        <v>0.056113637238191</v>
      </c>
      <c r="HA420" s="1093">
        <f t="shared" si="2866"/>
        <v>0.0690385003023584</v>
      </c>
      <c r="HB420" s="1087">
        <f>HB418/HB388</f>
        <v>0.0520121488230828</v>
      </c>
      <c r="HC420" s="1087">
        <f>HC418/HC388</f>
        <v>0.0557415796730353</v>
      </c>
      <c r="HD420" s="1087">
        <f>HD418/HD$388</f>
        <v>0.0538424359594007</v>
      </c>
      <c r="HE420" s="1087">
        <f>HE418/HE388</f>
        <v>0.0427677329624478</v>
      </c>
      <c r="HF420" s="1094">
        <f>HF418/HF$388</f>
        <v>0.0498850717525005</v>
      </c>
      <c r="HG420" s="1094">
        <f t="shared" ref="HG420:HI420" si="2867">HG418/HG$388</f>
        <v>0.0673544870547014</v>
      </c>
      <c r="HH420" s="1094">
        <f t="shared" si="2867"/>
        <v>0.0543667921755901</v>
      </c>
      <c r="HI420" s="1093">
        <f t="shared" si="2867"/>
        <v>0.0541113308844307</v>
      </c>
      <c r="HJ420" s="1087">
        <f>HJ418/HJ388</f>
        <v>0.0692191625801584</v>
      </c>
      <c r="HK420" s="1087">
        <v>0.0509201357870287</v>
      </c>
      <c r="HL420" s="1087">
        <f>HL418/HL$388</f>
        <v>0.0598220020185338</v>
      </c>
      <c r="HM420" s="1087">
        <v>0.0589887640449438</v>
      </c>
      <c r="HN420" s="1094">
        <f>HN418/HN$388</f>
        <v>0.0595134916507771</v>
      </c>
      <c r="HO420" s="1094">
        <f t="shared" ref="HO420:HQ420" si="2868">HO418/HO$388</f>
        <v>0.0662951575710992</v>
      </c>
      <c r="HP420" s="1094">
        <f t="shared" si="2868"/>
        <v>0.0616420837241027</v>
      </c>
      <c r="HQ420" s="1093">
        <f t="shared" si="2868"/>
        <v>0.0610812491670739</v>
      </c>
      <c r="HR420" s="1087">
        <v>0.0538490709139173</v>
      </c>
      <c r="HS420" s="1087">
        <v>0.0566457616831883</v>
      </c>
      <c r="HT420" s="1087">
        <f>HT418/HT$388</f>
        <v>0.055342949661466</v>
      </c>
      <c r="HU420" s="1087">
        <v>0.0446096654275093</v>
      </c>
      <c r="HV420" s="1094">
        <f>HV418/HV$388</f>
        <v>0.0515867998482741</v>
      </c>
      <c r="HW420" s="1094">
        <f t="shared" ref="HW420:HY420" si="2869">HW418/HW$388</f>
        <v>0.0569409808811306</v>
      </c>
      <c r="HX420" s="1094">
        <f t="shared" si="2869"/>
        <v>0.0502819998088137</v>
      </c>
      <c r="HY420" s="1093">
        <f t="shared" si="2869"/>
        <v>0.0527130283392978</v>
      </c>
      <c r="HZ420" s="1087">
        <v>0.0514318010550113</v>
      </c>
      <c r="IA420" s="1087">
        <v>0.0510494485948061</v>
      </c>
      <c r="IB420" s="1087">
        <f>IB418/IB$388</f>
        <v>0.0512351326623971</v>
      </c>
      <c r="IC420" s="1087">
        <v>0.0541840333440205</v>
      </c>
      <c r="ID420" s="1094">
        <f>ID418/ID$388</f>
        <v>0.052392065344224</v>
      </c>
      <c r="IE420" s="1094">
        <f t="shared" ref="IE420:IG420" si="2870">IE418/IE$388</f>
        <v>0.0480818414322252</v>
      </c>
      <c r="IF420" s="1094">
        <f t="shared" si="2870"/>
        <v>0.0511931302122038</v>
      </c>
      <c r="IG420" s="1093">
        <f t="shared" si="2870"/>
        <v>0.0512308427039465</v>
      </c>
      <c r="IH420" s="1087">
        <v>0.045831301803998</v>
      </c>
      <c r="II420" s="1087">
        <v>0.046706989247312</v>
      </c>
      <c r="IJ420" s="1087">
        <f>IJ418/IJ$388</f>
        <v>0.0462618752581578</v>
      </c>
      <c r="IK420" s="1087">
        <v>0.047</v>
      </c>
      <c r="IL420" s="1094">
        <f>IL418/IL$388</f>
        <v>0.0465927193029347</v>
      </c>
      <c r="IM420" s="1094">
        <f t="shared" ref="IM420:IO420" si="2871">IM418/IM$388</f>
        <v>0.0464763001974983</v>
      </c>
      <c r="IN420" s="1094">
        <f t="shared" si="2871"/>
        <v>0.046923137688601</v>
      </c>
      <c r="IO420" s="1093">
        <f t="shared" si="2871"/>
        <v>0.0465116279069767</v>
      </c>
      <c r="IP420" s="1087">
        <v>0.0406553398058252</v>
      </c>
      <c r="IQ420" s="1087">
        <v>0.0434524692273469</v>
      </c>
      <c r="IR420" s="1087">
        <f>IR418/IR$388</f>
        <v>0.0420697412823397</v>
      </c>
      <c r="IS420" s="1087">
        <v>0.044</v>
      </c>
      <c r="IT420" s="1094">
        <f>IT418/IT$388</f>
        <v>0.0427515169892697</v>
      </c>
      <c r="IU420" s="1094">
        <f t="shared" ref="IU420:IW420" si="2872">IU418/IU$388</f>
        <v>0.0437862261685977</v>
      </c>
      <c r="IV420" s="1094">
        <f t="shared" si="2872"/>
        <v>0.0438990478253209</v>
      </c>
      <c r="IW420" s="1093">
        <f t="shared" si="2872"/>
        <v>0.043</v>
      </c>
      <c r="IX420" s="1037"/>
      <c r="IY420" s="1037"/>
      <c r="IZ420" s="1087"/>
      <c r="JA420" s="1071"/>
      <c r="JB420" s="1071"/>
      <c r="JC420" s="1049"/>
      <c r="JD420" s="1049"/>
      <c r="JE420" s="1079"/>
      <c r="JF420" s="1037"/>
      <c r="JG420" s="1037"/>
      <c r="JH420" s="1037"/>
      <c r="JI420" s="1035"/>
      <c r="JJ420" s="1035"/>
      <c r="JK420" s="1035"/>
      <c r="JL420" s="1035"/>
      <c r="JM420" s="1035"/>
      <c r="JN420" s="1035"/>
      <c r="JO420" s="1035"/>
      <c r="JP420" s="1035"/>
      <c r="JQ420" s="1035"/>
      <c r="JR420" s="1035"/>
      <c r="JS420" s="1035"/>
      <c r="JT420" s="1035"/>
      <c r="JU420" s="1035"/>
      <c r="JV420" s="1035"/>
      <c r="JW420" s="1035"/>
      <c r="JX420" s="1035"/>
      <c r="JY420" s="1035"/>
    </row>
    <row r="421" hidden="1" spans="1:285">
      <c r="A421" s="1339" t="s">
        <v>591</v>
      </c>
      <c r="B421" s="1307"/>
      <c r="C421" s="1307"/>
      <c r="D421" s="1307"/>
      <c r="E421" s="1307"/>
      <c r="F421" s="1307"/>
      <c r="G421" s="1307"/>
      <c r="H421" s="1307"/>
      <c r="I421" s="1307"/>
      <c r="J421" s="1307"/>
      <c r="K421" s="1307"/>
      <c r="L421" s="1307"/>
      <c r="M421" s="1307"/>
      <c r="N421" s="1307"/>
      <c r="O421" s="1307"/>
      <c r="P421" s="1307"/>
      <c r="Q421" s="1307"/>
      <c r="R421" s="1307"/>
      <c r="S421" s="1307"/>
      <c r="T421" s="1307"/>
      <c r="U421" s="1307"/>
      <c r="V421" s="1307"/>
      <c r="W421" s="1307"/>
      <c r="X421" s="1307"/>
      <c r="Y421" s="1307"/>
      <c r="Z421" s="1307"/>
      <c r="AA421" s="1307"/>
      <c r="AB421" s="1307"/>
      <c r="AC421" s="1307"/>
      <c r="AD421" s="1307"/>
      <c r="AE421" s="1307"/>
      <c r="AF421" s="1307"/>
      <c r="AG421" s="1307"/>
      <c r="AH421" s="1307"/>
      <c r="AI421" s="1307"/>
      <c r="AJ421" s="1307"/>
      <c r="AK421" s="1307"/>
      <c r="AL421" s="1307"/>
      <c r="AM421" s="1307"/>
      <c r="AN421" s="1307"/>
      <c r="AO421" s="1307"/>
      <c r="AP421" s="1307"/>
      <c r="AQ421" s="1307"/>
      <c r="AR421" s="1307"/>
      <c r="AS421" s="1307"/>
      <c r="AT421" s="1307"/>
      <c r="AU421" s="1307"/>
      <c r="AV421" s="1307"/>
      <c r="AW421" s="1307"/>
      <c r="AX421" s="1308"/>
      <c r="AY421" s="1307"/>
      <c r="AZ421" s="1307"/>
      <c r="BA421" s="1307"/>
      <c r="BB421" s="1307"/>
      <c r="BC421" s="1307"/>
      <c r="BD421" s="1307"/>
      <c r="BE421" s="1309"/>
      <c r="BF421" s="1307"/>
      <c r="BG421" s="1307"/>
      <c r="BH421" s="1307"/>
      <c r="BI421" s="1307"/>
      <c r="BJ421" s="1307"/>
      <c r="BK421" s="1307"/>
      <c r="BL421" s="1307"/>
      <c r="BM421" s="1307"/>
      <c r="BN421" s="1308"/>
      <c r="BO421" s="1307"/>
      <c r="BP421" s="1307"/>
      <c r="BQ421" s="1307"/>
      <c r="BR421" s="1307"/>
      <c r="BS421" s="1307"/>
      <c r="BT421" s="1307"/>
      <c r="BU421" s="1309"/>
      <c r="BV421" s="1308"/>
      <c r="BW421" s="1307"/>
      <c r="BX421" s="1307"/>
      <c r="BY421" s="1307"/>
      <c r="BZ421" s="1307"/>
      <c r="CA421" s="1307"/>
      <c r="CB421" s="1307"/>
      <c r="CC421" s="1309"/>
      <c r="CD421" s="1308"/>
      <c r="CE421" s="1307"/>
      <c r="CF421" s="1307"/>
      <c r="CG421" s="1307"/>
      <c r="CH421" s="1307"/>
      <c r="CI421" s="1307"/>
      <c r="CJ421" s="1307"/>
      <c r="CK421" s="1309"/>
      <c r="CL421" s="1308"/>
      <c r="CM421" s="1307"/>
      <c r="CN421" s="1307"/>
      <c r="CO421" s="1307"/>
      <c r="CP421" s="1307"/>
      <c r="CQ421" s="1307"/>
      <c r="CR421" s="1307"/>
      <c r="CS421" s="1309"/>
      <c r="CT421" s="1308"/>
      <c r="CU421" s="1307"/>
      <c r="CV421" s="1307"/>
      <c r="CW421" s="1307"/>
      <c r="CX421" s="1307"/>
      <c r="CY421" s="1307"/>
      <c r="CZ421" s="1307"/>
      <c r="DA421" s="1309"/>
      <c r="DB421" s="1310"/>
      <c r="DC421" s="1311"/>
      <c r="DD421" s="1311"/>
      <c r="DE421" s="1311"/>
      <c r="DF421" s="1311"/>
      <c r="DG421" s="1311"/>
      <c r="DH421" s="1311"/>
      <c r="DI421" s="1312"/>
      <c r="DJ421" s="1311"/>
      <c r="DK421" s="1311"/>
      <c r="DL421" s="1311"/>
      <c r="DM421" s="1311"/>
      <c r="DN421" s="1311"/>
      <c r="DO421" s="1311"/>
      <c r="DP421" s="1311"/>
      <c r="DQ421" s="1335"/>
      <c r="DR421" s="1311"/>
      <c r="DS421" s="1311"/>
      <c r="DT421" s="1311"/>
      <c r="DU421" s="1311"/>
      <c r="DV421" s="1311"/>
      <c r="DW421" s="1311"/>
      <c r="DX421" s="1311"/>
      <c r="DY421" s="1312"/>
      <c r="DZ421" s="1311"/>
      <c r="EA421" s="1311"/>
      <c r="EB421" s="1311"/>
      <c r="EC421" s="1311"/>
      <c r="ED421" s="1311"/>
      <c r="EE421" s="1311"/>
      <c r="EF421" s="1311"/>
      <c r="EG421" s="1312"/>
      <c r="EH421" s="1340">
        <v>0</v>
      </c>
      <c r="EI421" s="1340">
        <v>17</v>
      </c>
      <c r="EJ421" s="1340">
        <f>+EI421+EH421</f>
        <v>17</v>
      </c>
      <c r="EK421" s="1340">
        <v>28</v>
      </c>
      <c r="EL421" s="1340">
        <f>+EK421+EJ421</f>
        <v>45</v>
      </c>
      <c r="EM421" s="1340">
        <v>265</v>
      </c>
      <c r="EN421" s="1340">
        <f>+EM421+EK421</f>
        <v>293</v>
      </c>
      <c r="EO421" s="1341">
        <v>265</v>
      </c>
      <c r="EP421" s="1340">
        <v>0</v>
      </c>
      <c r="EQ421" s="1340">
        <v>0</v>
      </c>
      <c r="ER421" s="1340">
        <f>EP421+EQ421</f>
        <v>0</v>
      </c>
      <c r="ES421" s="1340">
        <v>0</v>
      </c>
      <c r="ET421" s="1340">
        <f>ER421+ES421</f>
        <v>0</v>
      </c>
      <c r="EU421" s="1340">
        <v>53</v>
      </c>
      <c r="EV421" s="1340">
        <f>ES421+EU421</f>
        <v>53</v>
      </c>
      <c r="EW421" s="1341">
        <f>EP421+EQ421+ES421+EU421</f>
        <v>53</v>
      </c>
      <c r="EX421" s="1342">
        <v>0</v>
      </c>
      <c r="EY421" s="1340">
        <v>0</v>
      </c>
      <c r="EZ421" s="1340">
        <f>EX421+EY421</f>
        <v>0</v>
      </c>
      <c r="FA421" s="1343">
        <v>10</v>
      </c>
      <c r="FB421" s="1344">
        <f>EZ421+FA421</f>
        <v>10</v>
      </c>
      <c r="FC421" s="1344">
        <v>78</v>
      </c>
      <c r="FD421" s="1344">
        <f>FA421+FC421</f>
        <v>88</v>
      </c>
      <c r="FE421" s="1345">
        <f>FD421</f>
        <v>88</v>
      </c>
      <c r="FF421" s="1344">
        <v>18</v>
      </c>
      <c r="FG421" s="1344">
        <v>0</v>
      </c>
      <c r="FH421" s="1344">
        <f>FF421+FG421</f>
        <v>18</v>
      </c>
      <c r="FI421" s="1344">
        <v>0</v>
      </c>
      <c r="FJ421" s="1344">
        <f>FH421+FI421</f>
        <v>18</v>
      </c>
      <c r="FK421" s="1344">
        <v>16</v>
      </c>
      <c r="FL421" s="1344">
        <f>FI421+FK421</f>
        <v>16</v>
      </c>
      <c r="FM421" s="1345">
        <f>FJ421+FK421</f>
        <v>34</v>
      </c>
      <c r="FN421" s="1344">
        <v>0</v>
      </c>
      <c r="FO421" s="1344">
        <v>-82.5</v>
      </c>
      <c r="FP421" s="1344">
        <f>FN421+FO421</f>
        <v>-82.5</v>
      </c>
      <c r="FQ421" s="1344">
        <v>20</v>
      </c>
      <c r="FR421" s="1344">
        <f>FN421+FO421+FQ421</f>
        <v>-62.5</v>
      </c>
      <c r="FS421" s="1344">
        <f>FU421-FR421</f>
        <v>62.5</v>
      </c>
      <c r="FT421" s="1344">
        <f>FQ421+FS421</f>
        <v>82.5</v>
      </c>
      <c r="FU421" s="1344">
        <f>'Profit and Loss'!W372</f>
        <v>0</v>
      </c>
      <c r="FV421" s="1346">
        <v>0</v>
      </c>
      <c r="FW421" s="1344">
        <v>0</v>
      </c>
      <c r="FX421" s="1344">
        <v>0</v>
      </c>
      <c r="FY421" s="1344">
        <v>0</v>
      </c>
      <c r="FZ421" s="1344">
        <v>0</v>
      </c>
      <c r="GA421" s="1344">
        <v>0</v>
      </c>
      <c r="GB421" s="1344">
        <v>0</v>
      </c>
      <c r="GC421" s="1345">
        <v>0</v>
      </c>
      <c r="GD421" s="1344">
        <v>0</v>
      </c>
      <c r="GE421" s="1344">
        <v>0</v>
      </c>
      <c r="GF421" s="1344">
        <v>0</v>
      </c>
      <c r="GG421" s="1344">
        <v>0</v>
      </c>
      <c r="GH421" s="1344">
        <v>0</v>
      </c>
      <c r="GI421" s="1344">
        <v>0</v>
      </c>
      <c r="GJ421" s="1344">
        <v>0</v>
      </c>
      <c r="GK421" s="1345">
        <v>0</v>
      </c>
      <c r="GL421" s="1344">
        <v>0</v>
      </c>
      <c r="GM421" s="1344">
        <v>0</v>
      </c>
      <c r="GN421" s="1344">
        <v>0</v>
      </c>
      <c r="GO421" s="1344">
        <v>0</v>
      </c>
      <c r="GP421" s="1344">
        <v>0</v>
      </c>
      <c r="GQ421" s="1344">
        <v>0</v>
      </c>
      <c r="GR421" s="1344">
        <v>0</v>
      </c>
      <c r="GS421" s="1345">
        <v>0</v>
      </c>
      <c r="GT421" s="1344">
        <v>0</v>
      </c>
      <c r="GU421" s="1344">
        <v>0</v>
      </c>
      <c r="GV421" s="1344">
        <v>0</v>
      </c>
      <c r="GW421" s="1344">
        <v>0</v>
      </c>
      <c r="GX421" s="1344">
        <v>0</v>
      </c>
      <c r="GY421" s="1344">
        <v>0</v>
      </c>
      <c r="GZ421" s="1344">
        <v>0</v>
      </c>
      <c r="HA421" s="1345">
        <v>0</v>
      </c>
      <c r="HB421" s="1344"/>
      <c r="HC421" s="1344"/>
      <c r="HD421" s="1344"/>
      <c r="HE421" s="1344"/>
      <c r="HF421" s="1344"/>
      <c r="HG421" s="1344"/>
      <c r="HH421" s="1344"/>
      <c r="HI421" s="1345"/>
      <c r="HJ421" s="1344"/>
      <c r="HK421" s="1344"/>
      <c r="HL421" s="1344"/>
      <c r="HM421" s="1344"/>
      <c r="HN421" s="1344"/>
      <c r="HO421" s="1344"/>
      <c r="HP421" s="1344"/>
      <c r="HQ421" s="1345"/>
      <c r="HR421" s="1344"/>
      <c r="HS421" s="1344"/>
      <c r="HT421" s="1344"/>
      <c r="HU421" s="1344"/>
      <c r="HV421" s="1344"/>
      <c r="HW421" s="1344"/>
      <c r="HX421" s="1344"/>
      <c r="HY421" s="1345"/>
      <c r="HZ421" s="1344"/>
      <c r="IA421" s="1344"/>
      <c r="IB421" s="1344"/>
      <c r="IC421" s="1344"/>
      <c r="ID421" s="1344"/>
      <c r="IE421" s="1344"/>
      <c r="IF421" s="1344"/>
      <c r="IG421" s="1345"/>
      <c r="IH421" s="1344"/>
      <c r="II421" s="1344"/>
      <c r="IJ421" s="1344"/>
      <c r="IK421" s="1344"/>
      <c r="IL421" s="1344"/>
      <c r="IM421" s="1344"/>
      <c r="IN421" s="1344"/>
      <c r="IO421" s="1345"/>
      <c r="IP421" s="1344"/>
      <c r="IQ421" s="1344"/>
      <c r="IR421" s="1344"/>
      <c r="IS421" s="1344"/>
      <c r="IT421" s="1344"/>
      <c r="IU421" s="1344"/>
      <c r="IV421" s="1344"/>
      <c r="IW421" s="1345"/>
      <c r="IX421" s="1037"/>
      <c r="IY421" s="1037"/>
      <c r="IZ421" s="1347"/>
      <c r="JA421" s="1071"/>
      <c r="JB421" s="1071"/>
      <c r="JC421" s="1049"/>
      <c r="JD421" s="1049"/>
      <c r="JE421" s="1348"/>
      <c r="JF421" s="1037"/>
      <c r="JG421" s="1037"/>
      <c r="JH421" s="1037"/>
      <c r="JI421" s="1037"/>
      <c r="JJ421" s="1035"/>
      <c r="JK421" s="1035"/>
      <c r="JL421" s="1035"/>
      <c r="JM421" s="1035"/>
      <c r="JN421" s="1035"/>
      <c r="JO421" s="1035"/>
      <c r="JP421" s="1035"/>
      <c r="JQ421" s="1035"/>
      <c r="JR421" s="1035"/>
      <c r="JS421" s="1035"/>
      <c r="JT421" s="1035"/>
      <c r="JU421" s="1035"/>
      <c r="JV421" s="1035"/>
      <c r="JW421" s="1035"/>
      <c r="JX421" s="1035"/>
      <c r="JY421" s="1035"/>
    </row>
    <row r="422" spans="1:285">
      <c r="A422" s="969" t="s">
        <v>592</v>
      </c>
      <c r="B422" s="1302"/>
      <c r="C422" s="1302"/>
      <c r="D422" s="1302"/>
      <c r="E422" s="1302"/>
      <c r="F422" s="1302"/>
      <c r="G422" s="1302"/>
      <c r="H422" s="1302"/>
      <c r="I422" s="1302"/>
      <c r="J422" s="1302"/>
      <c r="K422" s="1302"/>
      <c r="L422" s="1302"/>
      <c r="M422" s="1302"/>
      <c r="N422" s="1302"/>
      <c r="O422" s="1302"/>
      <c r="P422" s="1302"/>
      <c r="Q422" s="1302"/>
      <c r="R422" s="1302"/>
      <c r="S422" s="1302"/>
      <c r="T422" s="1302"/>
      <c r="U422" s="1302"/>
      <c r="V422" s="1302"/>
      <c r="W422" s="1302"/>
      <c r="X422" s="1302"/>
      <c r="Y422" s="1302"/>
      <c r="Z422" s="1302"/>
      <c r="AA422" s="1302"/>
      <c r="AB422" s="1302"/>
      <c r="AC422" s="1302"/>
      <c r="AD422" s="1302"/>
      <c r="AE422" s="1302"/>
      <c r="AF422" s="1302"/>
      <c r="AG422" s="1302"/>
      <c r="AH422" s="1302"/>
      <c r="AI422" s="1302"/>
      <c r="AJ422" s="1302"/>
      <c r="AK422" s="1302"/>
      <c r="AL422" s="1302"/>
      <c r="AM422" s="1302"/>
      <c r="AN422" s="1302"/>
      <c r="AO422" s="1302"/>
      <c r="AP422" s="1302"/>
      <c r="AQ422" s="1302"/>
      <c r="AR422" s="1302"/>
      <c r="AS422" s="1302"/>
      <c r="AT422" s="1302"/>
      <c r="AU422" s="1302"/>
      <c r="AV422" s="1302"/>
      <c r="AW422" s="1302"/>
      <c r="AX422" s="1303"/>
      <c r="AY422" s="1302"/>
      <c r="AZ422" s="1302"/>
      <c r="BA422" s="1302"/>
      <c r="BB422" s="1302"/>
      <c r="BC422" s="1302"/>
      <c r="BD422" s="1302"/>
      <c r="BE422" s="1304"/>
      <c r="BF422" s="1302"/>
      <c r="BG422" s="1302"/>
      <c r="BH422" s="1302"/>
      <c r="BI422" s="1302"/>
      <c r="BJ422" s="1302"/>
      <c r="BK422" s="1302"/>
      <c r="BL422" s="1302"/>
      <c r="BM422" s="1302"/>
      <c r="BN422" s="1303"/>
      <c r="BO422" s="1302"/>
      <c r="BP422" s="1302"/>
      <c r="BQ422" s="1302"/>
      <c r="BR422" s="1302"/>
      <c r="BS422" s="1302"/>
      <c r="BT422" s="1302"/>
      <c r="BU422" s="1304"/>
      <c r="BV422" s="1303"/>
      <c r="BW422" s="1302"/>
      <c r="BX422" s="1302"/>
      <c r="BY422" s="1302"/>
      <c r="BZ422" s="1302"/>
      <c r="CA422" s="1302"/>
      <c r="CB422" s="1302"/>
      <c r="CC422" s="1304"/>
      <c r="CD422" s="1303"/>
      <c r="CE422" s="1302"/>
      <c r="CF422" s="1302"/>
      <c r="CG422" s="1302"/>
      <c r="CH422" s="1302"/>
      <c r="CI422" s="1302"/>
      <c r="CJ422" s="1302"/>
      <c r="CK422" s="1304"/>
      <c r="CL422" s="1303"/>
      <c r="CM422" s="1302"/>
      <c r="CN422" s="1302"/>
      <c r="CO422" s="1302"/>
      <c r="CP422" s="1302"/>
      <c r="CQ422" s="1302"/>
      <c r="CR422" s="1302"/>
      <c r="CS422" s="1304"/>
      <c r="CT422" s="1303"/>
      <c r="CU422" s="1302"/>
      <c r="CV422" s="1302"/>
      <c r="CW422" s="1302"/>
      <c r="CX422" s="1302"/>
      <c r="CY422" s="1302"/>
      <c r="CZ422" s="1302"/>
      <c r="DA422" s="1304"/>
      <c r="DB422" s="1109"/>
      <c r="DC422" s="1082"/>
      <c r="DD422" s="1082"/>
      <c r="DE422" s="1082"/>
      <c r="DF422" s="1082"/>
      <c r="DG422" s="1082"/>
      <c r="DH422" s="1082"/>
      <c r="DI422" s="1085"/>
      <c r="DJ422" s="1082"/>
      <c r="DK422" s="1082"/>
      <c r="DL422" s="1082"/>
      <c r="DM422" s="1082"/>
      <c r="DN422" s="1082"/>
      <c r="DO422" s="1082"/>
      <c r="DP422" s="1082"/>
      <c r="DQ422" s="1085"/>
      <c r="DR422" s="1082"/>
      <c r="DS422" s="1082"/>
      <c r="DT422" s="1082"/>
      <c r="DU422" s="1082"/>
      <c r="DV422" s="1082"/>
      <c r="DW422" s="1082"/>
      <c r="DX422" s="1082"/>
      <c r="DY422" s="1085"/>
      <c r="DZ422" s="1096"/>
      <c r="EA422" s="1096"/>
      <c r="EB422" s="1083"/>
      <c r="EC422" s="1096"/>
      <c r="ED422" s="1083"/>
      <c r="EE422" s="1083"/>
      <c r="EF422" s="1083"/>
      <c r="EG422" s="1093"/>
      <c r="EH422" s="1311">
        <v>409</v>
      </c>
      <c r="EI422" s="1311">
        <v>273</v>
      </c>
      <c r="EJ422" s="1311">
        <f>+EI422+EH422</f>
        <v>682</v>
      </c>
      <c r="EK422" s="1311">
        <v>522</v>
      </c>
      <c r="EL422" s="1311">
        <f>+EK422+EJ422</f>
        <v>1204</v>
      </c>
      <c r="EM422" s="1311">
        <v>26</v>
      </c>
      <c r="EN422" s="1311">
        <f>+EM422+EK422</f>
        <v>548</v>
      </c>
      <c r="EO422" s="1312">
        <f>EO426+EO421</f>
        <v>1185</v>
      </c>
      <c r="EP422" s="1311">
        <v>442</v>
      </c>
      <c r="EQ422" s="1311">
        <f>EQ426+EQ421</f>
        <v>252</v>
      </c>
      <c r="ER422" s="1311">
        <f>EP422+EQ422</f>
        <v>694</v>
      </c>
      <c r="ES422" s="1311">
        <f>ES426+ES421</f>
        <v>463</v>
      </c>
      <c r="ET422" s="1311">
        <f>ER422+ES422</f>
        <v>1157</v>
      </c>
      <c r="EU422" s="1311">
        <v>98</v>
      </c>
      <c r="EV422" s="1311">
        <f>ES422+EU422</f>
        <v>561</v>
      </c>
      <c r="EW422" s="1312">
        <f>EW426+EW421</f>
        <v>1255</v>
      </c>
      <c r="EX422" s="1311">
        <f>EX426+EX421</f>
        <v>307</v>
      </c>
      <c r="EY422" s="1311">
        <f>EY426+EY421</f>
        <v>217</v>
      </c>
      <c r="EZ422" s="1311">
        <f>EZ395+EZ399-EZ415-EZ418</f>
        <v>525</v>
      </c>
      <c r="FA422" s="1311">
        <f>FA426+FA421</f>
        <v>409</v>
      </c>
      <c r="FB422" s="1311">
        <f>FB395+FB399-FB415-FB418</f>
        <v>934</v>
      </c>
      <c r="FC422" s="1311">
        <f>FC426+FC421</f>
        <v>38</v>
      </c>
      <c r="FD422" s="1311">
        <f>FD395+FD399-FD415-FD418</f>
        <v>358</v>
      </c>
      <c r="FE422" s="1312">
        <f>'Profit and Loss'!U373</f>
        <v>961</v>
      </c>
      <c r="FF422" s="1311">
        <f t="shared" ref="FF422:FN422" si="2873">FF426+FF421</f>
        <v>363</v>
      </c>
      <c r="FG422" s="1311">
        <f t="shared" si="2873"/>
        <v>234</v>
      </c>
      <c r="FH422" s="1311">
        <f t="shared" si="2873"/>
        <v>597</v>
      </c>
      <c r="FI422" s="1311">
        <f t="shared" si="2873"/>
        <v>505</v>
      </c>
      <c r="FJ422" s="1311">
        <f t="shared" si="2873"/>
        <v>1102</v>
      </c>
      <c r="FK422" s="1311">
        <f t="shared" si="2873"/>
        <v>-9</v>
      </c>
      <c r="FL422" s="1311">
        <f t="shared" si="2873"/>
        <v>496</v>
      </c>
      <c r="FM422" s="1312">
        <f t="shared" si="2873"/>
        <v>1093</v>
      </c>
      <c r="FN422" s="1311">
        <f t="shared" si="2873"/>
        <v>490</v>
      </c>
      <c r="FO422" s="1311">
        <f t="shared" ref="FO422:GC422" si="2874">FO426+FO421</f>
        <v>331.5</v>
      </c>
      <c r="FP422" s="1311">
        <f t="shared" si="2874"/>
        <v>821.5</v>
      </c>
      <c r="FQ422" s="1311">
        <f t="shared" si="2874"/>
        <v>583</v>
      </c>
      <c r="FR422" s="1311">
        <f t="shared" si="2874"/>
        <v>1405.5</v>
      </c>
      <c r="FS422" s="1311">
        <f t="shared" si="2874"/>
        <v>85.5</v>
      </c>
      <c r="FT422" s="1311">
        <f t="shared" si="2874"/>
        <v>668.5</v>
      </c>
      <c r="FU422" s="1311">
        <f t="shared" si="2874"/>
        <v>1491</v>
      </c>
      <c r="FV422" s="1313">
        <f t="shared" si="2874"/>
        <v>637</v>
      </c>
      <c r="FW422" s="1314">
        <f t="shared" si="2874"/>
        <v>505</v>
      </c>
      <c r="FX422" s="1314">
        <f t="shared" si="2874"/>
        <v>1142</v>
      </c>
      <c r="FY422" s="1311">
        <f t="shared" si="2874"/>
        <v>795</v>
      </c>
      <c r="FZ422" s="1311">
        <f t="shared" si="2874"/>
        <v>1937</v>
      </c>
      <c r="GA422" s="1311">
        <f t="shared" si="2874"/>
        <v>133</v>
      </c>
      <c r="GB422" s="1311">
        <f t="shared" si="2874"/>
        <v>928</v>
      </c>
      <c r="GC422" s="1312">
        <f t="shared" si="2874"/>
        <v>2070</v>
      </c>
      <c r="GD422" s="1314">
        <f>GD395+GD399-GD415-GD418</f>
        <v>746</v>
      </c>
      <c r="GE422" s="1314">
        <f>GE395+GE399-GE415-GE418</f>
        <v>592</v>
      </c>
      <c r="GF422" s="1314">
        <f>GE422+GD422</f>
        <v>1338</v>
      </c>
      <c r="GG422" s="1314">
        <f>GG395+GG399-GG415-GG418</f>
        <v>901</v>
      </c>
      <c r="GH422" s="1311">
        <f>GG422+GF422</f>
        <v>2239</v>
      </c>
      <c r="GI422" s="1314">
        <f>GI395+GI399-GI415-GI418</f>
        <v>129.000000000002</v>
      </c>
      <c r="GJ422" s="1311">
        <f>GI422+GG422</f>
        <v>1030</v>
      </c>
      <c r="GK422" s="1312">
        <f>GJ422+GF422</f>
        <v>2368</v>
      </c>
      <c r="GL422" s="1314">
        <f>GL395+GL399-GL415-GL418</f>
        <v>875</v>
      </c>
      <c r="GM422" s="1314">
        <f>GM395+GM399-GM415-GM418</f>
        <v>643</v>
      </c>
      <c r="GN422" s="1314">
        <f>GM422+GL422</f>
        <v>1518</v>
      </c>
      <c r="GO422" s="1314">
        <f>GO395+GO399-GO415-GO418</f>
        <v>897</v>
      </c>
      <c r="GP422" s="1311">
        <f>GO422+GN422</f>
        <v>2415</v>
      </c>
      <c r="GQ422" s="1314">
        <f>GQ395+GQ399-GQ415-GQ418</f>
        <v>245</v>
      </c>
      <c r="GR422" s="1311">
        <f>GQ422+GO422</f>
        <v>1142</v>
      </c>
      <c r="GS422" s="1312">
        <f>GR422+GN422</f>
        <v>2660</v>
      </c>
      <c r="GT422" s="1314">
        <f>GT395+GT399-GT415-GT418</f>
        <v>64.9999999999999</v>
      </c>
      <c r="GU422" s="1314">
        <f>GU395+GU399-GU415-GU418</f>
        <v>-333.000000000001</v>
      </c>
      <c r="GV422" s="1314">
        <f>GU422+GT422</f>
        <v>-268.000000000001</v>
      </c>
      <c r="GW422" s="1314">
        <f>GW395+GW399-GW415-GW418</f>
        <v>794.030088559999</v>
      </c>
      <c r="GX422" s="1311">
        <f>GW422+GV422</f>
        <v>526.030088559998</v>
      </c>
      <c r="GY422" s="1314">
        <f>GY395+GY399-GY415-GY418</f>
        <v>224.969911440003</v>
      </c>
      <c r="GZ422" s="1311">
        <f>GY422+GW422</f>
        <v>1019</v>
      </c>
      <c r="HA422" s="1312">
        <f>GZ422+GV422</f>
        <v>751.000000000001</v>
      </c>
      <c r="HB422" s="1314">
        <f>HB395+HB399-HB415-HB418</f>
        <v>704</v>
      </c>
      <c r="HC422" s="1314">
        <f>HC395+HC399-HC415-HC418</f>
        <v>543</v>
      </c>
      <c r="HD422" s="1314">
        <f>HC422+HB422</f>
        <v>1247</v>
      </c>
      <c r="HE422" s="1314">
        <f>HE395+HE399-HE415-HE418</f>
        <v>672</v>
      </c>
      <c r="HF422" s="1311">
        <f>HE422+HD422</f>
        <v>1919</v>
      </c>
      <c r="HG422" s="1314">
        <f>HI422-HE422-HC422-HB422</f>
        <v>66.9999999999991</v>
      </c>
      <c r="HH422" s="1311">
        <f>HG422+HE422</f>
        <v>738.999999999999</v>
      </c>
      <c r="HI422" s="1328">
        <f>HI395+HI399-HI415-HI418</f>
        <v>1986</v>
      </c>
      <c r="HJ422" s="1314">
        <f>HJ395+HJ399-HJ415-HJ418</f>
        <v>437.000000000001</v>
      </c>
      <c r="HK422" s="1314">
        <f>HK395+HK399-HK415-HK418</f>
        <v>390.999999999999</v>
      </c>
      <c r="HL422" s="1314">
        <f>HK422+HJ422</f>
        <v>828</v>
      </c>
      <c r="HM422" s="1314">
        <f>HM395+HM399-HM415-HM418</f>
        <v>564</v>
      </c>
      <c r="HN422" s="1311">
        <f>HM422+HL422</f>
        <v>1392</v>
      </c>
      <c r="HO422" s="1314">
        <f>HQ422-HM422-HK422-HJ422</f>
        <v>-723</v>
      </c>
      <c r="HP422" s="1311">
        <f>HO422+HM422</f>
        <v>-159</v>
      </c>
      <c r="HQ422" s="1328">
        <f>HQ395+HQ399-HQ415-HQ418</f>
        <v>669</v>
      </c>
      <c r="HR422" s="1314">
        <f>HR395+HR399-HR415-HR418</f>
        <v>59.9999999999999</v>
      </c>
      <c r="HS422" s="1314">
        <f>HS395+HS399-HS415-HS418</f>
        <v>75.9999999999997</v>
      </c>
      <c r="HT422" s="1314">
        <f>HS422+HR422</f>
        <v>136</v>
      </c>
      <c r="HU422" s="1314">
        <f>HU395+HU399-HU415-HU418</f>
        <v>369.000000000001</v>
      </c>
      <c r="HV422" s="1311">
        <f>HU422+HT422</f>
        <v>505.000000000001</v>
      </c>
      <c r="HW422" s="1314">
        <f>HY422-HU422-HS422-HR422</f>
        <v>-304.999999999999</v>
      </c>
      <c r="HX422" s="1311">
        <f>HW422+HU422</f>
        <v>64.000000000002</v>
      </c>
      <c r="HY422" s="1328">
        <f>HY395+HY399-HY415-HY418</f>
        <v>200.000000000002</v>
      </c>
      <c r="HZ422" s="1314">
        <f>HZ395+HZ399-HZ415-HZ418</f>
        <v>286</v>
      </c>
      <c r="IA422" s="1314">
        <f>IA395+IA399-IA415-IA418</f>
        <v>296</v>
      </c>
      <c r="IB422" s="1314">
        <f>IA422+HZ422</f>
        <v>582</v>
      </c>
      <c r="IC422" s="1314">
        <f>IC395+IC399-IC415-IC418</f>
        <v>548</v>
      </c>
      <c r="ID422" s="1311">
        <f>IC422+IB422</f>
        <v>1130</v>
      </c>
      <c r="IE422" s="1314">
        <f>IG422-IC422-IA422-HZ422</f>
        <v>6.99999999999233</v>
      </c>
      <c r="IF422" s="1311">
        <f>IE422+IC422</f>
        <v>554.999999999992</v>
      </c>
      <c r="IG422" s="1328">
        <f>IG395+IG399-IG415-IG418</f>
        <v>1136.99999999999</v>
      </c>
      <c r="IH422" s="1314">
        <f>IH395+IH399-IH415-IH418</f>
        <v>610</v>
      </c>
      <c r="II422" s="1314">
        <f>II395+II399-II415-II418</f>
        <v>546</v>
      </c>
      <c r="IJ422" s="1314">
        <f>II422+IH422</f>
        <v>1156</v>
      </c>
      <c r="IK422" s="1314">
        <f>IK395+IK399-IK415-IK418</f>
        <v>736</v>
      </c>
      <c r="IL422" s="1311">
        <f>IK422+IJ422</f>
        <v>1892</v>
      </c>
      <c r="IM422" s="1314">
        <f>IO422-IK422-II422-IH422</f>
        <v>164</v>
      </c>
      <c r="IN422" s="1311">
        <f>IM422+IK422</f>
        <v>900</v>
      </c>
      <c r="IO422" s="1328">
        <f>IO395+IO399-IO415-IO418</f>
        <v>2056</v>
      </c>
      <c r="IP422" s="1314">
        <f>IP395+IP399-IP415-IP418</f>
        <v>705</v>
      </c>
      <c r="IQ422" s="1314">
        <f>IQ395+IQ399-IQ415-IQ418</f>
        <v>574</v>
      </c>
      <c r="IR422" s="1314">
        <f>IQ422+IP422</f>
        <v>1279</v>
      </c>
      <c r="IS422" s="1314">
        <f>IS395+IS399-IS415-IS418</f>
        <v>915</v>
      </c>
      <c r="IT422" s="1311">
        <f>IS422+IR422</f>
        <v>2194</v>
      </c>
      <c r="IU422" s="1314">
        <f>IW422-IS422-IQ422-IP422</f>
        <v>330.999999999999</v>
      </c>
      <c r="IV422" s="1311">
        <f>IU422+IS422</f>
        <v>1246</v>
      </c>
      <c r="IW422" s="1328">
        <f>IW395+IW399-IW415-IW418</f>
        <v>2525</v>
      </c>
      <c r="IX422" s="1314"/>
      <c r="IY422" s="1037"/>
      <c r="IZ422" s="1071"/>
      <c r="JA422" s="1071"/>
      <c r="JB422" s="1071"/>
      <c r="JC422" s="1049"/>
      <c r="JD422" s="1049"/>
      <c r="JE422" s="1079"/>
      <c r="JF422" s="1037"/>
      <c r="JG422" s="1037"/>
      <c r="JH422" s="1037"/>
      <c r="JI422" s="1035"/>
      <c r="JJ422" s="1035"/>
      <c r="JK422" s="1035"/>
      <c r="JL422" s="1035"/>
      <c r="JM422" s="1035"/>
      <c r="JN422" s="1035"/>
      <c r="JO422" s="1035"/>
      <c r="JP422" s="1035"/>
      <c r="JQ422" s="1035"/>
      <c r="JR422" s="1035"/>
      <c r="JS422" s="1035"/>
      <c r="JT422" s="1035"/>
      <c r="JU422" s="1035"/>
      <c r="JV422" s="1035"/>
      <c r="JW422" s="1035"/>
      <c r="JX422" s="1035"/>
      <c r="JY422" s="1035"/>
    </row>
    <row r="423" spans="1:285">
      <c r="A423" s="883" t="s">
        <v>142</v>
      </c>
      <c r="B423" s="1302"/>
      <c r="C423" s="1302"/>
      <c r="D423" s="1302"/>
      <c r="E423" s="1302"/>
      <c r="F423" s="1302"/>
      <c r="G423" s="1302"/>
      <c r="H423" s="1302"/>
      <c r="I423" s="1302"/>
      <c r="J423" s="1302"/>
      <c r="K423" s="1302"/>
      <c r="L423" s="1302"/>
      <c r="M423" s="1302"/>
      <c r="N423" s="1302"/>
      <c r="O423" s="1302"/>
      <c r="P423" s="1302"/>
      <c r="Q423" s="1302"/>
      <c r="R423" s="1302"/>
      <c r="S423" s="1302"/>
      <c r="T423" s="1302"/>
      <c r="U423" s="1302"/>
      <c r="V423" s="1302"/>
      <c r="W423" s="1302"/>
      <c r="X423" s="1302"/>
      <c r="Y423" s="1302"/>
      <c r="Z423" s="1302"/>
      <c r="AA423" s="1302"/>
      <c r="AB423" s="1302"/>
      <c r="AC423" s="1302"/>
      <c r="AD423" s="1302"/>
      <c r="AE423" s="1302"/>
      <c r="AF423" s="1302"/>
      <c r="AG423" s="1302"/>
      <c r="AH423" s="1302"/>
      <c r="AI423" s="1302"/>
      <c r="AJ423" s="1302"/>
      <c r="AK423" s="1302"/>
      <c r="AL423" s="1302"/>
      <c r="AM423" s="1302"/>
      <c r="AN423" s="1302"/>
      <c r="AO423" s="1302"/>
      <c r="AP423" s="1302"/>
      <c r="AQ423" s="1302"/>
      <c r="AR423" s="1302"/>
      <c r="AS423" s="1302"/>
      <c r="AT423" s="1302"/>
      <c r="AU423" s="1302"/>
      <c r="AV423" s="1302"/>
      <c r="AW423" s="1302"/>
      <c r="AX423" s="1303"/>
      <c r="AY423" s="1302"/>
      <c r="AZ423" s="1302"/>
      <c r="BA423" s="1302"/>
      <c r="BB423" s="1302"/>
      <c r="BC423" s="1302"/>
      <c r="BD423" s="1302"/>
      <c r="BE423" s="1304"/>
      <c r="BF423" s="1302"/>
      <c r="BG423" s="1302"/>
      <c r="BH423" s="1302"/>
      <c r="BI423" s="1302"/>
      <c r="BJ423" s="1302"/>
      <c r="BK423" s="1302"/>
      <c r="BL423" s="1302"/>
      <c r="BM423" s="1302"/>
      <c r="BN423" s="1303"/>
      <c r="BO423" s="1302"/>
      <c r="BP423" s="1302"/>
      <c r="BQ423" s="1302"/>
      <c r="BR423" s="1302"/>
      <c r="BS423" s="1302"/>
      <c r="BT423" s="1302"/>
      <c r="BU423" s="1304"/>
      <c r="BV423" s="1303"/>
      <c r="BW423" s="1302"/>
      <c r="BX423" s="1302"/>
      <c r="BY423" s="1302"/>
      <c r="BZ423" s="1302"/>
      <c r="CA423" s="1302"/>
      <c r="CB423" s="1302"/>
      <c r="CC423" s="1304"/>
      <c r="CD423" s="1303"/>
      <c r="CE423" s="1302"/>
      <c r="CF423" s="1302"/>
      <c r="CG423" s="1302"/>
      <c r="CH423" s="1302"/>
      <c r="CI423" s="1302"/>
      <c r="CJ423" s="1302"/>
      <c r="CK423" s="1304"/>
      <c r="CL423" s="1303"/>
      <c r="CM423" s="1302"/>
      <c r="CN423" s="1302"/>
      <c r="CO423" s="1302"/>
      <c r="CP423" s="1302"/>
      <c r="CQ423" s="1302"/>
      <c r="CR423" s="1302"/>
      <c r="CS423" s="1304"/>
      <c r="CT423" s="1303"/>
      <c r="CU423" s="1302"/>
      <c r="CV423" s="1302"/>
      <c r="CW423" s="1302"/>
      <c r="CX423" s="1302"/>
      <c r="CY423" s="1302"/>
      <c r="CZ423" s="1302"/>
      <c r="DA423" s="1304"/>
      <c r="DB423" s="1109"/>
      <c r="DC423" s="1082"/>
      <c r="DD423" s="1082"/>
      <c r="DE423" s="1082"/>
      <c r="DF423" s="1082"/>
      <c r="DG423" s="1082"/>
      <c r="DH423" s="1082"/>
      <c r="DI423" s="1085"/>
      <c r="DJ423" s="1082"/>
      <c r="DK423" s="1082"/>
      <c r="DL423" s="1082"/>
      <c r="DM423" s="1082"/>
      <c r="DN423" s="1082"/>
      <c r="DO423" s="1082"/>
      <c r="DP423" s="1082"/>
      <c r="DQ423" s="1085"/>
      <c r="DR423" s="1082"/>
      <c r="DS423" s="1082"/>
      <c r="DT423" s="1082"/>
      <c r="DU423" s="1082"/>
      <c r="DV423" s="1082"/>
      <c r="DW423" s="1082"/>
      <c r="DX423" s="1082"/>
      <c r="DY423" s="1085"/>
      <c r="DZ423" s="1096"/>
      <c r="EA423" s="1096"/>
      <c r="EB423" s="1083"/>
      <c r="EC423" s="1096"/>
      <c r="ED423" s="1083"/>
      <c r="EE423" s="1083"/>
      <c r="EF423" s="1083"/>
      <c r="EG423" s="1093"/>
      <c r="EH423" s="1083">
        <f>EH422/DZ426-1</f>
        <v>0.306709265175719</v>
      </c>
      <c r="EI423" s="1083">
        <f t="shared" ref="EI423:EO423" si="2875">EI422/EA426-1</f>
        <v>0.246575342465754</v>
      </c>
      <c r="EJ423" s="1083">
        <f t="shared" si="2875"/>
        <v>0.281954887218045</v>
      </c>
      <c r="EK423" s="1083">
        <f t="shared" si="2875"/>
        <v>0.183673469387755</v>
      </c>
      <c r="EL423" s="1083">
        <f t="shared" si="2875"/>
        <v>0.237410071942446</v>
      </c>
      <c r="EM423" s="1083">
        <f t="shared" si="2875"/>
        <v>-2.3</v>
      </c>
      <c r="EN423" s="1083">
        <f t="shared" si="2875"/>
        <v>0.30166270783848</v>
      </c>
      <c r="EO423" s="1093">
        <f t="shared" si="2875"/>
        <v>0.243441762854145</v>
      </c>
      <c r="EP423" s="1083">
        <f t="shared" ref="EP423:EW423" si="2876">EP422/EH422-1</f>
        <v>0.0806845965770171</v>
      </c>
      <c r="EQ423" s="1094">
        <f t="shared" si="2876"/>
        <v>-0.0769230769230769</v>
      </c>
      <c r="ER423" s="1094">
        <f t="shared" si="2876"/>
        <v>0.0175953079178885</v>
      </c>
      <c r="ES423" s="1094">
        <f t="shared" si="2876"/>
        <v>-0.113026819923372</v>
      </c>
      <c r="ET423" s="1094">
        <f t="shared" si="2876"/>
        <v>-0.0390365448504983</v>
      </c>
      <c r="EU423" s="1094">
        <f t="shared" si="2876"/>
        <v>2.76923076923077</v>
      </c>
      <c r="EV423" s="1094">
        <f t="shared" si="2876"/>
        <v>0.0237226277372262</v>
      </c>
      <c r="EW423" s="1093">
        <f t="shared" si="2876"/>
        <v>0.0590717299578059</v>
      </c>
      <c r="EX423" s="1094">
        <f t="shared" ref="EX423:FE423" si="2877">EX422/EP422-1</f>
        <v>-0.305429864253394</v>
      </c>
      <c r="EY423" s="1094">
        <f t="shared" si="2877"/>
        <v>-0.138888888888889</v>
      </c>
      <c r="EZ423" s="1094">
        <f t="shared" si="2877"/>
        <v>-0.243515850144092</v>
      </c>
      <c r="FA423" s="1094">
        <f t="shared" si="2877"/>
        <v>-0.116630669546436</v>
      </c>
      <c r="FB423" s="1094">
        <f t="shared" si="2877"/>
        <v>-0.192739844425238</v>
      </c>
      <c r="FC423" s="1094">
        <f t="shared" si="2877"/>
        <v>-0.612244897959184</v>
      </c>
      <c r="FD423" s="1094">
        <f t="shared" si="2877"/>
        <v>-0.361853832442068</v>
      </c>
      <c r="FE423" s="1093">
        <f t="shared" si="2877"/>
        <v>-0.234262948207171</v>
      </c>
      <c r="FF423" s="1094">
        <f t="shared" ref="FF423:FM423" si="2878">FF422/EX422-1</f>
        <v>0.182410423452769</v>
      </c>
      <c r="FG423" s="1094">
        <f t="shared" si="2878"/>
        <v>0.0783410138248848</v>
      </c>
      <c r="FH423" s="1094">
        <f t="shared" si="2878"/>
        <v>0.137142857142857</v>
      </c>
      <c r="FI423" s="1094">
        <f t="shared" si="2878"/>
        <v>0.234718826405868</v>
      </c>
      <c r="FJ423" s="1094">
        <f t="shared" si="2878"/>
        <v>0.179871520342612</v>
      </c>
      <c r="FK423" s="1094">
        <f t="shared" si="2878"/>
        <v>-1.23684210526316</v>
      </c>
      <c r="FL423" s="1094">
        <f t="shared" si="2878"/>
        <v>0.385474860335196</v>
      </c>
      <c r="FM423" s="1093">
        <f t="shared" si="2878"/>
        <v>0.13735691987513</v>
      </c>
      <c r="FN423" s="1094">
        <f t="shared" ref="FN423:GC423" si="2879">FN422/FF422-1</f>
        <v>0.349862258953168</v>
      </c>
      <c r="FO423" s="1094">
        <f t="shared" si="2879"/>
        <v>0.416666666666667</v>
      </c>
      <c r="FP423" s="1094">
        <f t="shared" si="2879"/>
        <v>0.376046901172529</v>
      </c>
      <c r="FQ423" s="1094">
        <f t="shared" si="2879"/>
        <v>0.154455445544554</v>
      </c>
      <c r="FR423" s="1094">
        <f t="shared" si="2879"/>
        <v>0.27540834845735</v>
      </c>
      <c r="FS423" s="1094">
        <f t="shared" si="2879"/>
        <v>-10.5</v>
      </c>
      <c r="FT423" s="1094">
        <f t="shared" si="2879"/>
        <v>0.347782258064516</v>
      </c>
      <c r="FU423" s="1094">
        <f t="shared" si="2879"/>
        <v>0.364135407136322</v>
      </c>
      <c r="FV423" s="1086">
        <f t="shared" si="2879"/>
        <v>0.3</v>
      </c>
      <c r="FW423" s="1087">
        <f t="shared" si="2879"/>
        <v>0.523378582202112</v>
      </c>
      <c r="FX423" s="1087">
        <f t="shared" si="2879"/>
        <v>0.390139987827145</v>
      </c>
      <c r="FY423" s="1094">
        <f t="shared" si="2879"/>
        <v>0.363636363636364</v>
      </c>
      <c r="FZ423" s="1094">
        <f t="shared" si="2879"/>
        <v>0.378157239416578</v>
      </c>
      <c r="GA423" s="1094">
        <f t="shared" si="2879"/>
        <v>0.555555555555554</v>
      </c>
      <c r="GB423" s="1094">
        <f t="shared" si="2879"/>
        <v>0.388182498130142</v>
      </c>
      <c r="GC423" s="1093">
        <f t="shared" si="2879"/>
        <v>0.388329979879276</v>
      </c>
      <c r="GD423" s="1087">
        <f t="shared" ref="GD423:GS423" si="2880">GD422/FV422-1</f>
        <v>0.171114599686028</v>
      </c>
      <c r="GE423" s="1087">
        <f t="shared" si="2880"/>
        <v>0.172277227722773</v>
      </c>
      <c r="GF423" s="1087">
        <f t="shared" si="2880"/>
        <v>0.171628721541156</v>
      </c>
      <c r="GG423" s="1094">
        <f t="shared" si="2880"/>
        <v>0.133333333333333</v>
      </c>
      <c r="GH423" s="1094">
        <f t="shared" si="2880"/>
        <v>0.155911202891069</v>
      </c>
      <c r="GI423" s="1094">
        <f t="shared" si="2880"/>
        <v>-0.0300751879699084</v>
      </c>
      <c r="GJ423" s="1094">
        <f t="shared" si="2880"/>
        <v>0.109913793103451</v>
      </c>
      <c r="GK423" s="1093">
        <f t="shared" si="2880"/>
        <v>0.143961352657006</v>
      </c>
      <c r="GL423" s="1087">
        <f t="shared" si="2880"/>
        <v>0.172922252010724</v>
      </c>
      <c r="GM423" s="1087">
        <f t="shared" si="2880"/>
        <v>0.0861486486486487</v>
      </c>
      <c r="GN423" s="1087">
        <f t="shared" si="2880"/>
        <v>0.134529147982063</v>
      </c>
      <c r="GO423" s="1094">
        <f t="shared" si="2880"/>
        <v>-0.00443951165371814</v>
      </c>
      <c r="GP423" s="1094">
        <f t="shared" si="2880"/>
        <v>0.0786065207682003</v>
      </c>
      <c r="GQ423" s="1094">
        <f t="shared" si="2880"/>
        <v>0.899224806201522</v>
      </c>
      <c r="GR423" s="1094">
        <f t="shared" si="2880"/>
        <v>0.108737864077668</v>
      </c>
      <c r="GS423" s="1093">
        <f t="shared" si="2880"/>
        <v>0.12331081081081</v>
      </c>
      <c r="GT423" s="1087">
        <f t="shared" ref="GT423" si="2881">GT422/GL422-1</f>
        <v>-0.925714285714286</v>
      </c>
      <c r="GU423" s="1087">
        <f t="shared" ref="GU423" si="2882">GU422/GM422-1</f>
        <v>-1.51788491446345</v>
      </c>
      <c r="GV423" s="1087">
        <f t="shared" ref="GV423" si="2883">GV422/GN422-1</f>
        <v>-1.17654808959157</v>
      </c>
      <c r="GW423" s="1094">
        <f t="shared" ref="GW423" si="2884">GW422/GO422-1</f>
        <v>-0.114793658238575</v>
      </c>
      <c r="GX423" s="1094">
        <f t="shared" ref="GX423" si="2885">GX422/GP422-1</f>
        <v>-0.782182157946171</v>
      </c>
      <c r="GY423" s="1094">
        <f t="shared" ref="GY423" si="2886">GY422/GQ422-1</f>
        <v>-0.0817554635101927</v>
      </c>
      <c r="GZ423" s="1094">
        <f t="shared" ref="GZ423" si="2887">GZ422/GR422-1</f>
        <v>-0.1077057793345</v>
      </c>
      <c r="HA423" s="1093">
        <f t="shared" ref="HA423" si="2888">HA422/GS422-1</f>
        <v>-0.717669172932331</v>
      </c>
      <c r="HB423" s="1087">
        <f>HB422/48-1</f>
        <v>13.6666666666667</v>
      </c>
      <c r="HC423" s="1087">
        <f t="shared" ref="HC423" si="2889">HC422/GU422-1</f>
        <v>-2.63063063063063</v>
      </c>
      <c r="HD423" s="1087">
        <f t="shared" ref="HD423" si="2890">HD422/GV422-1</f>
        <v>-5.65298507462686</v>
      </c>
      <c r="HE423" s="1094">
        <f t="shared" ref="HE423" si="2891">HE422/GW422-1</f>
        <v>-0.153684463999726</v>
      </c>
      <c r="HF423" s="1094">
        <f t="shared" ref="HF423" si="2892">HF422/GX422-1</f>
        <v>2.64808029375894</v>
      </c>
      <c r="HG423" s="1094">
        <f t="shared" ref="HG423" si="2893">HG422/GY422-1</f>
        <v>-0.702182395987353</v>
      </c>
      <c r="HH423" s="1094">
        <f t="shared" ref="HH423" si="2894">HH422/GZ422-1</f>
        <v>-0.274779195289502</v>
      </c>
      <c r="HI423" s="1093">
        <f t="shared" ref="HI423" si="2895">HI422/HA422-1</f>
        <v>1.6444740346205</v>
      </c>
      <c r="HJ423" s="1087">
        <f>HJ422/48-1</f>
        <v>8.10416666666669</v>
      </c>
      <c r="HK423" s="1087">
        <f t="shared" ref="HK423" si="2896">HK422/HC422-1</f>
        <v>-0.279926335174956</v>
      </c>
      <c r="HL423" s="1087">
        <f t="shared" ref="HL423:HQ423" si="2897">HL422/HD422-1</f>
        <v>-0.336006415396953</v>
      </c>
      <c r="HM423" s="1094">
        <f t="shared" si="2897"/>
        <v>-0.160714285714286</v>
      </c>
      <c r="HN423" s="1094">
        <f t="shared" si="2897"/>
        <v>-0.274622199062012</v>
      </c>
      <c r="HO423" s="1094">
        <f t="shared" si="2897"/>
        <v>-11.7910447761195</v>
      </c>
      <c r="HP423" s="1094">
        <f t="shared" si="2897"/>
        <v>-1.21515561569689</v>
      </c>
      <c r="HQ423" s="1093">
        <f t="shared" si="2897"/>
        <v>-0.663141993957704</v>
      </c>
      <c r="HR423" s="1087">
        <f>HR422/48-1</f>
        <v>0.249999999999999</v>
      </c>
      <c r="HS423" s="1087">
        <f t="shared" ref="HS423" si="2898">HS422/HK422-1</f>
        <v>-0.805626598465473</v>
      </c>
      <c r="HT423" s="1087">
        <f t="shared" ref="HT423" si="2899">HT422/HL422-1</f>
        <v>-0.835748792270532</v>
      </c>
      <c r="HU423" s="1094">
        <f t="shared" ref="HU423" si="2900">HU422/HM422-1</f>
        <v>-0.345744680851062</v>
      </c>
      <c r="HV423" s="1094">
        <f t="shared" ref="HV423" si="2901">HV422/HN422-1</f>
        <v>-0.63721264367816</v>
      </c>
      <c r="HW423" s="1094">
        <f t="shared" ref="HW423" si="2902">HW422/HO422-1</f>
        <v>-0.578146611341633</v>
      </c>
      <c r="HX423" s="1094">
        <f t="shared" ref="HX423" si="2903">HX422/HP422-1</f>
        <v>-1.40251572327045</v>
      </c>
      <c r="HY423" s="1093">
        <f t="shared" ref="HY423" si="2904">HY422/HQ422-1</f>
        <v>-0.701046337817636</v>
      </c>
      <c r="HZ423" s="1087">
        <f>HZ422/48-1</f>
        <v>4.95833333333333</v>
      </c>
      <c r="IA423" s="1087">
        <f t="shared" ref="IA423" si="2905">IA422/HS422-1</f>
        <v>2.89473684210528</v>
      </c>
      <c r="IB423" s="1087">
        <f t="shared" ref="IB423" si="2906">IB422/HT422-1</f>
        <v>3.27941176470589</v>
      </c>
      <c r="IC423" s="1094">
        <f t="shared" ref="IC423" si="2907">IC422/HU422-1</f>
        <v>0.485094850948503</v>
      </c>
      <c r="ID423" s="1094">
        <f t="shared" ref="ID423" si="2908">ID422/HV422-1</f>
        <v>1.23762376237623</v>
      </c>
      <c r="IE423" s="1094">
        <f t="shared" ref="IE423" si="2909">IE422/HW422-1</f>
        <v>-1.02295081967211</v>
      </c>
      <c r="IF423" s="1094">
        <f t="shared" ref="IF423" si="2910">IF422/HX422-1</f>
        <v>7.67187499999961</v>
      </c>
      <c r="IG423" s="1093">
        <f t="shared" ref="IG423" si="2911">IG422/HY422-1</f>
        <v>4.68499999999992</v>
      </c>
      <c r="IH423" s="1087">
        <f>IH422/48-1</f>
        <v>11.7083333333333</v>
      </c>
      <c r="II423" s="1087">
        <f t="shared" ref="II423" si="2912">II422/IA422-1</f>
        <v>0.844594594594596</v>
      </c>
      <c r="IJ423" s="1087">
        <f t="shared" ref="IJ423" si="2913">IJ422/IB422-1</f>
        <v>0.986254295532647</v>
      </c>
      <c r="IK423" s="1094">
        <f t="shared" ref="IK423" si="2914">IK422/IC422-1</f>
        <v>0.343065693430658</v>
      </c>
      <c r="IL423" s="1094">
        <f t="shared" ref="IL423" si="2915">IL422/ID422-1</f>
        <v>0.674336283185841</v>
      </c>
      <c r="IM423" s="1094">
        <f t="shared" ref="IM423" si="2916">IM422/IE422-1</f>
        <v>22.4285714285971</v>
      </c>
      <c r="IN423" s="1094">
        <f t="shared" ref="IN423" si="2917">IN422/IF422-1</f>
        <v>0.621621621621645</v>
      </c>
      <c r="IO423" s="1093">
        <f t="shared" ref="IO423" si="2918">IO422/IG422-1</f>
        <v>0.80826737027266</v>
      </c>
      <c r="IP423" s="1087">
        <f>IP422/48-1</f>
        <v>13.6875</v>
      </c>
      <c r="IQ423" s="1087">
        <f t="shared" ref="IQ423" si="2919">IQ422/II422-1</f>
        <v>0.0512820512820509</v>
      </c>
      <c r="IR423" s="1087">
        <f t="shared" ref="IR423" si="2920">IR422/IJ422-1</f>
        <v>0.106401384083045</v>
      </c>
      <c r="IS423" s="1094">
        <f t="shared" ref="IS423" si="2921">IS422/IK422-1</f>
        <v>0.24320652173913</v>
      </c>
      <c r="IT423" s="1094">
        <f t="shared" ref="IT423" si="2922">IT422/IL422-1</f>
        <v>0.159619450317124</v>
      </c>
      <c r="IU423" s="1094">
        <f t="shared" ref="IU423" si="2923">IU422/IM422-1</f>
        <v>1.01829268292683</v>
      </c>
      <c r="IV423" s="1094">
        <f t="shared" ref="IV423:IW423" si="2924">IV422/IN422-1</f>
        <v>0.384444444444444</v>
      </c>
      <c r="IW423" s="1093">
        <f t="shared" si="2924"/>
        <v>0.228112840466926</v>
      </c>
      <c r="IX423" s="1087"/>
      <c r="IY423" s="1037"/>
      <c r="IZ423" s="1319"/>
      <c r="JA423" s="1071"/>
      <c r="JB423" s="1071"/>
      <c r="JC423" s="1104"/>
      <c r="JD423" s="1049"/>
      <c r="JE423" s="1079"/>
      <c r="JF423" s="1037"/>
      <c r="JG423" s="1037"/>
      <c r="JH423" s="1037"/>
      <c r="JI423" s="1035"/>
      <c r="JJ423" s="1035"/>
      <c r="JK423" s="1035"/>
      <c r="JL423" s="1035"/>
      <c r="JM423" s="1035"/>
      <c r="JN423" s="1035"/>
      <c r="JO423" s="1035"/>
      <c r="JP423" s="1035"/>
      <c r="JQ423" s="1035"/>
      <c r="JR423" s="1035"/>
      <c r="JS423" s="1035"/>
      <c r="JT423" s="1035"/>
      <c r="JU423" s="1035"/>
      <c r="JV423" s="1035"/>
      <c r="JW423" s="1035"/>
      <c r="JX423" s="1035"/>
      <c r="JY423" s="1035"/>
    </row>
    <row r="424" spans="1:285">
      <c r="A424" s="1035" t="s">
        <v>145</v>
      </c>
      <c r="B424" s="1302"/>
      <c r="C424" s="1302"/>
      <c r="D424" s="1302"/>
      <c r="E424" s="1302"/>
      <c r="F424" s="1302"/>
      <c r="G424" s="1302"/>
      <c r="H424" s="1302"/>
      <c r="I424" s="1302"/>
      <c r="J424" s="1302"/>
      <c r="K424" s="1302"/>
      <c r="L424" s="1302"/>
      <c r="M424" s="1302"/>
      <c r="N424" s="1302"/>
      <c r="O424" s="1302"/>
      <c r="P424" s="1302"/>
      <c r="Q424" s="1302"/>
      <c r="R424" s="1302"/>
      <c r="S424" s="1302"/>
      <c r="T424" s="1302"/>
      <c r="U424" s="1302"/>
      <c r="V424" s="1302"/>
      <c r="W424" s="1302"/>
      <c r="X424" s="1302"/>
      <c r="Y424" s="1302"/>
      <c r="Z424" s="1302"/>
      <c r="AA424" s="1302"/>
      <c r="AB424" s="1302"/>
      <c r="AC424" s="1302"/>
      <c r="AD424" s="1302"/>
      <c r="AE424" s="1302"/>
      <c r="AF424" s="1302"/>
      <c r="AG424" s="1302"/>
      <c r="AH424" s="1302"/>
      <c r="AI424" s="1302"/>
      <c r="AJ424" s="1302"/>
      <c r="AK424" s="1302"/>
      <c r="AL424" s="1302"/>
      <c r="AM424" s="1302"/>
      <c r="AN424" s="1302"/>
      <c r="AO424" s="1302"/>
      <c r="AP424" s="1302"/>
      <c r="AQ424" s="1302"/>
      <c r="AR424" s="1302"/>
      <c r="AS424" s="1302"/>
      <c r="AT424" s="1302"/>
      <c r="AU424" s="1302"/>
      <c r="AV424" s="1302"/>
      <c r="AW424" s="1302"/>
      <c r="AX424" s="1303"/>
      <c r="AY424" s="1302"/>
      <c r="AZ424" s="1302"/>
      <c r="BA424" s="1302"/>
      <c r="BB424" s="1302"/>
      <c r="BC424" s="1302"/>
      <c r="BD424" s="1302"/>
      <c r="BE424" s="1304"/>
      <c r="BF424" s="1302"/>
      <c r="BG424" s="1302"/>
      <c r="BH424" s="1302"/>
      <c r="BI424" s="1302"/>
      <c r="BJ424" s="1302"/>
      <c r="BK424" s="1302"/>
      <c r="BL424" s="1302"/>
      <c r="BM424" s="1302"/>
      <c r="BN424" s="1303"/>
      <c r="BO424" s="1302"/>
      <c r="BP424" s="1302"/>
      <c r="BQ424" s="1302"/>
      <c r="BR424" s="1302"/>
      <c r="BS424" s="1302"/>
      <c r="BT424" s="1302"/>
      <c r="BU424" s="1304"/>
      <c r="BV424" s="1303"/>
      <c r="BW424" s="1302"/>
      <c r="BX424" s="1302"/>
      <c r="BY424" s="1302"/>
      <c r="BZ424" s="1302"/>
      <c r="CA424" s="1302"/>
      <c r="CB424" s="1302"/>
      <c r="CC424" s="1304"/>
      <c r="CD424" s="1303"/>
      <c r="CE424" s="1302"/>
      <c r="CF424" s="1302"/>
      <c r="CG424" s="1302"/>
      <c r="CH424" s="1302"/>
      <c r="CI424" s="1302"/>
      <c r="CJ424" s="1302"/>
      <c r="CK424" s="1304"/>
      <c r="CL424" s="1303"/>
      <c r="CM424" s="1302"/>
      <c r="CN424" s="1302"/>
      <c r="CO424" s="1302"/>
      <c r="CP424" s="1302"/>
      <c r="CQ424" s="1302"/>
      <c r="CR424" s="1302"/>
      <c r="CS424" s="1304"/>
      <c r="CT424" s="1303"/>
      <c r="CU424" s="1302"/>
      <c r="CV424" s="1302"/>
      <c r="CW424" s="1302"/>
      <c r="CX424" s="1302"/>
      <c r="CY424" s="1302"/>
      <c r="CZ424" s="1302"/>
      <c r="DA424" s="1304"/>
      <c r="DB424" s="1109"/>
      <c r="DC424" s="1082"/>
      <c r="DD424" s="1082"/>
      <c r="DE424" s="1082"/>
      <c r="DF424" s="1082"/>
      <c r="DG424" s="1082"/>
      <c r="DH424" s="1082"/>
      <c r="DI424" s="1085"/>
      <c r="DJ424" s="1082"/>
      <c r="DK424" s="1082"/>
      <c r="DL424" s="1082"/>
      <c r="DM424" s="1082"/>
      <c r="DN424" s="1082"/>
      <c r="DO424" s="1082"/>
      <c r="DP424" s="1082"/>
      <c r="DQ424" s="1085"/>
      <c r="DR424" s="1082"/>
      <c r="DS424" s="1082"/>
      <c r="DT424" s="1082"/>
      <c r="DU424" s="1082"/>
      <c r="DV424" s="1082"/>
      <c r="DW424" s="1082"/>
      <c r="DX424" s="1082"/>
      <c r="DY424" s="1085"/>
      <c r="DZ424" s="1096"/>
      <c r="EA424" s="1096"/>
      <c r="EB424" s="1083"/>
      <c r="EC424" s="1096"/>
      <c r="ED424" s="1083"/>
      <c r="EE424" s="1083"/>
      <c r="EF424" s="1083"/>
      <c r="EG424" s="1093"/>
      <c r="EH424" s="1083">
        <f>EH422/EH388</f>
        <v>0.106956066945607</v>
      </c>
      <c r="EI424" s="1083">
        <f>EI422/EI388</f>
        <v>0.0776229741256753</v>
      </c>
      <c r="EJ424" s="1083">
        <f t="shared" ref="EJ424:EO424" si="2925">+EJ422/EJ388</f>
        <v>0.0929028742678109</v>
      </c>
      <c r="EK424" s="1083">
        <f t="shared" si="2925"/>
        <v>0.12508986340762</v>
      </c>
      <c r="EL424" s="1083">
        <f t="shared" si="2925"/>
        <v>0.104568351571999</v>
      </c>
      <c r="EM424" s="1083">
        <f t="shared" si="2925"/>
        <v>0.00771742356782428</v>
      </c>
      <c r="EN424" s="1083">
        <f t="shared" si="2925"/>
        <v>0.0726597719437815</v>
      </c>
      <c r="EO424" s="1093">
        <f t="shared" si="2925"/>
        <v>0.0796210441443257</v>
      </c>
      <c r="EP424" s="1083">
        <f t="shared" ref="EP424:EW424" si="2926">EP422/EP$388</f>
        <v>0.117835243934951</v>
      </c>
      <c r="EQ424" s="1094">
        <f t="shared" si="2926"/>
        <v>0.0744900975465563</v>
      </c>
      <c r="ER424" s="1094">
        <f t="shared" si="2926"/>
        <v>0.0972806279786936</v>
      </c>
      <c r="ES424" s="1094">
        <f t="shared" si="2926"/>
        <v>0.119360659963908</v>
      </c>
      <c r="ET424" s="1094">
        <f t="shared" si="2926"/>
        <v>0.105057659130119</v>
      </c>
      <c r="EU424" s="1094">
        <f t="shared" si="2926"/>
        <v>0.028169014084507</v>
      </c>
      <c r="EV424" s="1094">
        <f t="shared" si="2926"/>
        <v>0.0762435444414243</v>
      </c>
      <c r="EW424" s="1093">
        <f t="shared" si="2926"/>
        <v>0.0865995031741651</v>
      </c>
      <c r="EX424" s="1083">
        <f t="shared" ref="EX424:FE424" si="2927">EX422/EX$388</f>
        <v>0.0881930479747199</v>
      </c>
      <c r="EY424" s="1083">
        <f t="shared" si="2927"/>
        <v>0.0638610947616245</v>
      </c>
      <c r="EZ424" s="1094">
        <f t="shared" si="2927"/>
        <v>0.0763192324465765</v>
      </c>
      <c r="FA424" s="1083">
        <f t="shared" si="2927"/>
        <v>0.101137487636004</v>
      </c>
      <c r="FB424" s="1094">
        <f t="shared" si="2927"/>
        <v>0.0855076444200311</v>
      </c>
      <c r="FC424" s="1094">
        <f t="shared" si="2927"/>
        <v>0.0105263157894737</v>
      </c>
      <c r="FD424" s="1094">
        <f t="shared" si="2927"/>
        <v>0.046772929187353</v>
      </c>
      <c r="FE424" s="1093">
        <f t="shared" si="2927"/>
        <v>0.0661253698479323</v>
      </c>
      <c r="FF424" s="1094">
        <f t="shared" ref="FF424:FM424" si="2928">FF422/FF$388</f>
        <v>0.088905216752388</v>
      </c>
      <c r="FG424" s="1094">
        <f t="shared" si="2928"/>
        <v>0.0598925006398771</v>
      </c>
      <c r="FH424" s="1094">
        <f t="shared" si="2928"/>
        <v>0.0747183979974969</v>
      </c>
      <c r="FI424" s="1094">
        <f t="shared" si="2928"/>
        <v>0.106159344124448</v>
      </c>
      <c r="FJ424" s="1094">
        <f t="shared" si="2928"/>
        <v>0.0864517141288146</v>
      </c>
      <c r="FK424" s="1094">
        <f t="shared" si="2928"/>
        <v>-0.00215930902111324</v>
      </c>
      <c r="FL424" s="1094">
        <f t="shared" si="2928"/>
        <v>0.0555742296918768</v>
      </c>
      <c r="FM424" s="1093">
        <f t="shared" si="2928"/>
        <v>0.0646172036653858</v>
      </c>
      <c r="FN424" s="1094">
        <f t="shared" ref="FN424:FW424" si="2929">FN422/FN$388</f>
        <v>0.102746907108408</v>
      </c>
      <c r="FO424" s="1094">
        <f t="shared" si="2929"/>
        <v>0.0749491295500791</v>
      </c>
      <c r="FP424" s="1094">
        <f t="shared" si="2929"/>
        <v>0.0893711923411662</v>
      </c>
      <c r="FQ424" s="1094">
        <f t="shared" si="2929"/>
        <v>0.107723577235772</v>
      </c>
      <c r="FR424" s="1094">
        <f t="shared" si="2929"/>
        <v>0.096240755957272</v>
      </c>
      <c r="FS424" s="1094">
        <f t="shared" si="2929"/>
        <v>0.0182458386683739</v>
      </c>
      <c r="FT424" s="1094">
        <f t="shared" si="2929"/>
        <v>0.0662012279659338</v>
      </c>
      <c r="FU424" s="1094">
        <f t="shared" si="2929"/>
        <v>0.077293934681182</v>
      </c>
      <c r="FV424" s="1086">
        <f t="shared" si="2929"/>
        <v>0.116966580976864</v>
      </c>
      <c r="FW424" s="1087">
        <f t="shared" si="2929"/>
        <v>0.10023818975784</v>
      </c>
      <c r="FX424" s="1087">
        <f t="shared" ref="FX424:GE424" si="2930">FX422/FX$388</f>
        <v>0.108927890118275</v>
      </c>
      <c r="FY424" s="1094">
        <f t="shared" si="2930"/>
        <v>0.140014089468123</v>
      </c>
      <c r="FZ424" s="1094">
        <f t="shared" si="2930"/>
        <v>0.119849028585571</v>
      </c>
      <c r="GA424" s="1094">
        <f t="shared" si="2930"/>
        <v>0.0263053797468354</v>
      </c>
      <c r="GB424" s="1094">
        <f t="shared" si="2930"/>
        <v>0.0864542574995342</v>
      </c>
      <c r="GC424" s="1093">
        <f t="shared" si="2930"/>
        <v>0.0975586765953436</v>
      </c>
      <c r="GD424" s="1087">
        <f t="shared" si="2930"/>
        <v>0.134462869502523</v>
      </c>
      <c r="GE424" s="1087">
        <f t="shared" si="2930"/>
        <v>0.112526135715644</v>
      </c>
      <c r="GF424" s="1087">
        <f t="shared" ref="GF424:GG424" si="2931">GF422/GF$388</f>
        <v>0.123785734110464</v>
      </c>
      <c r="GG424" s="1094">
        <f t="shared" si="2931"/>
        <v>0.153413928145752</v>
      </c>
      <c r="GH424" s="1094">
        <f t="shared" ref="GH424:GM424" si="2932">GH422/GH$388</f>
        <v>0.134216520800863</v>
      </c>
      <c r="GI424" s="1094">
        <f t="shared" si="2932"/>
        <v>0.0246512516720814</v>
      </c>
      <c r="GJ424" s="1094">
        <f t="shared" si="2932"/>
        <v>0.0927426616243474</v>
      </c>
      <c r="GK424" s="1093">
        <f t="shared" si="2932"/>
        <v>0.108053844398814</v>
      </c>
      <c r="GL424" s="1087">
        <f t="shared" si="2932"/>
        <v>0.148733639299677</v>
      </c>
      <c r="GM424" s="1087">
        <f t="shared" si="2932"/>
        <v>0.116718097658377</v>
      </c>
      <c r="GN424" s="1087">
        <f t="shared" ref="GN424:GO424" si="2933">GN422/GN$388</f>
        <v>0.133251404494382</v>
      </c>
      <c r="GO424" s="1094">
        <f t="shared" si="2933"/>
        <v>0.1399375975039</v>
      </c>
      <c r="GP424" s="1094">
        <f t="shared" ref="GP424:GU424" si="2934">GP422/GP$388</f>
        <v>0.135658914728682</v>
      </c>
      <c r="GQ424" s="1094">
        <f t="shared" si="2934"/>
        <v>0.0419592395958212</v>
      </c>
      <c r="GR424" s="1094">
        <f t="shared" si="2934"/>
        <v>0.0932321005796391</v>
      </c>
      <c r="GS424" s="1093">
        <f t="shared" si="2934"/>
        <v>0.112516391015609</v>
      </c>
      <c r="GT424" s="1087">
        <f t="shared" si="2934"/>
        <v>0.0136755733221123</v>
      </c>
      <c r="GU424" s="1087">
        <f t="shared" si="2934"/>
        <v>-0.0930519271668875</v>
      </c>
      <c r="GV424" s="1087">
        <f t="shared" ref="GV424:GW424" si="2935">GV422/GV$388</f>
        <v>-0.0321665092148048</v>
      </c>
      <c r="GW424" s="1094">
        <f t="shared" si="2935"/>
        <v>0.133129983350999</v>
      </c>
      <c r="GX424" s="1094">
        <f t="shared" ref="GX424:HC424" si="2936">GX422/GX$388</f>
        <v>0.0367956931467883</v>
      </c>
      <c r="GY424" s="1094">
        <f t="shared" si="2936"/>
        <v>0.0405495051199251</v>
      </c>
      <c r="GZ424" s="1094">
        <f t="shared" si="2936"/>
        <v>0.0885136166342364</v>
      </c>
      <c r="HA424" s="1093">
        <f t="shared" si="2936"/>
        <v>0.0378451925015118</v>
      </c>
      <c r="HB424" s="1087">
        <f t="shared" si="2936"/>
        <v>0.133637053910402</v>
      </c>
      <c r="HC424" s="1087">
        <f t="shared" si="2936"/>
        <v>0.106952924955682</v>
      </c>
      <c r="HD424" s="1087">
        <f t="shared" ref="HD424:HE424" si="2937">HD422/HD$388</f>
        <v>0.120541324311261</v>
      </c>
      <c r="HE424" s="1094">
        <f t="shared" si="2937"/>
        <v>0.11682892906815</v>
      </c>
      <c r="HF424" s="1094">
        <f t="shared" ref="HF424:HK424" si="2938">HF422/HF$388</f>
        <v>0.119214760514382</v>
      </c>
      <c r="HG424" s="1094">
        <f t="shared" si="2938"/>
        <v>0.0130426318863148</v>
      </c>
      <c r="HH424" s="1094">
        <f t="shared" si="2938"/>
        <v>0.0678666544218936</v>
      </c>
      <c r="HI424" s="1093">
        <f t="shared" si="2938"/>
        <v>0.0935292455495902</v>
      </c>
      <c r="HJ424" s="1087">
        <f t="shared" si="2938"/>
        <v>0.0824217276499436</v>
      </c>
      <c r="HK424" s="1087">
        <f t="shared" si="2938"/>
        <v>0.069858852956941</v>
      </c>
      <c r="HL424" s="1087">
        <f t="shared" ref="HL424:HM424" si="2939">HL422/HL$388</f>
        <v>0.0759702725020644</v>
      </c>
      <c r="HM424" s="1094">
        <f t="shared" si="2939"/>
        <v>0.0880149812734083</v>
      </c>
      <c r="HN424" s="1094">
        <f t="shared" ref="HN424:HS424" si="2940">HN422/HN$388</f>
        <v>0.0804298838620211</v>
      </c>
      <c r="HO424" s="1094">
        <f t="shared" si="2940"/>
        <v>-0.138931591083782</v>
      </c>
      <c r="HP424" s="1094">
        <f t="shared" si="2940"/>
        <v>-0.0135561428936823</v>
      </c>
      <c r="HQ424" s="1349">
        <f t="shared" si="2940"/>
        <v>0.0297188041401981</v>
      </c>
      <c r="HR424" s="1087">
        <f t="shared" si="2940"/>
        <v>0.0113765642775882</v>
      </c>
      <c r="HS424" s="1087">
        <f t="shared" si="2940"/>
        <v>0.015375278171151</v>
      </c>
      <c r="HT424" s="1087">
        <f t="shared" ref="HT424:HU424" si="2941">HT422/HT$388</f>
        <v>0.0133451084290059</v>
      </c>
      <c r="HU424" s="1094">
        <f t="shared" si="2941"/>
        <v>0.0653212958045674</v>
      </c>
      <c r="HV424" s="1094">
        <f t="shared" ref="HV424:IA424" si="2942">HV422/HV$388</f>
        <v>0.0319256543178658</v>
      </c>
      <c r="HW424" s="1094">
        <f t="shared" si="2942"/>
        <v>-0.0633832086450539</v>
      </c>
      <c r="HX424" s="1094">
        <f t="shared" si="2942"/>
        <v>0.00611796195392429</v>
      </c>
      <c r="HY424" s="1349">
        <f t="shared" si="2942"/>
        <v>0.00967211529161435</v>
      </c>
      <c r="HZ424" s="1087">
        <f t="shared" si="2942"/>
        <v>0.0538809344385833</v>
      </c>
      <c r="IA424" s="1087">
        <f t="shared" si="2942"/>
        <v>0.0526503023834934</v>
      </c>
      <c r="IB424" s="1087">
        <f t="shared" ref="IB424:IC424" si="2943">IB422/IB$388</f>
        <v>0.0532479414455627</v>
      </c>
      <c r="IC424" s="1094">
        <f t="shared" si="2943"/>
        <v>0.0878486694453351</v>
      </c>
      <c r="ID424" s="1094">
        <f t="shared" ref="ID424:II424" si="2944">ID422/ID$388</f>
        <v>0.0659276546091015</v>
      </c>
      <c r="IE424" s="1094">
        <f t="shared" si="2944"/>
        <v>0.00119352088661421</v>
      </c>
      <c r="IF424" s="1094">
        <f t="shared" si="2944"/>
        <v>0.0458261084964076</v>
      </c>
      <c r="IG424" s="1349">
        <f t="shared" si="2944"/>
        <v>0.0493639560630396</v>
      </c>
      <c r="IH424" s="1087">
        <f t="shared" si="2944"/>
        <v>0.0991386315618397</v>
      </c>
      <c r="II424" s="1087">
        <f t="shared" si="2944"/>
        <v>0.091733870967742</v>
      </c>
      <c r="IJ424" s="1087">
        <f t="shared" ref="IJ424:IK424" si="2945">IJ422/IJ$388</f>
        <v>0.0954977282114829</v>
      </c>
      <c r="IK424" s="1094">
        <f t="shared" si="2945"/>
        <v>0.111010558069382</v>
      </c>
      <c r="IL424" s="1094">
        <f t="shared" ref="IL424:IQ424" si="2946">IL422/IL$388</f>
        <v>0.101138611215053</v>
      </c>
      <c r="IM424" s="1094">
        <f t="shared" si="2946"/>
        <v>0.0269914417379855</v>
      </c>
      <c r="IN424" s="1094">
        <f t="shared" si="2946"/>
        <v>0.0710956631645469</v>
      </c>
      <c r="IO424" s="1349">
        <f t="shared" si="2946"/>
        <v>0.0828664705171094</v>
      </c>
      <c r="IP424" s="1087">
        <f t="shared" si="2946"/>
        <v>0.106947815533981</v>
      </c>
      <c r="IQ424" s="1087">
        <f t="shared" si="2946"/>
        <v>0.0851253151416284</v>
      </c>
      <c r="IR424" s="1087">
        <f t="shared" ref="IR424:IS424" si="2947">IR422/IR$388</f>
        <v>0.0959130108736408</v>
      </c>
      <c r="IS424" s="1094">
        <f t="shared" si="2947"/>
        <v>0.125651937192566</v>
      </c>
      <c r="IT424" s="1094">
        <f t="shared" ref="IT424:IW424" si="2948">IT422/IT$388</f>
        <v>0.106416927954248</v>
      </c>
      <c r="IU424" s="1094">
        <f t="shared" si="2948"/>
        <v>0.0507987332138212</v>
      </c>
      <c r="IV424" s="1094">
        <f t="shared" si="2948"/>
        <v>0.0903033930149016</v>
      </c>
      <c r="IW424" s="1349">
        <f t="shared" si="2948"/>
        <v>0.0930603474226423</v>
      </c>
      <c r="IX424" s="1350"/>
      <c r="IY424" s="1037"/>
      <c r="IZ424" s="1094"/>
      <c r="JA424" s="1071"/>
      <c r="JB424" s="1071"/>
      <c r="JC424" s="1049"/>
      <c r="JD424" s="1049"/>
      <c r="JE424" s="1079"/>
      <c r="JF424" s="1037"/>
      <c r="JG424" s="1037"/>
      <c r="JH424" s="1037"/>
      <c r="JI424" s="1035"/>
      <c r="JJ424" s="1035"/>
      <c r="JK424" s="1035"/>
      <c r="JL424" s="1035"/>
      <c r="JM424" s="1035"/>
      <c r="JN424" s="1035"/>
      <c r="JO424" s="1035"/>
      <c r="JP424" s="1035"/>
      <c r="JQ424" s="1035"/>
      <c r="JR424" s="1035"/>
      <c r="JS424" s="1035"/>
      <c r="JT424" s="1035"/>
      <c r="JU424" s="1035"/>
      <c r="JV424" s="1035"/>
      <c r="JW424" s="1035"/>
      <c r="JX424" s="1035"/>
      <c r="JY424" s="1035"/>
    </row>
    <row r="425" spans="1:285">
      <c r="A425" s="1035" t="s">
        <v>593</v>
      </c>
      <c r="B425" s="1302"/>
      <c r="C425" s="1302"/>
      <c r="D425" s="1302"/>
      <c r="E425" s="1302"/>
      <c r="F425" s="1302"/>
      <c r="G425" s="1302"/>
      <c r="H425" s="1302"/>
      <c r="I425" s="1302"/>
      <c r="J425" s="1302"/>
      <c r="K425" s="1302"/>
      <c r="L425" s="1302"/>
      <c r="M425" s="1302"/>
      <c r="N425" s="1302"/>
      <c r="O425" s="1302"/>
      <c r="P425" s="1302"/>
      <c r="Q425" s="1302"/>
      <c r="R425" s="1302"/>
      <c r="S425" s="1302"/>
      <c r="T425" s="1302"/>
      <c r="U425" s="1302"/>
      <c r="V425" s="1302"/>
      <c r="W425" s="1302"/>
      <c r="X425" s="1302"/>
      <c r="Y425" s="1302"/>
      <c r="Z425" s="1302"/>
      <c r="AA425" s="1302"/>
      <c r="AB425" s="1302"/>
      <c r="AC425" s="1302"/>
      <c r="AD425" s="1302"/>
      <c r="AE425" s="1302"/>
      <c r="AF425" s="1302"/>
      <c r="AG425" s="1302"/>
      <c r="AH425" s="1302"/>
      <c r="AI425" s="1302"/>
      <c r="AJ425" s="1302"/>
      <c r="AK425" s="1302"/>
      <c r="AL425" s="1302"/>
      <c r="AM425" s="1302"/>
      <c r="AN425" s="1302"/>
      <c r="AO425" s="1302"/>
      <c r="AP425" s="1302"/>
      <c r="AQ425" s="1302"/>
      <c r="AR425" s="1302"/>
      <c r="AS425" s="1302"/>
      <c r="AT425" s="1302"/>
      <c r="AU425" s="1302"/>
      <c r="AV425" s="1302"/>
      <c r="AW425" s="1302"/>
      <c r="AX425" s="1303"/>
      <c r="AY425" s="1302"/>
      <c r="AZ425" s="1302"/>
      <c r="BA425" s="1302"/>
      <c r="BB425" s="1302"/>
      <c r="BC425" s="1302"/>
      <c r="BD425" s="1302"/>
      <c r="BE425" s="1304"/>
      <c r="BF425" s="1302"/>
      <c r="BG425" s="1302"/>
      <c r="BH425" s="1302"/>
      <c r="BI425" s="1302"/>
      <c r="BJ425" s="1302"/>
      <c r="BK425" s="1302"/>
      <c r="BL425" s="1302"/>
      <c r="BM425" s="1302"/>
      <c r="BN425" s="1303"/>
      <c r="BO425" s="1302"/>
      <c r="BP425" s="1302"/>
      <c r="BQ425" s="1302"/>
      <c r="BR425" s="1302"/>
      <c r="BS425" s="1302"/>
      <c r="BT425" s="1302"/>
      <c r="BU425" s="1304"/>
      <c r="BV425" s="1303"/>
      <c r="BW425" s="1302"/>
      <c r="BX425" s="1302"/>
      <c r="BY425" s="1302"/>
      <c r="BZ425" s="1302"/>
      <c r="CA425" s="1302"/>
      <c r="CB425" s="1302"/>
      <c r="CC425" s="1304"/>
      <c r="CD425" s="1303"/>
      <c r="CE425" s="1302"/>
      <c r="CF425" s="1302"/>
      <c r="CG425" s="1302"/>
      <c r="CH425" s="1302"/>
      <c r="CI425" s="1302"/>
      <c r="CJ425" s="1302"/>
      <c r="CK425" s="1304"/>
      <c r="CL425" s="1303"/>
      <c r="CM425" s="1302"/>
      <c r="CN425" s="1302"/>
      <c r="CO425" s="1302"/>
      <c r="CP425" s="1302"/>
      <c r="CQ425" s="1302"/>
      <c r="CR425" s="1302"/>
      <c r="CS425" s="1304"/>
      <c r="CT425" s="1303"/>
      <c r="CU425" s="1302"/>
      <c r="CV425" s="1302"/>
      <c r="CW425" s="1302"/>
      <c r="CX425" s="1302"/>
      <c r="CY425" s="1302"/>
      <c r="CZ425" s="1302"/>
      <c r="DA425" s="1304"/>
      <c r="DB425" s="1109"/>
      <c r="DC425" s="1082"/>
      <c r="DD425" s="1082"/>
      <c r="DE425" s="1082"/>
      <c r="DF425" s="1082"/>
      <c r="DG425" s="1082"/>
      <c r="DH425" s="1082"/>
      <c r="DI425" s="1085"/>
      <c r="DJ425" s="1082"/>
      <c r="DK425" s="1082"/>
      <c r="DL425" s="1082"/>
      <c r="DM425" s="1082"/>
      <c r="DN425" s="1082"/>
      <c r="DO425" s="1082"/>
      <c r="DP425" s="1082"/>
      <c r="DQ425" s="1085"/>
      <c r="DR425" s="1082"/>
      <c r="DS425" s="1082"/>
      <c r="DT425" s="1082"/>
      <c r="DU425" s="1082"/>
      <c r="DV425" s="1082"/>
      <c r="DW425" s="1082"/>
      <c r="DX425" s="1082"/>
      <c r="DY425" s="1085"/>
      <c r="DZ425" s="1096"/>
      <c r="EA425" s="1096"/>
      <c r="EB425" s="1083"/>
      <c r="EC425" s="1096"/>
      <c r="ED425" s="1083"/>
      <c r="EE425" s="1083"/>
      <c r="EF425" s="1083"/>
      <c r="EG425" s="1093"/>
      <c r="EH425" s="1083"/>
      <c r="EI425" s="1083"/>
      <c r="EJ425" s="1083"/>
      <c r="EK425" s="1083"/>
      <c r="EL425" s="1083"/>
      <c r="EM425" s="1083"/>
      <c r="EN425" s="1083"/>
      <c r="EO425" s="1093"/>
      <c r="EP425" s="1323">
        <f t="shared" ref="EP425:EX425" si="2949">(EP424-EH424)*10000</f>
        <v>108.79176989344</v>
      </c>
      <c r="EQ425" s="1323">
        <f t="shared" si="2949"/>
        <v>-31.3287657911898</v>
      </c>
      <c r="ER425" s="1323">
        <f t="shared" si="2949"/>
        <v>43.7775371088266</v>
      </c>
      <c r="ES425" s="1323">
        <f t="shared" si="2949"/>
        <v>-57.2920344371218</v>
      </c>
      <c r="ET425" s="1323">
        <f t="shared" si="2949"/>
        <v>4.89307558119656</v>
      </c>
      <c r="EU425" s="1323">
        <f t="shared" si="2949"/>
        <v>204.515905166828</v>
      </c>
      <c r="EV425" s="1323">
        <f t="shared" si="2949"/>
        <v>35.837724976428</v>
      </c>
      <c r="EW425" s="1324">
        <f t="shared" si="2949"/>
        <v>69.7845902983932</v>
      </c>
      <c r="EX425" s="1323">
        <f t="shared" si="2949"/>
        <v>-296.421959602308</v>
      </c>
      <c r="EY425" s="1323">
        <f t="shared" ref="EY425:FN425" si="2950">(EY424-EQ424)*10000</f>
        <v>-106.290027849318</v>
      </c>
      <c r="EZ425" s="1323">
        <f t="shared" si="2950"/>
        <v>-209.61395532117</v>
      </c>
      <c r="FA425" s="1323">
        <f t="shared" si="2950"/>
        <v>-182.231723279043</v>
      </c>
      <c r="FB425" s="1323">
        <f t="shared" si="2950"/>
        <v>-195.500147100878</v>
      </c>
      <c r="FC425" s="1323">
        <f t="shared" si="2950"/>
        <v>-176.426982950334</v>
      </c>
      <c r="FD425" s="1323">
        <f t="shared" si="2950"/>
        <v>-294.706152540713</v>
      </c>
      <c r="FE425" s="1324">
        <f t="shared" si="2950"/>
        <v>-204.741333262328</v>
      </c>
      <c r="FF425" s="1323">
        <f t="shared" si="2950"/>
        <v>7.1216877766804</v>
      </c>
      <c r="FG425" s="1323">
        <f t="shared" si="2950"/>
        <v>-39.6859412174733</v>
      </c>
      <c r="FH425" s="1323">
        <f t="shared" si="2950"/>
        <v>-16.0083444907967</v>
      </c>
      <c r="FI425" s="1323">
        <f t="shared" si="2950"/>
        <v>50.2185648844422</v>
      </c>
      <c r="FJ425" s="1323">
        <f t="shared" si="2950"/>
        <v>9.44069708783496</v>
      </c>
      <c r="FK425" s="1323">
        <f t="shared" si="2950"/>
        <v>-126.856248105869</v>
      </c>
      <c r="FL425" s="1323">
        <f t="shared" si="2950"/>
        <v>88.0130050452373</v>
      </c>
      <c r="FM425" s="1324">
        <f t="shared" si="2950"/>
        <v>-15.0816618254654</v>
      </c>
      <c r="FN425" s="1323">
        <f t="shared" si="2950"/>
        <v>138.416903560205</v>
      </c>
      <c r="FO425" s="1323">
        <f t="shared" ref="FO425:GC425" si="2951">(FO424-FG424)*10000</f>
        <v>150.56628910202</v>
      </c>
      <c r="FP425" s="1323">
        <f t="shared" si="2951"/>
        <v>146.527943436694</v>
      </c>
      <c r="FQ425" s="1323">
        <f t="shared" si="2951"/>
        <v>15.6423311132418</v>
      </c>
      <c r="FR425" s="1323">
        <f t="shared" si="2951"/>
        <v>97.8904182845736</v>
      </c>
      <c r="FS425" s="1325">
        <f t="shared" si="2951"/>
        <v>204.051476894871</v>
      </c>
      <c r="FT425" s="1323">
        <f t="shared" si="2951"/>
        <v>106.269982740571</v>
      </c>
      <c r="FU425" s="1323">
        <f t="shared" si="2951"/>
        <v>126.767310157962</v>
      </c>
      <c r="FV425" s="1326">
        <f t="shared" si="2951"/>
        <v>142.196738684553</v>
      </c>
      <c r="FW425" s="1325">
        <f t="shared" si="2951"/>
        <v>252.890602077613</v>
      </c>
      <c r="FX425" s="1325">
        <f t="shared" si="2951"/>
        <v>195.566977771092</v>
      </c>
      <c r="FY425" s="1323">
        <f t="shared" si="2951"/>
        <v>322.905122323502</v>
      </c>
      <c r="FZ425" s="1323">
        <f t="shared" si="2951"/>
        <v>236.082726282991</v>
      </c>
      <c r="GA425" s="1351">
        <f t="shared" si="2951"/>
        <v>80.5954107846153</v>
      </c>
      <c r="GB425" s="1323">
        <f t="shared" si="2951"/>
        <v>202.530295336003</v>
      </c>
      <c r="GC425" s="1324">
        <f t="shared" si="2951"/>
        <v>202.647419141616</v>
      </c>
      <c r="GD425" s="1325">
        <f t="shared" ref="GD425:GS425" si="2952">(GD424-FV424)*10000</f>
        <v>174.962885256596</v>
      </c>
      <c r="GE425" s="1325">
        <f t="shared" si="2952"/>
        <v>122.879459578031</v>
      </c>
      <c r="GF425" s="1325">
        <f t="shared" si="2952"/>
        <v>148.57843992188</v>
      </c>
      <c r="GG425" s="1323">
        <f t="shared" si="2952"/>
        <v>133.998386776291</v>
      </c>
      <c r="GH425" s="1323">
        <f t="shared" si="2952"/>
        <v>143.674922152921</v>
      </c>
      <c r="GI425" s="1351">
        <f t="shared" si="2952"/>
        <v>-16.54128074754</v>
      </c>
      <c r="GJ425" s="1323">
        <f t="shared" si="2952"/>
        <v>62.8840412481317</v>
      </c>
      <c r="GK425" s="1324">
        <f t="shared" si="2952"/>
        <v>104.951678034701</v>
      </c>
      <c r="GL425" s="1325">
        <f t="shared" si="2952"/>
        <v>142.707697971536</v>
      </c>
      <c r="GM425" s="1325">
        <f t="shared" si="2952"/>
        <v>41.9196194273382</v>
      </c>
      <c r="GN425" s="1325">
        <f t="shared" si="2952"/>
        <v>94.6567038391853</v>
      </c>
      <c r="GO425" s="1323">
        <f t="shared" si="2952"/>
        <v>-134.763306418516</v>
      </c>
      <c r="GP425" s="1323">
        <f t="shared" si="2952"/>
        <v>14.42393927819</v>
      </c>
      <c r="GQ425" s="1351">
        <f t="shared" si="2952"/>
        <v>173.079879237398</v>
      </c>
      <c r="GR425" s="1323">
        <f t="shared" si="2952"/>
        <v>4.89438955291785</v>
      </c>
      <c r="GS425" s="1324">
        <f t="shared" si="2952"/>
        <v>44.6254661679484</v>
      </c>
      <c r="GT425" s="1325">
        <f t="shared" ref="GT425" si="2953">(GT424-GL424)*10000</f>
        <v>-1350.58065977565</v>
      </c>
      <c r="GU425" s="1325">
        <f t="shared" ref="GU425" si="2954">(GU424-GM424)*10000</f>
        <v>-2097.70024825265</v>
      </c>
      <c r="GV425" s="1325">
        <f t="shared" ref="GV425" si="2955">(GV424-GN424)*10000</f>
        <v>-1654.17913709187</v>
      </c>
      <c r="GW425" s="1323">
        <f t="shared" ref="GW425" si="2956">(GW424-GO424)*10000</f>
        <v>-68.076141529009</v>
      </c>
      <c r="GX425" s="1323">
        <f t="shared" ref="GX425" si="2957">(GX424-GP424)*10000</f>
        <v>-988.632215818939</v>
      </c>
      <c r="GY425" s="1351">
        <f t="shared" ref="GY425" si="2958">(GY424-GQ424)*10000</f>
        <v>-14.0973447589616</v>
      </c>
      <c r="GZ425" s="1323">
        <f t="shared" ref="GZ425" si="2959">(GZ424-GR424)*10000</f>
        <v>-47.1848394540271</v>
      </c>
      <c r="HA425" s="1324">
        <f t="shared" ref="HA425:HB425" si="2960">(HA424-GS424)*10000</f>
        <v>-746.711985140967</v>
      </c>
      <c r="HB425" s="1325">
        <f t="shared" si="2960"/>
        <v>1199.6148058829</v>
      </c>
      <c r="HC425" s="1325">
        <f t="shared" ref="HC425" si="2961">(HC424-GU424)*10000</f>
        <v>2000.0485212257</v>
      </c>
      <c r="HD425" s="1325">
        <f t="shared" ref="HD425" si="2962">(HD424-GV424)*10000</f>
        <v>1527.07833526066</v>
      </c>
      <c r="HE425" s="1323">
        <f t="shared" ref="HE425" si="2963">(HE424-GW424)*10000</f>
        <v>-163.01054282849</v>
      </c>
      <c r="HF425" s="1323">
        <f t="shared" ref="HF425" si="2964">(HF424-GX424)*10000</f>
        <v>824.190673675932</v>
      </c>
      <c r="HG425" s="1351">
        <f t="shared" ref="HG425" si="2965">(HG424-GY424)*10000</f>
        <v>-275.068732336103</v>
      </c>
      <c r="HH425" s="1323">
        <f t="shared" ref="HH425" si="2966">(HH424-GZ424)*10000</f>
        <v>-206.469622123429</v>
      </c>
      <c r="HI425" s="1324">
        <f t="shared" ref="HI425" si="2967">(HI424-HA424)*10000</f>
        <v>556.840530480784</v>
      </c>
      <c r="HJ425" s="1325">
        <f t="shared" ref="HJ425" si="2968">(HJ424-HB424)*10000</f>
        <v>-512.153262604588</v>
      </c>
      <c r="HK425" s="1325">
        <f t="shared" ref="HK425" si="2969">(HK424-HC424)*10000</f>
        <v>-370.940719987415</v>
      </c>
      <c r="HL425" s="1325">
        <f t="shared" ref="HL425:HQ425" si="2970">(HL424-HD424)*10000</f>
        <v>-445.710518091971</v>
      </c>
      <c r="HM425" s="1323">
        <f t="shared" si="2970"/>
        <v>-288.139477947419</v>
      </c>
      <c r="HN425" s="1323">
        <f t="shared" si="2970"/>
        <v>-387.848766523604</v>
      </c>
      <c r="HO425" s="1351">
        <f t="shared" si="2970"/>
        <v>-1519.74222970096</v>
      </c>
      <c r="HP425" s="1323">
        <f t="shared" si="2970"/>
        <v>-814.227973155759</v>
      </c>
      <c r="HQ425" s="1324">
        <f t="shared" si="2970"/>
        <v>-638.104414093921</v>
      </c>
      <c r="HR425" s="1325">
        <f t="shared" ref="HR425" si="2971">(HR424-HJ424)*10000</f>
        <v>-710.451633723554</v>
      </c>
      <c r="HS425" s="1325">
        <f t="shared" ref="HS425" si="2972">(HS424-HK424)*10000</f>
        <v>-544.835747857899</v>
      </c>
      <c r="HT425" s="1325">
        <f t="shared" ref="HT425" si="2973">(HT424-HL424)*10000</f>
        <v>-626.251640730584</v>
      </c>
      <c r="HU425" s="1323">
        <f t="shared" ref="HU425" si="2974">(HU424-HM424)*10000</f>
        <v>-226.936854688408</v>
      </c>
      <c r="HV425" s="1323">
        <f t="shared" ref="HV425" si="2975">(HV424-HN424)*10000</f>
        <v>-485.042295441553</v>
      </c>
      <c r="HW425" s="1351">
        <f t="shared" ref="HW425" si="2976">(HW424-HO424)*10000</f>
        <v>755.483824387277</v>
      </c>
      <c r="HX425" s="1323">
        <f t="shared" ref="HX425" si="2977">(HX424-HP424)*10000</f>
        <v>196.741048476066</v>
      </c>
      <c r="HY425" s="1324">
        <f t="shared" ref="HY425" si="2978">(HY424-HQ424)*10000</f>
        <v>-200.466888485838</v>
      </c>
      <c r="HZ425" s="1325">
        <f t="shared" ref="HZ425" si="2979">(HZ424-HR424)*10000</f>
        <v>425.043701609951</v>
      </c>
      <c r="IA425" s="1325">
        <f t="shared" ref="IA425" si="2980">(IA424-HS424)*10000</f>
        <v>372.750242123424</v>
      </c>
      <c r="IB425" s="1325">
        <f t="shared" ref="IB425" si="2981">(IB424-HT424)*10000</f>
        <v>399.028330165567</v>
      </c>
      <c r="IC425" s="1323">
        <f t="shared" ref="IC425" si="2982">(IC424-HU424)*10000</f>
        <v>225.273736407676</v>
      </c>
      <c r="ID425" s="1323">
        <f t="shared" ref="ID425" si="2983">(ID424-HV424)*10000</f>
        <v>340.020002912357</v>
      </c>
      <c r="IE425" s="1351">
        <f t="shared" ref="IE425" si="2984">(IE424-HW424)*10000</f>
        <v>645.767295316681</v>
      </c>
      <c r="IF425" s="1323">
        <f t="shared" ref="IF425" si="2985">(IF424-HX424)*10000</f>
        <v>397.081465424833</v>
      </c>
      <c r="IG425" s="1324">
        <f t="shared" ref="IG425" si="2986">(IG424-HY424)*10000</f>
        <v>396.918407714253</v>
      </c>
      <c r="IH425" s="1325">
        <f t="shared" ref="IH425" si="2987">(IH424-HZ424)*10000</f>
        <v>452.576971232565</v>
      </c>
      <c r="II425" s="1325">
        <f t="shared" ref="II425" si="2988">(II424-IA424)*10000</f>
        <v>390.835685842486</v>
      </c>
      <c r="IJ425" s="1325">
        <f t="shared" ref="IJ425" si="2989">(IJ424-IB424)*10000</f>
        <v>422.497867659202</v>
      </c>
      <c r="IK425" s="1323">
        <f t="shared" ref="IK425" si="2990">(IK424-IC424)*10000</f>
        <v>231.618886240466</v>
      </c>
      <c r="IL425" s="1323">
        <f t="shared" ref="IL425" si="2991">(IL424-ID424)*10000</f>
        <v>352.109566059517</v>
      </c>
      <c r="IM425" s="1351">
        <f t="shared" ref="IM425" si="2992">(IM424-IE424)*10000</f>
        <v>257.979208513713</v>
      </c>
      <c r="IN425" s="1323">
        <f t="shared" ref="IN425" si="2993">(IN424-IF424)*10000</f>
        <v>252.695546681394</v>
      </c>
      <c r="IO425" s="1324">
        <f t="shared" ref="IO425" si="2994">(IO424-IG424)*10000</f>
        <v>335.025144540697</v>
      </c>
      <c r="IP425" s="1325">
        <f t="shared" ref="IP425" si="2995">(IP424-IH424)*10000</f>
        <v>78.0918397214081</v>
      </c>
      <c r="IQ425" s="1325">
        <f t="shared" ref="IQ425" si="2996">(IQ424-II424)*10000</f>
        <v>-66.0855582611361</v>
      </c>
      <c r="IR425" s="1325">
        <f t="shared" ref="IR425" si="2997">(IR424-IJ424)*10000</f>
        <v>4.15282662157915</v>
      </c>
      <c r="IS425" s="1323">
        <f t="shared" ref="IS425" si="2998">(IS424-IK424)*10000</f>
        <v>146.413791231848</v>
      </c>
      <c r="IT425" s="1323">
        <f t="shared" ref="IT425" si="2999">(IT424-IL424)*10000</f>
        <v>52.7831673919513</v>
      </c>
      <c r="IU425" s="1351">
        <f t="shared" ref="IU425" si="3000">(IU424-IM424)*10000</f>
        <v>238.072914758357</v>
      </c>
      <c r="IV425" s="1323">
        <f t="shared" ref="IV425:IW425" si="3001">(IV424-IN424)*10000</f>
        <v>192.077298503546</v>
      </c>
      <c r="IW425" s="1324">
        <f t="shared" si="3001"/>
        <v>101.938769055329</v>
      </c>
      <c r="IX425" s="1087"/>
      <c r="IY425" s="1037"/>
      <c r="IZ425" s="1094"/>
      <c r="JA425" s="1071"/>
      <c r="JB425" s="1071"/>
      <c r="JC425" s="1049"/>
      <c r="JD425" s="1049"/>
      <c r="JE425" s="1079"/>
      <c r="JF425" s="1037"/>
      <c r="JG425" s="1037"/>
      <c r="JH425" s="1037"/>
      <c r="JI425" s="1035"/>
      <c r="JJ425" s="1035"/>
      <c r="JK425" s="1035"/>
      <c r="JL425" s="1035"/>
      <c r="JM425" s="1035"/>
      <c r="JN425" s="1035"/>
      <c r="JO425" s="1035"/>
      <c r="JP425" s="1035"/>
      <c r="JQ425" s="1035"/>
      <c r="JR425" s="1035"/>
      <c r="JS425" s="1035"/>
      <c r="JT425" s="1035"/>
      <c r="JU425" s="1035"/>
      <c r="JV425" s="1035"/>
      <c r="JW425" s="1035"/>
      <c r="JX425" s="1035"/>
      <c r="JY425" s="1035"/>
    </row>
    <row r="426" spans="1:285">
      <c r="A426" s="1254" t="s">
        <v>158</v>
      </c>
      <c r="B426" s="1292">
        <f t="shared" ref="B426:G426" si="3002">B543-B392-B409-B412+B399</f>
        <v>120</v>
      </c>
      <c r="C426" s="1292">
        <f t="shared" si="3002"/>
        <v>67</v>
      </c>
      <c r="D426" s="1292">
        <f t="shared" si="3002"/>
        <v>187</v>
      </c>
      <c r="E426" s="1292">
        <f t="shared" si="3002"/>
        <v>160</v>
      </c>
      <c r="F426" s="1292">
        <f t="shared" si="3002"/>
        <v>347</v>
      </c>
      <c r="G426" s="1292">
        <f t="shared" si="3002"/>
        <v>-4</v>
      </c>
      <c r="H426" s="1292">
        <f>H395+H399-H409-H412</f>
        <v>-700.6911</v>
      </c>
      <c r="I426" s="1292">
        <f t="shared" ref="I426:O426" si="3003">I543-I392-I409-I412+I399</f>
        <v>343</v>
      </c>
      <c r="J426" s="1292">
        <f t="shared" si="3003"/>
        <v>91.3693100000001</v>
      </c>
      <c r="K426" s="1292">
        <f t="shared" si="3003"/>
        <v>41.26191</v>
      </c>
      <c r="L426" s="1292">
        <f t="shared" si="3003"/>
        <v>132.63122</v>
      </c>
      <c r="M426" s="1292">
        <f t="shared" si="3003"/>
        <v>97.147</v>
      </c>
      <c r="N426" s="1292">
        <f t="shared" si="3003"/>
        <v>229.77822</v>
      </c>
      <c r="O426" s="1292">
        <f t="shared" si="3003"/>
        <v>3.60466500000002</v>
      </c>
      <c r="P426" s="1292">
        <f>P395+P399-P409-P412</f>
        <v>101.007315</v>
      </c>
      <c r="Q426" s="1292">
        <f t="shared" ref="Q426:W426" si="3004">Q543-Q392-Q409-Q412+Q399</f>
        <v>233.382885</v>
      </c>
      <c r="R426" s="1292">
        <f t="shared" si="3004"/>
        <v>122.96765</v>
      </c>
      <c r="S426" s="1292">
        <f t="shared" si="3004"/>
        <v>48.082652</v>
      </c>
      <c r="T426" s="1292">
        <f t="shared" si="3004"/>
        <v>171.050302</v>
      </c>
      <c r="U426" s="1292">
        <f t="shared" si="3004"/>
        <v>157.4804</v>
      </c>
      <c r="V426" s="1292">
        <f t="shared" si="3004"/>
        <v>328.530702000001</v>
      </c>
      <c r="W426" s="1292">
        <f t="shared" si="3004"/>
        <v>21.9859000000001</v>
      </c>
      <c r="X426" s="1292">
        <f>X395+X399-X409-X412</f>
        <v>179.4663</v>
      </c>
      <c r="Y426" s="1292">
        <f t="shared" ref="Y426:AE426" si="3005">Y543-Y392-Y409-Y412+Y399</f>
        <v>350.516602000001</v>
      </c>
      <c r="Z426" s="1292">
        <f t="shared" si="3005"/>
        <v>164.1273</v>
      </c>
      <c r="AA426" s="1292">
        <f t="shared" si="3005"/>
        <v>56.2429999999999</v>
      </c>
      <c r="AB426" s="1292">
        <f t="shared" si="3005"/>
        <v>220.3703</v>
      </c>
      <c r="AC426" s="1292">
        <f t="shared" si="3005"/>
        <v>206.5652</v>
      </c>
      <c r="AD426" s="1292">
        <f t="shared" si="3005"/>
        <v>426.9355</v>
      </c>
      <c r="AE426" s="1292">
        <f t="shared" si="3005"/>
        <v>-5.60384799999979</v>
      </c>
      <c r="AF426" s="1292">
        <f>AF395+AF399-AF409-AF412</f>
        <v>200.983952</v>
      </c>
      <c r="AG426" s="1292">
        <f t="shared" ref="AG426:AM426" si="3006">AG543-AG392-AG409-AG412+AG399</f>
        <v>421.331652</v>
      </c>
      <c r="AH426" s="1292">
        <f t="shared" si="3006"/>
        <v>120.6668</v>
      </c>
      <c r="AI426" s="1292">
        <f t="shared" si="3006"/>
        <v>78.2281000000001</v>
      </c>
      <c r="AJ426" s="1292">
        <f t="shared" si="3006"/>
        <v>198.8949</v>
      </c>
      <c r="AK426" s="1292">
        <f t="shared" si="3006"/>
        <v>240</v>
      </c>
      <c r="AL426" s="1292">
        <f t="shared" si="3006"/>
        <v>438.8949</v>
      </c>
      <c r="AM426" s="1292">
        <f t="shared" si="3006"/>
        <v>37</v>
      </c>
      <c r="AN426" s="1292">
        <f>AN395+AN399-AN409-AN412</f>
        <v>279</v>
      </c>
      <c r="AO426" s="1292">
        <f t="shared" ref="AO426:AU426" si="3007">AO543-AO392-AO409-AO412+AO399</f>
        <v>475.8949</v>
      </c>
      <c r="AP426" s="1292">
        <f t="shared" si="3007"/>
        <v>113</v>
      </c>
      <c r="AQ426" s="1292">
        <f t="shared" si="3007"/>
        <v>56</v>
      </c>
      <c r="AR426" s="1292">
        <f t="shared" si="3007"/>
        <v>169</v>
      </c>
      <c r="AS426" s="1292">
        <f t="shared" si="3007"/>
        <v>215</v>
      </c>
      <c r="AT426" s="1292">
        <f t="shared" si="3007"/>
        <v>384</v>
      </c>
      <c r="AU426" s="1292">
        <f t="shared" si="3007"/>
        <v>54</v>
      </c>
      <c r="AV426" s="1292">
        <f>AV395+AV399-AV409-AV412</f>
        <v>269</v>
      </c>
      <c r="AW426" s="1292">
        <f t="shared" ref="AW426:BC426" si="3008">AW543-AW392-AW409-AW412+AW399</f>
        <v>438</v>
      </c>
      <c r="AX426" s="1293">
        <f t="shared" si="3008"/>
        <v>124</v>
      </c>
      <c r="AY426" s="1292">
        <f t="shared" si="3008"/>
        <v>73.5</v>
      </c>
      <c r="AZ426" s="1292">
        <f t="shared" si="3008"/>
        <v>197.5</v>
      </c>
      <c r="BA426" s="1292">
        <f t="shared" si="3008"/>
        <v>220</v>
      </c>
      <c r="BB426" s="1292">
        <f t="shared" si="3008"/>
        <v>293.5</v>
      </c>
      <c r="BC426" s="1292">
        <f t="shared" si="3008"/>
        <v>59</v>
      </c>
      <c r="BD426" s="1292">
        <f>BD395+BD399-BD409-BD412</f>
        <v>278.5</v>
      </c>
      <c r="BE426" s="1294">
        <f t="shared" ref="BE426:BK426" si="3009">BE543-BE392-BE409-BE412+BE399</f>
        <v>352.5</v>
      </c>
      <c r="BF426" s="1292">
        <f t="shared" si="3009"/>
        <v>98</v>
      </c>
      <c r="BG426" s="1292">
        <f t="shared" si="3009"/>
        <v>68.9845</v>
      </c>
      <c r="BH426" s="1292">
        <f t="shared" si="3009"/>
        <v>166.9845</v>
      </c>
      <c r="BI426" s="1292">
        <f t="shared" si="3009"/>
        <v>241.5</v>
      </c>
      <c r="BJ426" s="1292">
        <f t="shared" si="3009"/>
        <v>408.4845</v>
      </c>
      <c r="BK426" s="1292">
        <f t="shared" si="3009"/>
        <v>67</v>
      </c>
      <c r="BL426" s="1292">
        <f>BL395+BL399-BL409-BL412</f>
        <v>308.5</v>
      </c>
      <c r="BM426" s="1292">
        <f t="shared" ref="BM426:BS426" si="3010">BM543-BM392-BM409-BM412+BM399</f>
        <v>475.4845</v>
      </c>
      <c r="BN426" s="1293">
        <f t="shared" si="3010"/>
        <v>117</v>
      </c>
      <c r="BO426" s="1292">
        <f t="shared" si="3010"/>
        <v>60</v>
      </c>
      <c r="BP426" s="1292">
        <f t="shared" si="3010"/>
        <v>177</v>
      </c>
      <c r="BQ426" s="1292">
        <f t="shared" si="3010"/>
        <v>270</v>
      </c>
      <c r="BR426" s="1292">
        <f t="shared" si="3010"/>
        <v>447</v>
      </c>
      <c r="BS426" s="1292">
        <f t="shared" si="3010"/>
        <v>42</v>
      </c>
      <c r="BT426" s="1292">
        <f>BT395+BT399-BT409-BT412</f>
        <v>312</v>
      </c>
      <c r="BU426" s="1294">
        <f t="shared" ref="BU426:CA426" si="3011">BU543-BU392-BU409-BU412+BU399</f>
        <v>489</v>
      </c>
      <c r="BV426" s="1293">
        <f t="shared" si="3011"/>
        <v>160</v>
      </c>
      <c r="BW426" s="1292">
        <f t="shared" si="3011"/>
        <v>123</v>
      </c>
      <c r="BX426" s="1292">
        <f t="shared" si="3011"/>
        <v>283</v>
      </c>
      <c r="BY426" s="1292">
        <f t="shared" si="3011"/>
        <v>280</v>
      </c>
      <c r="BZ426" s="1292">
        <f t="shared" si="3011"/>
        <v>563</v>
      </c>
      <c r="CA426" s="1292">
        <f t="shared" si="3011"/>
        <v>21</v>
      </c>
      <c r="CB426" s="1292">
        <f>CC426-BX426</f>
        <v>301</v>
      </c>
      <c r="CC426" s="1294">
        <f t="shared" ref="CC426:CI426" si="3012">CC543-CC392-CC409-CC412+CC399</f>
        <v>584</v>
      </c>
      <c r="CD426" s="1293">
        <f t="shared" si="3012"/>
        <v>204</v>
      </c>
      <c r="CE426" s="1292">
        <f t="shared" si="3012"/>
        <v>153</v>
      </c>
      <c r="CF426" s="1292">
        <f t="shared" si="3012"/>
        <v>357</v>
      </c>
      <c r="CG426" s="1292">
        <f t="shared" si="3012"/>
        <v>315</v>
      </c>
      <c r="CH426" s="1292">
        <f t="shared" si="3012"/>
        <v>672</v>
      </c>
      <c r="CI426" s="1292">
        <f t="shared" si="3012"/>
        <v>35</v>
      </c>
      <c r="CJ426" s="1292">
        <f>CJ395+CJ399-CJ409-CJ412</f>
        <v>350</v>
      </c>
      <c r="CK426" s="1294">
        <f>CH426+CI426</f>
        <v>707</v>
      </c>
      <c r="CL426" s="1293">
        <v>248</v>
      </c>
      <c r="CM426" s="1292">
        <f>CM543-CM392-CM409-CM412+CM399</f>
        <v>172.7</v>
      </c>
      <c r="CN426" s="1292">
        <v>420</v>
      </c>
      <c r="CO426" s="1292">
        <f>CP426-CN426</f>
        <v>410</v>
      </c>
      <c r="CP426" s="1292">
        <f>CP543-CP392-CP409-CP412+CP399</f>
        <v>830</v>
      </c>
      <c r="CQ426" s="1292">
        <v>52</v>
      </c>
      <c r="CR426" s="1292">
        <f>CR395+CR399-CR409-CR412</f>
        <v>533.01591075</v>
      </c>
      <c r="CS426" s="1294">
        <v>881</v>
      </c>
      <c r="CT426" s="1293">
        <v>229</v>
      </c>
      <c r="CU426" s="1292">
        <f t="shared" ref="CU426:DA426" si="3013">+CU395+CU399-CU415</f>
        <v>188</v>
      </c>
      <c r="CV426" s="1292">
        <f t="shared" si="3013"/>
        <v>417</v>
      </c>
      <c r="CW426" s="1292">
        <f t="shared" si="3013"/>
        <v>472</v>
      </c>
      <c r="CX426" s="1292">
        <f t="shared" si="3013"/>
        <v>889</v>
      </c>
      <c r="CY426" s="1292">
        <f t="shared" si="3013"/>
        <v>60</v>
      </c>
      <c r="CZ426" s="1292">
        <f t="shared" si="3013"/>
        <v>532</v>
      </c>
      <c r="DA426" s="1294">
        <f t="shared" si="3013"/>
        <v>949</v>
      </c>
      <c r="DB426" s="1315">
        <v>282</v>
      </c>
      <c r="DC426" s="1316">
        <f>DC395+DC399-DC415</f>
        <v>115</v>
      </c>
      <c r="DD426" s="1316">
        <f>DD395+DD399-DD415</f>
        <v>335</v>
      </c>
      <c r="DE426" s="1316">
        <v>473</v>
      </c>
      <c r="DF426" s="1316">
        <v>963</v>
      </c>
      <c r="DG426" s="1316">
        <f>DI426-DF426</f>
        <v>107</v>
      </c>
      <c r="DH426" s="1316">
        <f>DI426-DD426</f>
        <v>735</v>
      </c>
      <c r="DI426" s="1317">
        <f>'Profit and Loss'!O368</f>
        <v>1070</v>
      </c>
      <c r="DJ426" s="1316">
        <v>58</v>
      </c>
      <c r="DK426" s="1316">
        <v>72</v>
      </c>
      <c r="DL426" s="1316">
        <f>DJ426+DK426</f>
        <v>130</v>
      </c>
      <c r="DM426" s="1316">
        <v>336</v>
      </c>
      <c r="DN426" s="1316">
        <f>DL426+DM426</f>
        <v>466</v>
      </c>
      <c r="DO426" s="1316">
        <v>42</v>
      </c>
      <c r="DP426" s="1316">
        <f>DP395+DP399-DP415</f>
        <v>326.43199998426</v>
      </c>
      <c r="DQ426" s="1317">
        <f>'Profit and Loss'!P368</f>
        <v>508</v>
      </c>
      <c r="DR426" s="1316">
        <v>260</v>
      </c>
      <c r="DS426" s="1316">
        <v>195</v>
      </c>
      <c r="DT426" s="1316">
        <f>DR426+DS426</f>
        <v>455</v>
      </c>
      <c r="DU426" s="1316">
        <v>411</v>
      </c>
      <c r="DV426" s="1316">
        <f>DU426+DT426</f>
        <v>866</v>
      </c>
      <c r="DW426" s="1316">
        <f>DY426-DV426</f>
        <v>28</v>
      </c>
      <c r="DX426" s="1316">
        <f>DU426+DW426</f>
        <v>439</v>
      </c>
      <c r="DY426" s="1317">
        <f>'Profit and Loss'!Q368</f>
        <v>894</v>
      </c>
      <c r="DZ426" s="1316">
        <v>313</v>
      </c>
      <c r="EA426" s="1316">
        <v>219</v>
      </c>
      <c r="EB426" s="1316">
        <f>DZ426+EA426</f>
        <v>532</v>
      </c>
      <c r="EC426" s="1316">
        <v>441</v>
      </c>
      <c r="ED426" s="1316">
        <f>EC426+EB426</f>
        <v>973</v>
      </c>
      <c r="EE426" s="1316">
        <f>+EF426-EC426</f>
        <v>-20</v>
      </c>
      <c r="EF426" s="1316">
        <f>+EG426-EB426</f>
        <v>421</v>
      </c>
      <c r="EG426" s="1317">
        <f>'Profit and Loss'!R368</f>
        <v>953</v>
      </c>
      <c r="EH426" s="1316">
        <f>+EH422+EH421</f>
        <v>409</v>
      </c>
      <c r="EI426" s="1316">
        <f>+EI422-EI421</f>
        <v>256</v>
      </c>
      <c r="EJ426" s="1316">
        <f>EH426+EI426</f>
        <v>665</v>
      </c>
      <c r="EK426" s="1316">
        <f>+EK422-EK421</f>
        <v>494</v>
      </c>
      <c r="EL426" s="1316">
        <f>EK426+EJ426</f>
        <v>1159</v>
      </c>
      <c r="EM426" s="1316">
        <f>EM422-EM421</f>
        <v>-239</v>
      </c>
      <c r="EN426" s="1316">
        <f>EK426+EM426</f>
        <v>255</v>
      </c>
      <c r="EO426" s="1317">
        <f>'Profit and Loss'!S368</f>
        <v>920</v>
      </c>
      <c r="EP426" s="1316">
        <f>+EP422+EP421</f>
        <v>442</v>
      </c>
      <c r="EQ426" s="1316">
        <v>252</v>
      </c>
      <c r="ER426" s="1316">
        <f>EP426+EQ426</f>
        <v>694</v>
      </c>
      <c r="ES426" s="1316">
        <v>463</v>
      </c>
      <c r="ET426" s="1316">
        <f>ER426+ES426</f>
        <v>1157</v>
      </c>
      <c r="EU426" s="1316">
        <f>EU422-EU421</f>
        <v>45</v>
      </c>
      <c r="EV426" s="1316">
        <f>ES426+EU426</f>
        <v>508</v>
      </c>
      <c r="EW426" s="1317">
        <f>EP426+EQ426+ES426+EU426</f>
        <v>1202</v>
      </c>
      <c r="EX426" s="1316">
        <v>307</v>
      </c>
      <c r="EY426" s="1316">
        <v>217</v>
      </c>
      <c r="EZ426" s="1316">
        <f>EX426+EY426</f>
        <v>524</v>
      </c>
      <c r="FA426" s="1316">
        <v>399</v>
      </c>
      <c r="FB426" s="1316">
        <f>EZ426+FA426</f>
        <v>923</v>
      </c>
      <c r="FC426" s="1316">
        <f>FE426-FB426</f>
        <v>-40</v>
      </c>
      <c r="FD426" s="1316">
        <f>FD422-FD421</f>
        <v>270</v>
      </c>
      <c r="FE426" s="1317">
        <f>'Profit and Loss'!U368</f>
        <v>883</v>
      </c>
      <c r="FF426" s="1316">
        <v>345</v>
      </c>
      <c r="FG426" s="1316">
        <v>234</v>
      </c>
      <c r="FH426" s="1316">
        <f>FF426+FG426</f>
        <v>579</v>
      </c>
      <c r="FI426" s="1316">
        <v>505</v>
      </c>
      <c r="FJ426" s="1316">
        <f>FH426+FI426</f>
        <v>1084</v>
      </c>
      <c r="FK426" s="1316">
        <f>FM426-FJ426</f>
        <v>-25</v>
      </c>
      <c r="FL426" s="1316">
        <f>FI426+FK426</f>
        <v>480</v>
      </c>
      <c r="FM426" s="1317">
        <f>'Profit and Loss'!V368</f>
        <v>1059</v>
      </c>
      <c r="FN426" s="1316">
        <v>490</v>
      </c>
      <c r="FO426" s="1316">
        <v>414</v>
      </c>
      <c r="FP426" s="1316">
        <f>FN426+FO426</f>
        <v>904</v>
      </c>
      <c r="FQ426" s="1316">
        <v>563</v>
      </c>
      <c r="FR426" s="1316">
        <v>1468</v>
      </c>
      <c r="FS426" s="1316">
        <f>FU426-FR426</f>
        <v>23</v>
      </c>
      <c r="FT426" s="1316">
        <f>FQ426+FS426</f>
        <v>586</v>
      </c>
      <c r="FU426" s="1316">
        <f>'Profit and Loss'!W368</f>
        <v>1491</v>
      </c>
      <c r="FV426" s="1296">
        <f>FX426-FW426</f>
        <v>637</v>
      </c>
      <c r="FW426" s="1316">
        <v>505</v>
      </c>
      <c r="FX426" s="1316">
        <v>1142</v>
      </c>
      <c r="FY426" s="1316">
        <v>795</v>
      </c>
      <c r="FZ426" s="1316">
        <f>FX426+FY426</f>
        <v>1937</v>
      </c>
      <c r="GA426" s="1316">
        <f>GA428*GA388</f>
        <v>133</v>
      </c>
      <c r="GB426" s="1316">
        <f>FY426+GA426</f>
        <v>928</v>
      </c>
      <c r="GC426" s="1317">
        <f>GB426+FX426</f>
        <v>2070</v>
      </c>
      <c r="GD426" s="1316">
        <f>GD422</f>
        <v>746</v>
      </c>
      <c r="GE426" s="1316">
        <f>GE422</f>
        <v>592</v>
      </c>
      <c r="GF426" s="1316">
        <f>GE426+GD426</f>
        <v>1338</v>
      </c>
      <c r="GG426" s="1316">
        <f>GG422</f>
        <v>901</v>
      </c>
      <c r="GH426" s="1316">
        <f>GG426+GF426</f>
        <v>2239</v>
      </c>
      <c r="GI426" s="1316">
        <f>GI422</f>
        <v>129.000000000002</v>
      </c>
      <c r="GJ426" s="1316">
        <f>GI426+GG426</f>
        <v>1030</v>
      </c>
      <c r="GK426" s="1317">
        <f>GJ426+GF426</f>
        <v>2368</v>
      </c>
      <c r="GL426" s="1316">
        <f>GL422</f>
        <v>875</v>
      </c>
      <c r="GM426" s="1316">
        <f>GM422</f>
        <v>643</v>
      </c>
      <c r="GN426" s="1316">
        <f>GM426+GL426</f>
        <v>1518</v>
      </c>
      <c r="GO426" s="1316">
        <f>GO422</f>
        <v>897</v>
      </c>
      <c r="GP426" s="1316">
        <f>GO426+GN426</f>
        <v>2415</v>
      </c>
      <c r="GQ426" s="1316">
        <f>GQ422</f>
        <v>245</v>
      </c>
      <c r="GR426" s="1316">
        <f>GQ426+GO426</f>
        <v>1142</v>
      </c>
      <c r="GS426" s="1317">
        <f>GR426+GN426</f>
        <v>2660</v>
      </c>
      <c r="GT426" s="1316">
        <f>GT422</f>
        <v>64.9999999999999</v>
      </c>
      <c r="GU426" s="1316">
        <f>GU422</f>
        <v>-333.000000000001</v>
      </c>
      <c r="GV426" s="1316">
        <f>GU426+GT426</f>
        <v>-268.000000000001</v>
      </c>
      <c r="GW426" s="1316">
        <f>GW422</f>
        <v>794.030088559999</v>
      </c>
      <c r="GX426" s="1316">
        <f>GW426+GV426</f>
        <v>526.030088559998</v>
      </c>
      <c r="GY426" s="1316">
        <f>GY422</f>
        <v>224.969911440003</v>
      </c>
      <c r="GZ426" s="1316">
        <f>GY426+GW426</f>
        <v>1019</v>
      </c>
      <c r="HA426" s="1317">
        <f>GZ426+GV426</f>
        <v>751.000000000001</v>
      </c>
      <c r="HB426" s="1316">
        <f>HB422</f>
        <v>704</v>
      </c>
      <c r="HC426" s="1316">
        <f>HC422</f>
        <v>543</v>
      </c>
      <c r="HD426" s="1316">
        <f>HC426+HB426</f>
        <v>1247</v>
      </c>
      <c r="HE426" s="1316">
        <f>HE422</f>
        <v>672</v>
      </c>
      <c r="HF426" s="1316">
        <f>HE426+HD426</f>
        <v>1919</v>
      </c>
      <c r="HG426" s="1316">
        <f>HI426-HE426-HB426-HC426</f>
        <v>66.9999999999991</v>
      </c>
      <c r="HH426" s="1316">
        <f>HG426+HE426</f>
        <v>738.999999999999</v>
      </c>
      <c r="HI426" s="1317">
        <f>HI422</f>
        <v>1986</v>
      </c>
      <c r="HJ426" s="1316">
        <f>HJ422</f>
        <v>437.000000000001</v>
      </c>
      <c r="HK426" s="1316">
        <f>HK422</f>
        <v>390.999999999999</v>
      </c>
      <c r="HL426" s="1316">
        <f>HK426+HJ426</f>
        <v>828</v>
      </c>
      <c r="HM426" s="1316">
        <f>HM422</f>
        <v>564</v>
      </c>
      <c r="HN426" s="1316">
        <f>HM426+HL426</f>
        <v>1392</v>
      </c>
      <c r="HO426" s="1316">
        <f>HQ426-HM426-HJ426-HK426</f>
        <v>-723</v>
      </c>
      <c r="HP426" s="1316">
        <f>HO426+HM426</f>
        <v>-159</v>
      </c>
      <c r="HQ426" s="1317">
        <f>HQ422</f>
        <v>669</v>
      </c>
      <c r="HR426" s="1316">
        <f>HR422</f>
        <v>59.9999999999999</v>
      </c>
      <c r="HS426" s="1316">
        <f>HS422</f>
        <v>75.9999999999997</v>
      </c>
      <c r="HT426" s="1316">
        <f>HS426+HR426</f>
        <v>136</v>
      </c>
      <c r="HU426" s="1316">
        <f>HU422</f>
        <v>369.000000000001</v>
      </c>
      <c r="HV426" s="1316">
        <f>HU426+HT426</f>
        <v>505.000000000001</v>
      </c>
      <c r="HW426" s="1316">
        <f>HY426-HU426-HR426-HS426</f>
        <v>-304.999999999999</v>
      </c>
      <c r="HX426" s="1316">
        <f>HW426+HU426</f>
        <v>64.000000000002</v>
      </c>
      <c r="HY426" s="1317">
        <f>HY422</f>
        <v>200.000000000002</v>
      </c>
      <c r="HZ426" s="1316">
        <f>HZ422</f>
        <v>286</v>
      </c>
      <c r="IA426" s="1316">
        <f>IA422</f>
        <v>296</v>
      </c>
      <c r="IB426" s="1316">
        <f>IA426+HZ426</f>
        <v>582</v>
      </c>
      <c r="IC426" s="1316">
        <f>IC422</f>
        <v>548</v>
      </c>
      <c r="ID426" s="1316">
        <f>IC426+IB426</f>
        <v>1130</v>
      </c>
      <c r="IE426" s="1316">
        <f>IG426-IC426-HZ426-IA426</f>
        <v>6.99999999999233</v>
      </c>
      <c r="IF426" s="1316">
        <f>IE426+IC426</f>
        <v>554.999999999992</v>
      </c>
      <c r="IG426" s="1317">
        <f>IG422</f>
        <v>1136.99999999999</v>
      </c>
      <c r="IH426" s="1316">
        <f>IH422</f>
        <v>610</v>
      </c>
      <c r="II426" s="1316">
        <f>II422</f>
        <v>546</v>
      </c>
      <c r="IJ426" s="1316">
        <f>II426+IH426</f>
        <v>1156</v>
      </c>
      <c r="IK426" s="1316">
        <f>IK422</f>
        <v>736</v>
      </c>
      <c r="IL426" s="1316">
        <f>IK426+IJ426</f>
        <v>1892</v>
      </c>
      <c r="IM426" s="1316">
        <f>IO426-IK426-IH426-II426</f>
        <v>164</v>
      </c>
      <c r="IN426" s="1316">
        <f>IM426+IK426</f>
        <v>900</v>
      </c>
      <c r="IO426" s="1317">
        <f>IO422</f>
        <v>2056</v>
      </c>
      <c r="IP426" s="1316">
        <f>IP422</f>
        <v>705</v>
      </c>
      <c r="IQ426" s="1316">
        <f>IQ422</f>
        <v>574</v>
      </c>
      <c r="IR426" s="1316">
        <f>IQ426+IP426</f>
        <v>1279</v>
      </c>
      <c r="IS426" s="1316">
        <f>IS422</f>
        <v>915</v>
      </c>
      <c r="IT426" s="1316">
        <f>IS426+IR426</f>
        <v>2194</v>
      </c>
      <c r="IU426" s="1316">
        <f>IW426-IS426-IP426-IQ426</f>
        <v>330.999999999999</v>
      </c>
      <c r="IV426" s="1316">
        <f>IU426+IS426</f>
        <v>1246</v>
      </c>
      <c r="IW426" s="1317">
        <f>IW422</f>
        <v>2525</v>
      </c>
      <c r="IX426" s="1352"/>
      <c r="IY426" s="1037"/>
      <c r="IZ426" s="1071"/>
      <c r="JA426" s="1071"/>
      <c r="JB426" s="1071"/>
      <c r="JC426" s="1104"/>
      <c r="JD426" s="1104"/>
      <c r="JE426" s="1104"/>
      <c r="JF426" s="1037"/>
      <c r="JG426" s="1082"/>
      <c r="JH426" s="1037"/>
      <c r="JI426" s="1082"/>
      <c r="JJ426" s="1035"/>
      <c r="JK426" s="1035"/>
      <c r="JL426" s="1035"/>
      <c r="JM426" s="1035"/>
      <c r="JN426" s="1035"/>
      <c r="JO426" s="1035"/>
      <c r="JP426" s="1035"/>
      <c r="JQ426" s="1035"/>
      <c r="JR426" s="1035"/>
      <c r="JS426" s="1035"/>
      <c r="JT426" s="1035"/>
      <c r="JU426" s="1035"/>
      <c r="JV426" s="1035"/>
      <c r="JW426" s="1035"/>
      <c r="JX426" s="1035"/>
      <c r="JY426" s="1035"/>
    </row>
    <row r="427" s="883" customFormat="1" spans="1:285">
      <c r="A427" s="883" t="s">
        <v>142</v>
      </c>
      <c r="B427" s="1302" t="s">
        <v>173</v>
      </c>
      <c r="C427" s="1302" t="s">
        <v>173</v>
      </c>
      <c r="D427" s="1302" t="s">
        <v>173</v>
      </c>
      <c r="E427" s="1302" t="s">
        <v>173</v>
      </c>
      <c r="F427" s="1302" t="s">
        <v>173</v>
      </c>
      <c r="G427" s="1302" t="s">
        <v>173</v>
      </c>
      <c r="H427" s="1302" t="s">
        <v>173</v>
      </c>
      <c r="I427" s="1302" t="s">
        <v>173</v>
      </c>
      <c r="J427" s="1302">
        <f t="shared" ref="J427:AO427" si="3014">J426/B426-1</f>
        <v>-0.238589083333333</v>
      </c>
      <c r="K427" s="1302">
        <f t="shared" si="3014"/>
        <v>-0.384150597014925</v>
      </c>
      <c r="L427" s="1302">
        <f t="shared" si="3014"/>
        <v>-0.290742139037434</v>
      </c>
      <c r="M427" s="1302">
        <f t="shared" si="3014"/>
        <v>-0.39283125</v>
      </c>
      <c r="N427" s="1302">
        <f t="shared" si="3014"/>
        <v>-0.33781492795389</v>
      </c>
      <c r="O427" s="1302">
        <f t="shared" si="3014"/>
        <v>-1.90116625</v>
      </c>
      <c r="P427" s="1302">
        <f t="shared" si="3014"/>
        <v>-1.14415384325561</v>
      </c>
      <c r="Q427" s="1302">
        <f t="shared" si="3014"/>
        <v>-0.319583425655976</v>
      </c>
      <c r="R427" s="1302">
        <f t="shared" si="3014"/>
        <v>0.34583100167879</v>
      </c>
      <c r="S427" s="1302">
        <f t="shared" si="3014"/>
        <v>0.165303593556383</v>
      </c>
      <c r="T427" s="1302">
        <f t="shared" si="3014"/>
        <v>0.289668465690056</v>
      </c>
      <c r="U427" s="1302">
        <f t="shared" si="3014"/>
        <v>0.621052631578948</v>
      </c>
      <c r="V427" s="1302">
        <f t="shared" si="3014"/>
        <v>0.429773030707612</v>
      </c>
      <c r="W427" s="1302">
        <f t="shared" si="3014"/>
        <v>5.09929078014183</v>
      </c>
      <c r="X427" s="1302">
        <f t="shared" si="3014"/>
        <v>0.776765375854206</v>
      </c>
      <c r="Y427" s="1302">
        <f t="shared" si="3014"/>
        <v>0.501895059699859</v>
      </c>
      <c r="Z427" s="1302">
        <f t="shared" si="3014"/>
        <v>0.334719334719335</v>
      </c>
      <c r="AA427" s="1302">
        <f t="shared" si="3014"/>
        <v>0.169715014887278</v>
      </c>
      <c r="AB427" s="1302">
        <f t="shared" si="3014"/>
        <v>0.288336222873198</v>
      </c>
      <c r="AC427" s="1302">
        <f t="shared" si="3014"/>
        <v>0.31168831168831</v>
      </c>
      <c r="AD427" s="1302">
        <f t="shared" si="3014"/>
        <v>0.299529990350794</v>
      </c>
      <c r="AE427" s="1302">
        <f t="shared" si="3014"/>
        <v>-1.25488372093022</v>
      </c>
      <c r="AF427" s="1302">
        <f t="shared" si="3014"/>
        <v>0.119898008706929</v>
      </c>
      <c r="AG427" s="1302">
        <f t="shared" si="3014"/>
        <v>0.202030516089505</v>
      </c>
      <c r="AH427" s="1302">
        <f t="shared" si="3014"/>
        <v>-0.264797507788161</v>
      </c>
      <c r="AI427" s="1302">
        <f t="shared" si="3014"/>
        <v>0.390894866916776</v>
      </c>
      <c r="AJ427" s="1302">
        <f t="shared" si="3014"/>
        <v>-0.0974514260769248</v>
      </c>
      <c r="AK427" s="1302">
        <f t="shared" si="3014"/>
        <v>0.161860758733805</v>
      </c>
      <c r="AL427" s="1302">
        <f t="shared" si="3014"/>
        <v>0.0280121938794025</v>
      </c>
      <c r="AM427" s="1302">
        <f t="shared" si="3014"/>
        <v>-7.60260592364414</v>
      </c>
      <c r="AN427" s="1302">
        <f t="shared" ref="AN427:BU427" si="3015">AN426/AF426-1</f>
        <v>0.388170534132992</v>
      </c>
      <c r="AO427" s="1302">
        <f t="shared" si="3014"/>
        <v>0.129501896524973</v>
      </c>
      <c r="AP427" s="1302">
        <f t="shared" si="3015"/>
        <v>-0.0635369463680167</v>
      </c>
      <c r="AQ427" s="1302">
        <f t="shared" si="3015"/>
        <v>-0.284144699922407</v>
      </c>
      <c r="AR427" s="1302">
        <f t="shared" si="3015"/>
        <v>-0.150305010334605</v>
      </c>
      <c r="AS427" s="1302">
        <f t="shared" si="3015"/>
        <v>-0.104166666666667</v>
      </c>
      <c r="AT427" s="1302">
        <f t="shared" si="3015"/>
        <v>-0.125075274285484</v>
      </c>
      <c r="AU427" s="1302">
        <f t="shared" si="3015"/>
        <v>0.459459459459459</v>
      </c>
      <c r="AV427" s="1302">
        <f t="shared" si="3015"/>
        <v>-0.03584229390681</v>
      </c>
      <c r="AW427" s="1302">
        <f t="shared" si="3015"/>
        <v>-0.0796287163405198</v>
      </c>
      <c r="AX427" s="1303">
        <f t="shared" si="3015"/>
        <v>0.0973451327433628</v>
      </c>
      <c r="AY427" s="1302">
        <f t="shared" si="3015"/>
        <v>0.3125</v>
      </c>
      <c r="AZ427" s="1302">
        <f t="shared" si="3015"/>
        <v>0.168639053254438</v>
      </c>
      <c r="BA427" s="1302">
        <f t="shared" si="3015"/>
        <v>0.0232558139534884</v>
      </c>
      <c r="BB427" s="1302">
        <f t="shared" si="3015"/>
        <v>-0.235677083333333</v>
      </c>
      <c r="BC427" s="1302">
        <f t="shared" si="3015"/>
        <v>0.0925925925925926</v>
      </c>
      <c r="BD427" s="1302">
        <f t="shared" si="3015"/>
        <v>0.0353159851301115</v>
      </c>
      <c r="BE427" s="1304">
        <f t="shared" si="3015"/>
        <v>-0.195205479452055</v>
      </c>
      <c r="BF427" s="1302">
        <f t="shared" si="3015"/>
        <v>-0.209677419354839</v>
      </c>
      <c r="BG427" s="1302">
        <f t="shared" si="3015"/>
        <v>-0.0614353741496595</v>
      </c>
      <c r="BH427" s="1302">
        <f t="shared" si="3015"/>
        <v>-0.154508860759494</v>
      </c>
      <c r="BI427" s="1302">
        <f t="shared" si="3015"/>
        <v>0.0977272727272727</v>
      </c>
      <c r="BJ427" s="1302">
        <f t="shared" si="3015"/>
        <v>0.391770017035775</v>
      </c>
      <c r="BK427" s="1302">
        <f t="shared" si="3015"/>
        <v>0.135593220338983</v>
      </c>
      <c r="BL427" s="1302">
        <f t="shared" si="3015"/>
        <v>0.107719928186714</v>
      </c>
      <c r="BM427" s="1302">
        <f t="shared" si="3015"/>
        <v>0.34889219858156</v>
      </c>
      <c r="BN427" s="1303">
        <f t="shared" si="3015"/>
        <v>0.193877551020408</v>
      </c>
      <c r="BO427" s="1302">
        <f t="shared" si="3015"/>
        <v>-0.130239401604709</v>
      </c>
      <c r="BP427" s="1302">
        <f t="shared" si="3015"/>
        <v>0.0599786207701911</v>
      </c>
      <c r="BQ427" s="1302">
        <f t="shared" si="3015"/>
        <v>0.118012422360248</v>
      </c>
      <c r="BR427" s="1302">
        <f t="shared" si="3015"/>
        <v>0.0942887673828505</v>
      </c>
      <c r="BS427" s="1302">
        <f t="shared" si="3015"/>
        <v>-0.373134328358209</v>
      </c>
      <c r="BT427" s="1302">
        <f t="shared" ref="BT427:CK427" si="3016">BT426/BL426-1</f>
        <v>0.0113452188006482</v>
      </c>
      <c r="BU427" s="1304">
        <f t="shared" si="3015"/>
        <v>0.02842469102568</v>
      </c>
      <c r="BV427" s="1303">
        <f t="shared" si="3016"/>
        <v>0.367521367521368</v>
      </c>
      <c r="BW427" s="1302">
        <f t="shared" si="3016"/>
        <v>1.05</v>
      </c>
      <c r="BX427" s="1302">
        <f t="shared" si="3016"/>
        <v>0.598870056497175</v>
      </c>
      <c r="BY427" s="1302">
        <f t="shared" si="3016"/>
        <v>0.037037037037037</v>
      </c>
      <c r="BZ427" s="1302">
        <f t="shared" si="3016"/>
        <v>0.259507829977629</v>
      </c>
      <c r="CA427" s="1302">
        <f t="shared" si="3016"/>
        <v>-0.5</v>
      </c>
      <c r="CB427" s="1302">
        <f t="shared" si="3016"/>
        <v>-0.0352564102564102</v>
      </c>
      <c r="CC427" s="1304">
        <f t="shared" si="3016"/>
        <v>0.194274028629857</v>
      </c>
      <c r="CD427" s="1303">
        <f t="shared" si="3016"/>
        <v>0.275</v>
      </c>
      <c r="CE427" s="1302">
        <f t="shared" si="3016"/>
        <v>0.24390243902439</v>
      </c>
      <c r="CF427" s="1302">
        <f t="shared" si="3016"/>
        <v>0.261484098939929</v>
      </c>
      <c r="CG427" s="1302">
        <f t="shared" si="3016"/>
        <v>0.125</v>
      </c>
      <c r="CH427" s="1302">
        <f t="shared" si="3016"/>
        <v>0.19360568383659</v>
      </c>
      <c r="CI427" s="1302">
        <f t="shared" si="3016"/>
        <v>0.666666666666667</v>
      </c>
      <c r="CJ427" s="1302">
        <f t="shared" si="3016"/>
        <v>0.162790697674419</v>
      </c>
      <c r="CK427" s="1304">
        <f t="shared" si="3016"/>
        <v>0.210616438356164</v>
      </c>
      <c r="CL427" s="1303">
        <v>0.215686274509804</v>
      </c>
      <c r="CM427" s="1302">
        <f t="shared" ref="CM427:CS427" si="3017">CM426/CE426-1</f>
        <v>0.128758169934641</v>
      </c>
      <c r="CN427" s="1302">
        <f t="shared" si="3017"/>
        <v>0.176470588235294</v>
      </c>
      <c r="CO427" s="1302">
        <f t="shared" si="3017"/>
        <v>0.301587301587302</v>
      </c>
      <c r="CP427" s="1302">
        <f t="shared" si="3017"/>
        <v>0.235119047619048</v>
      </c>
      <c r="CQ427" s="1302">
        <f t="shared" si="3017"/>
        <v>0.485714285714286</v>
      </c>
      <c r="CR427" s="1302">
        <f t="shared" si="3017"/>
        <v>0.522902602142858</v>
      </c>
      <c r="CS427" s="1304">
        <f t="shared" si="3017"/>
        <v>0.246110325318246</v>
      </c>
      <c r="CT427" s="1303">
        <f t="shared" ref="CT427:DA427" si="3018">CT426/CL426-1</f>
        <v>-0.0766129032258065</v>
      </c>
      <c r="CU427" s="1302">
        <f t="shared" si="3018"/>
        <v>0.0885929357266937</v>
      </c>
      <c r="CV427" s="1302">
        <f t="shared" si="3018"/>
        <v>-0.00714285714285712</v>
      </c>
      <c r="CW427" s="1302">
        <f t="shared" si="3018"/>
        <v>0.151219512195122</v>
      </c>
      <c r="CX427" s="1302">
        <f t="shared" si="3018"/>
        <v>0.0710843373493977</v>
      </c>
      <c r="CY427" s="1302">
        <f t="shared" si="3018"/>
        <v>0.153846153846154</v>
      </c>
      <c r="CZ427" s="1302">
        <f t="shared" si="3018"/>
        <v>-0.00190596702558254</v>
      </c>
      <c r="DA427" s="1304">
        <f t="shared" si="3018"/>
        <v>0.0771850170261068</v>
      </c>
      <c r="DB427" s="1109">
        <f t="shared" ref="DB427:DI427" si="3019">DB426/CT426-1</f>
        <v>0.231441048034934</v>
      </c>
      <c r="DC427" s="1082">
        <f t="shared" si="3019"/>
        <v>-0.388297872340426</v>
      </c>
      <c r="DD427" s="1082">
        <f t="shared" si="3019"/>
        <v>-0.196642685851319</v>
      </c>
      <c r="DE427" s="1082">
        <f t="shared" si="3019"/>
        <v>0.00211864406779672</v>
      </c>
      <c r="DF427" s="1082">
        <f t="shared" si="3019"/>
        <v>0.0832395950506186</v>
      </c>
      <c r="DG427" s="1082">
        <f t="shared" si="3019"/>
        <v>0.783333333333333</v>
      </c>
      <c r="DH427" s="1082">
        <f t="shared" si="3019"/>
        <v>0.381578947368421</v>
      </c>
      <c r="DI427" s="1085">
        <f t="shared" si="3019"/>
        <v>0.127502634351949</v>
      </c>
      <c r="DJ427" s="1082">
        <f t="shared" ref="DJ427:DQ427" si="3020">DJ426/DB426-1</f>
        <v>-0.794326241134752</v>
      </c>
      <c r="DK427" s="1082">
        <f t="shared" si="3020"/>
        <v>-0.373913043478261</v>
      </c>
      <c r="DL427" s="1082">
        <f t="shared" si="3020"/>
        <v>-0.611940298507463</v>
      </c>
      <c r="DM427" s="1082">
        <f t="shared" si="3020"/>
        <v>-0.289640591966173</v>
      </c>
      <c r="DN427" s="1082">
        <f t="shared" si="3020"/>
        <v>-0.516095534787124</v>
      </c>
      <c r="DO427" s="1082">
        <f t="shared" si="3020"/>
        <v>-0.607476635514019</v>
      </c>
      <c r="DP427" s="1082">
        <f t="shared" si="3020"/>
        <v>-0.555874829953388</v>
      </c>
      <c r="DQ427" s="1085">
        <f t="shared" si="3020"/>
        <v>-0.525233644859813</v>
      </c>
      <c r="DR427" s="1082">
        <f t="shared" ref="DR427:ED427" si="3021">DR426/DJ426-1</f>
        <v>3.48275862068965</v>
      </c>
      <c r="DS427" s="1082">
        <f t="shared" si="3021"/>
        <v>1.70833333333333</v>
      </c>
      <c r="DT427" s="1082">
        <f t="shared" si="3021"/>
        <v>2.5</v>
      </c>
      <c r="DU427" s="1082">
        <f t="shared" si="3021"/>
        <v>0.223214285714286</v>
      </c>
      <c r="DV427" s="1082">
        <f t="shared" si="3021"/>
        <v>0.858369098712446</v>
      </c>
      <c r="DW427" s="1082">
        <f t="shared" si="3021"/>
        <v>-0.333333333333333</v>
      </c>
      <c r="DX427" s="1082">
        <f t="shared" si="3021"/>
        <v>0.344843642844965</v>
      </c>
      <c r="DY427" s="1085">
        <f t="shared" si="3021"/>
        <v>0.759842519685039</v>
      </c>
      <c r="DZ427" s="1082">
        <f t="shared" si="3021"/>
        <v>0.203846153846154</v>
      </c>
      <c r="EA427" s="1082">
        <f t="shared" si="3021"/>
        <v>0.123076923076923</v>
      </c>
      <c r="EB427" s="1082">
        <f t="shared" si="3021"/>
        <v>0.169230769230769</v>
      </c>
      <c r="EC427" s="1082">
        <f t="shared" si="3021"/>
        <v>0.0729927007299269</v>
      </c>
      <c r="ED427" s="1082">
        <f t="shared" si="3021"/>
        <v>0.123556581986143</v>
      </c>
      <c r="EE427" s="1082">
        <f t="shared" ref="EE427:EN427" si="3022">EE426/DW426-1</f>
        <v>-1.71428571428571</v>
      </c>
      <c r="EF427" s="1082">
        <f t="shared" si="3022"/>
        <v>-0.041002277904328</v>
      </c>
      <c r="EG427" s="1085">
        <f t="shared" si="3022"/>
        <v>0.0659955257270695</v>
      </c>
      <c r="EH427" s="1082">
        <f t="shared" si="3022"/>
        <v>0.306709265175719</v>
      </c>
      <c r="EI427" s="1082">
        <f t="shared" si="3022"/>
        <v>0.168949771689498</v>
      </c>
      <c r="EJ427" s="1082">
        <f t="shared" si="3022"/>
        <v>0.25</v>
      </c>
      <c r="EK427" s="1082">
        <f t="shared" si="3022"/>
        <v>0.120181405895692</v>
      </c>
      <c r="EL427" s="1082">
        <f t="shared" si="3022"/>
        <v>0.191161356628982</v>
      </c>
      <c r="EM427" s="1082">
        <f t="shared" si="3022"/>
        <v>10.95</v>
      </c>
      <c r="EN427" s="1082">
        <f t="shared" si="3022"/>
        <v>-0.394299287410926</v>
      </c>
      <c r="EO427" s="1085">
        <f t="shared" ref="EO427:EV427" si="3023">EO426/EG426-1</f>
        <v>-0.0346274921301154</v>
      </c>
      <c r="EP427" s="1082">
        <f t="shared" si="3023"/>
        <v>0.0806845965770171</v>
      </c>
      <c r="EQ427" s="1094">
        <f t="shared" si="3023"/>
        <v>-0.015625</v>
      </c>
      <c r="ER427" s="1094">
        <f t="shared" si="3023"/>
        <v>0.043609022556391</v>
      </c>
      <c r="ES427" s="1094">
        <f t="shared" si="3023"/>
        <v>-0.0627530364372469</v>
      </c>
      <c r="ET427" s="1094">
        <f t="shared" si="3023"/>
        <v>-0.00172562553925804</v>
      </c>
      <c r="EU427" s="1094">
        <f t="shared" si="3023"/>
        <v>-1.18828451882845</v>
      </c>
      <c r="EV427" s="1094">
        <f t="shared" si="3023"/>
        <v>0.992156862745098</v>
      </c>
      <c r="EW427" s="1093">
        <f t="shared" ref="EW427:FG427" si="3024">EW426/EO426-1</f>
        <v>0.306521739130435</v>
      </c>
      <c r="EX427" s="1094">
        <f t="shared" si="3024"/>
        <v>-0.305429864253394</v>
      </c>
      <c r="EY427" s="1094">
        <f t="shared" si="3024"/>
        <v>-0.138888888888889</v>
      </c>
      <c r="EZ427" s="1094">
        <f t="shared" si="3024"/>
        <v>-0.244956772334294</v>
      </c>
      <c r="FA427" s="1094">
        <f t="shared" si="3024"/>
        <v>-0.138228941684665</v>
      </c>
      <c r="FB427" s="1094">
        <f t="shared" si="3024"/>
        <v>-0.202247191011236</v>
      </c>
      <c r="FC427" s="1094">
        <f t="shared" si="3024"/>
        <v>-1.88888888888889</v>
      </c>
      <c r="FD427" s="1094">
        <f t="shared" si="3024"/>
        <v>-0.468503937007874</v>
      </c>
      <c r="FE427" s="1093">
        <f t="shared" si="3024"/>
        <v>-0.265391014975042</v>
      </c>
      <c r="FF427" s="1094">
        <f t="shared" si="3024"/>
        <v>0.123778501628665</v>
      </c>
      <c r="FG427" s="1094">
        <f t="shared" si="3024"/>
        <v>0.0783410138248848</v>
      </c>
      <c r="FH427" s="1094">
        <f t="shared" ref="FH427:FN427" si="3025">FH426/EZ426-1</f>
        <v>0.104961832061069</v>
      </c>
      <c r="FI427" s="1094">
        <f t="shared" si="3025"/>
        <v>0.265664160401003</v>
      </c>
      <c r="FJ427" s="1094">
        <f t="shared" si="3025"/>
        <v>0.174431202600217</v>
      </c>
      <c r="FK427" s="1094">
        <f t="shared" si="3025"/>
        <v>-0.375</v>
      </c>
      <c r="FL427" s="1094">
        <f t="shared" si="3025"/>
        <v>0.777777777777778</v>
      </c>
      <c r="FM427" s="1093">
        <f t="shared" si="3025"/>
        <v>0.199320498301246</v>
      </c>
      <c r="FN427" s="1094">
        <f t="shared" si="3025"/>
        <v>0.420289855072464</v>
      </c>
      <c r="FO427" s="1094">
        <f t="shared" ref="FO427:GB427" si="3026">FO426/FG426-1</f>
        <v>0.769230769230769</v>
      </c>
      <c r="FP427" s="1094">
        <f t="shared" si="3026"/>
        <v>0.561312607944732</v>
      </c>
      <c r="FQ427" s="1094">
        <f t="shared" si="3026"/>
        <v>0.114851485148515</v>
      </c>
      <c r="FR427" s="1094">
        <f t="shared" si="3026"/>
        <v>0.354243542435424</v>
      </c>
      <c r="FS427" s="1094">
        <f t="shared" si="3026"/>
        <v>-1.92</v>
      </c>
      <c r="FT427" s="1094">
        <f t="shared" si="3026"/>
        <v>0.220833333333333</v>
      </c>
      <c r="FU427" s="1087">
        <f t="shared" si="3026"/>
        <v>0.407932011331445</v>
      </c>
      <c r="FV427" s="1086">
        <f t="shared" si="3026"/>
        <v>0.3</v>
      </c>
      <c r="FW427" s="1087">
        <f t="shared" si="3026"/>
        <v>0.219806763285024</v>
      </c>
      <c r="FX427" s="1087">
        <f t="shared" si="3026"/>
        <v>0.263274336283186</v>
      </c>
      <c r="FY427" s="1094">
        <f t="shared" si="3026"/>
        <v>0.412078152753108</v>
      </c>
      <c r="FZ427" s="1094">
        <f t="shared" si="3026"/>
        <v>0.319482288828338</v>
      </c>
      <c r="GA427" s="1094">
        <f t="shared" si="3026"/>
        <v>4.78260869565217</v>
      </c>
      <c r="GB427" s="1094">
        <f t="shared" si="3026"/>
        <v>0.583617747440273</v>
      </c>
      <c r="GC427" s="1093">
        <f t="shared" ref="GC427:GS427" si="3027">GC426/FU426-1</f>
        <v>0.388329979879276</v>
      </c>
      <c r="GD427" s="1087">
        <f t="shared" si="3027"/>
        <v>0.171114599686028</v>
      </c>
      <c r="GE427" s="1087">
        <f t="shared" si="3027"/>
        <v>0.172277227722773</v>
      </c>
      <c r="GF427" s="1087">
        <f t="shared" si="3027"/>
        <v>0.171628721541156</v>
      </c>
      <c r="GG427" s="1094">
        <f t="shared" si="3027"/>
        <v>0.133333333333333</v>
      </c>
      <c r="GH427" s="1094">
        <f t="shared" si="3027"/>
        <v>0.155911202891069</v>
      </c>
      <c r="GI427" s="1094">
        <f t="shared" si="3027"/>
        <v>-0.0300751879699084</v>
      </c>
      <c r="GJ427" s="1094">
        <f t="shared" si="3027"/>
        <v>0.109913793103451</v>
      </c>
      <c r="GK427" s="1093">
        <f t="shared" si="3027"/>
        <v>0.143961352657006</v>
      </c>
      <c r="GL427" s="1087">
        <f t="shared" si="3027"/>
        <v>0.172922252010724</v>
      </c>
      <c r="GM427" s="1087">
        <f t="shared" si="3027"/>
        <v>0.0861486486486487</v>
      </c>
      <c r="GN427" s="1087">
        <f t="shared" si="3027"/>
        <v>0.134529147982063</v>
      </c>
      <c r="GO427" s="1094">
        <f t="shared" si="3027"/>
        <v>-0.00443951165371814</v>
      </c>
      <c r="GP427" s="1094">
        <f t="shared" si="3027"/>
        <v>0.0786065207682003</v>
      </c>
      <c r="GQ427" s="1094">
        <f t="shared" si="3027"/>
        <v>0.899224806201522</v>
      </c>
      <c r="GR427" s="1094">
        <f t="shared" si="3027"/>
        <v>0.108737864077668</v>
      </c>
      <c r="GS427" s="1093">
        <f t="shared" si="3027"/>
        <v>0.12331081081081</v>
      </c>
      <c r="GT427" s="1087">
        <f t="shared" ref="GT427" si="3028">GT426/GL426-1</f>
        <v>-0.925714285714286</v>
      </c>
      <c r="GU427" s="1087">
        <f t="shared" ref="GU427" si="3029">GU426/GM426-1</f>
        <v>-1.51788491446345</v>
      </c>
      <c r="GV427" s="1087">
        <f t="shared" ref="GV427" si="3030">GV426/GN426-1</f>
        <v>-1.17654808959157</v>
      </c>
      <c r="GW427" s="1094">
        <f t="shared" ref="GW427" si="3031">GW426/GO426-1</f>
        <v>-0.114793658238575</v>
      </c>
      <c r="GX427" s="1094">
        <f t="shared" ref="GX427" si="3032">GX426/GP426-1</f>
        <v>-0.782182157946171</v>
      </c>
      <c r="GY427" s="1094">
        <f t="shared" ref="GY427" si="3033">GY426/GQ426-1</f>
        <v>-0.0817554635101927</v>
      </c>
      <c r="GZ427" s="1094">
        <f t="shared" ref="GZ427" si="3034">GZ426/GR426-1</f>
        <v>-0.1077057793345</v>
      </c>
      <c r="HA427" s="1093">
        <f t="shared" ref="HA427" si="3035">HA426/GS426-1</f>
        <v>-0.717669172932331</v>
      </c>
      <c r="HB427" s="1087">
        <f>HB426/48-1</f>
        <v>13.6666666666667</v>
      </c>
      <c r="HC427" s="1087">
        <f t="shared" ref="HC427" si="3036">HC426/GU426-1</f>
        <v>-2.63063063063063</v>
      </c>
      <c r="HD427" s="1087">
        <f t="shared" ref="HD427" si="3037">HD426/GV426-1</f>
        <v>-5.65298507462686</v>
      </c>
      <c r="HE427" s="1094">
        <f t="shared" ref="HE427" si="3038">HE426/GW426-1</f>
        <v>-0.153684463999726</v>
      </c>
      <c r="HF427" s="1094">
        <f t="shared" ref="HF427" si="3039">HF426/GX426-1</f>
        <v>2.64808029375894</v>
      </c>
      <c r="HG427" s="1094">
        <f t="shared" ref="HG427" si="3040">HG426/GY426-1</f>
        <v>-0.702182395987353</v>
      </c>
      <c r="HH427" s="1094">
        <f t="shared" ref="HH427" si="3041">HH426/GZ426-1</f>
        <v>-0.274779195289502</v>
      </c>
      <c r="HI427" s="1093">
        <f t="shared" ref="HI427" si="3042">HI426/HA426-1</f>
        <v>1.6444740346205</v>
      </c>
      <c r="HJ427" s="1087">
        <f>HJ426/48-1</f>
        <v>8.10416666666669</v>
      </c>
      <c r="HK427" s="1087">
        <f t="shared" ref="HK427" si="3043">HK426/HC426-1</f>
        <v>-0.279926335174956</v>
      </c>
      <c r="HL427" s="1087">
        <f t="shared" ref="HL427" si="3044">HL426/HD426-1</f>
        <v>-0.336006415396953</v>
      </c>
      <c r="HM427" s="1094">
        <f t="shared" ref="HM427" si="3045">HM426/HE426-1</f>
        <v>-0.160714285714286</v>
      </c>
      <c r="HN427" s="1094">
        <f t="shared" ref="HN427" si="3046">HN426/HF426-1</f>
        <v>-0.274622199062012</v>
      </c>
      <c r="HO427" s="1094">
        <f t="shared" ref="HO427" si="3047">HO426/HG426-1</f>
        <v>-11.7910447761195</v>
      </c>
      <c r="HP427" s="1094">
        <f t="shared" ref="HP427" si="3048">HP426/HH426-1</f>
        <v>-1.21515561569689</v>
      </c>
      <c r="HQ427" s="1093">
        <f t="shared" ref="HQ427" si="3049">HQ426/HI426-1</f>
        <v>-0.663141993957704</v>
      </c>
      <c r="HR427" s="1087">
        <f>HR426/48-1</f>
        <v>0.249999999999999</v>
      </c>
      <c r="HS427" s="1087">
        <f t="shared" ref="HS427" si="3050">HS426/HK426-1</f>
        <v>-0.805626598465473</v>
      </c>
      <c r="HT427" s="1087">
        <f t="shared" ref="HT427" si="3051">HT426/HL426-1</f>
        <v>-0.835748792270532</v>
      </c>
      <c r="HU427" s="1094">
        <f t="shared" ref="HU427" si="3052">HU426/HM426-1</f>
        <v>-0.345744680851062</v>
      </c>
      <c r="HV427" s="1094">
        <f t="shared" ref="HV427" si="3053">HV426/HN426-1</f>
        <v>-0.63721264367816</v>
      </c>
      <c r="HW427" s="1094">
        <f t="shared" ref="HW427" si="3054">HW426/HO426-1</f>
        <v>-0.578146611341633</v>
      </c>
      <c r="HX427" s="1094">
        <f t="shared" ref="HX427" si="3055">HX426/HP426-1</f>
        <v>-1.40251572327045</v>
      </c>
      <c r="HY427" s="1093">
        <f t="shared" ref="HY427" si="3056">HY426/HQ426-1</f>
        <v>-0.701046337817636</v>
      </c>
      <c r="HZ427" s="1087">
        <f>HZ426/48-1</f>
        <v>4.95833333333333</v>
      </c>
      <c r="IA427" s="1087">
        <f t="shared" ref="IA427" si="3057">IA426/HS426-1</f>
        <v>2.89473684210528</v>
      </c>
      <c r="IB427" s="1087">
        <f t="shared" ref="IB427" si="3058">IB426/HT426-1</f>
        <v>3.27941176470589</v>
      </c>
      <c r="IC427" s="1094">
        <f t="shared" ref="IC427" si="3059">IC426/HU426-1</f>
        <v>0.485094850948503</v>
      </c>
      <c r="ID427" s="1094">
        <f t="shared" ref="ID427" si="3060">ID426/HV426-1</f>
        <v>1.23762376237623</v>
      </c>
      <c r="IE427" s="1094">
        <f t="shared" ref="IE427" si="3061">IE426/HW426-1</f>
        <v>-1.02295081967211</v>
      </c>
      <c r="IF427" s="1094">
        <f t="shared" ref="IF427" si="3062">IF426/HX426-1</f>
        <v>7.67187499999961</v>
      </c>
      <c r="IG427" s="1093">
        <f t="shared" ref="IG427" si="3063">IG426/HY426-1</f>
        <v>4.68499999999992</v>
      </c>
      <c r="IH427" s="1087">
        <f>IH426/48-1</f>
        <v>11.7083333333333</v>
      </c>
      <c r="II427" s="1087">
        <f t="shared" ref="II427" si="3064">II426/IA426-1</f>
        <v>0.844594594594596</v>
      </c>
      <c r="IJ427" s="1087">
        <f t="shared" ref="IJ427" si="3065">IJ426/IB426-1</f>
        <v>0.986254295532647</v>
      </c>
      <c r="IK427" s="1094">
        <f t="shared" ref="IK427" si="3066">IK426/IC426-1</f>
        <v>0.343065693430658</v>
      </c>
      <c r="IL427" s="1094">
        <f t="shared" ref="IL427" si="3067">IL426/ID426-1</f>
        <v>0.674336283185841</v>
      </c>
      <c r="IM427" s="1094">
        <f t="shared" ref="IM427" si="3068">IM426/IE426-1</f>
        <v>22.4285714285971</v>
      </c>
      <c r="IN427" s="1094">
        <f t="shared" ref="IN427" si="3069">IN426/IF426-1</f>
        <v>0.621621621621645</v>
      </c>
      <c r="IO427" s="1093">
        <f t="shared" ref="IO427" si="3070">IO426/IG426-1</f>
        <v>0.80826737027266</v>
      </c>
      <c r="IP427" s="1087">
        <f t="shared" ref="IP427:IQ427" si="3071">IP426/IH426-1</f>
        <v>0.155737704918032</v>
      </c>
      <c r="IQ427" s="1087">
        <f t="shared" si="3071"/>
        <v>0.0512820512820509</v>
      </c>
      <c r="IR427" s="1087">
        <f t="shared" ref="IR427" si="3072">IR426/IJ426-1</f>
        <v>0.106401384083045</v>
      </c>
      <c r="IS427" s="1094">
        <f t="shared" ref="IS427" si="3073">IS426/IK426-1</f>
        <v>0.24320652173913</v>
      </c>
      <c r="IT427" s="1094">
        <f t="shared" ref="IT427" si="3074">IT426/IL426-1</f>
        <v>0.159619450317124</v>
      </c>
      <c r="IU427" s="1094">
        <f t="shared" ref="IU427" si="3075">IU426/IM426-1</f>
        <v>1.01829268292683</v>
      </c>
      <c r="IV427" s="1094">
        <f t="shared" ref="IV427:IW427" si="3076">IV426/IN426-1</f>
        <v>0.384444444444444</v>
      </c>
      <c r="IW427" s="1093">
        <f t="shared" si="3076"/>
        <v>0.228112840466926</v>
      </c>
      <c r="IX427" s="1087"/>
      <c r="IZ427" s="1319"/>
      <c r="JA427" s="1320"/>
      <c r="JB427" s="1320"/>
    </row>
    <row r="428" spans="1:285">
      <c r="A428" s="1035" t="s">
        <v>145</v>
      </c>
      <c r="B428" s="1302">
        <v>0.120103529242207</v>
      </c>
      <c r="C428" s="1302">
        <v>0.0893434589253449</v>
      </c>
      <c r="D428" s="1302">
        <f t="shared" ref="D428:BN428" si="3077">D426/D$388</f>
        <v>0.106914999145252</v>
      </c>
      <c r="E428" s="1302">
        <v>0.146214729123507</v>
      </c>
      <c r="F428" s="1302">
        <f t="shared" si="3077"/>
        <v>0.122039830705784</v>
      </c>
      <c r="G428" s="1302">
        <v>-0.00606251667192085</v>
      </c>
      <c r="H428" s="1302">
        <f>H426/H$388</f>
        <v>-0.781751804539707</v>
      </c>
      <c r="I428" s="1302">
        <f t="shared" si="3077"/>
        <v>0.0979125501052489</v>
      </c>
      <c r="J428" s="1302">
        <f t="shared" si="3077"/>
        <v>0.149264951553625</v>
      </c>
      <c r="K428" s="1302">
        <f t="shared" si="3077"/>
        <v>0.0772101033295063</v>
      </c>
      <c r="L428" s="1302">
        <f t="shared" si="3077"/>
        <v>0.115679628968962</v>
      </c>
      <c r="M428" s="1302">
        <f t="shared" si="3077"/>
        <v>0.129076086956522</v>
      </c>
      <c r="N428" s="1302">
        <f t="shared" si="3077"/>
        <v>0.120988584966616</v>
      </c>
      <c r="O428" s="1302">
        <f t="shared" si="3077"/>
        <v>0.00708898944193065</v>
      </c>
      <c r="P428" s="1302">
        <f t="shared" si="3077"/>
        <v>0.080077016619376</v>
      </c>
      <c r="Q428" s="1302">
        <f t="shared" si="3077"/>
        <v>0.0969334664146616</v>
      </c>
      <c r="R428" s="1302">
        <f t="shared" si="3077"/>
        <v>0.140396964389959</v>
      </c>
      <c r="S428" s="1302">
        <f t="shared" si="3077"/>
        <v>0.0659004905395936</v>
      </c>
      <c r="T428" s="1302">
        <f t="shared" si="3077"/>
        <v>0.106541401273885</v>
      </c>
      <c r="U428" s="1302">
        <f t="shared" si="3077"/>
        <v>0.143656716417911</v>
      </c>
      <c r="V428" s="1302">
        <f t="shared" si="3077"/>
        <v>0.12160105980318</v>
      </c>
      <c r="W428" s="1302">
        <f t="shared" si="3077"/>
        <v>0.0304101838755305</v>
      </c>
      <c r="X428" s="1302">
        <f t="shared" si="3077"/>
        <v>0.0986509274873524</v>
      </c>
      <c r="Y428" s="1302">
        <f t="shared" si="3077"/>
        <v>0.102349955210511</v>
      </c>
      <c r="Z428" s="1302">
        <f t="shared" si="3077"/>
        <v>0.118537666174298</v>
      </c>
      <c r="AA428" s="1302">
        <f t="shared" si="3077"/>
        <v>0.0491071428571428</v>
      </c>
      <c r="AB428" s="1302">
        <f t="shared" si="3077"/>
        <v>0.0871059013742927</v>
      </c>
      <c r="AC428" s="1302">
        <f t="shared" si="3077"/>
        <v>0.13657876943881</v>
      </c>
      <c r="AD428" s="1302">
        <f t="shared" si="3077"/>
        <v>0.105615987857324</v>
      </c>
      <c r="AE428" s="1302">
        <f t="shared" si="3077"/>
        <v>-0.00547726136931514</v>
      </c>
      <c r="AF428" s="1302">
        <f t="shared" si="3077"/>
        <v>0.0792661216797415</v>
      </c>
      <c r="AG428" s="1302">
        <f t="shared" si="3077"/>
        <v>0.0831775512264056</v>
      </c>
      <c r="AH428" s="1302">
        <f t="shared" si="3077"/>
        <v>0.0868285504047095</v>
      </c>
      <c r="AI428" s="1302">
        <f t="shared" si="3077"/>
        <v>0.065495905548307</v>
      </c>
      <c r="AJ428" s="1302">
        <f t="shared" si="3077"/>
        <v>0.0769684280492373</v>
      </c>
      <c r="AK428" s="1302">
        <f t="shared" si="3077"/>
        <v>0.152380952380952</v>
      </c>
      <c r="AL428" s="1302">
        <f t="shared" si="3077"/>
        <v>0.105526153166127</v>
      </c>
      <c r="AM428" s="1302">
        <f t="shared" si="3077"/>
        <v>0.0309623430962343</v>
      </c>
      <c r="AN428" s="1302">
        <f t="shared" si="3077"/>
        <v>0.100649350649351</v>
      </c>
      <c r="AO428" s="1302">
        <f t="shared" si="3077"/>
        <v>0.0888840315613975</v>
      </c>
      <c r="AP428" s="1302">
        <f t="shared" si="3077"/>
        <v>0.0744891232696111</v>
      </c>
      <c r="AQ428" s="1302">
        <f t="shared" si="3077"/>
        <v>0.0448717948717949</v>
      </c>
      <c r="AR428" s="1302">
        <f t="shared" si="3077"/>
        <v>0.061121157323689</v>
      </c>
      <c r="AS428" s="1302">
        <f t="shared" si="3077"/>
        <v>0.128205128205128</v>
      </c>
      <c r="AT428" s="1302">
        <f t="shared" si="3077"/>
        <v>0.0864475461503827</v>
      </c>
      <c r="AU428" s="1302">
        <f t="shared" si="3077"/>
        <v>0.0387652548456569</v>
      </c>
      <c r="AV428" s="1302">
        <f t="shared" si="3077"/>
        <v>0.0876221498371336</v>
      </c>
      <c r="AW428" s="1302">
        <f t="shared" si="3077"/>
        <v>0.0750642673521851</v>
      </c>
      <c r="AX428" s="1303">
        <f t="shared" si="3077"/>
        <v>0.079589216944801</v>
      </c>
      <c r="AY428" s="1302">
        <f t="shared" si="3077"/>
        <v>0.0537280701754386</v>
      </c>
      <c r="AZ428" s="1302">
        <f t="shared" si="3077"/>
        <v>0.0674982911825017</v>
      </c>
      <c r="BA428" s="1302">
        <f t="shared" si="3077"/>
        <v>0.122905027932961</v>
      </c>
      <c r="BB428" s="1302">
        <f t="shared" si="3077"/>
        <v>0.0929385687143762</v>
      </c>
      <c r="BC428" s="1302">
        <f t="shared" si="3077"/>
        <v>0.042278753135077</v>
      </c>
      <c r="BD428" s="1302">
        <f t="shared" si="3077"/>
        <v>0.0874411302982732</v>
      </c>
      <c r="BE428" s="1304">
        <f t="shared" si="3077"/>
        <v>0.077412979027122</v>
      </c>
      <c r="BF428" s="1302">
        <f t="shared" si="3077"/>
        <v>0.0598290598290598</v>
      </c>
      <c r="BG428" s="1302">
        <f t="shared" si="3077"/>
        <v>0.0457912379688019</v>
      </c>
      <c r="BH428" s="1302">
        <f t="shared" si="3077"/>
        <v>0.0531036730799809</v>
      </c>
      <c r="BI428" s="1302">
        <f t="shared" si="3077"/>
        <v>0.129421221864952</v>
      </c>
      <c r="BJ428" s="1302">
        <f t="shared" si="3077"/>
        <v>0.0815256960383195</v>
      </c>
      <c r="BK428" s="1302">
        <f t="shared" si="3077"/>
        <v>0.0443414956982131</v>
      </c>
      <c r="BL428" s="1302">
        <f t="shared" si="3077"/>
        <v>0.0913532721350311</v>
      </c>
      <c r="BM428" s="1302">
        <f t="shared" si="3077"/>
        <v>0.0729102967108794</v>
      </c>
      <c r="BN428" s="1303">
        <f t="shared" si="3077"/>
        <v>0.0701018573996405</v>
      </c>
      <c r="BO428" s="1302">
        <f t="shared" ref="BO428:CJ428" si="3078">BO426/BO$388</f>
        <v>0.0431034482758621</v>
      </c>
      <c r="BP428" s="1302">
        <f t="shared" si="3078"/>
        <v>0.0578242404442992</v>
      </c>
      <c r="BQ428" s="1302">
        <f t="shared" si="3078"/>
        <v>0.145709660010793</v>
      </c>
      <c r="BR428" s="1302">
        <f t="shared" si="3078"/>
        <v>0.090964590964591</v>
      </c>
      <c r="BS428" s="1302">
        <f t="shared" si="3078"/>
        <v>0.0310192023633678</v>
      </c>
      <c r="BT428" s="1302">
        <f t="shared" si="3078"/>
        <v>0.0972871842843779</v>
      </c>
      <c r="BU428" s="1304">
        <f t="shared" si="3078"/>
        <v>0.0780153158902361</v>
      </c>
      <c r="BV428" s="1303">
        <f t="shared" si="3078"/>
        <v>0.106312292358804</v>
      </c>
      <c r="BW428" s="1302">
        <f t="shared" si="3078"/>
        <v>0.0877944325481799</v>
      </c>
      <c r="BX428" s="1302">
        <f t="shared" si="3078"/>
        <v>0.0973847212663455</v>
      </c>
      <c r="BY428" s="1302">
        <f t="shared" si="3078"/>
        <v>0.159271899886234</v>
      </c>
      <c r="BZ428" s="1302">
        <f t="shared" si="3078"/>
        <v>0.120711835334477</v>
      </c>
      <c r="CA428" s="1302">
        <f t="shared" si="3078"/>
        <v>0.0175585284280936</v>
      </c>
      <c r="CB428" s="1302">
        <f t="shared" si="3078"/>
        <v>0.088869205786832</v>
      </c>
      <c r="CC428" s="1304">
        <f t="shared" si="3078"/>
        <v>0.0996587030716723</v>
      </c>
      <c r="CD428" s="1303">
        <f t="shared" si="3078"/>
        <v>0.121936640765093</v>
      </c>
      <c r="CE428" s="1302">
        <f t="shared" si="3078"/>
        <v>0.100923482849604</v>
      </c>
      <c r="CF428" s="1302">
        <f t="shared" si="3078"/>
        <v>0.111947318908749</v>
      </c>
      <c r="CG428" s="1302">
        <f t="shared" si="3078"/>
        <v>0.163721413721414</v>
      </c>
      <c r="CH428" s="1302">
        <f t="shared" si="3078"/>
        <v>0.131429689027968</v>
      </c>
      <c r="CI428" s="1302">
        <f t="shared" si="3078"/>
        <v>0.0230111768573307</v>
      </c>
      <c r="CJ428" s="1302">
        <f t="shared" si="3078"/>
        <v>0.101596516690856</v>
      </c>
      <c r="CK428" s="1304">
        <f t="shared" ref="CK428:CP428" si="3079">CK426/CK$388</f>
        <v>0.106572203798613</v>
      </c>
      <c r="CL428" s="1303">
        <v>0.100854005693371</v>
      </c>
      <c r="CM428" s="1302">
        <f t="shared" si="3079"/>
        <v>0.0711285008237232</v>
      </c>
      <c r="CN428" s="1302">
        <f t="shared" si="3079"/>
        <v>0.0859422958870473</v>
      </c>
      <c r="CO428" s="1302">
        <f t="shared" si="3079"/>
        <v>0.13903017972194</v>
      </c>
      <c r="CP428" s="1302">
        <f t="shared" si="3079"/>
        <v>0.105921388463502</v>
      </c>
      <c r="CQ428" s="1302">
        <f t="shared" ref="CQ428:CV428" si="3080">CQ426/CQ$388</f>
        <v>0.0231316725978648</v>
      </c>
      <c r="CR428" s="1302">
        <f t="shared" si="3080"/>
        <v>0.102561916281122</v>
      </c>
      <c r="CS428" s="1304">
        <f t="shared" si="3080"/>
        <v>0.0873661245537485</v>
      </c>
      <c r="CT428" s="1303">
        <f t="shared" si="3080"/>
        <v>0.0902285263987392</v>
      </c>
      <c r="CU428" s="1302">
        <f t="shared" si="3080"/>
        <v>0.0783333333333333</v>
      </c>
      <c r="CV428" s="1302">
        <f t="shared" si="3080"/>
        <v>0.0844471445929526</v>
      </c>
      <c r="CW428" s="1302">
        <f t="shared" ref="CW428:DI428" si="3081">CW426/CW$388</f>
        <v>0.160489629377763</v>
      </c>
      <c r="CX428" s="1302">
        <f t="shared" si="3081"/>
        <v>0.112831577611372</v>
      </c>
      <c r="CY428" s="1302">
        <f t="shared" si="3081"/>
        <v>0.0248036378668871</v>
      </c>
      <c r="CZ428" s="1302">
        <f t="shared" si="3081"/>
        <v>0.0992537313432836</v>
      </c>
      <c r="DA428" s="1304">
        <f t="shared" si="3081"/>
        <v>0.0921538162750049</v>
      </c>
      <c r="DB428" s="1109">
        <f t="shared" si="3081"/>
        <v>0.107921928817451</v>
      </c>
      <c r="DC428" s="1082">
        <f t="shared" si="3081"/>
        <v>0.0457438345266508</v>
      </c>
      <c r="DD428" s="1082">
        <f t="shared" si="3081"/>
        <v>0.0653403549834211</v>
      </c>
      <c r="DE428" s="1082">
        <f t="shared" si="3081"/>
        <v>0.153621305618707</v>
      </c>
      <c r="DF428" s="1082">
        <f t="shared" si="3081"/>
        <v>0.117353156227151</v>
      </c>
      <c r="DG428" s="1082">
        <f t="shared" si="3081"/>
        <v>0.0415372670807453</v>
      </c>
      <c r="DH428" s="1082">
        <f t="shared" si="3081"/>
        <v>0.129973474801061</v>
      </c>
      <c r="DI428" s="1085">
        <f t="shared" si="3081"/>
        <v>0.112489524058474</v>
      </c>
      <c r="DJ428" s="1082">
        <f t="shared" ref="DJ428:DX428" si="3082">DJ426/DJ$388</f>
        <v>0.0225067908420644</v>
      </c>
      <c r="DK428" s="1082">
        <f t="shared" si="3082"/>
        <v>0.0293040293040293</v>
      </c>
      <c r="DL428" s="1082">
        <f t="shared" si="3082"/>
        <v>0.0258243941199841</v>
      </c>
      <c r="DM428" s="1082">
        <f t="shared" si="3082"/>
        <v>0.116343490304709</v>
      </c>
      <c r="DN428" s="1082">
        <f t="shared" si="3082"/>
        <v>0.0588161050107283</v>
      </c>
      <c r="DO428" s="1082">
        <f t="shared" si="3082"/>
        <v>0.0170870626525631</v>
      </c>
      <c r="DP428" s="1082">
        <f t="shared" si="3082"/>
        <v>0.061118142666965</v>
      </c>
      <c r="DQ428" s="1085">
        <f t="shared" si="3082"/>
        <v>0.0489355553414893</v>
      </c>
      <c r="DR428" s="1082">
        <f t="shared" si="3082"/>
        <v>0.0972326103216156</v>
      </c>
      <c r="DS428" s="1082">
        <f t="shared" si="3082"/>
        <v>0.0668495029139527</v>
      </c>
      <c r="DT428" s="1082">
        <f t="shared" si="3082"/>
        <v>0.0813953488372093</v>
      </c>
      <c r="DU428" s="1082">
        <f t="shared" si="3082"/>
        <v>0.118512110726644</v>
      </c>
      <c r="DV428" s="1082">
        <f t="shared" si="3082"/>
        <v>0.095606094060499</v>
      </c>
      <c r="DW428" s="1082">
        <f t="shared" si="3082"/>
        <v>0.00954979536152797</v>
      </c>
      <c r="DX428" s="1082">
        <f t="shared" si="3082"/>
        <v>0.06859375</v>
      </c>
      <c r="DY428" s="1085">
        <f t="shared" ref="DY428:ED428" si="3083">DY426/DY$388</f>
        <v>0.0745621351125938</v>
      </c>
      <c r="DZ428" s="1083">
        <f t="shared" si="3083"/>
        <v>0.0956309196455851</v>
      </c>
      <c r="EA428" s="1083">
        <f t="shared" si="3083"/>
        <v>0.0714751958224543</v>
      </c>
      <c r="EB428" s="1083">
        <f t="shared" si="3083"/>
        <v>0.0839513965598864</v>
      </c>
      <c r="EC428" s="1083">
        <f t="shared" si="3083"/>
        <v>0.117788461538462</v>
      </c>
      <c r="ED428" s="1083">
        <f t="shared" si="3083"/>
        <v>0.0965182025592699</v>
      </c>
      <c r="EE428" s="1083">
        <f t="shared" ref="EE428:EQ428" si="3084">EE426/EE$388</f>
        <v>-0.00617093489663684</v>
      </c>
      <c r="EF428" s="1083">
        <f t="shared" si="3084"/>
        <v>0.0602720114531138</v>
      </c>
      <c r="EG428" s="1084">
        <f t="shared" si="3084"/>
        <v>0.0715358054346194</v>
      </c>
      <c r="EH428" s="1083">
        <f t="shared" si="3084"/>
        <v>0.106956066945607</v>
      </c>
      <c r="EI428" s="1083">
        <f t="shared" si="3084"/>
        <v>0.0727893090702303</v>
      </c>
      <c r="EJ428" s="1083">
        <f t="shared" si="3084"/>
        <v>0.090587113472279</v>
      </c>
      <c r="EK428" s="1083">
        <f t="shared" si="3084"/>
        <v>0.118380062305296</v>
      </c>
      <c r="EL428" s="1083">
        <f t="shared" si="3084"/>
        <v>0.100660066006601</v>
      </c>
      <c r="EM428" s="1083">
        <f t="shared" si="3084"/>
        <v>-0.0709409320273078</v>
      </c>
      <c r="EN428" s="1083">
        <f t="shared" si="3084"/>
        <v>0.0338106603023071</v>
      </c>
      <c r="EO428" s="1093">
        <f t="shared" si="3084"/>
        <v>0.0618154941879997</v>
      </c>
      <c r="EP428" s="1083">
        <f t="shared" si="3084"/>
        <v>0.117835243934951</v>
      </c>
      <c r="EQ428" s="1083">
        <f t="shared" si="3084"/>
        <v>0.0744900975465563</v>
      </c>
      <c r="ER428" s="1083">
        <f t="shared" ref="ER428:EW428" si="3085">ER426/ER388</f>
        <v>0.0972806279786936</v>
      </c>
      <c r="ES428" s="1083">
        <f t="shared" si="3085"/>
        <v>0.119360659963908</v>
      </c>
      <c r="ET428" s="1083">
        <f t="shared" si="3085"/>
        <v>0.105057659130119</v>
      </c>
      <c r="EU428" s="1083">
        <f t="shared" si="3085"/>
        <v>0.0129347513653349</v>
      </c>
      <c r="EV428" s="1083">
        <f t="shared" si="3085"/>
        <v>0.0690405001359065</v>
      </c>
      <c r="EW428" s="1084">
        <f t="shared" si="3085"/>
        <v>0.082942313000276</v>
      </c>
      <c r="EX428" s="1094">
        <f t="shared" ref="EX428:FE428" si="3086">EX426/EX$388</f>
        <v>0.0881930479747199</v>
      </c>
      <c r="EY428" s="1094">
        <f t="shared" si="3086"/>
        <v>0.0638610947616245</v>
      </c>
      <c r="EZ428" s="1094">
        <f t="shared" si="3086"/>
        <v>0.0761738624800116</v>
      </c>
      <c r="FA428" s="1094">
        <f t="shared" si="3086"/>
        <v>0.0986646884272997</v>
      </c>
      <c r="FB428" s="1094">
        <f t="shared" si="3086"/>
        <v>0.0845005950746132</v>
      </c>
      <c r="FC428" s="1094">
        <f t="shared" si="3086"/>
        <v>-0.0110803324099723</v>
      </c>
      <c r="FD428" s="1094">
        <f t="shared" si="3086"/>
        <v>0.035275672850797</v>
      </c>
      <c r="FE428" s="1093">
        <f t="shared" si="3086"/>
        <v>0.0607582742723457</v>
      </c>
      <c r="FF428" s="1094">
        <f t="shared" ref="FF428:FN428" si="3087">FF426/FF$388</f>
        <v>0.0844966936076414</v>
      </c>
      <c r="FG428" s="1094">
        <f t="shared" si="3087"/>
        <v>0.0598925006398771</v>
      </c>
      <c r="FH428" s="1094">
        <f t="shared" si="3087"/>
        <v>0.0724655819774718</v>
      </c>
      <c r="FI428" s="1094">
        <f t="shared" si="3087"/>
        <v>0.106159344124448</v>
      </c>
      <c r="FJ428" s="1094">
        <f t="shared" si="3087"/>
        <v>0.0850396171648231</v>
      </c>
      <c r="FK428" s="1094">
        <f t="shared" si="3087"/>
        <v>-0.00599808061420345</v>
      </c>
      <c r="FL428" s="1094">
        <f t="shared" si="3087"/>
        <v>0.053781512605042</v>
      </c>
      <c r="FM428" s="1093">
        <f t="shared" si="3087"/>
        <v>0.0626071534141295</v>
      </c>
      <c r="FN428" s="1094">
        <f t="shared" si="3087"/>
        <v>0.102746907108408</v>
      </c>
      <c r="FO428" s="1083">
        <f t="shared" ref="FO428:FZ428" si="3088">FO426/FO$388</f>
        <v>0.0936016278543975</v>
      </c>
      <c r="FP428" s="1083">
        <f t="shared" si="3088"/>
        <v>0.0983463881636205</v>
      </c>
      <c r="FQ428" s="1083">
        <f t="shared" si="3088"/>
        <v>0.104028085735403</v>
      </c>
      <c r="FR428" s="1083">
        <f t="shared" si="3088"/>
        <v>0.100520405368392</v>
      </c>
      <c r="FS428" s="1083">
        <f t="shared" si="3088"/>
        <v>0.0049082373026035</v>
      </c>
      <c r="FT428" s="1083">
        <f t="shared" si="3088"/>
        <v>0.058031293325411</v>
      </c>
      <c r="FU428" s="1094">
        <f t="shared" si="3088"/>
        <v>0.077293934681182</v>
      </c>
      <c r="FV428" s="1086">
        <f t="shared" si="3088"/>
        <v>0.116966580976864</v>
      </c>
      <c r="FW428" s="1094">
        <f t="shared" si="3088"/>
        <v>0.10023818975784</v>
      </c>
      <c r="FX428" s="1083">
        <f t="shared" si="3088"/>
        <v>0.108927890118275</v>
      </c>
      <c r="FY428" s="1094">
        <f t="shared" si="3088"/>
        <v>0.140014089468123</v>
      </c>
      <c r="FZ428" s="1083">
        <f t="shared" si="3088"/>
        <v>0.119849028585571</v>
      </c>
      <c r="GA428" s="1094">
        <v>0.0263053797468354</v>
      </c>
      <c r="GB428" s="1083">
        <f t="shared" ref="GB428:GK428" si="3089">GB426/GB$388</f>
        <v>0.0864542574995342</v>
      </c>
      <c r="GC428" s="1093">
        <f t="shared" si="3089"/>
        <v>0.0975586765953436</v>
      </c>
      <c r="GD428" s="1087">
        <f t="shared" si="3089"/>
        <v>0.134462869502523</v>
      </c>
      <c r="GE428" s="1094">
        <f t="shared" si="3089"/>
        <v>0.112526135715644</v>
      </c>
      <c r="GF428" s="1083">
        <f t="shared" si="3089"/>
        <v>0.123785734110464</v>
      </c>
      <c r="GG428" s="1094">
        <f t="shared" si="3089"/>
        <v>0.153413928145752</v>
      </c>
      <c r="GH428" s="1083">
        <f t="shared" si="3089"/>
        <v>0.134216520800863</v>
      </c>
      <c r="GI428" s="1094">
        <f t="shared" si="3089"/>
        <v>0.0246512516720814</v>
      </c>
      <c r="GJ428" s="1083">
        <f t="shared" si="3089"/>
        <v>0.0927426616243474</v>
      </c>
      <c r="GK428" s="1093">
        <f t="shared" si="3089"/>
        <v>0.108053844398814</v>
      </c>
      <c r="GL428" s="1087">
        <f t="shared" ref="GL428:GS428" si="3090">GL426/GL$388</f>
        <v>0.148733639299677</v>
      </c>
      <c r="GM428" s="1087">
        <f t="shared" si="3090"/>
        <v>0.116718097658377</v>
      </c>
      <c r="GN428" s="1083">
        <f t="shared" si="3090"/>
        <v>0.133251404494382</v>
      </c>
      <c r="GO428" s="1094">
        <f t="shared" si="3090"/>
        <v>0.1399375975039</v>
      </c>
      <c r="GP428" s="1083">
        <f t="shared" si="3090"/>
        <v>0.135658914728682</v>
      </c>
      <c r="GQ428" s="1083">
        <f t="shared" si="3090"/>
        <v>0.0419592395958212</v>
      </c>
      <c r="GR428" s="1083">
        <f t="shared" si="3090"/>
        <v>0.0932321005796391</v>
      </c>
      <c r="GS428" s="1093">
        <f t="shared" si="3090"/>
        <v>0.112516391015609</v>
      </c>
      <c r="GT428" s="1087">
        <f t="shared" ref="GT428:HA428" si="3091">GT426/GT$388</f>
        <v>0.0136755733221123</v>
      </c>
      <c r="GU428" s="1087">
        <f t="shared" si="3091"/>
        <v>-0.0930519271668875</v>
      </c>
      <c r="GV428" s="1083">
        <f t="shared" si="3091"/>
        <v>-0.0321665092148048</v>
      </c>
      <c r="GW428" s="1094">
        <f t="shared" si="3091"/>
        <v>0.133129983350999</v>
      </c>
      <c r="GX428" s="1083">
        <f t="shared" si="3091"/>
        <v>0.0367956931467883</v>
      </c>
      <c r="GY428" s="1083">
        <f t="shared" si="3091"/>
        <v>0.0405495051199251</v>
      </c>
      <c r="GZ428" s="1083">
        <f t="shared" si="3091"/>
        <v>0.0885136166342364</v>
      </c>
      <c r="HA428" s="1093">
        <f t="shared" si="3091"/>
        <v>0.0378451925015118</v>
      </c>
      <c r="HB428" s="1087">
        <f t="shared" ref="HB428" si="3092">HB426/HB$388</f>
        <v>0.133637053910402</v>
      </c>
      <c r="HC428" s="1087">
        <f t="shared" ref="HC428:HI428" si="3093">HC426/HC$388</f>
        <v>0.106952924955682</v>
      </c>
      <c r="HD428" s="1083">
        <f t="shared" si="3093"/>
        <v>0.120541324311261</v>
      </c>
      <c r="HE428" s="1094">
        <f t="shared" si="3093"/>
        <v>0.11682892906815</v>
      </c>
      <c r="HF428" s="1083">
        <f t="shared" si="3093"/>
        <v>0.119214760514382</v>
      </c>
      <c r="HG428" s="1083">
        <f t="shared" si="3093"/>
        <v>0.0130426318863148</v>
      </c>
      <c r="HH428" s="1083">
        <f t="shared" si="3093"/>
        <v>0.0678666544218936</v>
      </c>
      <c r="HI428" s="1093">
        <f t="shared" si="3093"/>
        <v>0.0935292455495902</v>
      </c>
      <c r="HJ428" s="1087">
        <f t="shared" ref="HJ428:HQ428" si="3094">HJ426/HJ$388</f>
        <v>0.0824217276499436</v>
      </c>
      <c r="HK428" s="1087">
        <f t="shared" si="3094"/>
        <v>0.069858852956941</v>
      </c>
      <c r="HL428" s="1083">
        <f t="shared" si="3094"/>
        <v>0.0759702725020644</v>
      </c>
      <c r="HM428" s="1094">
        <f t="shared" si="3094"/>
        <v>0.0880149812734083</v>
      </c>
      <c r="HN428" s="1083">
        <f t="shared" si="3094"/>
        <v>0.0804298838620211</v>
      </c>
      <c r="HO428" s="1083">
        <f t="shared" si="3094"/>
        <v>-0.138931591083782</v>
      </c>
      <c r="HP428" s="1083">
        <f t="shared" si="3094"/>
        <v>-0.0135561428936823</v>
      </c>
      <c r="HQ428" s="1093">
        <f t="shared" si="3094"/>
        <v>0.0297188041401981</v>
      </c>
      <c r="HR428" s="1087">
        <f t="shared" ref="HR428:HY428" si="3095">HR426/HR$388</f>
        <v>0.0113765642775882</v>
      </c>
      <c r="HS428" s="1087">
        <f t="shared" si="3095"/>
        <v>0.015375278171151</v>
      </c>
      <c r="HT428" s="1083">
        <f t="shared" si="3095"/>
        <v>0.0133451084290059</v>
      </c>
      <c r="HU428" s="1094">
        <f t="shared" si="3095"/>
        <v>0.0653212958045674</v>
      </c>
      <c r="HV428" s="1083">
        <f t="shared" si="3095"/>
        <v>0.0319256543178658</v>
      </c>
      <c r="HW428" s="1083">
        <f t="shared" si="3095"/>
        <v>-0.0633832086450539</v>
      </c>
      <c r="HX428" s="1083">
        <f t="shared" si="3095"/>
        <v>0.00611796195392429</v>
      </c>
      <c r="HY428" s="1093">
        <f t="shared" si="3095"/>
        <v>0.00967211529161435</v>
      </c>
      <c r="HZ428" s="1087">
        <f t="shared" ref="HZ428:IG428" si="3096">HZ426/HZ$388</f>
        <v>0.0538809344385833</v>
      </c>
      <c r="IA428" s="1087">
        <f t="shared" si="3096"/>
        <v>0.0526503023834934</v>
      </c>
      <c r="IB428" s="1083">
        <f t="shared" si="3096"/>
        <v>0.0532479414455627</v>
      </c>
      <c r="IC428" s="1094">
        <f t="shared" si="3096"/>
        <v>0.0878486694453351</v>
      </c>
      <c r="ID428" s="1083">
        <f t="shared" si="3096"/>
        <v>0.0659276546091015</v>
      </c>
      <c r="IE428" s="1083">
        <f t="shared" si="3096"/>
        <v>0.00119352088661421</v>
      </c>
      <c r="IF428" s="1083">
        <f t="shared" si="3096"/>
        <v>0.0458261084964076</v>
      </c>
      <c r="IG428" s="1093">
        <f t="shared" si="3096"/>
        <v>0.0493639560630396</v>
      </c>
      <c r="IH428" s="1087">
        <f t="shared" ref="IH428:IO428" si="3097">IH426/IH$388</f>
        <v>0.0991386315618397</v>
      </c>
      <c r="II428" s="1087">
        <f t="shared" si="3097"/>
        <v>0.091733870967742</v>
      </c>
      <c r="IJ428" s="1083">
        <f t="shared" si="3097"/>
        <v>0.0954977282114829</v>
      </c>
      <c r="IK428" s="1094">
        <f t="shared" si="3097"/>
        <v>0.111010558069382</v>
      </c>
      <c r="IL428" s="1083">
        <f t="shared" si="3097"/>
        <v>0.101138611215053</v>
      </c>
      <c r="IM428" s="1083">
        <f t="shared" si="3097"/>
        <v>0.0269914417379855</v>
      </c>
      <c r="IN428" s="1083">
        <f t="shared" si="3097"/>
        <v>0.0710956631645469</v>
      </c>
      <c r="IO428" s="1093">
        <f t="shared" si="3097"/>
        <v>0.0828664705171094</v>
      </c>
      <c r="IP428" s="1087">
        <f t="shared" ref="IP428:IW428" si="3098">IP426/IP$388</f>
        <v>0.106947815533981</v>
      </c>
      <c r="IQ428" s="1087">
        <f t="shared" si="3098"/>
        <v>0.0851253151416284</v>
      </c>
      <c r="IR428" s="1083">
        <f t="shared" si="3098"/>
        <v>0.0959130108736408</v>
      </c>
      <c r="IS428" s="1094">
        <f t="shared" si="3098"/>
        <v>0.125651937192566</v>
      </c>
      <c r="IT428" s="1083">
        <f t="shared" si="3098"/>
        <v>0.106416927954248</v>
      </c>
      <c r="IU428" s="1083">
        <f t="shared" si="3098"/>
        <v>0.0507987332138212</v>
      </c>
      <c r="IV428" s="1083">
        <f t="shared" si="3098"/>
        <v>0.0903033930149016</v>
      </c>
      <c r="IW428" s="1093">
        <f t="shared" si="3098"/>
        <v>0.0930603474226423</v>
      </c>
      <c r="IX428" s="1350"/>
      <c r="IY428" s="1037"/>
      <c r="IZ428" s="1082"/>
      <c r="JA428" s="1082"/>
      <c r="JB428" s="1082"/>
      <c r="JC428" s="1037"/>
      <c r="JD428" s="1037"/>
      <c r="JE428" s="1041"/>
      <c r="JF428" s="1037"/>
      <c r="JG428" s="1037"/>
      <c r="JH428" s="1037"/>
      <c r="JI428" s="1035"/>
      <c r="JJ428" s="1035"/>
      <c r="JK428" s="1035"/>
      <c r="JL428" s="1035"/>
      <c r="JM428" s="1035"/>
      <c r="JN428" s="1035"/>
      <c r="JO428" s="1035"/>
      <c r="JP428" s="1035"/>
      <c r="JQ428" s="1035"/>
      <c r="JR428" s="1035"/>
      <c r="JS428" s="1035"/>
      <c r="JT428" s="1035"/>
      <c r="JU428" s="1035"/>
      <c r="JV428" s="1035"/>
      <c r="JW428" s="1035"/>
      <c r="JX428" s="1035"/>
      <c r="JY428" s="1035"/>
    </row>
    <row r="429" s="1027" customFormat="1" spans="1:285">
      <c r="A429" s="1306" t="s">
        <v>163</v>
      </c>
      <c r="B429" s="1307">
        <v>21.4</v>
      </c>
      <c r="C429" s="1307">
        <v>5</v>
      </c>
      <c r="D429" s="1307">
        <f>B429+C429</f>
        <v>26.4</v>
      </c>
      <c r="E429" s="1307">
        <v>17</v>
      </c>
      <c r="F429" s="1307">
        <f>D429+E429</f>
        <v>43.4</v>
      </c>
      <c r="G429" s="1307">
        <v>3</v>
      </c>
      <c r="H429" s="1307">
        <f>E429+G429</f>
        <v>20</v>
      </c>
      <c r="I429" s="1307">
        <f>F429+G429</f>
        <v>46.4</v>
      </c>
      <c r="J429" s="1307">
        <v>3.5791</v>
      </c>
      <c r="K429" s="1307">
        <v>1.5339</v>
      </c>
      <c r="L429" s="1307">
        <f>J429+K429</f>
        <v>5.113</v>
      </c>
      <c r="M429" s="1307">
        <v>1.5339</v>
      </c>
      <c r="N429" s="1307">
        <f>L429+M429</f>
        <v>6.6469</v>
      </c>
      <c r="O429" s="1307">
        <v>0</v>
      </c>
      <c r="P429" s="1307">
        <f>M429+O429</f>
        <v>1.5339</v>
      </c>
      <c r="Q429" s="1307">
        <f>N429+O429</f>
        <v>6.6469</v>
      </c>
      <c r="R429" s="1307">
        <v>-1.0226</v>
      </c>
      <c r="S429" s="1307">
        <v>-2.0452</v>
      </c>
      <c r="T429" s="1307">
        <f>R429+S429</f>
        <v>-3.0678</v>
      </c>
      <c r="U429" s="1307">
        <v>3.5791</v>
      </c>
      <c r="V429" s="1307">
        <f>T429+U429</f>
        <v>0.5113</v>
      </c>
      <c r="W429" s="1307">
        <v>15.339</v>
      </c>
      <c r="X429" s="1307">
        <f>U429+W429</f>
        <v>18.9181</v>
      </c>
      <c r="Y429" s="1307">
        <f>V429+W429</f>
        <v>15.8503</v>
      </c>
      <c r="Z429" s="1307">
        <v>14.8277</v>
      </c>
      <c r="AA429" s="1307">
        <v>23.5198</v>
      </c>
      <c r="AB429" s="1307">
        <f>Z429+AA429</f>
        <v>38.3475</v>
      </c>
      <c r="AC429" s="1307">
        <v>44.4831</v>
      </c>
      <c r="AD429" s="1307">
        <f>AB429+AC429</f>
        <v>82.8306</v>
      </c>
      <c r="AE429" s="1307">
        <v>31.7006</v>
      </c>
      <c r="AF429" s="1307">
        <f>AC429+AE429</f>
        <v>76.1837</v>
      </c>
      <c r="AG429" s="1307">
        <f>AD429+AE429</f>
        <v>114.5312</v>
      </c>
      <c r="AH429" s="1307">
        <v>21.9859</v>
      </c>
      <c r="AI429" s="1307">
        <v>17.8955</v>
      </c>
      <c r="AJ429" s="1307">
        <f>AH429+AI429</f>
        <v>39.8814</v>
      </c>
      <c r="AK429" s="1307">
        <v>24</v>
      </c>
      <c r="AL429" s="1307">
        <f>AJ429+AK429</f>
        <v>63.8814</v>
      </c>
      <c r="AM429" s="1307">
        <v>21</v>
      </c>
      <c r="AN429" s="1307">
        <f>AK429+AM429</f>
        <v>45</v>
      </c>
      <c r="AO429" s="1307">
        <f>AL429+AM429</f>
        <v>84.8814</v>
      </c>
      <c r="AP429" s="1307">
        <v>13</v>
      </c>
      <c r="AQ429" s="1307">
        <v>21</v>
      </c>
      <c r="AR429" s="1307">
        <f>AP429+AQ429</f>
        <v>34</v>
      </c>
      <c r="AS429" s="1307">
        <v>25</v>
      </c>
      <c r="AT429" s="1307">
        <f>AR429+AS429</f>
        <v>59</v>
      </c>
      <c r="AU429" s="1307">
        <v>34</v>
      </c>
      <c r="AV429" s="1307">
        <f>AS429+AU429</f>
        <v>59</v>
      </c>
      <c r="AW429" s="1307">
        <f>AT429+AU429</f>
        <v>93</v>
      </c>
      <c r="AX429" s="1308">
        <v>33</v>
      </c>
      <c r="AY429" s="1307">
        <v>26</v>
      </c>
      <c r="AZ429" s="1307">
        <f>AX429+AY429</f>
        <v>59</v>
      </c>
      <c r="BA429" s="1307">
        <v>30</v>
      </c>
      <c r="BB429" s="1307">
        <f>AY429+BA429</f>
        <v>56</v>
      </c>
      <c r="BC429" s="1307">
        <v>13</v>
      </c>
      <c r="BD429" s="1307">
        <f>BA429+BC429</f>
        <v>43</v>
      </c>
      <c r="BE429" s="1309">
        <f>BB429+BC429</f>
        <v>69</v>
      </c>
      <c r="BF429" s="1307">
        <v>19</v>
      </c>
      <c r="BG429" s="1307">
        <v>27</v>
      </c>
      <c r="BH429" s="1307">
        <f>BF429+BG429</f>
        <v>46</v>
      </c>
      <c r="BI429" s="1307">
        <v>22.5</v>
      </c>
      <c r="BJ429" s="1307">
        <f>BH429+BI429</f>
        <v>68.5</v>
      </c>
      <c r="BK429" s="1307">
        <v>18.3</v>
      </c>
      <c r="BL429" s="1307">
        <f>BI429+BK429</f>
        <v>40.8</v>
      </c>
      <c r="BM429" s="1307">
        <f>BJ429+BK429</f>
        <v>86.8</v>
      </c>
      <c r="BN429" s="1308">
        <v>18</v>
      </c>
      <c r="BO429" s="1307">
        <v>10</v>
      </c>
      <c r="BP429" s="1307">
        <f>BN429+BO429</f>
        <v>28</v>
      </c>
      <c r="BQ429" s="1307">
        <v>17</v>
      </c>
      <c r="BR429" s="1307">
        <f>BP429+BQ429</f>
        <v>45</v>
      </c>
      <c r="BS429" s="1307">
        <v>5</v>
      </c>
      <c r="BT429" s="1307">
        <f>BQ429+BS429</f>
        <v>22</v>
      </c>
      <c r="BU429" s="1309">
        <f>BR429+BS429</f>
        <v>50</v>
      </c>
      <c r="BV429" s="1308">
        <v>11</v>
      </c>
      <c r="BW429" s="1307">
        <v>19</v>
      </c>
      <c r="BX429" s="1307">
        <f>BV429+BW429</f>
        <v>30</v>
      </c>
      <c r="BY429" s="1307">
        <v>15</v>
      </c>
      <c r="BZ429" s="1307">
        <f>BX429+BY429</f>
        <v>45</v>
      </c>
      <c r="CA429" s="1307">
        <v>11</v>
      </c>
      <c r="CB429" s="1307">
        <f>BY429+CA429</f>
        <v>26</v>
      </c>
      <c r="CC429" s="1309">
        <f>BZ429+CA429</f>
        <v>56</v>
      </c>
      <c r="CD429" s="1308">
        <v>9</v>
      </c>
      <c r="CE429" s="1307">
        <v>11</v>
      </c>
      <c r="CF429" s="1307">
        <f>CD429+CE429</f>
        <v>20</v>
      </c>
      <c r="CG429" s="1307">
        <v>6</v>
      </c>
      <c r="CH429" s="1307">
        <f>CF429+CG429</f>
        <v>26</v>
      </c>
      <c r="CI429" s="1307">
        <v>24</v>
      </c>
      <c r="CJ429" s="1307">
        <f>CG429+CI429</f>
        <v>30</v>
      </c>
      <c r="CK429" s="1309">
        <f>CH429+CI429</f>
        <v>50</v>
      </c>
      <c r="CL429" s="1308">
        <v>28</v>
      </c>
      <c r="CM429" s="1307">
        <v>44.3</v>
      </c>
      <c r="CN429" s="1307">
        <f>CL429+CM429</f>
        <v>72.3</v>
      </c>
      <c r="CO429" s="1307">
        <f>CP429-CN429</f>
        <v>48.7</v>
      </c>
      <c r="CP429" s="1307">
        <f>154-33</f>
        <v>121</v>
      </c>
      <c r="CQ429" s="1307">
        <f>CS429-CP429</f>
        <v>37</v>
      </c>
      <c r="CR429" s="1307">
        <f>CS429-CQ429-CO429</f>
        <v>72.3</v>
      </c>
      <c r="CS429" s="1309">
        <f>-39+197</f>
        <v>158</v>
      </c>
      <c r="CT429" s="1308">
        <f>45-7</f>
        <v>38</v>
      </c>
      <c r="CU429" s="1307">
        <f>-10+45</f>
        <v>35</v>
      </c>
      <c r="CV429" s="1307">
        <f>+CT429+CU429</f>
        <v>73</v>
      </c>
      <c r="CW429" s="1307">
        <f>CX429-CV429</f>
        <v>31</v>
      </c>
      <c r="CX429" s="1307">
        <f>129-25</f>
        <v>104</v>
      </c>
      <c r="CY429" s="1307">
        <f>DA429-CX429</f>
        <v>30</v>
      </c>
      <c r="CZ429" s="1307">
        <f>CY429+CW429</f>
        <v>61</v>
      </c>
      <c r="DA429" s="1309">
        <f>170-36</f>
        <v>134</v>
      </c>
      <c r="DB429" s="1310">
        <f>38-6</f>
        <v>32</v>
      </c>
      <c r="DC429" s="1353">
        <f>DD429-DB429</f>
        <v>-116</v>
      </c>
      <c r="DD429" s="1353">
        <f>(DD426-DD432)</f>
        <v>-84</v>
      </c>
      <c r="DE429" s="1311">
        <f>49-7</f>
        <v>42</v>
      </c>
      <c r="DF429" s="1311">
        <f>136-23</f>
        <v>113</v>
      </c>
      <c r="DG429" s="1311">
        <f>DI429-DF429</f>
        <v>53</v>
      </c>
      <c r="DH429" s="1311">
        <f>DI429-DD429</f>
        <v>250</v>
      </c>
      <c r="DI429" s="1312">
        <f>'Profit and Loss'!O380</f>
        <v>166</v>
      </c>
      <c r="DJ429" s="1311">
        <v>50</v>
      </c>
      <c r="DK429" s="1311">
        <v>44</v>
      </c>
      <c r="DL429" s="1311">
        <f>DK429+DJ429</f>
        <v>94</v>
      </c>
      <c r="DM429" s="1311">
        <v>30</v>
      </c>
      <c r="DN429" s="1311">
        <f>DM429+DL429</f>
        <v>124</v>
      </c>
      <c r="DO429" s="1354">
        <f>DQ429-DN429</f>
        <v>26</v>
      </c>
      <c r="DP429" s="1311">
        <f>DO429+DM429</f>
        <v>56</v>
      </c>
      <c r="DQ429" s="1312">
        <f>'Profit and Loss'!P380</f>
        <v>150</v>
      </c>
      <c r="DR429" s="1311">
        <v>17</v>
      </c>
      <c r="DS429" s="1311">
        <v>19</v>
      </c>
      <c r="DT429" s="1311">
        <v>35</v>
      </c>
      <c r="DU429" s="1354">
        <v>31</v>
      </c>
      <c r="DV429" s="1354">
        <f>DU429+DT429</f>
        <v>66</v>
      </c>
      <c r="DW429" s="1354">
        <f>DY429-DV429</f>
        <v>22</v>
      </c>
      <c r="DX429" s="1354">
        <f>DY429-DT429</f>
        <v>53</v>
      </c>
      <c r="DY429" s="1312">
        <f>'Profit and Loss'!Q380</f>
        <v>88</v>
      </c>
      <c r="DZ429" s="1311">
        <f>33-5</f>
        <v>28</v>
      </c>
      <c r="EA429" s="1311">
        <f>30-8</f>
        <v>22</v>
      </c>
      <c r="EB429" s="1311">
        <f>DZ429+EA429</f>
        <v>50</v>
      </c>
      <c r="EC429" s="1311">
        <f>33-10</f>
        <v>23</v>
      </c>
      <c r="ED429" s="1354">
        <f>EC429+EB429</f>
        <v>73</v>
      </c>
      <c r="EE429" s="1311">
        <f>+EF429-EC429</f>
        <v>11</v>
      </c>
      <c r="EF429" s="1354">
        <f>+EG429-EB429</f>
        <v>34</v>
      </c>
      <c r="EG429" s="1355">
        <f>115-31</f>
        <v>84</v>
      </c>
      <c r="EH429" s="1311">
        <f>28-8</f>
        <v>20</v>
      </c>
      <c r="EI429" s="1311">
        <f>29-8</f>
        <v>21</v>
      </c>
      <c r="EJ429" s="1311">
        <f>EH429+EI429</f>
        <v>41</v>
      </c>
      <c r="EK429" s="1311">
        <f>27-12</f>
        <v>15</v>
      </c>
      <c r="EL429" s="1354">
        <f>EK429+EJ429</f>
        <v>56</v>
      </c>
      <c r="EM429" s="1311">
        <f>21-7</f>
        <v>14</v>
      </c>
      <c r="EN429" s="1354">
        <f>EK429+EM429</f>
        <v>29</v>
      </c>
      <c r="EO429" s="1355">
        <f>'Profit and Loss'!S380</f>
        <v>69</v>
      </c>
      <c r="EP429" s="1311">
        <f>19-4</f>
        <v>15</v>
      </c>
      <c r="EQ429" s="1311">
        <f>22-6</f>
        <v>16</v>
      </c>
      <c r="ER429" s="1311">
        <f>EP429+EQ429</f>
        <v>31</v>
      </c>
      <c r="ES429" s="1311">
        <f>26-5</f>
        <v>21</v>
      </c>
      <c r="ET429" s="1311">
        <f>ER429+ES429</f>
        <v>52</v>
      </c>
      <c r="EU429" s="1311">
        <v>17</v>
      </c>
      <c r="EV429" s="1311">
        <f>ES429+EU429</f>
        <v>38</v>
      </c>
      <c r="EW429" s="1328">
        <f>'Profit and Loss'!T380</f>
        <v>68</v>
      </c>
      <c r="EX429" s="1311">
        <f>20-7</f>
        <v>13</v>
      </c>
      <c r="EY429" s="1311">
        <f>20-5</f>
        <v>15</v>
      </c>
      <c r="EZ429" s="1311">
        <f>EX429+EY429</f>
        <v>28</v>
      </c>
      <c r="FA429" s="1311">
        <f>12-5</f>
        <v>7</v>
      </c>
      <c r="FB429" s="1311">
        <f>EZ429+FA429</f>
        <v>35</v>
      </c>
      <c r="FC429" s="1311">
        <f>FE429-FB429</f>
        <v>13</v>
      </c>
      <c r="FD429" s="1311">
        <f>FA429+FC429</f>
        <v>20</v>
      </c>
      <c r="FE429" s="1328">
        <f>'Profit and Loss'!U380</f>
        <v>48</v>
      </c>
      <c r="FF429" s="1311">
        <f>16-16</f>
        <v>0</v>
      </c>
      <c r="FG429" s="1311">
        <f>17-8</f>
        <v>9</v>
      </c>
      <c r="FH429" s="1311">
        <f>FF429+FG429</f>
        <v>9</v>
      </c>
      <c r="FI429" s="1311">
        <f>18-8</f>
        <v>10</v>
      </c>
      <c r="FJ429" s="1311">
        <f>FH429+FI429</f>
        <v>19</v>
      </c>
      <c r="FK429" s="1311">
        <f>FM429-FJ429</f>
        <v>2</v>
      </c>
      <c r="FL429" s="1311">
        <f>FI429+FK429</f>
        <v>12</v>
      </c>
      <c r="FM429" s="1328">
        <f>'Profit and Loss'!V380</f>
        <v>21</v>
      </c>
      <c r="FN429" s="1311">
        <f>13-19</f>
        <v>-6</v>
      </c>
      <c r="FO429" s="1311">
        <f>14-9</f>
        <v>5</v>
      </c>
      <c r="FP429" s="1311">
        <f>FN429+FO429</f>
        <v>-1</v>
      </c>
      <c r="FQ429" s="1311">
        <f>24-6</f>
        <v>18</v>
      </c>
      <c r="FR429" s="1311">
        <f>51-35</f>
        <v>16</v>
      </c>
      <c r="FS429" s="1311">
        <f>FU429-FR429</f>
        <v>30</v>
      </c>
      <c r="FT429" s="1311">
        <f>FQ429+FS429</f>
        <v>48</v>
      </c>
      <c r="FU429" s="1314">
        <f>'Profit and Loss'!W380</f>
        <v>46</v>
      </c>
      <c r="FV429" s="1313">
        <f>20-28</f>
        <v>-8</v>
      </c>
      <c r="FW429" s="1314">
        <f>26-7</f>
        <v>19</v>
      </c>
      <c r="FX429" s="1311">
        <f>FV429+FW429</f>
        <v>11</v>
      </c>
      <c r="FY429" s="1311">
        <v>28</v>
      </c>
      <c r="FZ429" s="1311">
        <f>FW429+FV429+FY429</f>
        <v>39</v>
      </c>
      <c r="GA429" s="1311">
        <f>GC429-FZ429</f>
        <v>8</v>
      </c>
      <c r="GB429" s="1311">
        <f>FY429+GA429</f>
        <v>36</v>
      </c>
      <c r="GC429" s="1328">
        <f>'Profit and Loss'!X380</f>
        <v>47</v>
      </c>
      <c r="GD429" s="1314">
        <v>-3</v>
      </c>
      <c r="GE429" s="1314">
        <v>4</v>
      </c>
      <c r="GF429" s="1311">
        <f>GD429+GE429</f>
        <v>1</v>
      </c>
      <c r="GG429" s="1314">
        <f>7-13</f>
        <v>-6</v>
      </c>
      <c r="GH429" s="1311">
        <f>GE429+GD429+GG429</f>
        <v>-5</v>
      </c>
      <c r="GI429" s="1314">
        <f>GK429-GH429</f>
        <v>-5</v>
      </c>
      <c r="GJ429" s="1311">
        <f>GG429+GI429</f>
        <v>-11</v>
      </c>
      <c r="GK429" s="1328">
        <f>'Profit and Loss'!Y380</f>
        <v>-10</v>
      </c>
      <c r="GL429" s="1314">
        <f>35-8</f>
        <v>27</v>
      </c>
      <c r="GM429" s="1314">
        <f>4+20</f>
        <v>24</v>
      </c>
      <c r="GN429" s="1311">
        <f>GL429+GM429</f>
        <v>51</v>
      </c>
      <c r="GO429" s="1314">
        <f>44-12</f>
        <v>32</v>
      </c>
      <c r="GP429" s="1311">
        <f>GM429+GL429+GO429</f>
        <v>83</v>
      </c>
      <c r="GQ429" s="1314">
        <f>GS429-GP429</f>
        <v>19</v>
      </c>
      <c r="GR429" s="1311">
        <f>GO429+GQ429</f>
        <v>51</v>
      </c>
      <c r="GS429" s="1328">
        <f>'Profit and Loss'!Z380</f>
        <v>102</v>
      </c>
      <c r="GT429" s="1314">
        <f>45-7</f>
        <v>38</v>
      </c>
      <c r="GU429" s="1314">
        <v>30.9999999999997</v>
      </c>
      <c r="GV429" s="1311">
        <f>GT429+GU429</f>
        <v>68.9999999999997</v>
      </c>
      <c r="GW429" s="1314">
        <v>39</v>
      </c>
      <c r="GX429" s="1311">
        <f>GU429+GT429+GW429</f>
        <v>108</v>
      </c>
      <c r="GY429" s="1314">
        <f>HA429-GX429</f>
        <v>68.0000000000003</v>
      </c>
      <c r="GZ429" s="1311">
        <f>GW429+GY429</f>
        <v>107</v>
      </c>
      <c r="HA429" s="1328">
        <f>'Profit and Loss'!AA380</f>
        <v>176</v>
      </c>
      <c r="HB429" s="1314">
        <v>35</v>
      </c>
      <c r="HC429" s="1314">
        <v>33</v>
      </c>
      <c r="HD429" s="1311">
        <f>HB429+HC429</f>
        <v>68</v>
      </c>
      <c r="HE429" s="1314">
        <v>43</v>
      </c>
      <c r="HF429" s="1311">
        <f>HC429+HB429+HE429</f>
        <v>111</v>
      </c>
      <c r="HG429" s="1314">
        <f>HI429-HE429-HC429-HB429</f>
        <v>23</v>
      </c>
      <c r="HH429" s="1311">
        <f>HE429+HG429</f>
        <v>66</v>
      </c>
      <c r="HI429" s="1328">
        <f>'Profit and Loss'!AB380</f>
        <v>134</v>
      </c>
      <c r="HJ429" s="1314">
        <v>26</v>
      </c>
      <c r="HK429" s="1314">
        <v>91</v>
      </c>
      <c r="HL429" s="1311">
        <f>HJ429+HK429</f>
        <v>117</v>
      </c>
      <c r="HM429" s="1314">
        <v>153</v>
      </c>
      <c r="HN429" s="1311">
        <f>HK429+HJ429+HM429</f>
        <v>270</v>
      </c>
      <c r="HO429" s="1314">
        <f>HQ429-HM429-HK429-HJ429</f>
        <v>11</v>
      </c>
      <c r="HP429" s="1311">
        <f>HM429+HO429</f>
        <v>164</v>
      </c>
      <c r="HQ429" s="1328">
        <f>'Profit and Loss'!AC380</f>
        <v>281</v>
      </c>
      <c r="HR429" s="1314">
        <v>26</v>
      </c>
      <c r="HS429" s="1314">
        <v>30</v>
      </c>
      <c r="HT429" s="1311">
        <f>HR429+HS429</f>
        <v>56</v>
      </c>
      <c r="HU429" s="1314">
        <f>115-32</f>
        <v>83</v>
      </c>
      <c r="HV429" s="1311">
        <f>HS429+HR429+HU429</f>
        <v>139</v>
      </c>
      <c r="HW429" s="1314">
        <f>HY429-HU429-HS429-HR429</f>
        <v>64</v>
      </c>
      <c r="HX429" s="1311">
        <f>HU429+HW429</f>
        <v>147</v>
      </c>
      <c r="HY429" s="1328">
        <f>'Profit and Loss'!AD380</f>
        <v>203</v>
      </c>
      <c r="HZ429" s="1314">
        <f>-24+115</f>
        <v>91</v>
      </c>
      <c r="IA429" s="1314">
        <v>42</v>
      </c>
      <c r="IB429" s="1311">
        <f>HZ429+IA429</f>
        <v>133</v>
      </c>
      <c r="IC429" s="1314">
        <f>25-28</f>
        <v>-3</v>
      </c>
      <c r="ID429" s="1311">
        <f>IA429+HZ429+IC429</f>
        <v>130</v>
      </c>
      <c r="IE429" s="1314">
        <f>IG429-IC429-IA429-HZ429</f>
        <v>86</v>
      </c>
      <c r="IF429" s="1311">
        <f>IC429+IE429</f>
        <v>83</v>
      </c>
      <c r="IG429" s="1328">
        <f>'Profit and Loss'!AE380</f>
        <v>216</v>
      </c>
      <c r="IH429" s="1314">
        <f>-34+59</f>
        <v>25</v>
      </c>
      <c r="II429" s="1314">
        <f>67-9</f>
        <v>58</v>
      </c>
      <c r="IJ429" s="1311">
        <f>IH429+II429</f>
        <v>83</v>
      </c>
      <c r="IK429" s="1314">
        <f>98-12</f>
        <v>86</v>
      </c>
      <c r="IL429" s="1311">
        <f>II429+IH429+IK429</f>
        <v>169</v>
      </c>
      <c r="IM429" s="1314">
        <f>IO429-IK429-II429-IH429</f>
        <v>67</v>
      </c>
      <c r="IN429" s="1311">
        <f>IK429+IM429</f>
        <v>153</v>
      </c>
      <c r="IO429" s="1328">
        <f>'Profit and Loss'!AF380</f>
        <v>236</v>
      </c>
      <c r="IP429" s="1314">
        <f>IH429-3</f>
        <v>22</v>
      </c>
      <c r="IQ429" s="1314">
        <v>43.9999999999994</v>
      </c>
      <c r="IR429" s="1311">
        <f>IP429+IQ429</f>
        <v>65.9999999999994</v>
      </c>
      <c r="IS429" s="1314">
        <f>IK429-3</f>
        <v>83</v>
      </c>
      <c r="IT429" s="1311">
        <f>IQ429+IP429+IS429</f>
        <v>148.999999999999</v>
      </c>
      <c r="IU429" s="1314">
        <f>IW429-IS429-IQ429-IP429</f>
        <v>77.0000000000006</v>
      </c>
      <c r="IV429" s="1311">
        <f>IS429+IU429</f>
        <v>160.000000000001</v>
      </c>
      <c r="IW429" s="1328">
        <f>'Profit and Loss'!AG380</f>
        <v>226</v>
      </c>
      <c r="IX429" s="1330"/>
      <c r="IZ429" s="1071"/>
      <c r="JA429" s="1071"/>
      <c r="JB429" s="1071"/>
      <c r="JC429" s="1049"/>
      <c r="JD429" s="1049"/>
      <c r="JE429" s="1049"/>
    </row>
    <row r="430" s="883" customFormat="1" spans="1:285">
      <c r="A430" s="883" t="s">
        <v>142</v>
      </c>
      <c r="B430" s="1302" t="s">
        <v>173</v>
      </c>
      <c r="C430" s="1302" t="s">
        <v>173</v>
      </c>
      <c r="D430" s="1302" t="s">
        <v>173</v>
      </c>
      <c r="E430" s="1302" t="s">
        <v>173</v>
      </c>
      <c r="F430" s="1302" t="s">
        <v>173</v>
      </c>
      <c r="G430" s="1302" t="s">
        <v>173</v>
      </c>
      <c r="H430" s="1302" t="e">
        <f>H429/#REF!-1</f>
        <v>#REF!</v>
      </c>
      <c r="I430" s="1302" t="s">
        <v>173</v>
      </c>
      <c r="J430" s="1302">
        <v>-0.832752336448598</v>
      </c>
      <c r="K430" s="1302">
        <v>-0.69322</v>
      </c>
      <c r="L430" s="1302">
        <f>L429/D429-1</f>
        <v>-0.806325757575758</v>
      </c>
      <c r="M430" s="1302">
        <v>-0.909770588235294</v>
      </c>
      <c r="N430" s="1302">
        <f>N429/F429-1</f>
        <v>-0.846845622119816</v>
      </c>
      <c r="O430" s="1302">
        <v>-1</v>
      </c>
      <c r="P430" s="1302">
        <f>P429/H429-1</f>
        <v>-0.923305</v>
      </c>
      <c r="Q430" s="1302">
        <f>Q429/I429-1</f>
        <v>-0.856747844827586</v>
      </c>
      <c r="R430" s="1302">
        <v>-1.28571428571429</v>
      </c>
      <c r="S430" s="1302">
        <v>-2.33333333333333</v>
      </c>
      <c r="T430" s="1302">
        <f>T429/L429-1</f>
        <v>-1.6</v>
      </c>
      <c r="U430" s="1302">
        <v>1.33333333333333</v>
      </c>
      <c r="V430" s="1302">
        <f>V429/N429-1</f>
        <v>-0.923076923076923</v>
      </c>
      <c r="W430" s="1302" t="e">
        <v>#DIV/0!</v>
      </c>
      <c r="X430" s="1302">
        <f>X429/P429-1</f>
        <v>11.3333333333333</v>
      </c>
      <c r="Y430" s="1302">
        <f>Y429/Q429-1</f>
        <v>1.38461538461538</v>
      </c>
      <c r="Z430" s="1302">
        <v>-15.5</v>
      </c>
      <c r="AA430" s="1302">
        <v>-12.5</v>
      </c>
      <c r="AB430" s="1302">
        <f>AB429/T429-1</f>
        <v>-13.5</v>
      </c>
      <c r="AC430" s="1302">
        <v>11.4285714285714</v>
      </c>
      <c r="AD430" s="1302">
        <f>AD429/V429-1</f>
        <v>161</v>
      </c>
      <c r="AE430" s="1302">
        <v>1.06666666666667</v>
      </c>
      <c r="AF430" s="1302">
        <f>AF429/X429-1</f>
        <v>3.02702702702703</v>
      </c>
      <c r="AG430" s="1302">
        <f>AG429/Y429-1</f>
        <v>6.2258064516129</v>
      </c>
      <c r="AH430" s="1302">
        <v>0.482758620689655</v>
      </c>
      <c r="AI430" s="1302">
        <v>-0.239130434782609</v>
      </c>
      <c r="AJ430" s="1302">
        <f>AJ429/AB429-1</f>
        <v>0.04</v>
      </c>
      <c r="AK430" s="1302">
        <v>-0.460469256863843</v>
      </c>
      <c r="AL430" s="1302">
        <f>AL429/AD429-1</f>
        <v>-0.228770526834286</v>
      </c>
      <c r="AM430" s="1302">
        <v>-0.337551970625162</v>
      </c>
      <c r="AN430" s="1302">
        <f>AN429/AF429-1</f>
        <v>-0.409322466616875</v>
      </c>
      <c r="AO430" s="1302">
        <f>AO429/AG429-1</f>
        <v>-0.258879676454975</v>
      </c>
      <c r="AP430" s="1302">
        <v>-0.408711947202525</v>
      </c>
      <c r="AQ430" s="1302">
        <v>0.173479366321142</v>
      </c>
      <c r="AR430" s="1302">
        <f>AR429/AJ429-1</f>
        <v>-0.147472255236777</v>
      </c>
      <c r="AS430" s="1302">
        <v>0.0416666666666667</v>
      </c>
      <c r="AT430" s="1302">
        <f>AT429/AL429-1</f>
        <v>-0.0764134787277674</v>
      </c>
      <c r="AU430" s="1302">
        <v>0.619047619047619</v>
      </c>
      <c r="AV430" s="1302">
        <f>AV429/AN429-1</f>
        <v>0.311111111111111</v>
      </c>
      <c r="AW430" s="1302">
        <f>AW429/AO429-1</f>
        <v>0.0956463960302256</v>
      </c>
      <c r="AX430" s="1303">
        <v>1.53846153846154</v>
      </c>
      <c r="AY430" s="1302">
        <v>0.238095238095238</v>
      </c>
      <c r="AZ430" s="1302">
        <f>AZ429/AR429-1</f>
        <v>0.735294117647059</v>
      </c>
      <c r="BA430" s="1302">
        <v>0.2</v>
      </c>
      <c r="BB430" s="1302">
        <f>BB429/AT429-1</f>
        <v>-0.0508474576271186</v>
      </c>
      <c r="BC430" s="1302">
        <v>-0.617647058823529</v>
      </c>
      <c r="BD430" s="1302">
        <f>BD429/AV429-1</f>
        <v>-0.271186440677966</v>
      </c>
      <c r="BE430" s="1304">
        <f>BE429/AW429-1</f>
        <v>-0.258064516129032</v>
      </c>
      <c r="BF430" s="1302">
        <v>-0.424242424242424</v>
      </c>
      <c r="BG430" s="1302">
        <v>0.0384615384615385</v>
      </c>
      <c r="BH430" s="1302">
        <f>BH429/AZ429-1</f>
        <v>-0.220338983050847</v>
      </c>
      <c r="BI430" s="1302">
        <v>-0.25</v>
      </c>
      <c r="BJ430" s="1302">
        <f>BJ429/BB429-1</f>
        <v>0.223214285714286</v>
      </c>
      <c r="BK430" s="1302">
        <v>0.407692307692308</v>
      </c>
      <c r="BL430" s="1302">
        <f>BL429/BD429-1</f>
        <v>-0.0511627906976745</v>
      </c>
      <c r="BM430" s="1302">
        <f>BM429/BE429-1</f>
        <v>0.257971014492754</v>
      </c>
      <c r="BN430" s="1303">
        <v>-0.0526315789473685</v>
      </c>
      <c r="BO430" s="1302">
        <v>-0.62962962962963</v>
      </c>
      <c r="BP430" s="1302">
        <f>BP429/BH429-1</f>
        <v>-0.391304347826087</v>
      </c>
      <c r="BQ430" s="1302">
        <v>-0.244444444444444</v>
      </c>
      <c r="BR430" s="1302">
        <f>BR429/BJ429-1</f>
        <v>-0.343065693430657</v>
      </c>
      <c r="BS430" s="1302">
        <v>-0.726775956284153</v>
      </c>
      <c r="BT430" s="1302">
        <f>BT429/BL429-1</f>
        <v>-0.46078431372549</v>
      </c>
      <c r="BU430" s="1304">
        <f>BU429/BM429-1</f>
        <v>-0.423963133640553</v>
      </c>
      <c r="BV430" s="1303">
        <v>-0.388888888888889</v>
      </c>
      <c r="BW430" s="1302">
        <v>0.9</v>
      </c>
      <c r="BX430" s="1302">
        <f t="shared" ref="BX430:CN430" si="3099">BX429/BP429-1</f>
        <v>0.0714285714285714</v>
      </c>
      <c r="BY430" s="1302">
        <v>-0.117647058823529</v>
      </c>
      <c r="BZ430" s="1302">
        <f t="shared" si="3099"/>
        <v>0</v>
      </c>
      <c r="CA430" s="1302">
        <v>1.2</v>
      </c>
      <c r="CB430" s="1302">
        <f t="shared" si="3099"/>
        <v>0.181818181818182</v>
      </c>
      <c r="CC430" s="1304">
        <f t="shared" si="3099"/>
        <v>0.12</v>
      </c>
      <c r="CD430" s="1303">
        <v>-0.181818181818182</v>
      </c>
      <c r="CE430" s="1302">
        <v>-0.421052631578947</v>
      </c>
      <c r="CF430" s="1302">
        <f t="shared" si="3099"/>
        <v>-0.333333333333333</v>
      </c>
      <c r="CG430" s="1302">
        <v>-0.733333333333333</v>
      </c>
      <c r="CH430" s="1302">
        <f t="shared" si="3099"/>
        <v>-0.422222222222222</v>
      </c>
      <c r="CI430" s="1302">
        <v>1.18181818181818</v>
      </c>
      <c r="CJ430" s="1302">
        <f t="shared" si="3099"/>
        <v>0.153846153846154</v>
      </c>
      <c r="CK430" s="1304">
        <f t="shared" si="3099"/>
        <v>-0.107142857142857</v>
      </c>
      <c r="CL430" s="1303">
        <v>2.11111111111111</v>
      </c>
      <c r="CM430" s="1302">
        <f t="shared" si="3099"/>
        <v>3.02727272727273</v>
      </c>
      <c r="CN430" s="1302">
        <f t="shared" si="3099"/>
        <v>2.615</v>
      </c>
      <c r="CO430" s="1302">
        <f t="shared" ref="CO430:CU430" si="3100">CO429/CG429-1</f>
        <v>7.11666666666667</v>
      </c>
      <c r="CP430" s="1302">
        <f t="shared" si="3100"/>
        <v>3.65384615384615</v>
      </c>
      <c r="CQ430" s="1302">
        <f t="shared" si="3100"/>
        <v>0.541666666666667</v>
      </c>
      <c r="CR430" s="1302">
        <f t="shared" si="3100"/>
        <v>1.41</v>
      </c>
      <c r="CS430" s="1304">
        <f t="shared" si="3100"/>
        <v>2.16</v>
      </c>
      <c r="CT430" s="1303">
        <f t="shared" si="3100"/>
        <v>0.357142857142857</v>
      </c>
      <c r="CU430" s="1302">
        <f t="shared" si="3100"/>
        <v>-0.209932279909707</v>
      </c>
      <c r="CV430" s="1302">
        <f>+CV429/CN429-1</f>
        <v>0.00968188105117562</v>
      </c>
      <c r="CW430" s="1302">
        <f t="shared" ref="CW430:DB430" si="3101">CW429/CO429-1</f>
        <v>-0.363449691991786</v>
      </c>
      <c r="CX430" s="1302">
        <f t="shared" si="3101"/>
        <v>-0.140495867768595</v>
      </c>
      <c r="CY430" s="1302">
        <f t="shared" si="3101"/>
        <v>-0.189189189189189</v>
      </c>
      <c r="CZ430" s="1302">
        <f t="shared" si="3101"/>
        <v>-0.156293222683264</v>
      </c>
      <c r="DA430" s="1304">
        <f t="shared" si="3101"/>
        <v>-0.151898734177215</v>
      </c>
      <c r="DB430" s="1109">
        <f t="shared" si="3101"/>
        <v>-0.157894736842105</v>
      </c>
      <c r="DC430" s="1082">
        <f t="shared" ref="DC430:DI430" si="3102">DC429/CU429-1</f>
        <v>-4.31428571428571</v>
      </c>
      <c r="DD430" s="1082">
        <f t="shared" si="3102"/>
        <v>-2.15068493150685</v>
      </c>
      <c r="DE430" s="1082">
        <f t="shared" si="3102"/>
        <v>0.354838709677419</v>
      </c>
      <c r="DF430" s="1082">
        <f t="shared" si="3102"/>
        <v>0.0865384615384615</v>
      </c>
      <c r="DG430" s="1082">
        <f t="shared" si="3102"/>
        <v>0.766666666666667</v>
      </c>
      <c r="DH430" s="1082">
        <f t="shared" si="3102"/>
        <v>3.0983606557377</v>
      </c>
      <c r="DI430" s="1085">
        <f t="shared" si="3102"/>
        <v>0.238805970149254</v>
      </c>
      <c r="DJ430" s="1082">
        <f t="shared" ref="DJ430:DQ430" si="3103">DJ429/DB429-1</f>
        <v>0.5625</v>
      </c>
      <c r="DK430" s="1082">
        <f t="shared" si="3103"/>
        <v>-1.37931034482759</v>
      </c>
      <c r="DL430" s="1082">
        <f t="shared" si="3103"/>
        <v>-2.11904761904762</v>
      </c>
      <c r="DM430" s="1082">
        <f t="shared" si="3103"/>
        <v>-0.285714285714286</v>
      </c>
      <c r="DN430" s="1082">
        <f t="shared" si="3103"/>
        <v>0.0973451327433628</v>
      </c>
      <c r="DO430" s="1082">
        <f t="shared" si="3103"/>
        <v>-0.509433962264151</v>
      </c>
      <c r="DP430" s="1082">
        <f t="shared" si="3103"/>
        <v>-0.776</v>
      </c>
      <c r="DQ430" s="1085">
        <f t="shared" si="3103"/>
        <v>-0.0963855421686747</v>
      </c>
      <c r="DR430" s="1082">
        <f t="shared" ref="DR430:DX430" si="3104">DR429/DJ429-1</f>
        <v>-0.66</v>
      </c>
      <c r="DS430" s="1082">
        <f t="shared" si="3104"/>
        <v>-0.568181818181818</v>
      </c>
      <c r="DT430" s="1082">
        <f t="shared" si="3104"/>
        <v>-0.627659574468085</v>
      </c>
      <c r="DU430" s="1083">
        <f t="shared" si="3104"/>
        <v>0.0333333333333334</v>
      </c>
      <c r="DV430" s="1083">
        <f t="shared" si="3104"/>
        <v>-0.467741935483871</v>
      </c>
      <c r="DW430" s="1083">
        <f t="shared" si="3104"/>
        <v>-0.153846153846154</v>
      </c>
      <c r="DX430" s="1083">
        <f t="shared" si="3104"/>
        <v>-0.0535714285714286</v>
      </c>
      <c r="DY430" s="1085">
        <f t="shared" ref="DY430:EO430" si="3105">DY429/DQ429-1</f>
        <v>-0.413333333333333</v>
      </c>
      <c r="DZ430" s="1082">
        <f t="shared" si="3105"/>
        <v>0.647058823529412</v>
      </c>
      <c r="EA430" s="1082">
        <f t="shared" si="3105"/>
        <v>0.157894736842105</v>
      </c>
      <c r="EB430" s="1082">
        <f t="shared" si="3105"/>
        <v>0.428571428571429</v>
      </c>
      <c r="EC430" s="1083">
        <f t="shared" si="3105"/>
        <v>-0.258064516129032</v>
      </c>
      <c r="ED430" s="1083">
        <f t="shared" si="3105"/>
        <v>0.106060606060606</v>
      </c>
      <c r="EE430" s="1083">
        <f t="shared" si="3105"/>
        <v>-0.5</v>
      </c>
      <c r="EF430" s="1083">
        <f t="shared" si="3105"/>
        <v>-0.358490566037736</v>
      </c>
      <c r="EG430" s="1085">
        <f t="shared" si="3105"/>
        <v>-0.0454545454545454</v>
      </c>
      <c r="EH430" s="1082">
        <f t="shared" si="3105"/>
        <v>-0.285714285714286</v>
      </c>
      <c r="EI430" s="1082">
        <f t="shared" si="3105"/>
        <v>-0.0454545454545454</v>
      </c>
      <c r="EJ430" s="1082">
        <f t="shared" si="3105"/>
        <v>-0.18</v>
      </c>
      <c r="EK430" s="1083">
        <f t="shared" si="3105"/>
        <v>-0.347826086956522</v>
      </c>
      <c r="EL430" s="1083">
        <f t="shared" si="3105"/>
        <v>-0.232876712328767</v>
      </c>
      <c r="EM430" s="1083">
        <f t="shared" si="3105"/>
        <v>0.272727272727273</v>
      </c>
      <c r="EN430" s="1083">
        <f t="shared" si="3105"/>
        <v>-0.147058823529412</v>
      </c>
      <c r="EO430" s="1085">
        <f t="shared" si="3105"/>
        <v>-0.178571428571429</v>
      </c>
      <c r="EP430" s="1082">
        <f t="shared" ref="EP430:EW430" si="3106">EP429/EH429-1</f>
        <v>-0.25</v>
      </c>
      <c r="EQ430" s="1094">
        <f t="shared" si="3106"/>
        <v>-0.238095238095238</v>
      </c>
      <c r="ER430" s="1094">
        <f t="shared" si="3106"/>
        <v>-0.24390243902439</v>
      </c>
      <c r="ES430" s="1094">
        <f t="shared" si="3106"/>
        <v>0.4</v>
      </c>
      <c r="ET430" s="1094">
        <f t="shared" si="3106"/>
        <v>-0.0714285714285714</v>
      </c>
      <c r="EU430" s="1094">
        <f t="shared" si="3106"/>
        <v>0.214285714285714</v>
      </c>
      <c r="EV430" s="1094">
        <f t="shared" si="3106"/>
        <v>0.310344827586207</v>
      </c>
      <c r="EW430" s="1093">
        <f t="shared" si="3106"/>
        <v>-0.0144927536231884</v>
      </c>
      <c r="EX430" s="1094">
        <f t="shared" ref="EX430:FF430" si="3107">EX429/EP429-1</f>
        <v>-0.133333333333333</v>
      </c>
      <c r="EY430" s="1094">
        <f t="shared" si="3107"/>
        <v>-0.0625</v>
      </c>
      <c r="EZ430" s="1094">
        <f t="shared" si="3107"/>
        <v>-0.0967741935483871</v>
      </c>
      <c r="FA430" s="1094">
        <f t="shared" si="3107"/>
        <v>-0.666666666666667</v>
      </c>
      <c r="FB430" s="1094">
        <f t="shared" si="3107"/>
        <v>-0.326923076923077</v>
      </c>
      <c r="FC430" s="1094">
        <f t="shared" si="3107"/>
        <v>-0.235294117647059</v>
      </c>
      <c r="FD430" s="1094">
        <f t="shared" si="3107"/>
        <v>-0.473684210526316</v>
      </c>
      <c r="FE430" s="1093">
        <f t="shared" si="3107"/>
        <v>-0.294117647058823</v>
      </c>
      <c r="FF430" s="1094">
        <f t="shared" si="3107"/>
        <v>-1</v>
      </c>
      <c r="FG430" s="1094">
        <f t="shared" ref="FG430:FN430" si="3108">FG429/EY429-1</f>
        <v>-0.4</v>
      </c>
      <c r="FH430" s="1094">
        <f t="shared" si="3108"/>
        <v>-0.678571428571429</v>
      </c>
      <c r="FI430" s="1094">
        <f t="shared" si="3108"/>
        <v>0.428571428571429</v>
      </c>
      <c r="FJ430" s="1094">
        <f t="shared" si="3108"/>
        <v>-0.457142857142857</v>
      </c>
      <c r="FK430" s="1094">
        <f t="shared" si="3108"/>
        <v>-0.846153846153846</v>
      </c>
      <c r="FL430" s="1094">
        <f t="shared" si="3108"/>
        <v>-0.4</v>
      </c>
      <c r="FM430" s="1093">
        <f t="shared" si="3108"/>
        <v>-0.5625</v>
      </c>
      <c r="FN430" s="1094" t="e">
        <f t="shared" si="3108"/>
        <v>#DIV/0!</v>
      </c>
      <c r="FO430" s="1094">
        <f t="shared" ref="FO430:GC430" si="3109">FO429/FG429-1</f>
        <v>-0.444444444444444</v>
      </c>
      <c r="FP430" s="1094">
        <f t="shared" si="3109"/>
        <v>-1.11111111111111</v>
      </c>
      <c r="FQ430" s="1094">
        <f t="shared" si="3109"/>
        <v>0.8</v>
      </c>
      <c r="FR430" s="1094">
        <f t="shared" si="3109"/>
        <v>-0.157894736842105</v>
      </c>
      <c r="FS430" s="1094">
        <f t="shared" si="3109"/>
        <v>14</v>
      </c>
      <c r="FT430" s="1094">
        <f t="shared" si="3109"/>
        <v>3</v>
      </c>
      <c r="FU430" s="1094">
        <f t="shared" si="3109"/>
        <v>1.19047619047619</v>
      </c>
      <c r="FV430" s="1086">
        <f t="shared" si="3109"/>
        <v>0.333333333333333</v>
      </c>
      <c r="FW430" s="1087">
        <f t="shared" si="3109"/>
        <v>2.8</v>
      </c>
      <c r="FX430" s="1094">
        <f t="shared" si="3109"/>
        <v>-12</v>
      </c>
      <c r="FY430" s="1094">
        <f t="shared" si="3109"/>
        <v>0.555555555555556</v>
      </c>
      <c r="FZ430" s="1094">
        <f t="shared" si="3109"/>
        <v>1.4375</v>
      </c>
      <c r="GA430" s="1094">
        <f t="shared" si="3109"/>
        <v>-0.733333333333333</v>
      </c>
      <c r="GB430" s="1094">
        <f t="shared" si="3109"/>
        <v>-0.25</v>
      </c>
      <c r="GC430" s="1093">
        <f t="shared" si="3109"/>
        <v>0.0217391304347827</v>
      </c>
      <c r="GD430" s="1087">
        <f t="shared" ref="GD430:GS430" si="3110">GD429/FV429-1</f>
        <v>-0.625</v>
      </c>
      <c r="GE430" s="1087">
        <f t="shared" si="3110"/>
        <v>-0.789473684210526</v>
      </c>
      <c r="GF430" s="1094">
        <f t="shared" si="3110"/>
        <v>-0.909090909090909</v>
      </c>
      <c r="GG430" s="1094">
        <f t="shared" si="3110"/>
        <v>-1.21428571428571</v>
      </c>
      <c r="GH430" s="1094">
        <f t="shared" si="3110"/>
        <v>-1.12820512820513</v>
      </c>
      <c r="GI430" s="1094">
        <f t="shared" si="3110"/>
        <v>-1.625</v>
      </c>
      <c r="GJ430" s="1094">
        <f t="shared" si="3110"/>
        <v>-1.30555555555556</v>
      </c>
      <c r="GK430" s="1093">
        <f t="shared" si="3110"/>
        <v>-1.21276595744681</v>
      </c>
      <c r="GL430" s="1087">
        <f t="shared" si="3110"/>
        <v>-10</v>
      </c>
      <c r="GM430" s="1087">
        <f t="shared" si="3110"/>
        <v>5</v>
      </c>
      <c r="GN430" s="1094">
        <f t="shared" si="3110"/>
        <v>50</v>
      </c>
      <c r="GO430" s="1094">
        <f t="shared" si="3110"/>
        <v>-6.33333333333333</v>
      </c>
      <c r="GP430" s="1094">
        <f t="shared" si="3110"/>
        <v>-17.6</v>
      </c>
      <c r="GQ430" s="1094">
        <f t="shared" si="3110"/>
        <v>-4.8</v>
      </c>
      <c r="GR430" s="1094">
        <f t="shared" si="3110"/>
        <v>-5.63636363636364</v>
      </c>
      <c r="GS430" s="1093">
        <f t="shared" si="3110"/>
        <v>-11.2</v>
      </c>
      <c r="GT430" s="1087">
        <f t="shared" ref="GT430" si="3111">GT429/GL429-1</f>
        <v>0.407407407407407</v>
      </c>
      <c r="GU430" s="1087">
        <f t="shared" ref="GU430" si="3112">GU429/GM429-1</f>
        <v>0.291666666666655</v>
      </c>
      <c r="GV430" s="1094">
        <f t="shared" ref="GV430" si="3113">GV429/GN429-1</f>
        <v>0.352941176470583</v>
      </c>
      <c r="GW430" s="1094">
        <f t="shared" ref="GW430" si="3114">GW429/GO429-1</f>
        <v>0.21875</v>
      </c>
      <c r="GX430" s="1094">
        <f t="shared" ref="GX430" si="3115">GX429/GP429-1</f>
        <v>0.301204819277105</v>
      </c>
      <c r="GY430" s="1094">
        <f t="shared" ref="GY430" si="3116">GY429/GQ429-1</f>
        <v>2.57894736842107</v>
      </c>
      <c r="GZ430" s="1094">
        <f t="shared" ref="GZ430" si="3117">GZ429/GR429-1</f>
        <v>1.09803921568628</v>
      </c>
      <c r="HA430" s="1093">
        <f t="shared" ref="HA430" si="3118">HA429/GS429-1</f>
        <v>0.725490196078431</v>
      </c>
      <c r="HB430" s="1087">
        <f t="shared" ref="HB430" si="3119">HB429/GT429-1</f>
        <v>-0.0789473684210527</v>
      </c>
      <c r="HC430" s="1087">
        <f t="shared" ref="HC430" si="3120">HC429/GU429-1</f>
        <v>0.0645161290322676</v>
      </c>
      <c r="HD430" s="1094">
        <f t="shared" ref="HD430" si="3121">HD429/GV429-1</f>
        <v>-0.0144927536231844</v>
      </c>
      <c r="HE430" s="1094">
        <f t="shared" ref="HE430" si="3122">HE429/GW429-1</f>
        <v>0.102564102564103</v>
      </c>
      <c r="HF430" s="1094">
        <f t="shared" ref="HF430" si="3123">HF429/GX429-1</f>
        <v>0.0277777777777806</v>
      </c>
      <c r="HG430" s="1094">
        <f t="shared" ref="HG430" si="3124">HG429/GY429-1</f>
        <v>-0.661764705882354</v>
      </c>
      <c r="HH430" s="1094">
        <f t="shared" ref="HH430" si="3125">HH429/GZ429-1</f>
        <v>-0.38317757009346</v>
      </c>
      <c r="HI430" s="1093">
        <f t="shared" ref="HI430" si="3126">HI429/HA429-1</f>
        <v>-0.238636363636364</v>
      </c>
      <c r="HJ430" s="1087">
        <f t="shared" ref="HJ430" si="3127">HJ429/HB429-1</f>
        <v>-0.257142857142857</v>
      </c>
      <c r="HK430" s="1087">
        <f t="shared" ref="HK430" si="3128">HK429/HC429-1</f>
        <v>1.75757575757576</v>
      </c>
      <c r="HL430" s="1094">
        <f t="shared" ref="HL430" si="3129">HL429/HD429-1</f>
        <v>0.720588235294118</v>
      </c>
      <c r="HM430" s="1094">
        <f t="shared" ref="HM430" si="3130">HM429/HE429-1</f>
        <v>2.55813953488372</v>
      </c>
      <c r="HN430" s="1094">
        <f t="shared" ref="HN430" si="3131">HN429/HF429-1</f>
        <v>1.43243243243243</v>
      </c>
      <c r="HO430" s="1094">
        <f t="shared" ref="HO430" si="3132">HO429/HG429-1</f>
        <v>-0.521739130434783</v>
      </c>
      <c r="HP430" s="1094">
        <f t="shared" ref="HP430" si="3133">HP429/HH429-1</f>
        <v>1.48484848484848</v>
      </c>
      <c r="HQ430" s="1093">
        <f t="shared" ref="HQ430" si="3134">HQ429/HI429-1</f>
        <v>1.09701492537313</v>
      </c>
      <c r="HR430" s="1087">
        <f t="shared" ref="HR430" si="3135">HR429/HJ429-1</f>
        <v>0</v>
      </c>
      <c r="HS430" s="1087">
        <f t="shared" ref="HS430" si="3136">HS429/HK429-1</f>
        <v>-0.67032967032967</v>
      </c>
      <c r="HT430" s="1094">
        <f t="shared" ref="HT430" si="3137">HT429/HL429-1</f>
        <v>-0.521367521367521</v>
      </c>
      <c r="HU430" s="1094">
        <f t="shared" ref="HU430" si="3138">HU429/HM429-1</f>
        <v>-0.457516339869281</v>
      </c>
      <c r="HV430" s="1094">
        <f t="shared" ref="HV430" si="3139">HV429/HN429-1</f>
        <v>-0.485185185185185</v>
      </c>
      <c r="HW430" s="1094">
        <f t="shared" ref="HW430" si="3140">HW429/HO429-1</f>
        <v>4.81818181818182</v>
      </c>
      <c r="HX430" s="1094">
        <f t="shared" ref="HX430" si="3141">HX429/HP429-1</f>
        <v>-0.103658536585366</v>
      </c>
      <c r="HY430" s="1093">
        <f t="shared" ref="HY430" si="3142">HY429/HQ429-1</f>
        <v>-0.277580071174377</v>
      </c>
      <c r="HZ430" s="1087">
        <f t="shared" ref="HZ430" si="3143">HZ429/HR429-1</f>
        <v>2.5</v>
      </c>
      <c r="IA430" s="1087">
        <f t="shared" ref="IA430" si="3144">IA429/HS429-1</f>
        <v>0.4</v>
      </c>
      <c r="IB430" s="1094">
        <f t="shared" ref="IB430" si="3145">IB429/HT429-1</f>
        <v>1.375</v>
      </c>
      <c r="IC430" s="1094">
        <f t="shared" ref="IC430" si="3146">IC429/HU429-1</f>
        <v>-1.03614457831325</v>
      </c>
      <c r="ID430" s="1094">
        <f t="shared" ref="ID430" si="3147">ID429/HV429-1</f>
        <v>-0.064748201438849</v>
      </c>
      <c r="IE430" s="1094">
        <f t="shared" ref="IE430" si="3148">IE429/HW429-1</f>
        <v>0.34375</v>
      </c>
      <c r="IF430" s="1094">
        <f t="shared" ref="IF430" si="3149">IF429/HX429-1</f>
        <v>-0.435374149659864</v>
      </c>
      <c r="IG430" s="1093">
        <f t="shared" ref="IG430" si="3150">IG429/HY429-1</f>
        <v>0.0640394088669951</v>
      </c>
      <c r="IH430" s="1087">
        <f t="shared" ref="IH430" si="3151">IH429/HZ429-1</f>
        <v>-0.725274725274725</v>
      </c>
      <c r="II430" s="1087">
        <f t="shared" ref="II430" si="3152">II429/IA429-1</f>
        <v>0.380952380952381</v>
      </c>
      <c r="IJ430" s="1094">
        <f t="shared" ref="IJ430" si="3153">IJ429/IB429-1</f>
        <v>-0.37593984962406</v>
      </c>
      <c r="IK430" s="1094">
        <f t="shared" ref="IK430" si="3154">IK429/IC429-1</f>
        <v>-29.6666666666667</v>
      </c>
      <c r="IL430" s="1094">
        <f t="shared" ref="IL430" si="3155">IL429/ID429-1</f>
        <v>0.3</v>
      </c>
      <c r="IM430" s="1094">
        <f t="shared" ref="IM430" si="3156">IM429/IE429-1</f>
        <v>-0.220930232558139</v>
      </c>
      <c r="IN430" s="1094">
        <f t="shared" ref="IN430" si="3157">IN429/IF429-1</f>
        <v>0.843373493975904</v>
      </c>
      <c r="IO430" s="1093">
        <f t="shared" ref="IO430" si="3158">IO429/IG429-1</f>
        <v>0.0925925925925926</v>
      </c>
      <c r="IP430" s="1087">
        <f t="shared" ref="IP430" si="3159">IP429/IH429-1</f>
        <v>-0.12</v>
      </c>
      <c r="IQ430" s="1087">
        <f t="shared" ref="IQ430" si="3160">IQ429/II429-1</f>
        <v>-0.241379310344838</v>
      </c>
      <c r="IR430" s="1094">
        <f t="shared" ref="IR430" si="3161">IR429/IJ429-1</f>
        <v>-0.204819277108441</v>
      </c>
      <c r="IS430" s="1094">
        <f t="shared" ref="IS430" si="3162">IS429/IK429-1</f>
        <v>-0.0348837209302325</v>
      </c>
      <c r="IT430" s="1094">
        <f t="shared" ref="IT430" si="3163">IT429/IL429-1</f>
        <v>-0.118343195266276</v>
      </c>
      <c r="IU430" s="1094">
        <f t="shared" ref="IU430" si="3164">IU429/IM429-1</f>
        <v>0.149253731343293</v>
      </c>
      <c r="IV430" s="1094">
        <f t="shared" ref="IV430:IW430" si="3165">IV429/IN429-1</f>
        <v>0.0457516339869322</v>
      </c>
      <c r="IW430" s="1093">
        <f t="shared" si="3165"/>
        <v>-0.0423728813559322</v>
      </c>
      <c r="IX430" s="1087"/>
      <c r="IZ430" s="1071"/>
      <c r="JA430" s="1071"/>
      <c r="JB430" s="1071"/>
      <c r="JC430" s="1049"/>
      <c r="JD430" s="1049"/>
      <c r="JE430" s="1049"/>
      <c r="JF430" s="1082"/>
      <c r="JG430" s="1082"/>
      <c r="JI430" s="1082"/>
    </row>
    <row r="431" spans="1:285">
      <c r="A431" s="1035" t="s">
        <v>145</v>
      </c>
      <c r="B431" s="1302">
        <v>0.0214184627148602</v>
      </c>
      <c r="C431" s="1302">
        <v>0.00666742230786156</v>
      </c>
      <c r="D431" s="1302">
        <f>D429/D$388</f>
        <v>0.0150938822322708</v>
      </c>
      <c r="E431" s="1302">
        <v>0.0155353149693726</v>
      </c>
      <c r="F431" s="1302">
        <f>F429/F$388</f>
        <v>0.0152637713332306</v>
      </c>
      <c r="G431" s="1302">
        <v>0.00454688750394064</v>
      </c>
      <c r="H431" s="1302">
        <f>H429/H$388</f>
        <v>0.0223137358113927</v>
      </c>
      <c r="I431" s="1302">
        <f>I429/I$388</f>
        <v>0.0132453129005351</v>
      </c>
      <c r="J431" s="1302">
        <v>0.00584697627798196</v>
      </c>
      <c r="K431" s="1302">
        <v>0.00287026406429392</v>
      </c>
      <c r="L431" s="1302">
        <f>L429/L$388</f>
        <v>0.00445950767035319</v>
      </c>
      <c r="M431" s="1302">
        <v>0.00203804347826087</v>
      </c>
      <c r="N431" s="1302">
        <f>N429/N$388</f>
        <v>0.00349989231100581</v>
      </c>
      <c r="O431" s="1302">
        <v>0</v>
      </c>
      <c r="P431" s="1302">
        <f>P429/P$388</f>
        <v>0.00121605188488042</v>
      </c>
      <c r="Q431" s="1302">
        <f>Q429/Q$388</f>
        <v>0.00276072968209136</v>
      </c>
      <c r="R431" s="1302">
        <v>-0.00116754232340922</v>
      </c>
      <c r="S431" s="1302">
        <v>-0.0028030833917309</v>
      </c>
      <c r="T431" s="1302">
        <f>T429/T$388</f>
        <v>-0.00191082802547771</v>
      </c>
      <c r="U431" s="1302">
        <v>0.00326492537313433</v>
      </c>
      <c r="V431" s="1302">
        <f>V429/V$388</f>
        <v>0.000189250567751703</v>
      </c>
      <c r="W431" s="1302">
        <v>0.0212164073550212</v>
      </c>
      <c r="X431" s="1302">
        <f>X429/X$388</f>
        <v>0.0103991006183249</v>
      </c>
      <c r="Y431" s="1302">
        <f>Y429/Y$388</f>
        <v>0.00462824723798149</v>
      </c>
      <c r="Z431" s="1302">
        <v>0.0107090103397341</v>
      </c>
      <c r="AA431" s="1302">
        <v>0.0205357142857143</v>
      </c>
      <c r="AB431" s="1302">
        <f>AB429/AB$388</f>
        <v>0.0151576394502829</v>
      </c>
      <c r="AC431" s="1302">
        <v>0.0294117647058824</v>
      </c>
      <c r="AD431" s="1302">
        <f>AD429/AD$388</f>
        <v>0.0204907665064508</v>
      </c>
      <c r="AE431" s="1302">
        <v>0.0309845077461269</v>
      </c>
      <c r="AF431" s="1302">
        <f>AF429/AF$388</f>
        <v>0.0300461125085893</v>
      </c>
      <c r="AG431" s="1302">
        <f>AG429/AG$388</f>
        <v>0.0226102755627334</v>
      </c>
      <c r="AH431" s="1302">
        <v>0.0158204562178072</v>
      </c>
      <c r="AI431" s="1302">
        <v>0.0149828767123288</v>
      </c>
      <c r="AJ431" s="1302">
        <f>AJ429/AJ$388</f>
        <v>0.0154333201424614</v>
      </c>
      <c r="AK431" s="1302">
        <v>0.0152380952380952</v>
      </c>
      <c r="AL431" s="1302">
        <f>AL429/AL$388</f>
        <v>0.0153593910543654</v>
      </c>
      <c r="AM431" s="1302">
        <v>0.0175732217573222</v>
      </c>
      <c r="AN431" s="1302">
        <f>AN429/AN$388</f>
        <v>0.0162337662337662</v>
      </c>
      <c r="AO431" s="1302">
        <f>AO429/AO$388</f>
        <v>0.0158535026044103</v>
      </c>
      <c r="AP431" s="1302">
        <v>0.00856954515491101</v>
      </c>
      <c r="AQ431" s="1302">
        <v>0.0168269230769231</v>
      </c>
      <c r="AR431" s="1302">
        <f>AR429/AR$388</f>
        <v>0.0122965641952984</v>
      </c>
      <c r="AS431" s="1302">
        <v>0.0149075730471079</v>
      </c>
      <c r="AT431" s="1302">
        <f>AT429/AT$388</f>
        <v>0.0132823052678973</v>
      </c>
      <c r="AU431" s="1302">
        <v>0.0244077530509691</v>
      </c>
      <c r="AV431" s="1302">
        <f>AV429/AV$388</f>
        <v>0.0192182410423453</v>
      </c>
      <c r="AW431" s="1302">
        <f>AW429/AW$388</f>
        <v>0.0159383033419023</v>
      </c>
      <c r="AX431" s="1303">
        <v>0.021181001283697</v>
      </c>
      <c r="AY431" s="1302">
        <v>0.0190058479532164</v>
      </c>
      <c r="AZ431" s="1302">
        <f>AZ429/AZ$388</f>
        <v>0.020164046479836</v>
      </c>
      <c r="BA431" s="1302">
        <v>0.0167597765363128</v>
      </c>
      <c r="BB431" s="1302">
        <f>BB429/BB$388</f>
        <v>0.0177327422419253</v>
      </c>
      <c r="BC431" s="1302">
        <v>0.0093156574704407</v>
      </c>
      <c r="BD431" s="1302">
        <f>BD429/BD$388</f>
        <v>0.0135007849293564</v>
      </c>
      <c r="BE431" s="1304">
        <f>BE429/BE$388</f>
        <v>0.0151531788733941</v>
      </c>
      <c r="BF431" s="1302">
        <v>0.0115995115995116</v>
      </c>
      <c r="BG431" s="1302">
        <v>0.0179223365416528</v>
      </c>
      <c r="BH431" s="1302">
        <f>BH429/BH$388</f>
        <v>0.0146287168071235</v>
      </c>
      <c r="BI431" s="1302">
        <v>0.0120578778135048</v>
      </c>
      <c r="BJ431" s="1302">
        <f>BJ429/BJ$388</f>
        <v>0.0136712902903902</v>
      </c>
      <c r="BK431" s="1302">
        <v>0.0121111846459298</v>
      </c>
      <c r="BL431" s="1302">
        <f>BL429/BL$388</f>
        <v>0.012081729345573</v>
      </c>
      <c r="BM431" s="1302">
        <f>BM429/BM$388</f>
        <v>0.0133098213601165</v>
      </c>
      <c r="BN431" s="1303">
        <v>0.0107849011384062</v>
      </c>
      <c r="BO431" s="1302">
        <v>0.00718390804597701</v>
      </c>
      <c r="BP431" s="1302">
        <f>BP429/BP$388</f>
        <v>0.00914733747141457</v>
      </c>
      <c r="BQ431" s="1302">
        <v>0.00917431192660551</v>
      </c>
      <c r="BR431" s="1302">
        <f>BR429/BR$388</f>
        <v>0.00915750915750916</v>
      </c>
      <c r="BS431" s="1302">
        <v>0.00369276218611521</v>
      </c>
      <c r="BT431" s="1302">
        <f>BT429/BT$388</f>
        <v>0.00685999376364203</v>
      </c>
      <c r="BU431" s="1304">
        <f>BU429/BU$388</f>
        <v>0.00797702616464582</v>
      </c>
      <c r="BV431" s="1303">
        <v>0.00730897009966777</v>
      </c>
      <c r="BW431" s="1302">
        <v>0.0135617416131335</v>
      </c>
      <c r="BX431" s="1302">
        <f>BX429/BX$388</f>
        <v>0.0103234686854783</v>
      </c>
      <c r="BY431" s="1302">
        <v>0.00853242320819113</v>
      </c>
      <c r="BZ431" s="1302">
        <f>BZ429/BZ$388</f>
        <v>0.0096483704974271</v>
      </c>
      <c r="CA431" s="1302">
        <v>0.00919732441471572</v>
      </c>
      <c r="CB431" s="1302">
        <f>CB429/CB$388</f>
        <v>0.00767640980218482</v>
      </c>
      <c r="CC431" s="1304">
        <f>CC429/CC$388</f>
        <v>0.00955631399317406</v>
      </c>
      <c r="CD431" s="1303">
        <v>0.00537955768081291</v>
      </c>
      <c r="CE431" s="1302">
        <v>0.00725593667546174</v>
      </c>
      <c r="CF431" s="1302">
        <f>CF429/CF$388</f>
        <v>0.00627155848228285</v>
      </c>
      <c r="CG431" s="1302">
        <v>0.00207900207900208</v>
      </c>
      <c r="CH431" s="1302">
        <f>CH429/CH$388</f>
        <v>0.00508507725405828</v>
      </c>
      <c r="CI431" s="1302">
        <v>0.0157790927021696</v>
      </c>
      <c r="CJ431" s="1302">
        <f>CJ429/CJ$388</f>
        <v>0.00870827285921625</v>
      </c>
      <c r="CK431" s="1304">
        <f>CK429/CK$388</f>
        <v>0.00753693096171239</v>
      </c>
      <c r="CL431" s="1303">
        <v>0.0113867425782839</v>
      </c>
      <c r="CM431" s="1302">
        <f>CM429/CM$388</f>
        <v>0.0182454695222405</v>
      </c>
      <c r="CN431" s="1302">
        <f>CN429/CN$388</f>
        <v>0.0147943523634131</v>
      </c>
      <c r="CO431" s="1302">
        <f>CO429/CO$388</f>
        <v>0.0165140725669719</v>
      </c>
      <c r="CP431" s="1302">
        <f>CP429/CP$388</f>
        <v>0.0154415518121491</v>
      </c>
      <c r="CQ431" s="1302">
        <v>0.016</v>
      </c>
      <c r="CR431" s="1302">
        <f t="shared" ref="CR431:DB431" si="3166">CR429/CR$388</f>
        <v>0.0139118296425546</v>
      </c>
      <c r="CS431" s="1304">
        <f t="shared" si="3166"/>
        <v>0.0156683855612852</v>
      </c>
      <c r="CT431" s="1303">
        <f t="shared" si="3166"/>
        <v>0.0149724192277384</v>
      </c>
      <c r="CU431" s="1302">
        <f t="shared" si="3166"/>
        <v>0.0145833333333333</v>
      </c>
      <c r="CV431" s="1302">
        <f t="shared" si="3166"/>
        <v>0.0147833130822195</v>
      </c>
      <c r="CW431" s="1302">
        <f t="shared" si="3166"/>
        <v>0.0105406324379463</v>
      </c>
      <c r="CX431" s="1302">
        <f t="shared" si="3166"/>
        <v>0.0131996446249524</v>
      </c>
      <c r="CY431" s="1302">
        <f t="shared" si="3166"/>
        <v>0.0124018189334436</v>
      </c>
      <c r="CZ431" s="1302">
        <f t="shared" si="3166"/>
        <v>0.0113805970149254</v>
      </c>
      <c r="DA431" s="1304">
        <f t="shared" si="3166"/>
        <v>0.0130122353855117</v>
      </c>
      <c r="DB431" s="1109">
        <f t="shared" si="3166"/>
        <v>0.012246460007654</v>
      </c>
      <c r="DC431" s="1082">
        <f>DC429/DC388</f>
        <v>-0.0461416070007955</v>
      </c>
      <c r="DD431" s="1082">
        <f>DD429/DD388</f>
        <v>-0.0163838502047981</v>
      </c>
      <c r="DE431" s="1082">
        <v>0.014</v>
      </c>
      <c r="DF431" s="1082">
        <f t="shared" ref="DF431:DY431" si="3167">DF429/DF388</f>
        <v>0.0137704118937363</v>
      </c>
      <c r="DG431" s="1082">
        <f t="shared" si="3167"/>
        <v>0.0205745341614907</v>
      </c>
      <c r="DH431" s="1082">
        <f t="shared" si="3167"/>
        <v>0.0442086648983201</v>
      </c>
      <c r="DI431" s="1085">
        <f t="shared" si="3167"/>
        <v>0.0174516457885109</v>
      </c>
      <c r="DJ431" s="1082">
        <f t="shared" si="3167"/>
        <v>0.0194024058983314</v>
      </c>
      <c r="DK431" s="1082">
        <f t="shared" si="3167"/>
        <v>0.0179080179080179</v>
      </c>
      <c r="DL431" s="1082">
        <f t="shared" si="3167"/>
        <v>0.0186730234406039</v>
      </c>
      <c r="DM431" s="1082">
        <f t="shared" si="3167"/>
        <v>0.010387811634349</v>
      </c>
      <c r="DN431" s="1082">
        <f t="shared" si="3167"/>
        <v>0.015650637384829</v>
      </c>
      <c r="DO431" s="1082">
        <f t="shared" si="3167"/>
        <v>0.0105777054515867</v>
      </c>
      <c r="DP431" s="1082">
        <f t="shared" si="3167"/>
        <v>0.0104849279161206</v>
      </c>
      <c r="DQ431" s="1085">
        <f t="shared" si="3167"/>
        <v>0.0144494750024082</v>
      </c>
      <c r="DR431" s="1082">
        <f t="shared" si="3167"/>
        <v>0.00635751682872102</v>
      </c>
      <c r="DS431" s="1094">
        <f t="shared" si="3167"/>
        <v>0.00651354130956462</v>
      </c>
      <c r="DT431" s="1082">
        <f t="shared" si="3167"/>
        <v>0.00626118067978533</v>
      </c>
      <c r="DU431" s="1082">
        <f t="shared" si="3167"/>
        <v>0.00893886966551326</v>
      </c>
      <c r="DV431" s="1082">
        <f t="shared" si="3167"/>
        <v>0.00728637668359461</v>
      </c>
      <c r="DW431" s="1082">
        <f t="shared" si="3167"/>
        <v>0.00750341064120055</v>
      </c>
      <c r="DX431" s="1082">
        <f t="shared" si="3167"/>
        <v>0.00828125</v>
      </c>
      <c r="DY431" s="1085">
        <f t="shared" si="3167"/>
        <v>0.0073394495412844</v>
      </c>
      <c r="DZ431" s="1083">
        <f>DZ429/DZ$388</f>
        <v>0.00855484265200122</v>
      </c>
      <c r="EA431" s="1083">
        <f>EA429/EA$388</f>
        <v>0.00718015665796345</v>
      </c>
      <c r="EB431" s="1083">
        <f t="shared" ref="EB431:EG431" si="3168">EB429/EB388</f>
        <v>0.00789016884961338</v>
      </c>
      <c r="EC431" s="1083">
        <f t="shared" si="3168"/>
        <v>0.00614316239316239</v>
      </c>
      <c r="ED431" s="1083">
        <f t="shared" si="3168"/>
        <v>0.00724134510465232</v>
      </c>
      <c r="EE431" s="1083">
        <f t="shared" si="3168"/>
        <v>0.00339401419315026</v>
      </c>
      <c r="EF431" s="1083">
        <f t="shared" si="3168"/>
        <v>0.00486757337151038</v>
      </c>
      <c r="EG431" s="1093">
        <f t="shared" si="3168"/>
        <v>0.00630535955562228</v>
      </c>
      <c r="EH431" s="1083">
        <f>EH429/EH$388</f>
        <v>0.00523012552301255</v>
      </c>
      <c r="EI431" s="1083">
        <f>EI429/EI$388</f>
        <v>0.00597099800966733</v>
      </c>
      <c r="EJ431" s="1083">
        <f t="shared" ref="EJ431:EO431" si="3169">EJ429/EJ388</f>
        <v>0.00558507015392998</v>
      </c>
      <c r="EK431" s="1083">
        <f t="shared" si="3169"/>
        <v>0.00359453630481668</v>
      </c>
      <c r="EL431" s="1083">
        <f t="shared" si="3169"/>
        <v>0.00486364425916276</v>
      </c>
      <c r="EM431" s="1083">
        <f t="shared" si="3169"/>
        <v>0.00415553576729</v>
      </c>
      <c r="EN431" s="1083">
        <f t="shared" si="3169"/>
        <v>0.00384513391673296</v>
      </c>
      <c r="EO431" s="1093">
        <f t="shared" si="3169"/>
        <v>0.00463616206409998</v>
      </c>
      <c r="EP431" s="1083">
        <f>EP429/EP$388</f>
        <v>0.00399893361770195</v>
      </c>
      <c r="EQ431" s="1094">
        <f t="shared" ref="EQ431:EZ431" si="3170">EQ429/EQ$388</f>
        <v>0.00472953000295596</v>
      </c>
      <c r="ER431" s="1094">
        <f t="shared" si="3170"/>
        <v>0.00434538828146902</v>
      </c>
      <c r="ES431" s="1094">
        <f t="shared" si="3170"/>
        <v>0.00541376643464811</v>
      </c>
      <c r="ET431" s="1094">
        <f t="shared" si="3170"/>
        <v>0.00472169254517389</v>
      </c>
      <c r="EU431" s="1094">
        <f t="shared" si="3170"/>
        <v>0.00488646162690428</v>
      </c>
      <c r="EV431" s="1094">
        <f t="shared" si="3170"/>
        <v>0.00516444686055993</v>
      </c>
      <c r="EW431" s="1093">
        <f t="shared" si="3170"/>
        <v>0.00469224399668783</v>
      </c>
      <c r="EX431" s="1094">
        <f t="shared" si="3170"/>
        <v>0.00373455903476013</v>
      </c>
      <c r="EY431" s="1094">
        <f t="shared" si="3170"/>
        <v>0.00441436138905238</v>
      </c>
      <c r="EZ431" s="1094">
        <f t="shared" si="3170"/>
        <v>0.00407035906381742</v>
      </c>
      <c r="FA431" s="1094">
        <f t="shared" ref="FA431:FT431" si="3171">FA429/FA$388</f>
        <v>0.00173095944609298</v>
      </c>
      <c r="FB431" s="1094">
        <f t="shared" si="3171"/>
        <v>0.00320424791723885</v>
      </c>
      <c r="FC431" s="1094">
        <f t="shared" si="3171"/>
        <v>0.003601108033241</v>
      </c>
      <c r="FD431" s="1094">
        <f t="shared" si="3171"/>
        <v>0.00261301280376274</v>
      </c>
      <c r="FE431" s="1093">
        <f t="shared" si="3171"/>
        <v>0.00330282804651483</v>
      </c>
      <c r="FF431" s="1094">
        <f t="shared" si="3171"/>
        <v>0</v>
      </c>
      <c r="FG431" s="1094">
        <f t="shared" si="3171"/>
        <v>0.00230355771691835</v>
      </c>
      <c r="FH431" s="1094">
        <f t="shared" si="3171"/>
        <v>0.00112640801001252</v>
      </c>
      <c r="FI431" s="1094">
        <f t="shared" si="3171"/>
        <v>0.00210216523018709</v>
      </c>
      <c r="FJ431" s="1094">
        <f t="shared" si="3171"/>
        <v>0.00149054679532439</v>
      </c>
      <c r="FK431" s="1094">
        <f t="shared" si="3171"/>
        <v>0.000479846449136276</v>
      </c>
      <c r="FL431" s="1094">
        <f t="shared" si="3171"/>
        <v>0.00134453781512605</v>
      </c>
      <c r="FM431" s="1093">
        <f t="shared" si="3171"/>
        <v>0.00124150162577594</v>
      </c>
      <c r="FN431" s="1094">
        <f t="shared" si="3171"/>
        <v>-0.00125812539316419</v>
      </c>
      <c r="FO431" s="1094">
        <f t="shared" si="3171"/>
        <v>0.00113045444268596</v>
      </c>
      <c r="FP431" s="1094">
        <f t="shared" si="3171"/>
        <v>-0.000108790252393386</v>
      </c>
      <c r="FQ431" s="1094">
        <f t="shared" si="3171"/>
        <v>0.00332594235033259</v>
      </c>
      <c r="FR431" s="1094">
        <f t="shared" si="3171"/>
        <v>0.00109559024924678</v>
      </c>
      <c r="FS431" s="1094">
        <f t="shared" si="3171"/>
        <v>0.00640204865556978</v>
      </c>
      <c r="FT431" s="1094">
        <f t="shared" si="3171"/>
        <v>0.0047534165181224</v>
      </c>
      <c r="FU431" s="1094">
        <f t="shared" ref="FU431:GF431" si="3172">FU429/FU$388</f>
        <v>0.00238465526179368</v>
      </c>
      <c r="FV431" s="1086">
        <f t="shared" si="3172"/>
        <v>-0.00146896804994491</v>
      </c>
      <c r="FW431" s="1087">
        <f t="shared" si="3172"/>
        <v>0.0037713378324732</v>
      </c>
      <c r="FX431" s="1094">
        <f t="shared" si="3172"/>
        <v>0.00104921785578024</v>
      </c>
      <c r="FY431" s="1094">
        <f t="shared" si="3172"/>
        <v>0.00493131384290243</v>
      </c>
      <c r="FZ431" s="1094">
        <f t="shared" si="3172"/>
        <v>0.00241306768964237</v>
      </c>
      <c r="GA431" s="1094">
        <f t="shared" si="3172"/>
        <v>0.00158227848101266</v>
      </c>
      <c r="GB431" s="1094">
        <f t="shared" si="3172"/>
        <v>0.00335382895472331</v>
      </c>
      <c r="GC431" s="1093">
        <f t="shared" si="3172"/>
        <v>0.00221510038646432</v>
      </c>
      <c r="GD431" s="1087">
        <f t="shared" si="3172"/>
        <v>-0.000540735400144196</v>
      </c>
      <c r="GE431" s="1087">
        <f t="shared" si="3172"/>
        <v>0.000760311727808401</v>
      </c>
      <c r="GF431" s="1094">
        <f t="shared" si="3172"/>
        <v>9.25154963456379e-5</v>
      </c>
      <c r="GG431" s="1094">
        <f t="shared" ref="GG431:GN431" si="3173">GG429/GG$388</f>
        <v>-0.0010216243827686</v>
      </c>
      <c r="GH431" s="1094">
        <f t="shared" si="3173"/>
        <v>-0.000299724253686608</v>
      </c>
      <c r="GI431" s="1094">
        <f t="shared" si="3173"/>
        <v>-0.000955474871010892</v>
      </c>
      <c r="GJ431" s="1094">
        <f t="shared" si="3173"/>
        <v>-0.000990455609580407</v>
      </c>
      <c r="GK431" s="1093">
        <f t="shared" si="3173"/>
        <v>-0.000456308464522017</v>
      </c>
      <c r="GL431" s="1087">
        <f t="shared" si="3173"/>
        <v>0.00458949515553289</v>
      </c>
      <c r="GM431" s="1087">
        <f t="shared" si="3173"/>
        <v>0.00435650753312761</v>
      </c>
      <c r="GN431" s="1094">
        <f t="shared" si="3173"/>
        <v>0.00447682584269663</v>
      </c>
      <c r="GO431" s="1094">
        <f t="shared" ref="GO431:GV431" si="3174">GO429/GO$388</f>
        <v>0.00499219968798752</v>
      </c>
      <c r="GP431" s="1094">
        <f t="shared" si="3174"/>
        <v>0.00466239748342883</v>
      </c>
      <c r="GQ431" s="1094">
        <f t="shared" si="3174"/>
        <v>0.00325398184620654</v>
      </c>
      <c r="GR431" s="1094">
        <f t="shared" si="3174"/>
        <v>0.00416360519226059</v>
      </c>
      <c r="GS431" s="1093">
        <f t="shared" si="3174"/>
        <v>0.00431453830210228</v>
      </c>
      <c r="GT431" s="1087">
        <f t="shared" si="3174"/>
        <v>0.0079949505575426</v>
      </c>
      <c r="GU431" s="1087">
        <f t="shared" si="3174"/>
        <v>0.00866249171823869</v>
      </c>
      <c r="GV431" s="1094">
        <f t="shared" si="3174"/>
        <v>0.00828167587993103</v>
      </c>
      <c r="GW431" s="1094">
        <f t="shared" ref="GW431:HD431" si="3175">GW429/GW$388</f>
        <v>0.00653888237422459</v>
      </c>
      <c r="GX431" s="1094">
        <f t="shared" si="3175"/>
        <v>0.00755457709792178</v>
      </c>
      <c r="GY431" s="1094">
        <f t="shared" si="3175"/>
        <v>0.0122566005849643</v>
      </c>
      <c r="GZ431" s="1094">
        <f t="shared" si="3175"/>
        <v>0.00929436406267253</v>
      </c>
      <c r="HA431" s="1093">
        <f t="shared" si="3175"/>
        <v>0.00886917960088692</v>
      </c>
      <c r="HB431" s="1087">
        <f t="shared" si="3175"/>
        <v>0.00664388762338648</v>
      </c>
      <c r="HC431" s="1087">
        <f t="shared" si="3175"/>
        <v>0.00649990151664369</v>
      </c>
      <c r="HD431" s="1094">
        <f t="shared" si="3175"/>
        <v>0.00657322377960367</v>
      </c>
      <c r="HE431" s="1094">
        <f t="shared" ref="HE431:HL431" si="3176">HE429/HE$388</f>
        <v>0.00747566063977746</v>
      </c>
      <c r="HF431" s="1094">
        <f t="shared" si="3176"/>
        <v>0.00689569484997204</v>
      </c>
      <c r="HG431" s="1094">
        <f t="shared" si="3176"/>
        <v>0.00447732139380962</v>
      </c>
      <c r="HH431" s="1094">
        <f t="shared" si="3176"/>
        <v>0.00606116264119754</v>
      </c>
      <c r="HI431" s="1093">
        <f t="shared" si="3176"/>
        <v>0.00631063388904587</v>
      </c>
      <c r="HJ431" s="1087">
        <f t="shared" si="3176"/>
        <v>0.004903809883063</v>
      </c>
      <c r="HK431" s="1087">
        <f t="shared" si="3176"/>
        <v>0.0162587100232267</v>
      </c>
      <c r="HL431" s="1094">
        <f t="shared" si="3176"/>
        <v>0.0107349298100743</v>
      </c>
      <c r="HM431" s="1094">
        <f t="shared" ref="HM431:HT431" si="3177">HM429/HM$388</f>
        <v>0.023876404494382</v>
      </c>
      <c r="HN431" s="1094">
        <f t="shared" si="3177"/>
        <v>0.015600624024961</v>
      </c>
      <c r="HO431" s="1094">
        <f t="shared" si="3177"/>
        <v>0.00211375864719447</v>
      </c>
      <c r="HP431" s="1094">
        <f t="shared" si="3177"/>
        <v>0.0139824366953704</v>
      </c>
      <c r="HQ431" s="1093">
        <f t="shared" si="3177"/>
        <v>0.0124827861934166</v>
      </c>
      <c r="HR431" s="1087">
        <f t="shared" si="3177"/>
        <v>0.00492984452028821</v>
      </c>
      <c r="HS431" s="1087">
        <f t="shared" si="3177"/>
        <v>0.00606918875177018</v>
      </c>
      <c r="HT431" s="1094">
        <f t="shared" si="3177"/>
        <v>0.00549504464723776</v>
      </c>
      <c r="HU431" s="1094">
        <f t="shared" ref="HU431:IB431" si="3178">HU429/HU$388</f>
        <v>0.0146928659939812</v>
      </c>
      <c r="HV431" s="1094">
        <f t="shared" si="3178"/>
        <v>0.00878745732709571</v>
      </c>
      <c r="HW431" s="1094">
        <f t="shared" si="3178"/>
        <v>0.0133000831255195</v>
      </c>
      <c r="HX431" s="1094">
        <f t="shared" si="3178"/>
        <v>0.0140521938629194</v>
      </c>
      <c r="HY431" s="1093">
        <f t="shared" si="3178"/>
        <v>0.00981719702098849</v>
      </c>
      <c r="HZ431" s="1087">
        <f t="shared" si="3178"/>
        <v>0.0171439336850038</v>
      </c>
      <c r="IA431" s="1087">
        <f t="shared" si="3178"/>
        <v>0.00747065101387407</v>
      </c>
      <c r="IB431" s="1094">
        <f t="shared" si="3178"/>
        <v>0.0121683440073193</v>
      </c>
      <c r="IC431" s="1094">
        <f t="shared" ref="IC431:IJ431" si="3179">IC429/IC$388</f>
        <v>-0.000480923372875922</v>
      </c>
      <c r="ID431" s="1094">
        <f t="shared" si="3179"/>
        <v>0.00758459743290548</v>
      </c>
      <c r="IE431" s="1094">
        <f t="shared" si="3179"/>
        <v>0.0146632566069906</v>
      </c>
      <c r="IF431" s="1094">
        <f t="shared" si="3179"/>
        <v>0.00685327388324663</v>
      </c>
      <c r="IG431" s="1093">
        <f t="shared" si="3179"/>
        <v>0.0093778491729258</v>
      </c>
      <c r="IH431" s="1087">
        <f t="shared" si="3179"/>
        <v>0.0040630586705672</v>
      </c>
      <c r="II431" s="1087">
        <f t="shared" si="3179"/>
        <v>0.00974462365591398</v>
      </c>
      <c r="IJ431" s="1094">
        <f t="shared" si="3179"/>
        <v>0.00685667079719124</v>
      </c>
      <c r="IK431" s="1094">
        <f t="shared" ref="IK431:IR431" si="3180">IK429/IK$388</f>
        <v>0.0129713423831071</v>
      </c>
      <c r="IL431" s="1094">
        <f t="shared" si="3180"/>
        <v>0.00903405142460042</v>
      </c>
      <c r="IM431" s="1094">
        <f t="shared" si="3180"/>
        <v>0.011026991441738</v>
      </c>
      <c r="IN431" s="1094">
        <f t="shared" si="3180"/>
        <v>0.012086262737973</v>
      </c>
      <c r="IO431" s="1093">
        <f t="shared" si="3180"/>
        <v>0.00951191003990166</v>
      </c>
      <c r="IP431" s="1087">
        <f t="shared" si="3180"/>
        <v>0.0033373786407767</v>
      </c>
      <c r="IQ431" s="1087">
        <f t="shared" si="3180"/>
        <v>0.00652528548123971</v>
      </c>
      <c r="IR431" s="1094">
        <f t="shared" si="3180"/>
        <v>0.00494938132733404</v>
      </c>
      <c r="IS431" s="1094">
        <f t="shared" ref="IS431:IW431" si="3181">IS429/IS$388</f>
        <v>0.0113979352863202</v>
      </c>
      <c r="IT431" s="1094">
        <f t="shared" si="3181"/>
        <v>0.00722703840710252</v>
      </c>
      <c r="IU431" s="1094">
        <f t="shared" si="3181"/>
        <v>0.01181722796817</v>
      </c>
      <c r="IV431" s="1094">
        <f t="shared" si="3181"/>
        <v>0.0115959413181255</v>
      </c>
      <c r="IW431" s="1093">
        <f t="shared" si="3181"/>
        <v>0.00832936178911571</v>
      </c>
      <c r="IX431" s="1087"/>
      <c r="IY431" s="1037"/>
      <c r="IZ431" s="1071"/>
      <c r="JA431" s="1071"/>
      <c r="JB431" s="1071"/>
      <c r="JC431" s="1049"/>
      <c r="JD431" s="1049"/>
      <c r="JE431" s="1049"/>
      <c r="JF431" s="1082"/>
      <c r="JG431" s="1082"/>
      <c r="JH431" s="1082"/>
      <c r="JI431" s="1082"/>
      <c r="JJ431" s="1035"/>
      <c r="JK431" s="1035"/>
      <c r="JL431" s="1035"/>
      <c r="JM431" s="1035"/>
      <c r="JN431" s="1035"/>
      <c r="JO431" s="1035"/>
      <c r="JP431" s="1035"/>
      <c r="JQ431" s="1082"/>
      <c r="JR431" s="1035"/>
      <c r="JS431" s="1035"/>
      <c r="JT431" s="1035"/>
      <c r="JU431" s="1035"/>
      <c r="JV431" s="1035"/>
      <c r="JW431" s="1035"/>
      <c r="JX431" s="1035"/>
      <c r="JY431" s="1035"/>
    </row>
    <row r="432" spans="1:285">
      <c r="A432" s="1254" t="s">
        <v>164</v>
      </c>
      <c r="B432" s="1292">
        <v>121.6</v>
      </c>
      <c r="C432" s="1292">
        <v>87</v>
      </c>
      <c r="D432" s="1292">
        <f>B432+C432</f>
        <v>208.6</v>
      </c>
      <c r="E432" s="1292">
        <v>166</v>
      </c>
      <c r="F432" s="1292">
        <f>D432+E432</f>
        <v>374.6</v>
      </c>
      <c r="G432" s="1292">
        <v>22</v>
      </c>
      <c r="H432" s="1292">
        <f>H426-H429</f>
        <v>-720.6911</v>
      </c>
      <c r="I432" s="1292">
        <f>F432+G432</f>
        <v>396.6</v>
      </c>
      <c r="J432" s="1292">
        <v>99.0388100000001</v>
      </c>
      <c r="K432" s="1292">
        <v>54.55571</v>
      </c>
      <c r="L432" s="1292">
        <f>J432+K432</f>
        <v>153.59452</v>
      </c>
      <c r="M432" s="1292">
        <v>106.3504</v>
      </c>
      <c r="N432" s="1292">
        <f>L432+M432</f>
        <v>259.94492</v>
      </c>
      <c r="O432" s="1292">
        <v>16.387165</v>
      </c>
      <c r="P432" s="1292">
        <f>P426-P429</f>
        <v>99.4734150000004</v>
      </c>
      <c r="Q432" s="1292">
        <f>N432+O432</f>
        <v>276.332085</v>
      </c>
      <c r="R432" s="1292">
        <v>135.23885</v>
      </c>
      <c r="S432" s="1292">
        <v>70.842552</v>
      </c>
      <c r="T432" s="1292">
        <f>R432+S432</f>
        <v>206.081402</v>
      </c>
      <c r="U432" s="1292">
        <v>171.2899</v>
      </c>
      <c r="V432" s="1292">
        <f>T432+U432</f>
        <v>377.371302</v>
      </c>
      <c r="W432" s="1292">
        <v>22.8955000000001</v>
      </c>
      <c r="X432" s="1292">
        <f>X426-X429</f>
        <v>160.5482</v>
      </c>
      <c r="Y432" s="1292">
        <f>V432+W432</f>
        <v>400.266802</v>
      </c>
      <c r="Z432" s="1292">
        <v>149.2996</v>
      </c>
      <c r="AA432" s="1292">
        <v>32.7231999999999</v>
      </c>
      <c r="AB432" s="1292">
        <f>Z432+AA432</f>
        <v>182.0228</v>
      </c>
      <c r="AC432" s="1292">
        <v>162.0821</v>
      </c>
      <c r="AD432" s="1292">
        <f>AB432+AC432</f>
        <v>344.1049</v>
      </c>
      <c r="AE432" s="1292">
        <v>-37.3044479999998</v>
      </c>
      <c r="AF432" s="1292">
        <f>AF426-AF429</f>
        <v>124.800252</v>
      </c>
      <c r="AG432" s="1292">
        <f>AD432+AE432</f>
        <v>306.800452</v>
      </c>
      <c r="AH432" s="1292">
        <v>98.6809000000002</v>
      </c>
      <c r="AI432" s="1292">
        <v>60.3326000000001</v>
      </c>
      <c r="AJ432" s="1292">
        <f>AH432+AI432</f>
        <v>159.0135</v>
      </c>
      <c r="AK432" s="1292">
        <v>216</v>
      </c>
      <c r="AL432" s="1292">
        <f>AJ432+AK432</f>
        <v>375.0135</v>
      </c>
      <c r="AM432" s="1292">
        <v>16</v>
      </c>
      <c r="AN432" s="1292">
        <f>AN426-AN429</f>
        <v>234</v>
      </c>
      <c r="AO432" s="1292">
        <f>AL432+AM432</f>
        <v>391.0135</v>
      </c>
      <c r="AP432" s="1292">
        <v>100</v>
      </c>
      <c r="AQ432" s="1292">
        <v>35</v>
      </c>
      <c r="AR432" s="1292">
        <f>AP432+AQ432</f>
        <v>135</v>
      </c>
      <c r="AS432" s="1292">
        <v>190</v>
      </c>
      <c r="AT432" s="1292">
        <f>AR432+AS432</f>
        <v>325</v>
      </c>
      <c r="AU432" s="1292">
        <v>20</v>
      </c>
      <c r="AV432" s="1292">
        <f>AV426-AV429</f>
        <v>210</v>
      </c>
      <c r="AW432" s="1292">
        <f>AT432+AU432</f>
        <v>345</v>
      </c>
      <c r="AX432" s="1293">
        <v>91</v>
      </c>
      <c r="AY432" s="1292">
        <v>47.5</v>
      </c>
      <c r="AZ432" s="1292">
        <f>AX432+AY432</f>
        <v>138.5</v>
      </c>
      <c r="BA432" s="1292">
        <v>190</v>
      </c>
      <c r="BB432" s="1292">
        <f>AY432+BA432</f>
        <v>237.5</v>
      </c>
      <c r="BC432" s="1292">
        <v>46</v>
      </c>
      <c r="BD432" s="1292">
        <f>BD426-BD429</f>
        <v>235.5</v>
      </c>
      <c r="BE432" s="1294">
        <f>BB432+BC432</f>
        <v>283.5</v>
      </c>
      <c r="BF432" s="1292">
        <f t="shared" ref="BF432:CJ432" si="3182">BF426-BF429</f>
        <v>79</v>
      </c>
      <c r="BG432" s="1292">
        <f t="shared" si="3182"/>
        <v>41.9845</v>
      </c>
      <c r="BH432" s="1292">
        <f t="shared" si="3182"/>
        <v>120.9845</v>
      </c>
      <c r="BI432" s="1292">
        <f t="shared" si="3182"/>
        <v>219</v>
      </c>
      <c r="BJ432" s="1292">
        <f t="shared" si="3182"/>
        <v>339.9845</v>
      </c>
      <c r="BK432" s="1292">
        <f t="shared" si="3182"/>
        <v>48.7</v>
      </c>
      <c r="BL432" s="1292">
        <f t="shared" si="3182"/>
        <v>267.7</v>
      </c>
      <c r="BM432" s="1292">
        <f t="shared" si="3182"/>
        <v>388.6845</v>
      </c>
      <c r="BN432" s="1293">
        <f t="shared" si="3182"/>
        <v>99</v>
      </c>
      <c r="BO432" s="1292">
        <f t="shared" si="3182"/>
        <v>50</v>
      </c>
      <c r="BP432" s="1292">
        <f t="shared" si="3182"/>
        <v>149</v>
      </c>
      <c r="BQ432" s="1292">
        <f t="shared" si="3182"/>
        <v>253</v>
      </c>
      <c r="BR432" s="1292">
        <f t="shared" si="3182"/>
        <v>402</v>
      </c>
      <c r="BS432" s="1292">
        <f t="shared" si="3182"/>
        <v>37</v>
      </c>
      <c r="BT432" s="1292">
        <f t="shared" si="3182"/>
        <v>290</v>
      </c>
      <c r="BU432" s="1294">
        <f t="shared" si="3182"/>
        <v>439</v>
      </c>
      <c r="BV432" s="1293">
        <f t="shared" si="3182"/>
        <v>149</v>
      </c>
      <c r="BW432" s="1292">
        <f t="shared" si="3182"/>
        <v>104</v>
      </c>
      <c r="BX432" s="1292">
        <f t="shared" si="3182"/>
        <v>253</v>
      </c>
      <c r="BY432" s="1292">
        <f t="shared" si="3182"/>
        <v>265</v>
      </c>
      <c r="BZ432" s="1292">
        <f t="shared" si="3182"/>
        <v>518</v>
      </c>
      <c r="CA432" s="1292">
        <f t="shared" si="3182"/>
        <v>10</v>
      </c>
      <c r="CB432" s="1292">
        <f t="shared" si="3182"/>
        <v>275</v>
      </c>
      <c r="CC432" s="1294">
        <f t="shared" si="3182"/>
        <v>528</v>
      </c>
      <c r="CD432" s="1293">
        <f t="shared" si="3182"/>
        <v>195</v>
      </c>
      <c r="CE432" s="1292">
        <f t="shared" si="3182"/>
        <v>142</v>
      </c>
      <c r="CF432" s="1292">
        <f t="shared" si="3182"/>
        <v>337</v>
      </c>
      <c r="CG432" s="1292">
        <f t="shared" si="3182"/>
        <v>309</v>
      </c>
      <c r="CH432" s="1292">
        <f t="shared" si="3182"/>
        <v>646</v>
      </c>
      <c r="CI432" s="1292">
        <f t="shared" si="3182"/>
        <v>11</v>
      </c>
      <c r="CJ432" s="1292">
        <f t="shared" si="3182"/>
        <v>320</v>
      </c>
      <c r="CK432" s="1294">
        <f>CH432+CI432</f>
        <v>657</v>
      </c>
      <c r="CL432" s="1293">
        <v>220</v>
      </c>
      <c r="CM432" s="1292">
        <f>CM426-CM429</f>
        <v>128.4</v>
      </c>
      <c r="CN432" s="1292">
        <f>CN426-CN429</f>
        <v>347.7</v>
      </c>
      <c r="CO432" s="1292">
        <f>CP432-CN432</f>
        <v>361.3</v>
      </c>
      <c r="CP432" s="1292">
        <f t="shared" ref="CP432:DC432" si="3183">CP426-CP429</f>
        <v>709</v>
      </c>
      <c r="CQ432" s="1292">
        <f t="shared" si="3183"/>
        <v>15</v>
      </c>
      <c r="CR432" s="1292">
        <f t="shared" si="3183"/>
        <v>460.71591075</v>
      </c>
      <c r="CS432" s="1294">
        <f t="shared" si="3183"/>
        <v>723</v>
      </c>
      <c r="CT432" s="1293">
        <f t="shared" si="3183"/>
        <v>191</v>
      </c>
      <c r="CU432" s="1292">
        <f t="shared" si="3183"/>
        <v>153</v>
      </c>
      <c r="CV432" s="1292">
        <f t="shared" si="3183"/>
        <v>344</v>
      </c>
      <c r="CW432" s="1292">
        <f t="shared" si="3183"/>
        <v>441</v>
      </c>
      <c r="CX432" s="1292">
        <f t="shared" si="3183"/>
        <v>785</v>
      </c>
      <c r="CY432" s="1292">
        <f t="shared" si="3183"/>
        <v>30</v>
      </c>
      <c r="CZ432" s="1292">
        <f t="shared" si="3183"/>
        <v>471</v>
      </c>
      <c r="DA432" s="1294">
        <f t="shared" si="3183"/>
        <v>815</v>
      </c>
      <c r="DB432" s="1315">
        <f t="shared" si="3183"/>
        <v>250</v>
      </c>
      <c r="DC432" s="1316">
        <f t="shared" si="3183"/>
        <v>231</v>
      </c>
      <c r="DD432" s="1316">
        <v>419</v>
      </c>
      <c r="DE432" s="1316">
        <f>DE426-DE429</f>
        <v>431</v>
      </c>
      <c r="DF432" s="1316">
        <f>DF426-DF429</f>
        <v>850</v>
      </c>
      <c r="DG432" s="1316">
        <f>DG426-DG429</f>
        <v>54</v>
      </c>
      <c r="DH432" s="1316">
        <f>DI432-DD432</f>
        <v>485</v>
      </c>
      <c r="DI432" s="1317">
        <f>'Profit and Loss'!O383</f>
        <v>904</v>
      </c>
      <c r="DJ432" s="1316">
        <f t="shared" ref="DJ432:DP432" si="3184">DJ426-DJ429</f>
        <v>8</v>
      </c>
      <c r="DK432" s="1316">
        <f t="shared" si="3184"/>
        <v>28</v>
      </c>
      <c r="DL432" s="1316">
        <f t="shared" si="3184"/>
        <v>36</v>
      </c>
      <c r="DM432" s="1316">
        <f t="shared" si="3184"/>
        <v>306</v>
      </c>
      <c r="DN432" s="1316">
        <f t="shared" si="3184"/>
        <v>342</v>
      </c>
      <c r="DO432" s="1316">
        <f t="shared" si="3184"/>
        <v>16</v>
      </c>
      <c r="DP432" s="1316">
        <f t="shared" si="3184"/>
        <v>270.43199998426</v>
      </c>
      <c r="DQ432" s="1317">
        <f>'Profit and Loss'!P383</f>
        <v>358</v>
      </c>
      <c r="DR432" s="1316">
        <f>DR426-DR429</f>
        <v>243</v>
      </c>
      <c r="DS432" s="1316">
        <f>DS426-DS429</f>
        <v>176</v>
      </c>
      <c r="DT432" s="1316">
        <f>DR432+DS432</f>
        <v>419</v>
      </c>
      <c r="DU432" s="1316">
        <f>DU426-DU429</f>
        <v>380</v>
      </c>
      <c r="DV432" s="1316">
        <f>DT432+DU432</f>
        <v>799</v>
      </c>
      <c r="DW432" s="1316">
        <f>DY432-DV432</f>
        <v>7</v>
      </c>
      <c r="DX432" s="1316">
        <f>DU432+DW432</f>
        <v>387</v>
      </c>
      <c r="DY432" s="1317">
        <f>'Profit and Loss'!Q383</f>
        <v>806</v>
      </c>
      <c r="DZ432" s="1316">
        <f>DZ426-DZ429</f>
        <v>285</v>
      </c>
      <c r="EA432" s="1316">
        <f>EA426-EA429</f>
        <v>197</v>
      </c>
      <c r="EB432" s="1316">
        <f>DZ432+EA432</f>
        <v>482</v>
      </c>
      <c r="EC432" s="1316">
        <f>EC426-EC429</f>
        <v>418</v>
      </c>
      <c r="ED432" s="1316">
        <f>EB432+EC432</f>
        <v>900</v>
      </c>
      <c r="EE432" s="1316">
        <f>EE426-EE429</f>
        <v>-31</v>
      </c>
      <c r="EF432" s="1316">
        <f>EC432+EE432</f>
        <v>387</v>
      </c>
      <c r="EG432" s="1317">
        <f>'Profit and Loss'!R383</f>
        <v>869</v>
      </c>
      <c r="EH432" s="1316">
        <f>EH426-EH429</f>
        <v>389</v>
      </c>
      <c r="EI432" s="1316">
        <f>EI426-EI429</f>
        <v>235</v>
      </c>
      <c r="EJ432" s="1316">
        <f>EH432+EI432</f>
        <v>624</v>
      </c>
      <c r="EK432" s="1316">
        <f>-EK429+EK426</f>
        <v>479</v>
      </c>
      <c r="EL432" s="1316">
        <f>EJ432+EK432</f>
        <v>1103</v>
      </c>
      <c r="EM432" s="1316">
        <f>EM426-EM429</f>
        <v>-253</v>
      </c>
      <c r="EN432" s="1316">
        <f>EK432+EM432</f>
        <v>226</v>
      </c>
      <c r="EO432" s="1317">
        <f>EH432+EI432+EK432+EM432</f>
        <v>850</v>
      </c>
      <c r="EP432" s="1316">
        <f>EP426-EP429</f>
        <v>427</v>
      </c>
      <c r="EQ432" s="1316">
        <f>EQ426-EQ429</f>
        <v>236</v>
      </c>
      <c r="ER432" s="1316">
        <f>EP432+EQ432</f>
        <v>663</v>
      </c>
      <c r="ES432" s="1316">
        <f>ES426-ES429</f>
        <v>442</v>
      </c>
      <c r="ET432" s="1316">
        <f>ER432+ES432</f>
        <v>1105</v>
      </c>
      <c r="EU432" s="1316">
        <f>EU426-EU429</f>
        <v>28</v>
      </c>
      <c r="EV432" s="1316">
        <f>ES432+EU432</f>
        <v>470</v>
      </c>
      <c r="EW432" s="1317">
        <f t="shared" ref="EW432:FG432" si="3185">EW426-EW429</f>
        <v>1134</v>
      </c>
      <c r="EX432" s="1316">
        <f t="shared" si="3185"/>
        <v>294</v>
      </c>
      <c r="EY432" s="1316">
        <f t="shared" si="3185"/>
        <v>202</v>
      </c>
      <c r="EZ432" s="1316">
        <f t="shared" si="3185"/>
        <v>496</v>
      </c>
      <c r="FA432" s="1316">
        <f t="shared" si="3185"/>
        <v>392</v>
      </c>
      <c r="FB432" s="1316">
        <f t="shared" si="3185"/>
        <v>888</v>
      </c>
      <c r="FC432" s="1316">
        <f t="shared" si="3185"/>
        <v>-53</v>
      </c>
      <c r="FD432" s="1316">
        <f t="shared" si="3185"/>
        <v>250</v>
      </c>
      <c r="FE432" s="1317">
        <f t="shared" si="3185"/>
        <v>835</v>
      </c>
      <c r="FF432" s="1316">
        <f t="shared" si="3185"/>
        <v>345</v>
      </c>
      <c r="FG432" s="1316">
        <f t="shared" si="3185"/>
        <v>225</v>
      </c>
      <c r="FH432" s="1316">
        <f t="shared" ref="FH432:FN432" si="3186">FH426-FH429</f>
        <v>570</v>
      </c>
      <c r="FI432" s="1316">
        <f t="shared" si="3186"/>
        <v>495</v>
      </c>
      <c r="FJ432" s="1316">
        <f t="shared" si="3186"/>
        <v>1065</v>
      </c>
      <c r="FK432" s="1316">
        <f t="shared" si="3186"/>
        <v>-27</v>
      </c>
      <c r="FL432" s="1316">
        <f t="shared" si="3186"/>
        <v>468</v>
      </c>
      <c r="FM432" s="1317">
        <f t="shared" si="3186"/>
        <v>1038</v>
      </c>
      <c r="FN432" s="1316">
        <f t="shared" si="3186"/>
        <v>496</v>
      </c>
      <c r="FO432" s="1316">
        <f t="shared" ref="FO432:GE432" si="3187">FO426-FO429</f>
        <v>409</v>
      </c>
      <c r="FP432" s="1316">
        <f t="shared" si="3187"/>
        <v>905</v>
      </c>
      <c r="FQ432" s="1316">
        <f t="shared" si="3187"/>
        <v>545</v>
      </c>
      <c r="FR432" s="1316">
        <f t="shared" si="3187"/>
        <v>1452</v>
      </c>
      <c r="FS432" s="1316">
        <f t="shared" si="3187"/>
        <v>-7</v>
      </c>
      <c r="FT432" s="1316">
        <f t="shared" si="3187"/>
        <v>538</v>
      </c>
      <c r="FU432" s="1316">
        <f t="shared" si="3187"/>
        <v>1445</v>
      </c>
      <c r="FV432" s="1296">
        <f>FX432-FW432</f>
        <v>645</v>
      </c>
      <c r="FW432" s="1316">
        <f>FW426-FW429</f>
        <v>486</v>
      </c>
      <c r="FX432" s="1316">
        <v>1131</v>
      </c>
      <c r="FY432" s="1316">
        <f t="shared" si="3187"/>
        <v>767</v>
      </c>
      <c r="FZ432" s="1316">
        <f t="shared" si="3187"/>
        <v>1898</v>
      </c>
      <c r="GA432" s="1316">
        <f t="shared" si="3187"/>
        <v>125</v>
      </c>
      <c r="GB432" s="1316">
        <f t="shared" si="3187"/>
        <v>892</v>
      </c>
      <c r="GC432" s="1317">
        <f t="shared" si="3187"/>
        <v>2023</v>
      </c>
      <c r="GD432" s="1316">
        <f t="shared" si="3187"/>
        <v>749</v>
      </c>
      <c r="GE432" s="1316">
        <f t="shared" si="3187"/>
        <v>588</v>
      </c>
      <c r="GF432" s="1316">
        <f>GE432+GD432</f>
        <v>1337</v>
      </c>
      <c r="GG432" s="1316">
        <f>GG426-GG429</f>
        <v>907</v>
      </c>
      <c r="GH432" s="1316">
        <f>GG432+GF432</f>
        <v>2244</v>
      </c>
      <c r="GI432" s="1316">
        <f>GI426-GI429</f>
        <v>134.000000000002</v>
      </c>
      <c r="GJ432" s="1316">
        <f>GI432+GG432</f>
        <v>1041</v>
      </c>
      <c r="GK432" s="1317">
        <f>GJ432+GF432</f>
        <v>2378</v>
      </c>
      <c r="GL432" s="1316">
        <f>GL426-GL429</f>
        <v>848</v>
      </c>
      <c r="GM432" s="1316">
        <f>GM426-GM429</f>
        <v>619</v>
      </c>
      <c r="GN432" s="1316">
        <f>GM432+GL432</f>
        <v>1467</v>
      </c>
      <c r="GO432" s="1316">
        <f>GO426-GO429</f>
        <v>865</v>
      </c>
      <c r="GP432" s="1316">
        <f>GO432+GN432</f>
        <v>2332</v>
      </c>
      <c r="GQ432" s="1316">
        <f>GQ426-GQ429</f>
        <v>226</v>
      </c>
      <c r="GR432" s="1316">
        <f>GQ432+GO432</f>
        <v>1091</v>
      </c>
      <c r="GS432" s="1317">
        <f>GR432+GN432</f>
        <v>2558</v>
      </c>
      <c r="GT432" s="1316">
        <f>GT426-GT429</f>
        <v>26.9999999999999</v>
      </c>
      <c r="GU432" s="1316">
        <f>GU426-GU429</f>
        <v>-364</v>
      </c>
      <c r="GV432" s="1316">
        <f>GU432+GT432</f>
        <v>-337</v>
      </c>
      <c r="GW432" s="1316">
        <f>GW426-GW429</f>
        <v>755.030088559999</v>
      </c>
      <c r="GX432" s="1316">
        <f>GW432+GV432</f>
        <v>418.030088559998</v>
      </c>
      <c r="GY432" s="1316">
        <f>GY426-GY429</f>
        <v>156.969911440003</v>
      </c>
      <c r="GZ432" s="1316">
        <f>GY432+GW432</f>
        <v>912.000000000001</v>
      </c>
      <c r="HA432" s="1317">
        <f>GZ432+GV432</f>
        <v>575.000000000001</v>
      </c>
      <c r="HB432" s="1316">
        <f>HB426-HB429</f>
        <v>669</v>
      </c>
      <c r="HC432" s="1316">
        <f>HC426-HC429</f>
        <v>510</v>
      </c>
      <c r="HD432" s="1316">
        <f>HC432+HB432</f>
        <v>1179</v>
      </c>
      <c r="HE432" s="1316">
        <f>HE426-HE429</f>
        <v>629</v>
      </c>
      <c r="HF432" s="1316">
        <f>HE432+HD432</f>
        <v>1808</v>
      </c>
      <c r="HG432" s="1316">
        <f>HI432-HE432-HB432-HC432</f>
        <v>43.9999999999991</v>
      </c>
      <c r="HH432" s="1316">
        <f>HG432+HE432</f>
        <v>672.999999999999</v>
      </c>
      <c r="HI432" s="1317">
        <f>HI426-HI429</f>
        <v>1852</v>
      </c>
      <c r="HJ432" s="1316">
        <f>HJ426-HJ429</f>
        <v>411.000000000001</v>
      </c>
      <c r="HK432" s="1316">
        <f>HK426-HK429</f>
        <v>299.999999999999</v>
      </c>
      <c r="HL432" s="1316">
        <f>HK432+HJ432</f>
        <v>711</v>
      </c>
      <c r="HM432" s="1316">
        <f>HM426-HM429</f>
        <v>411</v>
      </c>
      <c r="HN432" s="1316">
        <f>HM432+HL432</f>
        <v>1122</v>
      </c>
      <c r="HO432" s="1316">
        <f>HQ432-HM432-HJ432-HK432</f>
        <v>-734</v>
      </c>
      <c r="HP432" s="1316">
        <f>HO432+HM432</f>
        <v>-323</v>
      </c>
      <c r="HQ432" s="1317">
        <f>HQ426-HQ429</f>
        <v>388</v>
      </c>
      <c r="HR432" s="1316">
        <f>HR426-HR429</f>
        <v>33.9999999999999</v>
      </c>
      <c r="HS432" s="1316">
        <f>HS426-HS429</f>
        <v>45.9999999999997</v>
      </c>
      <c r="HT432" s="1316">
        <f>HS432+HR432</f>
        <v>79.9999999999996</v>
      </c>
      <c r="HU432" s="1316">
        <f>HU426-HU429</f>
        <v>286.000000000001</v>
      </c>
      <c r="HV432" s="1316">
        <f>HU432+HT432</f>
        <v>366.000000000001</v>
      </c>
      <c r="HW432" s="1316">
        <f>HY432-HU432-HR432-HS432</f>
        <v>-368.999999999999</v>
      </c>
      <c r="HX432" s="1316">
        <f>HW432+HU432</f>
        <v>-82.999999999998</v>
      </c>
      <c r="HY432" s="1317">
        <f>HY426-HY429</f>
        <v>-2.99999999999841</v>
      </c>
      <c r="HZ432" s="1316">
        <f>HZ426-HZ429</f>
        <v>195</v>
      </c>
      <c r="IA432" s="1316">
        <f>IA426-IA429</f>
        <v>254</v>
      </c>
      <c r="IB432" s="1316">
        <f>IA432+HZ432</f>
        <v>449</v>
      </c>
      <c r="IC432" s="1316">
        <f>IC426-IC429</f>
        <v>551</v>
      </c>
      <c r="ID432" s="1316">
        <f>IC432+IB432</f>
        <v>1000</v>
      </c>
      <c r="IE432" s="1316">
        <f>IG432-IC432-HZ432-IA432</f>
        <v>-79.0000000000077</v>
      </c>
      <c r="IF432" s="1316">
        <f>IE432+IC432</f>
        <v>471.999999999992</v>
      </c>
      <c r="IG432" s="1317">
        <f>IG426-IG429</f>
        <v>920.999999999992</v>
      </c>
      <c r="IH432" s="1316">
        <f>IH426-IH429</f>
        <v>585</v>
      </c>
      <c r="II432" s="1316">
        <f>II426-II429</f>
        <v>488</v>
      </c>
      <c r="IJ432" s="1316">
        <f>II432+IH432</f>
        <v>1073</v>
      </c>
      <c r="IK432" s="1316">
        <f>IK426-IK429</f>
        <v>650</v>
      </c>
      <c r="IL432" s="1316">
        <f>IK432+IJ432</f>
        <v>1723</v>
      </c>
      <c r="IM432" s="1316">
        <f>IO432-IK432-IH432-II432</f>
        <v>96.9999999999998</v>
      </c>
      <c r="IN432" s="1316">
        <f>IM432+IK432</f>
        <v>747</v>
      </c>
      <c r="IO432" s="1317">
        <f>IO426-IO429</f>
        <v>1820</v>
      </c>
      <c r="IP432" s="1316">
        <f>IP426-IP429</f>
        <v>683</v>
      </c>
      <c r="IQ432" s="1316">
        <f>IQ426-IQ429</f>
        <v>530.000000000001</v>
      </c>
      <c r="IR432" s="1316">
        <f>IQ432+IP432</f>
        <v>1213</v>
      </c>
      <c r="IS432" s="1316">
        <f>IS426-IS429</f>
        <v>832</v>
      </c>
      <c r="IT432" s="1316">
        <f>IS432+IR432</f>
        <v>2045</v>
      </c>
      <c r="IU432" s="1316">
        <f>IW432-IS432-IP432-IQ432</f>
        <v>253.999999999999</v>
      </c>
      <c r="IV432" s="1316">
        <f>IU432+IS432</f>
        <v>1086</v>
      </c>
      <c r="IW432" s="1317">
        <f>IW426-IW429</f>
        <v>2299</v>
      </c>
      <c r="IX432" s="1314"/>
      <c r="IY432" s="1037"/>
      <c r="IZ432" s="1071"/>
      <c r="JA432" s="1071"/>
      <c r="JB432" s="1071"/>
      <c r="JC432" s="1104"/>
      <c r="JD432" s="1104"/>
      <c r="JE432" s="1104"/>
      <c r="JF432" s="1037"/>
      <c r="JG432" s="1037"/>
      <c r="JH432" s="1037"/>
      <c r="JI432" s="1035"/>
      <c r="JJ432" s="1035"/>
      <c r="JK432" s="883"/>
      <c r="JL432" s="1035"/>
      <c r="JM432" s="1035"/>
      <c r="JN432" s="1035"/>
      <c r="JO432" s="1035"/>
      <c r="JP432" s="1035"/>
      <c r="JQ432" s="1035"/>
      <c r="JR432" s="1035"/>
      <c r="JS432" s="1035"/>
      <c r="JT432" s="1035"/>
      <c r="JU432" s="1035"/>
      <c r="JV432" s="1035"/>
      <c r="JW432" s="1035"/>
      <c r="JX432" s="1035"/>
      <c r="JY432" s="1035"/>
    </row>
    <row r="433" s="883" customFormat="1" spans="1:285">
      <c r="A433" s="883" t="s">
        <v>142</v>
      </c>
      <c r="B433" s="1302" t="s">
        <v>173</v>
      </c>
      <c r="C433" s="1302" t="s">
        <v>173</v>
      </c>
      <c r="D433" s="1302" t="s">
        <v>173</v>
      </c>
      <c r="E433" s="1302" t="s">
        <v>173</v>
      </c>
      <c r="F433" s="1302" t="s">
        <v>173</v>
      </c>
      <c r="G433" s="1302" t="s">
        <v>173</v>
      </c>
      <c r="H433" s="1302" t="s">
        <v>173</v>
      </c>
      <c r="I433" s="1302" t="s">
        <v>173</v>
      </c>
      <c r="J433" s="1302">
        <f t="shared" ref="J433:AO433" si="3188">J432/B432-1</f>
        <v>-0.185536101973684</v>
      </c>
      <c r="K433" s="1302">
        <f t="shared" si="3188"/>
        <v>-0.372922873563218</v>
      </c>
      <c r="L433" s="1302">
        <f t="shared" si="3188"/>
        <v>-0.263688782358581</v>
      </c>
      <c r="M433" s="1302">
        <f t="shared" si="3188"/>
        <v>-0.359334939759036</v>
      </c>
      <c r="N433" s="1302">
        <f t="shared" si="3188"/>
        <v>-0.306073358248798</v>
      </c>
      <c r="O433" s="1302">
        <f t="shared" si="3188"/>
        <v>-0.255128863636363</v>
      </c>
      <c r="P433" s="1302">
        <f t="shared" si="3188"/>
        <v>-1.13802503596895</v>
      </c>
      <c r="Q433" s="1302">
        <f t="shared" si="3188"/>
        <v>-0.3032473903177</v>
      </c>
      <c r="R433" s="1302">
        <f t="shared" si="3188"/>
        <v>0.365513680949922</v>
      </c>
      <c r="S433" s="1302">
        <f t="shared" si="3188"/>
        <v>0.298535973594698</v>
      </c>
      <c r="T433" s="1302">
        <f t="shared" si="3188"/>
        <v>0.34172366305777</v>
      </c>
      <c r="U433" s="1302">
        <f t="shared" si="3188"/>
        <v>0.61061829574689</v>
      </c>
      <c r="V433" s="1302">
        <f t="shared" si="3188"/>
        <v>0.451735629224838</v>
      </c>
      <c r="W433" s="1302">
        <f t="shared" si="3188"/>
        <v>0.397160521664366</v>
      </c>
      <c r="X433" s="1302">
        <f t="shared" si="3188"/>
        <v>0.613980981752755</v>
      </c>
      <c r="Y433" s="1302">
        <f t="shared" si="3188"/>
        <v>0.448499192556666</v>
      </c>
      <c r="Z433" s="1302">
        <f t="shared" si="3188"/>
        <v>0.103969754253308</v>
      </c>
      <c r="AA433" s="1302">
        <f t="shared" si="3188"/>
        <v>-0.538085528031234</v>
      </c>
      <c r="AB433" s="1302">
        <f t="shared" si="3188"/>
        <v>-0.116743198398855</v>
      </c>
      <c r="AC433" s="1302">
        <f t="shared" si="3188"/>
        <v>-0.0537556505082917</v>
      </c>
      <c r="AD433" s="1302">
        <f t="shared" si="3188"/>
        <v>-0.0881529724801393</v>
      </c>
      <c r="AE433" s="1302">
        <f t="shared" si="3188"/>
        <v>-2.62933537157955</v>
      </c>
      <c r="AF433" s="1302">
        <f t="shared" si="3188"/>
        <v>-0.222661780076012</v>
      </c>
      <c r="AG433" s="1302">
        <f t="shared" si="3188"/>
        <v>-0.233510122580688</v>
      </c>
      <c r="AH433" s="1302">
        <f t="shared" si="3188"/>
        <v>-0.33904109589041</v>
      </c>
      <c r="AI433" s="1302">
        <f t="shared" si="3188"/>
        <v>0.843725552513211</v>
      </c>
      <c r="AJ433" s="1302">
        <f t="shared" si="3188"/>
        <v>-0.126408889435827</v>
      </c>
      <c r="AK433" s="1302">
        <f t="shared" si="3188"/>
        <v>0.332657955443569</v>
      </c>
      <c r="AL433" s="1302">
        <f t="shared" si="3188"/>
        <v>0.0898231905445126</v>
      </c>
      <c r="AM433" s="1302">
        <f t="shared" si="3188"/>
        <v>-1.42890327716416</v>
      </c>
      <c r="AN433" s="1302">
        <f t="shared" ref="AN433:BU433" si="3189">AN432/AF432-1</f>
        <v>0.874996213949949</v>
      </c>
      <c r="AO433" s="1302">
        <f t="shared" si="3188"/>
        <v>0.274488018029387</v>
      </c>
      <c r="AP433" s="1302">
        <f t="shared" si="3189"/>
        <v>0.013367328429309</v>
      </c>
      <c r="AQ433" s="1302">
        <f t="shared" si="3189"/>
        <v>-0.41988245160991</v>
      </c>
      <c r="AR433" s="1302">
        <f t="shared" si="3189"/>
        <v>-0.151015479817753</v>
      </c>
      <c r="AS433" s="1302">
        <f t="shared" si="3189"/>
        <v>-0.12037037037037</v>
      </c>
      <c r="AT433" s="1302">
        <f t="shared" si="3189"/>
        <v>-0.133364532210175</v>
      </c>
      <c r="AU433" s="1302">
        <f t="shared" si="3189"/>
        <v>0.25</v>
      </c>
      <c r="AV433" s="1302">
        <f t="shared" si="3189"/>
        <v>-0.102564102564103</v>
      </c>
      <c r="AW433" s="1302">
        <f t="shared" si="3189"/>
        <v>-0.117677522643081</v>
      </c>
      <c r="AX433" s="1303">
        <f t="shared" si="3189"/>
        <v>-0.09</v>
      </c>
      <c r="AY433" s="1302">
        <f t="shared" si="3189"/>
        <v>0.357142857142857</v>
      </c>
      <c r="AZ433" s="1302">
        <f t="shared" si="3189"/>
        <v>0.0259259259259259</v>
      </c>
      <c r="BA433" s="1302">
        <f t="shared" si="3189"/>
        <v>0</v>
      </c>
      <c r="BB433" s="1302">
        <f t="shared" si="3189"/>
        <v>-0.269230769230769</v>
      </c>
      <c r="BC433" s="1302">
        <f t="shared" si="3189"/>
        <v>1.3</v>
      </c>
      <c r="BD433" s="1302">
        <f t="shared" si="3189"/>
        <v>0.121428571428571</v>
      </c>
      <c r="BE433" s="1304">
        <f t="shared" si="3189"/>
        <v>-0.178260869565217</v>
      </c>
      <c r="BF433" s="1302">
        <f t="shared" si="3189"/>
        <v>-0.131868131868132</v>
      </c>
      <c r="BG433" s="1302">
        <f t="shared" si="3189"/>
        <v>-0.116115789473684</v>
      </c>
      <c r="BH433" s="1302">
        <f t="shared" si="3189"/>
        <v>-0.126465703971119</v>
      </c>
      <c r="BI433" s="1302">
        <f t="shared" si="3189"/>
        <v>0.152631578947368</v>
      </c>
      <c r="BJ433" s="1302">
        <f t="shared" si="3189"/>
        <v>0.431513684210526</v>
      </c>
      <c r="BK433" s="1302">
        <f t="shared" si="3189"/>
        <v>0.058695652173913</v>
      </c>
      <c r="BL433" s="1302">
        <f t="shared" si="3189"/>
        <v>0.136730360934183</v>
      </c>
      <c r="BM433" s="1302">
        <f t="shared" si="3189"/>
        <v>0.371021164021164</v>
      </c>
      <c r="BN433" s="1303">
        <f t="shared" si="3189"/>
        <v>0.253164556962025</v>
      </c>
      <c r="BO433" s="1302">
        <f t="shared" si="3189"/>
        <v>0.190915695077945</v>
      </c>
      <c r="BP433" s="1302">
        <f t="shared" si="3189"/>
        <v>0.231562720844405</v>
      </c>
      <c r="BQ433" s="1302">
        <f t="shared" si="3189"/>
        <v>0.155251141552512</v>
      </c>
      <c r="BR433" s="1302">
        <f t="shared" si="3189"/>
        <v>0.182406845017935</v>
      </c>
      <c r="BS433" s="1302">
        <f t="shared" si="3189"/>
        <v>-0.240246406570842</v>
      </c>
      <c r="BT433" s="1302">
        <f t="shared" ref="BT433:CK433" si="3190">BT432/BL432-1</f>
        <v>0.0833022039596565</v>
      </c>
      <c r="BU433" s="1304">
        <f t="shared" si="3189"/>
        <v>0.12945074990127</v>
      </c>
      <c r="BV433" s="1303">
        <f t="shared" si="3190"/>
        <v>0.505050505050505</v>
      </c>
      <c r="BW433" s="1302">
        <f t="shared" si="3190"/>
        <v>1.08</v>
      </c>
      <c r="BX433" s="1302">
        <f t="shared" si="3190"/>
        <v>0.697986577181208</v>
      </c>
      <c r="BY433" s="1302">
        <f t="shared" si="3190"/>
        <v>0.0474308300395256</v>
      </c>
      <c r="BZ433" s="1302">
        <f t="shared" si="3190"/>
        <v>0.288557213930348</v>
      </c>
      <c r="CA433" s="1302">
        <f t="shared" si="3190"/>
        <v>-0.72972972972973</v>
      </c>
      <c r="CB433" s="1302">
        <f t="shared" si="3190"/>
        <v>-0.0517241379310345</v>
      </c>
      <c r="CC433" s="1304">
        <f t="shared" si="3190"/>
        <v>0.202733485193622</v>
      </c>
      <c r="CD433" s="1303">
        <f t="shared" si="3190"/>
        <v>0.308724832214765</v>
      </c>
      <c r="CE433" s="1302">
        <f t="shared" si="3190"/>
        <v>0.365384615384615</v>
      </c>
      <c r="CF433" s="1302">
        <f t="shared" si="3190"/>
        <v>0.33201581027668</v>
      </c>
      <c r="CG433" s="1302">
        <f t="shared" si="3190"/>
        <v>0.166037735849057</v>
      </c>
      <c r="CH433" s="1302">
        <f t="shared" si="3190"/>
        <v>0.247104247104247</v>
      </c>
      <c r="CI433" s="1302">
        <f t="shared" si="3190"/>
        <v>0.1</v>
      </c>
      <c r="CJ433" s="1302">
        <f t="shared" si="3190"/>
        <v>0.163636363636364</v>
      </c>
      <c r="CK433" s="1304">
        <f t="shared" si="3190"/>
        <v>0.244318181818182</v>
      </c>
      <c r="CL433" s="1303">
        <v>0.128205128205128</v>
      </c>
      <c r="CM433" s="1302">
        <f t="shared" ref="CM433:CS433" si="3191">CM432/CE432-1</f>
        <v>-0.0957746478873241</v>
      </c>
      <c r="CN433" s="1302">
        <f t="shared" si="3191"/>
        <v>0.0317507418397627</v>
      </c>
      <c r="CO433" s="1302">
        <f t="shared" si="3191"/>
        <v>0.169255663430421</v>
      </c>
      <c r="CP433" s="1302">
        <f t="shared" si="3191"/>
        <v>0.0975232198142415</v>
      </c>
      <c r="CQ433" s="1302">
        <f t="shared" si="3191"/>
        <v>0.363636363636364</v>
      </c>
      <c r="CR433" s="1302">
        <f t="shared" si="3191"/>
        <v>0.439737221093751</v>
      </c>
      <c r="CS433" s="1304">
        <f t="shared" si="3191"/>
        <v>0.100456621004566</v>
      </c>
      <c r="CT433" s="1303">
        <f t="shared" ref="CT433:DA433" si="3192">CT432/CL432-1</f>
        <v>-0.131818181818182</v>
      </c>
      <c r="CU433" s="1302">
        <f t="shared" si="3192"/>
        <v>0.191588785046729</v>
      </c>
      <c r="CV433" s="1302">
        <f t="shared" si="3192"/>
        <v>-0.0106413574920908</v>
      </c>
      <c r="CW433" s="1302">
        <f t="shared" si="3192"/>
        <v>0.220592305563244</v>
      </c>
      <c r="CX433" s="1302">
        <f t="shared" si="3192"/>
        <v>0.107193229901269</v>
      </c>
      <c r="CY433" s="1302">
        <f t="shared" si="3192"/>
        <v>1</v>
      </c>
      <c r="CZ433" s="1302">
        <f t="shared" si="3192"/>
        <v>0.0223219754517663</v>
      </c>
      <c r="DA433" s="1304">
        <f t="shared" si="3192"/>
        <v>0.127247579529737</v>
      </c>
      <c r="DB433" s="1109">
        <f t="shared" ref="DB433:DI433" si="3193">DB432/CT432-1</f>
        <v>0.308900523560209</v>
      </c>
      <c r="DC433" s="1082">
        <f t="shared" si="3193"/>
        <v>0.509803921568627</v>
      </c>
      <c r="DD433" s="1082">
        <f t="shared" si="3193"/>
        <v>0.218023255813953</v>
      </c>
      <c r="DE433" s="1082">
        <f t="shared" si="3193"/>
        <v>-0.0226757369614512</v>
      </c>
      <c r="DF433" s="1082">
        <f t="shared" si="3193"/>
        <v>0.0828025477707006</v>
      </c>
      <c r="DG433" s="1082">
        <f t="shared" si="3193"/>
        <v>0.8</v>
      </c>
      <c r="DH433" s="1082">
        <f t="shared" si="3193"/>
        <v>0.029723991507431</v>
      </c>
      <c r="DI433" s="1085">
        <f t="shared" si="3193"/>
        <v>0.10920245398773</v>
      </c>
      <c r="DJ433" s="1082">
        <f t="shared" ref="DJ433:DQ433" si="3194">DJ432/DB432-1</f>
        <v>-0.968</v>
      </c>
      <c r="DK433" s="1082">
        <f t="shared" si="3194"/>
        <v>-0.878787878787879</v>
      </c>
      <c r="DL433" s="1082">
        <f t="shared" si="3194"/>
        <v>-0.914081145584726</v>
      </c>
      <c r="DM433" s="1082">
        <f t="shared" si="3194"/>
        <v>-0.290023201856148</v>
      </c>
      <c r="DN433" s="1082">
        <f t="shared" si="3194"/>
        <v>-0.597647058823529</v>
      </c>
      <c r="DO433" s="1082">
        <f t="shared" si="3194"/>
        <v>-0.703703703703704</v>
      </c>
      <c r="DP433" s="1082">
        <f t="shared" si="3194"/>
        <v>-0.442408247455134</v>
      </c>
      <c r="DQ433" s="1085">
        <f t="shared" si="3194"/>
        <v>-0.603982300884956</v>
      </c>
      <c r="DR433" s="1082">
        <f t="shared" ref="DR433:DX433" si="3195">DR432/DJ432-1</f>
        <v>29.375</v>
      </c>
      <c r="DS433" s="1082">
        <f t="shared" si="3195"/>
        <v>5.28571428571429</v>
      </c>
      <c r="DT433" s="1082">
        <f t="shared" si="3195"/>
        <v>10.6388888888889</v>
      </c>
      <c r="DU433" s="1082">
        <f t="shared" si="3195"/>
        <v>0.241830065359477</v>
      </c>
      <c r="DV433" s="1082">
        <f t="shared" si="3195"/>
        <v>1.33625730994152</v>
      </c>
      <c r="DW433" s="1082">
        <f t="shared" si="3195"/>
        <v>-0.5625</v>
      </c>
      <c r="DX433" s="1082">
        <f t="shared" si="3195"/>
        <v>0.431043663555069</v>
      </c>
      <c r="DY433" s="1085">
        <f t="shared" ref="DY433:EP433" si="3196">DY432/DQ432-1</f>
        <v>1.25139664804469</v>
      </c>
      <c r="DZ433" s="1082">
        <f t="shared" si="3196"/>
        <v>0.17283950617284</v>
      </c>
      <c r="EA433" s="1082">
        <f t="shared" si="3196"/>
        <v>0.119318181818182</v>
      </c>
      <c r="EB433" s="1082">
        <f t="shared" si="3196"/>
        <v>0.15035799522673</v>
      </c>
      <c r="EC433" s="1082">
        <f t="shared" si="3196"/>
        <v>0.1</v>
      </c>
      <c r="ED433" s="1082">
        <f t="shared" si="3196"/>
        <v>0.126408010012516</v>
      </c>
      <c r="EE433" s="1082">
        <f t="shared" si="3196"/>
        <v>-5.42857142857143</v>
      </c>
      <c r="EF433" s="1082">
        <f t="shared" si="3196"/>
        <v>0</v>
      </c>
      <c r="EG433" s="1085">
        <f t="shared" si="3196"/>
        <v>0.0781637717121588</v>
      </c>
      <c r="EH433" s="1082">
        <f t="shared" si="3196"/>
        <v>0.364912280701754</v>
      </c>
      <c r="EI433" s="1082">
        <f t="shared" si="3196"/>
        <v>0.192893401015228</v>
      </c>
      <c r="EJ433" s="1082">
        <f t="shared" si="3196"/>
        <v>0.294605809128631</v>
      </c>
      <c r="EK433" s="1082">
        <f t="shared" si="3196"/>
        <v>0.145933014354067</v>
      </c>
      <c r="EL433" s="1082">
        <f t="shared" si="3196"/>
        <v>0.225555555555556</v>
      </c>
      <c r="EM433" s="1082">
        <f t="shared" si="3196"/>
        <v>7.16129032258065</v>
      </c>
      <c r="EN433" s="1082">
        <f t="shared" si="3196"/>
        <v>-0.416020671834625</v>
      </c>
      <c r="EO433" s="1085">
        <f t="shared" si="3196"/>
        <v>-0.0218642117376294</v>
      </c>
      <c r="EP433" s="1082">
        <f t="shared" si="3196"/>
        <v>0.0976863753213368</v>
      </c>
      <c r="EQ433" s="1094">
        <f t="shared" ref="EQ433:EW433" si="3197">EQ432/EI432-1</f>
        <v>0.00425531914893607</v>
      </c>
      <c r="ER433" s="1094">
        <f t="shared" si="3197"/>
        <v>0.0625</v>
      </c>
      <c r="ES433" s="1094">
        <f t="shared" si="3197"/>
        <v>-0.0772442588726514</v>
      </c>
      <c r="ET433" s="1094">
        <f t="shared" si="3197"/>
        <v>0.00181323662737998</v>
      </c>
      <c r="EU433" s="1094">
        <f t="shared" si="3197"/>
        <v>-1.11067193675889</v>
      </c>
      <c r="EV433" s="1094">
        <f t="shared" si="3197"/>
        <v>1.07964601769911</v>
      </c>
      <c r="EW433" s="1093">
        <f t="shared" si="3197"/>
        <v>0.334117647058824</v>
      </c>
      <c r="EX433" s="1094">
        <f t="shared" ref="EX433:FG433" si="3198">EX432/EP432-1</f>
        <v>-0.311475409836066</v>
      </c>
      <c r="EY433" s="1094">
        <f t="shared" si="3198"/>
        <v>-0.144067796610169</v>
      </c>
      <c r="EZ433" s="1094">
        <f t="shared" si="3198"/>
        <v>-0.251885369532428</v>
      </c>
      <c r="FA433" s="1094">
        <f t="shared" si="3198"/>
        <v>-0.113122171945701</v>
      </c>
      <c r="FB433" s="1094">
        <f t="shared" si="3198"/>
        <v>-0.196380090497738</v>
      </c>
      <c r="FC433" s="1094">
        <f t="shared" si="3198"/>
        <v>-2.89285714285714</v>
      </c>
      <c r="FD433" s="1094">
        <f t="shared" si="3198"/>
        <v>-0.468085106382979</v>
      </c>
      <c r="FE433" s="1093">
        <f t="shared" si="3198"/>
        <v>-0.263668430335097</v>
      </c>
      <c r="FF433" s="1094">
        <f t="shared" si="3198"/>
        <v>0.173469387755102</v>
      </c>
      <c r="FG433" s="1094">
        <f t="shared" si="3198"/>
        <v>0.113861386138614</v>
      </c>
      <c r="FH433" s="1094">
        <f t="shared" ref="FH433:FN433" si="3199">FH432/EZ432-1</f>
        <v>0.149193548387097</v>
      </c>
      <c r="FI433" s="1094">
        <f t="shared" si="3199"/>
        <v>0.262755102040816</v>
      </c>
      <c r="FJ433" s="1094">
        <f t="shared" si="3199"/>
        <v>0.199324324324324</v>
      </c>
      <c r="FK433" s="1094">
        <f t="shared" si="3199"/>
        <v>-0.490566037735849</v>
      </c>
      <c r="FL433" s="1094">
        <f t="shared" si="3199"/>
        <v>0.872</v>
      </c>
      <c r="FM433" s="1093">
        <f t="shared" si="3199"/>
        <v>0.24311377245509</v>
      </c>
      <c r="FN433" s="1094">
        <f t="shared" si="3199"/>
        <v>0.43768115942029</v>
      </c>
      <c r="FO433" s="1094">
        <f t="shared" ref="FO433:GC433" si="3200">FO432/FG432-1</f>
        <v>0.817777777777778</v>
      </c>
      <c r="FP433" s="1094">
        <f t="shared" si="3200"/>
        <v>0.587719298245614</v>
      </c>
      <c r="FQ433" s="1094">
        <f t="shared" si="3200"/>
        <v>0.101010101010101</v>
      </c>
      <c r="FR433" s="1094">
        <f t="shared" si="3200"/>
        <v>0.363380281690141</v>
      </c>
      <c r="FS433" s="1094">
        <f t="shared" si="3200"/>
        <v>-0.740740740740741</v>
      </c>
      <c r="FT433" s="1094">
        <f t="shared" si="3200"/>
        <v>0.149572649572649</v>
      </c>
      <c r="FU433" s="1094">
        <f t="shared" si="3200"/>
        <v>0.392100192678227</v>
      </c>
      <c r="FV433" s="1086">
        <f t="shared" si="3200"/>
        <v>0.300403225806452</v>
      </c>
      <c r="FW433" s="1087">
        <f t="shared" si="3200"/>
        <v>0.188264058679707</v>
      </c>
      <c r="FX433" s="1094">
        <f t="shared" si="3200"/>
        <v>0.249723756906077</v>
      </c>
      <c r="FY433" s="1094">
        <f t="shared" si="3200"/>
        <v>0.407339449541284</v>
      </c>
      <c r="FZ433" s="1094">
        <f t="shared" si="3200"/>
        <v>0.307162534435262</v>
      </c>
      <c r="GA433" s="1094">
        <f t="shared" si="3200"/>
        <v>-18.8571428571428</v>
      </c>
      <c r="GB433" s="1094">
        <f t="shared" si="3200"/>
        <v>0.657992565055762</v>
      </c>
      <c r="GC433" s="1093">
        <f t="shared" si="3200"/>
        <v>0.4</v>
      </c>
      <c r="GD433" s="1087">
        <f t="shared" ref="GD433:GS433" si="3201">GD432/FV432-1</f>
        <v>0.161240310077519</v>
      </c>
      <c r="GE433" s="1087">
        <f t="shared" si="3201"/>
        <v>0.209876543209877</v>
      </c>
      <c r="GF433" s="1094">
        <f t="shared" si="3201"/>
        <v>0.182139699381079</v>
      </c>
      <c r="GG433" s="1094">
        <f t="shared" si="3201"/>
        <v>0.182529335071708</v>
      </c>
      <c r="GH433" s="1094">
        <f t="shared" si="3201"/>
        <v>0.182297154899895</v>
      </c>
      <c r="GI433" s="1094">
        <f t="shared" si="3201"/>
        <v>0.0720000000000176</v>
      </c>
      <c r="GJ433" s="1094">
        <f t="shared" si="3201"/>
        <v>0.167040358744397</v>
      </c>
      <c r="GK433" s="1093">
        <f t="shared" si="3201"/>
        <v>0.175481957488879</v>
      </c>
      <c r="GL433" s="1087">
        <f t="shared" si="3201"/>
        <v>0.132176234979974</v>
      </c>
      <c r="GM433" s="1087">
        <f t="shared" si="3201"/>
        <v>0.0527210884353742</v>
      </c>
      <c r="GN433" s="1094">
        <f t="shared" si="3201"/>
        <v>0.0972326103216157</v>
      </c>
      <c r="GO433" s="1094">
        <f t="shared" si="3201"/>
        <v>-0.0463065049614112</v>
      </c>
      <c r="GP433" s="1094">
        <f t="shared" si="3201"/>
        <v>0.0392156862745101</v>
      </c>
      <c r="GQ433" s="1094">
        <f t="shared" si="3201"/>
        <v>0.68656716417908</v>
      </c>
      <c r="GR433" s="1094">
        <f t="shared" si="3201"/>
        <v>0.0480307396733892</v>
      </c>
      <c r="GS433" s="1093">
        <f t="shared" si="3201"/>
        <v>0.0756938603868791</v>
      </c>
      <c r="GT433" s="1087">
        <f t="shared" ref="GT433" si="3202">GT432/GL432-1</f>
        <v>-0.968160377358491</v>
      </c>
      <c r="GU433" s="1087">
        <f t="shared" ref="GU433" si="3203">GU432/GM432-1</f>
        <v>-1.58804523424879</v>
      </c>
      <c r="GV433" s="1094">
        <f t="shared" ref="GV433" si="3204">GV432/GN432-1</f>
        <v>-1.22972051806408</v>
      </c>
      <c r="GW433" s="1094">
        <f t="shared" ref="GW433" si="3205">GW432/GO432-1</f>
        <v>-0.127132845595377</v>
      </c>
      <c r="GX433" s="1094">
        <f t="shared" ref="GX433" si="3206">GX432/GP432-1</f>
        <v>-0.82074181451115</v>
      </c>
      <c r="GY433" s="1094">
        <f t="shared" ref="GY433" si="3207">GY432/GQ432-1</f>
        <v>-0.305442869734502</v>
      </c>
      <c r="GZ433" s="1094">
        <f t="shared" ref="GZ433" si="3208">GZ432/GR432-1</f>
        <v>-0.164069660861594</v>
      </c>
      <c r="HA433" s="1093">
        <f t="shared" ref="HA433" si="3209">HA432/GS432-1</f>
        <v>-0.775215011727912</v>
      </c>
      <c r="HB433" s="1087">
        <f t="shared" ref="HB433" si="3210">HB432/GT432-1</f>
        <v>23.7777777777778</v>
      </c>
      <c r="HC433" s="1087">
        <f t="shared" ref="HC433" si="3211">HC432/GU432-1</f>
        <v>-2.4010989010989</v>
      </c>
      <c r="HD433" s="1094">
        <f t="shared" ref="HD433" si="3212">HD432/GV432-1</f>
        <v>-4.49851632047477</v>
      </c>
      <c r="HE433" s="1094">
        <f t="shared" ref="HE433" si="3213">HE432/GW432-1</f>
        <v>-0.166920617429121</v>
      </c>
      <c r="HF433" s="1094">
        <f t="shared" ref="HF433" si="3214">HF432/GX432-1</f>
        <v>3.32504752523455</v>
      </c>
      <c r="HG433" s="1094">
        <f t="shared" ref="HG433" si="3215">HG432/GY432-1</f>
        <v>-0.719691502681284</v>
      </c>
      <c r="HH433" s="1094">
        <f t="shared" ref="HH433" si="3216">HH432/GZ432-1</f>
        <v>-0.262061403508774</v>
      </c>
      <c r="HI433" s="1093">
        <f t="shared" ref="HI433" si="3217">HI432/HA432-1</f>
        <v>2.22086956521738</v>
      </c>
      <c r="HJ433" s="1087">
        <f t="shared" ref="HJ433" si="3218">HJ432/HB432-1</f>
        <v>-0.385650224215245</v>
      </c>
      <c r="HK433" s="1087">
        <f t="shared" ref="HK433" si="3219">HK432/HC432-1</f>
        <v>-0.411764705882355</v>
      </c>
      <c r="HL433" s="1094">
        <f t="shared" ref="HL433" si="3220">HL432/HD432-1</f>
        <v>-0.396946564885496</v>
      </c>
      <c r="HM433" s="1094">
        <f t="shared" ref="HM433" si="3221">HM432/HE432-1</f>
        <v>-0.346581875993641</v>
      </c>
      <c r="HN433" s="1094">
        <f t="shared" ref="HN433" si="3222">HN432/HF432-1</f>
        <v>-0.379424778761062</v>
      </c>
      <c r="HO433" s="1094">
        <f t="shared" ref="HO433" si="3223">HO432/HG432-1</f>
        <v>-17.6818181818185</v>
      </c>
      <c r="HP433" s="1094">
        <f t="shared" ref="HP433" si="3224">HP432/HH432-1</f>
        <v>-1.47994056463596</v>
      </c>
      <c r="HQ433" s="1093">
        <f t="shared" ref="HQ433" si="3225">HQ432/HI432-1</f>
        <v>-0.790496760259179</v>
      </c>
      <c r="HR433" s="1087">
        <f t="shared" ref="HR433" si="3226">HR432/HJ432-1</f>
        <v>-0.91727493917275</v>
      </c>
      <c r="HS433" s="1087">
        <f t="shared" ref="HS433" si="3227">HS432/HK432-1</f>
        <v>-0.846666666666667</v>
      </c>
      <c r="HT433" s="1094">
        <f t="shared" ref="HT433" si="3228">HT432/HL432-1</f>
        <v>-0.887482419127989</v>
      </c>
      <c r="HU433" s="1094">
        <f t="shared" ref="HU433" si="3229">HU432/HM432-1</f>
        <v>-0.304136253041359</v>
      </c>
      <c r="HV433" s="1094">
        <f t="shared" ref="HV433" si="3230">HV432/HN432-1</f>
        <v>-0.673796791443849</v>
      </c>
      <c r="HW433" s="1094">
        <f t="shared" ref="HW433" si="3231">HW432/HO432-1</f>
        <v>-0.497275204359674</v>
      </c>
      <c r="HX433" s="1094">
        <f t="shared" ref="HX433" si="3232">HX432/HP432-1</f>
        <v>-0.74303405572756</v>
      </c>
      <c r="HY433" s="1093">
        <f t="shared" ref="HY433" si="3233">HY432/HQ432-1</f>
        <v>-1.00773195876288</v>
      </c>
      <c r="HZ433" s="1087">
        <f t="shared" ref="HZ433" si="3234">HZ432/HR432-1</f>
        <v>4.73529411764707</v>
      </c>
      <c r="IA433" s="1087">
        <f t="shared" ref="IA433" si="3235">IA432/HS432-1</f>
        <v>4.52173913043482</v>
      </c>
      <c r="IB433" s="1094">
        <f t="shared" ref="IB433" si="3236">IB432/HT432-1</f>
        <v>4.61250000000003</v>
      </c>
      <c r="IC433" s="1094">
        <f t="shared" ref="IC433" si="3237">IC432/HU432-1</f>
        <v>0.926573426573417</v>
      </c>
      <c r="ID433" s="1094">
        <f t="shared" ref="ID433" si="3238">ID432/HV432-1</f>
        <v>1.73224043715846</v>
      </c>
      <c r="IE433" s="1094">
        <f t="shared" ref="IE433" si="3239">IE432/HW432-1</f>
        <v>-0.78590785907857</v>
      </c>
      <c r="IF433" s="1094">
        <f t="shared" ref="IF433" si="3240">IF432/HX432-1</f>
        <v>-6.68674698795185</v>
      </c>
      <c r="IG433" s="1093" t="s">
        <v>594</v>
      </c>
      <c r="IH433" s="1087">
        <f t="shared" ref="IH433" si="3241">IH432/HZ432-1</f>
        <v>2</v>
      </c>
      <c r="II433" s="1087">
        <f t="shared" ref="II433" si="3242">II432/IA432-1</f>
        <v>0.921259842519686</v>
      </c>
      <c r="IJ433" s="1094">
        <f t="shared" ref="IJ433" si="3243">IJ432/IB432-1</f>
        <v>1.38975501113586</v>
      </c>
      <c r="IK433" s="1094">
        <f t="shared" ref="IK433" si="3244">IK432/IC432-1</f>
        <v>0.17967332123412</v>
      </c>
      <c r="IL433" s="1094">
        <f t="shared" ref="IL433" si="3245">IL432/ID432-1</f>
        <v>0.723000000000001</v>
      </c>
      <c r="IM433" s="1094">
        <f t="shared" ref="IM433:IO433" si="3246">IM432/IE432-1</f>
        <v>-2.2278481012657</v>
      </c>
      <c r="IN433" s="1094">
        <f t="shared" ref="IN433" si="3247">IN432/IF432-1</f>
        <v>0.582627118644094</v>
      </c>
      <c r="IO433" s="1093">
        <f t="shared" si="3246"/>
        <v>0.976112920738345</v>
      </c>
      <c r="IP433" s="1087">
        <f t="shared" ref="IP433" si="3248">IP432/IH432-1</f>
        <v>0.167521367521367</v>
      </c>
      <c r="IQ433" s="1087">
        <f t="shared" ref="IQ433" si="3249">IQ432/II432-1</f>
        <v>0.0860655737704925</v>
      </c>
      <c r="IR433" s="1094">
        <f t="shared" ref="IR433" si="3250">IR432/IJ432-1</f>
        <v>0.130475302889096</v>
      </c>
      <c r="IS433" s="1094">
        <f t="shared" ref="IS433" si="3251">IS432/IK432-1</f>
        <v>0.28</v>
      </c>
      <c r="IT433" s="1094">
        <f t="shared" ref="IT433" si="3252">IT432/IL432-1</f>
        <v>0.186883343006384</v>
      </c>
      <c r="IU433" s="1094">
        <f t="shared" ref="IU433:IW433" si="3253">IU432/IM432-1</f>
        <v>1.61855670103092</v>
      </c>
      <c r="IV433" s="1094">
        <f t="shared" ref="IV433" si="3254">IV432/IN432-1</f>
        <v>0.453815261044175</v>
      </c>
      <c r="IW433" s="1093">
        <f t="shared" si="3253"/>
        <v>0.263186813186813</v>
      </c>
      <c r="IX433" s="1087"/>
      <c r="IZ433" s="1319"/>
      <c r="JA433" s="1319"/>
      <c r="JB433" s="1319"/>
      <c r="JC433" s="1104"/>
      <c r="JE433" s="1049"/>
      <c r="JF433" s="1082"/>
      <c r="JG433" s="1082"/>
      <c r="JH433" s="1082"/>
    </row>
    <row r="434" spans="1:285">
      <c r="A434" s="1035" t="s">
        <v>145</v>
      </c>
      <c r="B434" s="1302">
        <v>0.121704909632103</v>
      </c>
      <c r="C434" s="1302">
        <v>0.116013148156791</v>
      </c>
      <c r="D434" s="1302">
        <f t="shared" ref="D434:BN434" si="3255">D432/D$388</f>
        <v>0.119264539153473</v>
      </c>
      <c r="E434" s="1302">
        <v>0.151697781465638</v>
      </c>
      <c r="F434" s="1302">
        <f t="shared" si="3255"/>
        <v>0.131746745194198</v>
      </c>
      <c r="G434" s="1302">
        <v>0.0333438416955647</v>
      </c>
      <c r="H434" s="1302">
        <f>H432/H$388</f>
        <v>-0.8040655403511</v>
      </c>
      <c r="I434" s="1302">
        <f t="shared" si="3255"/>
        <v>0.113213170180005</v>
      </c>
      <c r="J434" s="1302">
        <f t="shared" si="3255"/>
        <v>0.161794186435015</v>
      </c>
      <c r="K434" s="1302">
        <f t="shared" si="3255"/>
        <v>0.102085725220054</v>
      </c>
      <c r="L434" s="1302">
        <f t="shared" si="3255"/>
        <v>0.13396361041741</v>
      </c>
      <c r="M434" s="1302">
        <f t="shared" si="3255"/>
        <v>0.141304347826087</v>
      </c>
      <c r="N434" s="1302">
        <f t="shared" si="3255"/>
        <v>0.136872711608874</v>
      </c>
      <c r="O434" s="1302">
        <f t="shared" si="3255"/>
        <v>0.0322272498743087</v>
      </c>
      <c r="P434" s="1302">
        <f t="shared" si="3255"/>
        <v>0.0788609647344956</v>
      </c>
      <c r="Q434" s="1302">
        <f t="shared" si="3255"/>
        <v>0.114772027437406</v>
      </c>
      <c r="R434" s="1302">
        <f t="shared" si="3255"/>
        <v>0.15440747227087</v>
      </c>
      <c r="S434" s="1302">
        <f t="shared" si="3255"/>
        <v>0.0970944557691341</v>
      </c>
      <c r="T434" s="1302">
        <f t="shared" si="3255"/>
        <v>0.128361079102724</v>
      </c>
      <c r="U434" s="1302">
        <f t="shared" si="3255"/>
        <v>0.156254013766489</v>
      </c>
      <c r="V434" s="1302">
        <f t="shared" si="3255"/>
        <v>0.13967872708136</v>
      </c>
      <c r="W434" s="1302">
        <f t="shared" si="3255"/>
        <v>0.0316683130971308</v>
      </c>
      <c r="X434" s="1302">
        <f t="shared" si="3255"/>
        <v>0.0882518268690275</v>
      </c>
      <c r="Y434" s="1302">
        <f t="shared" si="3255"/>
        <v>0.116876886924045</v>
      </c>
      <c r="Z434" s="1302">
        <f t="shared" si="3255"/>
        <v>0.107828655834564</v>
      </c>
      <c r="AA434" s="1302">
        <f t="shared" si="3255"/>
        <v>0.0285714285714285</v>
      </c>
      <c r="AB434" s="1302">
        <f t="shared" si="3255"/>
        <v>0.0719482619240097</v>
      </c>
      <c r="AC434" s="1302">
        <f t="shared" si="3255"/>
        <v>0.107167004732928</v>
      </c>
      <c r="AD434" s="1302">
        <f t="shared" si="3255"/>
        <v>0.0851252213508727</v>
      </c>
      <c r="AE434" s="1302">
        <f t="shared" si="3255"/>
        <v>-0.0364617691154421</v>
      </c>
      <c r="AF434" s="1302">
        <f t="shared" si="3255"/>
        <v>0.0492200091711522</v>
      </c>
      <c r="AG434" s="1302">
        <f t="shared" si="3255"/>
        <v>0.0605672756636722</v>
      </c>
      <c r="AH434" s="1302">
        <f t="shared" si="3255"/>
        <v>0.0710080941869023</v>
      </c>
      <c r="AI434" s="1302">
        <f t="shared" si="3255"/>
        <v>0.0505130288359782</v>
      </c>
      <c r="AJ434" s="1302">
        <f t="shared" si="3255"/>
        <v>0.0615351079067759</v>
      </c>
      <c r="AK434" s="1302">
        <f t="shared" si="3255"/>
        <v>0.137142857142857</v>
      </c>
      <c r="AL434" s="1302">
        <f t="shared" si="3255"/>
        <v>0.0901667621117614</v>
      </c>
      <c r="AM434" s="1302">
        <f t="shared" si="3255"/>
        <v>0.0133891213389121</v>
      </c>
      <c r="AN434" s="1302">
        <f t="shared" si="3255"/>
        <v>0.0844155844155844</v>
      </c>
      <c r="AO434" s="1302">
        <f t="shared" si="3255"/>
        <v>0.0730305289569872</v>
      </c>
      <c r="AP434" s="1302">
        <f t="shared" si="3255"/>
        <v>0.0659195781147001</v>
      </c>
      <c r="AQ434" s="1302">
        <f t="shared" si="3255"/>
        <v>0.0280448717948718</v>
      </c>
      <c r="AR434" s="1302">
        <f t="shared" si="3255"/>
        <v>0.0488245931283906</v>
      </c>
      <c r="AS434" s="1302">
        <f t="shared" si="3255"/>
        <v>0.11329755515802</v>
      </c>
      <c r="AT434" s="1302">
        <f t="shared" si="3255"/>
        <v>0.0731652408824854</v>
      </c>
      <c r="AU434" s="1302">
        <f t="shared" si="3255"/>
        <v>0.0143575017946877</v>
      </c>
      <c r="AV434" s="1302">
        <f t="shared" si="3255"/>
        <v>0.0684039087947883</v>
      </c>
      <c r="AW434" s="1302">
        <f t="shared" si="3255"/>
        <v>0.0591259640102828</v>
      </c>
      <c r="AX434" s="1303">
        <f t="shared" si="3255"/>
        <v>0.058408215661104</v>
      </c>
      <c r="AY434" s="1302">
        <f t="shared" si="3255"/>
        <v>0.0347222222222222</v>
      </c>
      <c r="AZ434" s="1302">
        <f t="shared" si="3255"/>
        <v>0.0473342447026658</v>
      </c>
      <c r="BA434" s="1302">
        <f t="shared" si="3255"/>
        <v>0.106145251396648</v>
      </c>
      <c r="BB434" s="1302">
        <f t="shared" si="3255"/>
        <v>0.0752058264724509</v>
      </c>
      <c r="BC434" s="1302">
        <f t="shared" si="3255"/>
        <v>0.0329630956646363</v>
      </c>
      <c r="BD434" s="1302">
        <f t="shared" si="3255"/>
        <v>0.0739403453689168</v>
      </c>
      <c r="BE434" s="1304">
        <f t="shared" si="3255"/>
        <v>0.0622598001537279</v>
      </c>
      <c r="BF434" s="1302">
        <f t="shared" si="3255"/>
        <v>0.0482295482295482</v>
      </c>
      <c r="BG434" s="1302">
        <f t="shared" si="3255"/>
        <v>0.027868901427149</v>
      </c>
      <c r="BH434" s="1302">
        <f t="shared" si="3255"/>
        <v>0.0384749562728574</v>
      </c>
      <c r="BI434" s="1302">
        <f t="shared" si="3255"/>
        <v>0.117363344051447</v>
      </c>
      <c r="BJ434" s="1302">
        <f t="shared" si="3255"/>
        <v>0.0678544057479293</v>
      </c>
      <c r="BK434" s="1302">
        <f t="shared" si="3255"/>
        <v>0.0322303110522833</v>
      </c>
      <c r="BL434" s="1302">
        <f t="shared" si="3255"/>
        <v>0.0792715427894581</v>
      </c>
      <c r="BM434" s="1302">
        <f t="shared" si="3255"/>
        <v>0.0596004753507629</v>
      </c>
      <c r="BN434" s="1303">
        <f t="shared" si="3255"/>
        <v>0.0593169562612343</v>
      </c>
      <c r="BO434" s="1302">
        <f t="shared" ref="BO434:CJ434" si="3256">BO432/BO$388</f>
        <v>0.0359195402298851</v>
      </c>
      <c r="BP434" s="1302">
        <f t="shared" si="3256"/>
        <v>0.0486769029728847</v>
      </c>
      <c r="BQ434" s="1302">
        <f t="shared" si="3256"/>
        <v>0.136535348084188</v>
      </c>
      <c r="BR434" s="1302">
        <f t="shared" si="3256"/>
        <v>0.0818070818070818</v>
      </c>
      <c r="BS434" s="1302">
        <f t="shared" si="3256"/>
        <v>0.0273264401772526</v>
      </c>
      <c r="BT434" s="1302">
        <f t="shared" si="3256"/>
        <v>0.0904271905207359</v>
      </c>
      <c r="BU434" s="1304">
        <f t="shared" si="3256"/>
        <v>0.0700382897255903</v>
      </c>
      <c r="BV434" s="1303">
        <f t="shared" si="3256"/>
        <v>0.0990033222591362</v>
      </c>
      <c r="BW434" s="1302">
        <f t="shared" si="3256"/>
        <v>0.0742326909350464</v>
      </c>
      <c r="BX434" s="1302">
        <f t="shared" si="3256"/>
        <v>0.0870612525808672</v>
      </c>
      <c r="BY434" s="1302">
        <f t="shared" si="3256"/>
        <v>0.150739476678043</v>
      </c>
      <c r="BZ434" s="1302">
        <f t="shared" si="3256"/>
        <v>0.11106346483705</v>
      </c>
      <c r="CA434" s="1302">
        <f t="shared" si="3256"/>
        <v>0.00836120401337793</v>
      </c>
      <c r="CB434" s="1302">
        <f t="shared" si="3256"/>
        <v>0.0811927959846472</v>
      </c>
      <c r="CC434" s="1304">
        <f t="shared" si="3256"/>
        <v>0.0901023890784983</v>
      </c>
      <c r="CD434" s="1303">
        <f t="shared" si="3256"/>
        <v>0.11655708308428</v>
      </c>
      <c r="CE434" s="1302">
        <f t="shared" si="3256"/>
        <v>0.0936675461741425</v>
      </c>
      <c r="CF434" s="1302">
        <f t="shared" si="3256"/>
        <v>0.105675760426466</v>
      </c>
      <c r="CG434" s="1302">
        <f t="shared" si="3256"/>
        <v>0.160602910602911</v>
      </c>
      <c r="CH434" s="1302">
        <f t="shared" si="3256"/>
        <v>0.12634461177391</v>
      </c>
      <c r="CI434" s="1302">
        <f t="shared" si="3256"/>
        <v>0.00723208415516108</v>
      </c>
      <c r="CJ434" s="1302">
        <f t="shared" si="3256"/>
        <v>0.0928882438316401</v>
      </c>
      <c r="CK434" s="1304">
        <f t="shared" ref="CK434:CP434" si="3257">CK432/CK$388</f>
        <v>0.0990352728369008</v>
      </c>
      <c r="CL434" s="1303">
        <v>0.0894672631150874</v>
      </c>
      <c r="CM434" s="1302">
        <f t="shared" si="3257"/>
        <v>0.0528830313014827</v>
      </c>
      <c r="CN434" s="1302">
        <f t="shared" si="3257"/>
        <v>0.0711479435236341</v>
      </c>
      <c r="CO434" s="1302">
        <f t="shared" si="3257"/>
        <v>0.122516107154968</v>
      </c>
      <c r="CP434" s="1302">
        <f t="shared" si="3257"/>
        <v>0.0904798366513527</v>
      </c>
      <c r="CQ434" s="1302">
        <f t="shared" ref="CQ434:CV434" si="3258">CQ432/CQ$388</f>
        <v>0.00667259786476868</v>
      </c>
      <c r="CR434" s="1302">
        <f t="shared" si="3258"/>
        <v>0.0886500866385673</v>
      </c>
      <c r="CS434" s="1304">
        <f t="shared" si="3258"/>
        <v>0.0716977389924633</v>
      </c>
      <c r="CT434" s="1303">
        <f t="shared" si="3258"/>
        <v>0.0752561071710008</v>
      </c>
      <c r="CU434" s="1302">
        <f t="shared" si="3258"/>
        <v>0.06375</v>
      </c>
      <c r="CV434" s="1302">
        <f t="shared" si="3258"/>
        <v>0.0696638315107331</v>
      </c>
      <c r="CW434" s="1302">
        <f t="shared" ref="CW434:DC434" si="3259">CW432/CW$388</f>
        <v>0.149948996939816</v>
      </c>
      <c r="CX434" s="1302">
        <f t="shared" si="3259"/>
        <v>0.0996319329864196</v>
      </c>
      <c r="CY434" s="1302">
        <f t="shared" si="3259"/>
        <v>0.0124018189334436</v>
      </c>
      <c r="CZ434" s="1302">
        <f t="shared" si="3259"/>
        <v>0.0878731343283582</v>
      </c>
      <c r="DA434" s="1304">
        <f t="shared" si="3259"/>
        <v>0.0791415808894931</v>
      </c>
      <c r="DB434" s="1109">
        <f t="shared" si="3259"/>
        <v>0.0956754688097972</v>
      </c>
      <c r="DC434" s="1082">
        <f t="shared" si="3259"/>
        <v>0.0918854415274463</v>
      </c>
      <c r="DD434" s="1082">
        <f t="shared" ref="DD434:DI434" si="3260">DD432/DD$388</f>
        <v>0.0817242051882192</v>
      </c>
      <c r="DE434" s="1082">
        <f t="shared" si="3260"/>
        <v>0.139980513153621</v>
      </c>
      <c r="DF434" s="1082">
        <f t="shared" si="3260"/>
        <v>0.103582744333415</v>
      </c>
      <c r="DG434" s="1082">
        <f t="shared" si="3260"/>
        <v>0.0209627329192547</v>
      </c>
      <c r="DH434" s="1082">
        <f t="shared" si="3260"/>
        <v>0.0857648099027409</v>
      </c>
      <c r="DI434" s="1085">
        <f t="shared" si="3260"/>
        <v>0.0950378782699631</v>
      </c>
      <c r="DJ434" s="1082">
        <f t="shared" ref="DJ434:DQ434" si="3261">DJ432/DJ$388</f>
        <v>0.00310438494373302</v>
      </c>
      <c r="DK434" s="1082">
        <f t="shared" si="3261"/>
        <v>0.0113960113960114</v>
      </c>
      <c r="DL434" s="1082">
        <f t="shared" si="3261"/>
        <v>0.00715137067938021</v>
      </c>
      <c r="DM434" s="1082">
        <f t="shared" si="3261"/>
        <v>0.10595567867036</v>
      </c>
      <c r="DN434" s="1082">
        <f t="shared" si="3261"/>
        <v>0.0431654676258993</v>
      </c>
      <c r="DO434" s="1082">
        <f t="shared" si="3261"/>
        <v>0.0065093572009764</v>
      </c>
      <c r="DP434" s="1082">
        <f t="shared" si="3261"/>
        <v>0.0506332147508444</v>
      </c>
      <c r="DQ434" s="1085">
        <f t="shared" si="3261"/>
        <v>0.034486080339081</v>
      </c>
      <c r="DR434" s="1082">
        <f t="shared" ref="DR434:DX434" si="3262">DR432/DR$388</f>
        <v>0.0908750934928945</v>
      </c>
      <c r="DS434" s="1082">
        <f t="shared" si="3262"/>
        <v>0.0603359616043881</v>
      </c>
      <c r="DT434" s="1082">
        <f t="shared" si="3262"/>
        <v>0.0749552772808587</v>
      </c>
      <c r="DU434" s="1082">
        <f t="shared" si="3262"/>
        <v>0.10957324106113</v>
      </c>
      <c r="DV434" s="1082">
        <f t="shared" si="3262"/>
        <v>0.0882093177301833</v>
      </c>
      <c r="DW434" s="1082">
        <f t="shared" si="3262"/>
        <v>0.00238744884038199</v>
      </c>
      <c r="DX434" s="1082">
        <f t="shared" si="3262"/>
        <v>0.06046875</v>
      </c>
      <c r="DY434" s="1085">
        <f t="shared" ref="DY434:EH434" si="3263">DY432/DY$388</f>
        <v>0.0672226855713094</v>
      </c>
      <c r="DZ434" s="1082">
        <f t="shared" si="3263"/>
        <v>0.0870760769935839</v>
      </c>
      <c r="EA434" s="1082">
        <f t="shared" si="3263"/>
        <v>0.0642950391644909</v>
      </c>
      <c r="EB434" s="1082">
        <f t="shared" si="3263"/>
        <v>0.076061227710273</v>
      </c>
      <c r="EC434" s="1082">
        <f t="shared" si="3263"/>
        <v>0.111645299145299</v>
      </c>
      <c r="ED434" s="1082">
        <f t="shared" si="3263"/>
        <v>0.0892768574546176</v>
      </c>
      <c r="EE434" s="1082">
        <f t="shared" si="3263"/>
        <v>-0.0095649490897871</v>
      </c>
      <c r="EF434" s="1082">
        <f t="shared" si="3263"/>
        <v>0.0554044380816034</v>
      </c>
      <c r="EG434" s="1085">
        <f t="shared" si="3263"/>
        <v>0.0652304458789972</v>
      </c>
      <c r="EH434" s="1082">
        <f t="shared" si="3263"/>
        <v>0.101725941422594</v>
      </c>
      <c r="EI434" s="1082">
        <f t="shared" ref="EI434:EO434" si="3264">EI432/EI$388</f>
        <v>0.066818311060563</v>
      </c>
      <c r="EJ434" s="1082">
        <f t="shared" si="3264"/>
        <v>0.085002043318349</v>
      </c>
      <c r="EK434" s="1082">
        <f t="shared" si="3264"/>
        <v>0.114785526000479</v>
      </c>
      <c r="EL434" s="1082">
        <f t="shared" si="3264"/>
        <v>0.0957964217474379</v>
      </c>
      <c r="EM434" s="1082">
        <f t="shared" si="3264"/>
        <v>-0.0750964677945978</v>
      </c>
      <c r="EN434" s="1082">
        <f t="shared" si="3264"/>
        <v>0.0299655263855741</v>
      </c>
      <c r="EO434" s="1085">
        <f t="shared" si="3264"/>
        <v>0.0571121413693476</v>
      </c>
      <c r="EP434" s="1082">
        <f t="shared" ref="EP434:FB434" si="3265">EP432/EP$388</f>
        <v>0.113836310317249</v>
      </c>
      <c r="EQ434" s="1094">
        <f t="shared" si="3265"/>
        <v>0.0697605675436004</v>
      </c>
      <c r="ER434" s="1094">
        <f t="shared" si="3265"/>
        <v>0.0929352396972246</v>
      </c>
      <c r="ES434" s="1094">
        <f t="shared" si="3265"/>
        <v>0.11394689352926</v>
      </c>
      <c r="ET434" s="1094">
        <f t="shared" si="3265"/>
        <v>0.100335966584945</v>
      </c>
      <c r="EU434" s="1094">
        <f t="shared" si="3265"/>
        <v>0.00804828973843058</v>
      </c>
      <c r="EV434" s="1094">
        <f t="shared" si="3265"/>
        <v>0.0638760532753466</v>
      </c>
      <c r="EW434" s="1093">
        <f t="shared" si="3265"/>
        <v>0.0782500690035882</v>
      </c>
      <c r="EX434" s="1094">
        <f t="shared" si="3265"/>
        <v>0.0844584889399598</v>
      </c>
      <c r="EY434" s="1094">
        <f t="shared" si="3265"/>
        <v>0.0594467333725721</v>
      </c>
      <c r="EZ434" s="1094">
        <f t="shared" si="3265"/>
        <v>0.0721035034161942</v>
      </c>
      <c r="FA434" s="1094">
        <f t="shared" si="3265"/>
        <v>0.0969337289812067</v>
      </c>
      <c r="FB434" s="1094">
        <f t="shared" si="3265"/>
        <v>0.0812963471573744</v>
      </c>
      <c r="FC434" s="1094">
        <f t="shared" ref="FC434:FM434" si="3266">FC432/FC$388</f>
        <v>-0.0146814404432133</v>
      </c>
      <c r="FD434" s="1094">
        <f t="shared" si="3266"/>
        <v>0.0326626600470342</v>
      </c>
      <c r="FE434" s="1093">
        <f t="shared" si="3266"/>
        <v>0.0574554462258309</v>
      </c>
      <c r="FF434" s="1094">
        <f t="shared" si="3266"/>
        <v>0.0844966936076414</v>
      </c>
      <c r="FG434" s="1094">
        <f t="shared" si="3266"/>
        <v>0.0575889429229588</v>
      </c>
      <c r="FH434" s="1094">
        <f t="shared" si="3266"/>
        <v>0.0713391739674593</v>
      </c>
      <c r="FI434" s="1094">
        <f t="shared" si="3266"/>
        <v>0.104057178894261</v>
      </c>
      <c r="FJ434" s="1094">
        <f t="shared" si="3266"/>
        <v>0.0835490703694987</v>
      </c>
      <c r="FK434" s="1094">
        <f t="shared" si="3266"/>
        <v>-0.00647792706333973</v>
      </c>
      <c r="FL434" s="1094">
        <f t="shared" si="3266"/>
        <v>0.052436974789916</v>
      </c>
      <c r="FM434" s="1093">
        <f t="shared" si="3266"/>
        <v>0.0613656517883535</v>
      </c>
      <c r="FN434" s="1094">
        <f t="shared" ref="FN434:GF434" si="3267">FN432/FN$388</f>
        <v>0.104005032501573</v>
      </c>
      <c r="FO434" s="1094">
        <f t="shared" si="3267"/>
        <v>0.0924711734117115</v>
      </c>
      <c r="FP434" s="1094">
        <f t="shared" si="3267"/>
        <v>0.0984551784160139</v>
      </c>
      <c r="FQ434" s="1094">
        <f t="shared" si="3267"/>
        <v>0.10070214338507</v>
      </c>
      <c r="FR434" s="1094">
        <f t="shared" si="3267"/>
        <v>0.0994248151191454</v>
      </c>
      <c r="FS434" s="1094">
        <f t="shared" si="3267"/>
        <v>-0.00149381135296628</v>
      </c>
      <c r="FT434" s="1094">
        <f t="shared" si="3267"/>
        <v>0.0532778768072886</v>
      </c>
      <c r="FU434" s="1094">
        <f t="shared" si="3267"/>
        <v>0.0749092794193883</v>
      </c>
      <c r="FV434" s="1086">
        <f t="shared" si="3267"/>
        <v>0.118435549026809</v>
      </c>
      <c r="FW434" s="1087">
        <f t="shared" si="3267"/>
        <v>0.0964668519253672</v>
      </c>
      <c r="FX434" s="1094">
        <f t="shared" si="3267"/>
        <v>0.107878672262495</v>
      </c>
      <c r="FY434" s="1094">
        <f t="shared" si="3267"/>
        <v>0.13508277562522</v>
      </c>
      <c r="FZ434" s="1094">
        <f t="shared" si="3267"/>
        <v>0.117435960895929</v>
      </c>
      <c r="GA434" s="1094">
        <f t="shared" si="3267"/>
        <v>0.0247231012658228</v>
      </c>
      <c r="GB434" s="1094">
        <f t="shared" si="3267"/>
        <v>0.0831004285448109</v>
      </c>
      <c r="GC434" s="1093">
        <f t="shared" si="3267"/>
        <v>0.0953435762088792</v>
      </c>
      <c r="GD434" s="1087">
        <f t="shared" si="3267"/>
        <v>0.135003604902668</v>
      </c>
      <c r="GE434" s="1087">
        <f t="shared" si="3267"/>
        <v>0.111765823987835</v>
      </c>
      <c r="GF434" s="1094">
        <f t="shared" si="3267"/>
        <v>0.123693218614118</v>
      </c>
      <c r="GG434" s="1094">
        <f t="shared" ref="GG434:GN434" si="3268">GG432/GG$388</f>
        <v>0.15443555252852</v>
      </c>
      <c r="GH434" s="1094">
        <f t="shared" si="3268"/>
        <v>0.13451624505455</v>
      </c>
      <c r="GI434" s="1094">
        <f t="shared" si="3268"/>
        <v>0.0256067265430923</v>
      </c>
      <c r="GJ434" s="1094">
        <f t="shared" si="3268"/>
        <v>0.0937331172339278</v>
      </c>
      <c r="GK434" s="1093">
        <f t="shared" si="3268"/>
        <v>0.108510152863336</v>
      </c>
      <c r="GL434" s="1087">
        <f t="shared" si="3268"/>
        <v>0.144144144144144</v>
      </c>
      <c r="GM434" s="1087">
        <f t="shared" si="3268"/>
        <v>0.11236159012525</v>
      </c>
      <c r="GN434" s="1094">
        <f t="shared" si="3268"/>
        <v>0.128774578651685</v>
      </c>
      <c r="GO434" s="1094">
        <f t="shared" ref="GO434:GV434" si="3269">GO432/GO$388</f>
        <v>0.134945397815913</v>
      </c>
      <c r="GP434" s="1094">
        <f t="shared" si="3269"/>
        <v>0.130996517245253</v>
      </c>
      <c r="GQ434" s="1094">
        <f t="shared" si="3269"/>
        <v>0.0387052577496147</v>
      </c>
      <c r="GR434" s="1094">
        <f t="shared" si="3269"/>
        <v>0.0890684953873786</v>
      </c>
      <c r="GS434" s="1093">
        <f t="shared" si="3269"/>
        <v>0.108201852713506</v>
      </c>
      <c r="GT434" s="1087">
        <f t="shared" si="3269"/>
        <v>0.00568062276456973</v>
      </c>
      <c r="GU434" s="1087">
        <f t="shared" si="3269"/>
        <v>-0.101714418885126</v>
      </c>
      <c r="GV434" s="1094">
        <f t="shared" si="3269"/>
        <v>-0.0404481850947358</v>
      </c>
      <c r="GW434" s="1094">
        <f t="shared" ref="GW434:HD434" si="3270">GW432/GW$388</f>
        <v>0.126591100976775</v>
      </c>
      <c r="GX434" s="1094">
        <f t="shared" si="3270"/>
        <v>0.0292411160488665</v>
      </c>
      <c r="GY434" s="1094">
        <f t="shared" si="3270"/>
        <v>0.0282929045349607</v>
      </c>
      <c r="GZ434" s="1094">
        <f t="shared" si="3270"/>
        <v>0.0792192525715639</v>
      </c>
      <c r="HA434" s="1093">
        <f t="shared" si="3270"/>
        <v>0.0289760129006249</v>
      </c>
      <c r="HB434" s="1087">
        <f t="shared" si="3270"/>
        <v>0.126993166287016</v>
      </c>
      <c r="HC434" s="1087">
        <f t="shared" si="3270"/>
        <v>0.100453023439039</v>
      </c>
      <c r="HD434" s="1094">
        <f t="shared" si="3270"/>
        <v>0.113968100531658</v>
      </c>
      <c r="HE434" s="1094">
        <f t="shared" ref="HE434:HL434" si="3271">HE432/HE$388</f>
        <v>0.109353268428373</v>
      </c>
      <c r="HF434" s="1094">
        <f t="shared" si="3271"/>
        <v>0.112319065664409</v>
      </c>
      <c r="HG434" s="1094">
        <f t="shared" si="3271"/>
        <v>0.00856531049250518</v>
      </c>
      <c r="HH434" s="1094">
        <f t="shared" si="3271"/>
        <v>0.061805491780696</v>
      </c>
      <c r="HI434" s="1093">
        <f t="shared" si="3271"/>
        <v>0.0872186116605444</v>
      </c>
      <c r="HJ434" s="1087">
        <f t="shared" si="3271"/>
        <v>0.0775179177668806</v>
      </c>
      <c r="HK434" s="1087">
        <f t="shared" si="3271"/>
        <v>0.0536001429337142</v>
      </c>
      <c r="HL434" s="1094">
        <f t="shared" si="3271"/>
        <v>0.0652353426919901</v>
      </c>
      <c r="HM434" s="1094">
        <f t="shared" ref="HM434:HT434" si="3272">HM432/HM$388</f>
        <v>0.0641385767790262</v>
      </c>
      <c r="HN434" s="1094">
        <f t="shared" si="3272"/>
        <v>0.0648292598370601</v>
      </c>
      <c r="HO434" s="1094">
        <f t="shared" si="3272"/>
        <v>-0.141045349730976</v>
      </c>
      <c r="HP434" s="1094">
        <f t="shared" si="3272"/>
        <v>-0.0275385795890527</v>
      </c>
      <c r="HQ434" s="1093">
        <f t="shared" si="3272"/>
        <v>0.0172360179467816</v>
      </c>
      <c r="HR434" s="1087">
        <f t="shared" si="3272"/>
        <v>0.00644671975729995</v>
      </c>
      <c r="HS434" s="1087">
        <f t="shared" si="3272"/>
        <v>0.00930608941938087</v>
      </c>
      <c r="HT434" s="1094">
        <f t="shared" si="3272"/>
        <v>0.00785006378176819</v>
      </c>
      <c r="HU434" s="1094">
        <f t="shared" ref="HU434:IB434" si="3273">HU432/HU$388</f>
        <v>0.0506284298105862</v>
      </c>
      <c r="HV434" s="1094">
        <f t="shared" si="3273"/>
        <v>0.0231381969907701</v>
      </c>
      <c r="HW434" s="1094">
        <f t="shared" si="3273"/>
        <v>-0.0766832917705734</v>
      </c>
      <c r="HX434" s="1094">
        <f t="shared" si="3273"/>
        <v>-0.00793423190899513</v>
      </c>
      <c r="HY434" s="1093">
        <f t="shared" si="3273"/>
        <v>-0.000145081729374137</v>
      </c>
      <c r="HZ434" s="1087">
        <f t="shared" si="3273"/>
        <v>0.0367370007535795</v>
      </c>
      <c r="IA434" s="1087">
        <f t="shared" si="3273"/>
        <v>0.0451796513696193</v>
      </c>
      <c r="IB434" s="1094">
        <f t="shared" si="3273"/>
        <v>0.0410795974382434</v>
      </c>
      <c r="IC434" s="1094">
        <f t="shared" ref="IC434:IJ434" si="3274">IC432/IC$388</f>
        <v>0.088329592818211</v>
      </c>
      <c r="ID434" s="1094">
        <f t="shared" si="3274"/>
        <v>0.058343057176196</v>
      </c>
      <c r="IE434" s="1094">
        <f t="shared" si="3274"/>
        <v>-0.0134697357203764</v>
      </c>
      <c r="IF434" s="1094">
        <f t="shared" si="3274"/>
        <v>0.0389728346131609</v>
      </c>
      <c r="IG434" s="1093">
        <f t="shared" si="3274"/>
        <v>0.0399861068901138</v>
      </c>
      <c r="IH434" s="1087">
        <f t="shared" si="3274"/>
        <v>0.0950755728912726</v>
      </c>
      <c r="II434" s="1087">
        <f t="shared" si="3274"/>
        <v>0.081989247311828</v>
      </c>
      <c r="IJ434" s="1094">
        <f t="shared" si="3274"/>
        <v>0.0886410574142916</v>
      </c>
      <c r="IK434" s="1094">
        <f t="shared" ref="IK434:IR434" si="3275">IK432/IK$388</f>
        <v>0.0980392156862745</v>
      </c>
      <c r="IL434" s="1094">
        <f t="shared" si="3275"/>
        <v>0.0921045597904528</v>
      </c>
      <c r="IM434" s="1094">
        <f t="shared" si="3275"/>
        <v>0.0159644502962475</v>
      </c>
      <c r="IN434" s="1094">
        <f t="shared" si="3275"/>
        <v>0.059009400426574</v>
      </c>
      <c r="IO434" s="1093">
        <f t="shared" si="3275"/>
        <v>0.0733545604772077</v>
      </c>
      <c r="IP434" s="1087">
        <f t="shared" si="3275"/>
        <v>0.103610436893204</v>
      </c>
      <c r="IQ434" s="1087">
        <f t="shared" si="3275"/>
        <v>0.0786000296603886</v>
      </c>
      <c r="IR434" s="1094">
        <f t="shared" si="3275"/>
        <v>0.0909636295463068</v>
      </c>
      <c r="IS434" s="1094">
        <f t="shared" ref="IS434:IW434" si="3276">IS432/IS$388</f>
        <v>0.114254001906246</v>
      </c>
      <c r="IT434" s="1094">
        <f t="shared" si="3276"/>
        <v>0.0991898895471458</v>
      </c>
      <c r="IU434" s="1094">
        <f t="shared" si="3276"/>
        <v>0.0389815052456512</v>
      </c>
      <c r="IV434" s="1094">
        <f t="shared" si="3276"/>
        <v>0.0787074516967761</v>
      </c>
      <c r="IW434" s="1093">
        <f t="shared" si="3276"/>
        <v>0.0847309856335265</v>
      </c>
      <c r="IX434" s="1087"/>
      <c r="IY434" s="1037"/>
      <c r="IZ434" s="1071"/>
      <c r="JA434" s="1071"/>
      <c r="JB434" s="1071"/>
      <c r="JC434" s="1049"/>
      <c r="JD434" s="1049"/>
      <c r="JE434" s="1049"/>
      <c r="JF434" s="1037"/>
      <c r="JG434" s="1037"/>
      <c r="JH434" s="1037"/>
      <c r="JI434" s="1035"/>
      <c r="JJ434" s="1035"/>
      <c r="JK434" s="1035"/>
      <c r="JL434" s="1035"/>
      <c r="JM434" s="1035"/>
      <c r="JN434" s="1035"/>
      <c r="JO434" s="1035"/>
      <c r="JP434" s="1035"/>
      <c r="JQ434" s="1035"/>
      <c r="JR434" s="1035"/>
      <c r="JS434" s="1035"/>
      <c r="JT434" s="1035"/>
      <c r="JU434" s="1035"/>
      <c r="JV434" s="1035"/>
      <c r="JW434" s="1035"/>
      <c r="JX434" s="1035"/>
      <c r="JY434" s="1035"/>
    </row>
    <row r="435" spans="1:285">
      <c r="A435" s="1306" t="s">
        <v>166</v>
      </c>
      <c r="B435" s="1307">
        <v>15</v>
      </c>
      <c r="C435" s="1307">
        <v>8.5</v>
      </c>
      <c r="D435" s="1307">
        <f>B435+C435</f>
        <v>23.5</v>
      </c>
      <c r="E435" s="1307">
        <v>20</v>
      </c>
      <c r="F435" s="1307">
        <f>D435+E435</f>
        <v>43.5</v>
      </c>
      <c r="G435" s="1307">
        <v>0</v>
      </c>
      <c r="H435" s="1307">
        <f>E435+G435</f>
        <v>20</v>
      </c>
      <c r="I435" s="1307">
        <f>F435+G435</f>
        <v>43.5</v>
      </c>
      <c r="J435" s="1307">
        <v>18.50906</v>
      </c>
      <c r="K435" s="1307">
        <v>8.33419</v>
      </c>
      <c r="L435" s="1307">
        <f>J435+K435</f>
        <v>26.84325</v>
      </c>
      <c r="M435" s="1307">
        <v>20.452</v>
      </c>
      <c r="N435" s="1307">
        <f>L435+M435</f>
        <v>47.29525</v>
      </c>
      <c r="O435" s="1307">
        <v>3.83475</v>
      </c>
      <c r="P435" s="1307">
        <f>M435+O435</f>
        <v>24.28675</v>
      </c>
      <c r="Q435" s="1307">
        <f>N435+O435</f>
        <v>51.13</v>
      </c>
      <c r="R435" s="1307">
        <v>32.441985</v>
      </c>
      <c r="S435" s="1307">
        <v>17.3842</v>
      </c>
      <c r="T435" s="1307">
        <f>R435+S435</f>
        <v>49.826185</v>
      </c>
      <c r="U435" s="1307">
        <v>43.4605</v>
      </c>
      <c r="V435" s="1307">
        <f>T435+U435</f>
        <v>93.286685</v>
      </c>
      <c r="W435" s="1307">
        <v>2.5565</v>
      </c>
      <c r="X435" s="1307">
        <f>U435+W435</f>
        <v>46.017</v>
      </c>
      <c r="Y435" s="1307">
        <f>V435+W435</f>
        <v>95.843185</v>
      </c>
      <c r="Z435" s="1307">
        <v>51.38565</v>
      </c>
      <c r="AA435" s="1307">
        <v>14.8277</v>
      </c>
      <c r="AB435" s="1307">
        <f>Z435+AA435</f>
        <v>66.21335</v>
      </c>
      <c r="AC435" s="1307">
        <v>47.0396</v>
      </c>
      <c r="AD435" s="1307">
        <f>AB435+AC435</f>
        <v>113.25295</v>
      </c>
      <c r="AE435" s="1307">
        <v>-7.92515</v>
      </c>
      <c r="AF435" s="1307">
        <f>AC435+AE435</f>
        <v>39.11445</v>
      </c>
      <c r="AG435" s="1307">
        <f>AD435+AE435</f>
        <v>105.3278</v>
      </c>
      <c r="AH435" s="1307">
        <v>37.8362</v>
      </c>
      <c r="AI435" s="1307">
        <v>27.0989</v>
      </c>
      <c r="AJ435" s="1307">
        <f>AH435+AI435</f>
        <v>64.9351</v>
      </c>
      <c r="AK435" s="1307">
        <v>78.45</v>
      </c>
      <c r="AL435" s="1307">
        <f>AJ435+AK435</f>
        <v>143.3851</v>
      </c>
      <c r="AM435" s="1307">
        <v>9</v>
      </c>
      <c r="AN435" s="1307">
        <f>AK435+AM435</f>
        <v>87.45</v>
      </c>
      <c r="AO435" s="1307">
        <f>AL435+AM435</f>
        <v>152.3851</v>
      </c>
      <c r="AP435" s="1307">
        <v>42</v>
      </c>
      <c r="AQ435" s="1307">
        <v>13</v>
      </c>
      <c r="AR435" s="1307">
        <f>AP435+AQ435</f>
        <v>55</v>
      </c>
      <c r="AS435" s="1307">
        <v>75</v>
      </c>
      <c r="AT435" s="1307">
        <f>AR435+AS435</f>
        <v>130</v>
      </c>
      <c r="AU435" s="1307">
        <v>10</v>
      </c>
      <c r="AV435" s="1307">
        <f>AS435+AU435</f>
        <v>85</v>
      </c>
      <c r="AW435" s="1307">
        <f>AT435+AU435</f>
        <v>140</v>
      </c>
      <c r="AX435" s="1308">
        <v>39</v>
      </c>
      <c r="AY435" s="1307">
        <v>20</v>
      </c>
      <c r="AZ435" s="1307">
        <f>AX435+AY435</f>
        <v>59</v>
      </c>
      <c r="BA435" s="1307">
        <v>68.5</v>
      </c>
      <c r="BB435" s="1307">
        <f>AY435+BA435</f>
        <v>88.5</v>
      </c>
      <c r="BC435" s="1307">
        <v>18.124</v>
      </c>
      <c r="BD435" s="1307">
        <f>BA435+BC435</f>
        <v>86.624</v>
      </c>
      <c r="BE435" s="1309">
        <f>BB435+BC435</f>
        <v>106.624</v>
      </c>
      <c r="BF435" s="1307">
        <v>33</v>
      </c>
      <c r="BG435" s="1307">
        <v>15.3243425</v>
      </c>
      <c r="BH435" s="1307">
        <f>BF435+BG435</f>
        <v>48.3243425</v>
      </c>
      <c r="BI435" s="1307">
        <v>82</v>
      </c>
      <c r="BJ435" s="1307">
        <f>BH435+BI435</f>
        <v>130.3243425</v>
      </c>
      <c r="BK435" s="1307">
        <v>17.3372</v>
      </c>
      <c r="BL435" s="1307">
        <f>BI435+BK435</f>
        <v>99.3372</v>
      </c>
      <c r="BM435" s="1307">
        <f>BJ435+BK435</f>
        <v>147.6615425</v>
      </c>
      <c r="BN435" s="1308">
        <v>40.59</v>
      </c>
      <c r="BO435" s="1307">
        <v>18.7</v>
      </c>
      <c r="BP435" s="1307">
        <f>BN435+BO435</f>
        <v>59.29</v>
      </c>
      <c r="BQ435" s="1307">
        <v>96</v>
      </c>
      <c r="BR435" s="1307">
        <f>BP435+BQ435</f>
        <v>155.29</v>
      </c>
      <c r="BS435" s="1307">
        <v>12</v>
      </c>
      <c r="BT435" s="1307">
        <f>BQ435+BS435</f>
        <v>108</v>
      </c>
      <c r="BU435" s="1309">
        <f>BR435+BS435</f>
        <v>167.29</v>
      </c>
      <c r="BV435" s="1308">
        <v>58</v>
      </c>
      <c r="BW435" s="1307">
        <v>33</v>
      </c>
      <c r="BX435" s="1307">
        <f>BV435+BW435</f>
        <v>91</v>
      </c>
      <c r="BY435" s="1307">
        <v>103</v>
      </c>
      <c r="BZ435" s="1307">
        <f>BX435+BY435</f>
        <v>194</v>
      </c>
      <c r="CA435" s="1307">
        <v>0</v>
      </c>
      <c r="CB435" s="1307">
        <f>BY435+CA435</f>
        <v>103</v>
      </c>
      <c r="CC435" s="1309">
        <f>BZ435+CA435</f>
        <v>194</v>
      </c>
      <c r="CD435" s="1308">
        <v>64</v>
      </c>
      <c r="CE435" s="1307">
        <v>48</v>
      </c>
      <c r="CF435" s="1307">
        <f>CD435+CE435</f>
        <v>112</v>
      </c>
      <c r="CG435" s="1307">
        <v>102</v>
      </c>
      <c r="CH435" s="1307">
        <f>CF435+CG435</f>
        <v>214</v>
      </c>
      <c r="CI435" s="1307">
        <v>7</v>
      </c>
      <c r="CJ435" s="1307">
        <f>CG435+CI435</f>
        <v>109</v>
      </c>
      <c r="CK435" s="1309">
        <f>CH435+CI435</f>
        <v>221</v>
      </c>
      <c r="CL435" s="1308">
        <v>70</v>
      </c>
      <c r="CM435" s="1307">
        <v>45</v>
      </c>
      <c r="CN435" s="1307">
        <f>CL435+CM435</f>
        <v>115</v>
      </c>
      <c r="CO435" s="1307">
        <f>CP435-CN435</f>
        <v>111</v>
      </c>
      <c r="CP435" s="1307">
        <v>226</v>
      </c>
      <c r="CQ435" s="1307">
        <f>CS435-CP435</f>
        <v>1</v>
      </c>
      <c r="CR435" s="1307">
        <f>CS435-CQ435-CO435</f>
        <v>115</v>
      </c>
      <c r="CS435" s="1309">
        <v>227</v>
      </c>
      <c r="CT435" s="1356">
        <v>61.7</v>
      </c>
      <c r="CU435" s="1357">
        <v>48.7</v>
      </c>
      <c r="CV435" s="1307">
        <f>+CT435+CU435</f>
        <v>110.4</v>
      </c>
      <c r="CW435" s="1307">
        <f>CX435-CV435</f>
        <v>140.6</v>
      </c>
      <c r="CX435" s="1307">
        <v>251</v>
      </c>
      <c r="CY435" s="1307">
        <f>DA435-CX435</f>
        <v>9</v>
      </c>
      <c r="CZ435" s="1307">
        <f>CY435+CW435</f>
        <v>149.6</v>
      </c>
      <c r="DA435" s="1309">
        <v>260</v>
      </c>
      <c r="DB435" s="1310">
        <v>80</v>
      </c>
      <c r="DC435" s="1311">
        <f>DD435-DB435</f>
        <v>52</v>
      </c>
      <c r="DD435" s="1311">
        <v>132</v>
      </c>
      <c r="DE435" s="1311">
        <v>128</v>
      </c>
      <c r="DF435" s="1311">
        <v>260</v>
      </c>
      <c r="DG435" s="1311">
        <f>DI435-DF435</f>
        <v>0</v>
      </c>
      <c r="DH435" s="1311">
        <f>DI435-DD435</f>
        <v>128</v>
      </c>
      <c r="DI435" s="1312">
        <f>'Profit and Loss'!O386</f>
        <v>260</v>
      </c>
      <c r="DJ435" s="1311">
        <f>DJ437*DJ432</f>
        <v>4.136</v>
      </c>
      <c r="DK435" s="1311">
        <f>DK437*DK432</f>
        <v>20</v>
      </c>
      <c r="DL435" s="1311">
        <f>DK435+DJ435</f>
        <v>24.136</v>
      </c>
      <c r="DM435" s="1311">
        <v>93</v>
      </c>
      <c r="DN435" s="1311">
        <v>118</v>
      </c>
      <c r="DO435" s="1311">
        <f>DQ435-DN435</f>
        <v>-5</v>
      </c>
      <c r="DP435" s="1311">
        <f>DO435+DM435</f>
        <v>88</v>
      </c>
      <c r="DQ435" s="1312">
        <f>'Profit and Loss'!P386</f>
        <v>113</v>
      </c>
      <c r="DR435" s="1311">
        <f>DR432-DR438</f>
        <v>74</v>
      </c>
      <c r="DS435" s="1311">
        <f>DS432-DS438</f>
        <v>50</v>
      </c>
      <c r="DT435" s="1354">
        <f>DS435+DR435</f>
        <v>124</v>
      </c>
      <c r="DU435" s="1354">
        <f>DU432-DU438</f>
        <v>114</v>
      </c>
      <c r="DV435" s="1354">
        <f>DU435+DT435</f>
        <v>238</v>
      </c>
      <c r="DW435" s="1354">
        <f>DY435-DV435</f>
        <v>0</v>
      </c>
      <c r="DX435" s="1354">
        <f>DY435-DT435</f>
        <v>114</v>
      </c>
      <c r="DY435" s="1312">
        <f>'Profit and Loss'!Q386</f>
        <v>238</v>
      </c>
      <c r="DZ435" s="1311">
        <v>76</v>
      </c>
      <c r="EA435" s="1311">
        <v>57</v>
      </c>
      <c r="EB435" s="1354">
        <f>EA435+DZ435</f>
        <v>133</v>
      </c>
      <c r="EC435" s="1311">
        <v>114</v>
      </c>
      <c r="ED435" s="1354">
        <f>EC435+EB435</f>
        <v>247</v>
      </c>
      <c r="EE435" s="1311">
        <f>+EF435-EC435</f>
        <v>14</v>
      </c>
      <c r="EF435" s="1354">
        <f>+EG435-EB435</f>
        <v>128</v>
      </c>
      <c r="EG435" s="1312">
        <f>'Profit and Loss'!R386</f>
        <v>261</v>
      </c>
      <c r="EH435" s="1311">
        <v>99</v>
      </c>
      <c r="EI435" s="1311">
        <v>71</v>
      </c>
      <c r="EJ435" s="1354">
        <f>EI435+EH435</f>
        <v>170</v>
      </c>
      <c r="EK435" s="1311">
        <v>136</v>
      </c>
      <c r="EL435" s="1354">
        <f>EK435+EJ435</f>
        <v>306</v>
      </c>
      <c r="EM435" s="1311">
        <v>20</v>
      </c>
      <c r="EN435" s="1354">
        <f>EK435+EM435</f>
        <v>156</v>
      </c>
      <c r="EO435" s="1312">
        <f>EH435+EI435+EK435+EM435</f>
        <v>326</v>
      </c>
      <c r="EP435" s="1311">
        <v>118</v>
      </c>
      <c r="EQ435" s="1311">
        <v>65</v>
      </c>
      <c r="ER435" s="1311">
        <f>EP435+EQ435</f>
        <v>183</v>
      </c>
      <c r="ES435" s="1311">
        <v>124</v>
      </c>
      <c r="ET435" s="1311">
        <f>ER435+ES435</f>
        <v>307</v>
      </c>
      <c r="EU435" s="1311">
        <v>38</v>
      </c>
      <c r="EV435" s="1311">
        <f>ES435+EU435</f>
        <v>162</v>
      </c>
      <c r="EW435" s="1312">
        <f>EP435+EQ435+ES435+EU435</f>
        <v>345</v>
      </c>
      <c r="EX435" s="1311">
        <v>84</v>
      </c>
      <c r="EY435" s="1311">
        <v>59</v>
      </c>
      <c r="EZ435" s="1311">
        <f>EX435+EY435</f>
        <v>143</v>
      </c>
      <c r="FA435" s="1311">
        <v>112</v>
      </c>
      <c r="FB435" s="1311">
        <f>EZ435+FA435</f>
        <v>255</v>
      </c>
      <c r="FC435" s="1311">
        <f>FE435-FB435</f>
        <v>16</v>
      </c>
      <c r="FD435" s="1311">
        <f>FA435+FC435</f>
        <v>128</v>
      </c>
      <c r="FE435" s="1312">
        <f>'Profit and Loss'!U386</f>
        <v>271</v>
      </c>
      <c r="FF435" s="1311">
        <v>108</v>
      </c>
      <c r="FG435" s="1311">
        <v>79</v>
      </c>
      <c r="FH435" s="1311">
        <f>FF435+FG435</f>
        <v>187</v>
      </c>
      <c r="FI435" s="1311">
        <v>158</v>
      </c>
      <c r="FJ435" s="1311">
        <f>FH435+FI435</f>
        <v>345</v>
      </c>
      <c r="FK435" s="1311">
        <f>FM435-FJ435</f>
        <v>8</v>
      </c>
      <c r="FL435" s="1311">
        <f>FI435+FK435</f>
        <v>166</v>
      </c>
      <c r="FM435" s="1312">
        <f>'Profit and Loss'!V386</f>
        <v>353</v>
      </c>
      <c r="FN435" s="1311">
        <v>146</v>
      </c>
      <c r="FO435" s="1311">
        <v>119</v>
      </c>
      <c r="FP435" s="1311">
        <f>FN435+FO435</f>
        <v>265</v>
      </c>
      <c r="FQ435" s="1311">
        <v>159</v>
      </c>
      <c r="FR435" s="1311">
        <f>FN435+FO435+FQ435</f>
        <v>424</v>
      </c>
      <c r="FS435" s="1311">
        <f>FU435-FR435</f>
        <v>2</v>
      </c>
      <c r="FT435" s="1311">
        <f>FQ435+FS435</f>
        <v>161</v>
      </c>
      <c r="FU435" s="1311">
        <f>'Profit and Loss'!W386</f>
        <v>426</v>
      </c>
      <c r="FV435" s="1313">
        <f>FX435-FW435</f>
        <v>183</v>
      </c>
      <c r="FW435" s="1314">
        <v>139</v>
      </c>
      <c r="FX435" s="1311">
        <v>322</v>
      </c>
      <c r="FY435" s="1311">
        <f>FY437*FY432</f>
        <v>218.595</v>
      </c>
      <c r="FZ435" s="1311">
        <f>FV435+FW435+FY435</f>
        <v>540.595</v>
      </c>
      <c r="GA435" s="1311">
        <f>GC435-FZ435</f>
        <v>52.1439999999999</v>
      </c>
      <c r="GB435" s="1311">
        <f>FY435+GA435</f>
        <v>270.739</v>
      </c>
      <c r="GC435" s="1312">
        <f>'Profit and Loss'!X386</f>
        <v>592.739</v>
      </c>
      <c r="GD435" s="1314">
        <f>GD437*GD432</f>
        <v>207.473</v>
      </c>
      <c r="GE435" s="1314">
        <f>GE437*GE432</f>
        <v>170</v>
      </c>
      <c r="GF435" s="1311">
        <f>GE435+GD435</f>
        <v>377.473</v>
      </c>
      <c r="GG435" s="1314">
        <f>GG437*GG432</f>
        <v>251</v>
      </c>
      <c r="GH435" s="1311">
        <f>GG435+GF435</f>
        <v>628.473</v>
      </c>
      <c r="GI435" s="1314">
        <f>GI437*GI432</f>
        <v>40.5270000000016</v>
      </c>
      <c r="GJ435" s="1311">
        <f>GG435+GI435</f>
        <v>291.527000000002</v>
      </c>
      <c r="GK435" s="1312">
        <f>GJ435+GF435</f>
        <v>669.000000000002</v>
      </c>
      <c r="GL435" s="1314">
        <f>GL437*GL432</f>
        <v>217</v>
      </c>
      <c r="GM435" s="1314">
        <f>GM437*GM432</f>
        <v>157.226</v>
      </c>
      <c r="GN435" s="1311">
        <f>GM435+GL435</f>
        <v>374.226</v>
      </c>
      <c r="GO435" s="1314">
        <f>GO437*GO432</f>
        <v>220</v>
      </c>
      <c r="GP435" s="1311">
        <f>GO435+GN435</f>
        <v>594.226</v>
      </c>
      <c r="GQ435" s="1314">
        <f>GS435-GP435</f>
        <v>45.7739999999999</v>
      </c>
      <c r="GR435" s="1311">
        <f>GO435+GQ435</f>
        <v>265.774</v>
      </c>
      <c r="GS435" s="1312">
        <f>'Profit and Loss'!Z386</f>
        <v>640</v>
      </c>
      <c r="GT435" s="1314">
        <f>GT437*GT432</f>
        <v>7.37099999999999</v>
      </c>
      <c r="GU435" s="1314">
        <f>GU437*GU432</f>
        <v>-58</v>
      </c>
      <c r="GV435" s="1311">
        <f>GU435+GT435</f>
        <v>-50.6290000000001</v>
      </c>
      <c r="GW435" s="1314">
        <v>177</v>
      </c>
      <c r="GX435" s="1311">
        <f>GW435+GV435</f>
        <v>126.371</v>
      </c>
      <c r="GY435" s="1314">
        <f>HA435-GX435</f>
        <v>19.629</v>
      </c>
      <c r="GZ435" s="1311">
        <f>GW435+GY435</f>
        <v>196.629</v>
      </c>
      <c r="HA435" s="1312">
        <f>'Profit and Loss'!AA386</f>
        <v>146</v>
      </c>
      <c r="HB435" s="1314">
        <f>HB437*HB432</f>
        <v>166.2465</v>
      </c>
      <c r="HC435" s="1314">
        <f>HC437*HC432</f>
        <v>123</v>
      </c>
      <c r="HD435" s="1311">
        <f>HC435+HB435</f>
        <v>289.2465</v>
      </c>
      <c r="HE435" s="1314">
        <f>HE437*HE432</f>
        <v>150</v>
      </c>
      <c r="HF435" s="1311">
        <f>HE435+HD435</f>
        <v>439.2465</v>
      </c>
      <c r="HG435" s="1314">
        <f>HI435-HE435-HC435-HB435</f>
        <v>-79.2465</v>
      </c>
      <c r="HH435" s="1311">
        <f>HE435+HG435</f>
        <v>70.7535</v>
      </c>
      <c r="HI435" s="1312">
        <f>'Profit and Loss'!AB386</f>
        <v>360</v>
      </c>
      <c r="HJ435" s="1314">
        <f>HJ437*HJ432</f>
        <v>101</v>
      </c>
      <c r="HK435" s="1314">
        <f>HK437*HK432</f>
        <v>-61.0000000000008</v>
      </c>
      <c r="HL435" s="1311">
        <f>HK435+HJ435</f>
        <v>39.9999999999996</v>
      </c>
      <c r="HM435" s="1314">
        <f>HM437*HM432</f>
        <v>345</v>
      </c>
      <c r="HN435" s="1311">
        <f>HM435+HL435</f>
        <v>385</v>
      </c>
      <c r="HO435" s="1314">
        <f>HQ435-HM435-HK435-HJ435</f>
        <v>-251</v>
      </c>
      <c r="HP435" s="1311">
        <f>HM435+HO435</f>
        <v>94.0000000000005</v>
      </c>
      <c r="HQ435" s="1312">
        <f>'Profit and Loss'!AC386</f>
        <v>134</v>
      </c>
      <c r="HR435" s="1314">
        <f>HR437*HR432</f>
        <v>8.35523114355231</v>
      </c>
      <c r="HS435" s="1314">
        <f>HS437*HS432</f>
        <v>-9.35333333333342</v>
      </c>
      <c r="HT435" s="1311">
        <f>HS435+HR435</f>
        <v>-0.998102189781115</v>
      </c>
      <c r="HU435" s="1314">
        <f>HU437*HU432</f>
        <v>48.3340000000002</v>
      </c>
      <c r="HV435" s="1311">
        <f>HU435+HT435</f>
        <v>47.3358978102191</v>
      </c>
      <c r="HW435" s="1314">
        <f>HY435-HU435-HS435-HR435</f>
        <v>-36.3358978102345</v>
      </c>
      <c r="HX435" s="1311">
        <f>HU435+HW435</f>
        <v>11.9981021897657</v>
      </c>
      <c r="HY435" s="1312">
        <f>'Profit and Loss'!AD386</f>
        <v>10.9999999999846</v>
      </c>
      <c r="HZ435" s="1314">
        <f>HZ437*HZ432</f>
        <v>58.695</v>
      </c>
      <c r="IA435" s="1314">
        <f>IA437*IA432</f>
        <v>77.47</v>
      </c>
      <c r="IB435" s="1311">
        <f>IA435+HZ435</f>
        <v>136.165</v>
      </c>
      <c r="IC435" s="1314">
        <f>IC437*IC432</f>
        <v>121.771</v>
      </c>
      <c r="ID435" s="1311">
        <f>IC435+IB435</f>
        <v>257.936</v>
      </c>
      <c r="IE435" s="1314">
        <f>IG435-IC435-IA435-HZ435</f>
        <v>-13.871000000002</v>
      </c>
      <c r="IF435" s="1311">
        <f>IC435+IE435</f>
        <v>107.899999999998</v>
      </c>
      <c r="IG435" s="1312">
        <f>'Profit and Loss'!AE386</f>
        <v>244.064999999998</v>
      </c>
      <c r="IH435" s="1314">
        <f>IH437*IH432</f>
        <v>149</v>
      </c>
      <c r="II435" s="1314">
        <f>II437*II432</f>
        <v>114</v>
      </c>
      <c r="IJ435" s="1311">
        <f>II435+IH435</f>
        <v>263</v>
      </c>
      <c r="IK435" s="1314">
        <f>IK437*IK432</f>
        <v>166</v>
      </c>
      <c r="IL435" s="1311">
        <f>IK435+IJ435</f>
        <v>429</v>
      </c>
      <c r="IM435" s="1314">
        <f>IO435-IK435-II435-IH435</f>
        <v>13.9999999999995</v>
      </c>
      <c r="IN435" s="1311">
        <f>IK435+IM435</f>
        <v>180</v>
      </c>
      <c r="IO435" s="1312">
        <f>'Profit and Loss'!AF386</f>
        <v>443</v>
      </c>
      <c r="IP435" s="1314">
        <f>IP437*IP432</f>
        <v>170.75</v>
      </c>
      <c r="IQ435" s="1314">
        <f>IQ437*IQ432</f>
        <v>133</v>
      </c>
      <c r="IR435" s="1311">
        <f>IQ435+IP435</f>
        <v>303.75</v>
      </c>
      <c r="IS435" s="1314">
        <f>IS437*IS432</f>
        <v>208</v>
      </c>
      <c r="IT435" s="1311">
        <f>IS435+IR435</f>
        <v>511.75</v>
      </c>
      <c r="IU435" s="1314">
        <f>IW435-IS435-IQ435-IP435</f>
        <v>62.9999999999997</v>
      </c>
      <c r="IV435" s="1311">
        <f>IS435+IU435</f>
        <v>271</v>
      </c>
      <c r="IW435" s="1312">
        <f>'Profit and Loss'!AG386</f>
        <v>574.75</v>
      </c>
      <c r="IX435" s="1314"/>
      <c r="IY435" s="1037"/>
      <c r="IZ435" s="1071"/>
      <c r="JA435" s="1071"/>
      <c r="JB435" s="1071"/>
      <c r="JC435" s="1049"/>
      <c r="JD435" s="1049"/>
      <c r="JE435" s="1049"/>
      <c r="JF435" s="1037"/>
      <c r="JG435" s="1037"/>
      <c r="JH435" s="1037"/>
      <c r="JI435" s="1035"/>
      <c r="JJ435" s="1035"/>
      <c r="JK435" s="1035"/>
      <c r="JL435" s="1035"/>
      <c r="JM435" s="1035"/>
      <c r="JN435" s="1035"/>
      <c r="JO435" s="1035"/>
      <c r="JP435" s="1035"/>
      <c r="JQ435" s="1035"/>
      <c r="JR435" s="1035"/>
      <c r="JS435" s="1035"/>
      <c r="JT435" s="1035"/>
      <c r="JU435" s="1035"/>
      <c r="JV435" s="1035"/>
      <c r="JW435" s="1035"/>
      <c r="JX435" s="1035"/>
      <c r="JY435" s="1035"/>
    </row>
    <row r="436" s="883" customFormat="1" spans="1:285">
      <c r="A436" s="883" t="s">
        <v>142</v>
      </c>
      <c r="B436" s="1302" t="s">
        <v>173</v>
      </c>
      <c r="C436" s="1302" t="s">
        <v>173</v>
      </c>
      <c r="D436" s="1302" t="s">
        <v>173</v>
      </c>
      <c r="E436" s="1302" t="s">
        <v>173</v>
      </c>
      <c r="F436" s="1302" t="s">
        <v>173</v>
      </c>
      <c r="G436" s="1302" t="s">
        <v>173</v>
      </c>
      <c r="H436" s="1302" t="e">
        <f>H435/#REF!-1</f>
        <v>#REF!</v>
      </c>
      <c r="I436" s="1302" t="s">
        <v>173</v>
      </c>
      <c r="J436" s="1302">
        <v>0.233937333333333</v>
      </c>
      <c r="K436" s="1302">
        <v>-0.0195070588235294</v>
      </c>
      <c r="L436" s="1302">
        <f>L435/D435-1</f>
        <v>0.142265957446809</v>
      </c>
      <c r="M436" s="1302">
        <v>0.0226</v>
      </c>
      <c r="N436" s="1302">
        <f>N435/F435-1</f>
        <v>0.0872471264367816</v>
      </c>
      <c r="O436" s="1302" t="e">
        <v>#DIV/0!</v>
      </c>
      <c r="P436" s="1302">
        <f>P435/H435-1</f>
        <v>0.2143375</v>
      </c>
      <c r="Q436" s="1302">
        <f>Q435/I435-1</f>
        <v>0.175402298850575</v>
      </c>
      <c r="R436" s="1302">
        <v>0.752762430939226</v>
      </c>
      <c r="S436" s="1302">
        <v>1.08588957055215</v>
      </c>
      <c r="T436" s="1302">
        <f>T435/L435-1</f>
        <v>0.856190476190476</v>
      </c>
      <c r="U436" s="1302">
        <v>1.125</v>
      </c>
      <c r="V436" s="1302">
        <f>V435/N435-1</f>
        <v>0.972432432432433</v>
      </c>
      <c r="W436" s="1302">
        <v>-0.333333333333333</v>
      </c>
      <c r="X436" s="1302">
        <f>X435/P435-1</f>
        <v>0.894736842105263</v>
      </c>
      <c r="Y436" s="1302">
        <f>Y435/Q435-1</f>
        <v>0.8745</v>
      </c>
      <c r="Z436" s="1302">
        <v>0.583924349881797</v>
      </c>
      <c r="AA436" s="1302">
        <v>-0.147058823529412</v>
      </c>
      <c r="AB436" s="1302">
        <f>AB435/T435-1</f>
        <v>0.328886608517188</v>
      </c>
      <c r="AC436" s="1302">
        <v>0.0823529411764707</v>
      </c>
      <c r="AD436" s="1302">
        <f>AD435/V435-1</f>
        <v>0.21403124143601</v>
      </c>
      <c r="AE436" s="1302">
        <v>-4.1</v>
      </c>
      <c r="AF436" s="1302">
        <f>AF435/X435-1</f>
        <v>-0.15</v>
      </c>
      <c r="AG436" s="1302">
        <f>AG435/Y435-1</f>
        <v>0.0989597225926913</v>
      </c>
      <c r="AH436" s="1302">
        <v>-0.263681592039801</v>
      </c>
      <c r="AI436" s="1302">
        <v>0.827586206896552</v>
      </c>
      <c r="AJ436" s="1302">
        <f>AJ435/AB435-1</f>
        <v>-0.019305019305019</v>
      </c>
      <c r="AK436" s="1302">
        <v>0.667743773331406</v>
      </c>
      <c r="AL436" s="1302">
        <f>AL435/AD435-1</f>
        <v>0.26606061917151</v>
      </c>
      <c r="AM436" s="1302">
        <v>-2.13562519321401</v>
      </c>
      <c r="AN436" s="1302">
        <f>AN435/AF435-1</f>
        <v>1.23574663583407</v>
      </c>
      <c r="AO436" s="1302">
        <f>AO435/AG435-1</f>
        <v>0.446769988550032</v>
      </c>
      <c r="AP436" s="1302">
        <v>0.110048049222702</v>
      </c>
      <c r="AQ436" s="1302">
        <v>-0.520275730749219</v>
      </c>
      <c r="AR436" s="1302">
        <f>AR435/AJ435-1</f>
        <v>-0.153000457379753</v>
      </c>
      <c r="AS436" s="1302">
        <v>-0.0439770554493308</v>
      </c>
      <c r="AT436" s="1302">
        <f>AT435/AL435-1</f>
        <v>-0.0933507038039518</v>
      </c>
      <c r="AU436" s="1302">
        <v>0.111111111111111</v>
      </c>
      <c r="AV436" s="1302">
        <f>AV435/AN435-1</f>
        <v>-0.0280160091480847</v>
      </c>
      <c r="AW436" s="1302">
        <f>AW435/AO435-1</f>
        <v>-0.0812750065459157</v>
      </c>
      <c r="AX436" s="1303">
        <v>-0.0714285714285714</v>
      </c>
      <c r="AY436" s="1302">
        <v>0.538461538461539</v>
      </c>
      <c r="AZ436" s="1302">
        <f>AZ435/AR435-1</f>
        <v>0.0727272727272728</v>
      </c>
      <c r="BA436" s="1302">
        <v>-0.0866666666666667</v>
      </c>
      <c r="BB436" s="1302">
        <f>BB435/AT435-1</f>
        <v>-0.319230769230769</v>
      </c>
      <c r="BC436" s="1302">
        <v>0.8124</v>
      </c>
      <c r="BD436" s="1302">
        <f>BD435/AV435-1</f>
        <v>0.0191058823529411</v>
      </c>
      <c r="BE436" s="1304">
        <f>BE435/AW435-1</f>
        <v>-0.2384</v>
      </c>
      <c r="BF436" s="1302">
        <v>-0.153846153846154</v>
      </c>
      <c r="BG436" s="1302">
        <v>-0.233782875</v>
      </c>
      <c r="BH436" s="1302">
        <f>BH435/AZ435-1</f>
        <v>-0.180943347457627</v>
      </c>
      <c r="BI436" s="1302">
        <v>0.197080291970803</v>
      </c>
      <c r="BJ436" s="1302">
        <f>BJ435/BB435-1</f>
        <v>0.472591440677966</v>
      </c>
      <c r="BK436" s="1302">
        <v>-0.0434120503200178</v>
      </c>
      <c r="BL436" s="1302">
        <f>BL435/BD435-1</f>
        <v>0.146763021795346</v>
      </c>
      <c r="BM436" s="1302">
        <f>BM435/BE435-1</f>
        <v>0.384880913302821</v>
      </c>
      <c r="BN436" s="1303">
        <v>0.23</v>
      </c>
      <c r="BO436" s="1302">
        <v>0.220280739614113</v>
      </c>
      <c r="BP436" s="1302">
        <f>BP435/BH435-1</f>
        <v>0.226917883052418</v>
      </c>
      <c r="BQ436" s="1302">
        <v>0.170731707317073</v>
      </c>
      <c r="BR436" s="1302">
        <f>BR435/BJ435-1</f>
        <v>0.191565574175063</v>
      </c>
      <c r="BS436" s="1302">
        <v>-0.307846711118289</v>
      </c>
      <c r="BT436" s="1302">
        <f>BT435/BL435-1</f>
        <v>0.0872060013771276</v>
      </c>
      <c r="BU436" s="1304">
        <f>BU435/BM435-1</f>
        <v>0.132928704168183</v>
      </c>
      <c r="BV436" s="1303">
        <v>0.428923380142892</v>
      </c>
      <c r="BW436" s="1302">
        <v>0.764705882352941</v>
      </c>
      <c r="BX436" s="1302">
        <f t="shared" ref="BX436:CS436" si="3277">BX435/BP435-1</f>
        <v>0.53482880755608</v>
      </c>
      <c r="BY436" s="1302">
        <v>0.0729166666666667</v>
      </c>
      <c r="BZ436" s="1302">
        <f t="shared" si="3277"/>
        <v>0.249275548972889</v>
      </c>
      <c r="CA436" s="1302">
        <v>-1</v>
      </c>
      <c r="CB436" s="1302">
        <f t="shared" si="3277"/>
        <v>-0.0462962962962963</v>
      </c>
      <c r="CC436" s="1304">
        <f t="shared" si="3277"/>
        <v>0.159662860900233</v>
      </c>
      <c r="CD436" s="1303">
        <v>0.103448275862069</v>
      </c>
      <c r="CE436" s="1302">
        <v>0.454545454545456</v>
      </c>
      <c r="CF436" s="1302">
        <f t="shared" si="3277"/>
        <v>0.230769230769231</v>
      </c>
      <c r="CG436" s="1302">
        <v>-0.00970873786407755</v>
      </c>
      <c r="CH436" s="1302">
        <f t="shared" si="3277"/>
        <v>0.103092783505155</v>
      </c>
      <c r="CI436" s="1302" t="s">
        <v>173</v>
      </c>
      <c r="CJ436" s="1302">
        <f t="shared" si="3277"/>
        <v>0.058252427184466</v>
      </c>
      <c r="CK436" s="1304">
        <f t="shared" si="3277"/>
        <v>0.139175257731959</v>
      </c>
      <c r="CL436" s="1303">
        <v>0.09375</v>
      </c>
      <c r="CM436" s="1302">
        <f t="shared" si="3277"/>
        <v>-0.0625</v>
      </c>
      <c r="CN436" s="1302">
        <f t="shared" si="3277"/>
        <v>0.0267857142857142</v>
      </c>
      <c r="CO436" s="1302">
        <f t="shared" si="3277"/>
        <v>0.088235294117647</v>
      </c>
      <c r="CP436" s="1302">
        <f t="shared" si="3277"/>
        <v>0.0560747663551402</v>
      </c>
      <c r="CQ436" s="1302">
        <f t="shared" si="3277"/>
        <v>-0.857142857142857</v>
      </c>
      <c r="CR436" s="1302">
        <f t="shared" si="3277"/>
        <v>0.0550458715596329</v>
      </c>
      <c r="CS436" s="1304">
        <f t="shared" si="3277"/>
        <v>0.0271493212669682</v>
      </c>
      <c r="CT436" s="1303">
        <f>CT435/CM435-1</f>
        <v>0.371111111111111</v>
      </c>
      <c r="CU436" s="1302">
        <f t="shared" ref="CU436:DA436" si="3278">CU435/CM435-1</f>
        <v>0.0822222222222222</v>
      </c>
      <c r="CV436" s="1302">
        <f t="shared" si="3278"/>
        <v>-0.0399999999999999</v>
      </c>
      <c r="CW436" s="1302">
        <f t="shared" si="3278"/>
        <v>0.266666666666667</v>
      </c>
      <c r="CX436" s="1302">
        <f t="shared" si="3278"/>
        <v>0.110619469026549</v>
      </c>
      <c r="CY436" s="1302">
        <f t="shared" si="3278"/>
        <v>8</v>
      </c>
      <c r="CZ436" s="1302">
        <f t="shared" si="3278"/>
        <v>0.300869565217391</v>
      </c>
      <c r="DA436" s="1304">
        <f t="shared" si="3278"/>
        <v>0.145374449339207</v>
      </c>
      <c r="DB436" s="1109">
        <f t="shared" ref="DB436:DI436" si="3279">DB435/CT435-1</f>
        <v>0.296596434359806</v>
      </c>
      <c r="DC436" s="1082">
        <f t="shared" si="3279"/>
        <v>0.0677618069815193</v>
      </c>
      <c r="DD436" s="1082">
        <f t="shared" si="3279"/>
        <v>0.195652173913043</v>
      </c>
      <c r="DE436" s="1082">
        <f t="shared" si="3279"/>
        <v>-0.0896159317211949</v>
      </c>
      <c r="DF436" s="1082">
        <f t="shared" si="3279"/>
        <v>0.0358565737051793</v>
      </c>
      <c r="DG436" s="1082">
        <f t="shared" si="3279"/>
        <v>-1</v>
      </c>
      <c r="DH436" s="1082">
        <f t="shared" si="3279"/>
        <v>-0.144385026737968</v>
      </c>
      <c r="DI436" s="1085">
        <f t="shared" si="3279"/>
        <v>0</v>
      </c>
      <c r="DJ436" s="1082">
        <f t="shared" ref="DJ436:DQ436" si="3280">DJ435/DB435-1</f>
        <v>-0.9483</v>
      </c>
      <c r="DK436" s="1082">
        <f t="shared" si="3280"/>
        <v>-0.615384615384616</v>
      </c>
      <c r="DL436" s="1082">
        <f t="shared" si="3280"/>
        <v>-0.817151515151515</v>
      </c>
      <c r="DM436" s="1082">
        <f t="shared" si="3280"/>
        <v>-0.2734375</v>
      </c>
      <c r="DN436" s="1082">
        <f t="shared" si="3280"/>
        <v>-0.546153846153846</v>
      </c>
      <c r="DO436" s="1082" t="e">
        <f t="shared" si="3280"/>
        <v>#DIV/0!</v>
      </c>
      <c r="DP436" s="1082">
        <f t="shared" si="3280"/>
        <v>-0.3125</v>
      </c>
      <c r="DQ436" s="1085">
        <f t="shared" si="3280"/>
        <v>-0.565384615384615</v>
      </c>
      <c r="DR436" s="1082">
        <f t="shared" ref="DR436:DY436" si="3281">DR435/DJ435-1</f>
        <v>16.8916827852998</v>
      </c>
      <c r="DS436" s="1082">
        <f t="shared" si="3281"/>
        <v>1.5</v>
      </c>
      <c r="DT436" s="1083">
        <f t="shared" si="3281"/>
        <v>4.13755386145178</v>
      </c>
      <c r="DU436" s="1083">
        <f t="shared" si="3281"/>
        <v>0.225806451612903</v>
      </c>
      <c r="DV436" s="1083">
        <f t="shared" si="3281"/>
        <v>1.01694915254237</v>
      </c>
      <c r="DW436" s="1083">
        <f t="shared" si="3281"/>
        <v>-1</v>
      </c>
      <c r="DX436" s="1083">
        <f t="shared" si="3281"/>
        <v>0.295454545454545</v>
      </c>
      <c r="DY436" s="1085">
        <f t="shared" si="3281"/>
        <v>1.10619469026549</v>
      </c>
      <c r="DZ436" s="1082">
        <f t="shared" ref="DZ436:EF436" si="3282">DZ435/DR435-1</f>
        <v>0.027027027027027</v>
      </c>
      <c r="EA436" s="1082">
        <f t="shared" si="3282"/>
        <v>0.14</v>
      </c>
      <c r="EB436" s="1083">
        <f t="shared" si="3282"/>
        <v>0.0725806451612903</v>
      </c>
      <c r="EC436" s="1083">
        <f t="shared" si="3282"/>
        <v>0</v>
      </c>
      <c r="ED436" s="1083">
        <f t="shared" si="3282"/>
        <v>0.0378151260504203</v>
      </c>
      <c r="EE436" s="1083" t="str">
        <f>IFERROR(EE435/DW435-1,"")</f>
        <v/>
      </c>
      <c r="EF436" s="1083">
        <f t="shared" si="3282"/>
        <v>0.12280701754386</v>
      </c>
      <c r="EG436" s="1085">
        <f t="shared" ref="EG436:EO436" si="3283">EG435/DY435-1</f>
        <v>0.096638655462185</v>
      </c>
      <c r="EH436" s="1082">
        <f t="shared" si="3283"/>
        <v>0.302631578947368</v>
      </c>
      <c r="EI436" s="1082">
        <f t="shared" si="3283"/>
        <v>0.245614035087719</v>
      </c>
      <c r="EJ436" s="1083">
        <f t="shared" si="3283"/>
        <v>0.278195488721805</v>
      </c>
      <c r="EK436" s="1083">
        <f t="shared" si="3283"/>
        <v>0.192982456140351</v>
      </c>
      <c r="EL436" s="1083">
        <f t="shared" si="3283"/>
        <v>0.238866396761134</v>
      </c>
      <c r="EM436" s="1083">
        <f t="shared" si="3283"/>
        <v>0.428571428571429</v>
      </c>
      <c r="EN436" s="1083">
        <f t="shared" si="3283"/>
        <v>0.21875</v>
      </c>
      <c r="EO436" s="1085">
        <f t="shared" si="3283"/>
        <v>0.24904214559387</v>
      </c>
      <c r="EP436" s="1082">
        <f t="shared" ref="EP436:EW436" si="3284">EP435/EH435-1</f>
        <v>0.191919191919192</v>
      </c>
      <c r="EQ436" s="1094">
        <f t="shared" si="3284"/>
        <v>-0.0845070422535211</v>
      </c>
      <c r="ER436" s="1094">
        <f t="shared" si="3284"/>
        <v>0.0764705882352941</v>
      </c>
      <c r="ES436" s="1094">
        <f t="shared" si="3284"/>
        <v>-0.0882352941176471</v>
      </c>
      <c r="ET436" s="1094">
        <f t="shared" si="3284"/>
        <v>0.00326797385620914</v>
      </c>
      <c r="EU436" s="1094">
        <f t="shared" si="3284"/>
        <v>0.9</v>
      </c>
      <c r="EV436" s="1094">
        <f t="shared" si="3284"/>
        <v>0.0384615384615385</v>
      </c>
      <c r="EW436" s="1093">
        <f t="shared" si="3284"/>
        <v>0.0582822085889572</v>
      </c>
      <c r="EX436" s="1094">
        <f t="shared" ref="EX436:FG436" si="3285">EX435/EP435-1</f>
        <v>-0.288135593220339</v>
      </c>
      <c r="EY436" s="1094">
        <f t="shared" si="3285"/>
        <v>-0.0923076923076923</v>
      </c>
      <c r="EZ436" s="1094">
        <f t="shared" si="3285"/>
        <v>-0.218579234972678</v>
      </c>
      <c r="FA436" s="1094">
        <f t="shared" si="3285"/>
        <v>-0.0967741935483871</v>
      </c>
      <c r="FB436" s="1094">
        <f t="shared" si="3285"/>
        <v>-0.169381107491857</v>
      </c>
      <c r="FC436" s="1094">
        <f t="shared" si="3285"/>
        <v>-0.578947368421053</v>
      </c>
      <c r="FD436" s="1094">
        <f t="shared" si="3285"/>
        <v>-0.209876543209877</v>
      </c>
      <c r="FE436" s="1093">
        <f t="shared" si="3285"/>
        <v>-0.214492753623188</v>
      </c>
      <c r="FF436" s="1094">
        <f t="shared" si="3285"/>
        <v>0.285714285714286</v>
      </c>
      <c r="FG436" s="1094">
        <f t="shared" si="3285"/>
        <v>0.338983050847458</v>
      </c>
      <c r="FH436" s="1094">
        <f t="shared" ref="FH436:FM436" si="3286">FH435/EZ435-1</f>
        <v>0.307692307692308</v>
      </c>
      <c r="FI436" s="1094">
        <f t="shared" si="3286"/>
        <v>0.410714285714286</v>
      </c>
      <c r="FJ436" s="1094">
        <f t="shared" si="3286"/>
        <v>0.352941176470588</v>
      </c>
      <c r="FK436" s="1094">
        <f t="shared" si="3286"/>
        <v>-0.5</v>
      </c>
      <c r="FL436" s="1094">
        <f t="shared" si="3286"/>
        <v>0.296875</v>
      </c>
      <c r="FM436" s="1093">
        <f t="shared" si="3286"/>
        <v>0.302583025830258</v>
      </c>
      <c r="FN436" s="1094">
        <f t="shared" ref="FN436:GC436" si="3287">FN435/FF435-1</f>
        <v>0.351851851851852</v>
      </c>
      <c r="FO436" s="1094">
        <f t="shared" si="3287"/>
        <v>0.506329113924051</v>
      </c>
      <c r="FP436" s="1094">
        <f t="shared" si="3287"/>
        <v>0.417112299465241</v>
      </c>
      <c r="FQ436" s="1094">
        <f t="shared" si="3287"/>
        <v>0.00632911392405067</v>
      </c>
      <c r="FR436" s="1094">
        <f t="shared" si="3287"/>
        <v>0.228985507246377</v>
      </c>
      <c r="FS436" s="1094">
        <f t="shared" si="3287"/>
        <v>-0.75</v>
      </c>
      <c r="FT436" s="1094">
        <f t="shared" si="3287"/>
        <v>-0.0301204819277109</v>
      </c>
      <c r="FU436" s="1094">
        <f t="shared" si="3287"/>
        <v>0.206798866855524</v>
      </c>
      <c r="FV436" s="1086">
        <f t="shared" si="3287"/>
        <v>0.253424657534246</v>
      </c>
      <c r="FW436" s="1087">
        <f t="shared" si="3287"/>
        <v>0.168067226890756</v>
      </c>
      <c r="FX436" s="1094">
        <f t="shared" si="3287"/>
        <v>0.215094339622641</v>
      </c>
      <c r="FY436" s="1094">
        <f t="shared" si="3287"/>
        <v>0.374811320754717</v>
      </c>
      <c r="FZ436" s="1094">
        <f t="shared" si="3287"/>
        <v>0.27498820754717</v>
      </c>
      <c r="GA436" s="1094">
        <f t="shared" si="3287"/>
        <v>25.0719999999999</v>
      </c>
      <c r="GB436" s="1094">
        <f t="shared" si="3287"/>
        <v>0.681608695652173</v>
      </c>
      <c r="GC436" s="1093">
        <f t="shared" si="3287"/>
        <v>0.391406103286385</v>
      </c>
      <c r="GD436" s="1087">
        <f t="shared" ref="GD436:GS436" si="3288">GD435/FV435-1</f>
        <v>0.133732240437158</v>
      </c>
      <c r="GE436" s="1087">
        <f t="shared" si="3288"/>
        <v>0.223021582733815</v>
      </c>
      <c r="GF436" s="1094">
        <f t="shared" si="3288"/>
        <v>0.172276397515529</v>
      </c>
      <c r="GG436" s="1094">
        <f t="shared" si="3288"/>
        <v>0.148242183032549</v>
      </c>
      <c r="GH436" s="1094">
        <f t="shared" si="3288"/>
        <v>0.16255792228933</v>
      </c>
      <c r="GI436" s="1094">
        <f t="shared" si="3288"/>
        <v>-0.222786897821385</v>
      </c>
      <c r="GJ436" s="1094">
        <f t="shared" si="3288"/>
        <v>0.0767824362208687</v>
      </c>
      <c r="GK436" s="1093">
        <f t="shared" si="3288"/>
        <v>0.128658650772097</v>
      </c>
      <c r="GL436" s="1087">
        <f t="shared" si="3288"/>
        <v>0.045919228044131</v>
      </c>
      <c r="GM436" s="1087">
        <f t="shared" si="3288"/>
        <v>-0.0751411764705894</v>
      </c>
      <c r="GN436" s="1094">
        <f t="shared" si="3288"/>
        <v>-0.00860193974138623</v>
      </c>
      <c r="GO436" s="1094">
        <f t="shared" si="3288"/>
        <v>-0.123505976095617</v>
      </c>
      <c r="GP436" s="1094">
        <f t="shared" si="3288"/>
        <v>-0.0544923966502939</v>
      </c>
      <c r="GQ436" s="1094">
        <f t="shared" si="3288"/>
        <v>0.129469242727023</v>
      </c>
      <c r="GR436" s="1094">
        <f t="shared" si="3288"/>
        <v>-0.0883383014266311</v>
      </c>
      <c r="GS436" s="1093">
        <f t="shared" si="3288"/>
        <v>-0.0433482810164452</v>
      </c>
      <c r="GT436" s="1087">
        <f t="shared" ref="GT436" si="3289">GT435/GL435-1</f>
        <v>-0.966032258064516</v>
      </c>
      <c r="GU436" s="1087">
        <f t="shared" ref="GU436" si="3290">GU435/GM435-1</f>
        <v>-1.36889572971392</v>
      </c>
      <c r="GV436" s="1094">
        <f t="shared" ref="GV436" si="3291">GV435/GN435-1</f>
        <v>-1.13528990503065</v>
      </c>
      <c r="GW436" s="1094">
        <f t="shared" ref="GW436" si="3292">GW435/GO435-1</f>
        <v>-0.195454545454546</v>
      </c>
      <c r="GX436" s="1094">
        <f t="shared" ref="GX436" si="3293">GX435/GP435-1</f>
        <v>-0.787335121654051</v>
      </c>
      <c r="GY436" s="1094">
        <f t="shared" ref="GY436" si="3294">GY435/GQ435-1</f>
        <v>-0.57117577664176</v>
      </c>
      <c r="GZ436" s="1094">
        <f t="shared" ref="GZ436" si="3295">GZ435/GR435-1</f>
        <v>-0.260164651169791</v>
      </c>
      <c r="HA436" s="1093">
        <f t="shared" ref="HA436" si="3296">HA435/GS435-1</f>
        <v>-0.771875</v>
      </c>
      <c r="HB436" s="1087">
        <f t="shared" ref="HB436" si="3297">HB435/GT435-1</f>
        <v>21.5541310541311</v>
      </c>
      <c r="HC436" s="1087">
        <f t="shared" ref="HC436" si="3298">HC435/GU435-1</f>
        <v>-3.12068965517241</v>
      </c>
      <c r="HD436" s="1094">
        <f t="shared" ref="HD436" si="3299">HD435/GV435-1</f>
        <v>-6.7130597088625</v>
      </c>
      <c r="HE436" s="1094">
        <f t="shared" ref="HE436" si="3300">HE435/GW435-1</f>
        <v>-0.152542372881356</v>
      </c>
      <c r="HF436" s="1094">
        <f t="shared" ref="HF436" si="3301">HF435/GX435-1</f>
        <v>2.47584888938127</v>
      </c>
      <c r="HG436" s="1094">
        <f t="shared" ref="HG436" si="3302">HG435/GY435-1</f>
        <v>-5.03721534464312</v>
      </c>
      <c r="HH436" s="1094">
        <f t="shared" ref="HH436" si="3303">HH435/GZ435-1</f>
        <v>-0.640167523610454</v>
      </c>
      <c r="HI436" s="1093">
        <f t="shared" ref="HI436" si="3304">HI435/HA435-1</f>
        <v>1.46575342465753</v>
      </c>
      <c r="HJ436" s="1087">
        <f t="shared" ref="HJ436" si="3305">HJ435/HB435-1</f>
        <v>-0.39246841286884</v>
      </c>
      <c r="HK436" s="1087">
        <f t="shared" ref="HK436" si="3306">HK435/HC435-1</f>
        <v>-1.4959349593496</v>
      </c>
      <c r="HL436" s="1094">
        <f t="shared" ref="HL436" si="3307">HL435/HD435-1</f>
        <v>-0.861709649036377</v>
      </c>
      <c r="HM436" s="1094">
        <f t="shared" ref="HM436" si="3308">HM435/HE435-1</f>
        <v>1.3</v>
      </c>
      <c r="HN436" s="1094">
        <f t="shared" ref="HN436" si="3309">HN435/HF435-1</f>
        <v>-0.123498992023842</v>
      </c>
      <c r="HO436" s="1094">
        <f t="shared" ref="HO436" si="3310">HO435/HG435-1</f>
        <v>2.16733231120617</v>
      </c>
      <c r="HP436" s="1094">
        <f t="shared" ref="HP436" si="3311">HP435/HH435-1</f>
        <v>0.328556184499713</v>
      </c>
      <c r="HQ436" s="1093">
        <f t="shared" ref="HQ436" si="3312">HQ435/HI435-1</f>
        <v>-0.627777777777778</v>
      </c>
      <c r="HR436" s="1087">
        <f t="shared" ref="HR436" si="3313">HR435/HJ435-1</f>
        <v>-0.91727493917275</v>
      </c>
      <c r="HS436" s="1087">
        <f t="shared" ref="HS436" si="3314">HS435/HK435-1</f>
        <v>-0.846666666666667</v>
      </c>
      <c r="HT436" s="1094">
        <f t="shared" ref="HT436" si="3315">HT435/HL435-1</f>
        <v>-1.02495255474453</v>
      </c>
      <c r="HU436" s="1094">
        <f t="shared" ref="HU436" si="3316">HU435/HM435-1</f>
        <v>-0.859901449275362</v>
      </c>
      <c r="HV436" s="1094">
        <f t="shared" ref="HV436" si="3317">HV435/HN435-1</f>
        <v>-0.877049616077353</v>
      </c>
      <c r="HW436" s="1094">
        <f t="shared" ref="HW436" si="3318">HW435/HO435-1</f>
        <v>-0.855235466891496</v>
      </c>
      <c r="HX436" s="1094">
        <f t="shared" ref="HX436" si="3319">HX435/HP435-1</f>
        <v>-0.872360615002493</v>
      </c>
      <c r="HY436" s="1093">
        <f t="shared" ref="HY436" si="3320">HY435/HQ435-1</f>
        <v>-0.917910447761309</v>
      </c>
      <c r="HZ436" s="1087">
        <f t="shared" ref="HZ436" si="3321">HZ435/HR435-1</f>
        <v>6.02494030285382</v>
      </c>
      <c r="IA436" s="1087">
        <f t="shared" ref="IA436" si="3322">IA435/HS435-1</f>
        <v>-9.28260869565209</v>
      </c>
      <c r="IB436" s="1094">
        <f t="shared" ref="IB436" si="3323">IB435/HT435-1</f>
        <v>-137.423906684206</v>
      </c>
      <c r="IC436" s="1094">
        <f t="shared" ref="IC436" si="3324">IC435/HU435-1</f>
        <v>1.51936525013447</v>
      </c>
      <c r="ID436" s="1094">
        <f t="shared" ref="ID436" si="3325">ID435/HV435-1</f>
        <v>4.44905688773723</v>
      </c>
      <c r="IE436" s="1094">
        <f t="shared" ref="IE436" si="3326">IE435/HW435-1</f>
        <v>-0.618256302006247</v>
      </c>
      <c r="IF436" s="1094">
        <f t="shared" ref="IF436" si="3327">IF435/HX435-1</f>
        <v>7.9930889313508</v>
      </c>
      <c r="IG436" s="1093">
        <f t="shared" ref="IG436" si="3328">IG435/HY435-1</f>
        <v>21.1877272727581</v>
      </c>
      <c r="IH436" s="1087">
        <f t="shared" ref="IH436" si="3329">IH435/HZ435-1</f>
        <v>1.53854672459324</v>
      </c>
      <c r="II436" s="1087">
        <f t="shared" ref="II436" si="3330">II435/IA435-1</f>
        <v>0.471537369304247</v>
      </c>
      <c r="IJ436" s="1094">
        <f t="shared" ref="IJ436" si="3331">IJ435/IB435-1</f>
        <v>0.931480189476003</v>
      </c>
      <c r="IK436" s="1094">
        <f t="shared" ref="IK436" si="3332">IK435/IC435-1</f>
        <v>0.363214558474518</v>
      </c>
      <c r="IL436" s="1094">
        <f t="shared" ref="IL436" si="3333">IL435/ID435-1</f>
        <v>0.663203275231067</v>
      </c>
      <c r="IM436" s="1094">
        <f t="shared" ref="IM436" si="3334">IM435/IE435-1</f>
        <v>-2.00929997837196</v>
      </c>
      <c r="IN436" s="1094">
        <f t="shared" ref="IN436" si="3335">IN435/IF435-1</f>
        <v>0.668211306765556</v>
      </c>
      <c r="IO436" s="1093">
        <f t="shared" ref="IO436" si="3336">IO435/IG435-1</f>
        <v>0.815090242353487</v>
      </c>
      <c r="IP436" s="1087">
        <f t="shared" ref="IP436" si="3337">IP435/IH435-1</f>
        <v>0.145973154362416</v>
      </c>
      <c r="IQ436" s="1087">
        <f t="shared" ref="IQ436" si="3338">IQ435/II435-1</f>
        <v>0.166666666666668</v>
      </c>
      <c r="IR436" s="1094">
        <f t="shared" ref="IR436" si="3339">IR435/IJ435-1</f>
        <v>0.154942965779468</v>
      </c>
      <c r="IS436" s="1094">
        <f t="shared" ref="IS436" si="3340">IS435/IK435-1</f>
        <v>0.253012048192768</v>
      </c>
      <c r="IT436" s="1094">
        <f t="shared" ref="IT436" si="3341">IT435/IL435-1</f>
        <v>0.192890442890442</v>
      </c>
      <c r="IU436" s="1094">
        <f t="shared" ref="IU436" si="3342">IU435/IM435-1</f>
        <v>3.50000000000012</v>
      </c>
      <c r="IV436" s="1094">
        <f t="shared" ref="IV436" si="3343">IV435/IN435-1</f>
        <v>0.505555555555554</v>
      </c>
      <c r="IW436" s="1093">
        <f t="shared" ref="IW436" si="3344">IW435/IO435-1</f>
        <v>0.297404063205417</v>
      </c>
      <c r="IX436" s="1087"/>
      <c r="IZ436" s="1071"/>
      <c r="JA436" s="1071"/>
      <c r="JB436" s="1071"/>
      <c r="JC436" s="1049"/>
      <c r="JD436" s="1049"/>
      <c r="JE436" s="1049"/>
      <c r="JF436" s="1082"/>
      <c r="JG436" s="1082"/>
      <c r="JH436" s="1082"/>
    </row>
    <row r="437" spans="1:285">
      <c r="A437" s="1035" t="s">
        <v>167</v>
      </c>
      <c r="B437" s="1358">
        <f t="shared" ref="B437:BM437" si="3345">B435/B432</f>
        <v>0.123355263157895</v>
      </c>
      <c r="C437" s="1358">
        <f t="shared" si="3345"/>
        <v>0.0977011494252874</v>
      </c>
      <c r="D437" s="1358">
        <f t="shared" si="3345"/>
        <v>0.112655800575264</v>
      </c>
      <c r="E437" s="1358">
        <f t="shared" si="3345"/>
        <v>0.120481927710843</v>
      </c>
      <c r="F437" s="1358">
        <f t="shared" si="3345"/>
        <v>0.116123865456487</v>
      </c>
      <c r="G437" s="1358">
        <f t="shared" si="3345"/>
        <v>0</v>
      </c>
      <c r="H437" s="1358">
        <f>B437+G437</f>
        <v>0.123355263157895</v>
      </c>
      <c r="I437" s="1358">
        <f t="shared" si="3345"/>
        <v>0.109682299546142</v>
      </c>
      <c r="J437" s="1358">
        <f t="shared" si="3345"/>
        <v>0.186886938564791</v>
      </c>
      <c r="K437" s="1358">
        <f t="shared" si="3345"/>
        <v>0.152764761012184</v>
      </c>
      <c r="L437" s="1358">
        <f t="shared" si="3345"/>
        <v>0.174766977363515</v>
      </c>
      <c r="M437" s="1358">
        <f t="shared" si="3345"/>
        <v>0.192307692307692</v>
      </c>
      <c r="N437" s="1358">
        <f t="shared" si="3345"/>
        <v>0.181943351691581</v>
      </c>
      <c r="O437" s="1358">
        <f t="shared" si="3345"/>
        <v>0.234009360374415</v>
      </c>
      <c r="P437" s="1358">
        <f>J437+O437</f>
        <v>0.420896298939206</v>
      </c>
      <c r="Q437" s="1358">
        <f t="shared" si="3345"/>
        <v>0.185030992691276</v>
      </c>
      <c r="R437" s="1358">
        <f t="shared" si="3345"/>
        <v>0.239886578449905</v>
      </c>
      <c r="S437" s="1358">
        <f t="shared" si="3345"/>
        <v>0.245392063233408</v>
      </c>
      <c r="T437" s="1358">
        <f t="shared" si="3345"/>
        <v>0.241779144146156</v>
      </c>
      <c r="U437" s="1358">
        <f t="shared" si="3345"/>
        <v>0.253724825573487</v>
      </c>
      <c r="V437" s="1358">
        <f t="shared" si="3345"/>
        <v>0.247201322690934</v>
      </c>
      <c r="W437" s="1358">
        <f t="shared" si="3345"/>
        <v>0.111659496407591</v>
      </c>
      <c r="X437" s="1358">
        <f>R437+W437</f>
        <v>0.351546074857496</v>
      </c>
      <c r="Y437" s="1358">
        <f t="shared" si="3345"/>
        <v>0.239448249320462</v>
      </c>
      <c r="Z437" s="1358">
        <f t="shared" si="3345"/>
        <v>0.344178082191781</v>
      </c>
      <c r="AA437" s="1358">
        <f t="shared" si="3345"/>
        <v>0.453125000000002</v>
      </c>
      <c r="AB437" s="1358">
        <f t="shared" si="3345"/>
        <v>0.36376404494382</v>
      </c>
      <c r="AC437" s="1358">
        <f t="shared" si="3345"/>
        <v>0.290220820189275</v>
      </c>
      <c r="AD437" s="1358">
        <f t="shared" si="3345"/>
        <v>0.329123328380386</v>
      </c>
      <c r="AE437" s="1358">
        <f t="shared" si="3345"/>
        <v>0.212445175438598</v>
      </c>
      <c r="AF437" s="1358">
        <f>Z437+AE437</f>
        <v>0.556623257630378</v>
      </c>
      <c r="AG437" s="1358">
        <f t="shared" si="3345"/>
        <v>0.343310445970269</v>
      </c>
      <c r="AH437" s="1358">
        <f t="shared" si="3345"/>
        <v>0.38341968911917</v>
      </c>
      <c r="AI437" s="1358">
        <f t="shared" si="3345"/>
        <v>0.449158498059092</v>
      </c>
      <c r="AJ437" s="1358">
        <f t="shared" si="3345"/>
        <v>0.408362183085083</v>
      </c>
      <c r="AK437" s="1358">
        <f t="shared" si="3345"/>
        <v>0.363194444444444</v>
      </c>
      <c r="AL437" s="1358">
        <f t="shared" si="3345"/>
        <v>0.382346502192587</v>
      </c>
      <c r="AM437" s="1358">
        <f t="shared" si="3345"/>
        <v>0.5625</v>
      </c>
      <c r="AN437" s="1358">
        <f>AH437+AM437</f>
        <v>0.94591968911917</v>
      </c>
      <c r="AO437" s="1358">
        <f t="shared" si="3345"/>
        <v>0.389718257809513</v>
      </c>
      <c r="AP437" s="1358">
        <f t="shared" si="3345"/>
        <v>0.42</v>
      </c>
      <c r="AQ437" s="1358">
        <f t="shared" si="3345"/>
        <v>0.371428571428571</v>
      </c>
      <c r="AR437" s="1358">
        <f t="shared" si="3345"/>
        <v>0.407407407407407</v>
      </c>
      <c r="AS437" s="1358">
        <f t="shared" si="3345"/>
        <v>0.394736842105263</v>
      </c>
      <c r="AT437" s="1358">
        <f t="shared" si="3345"/>
        <v>0.4</v>
      </c>
      <c r="AU437" s="1358">
        <f t="shared" si="3345"/>
        <v>0.5</v>
      </c>
      <c r="AV437" s="1358">
        <f>AP437+AU437</f>
        <v>0.92</v>
      </c>
      <c r="AW437" s="1358">
        <f t="shared" si="3345"/>
        <v>0.405797101449275</v>
      </c>
      <c r="AX437" s="1359">
        <f t="shared" si="3345"/>
        <v>0.428571428571429</v>
      </c>
      <c r="AY437" s="1358">
        <f t="shared" si="3345"/>
        <v>0.421052631578947</v>
      </c>
      <c r="AZ437" s="1358">
        <f t="shared" si="3345"/>
        <v>0.425992779783394</v>
      </c>
      <c r="BA437" s="1358">
        <f t="shared" si="3345"/>
        <v>0.360526315789474</v>
      </c>
      <c r="BB437" s="1358">
        <f t="shared" si="3345"/>
        <v>0.372631578947368</v>
      </c>
      <c r="BC437" s="1358">
        <f t="shared" si="3345"/>
        <v>0.394</v>
      </c>
      <c r="BD437" s="1358">
        <f>AX437+BC437</f>
        <v>0.822571428571429</v>
      </c>
      <c r="BE437" s="1360">
        <f t="shared" si="3345"/>
        <v>0.376098765432099</v>
      </c>
      <c r="BF437" s="1358">
        <f t="shared" si="3345"/>
        <v>0.417721518987342</v>
      </c>
      <c r="BG437" s="1358">
        <f t="shared" si="3345"/>
        <v>0.365</v>
      </c>
      <c r="BH437" s="1358">
        <f t="shared" si="3345"/>
        <v>0.399425897532328</v>
      </c>
      <c r="BI437" s="1358">
        <f t="shared" si="3345"/>
        <v>0.374429223744292</v>
      </c>
      <c r="BJ437" s="1358">
        <f t="shared" si="3345"/>
        <v>0.383324364787218</v>
      </c>
      <c r="BK437" s="1358">
        <f t="shared" si="3345"/>
        <v>0.356</v>
      </c>
      <c r="BL437" s="1358">
        <f>BF437+BK437</f>
        <v>0.773721518987342</v>
      </c>
      <c r="BM437" s="1358">
        <f t="shared" si="3345"/>
        <v>0.379900774278367</v>
      </c>
      <c r="BN437" s="1359">
        <f t="shared" ref="BN437:CK437" si="3346">BN435/BN432</f>
        <v>0.41</v>
      </c>
      <c r="BO437" s="1358">
        <f t="shared" si="3346"/>
        <v>0.374</v>
      </c>
      <c r="BP437" s="1358">
        <f t="shared" si="3346"/>
        <v>0.397919463087248</v>
      </c>
      <c r="BQ437" s="1358">
        <f t="shared" si="3346"/>
        <v>0.379446640316206</v>
      </c>
      <c r="BR437" s="1358">
        <f t="shared" si="3346"/>
        <v>0.386293532338308</v>
      </c>
      <c r="BS437" s="1358">
        <f t="shared" si="3346"/>
        <v>0.324324324324324</v>
      </c>
      <c r="BT437" s="1358">
        <f>BN437+BS437</f>
        <v>0.734324324324324</v>
      </c>
      <c r="BU437" s="1360">
        <f t="shared" si="3346"/>
        <v>0.381070615034169</v>
      </c>
      <c r="BV437" s="1359">
        <f t="shared" si="3346"/>
        <v>0.389261744966443</v>
      </c>
      <c r="BW437" s="1358">
        <f t="shared" si="3346"/>
        <v>0.317307692307692</v>
      </c>
      <c r="BX437" s="1358">
        <f t="shared" si="3346"/>
        <v>0.359683794466403</v>
      </c>
      <c r="BY437" s="1358">
        <f t="shared" si="3346"/>
        <v>0.388679245283019</v>
      </c>
      <c r="BZ437" s="1358">
        <f t="shared" si="3346"/>
        <v>0.374517374517374</v>
      </c>
      <c r="CA437" s="1358">
        <f t="shared" si="3346"/>
        <v>0</v>
      </c>
      <c r="CB437" s="1358">
        <f>BV437+CA437</f>
        <v>0.389261744966443</v>
      </c>
      <c r="CC437" s="1360">
        <f t="shared" si="3346"/>
        <v>0.367424242424242</v>
      </c>
      <c r="CD437" s="1359">
        <f t="shared" si="3346"/>
        <v>0.328205128205128</v>
      </c>
      <c r="CE437" s="1358">
        <f t="shared" si="3346"/>
        <v>0.338028169014085</v>
      </c>
      <c r="CF437" s="1358">
        <f t="shared" si="3346"/>
        <v>0.332344213649852</v>
      </c>
      <c r="CG437" s="1358">
        <f t="shared" si="3346"/>
        <v>0.330097087378641</v>
      </c>
      <c r="CH437" s="1358">
        <f t="shared" si="3346"/>
        <v>0.331269349845201</v>
      </c>
      <c r="CI437" s="1358">
        <f t="shared" si="3346"/>
        <v>0.636363636363636</v>
      </c>
      <c r="CJ437" s="1358">
        <f>CD437+CI437</f>
        <v>0.964568764568765</v>
      </c>
      <c r="CK437" s="1360">
        <f t="shared" si="3346"/>
        <v>0.336377473363775</v>
      </c>
      <c r="CL437" s="1359">
        <v>0.318181818181818</v>
      </c>
      <c r="CM437" s="1358">
        <v>0.348</v>
      </c>
      <c r="CN437" s="1358">
        <f t="shared" ref="CN437:CS437" si="3347">CN435/CN432</f>
        <v>0.330744895024446</v>
      </c>
      <c r="CO437" s="1358">
        <f t="shared" si="3347"/>
        <v>0.30722391364517</v>
      </c>
      <c r="CP437" s="1358">
        <f t="shared" si="3347"/>
        <v>0.318758815232722</v>
      </c>
      <c r="CQ437" s="1358">
        <f t="shared" si="3347"/>
        <v>0.0666666666666667</v>
      </c>
      <c r="CR437" s="1358">
        <f t="shared" si="3347"/>
        <v>0.24961152266869</v>
      </c>
      <c r="CS437" s="1360">
        <f t="shared" si="3347"/>
        <v>0.313969571230982</v>
      </c>
      <c r="CT437" s="1359">
        <f t="shared" ref="CT437:DD437" si="3348">CT435/CT432</f>
        <v>0.32303664921466</v>
      </c>
      <c r="CU437" s="1358">
        <f t="shared" si="3348"/>
        <v>0.318300653594771</v>
      </c>
      <c r="CV437" s="1358">
        <f t="shared" si="3348"/>
        <v>0.32093023255814</v>
      </c>
      <c r="CW437" s="1358">
        <f t="shared" si="3348"/>
        <v>0.318820861678004</v>
      </c>
      <c r="CX437" s="1358">
        <f t="shared" si="3348"/>
        <v>0.319745222929936</v>
      </c>
      <c r="CY437" s="1358">
        <f t="shared" si="3348"/>
        <v>0.3</v>
      </c>
      <c r="CZ437" s="1358">
        <f t="shared" si="3348"/>
        <v>0.317622080679406</v>
      </c>
      <c r="DA437" s="1360">
        <f t="shared" si="3348"/>
        <v>0.319018404907975</v>
      </c>
      <c r="DB437" s="1361">
        <f t="shared" si="3348"/>
        <v>0.32</v>
      </c>
      <c r="DC437" s="1362">
        <f t="shared" si="3348"/>
        <v>0.225108225108225</v>
      </c>
      <c r="DD437" s="1362">
        <f t="shared" si="3348"/>
        <v>0.315035799522673</v>
      </c>
      <c r="DE437" s="1362">
        <v>0.31</v>
      </c>
      <c r="DF437" s="1362">
        <f>DF435/DF432</f>
        <v>0.305882352941176</v>
      </c>
      <c r="DG437" s="1362">
        <f>DG435/DG432</f>
        <v>0</v>
      </c>
      <c r="DH437" s="1362">
        <f>DH435/DH432</f>
        <v>0.263917525773196</v>
      </c>
      <c r="DI437" s="1363">
        <f>DI435/DI432</f>
        <v>0.287610619469027</v>
      </c>
      <c r="DJ437" s="1082">
        <v>0.517</v>
      </c>
      <c r="DK437" s="1082">
        <v>0.714285714285714</v>
      </c>
      <c r="DL437" s="1082">
        <f>DL435/DL432</f>
        <v>0.670444444444444</v>
      </c>
      <c r="DM437" s="1082">
        <f>DM435/DM432</f>
        <v>0.303921568627451</v>
      </c>
      <c r="DN437" s="1082">
        <f t="shared" ref="DN437:DY437" si="3349">DN435/DN432</f>
        <v>0.345029239766082</v>
      </c>
      <c r="DO437" s="1082">
        <f t="shared" si="3349"/>
        <v>-0.3125</v>
      </c>
      <c r="DP437" s="1082">
        <f t="shared" si="3349"/>
        <v>0.325405277500894</v>
      </c>
      <c r="DQ437" s="1085">
        <f t="shared" si="3349"/>
        <v>0.315642458100559</v>
      </c>
      <c r="DR437" s="1082">
        <f t="shared" si="3349"/>
        <v>0.304526748971193</v>
      </c>
      <c r="DS437" s="1094">
        <f t="shared" si="3349"/>
        <v>0.284090909090909</v>
      </c>
      <c r="DT437" s="1083">
        <f t="shared" si="3349"/>
        <v>0.295942720763723</v>
      </c>
      <c r="DU437" s="1083">
        <f t="shared" si="3349"/>
        <v>0.3</v>
      </c>
      <c r="DV437" s="1083">
        <f t="shared" si="3349"/>
        <v>0.297872340425532</v>
      </c>
      <c r="DW437" s="1083">
        <f t="shared" si="3349"/>
        <v>0</v>
      </c>
      <c r="DX437" s="1083">
        <f t="shared" si="3349"/>
        <v>0.294573643410853</v>
      </c>
      <c r="DY437" s="1085">
        <f t="shared" si="3349"/>
        <v>0.295285359801489</v>
      </c>
      <c r="DZ437" s="1083">
        <f>DZ435/DZ$432</f>
        <v>0.266666666666667</v>
      </c>
      <c r="EA437" s="1083">
        <f>EA435/EA$432</f>
        <v>0.289340101522843</v>
      </c>
      <c r="EB437" s="1083">
        <f t="shared" ref="EB437:EG437" si="3350">EB435/EB432</f>
        <v>0.275933609958506</v>
      </c>
      <c r="EC437" s="1083">
        <f t="shared" si="3350"/>
        <v>0.272727272727273</v>
      </c>
      <c r="ED437" s="1083">
        <f t="shared" si="3350"/>
        <v>0.274444444444444</v>
      </c>
      <c r="EE437" s="1083">
        <f t="shared" si="3350"/>
        <v>-0.451612903225806</v>
      </c>
      <c r="EF437" s="1083">
        <f t="shared" si="3350"/>
        <v>0.330749354005168</v>
      </c>
      <c r="EG437" s="1085">
        <f t="shared" si="3350"/>
        <v>0.300345224395857</v>
      </c>
      <c r="EH437" s="1083">
        <f>EH435/EH$432</f>
        <v>0.254498714652956</v>
      </c>
      <c r="EI437" s="1083">
        <f>EI435/EI$432</f>
        <v>0.302127659574468</v>
      </c>
      <c r="EJ437" s="1083">
        <f t="shared" ref="EJ437:EO437" si="3351">EJ435/EJ432</f>
        <v>0.272435897435897</v>
      </c>
      <c r="EK437" s="1083">
        <f t="shared" si="3351"/>
        <v>0.2839248434238</v>
      </c>
      <c r="EL437" s="1083">
        <f t="shared" si="3351"/>
        <v>0.277425203989121</v>
      </c>
      <c r="EM437" s="1083">
        <f t="shared" si="3351"/>
        <v>-0.0790513833992095</v>
      </c>
      <c r="EN437" s="1083">
        <f t="shared" si="3351"/>
        <v>0.690265486725664</v>
      </c>
      <c r="EO437" s="1093">
        <f t="shared" si="3351"/>
        <v>0.383529411764706</v>
      </c>
      <c r="EP437" s="1083">
        <f>EP435/EP$432</f>
        <v>0.276346604215457</v>
      </c>
      <c r="EQ437" s="1094">
        <f>EQ435/EQ$432</f>
        <v>0.275423728813559</v>
      </c>
      <c r="ER437" s="1094">
        <f>ER435/ER432</f>
        <v>0.276018099547511</v>
      </c>
      <c r="ES437" s="1094">
        <f>ES435/ES$432</f>
        <v>0.280542986425339</v>
      </c>
      <c r="ET437" s="1094">
        <f t="shared" ref="ET437:EZ437" si="3352">ET435/ET432</f>
        <v>0.277828054298643</v>
      </c>
      <c r="EU437" s="1094">
        <f t="shared" si="3352"/>
        <v>1.35714285714286</v>
      </c>
      <c r="EV437" s="1094">
        <f t="shared" si="3352"/>
        <v>0.34468085106383</v>
      </c>
      <c r="EW437" s="1088">
        <f t="shared" si="3352"/>
        <v>0.304232804232804</v>
      </c>
      <c r="EX437" s="1094">
        <f t="shared" si="3352"/>
        <v>0.285714285714286</v>
      </c>
      <c r="EY437" s="1094">
        <f t="shared" si="3352"/>
        <v>0.292079207920792</v>
      </c>
      <c r="EZ437" s="1087">
        <f t="shared" si="3352"/>
        <v>0.288306451612903</v>
      </c>
      <c r="FA437" s="1087">
        <f t="shared" ref="FA437:FO437" si="3353">FA435/FA432</f>
        <v>0.285714285714286</v>
      </c>
      <c r="FB437" s="1087">
        <f t="shared" si="3353"/>
        <v>0.287162162162162</v>
      </c>
      <c r="FC437" s="1087">
        <f t="shared" si="3353"/>
        <v>-0.30188679245283</v>
      </c>
      <c r="FD437" s="1087">
        <f t="shared" si="3353"/>
        <v>0.512</v>
      </c>
      <c r="FE437" s="1088">
        <f t="shared" si="3353"/>
        <v>0.324550898203593</v>
      </c>
      <c r="FF437" s="1087">
        <f t="shared" si="3353"/>
        <v>0.31304347826087</v>
      </c>
      <c r="FG437" s="1087">
        <f t="shared" si="3353"/>
        <v>0.351111111111111</v>
      </c>
      <c r="FH437" s="1087">
        <f t="shared" si="3353"/>
        <v>0.328070175438597</v>
      </c>
      <c r="FI437" s="1087">
        <f t="shared" si="3353"/>
        <v>0.319191919191919</v>
      </c>
      <c r="FJ437" s="1087">
        <f t="shared" si="3353"/>
        <v>0.323943661971831</v>
      </c>
      <c r="FK437" s="1087">
        <f t="shared" si="3353"/>
        <v>-0.296296296296296</v>
      </c>
      <c r="FL437" s="1087">
        <f t="shared" si="3353"/>
        <v>0.354700854700855</v>
      </c>
      <c r="FM437" s="1088">
        <f t="shared" si="3353"/>
        <v>0.340077071290944</v>
      </c>
      <c r="FN437" s="1087">
        <f t="shared" si="3353"/>
        <v>0.294354838709677</v>
      </c>
      <c r="FO437" s="1087">
        <f t="shared" si="3353"/>
        <v>0.290953545232274</v>
      </c>
      <c r="FP437" s="1094">
        <f>FP435/FP$432</f>
        <v>0.292817679558011</v>
      </c>
      <c r="FQ437" s="1087">
        <f>FQ435/FQ$432</f>
        <v>0.291743119266055</v>
      </c>
      <c r="FR437" s="1094">
        <f>FR435/FR$432</f>
        <v>0.292011019283747</v>
      </c>
      <c r="FS437" s="1094">
        <f>FS435/FS432</f>
        <v>-0.285714285714286</v>
      </c>
      <c r="FT437" s="1094">
        <f>FT435/FT$432</f>
        <v>0.299256505576208</v>
      </c>
      <c r="FU437" s="1087">
        <f>FU435/FU$432</f>
        <v>0.294809688581315</v>
      </c>
      <c r="FV437" s="1086">
        <f>FV435/FV432</f>
        <v>0.283720930232558</v>
      </c>
      <c r="FW437" s="1087">
        <f>FW435/FW432</f>
        <v>0.286008230452675</v>
      </c>
      <c r="FX437" s="1094">
        <f>FX435/FX$432</f>
        <v>0.284703801945181</v>
      </c>
      <c r="FY437" s="1087">
        <v>0.285</v>
      </c>
      <c r="FZ437" s="1094">
        <f>FZ435/FZ$432</f>
        <v>0.284823498419389</v>
      </c>
      <c r="GA437" s="1094">
        <f>GA435/GA$432</f>
        <v>0.417152</v>
      </c>
      <c r="GB437" s="1094">
        <f>GB435/GB$432</f>
        <v>0.303519058295964</v>
      </c>
      <c r="GC437" s="1088">
        <f>GC435/GC$432</f>
        <v>0.293</v>
      </c>
      <c r="GD437" s="1087">
        <v>0.277</v>
      </c>
      <c r="GE437" s="1087">
        <v>0.289115646258504</v>
      </c>
      <c r="GF437" s="1094">
        <f>GF435/GF$432</f>
        <v>0.282328347045625</v>
      </c>
      <c r="GG437" s="1087">
        <v>0.276736493936053</v>
      </c>
      <c r="GH437" s="1094">
        <f>GH435/GH$432</f>
        <v>0.280068181818182</v>
      </c>
      <c r="GI437" s="1094">
        <v>0.30244029850747</v>
      </c>
      <c r="GJ437" s="1094">
        <f>GJ435/GJ$432</f>
        <v>0.280045148895294</v>
      </c>
      <c r="GK437" s="1088">
        <f>GK435/GK$432</f>
        <v>0.281328847771237</v>
      </c>
      <c r="GL437" s="1087">
        <v>0.255896226415094</v>
      </c>
      <c r="GM437" s="1087">
        <v>0.254</v>
      </c>
      <c r="GN437" s="1094">
        <f>GN435/GN$432</f>
        <v>0.255096114519427</v>
      </c>
      <c r="GO437" s="1087">
        <v>0.254335260115607</v>
      </c>
      <c r="GP437" s="1094">
        <f>GP435/GP$432</f>
        <v>0.254813893653516</v>
      </c>
      <c r="GQ437" s="1094">
        <f>GQ435/GQ432</f>
        <v>0.202539823008849</v>
      </c>
      <c r="GR437" s="1094">
        <f>GR435/GR$432</f>
        <v>0.243605866177818</v>
      </c>
      <c r="GS437" s="1088">
        <f>GS435/GS$432</f>
        <v>0.250195465207193</v>
      </c>
      <c r="GT437" s="1087">
        <v>0.273</v>
      </c>
      <c r="GU437" s="1087">
        <v>0.159340659340659</v>
      </c>
      <c r="GV437" s="1094">
        <f>GV435/GV$432</f>
        <v>0.150234421364985</v>
      </c>
      <c r="GW437" s="1087">
        <f>GW435/GW432</f>
        <v>0.234427743585128</v>
      </c>
      <c r="GX437" s="1094">
        <f>GX435/GX$432</f>
        <v>0.302301206201004</v>
      </c>
      <c r="GY437" s="1094">
        <f>GY435/GY432</f>
        <v>0.125049443042482</v>
      </c>
      <c r="GZ437" s="1094">
        <f>GZ435/GZ$432</f>
        <v>0.21560197368421</v>
      </c>
      <c r="HA437" s="1088">
        <f>HA435/HA$432</f>
        <v>0.25391304347826</v>
      </c>
      <c r="HB437" s="1087">
        <v>0.2485</v>
      </c>
      <c r="HC437" s="1087">
        <v>0.241176470588235</v>
      </c>
      <c r="HD437" s="1094">
        <f>HD435/HD$432</f>
        <v>0.245332061068702</v>
      </c>
      <c r="HE437" s="1087">
        <v>0.238473767885533</v>
      </c>
      <c r="HF437" s="1094">
        <f>HF435/HF$432</f>
        <v>0.24294607300885</v>
      </c>
      <c r="HG437" s="1094">
        <f>HG435/HG432</f>
        <v>-1.80105681818185</v>
      </c>
      <c r="HH437" s="1094">
        <f>HH435/HH$432</f>
        <v>0.105131500742942</v>
      </c>
      <c r="HI437" s="1088">
        <f>HI435/HI$432</f>
        <v>0.194384449244061</v>
      </c>
      <c r="HJ437" s="1087">
        <v>0.245742092457421</v>
      </c>
      <c r="HK437" s="1087">
        <v>-0.203333333333337</v>
      </c>
      <c r="HL437" s="1094">
        <f>HL435/HL$432</f>
        <v>0.0562587904360051</v>
      </c>
      <c r="HM437" s="1087">
        <v>0.839416058394161</v>
      </c>
      <c r="HN437" s="1094">
        <f>HN435/HN$432</f>
        <v>0.343137254901961</v>
      </c>
      <c r="HO437" s="1094">
        <f>HO435/HO432</f>
        <v>0.341961852861035</v>
      </c>
      <c r="HP437" s="1094">
        <f>HP435/HP$432</f>
        <v>-0.291021671826627</v>
      </c>
      <c r="HQ437" s="1088">
        <f>HQ435/HQ$432</f>
        <v>0.345360824742268</v>
      </c>
      <c r="HR437" s="1087">
        <v>0.245742092457421</v>
      </c>
      <c r="HS437" s="1087">
        <v>-0.203333333333337</v>
      </c>
      <c r="HT437" s="1094">
        <f>HT435/HT$432</f>
        <v>-0.012476277372264</v>
      </c>
      <c r="HU437" s="1087">
        <v>0.169</v>
      </c>
      <c r="HV437" s="1094">
        <f>HV435/HV$432</f>
        <v>0.129333054126281</v>
      </c>
      <c r="HW437" s="1094">
        <f>HW435/HW432</f>
        <v>0.0984712677784135</v>
      </c>
      <c r="HX437" s="1094">
        <f>HX435/HX$432</f>
        <v>-0.14455544806947</v>
      </c>
      <c r="HY437" s="1088">
        <f>HY435/HY$432</f>
        <v>-3.66666666666348</v>
      </c>
      <c r="HZ437" s="1087">
        <v>0.301</v>
      </c>
      <c r="IA437" s="1087">
        <v>0.305</v>
      </c>
      <c r="IB437" s="1094">
        <f>IB435/IB$432</f>
        <v>0.30326280623608</v>
      </c>
      <c r="IC437" s="1087">
        <v>0.221</v>
      </c>
      <c r="ID437" s="1094">
        <f>ID435/ID$432</f>
        <v>0.257936</v>
      </c>
      <c r="IE437" s="1094">
        <f>IE435/IE432</f>
        <v>0.175582278481021</v>
      </c>
      <c r="IF437" s="1094">
        <f>IF435/IF$432</f>
        <v>0.228601694915254</v>
      </c>
      <c r="IG437" s="1088">
        <f>IG435/IG$432</f>
        <v>0.265</v>
      </c>
      <c r="IH437" s="1087">
        <v>0.254700854700855</v>
      </c>
      <c r="II437" s="1087">
        <v>0.233606557377049</v>
      </c>
      <c r="IJ437" s="1094">
        <f>IJ435/IJ$432</f>
        <v>0.245107176141659</v>
      </c>
      <c r="IK437" s="1087">
        <v>0.255384615384616</v>
      </c>
      <c r="IL437" s="1094">
        <f>IL435/IL$432</f>
        <v>0.248984329657574</v>
      </c>
      <c r="IM437" s="1094">
        <f>IM435/IM432</f>
        <v>0.144329896907212</v>
      </c>
      <c r="IN437" s="1094">
        <f>IN435/IN$432</f>
        <v>0.240963855421687</v>
      </c>
      <c r="IO437" s="1088">
        <f>IO435/IO$432</f>
        <v>0.243406593406593</v>
      </c>
      <c r="IP437" s="1087">
        <v>0.25</v>
      </c>
      <c r="IQ437" s="1087">
        <v>0.250943396226415</v>
      </c>
      <c r="IR437" s="1094">
        <f>IR435/IR$432</f>
        <v>0.250412201154163</v>
      </c>
      <c r="IS437" s="1087">
        <v>0.25</v>
      </c>
      <c r="IT437" s="1094">
        <f>IT435/IT$432</f>
        <v>0.250244498777506</v>
      </c>
      <c r="IU437" s="1094">
        <f>IU435/IU432</f>
        <v>0.248031496062992</v>
      </c>
      <c r="IV437" s="1094">
        <f>IV435/IV$432</f>
        <v>0.249539594843462</v>
      </c>
      <c r="IW437" s="1088">
        <f>IW435/IW$432</f>
        <v>0.25</v>
      </c>
      <c r="IX437" s="1329"/>
      <c r="IY437" s="1037"/>
      <c r="IZ437" s="1319"/>
      <c r="JA437" s="1319"/>
      <c r="JB437" s="1319"/>
      <c r="JC437" s="1049"/>
      <c r="JD437" s="1049"/>
      <c r="JE437" s="1049"/>
      <c r="JF437" s="1037"/>
      <c r="JG437" s="1037"/>
      <c r="JH437" s="1037"/>
      <c r="JI437" s="1035"/>
      <c r="JJ437" s="1035"/>
      <c r="JK437" s="1035"/>
      <c r="JL437" s="1035"/>
      <c r="JM437" s="1035"/>
      <c r="JN437" s="1035"/>
      <c r="JO437" s="1035"/>
      <c r="JP437" s="1035"/>
      <c r="JQ437" s="1035"/>
      <c r="JR437" s="1035"/>
      <c r="JS437" s="1035"/>
      <c r="JT437" s="1035"/>
      <c r="JU437" s="1035"/>
      <c r="JV437" s="1035"/>
      <c r="JW437" s="1035"/>
      <c r="JX437" s="1035"/>
      <c r="JY437" s="1035"/>
    </row>
    <row r="438" spans="1:285">
      <c r="A438" s="1254" t="s">
        <v>168</v>
      </c>
      <c r="B438" s="1292">
        <v>106.6</v>
      </c>
      <c r="C438" s="1292">
        <v>78.5</v>
      </c>
      <c r="D438" s="1292">
        <f>B438+C438</f>
        <v>185.1</v>
      </c>
      <c r="E438" s="1292">
        <v>146</v>
      </c>
      <c r="F438" s="1292">
        <f>D438+E438</f>
        <v>331.1</v>
      </c>
      <c r="G438" s="1292">
        <v>22</v>
      </c>
      <c r="H438" s="1292">
        <f>H432-H435</f>
        <v>-740.6911</v>
      </c>
      <c r="I438" s="1292">
        <f>F438+G438</f>
        <v>353.1</v>
      </c>
      <c r="J438" s="1292">
        <v>80.5297500000001</v>
      </c>
      <c r="K438" s="1292">
        <v>46.22152</v>
      </c>
      <c r="L438" s="1292">
        <f>J438+K438</f>
        <v>126.75127</v>
      </c>
      <c r="M438" s="1292">
        <v>85.8984000000001</v>
      </c>
      <c r="N438" s="1292">
        <f>L438+M438</f>
        <v>212.64967</v>
      </c>
      <c r="O438" s="1292">
        <v>12.552415</v>
      </c>
      <c r="P438" s="1292">
        <f>P432-P435</f>
        <v>75.1866650000004</v>
      </c>
      <c r="Q438" s="1292">
        <f>N438+O438</f>
        <v>225.202085</v>
      </c>
      <c r="R438" s="1292">
        <f t="shared" ref="R438:CC438" si="3354">R432-R435</f>
        <v>102.796865</v>
      </c>
      <c r="S438" s="1292">
        <f t="shared" si="3354"/>
        <v>53.458352</v>
      </c>
      <c r="T438" s="1292">
        <f t="shared" si="3354"/>
        <v>156.255217</v>
      </c>
      <c r="U438" s="1292">
        <f t="shared" si="3354"/>
        <v>127.8294</v>
      </c>
      <c r="V438" s="1292">
        <f t="shared" si="3354"/>
        <v>284.084617</v>
      </c>
      <c r="W438" s="1292">
        <f t="shared" si="3354"/>
        <v>20.3390000000001</v>
      </c>
      <c r="X438" s="1292">
        <f t="shared" si="3354"/>
        <v>114.5312</v>
      </c>
      <c r="Y438" s="1292">
        <f t="shared" si="3354"/>
        <v>304.423617</v>
      </c>
      <c r="Z438" s="1292">
        <f t="shared" si="3354"/>
        <v>97.9139500000001</v>
      </c>
      <c r="AA438" s="1292">
        <f t="shared" si="3354"/>
        <v>17.8954999999999</v>
      </c>
      <c r="AB438" s="1292">
        <f t="shared" si="3354"/>
        <v>115.80945</v>
      </c>
      <c r="AC438" s="1292">
        <f t="shared" si="3354"/>
        <v>115.0425</v>
      </c>
      <c r="AD438" s="1292">
        <f t="shared" si="3354"/>
        <v>230.85195</v>
      </c>
      <c r="AE438" s="1292">
        <f t="shared" si="3354"/>
        <v>-29.3792979999998</v>
      </c>
      <c r="AF438" s="1292">
        <f t="shared" si="3354"/>
        <v>85.6858020000003</v>
      </c>
      <c r="AG438" s="1292">
        <f t="shared" si="3354"/>
        <v>201.472652</v>
      </c>
      <c r="AH438" s="1292">
        <f t="shared" si="3354"/>
        <v>60.8447000000002</v>
      </c>
      <c r="AI438" s="1292">
        <f t="shared" si="3354"/>
        <v>33.2337000000001</v>
      </c>
      <c r="AJ438" s="1292">
        <f t="shared" si="3354"/>
        <v>94.0784000000003</v>
      </c>
      <c r="AK438" s="1292">
        <f t="shared" si="3354"/>
        <v>137.55</v>
      </c>
      <c r="AL438" s="1292">
        <f t="shared" si="3354"/>
        <v>231.6284</v>
      </c>
      <c r="AM438" s="1292">
        <f t="shared" si="3354"/>
        <v>7</v>
      </c>
      <c r="AN438" s="1292">
        <f t="shared" si="3354"/>
        <v>146.55</v>
      </c>
      <c r="AO438" s="1292">
        <f t="shared" si="3354"/>
        <v>238.6284</v>
      </c>
      <c r="AP438" s="1292">
        <f t="shared" si="3354"/>
        <v>58</v>
      </c>
      <c r="AQ438" s="1292">
        <f t="shared" si="3354"/>
        <v>22</v>
      </c>
      <c r="AR438" s="1292">
        <f t="shared" si="3354"/>
        <v>80</v>
      </c>
      <c r="AS438" s="1292">
        <f t="shared" si="3354"/>
        <v>115</v>
      </c>
      <c r="AT438" s="1292">
        <f t="shared" si="3354"/>
        <v>195</v>
      </c>
      <c r="AU438" s="1292">
        <f t="shared" si="3354"/>
        <v>10</v>
      </c>
      <c r="AV438" s="1292">
        <f t="shared" si="3354"/>
        <v>125</v>
      </c>
      <c r="AW438" s="1292">
        <f t="shared" si="3354"/>
        <v>205</v>
      </c>
      <c r="AX438" s="1293">
        <f t="shared" si="3354"/>
        <v>52</v>
      </c>
      <c r="AY438" s="1292">
        <f t="shared" si="3354"/>
        <v>27.5</v>
      </c>
      <c r="AZ438" s="1292">
        <f t="shared" si="3354"/>
        <v>79.5</v>
      </c>
      <c r="BA438" s="1292">
        <f t="shared" si="3354"/>
        <v>121.5</v>
      </c>
      <c r="BB438" s="1292">
        <f t="shared" si="3354"/>
        <v>149</v>
      </c>
      <c r="BC438" s="1292">
        <f t="shared" si="3354"/>
        <v>27.876</v>
      </c>
      <c r="BD438" s="1292">
        <f t="shared" si="3354"/>
        <v>148.876</v>
      </c>
      <c r="BE438" s="1294">
        <f t="shared" si="3354"/>
        <v>176.876</v>
      </c>
      <c r="BF438" s="1292">
        <f t="shared" si="3354"/>
        <v>46</v>
      </c>
      <c r="BG438" s="1292">
        <f t="shared" si="3354"/>
        <v>26.6601575</v>
      </c>
      <c r="BH438" s="1292">
        <f t="shared" si="3354"/>
        <v>72.6601575</v>
      </c>
      <c r="BI438" s="1292">
        <f t="shared" si="3354"/>
        <v>137</v>
      </c>
      <c r="BJ438" s="1292">
        <f t="shared" si="3354"/>
        <v>209.6601575</v>
      </c>
      <c r="BK438" s="1292">
        <f t="shared" si="3354"/>
        <v>31.3628</v>
      </c>
      <c r="BL438" s="1292">
        <f t="shared" si="3354"/>
        <v>168.3628</v>
      </c>
      <c r="BM438" s="1292">
        <f t="shared" si="3354"/>
        <v>241.0229575</v>
      </c>
      <c r="BN438" s="1293">
        <f t="shared" si="3354"/>
        <v>58.41</v>
      </c>
      <c r="BO438" s="1292">
        <f t="shared" si="3354"/>
        <v>31.3</v>
      </c>
      <c r="BP438" s="1292">
        <f t="shared" si="3354"/>
        <v>89.71</v>
      </c>
      <c r="BQ438" s="1292">
        <f t="shared" si="3354"/>
        <v>157</v>
      </c>
      <c r="BR438" s="1292">
        <f t="shared" si="3354"/>
        <v>246.71</v>
      </c>
      <c r="BS438" s="1292">
        <f t="shared" si="3354"/>
        <v>25</v>
      </c>
      <c r="BT438" s="1292">
        <f t="shared" si="3354"/>
        <v>182</v>
      </c>
      <c r="BU438" s="1294">
        <f t="shared" si="3354"/>
        <v>271.71</v>
      </c>
      <c r="BV438" s="1293">
        <f t="shared" si="3354"/>
        <v>91</v>
      </c>
      <c r="BW438" s="1292">
        <f t="shared" si="3354"/>
        <v>71</v>
      </c>
      <c r="BX438" s="1292">
        <f t="shared" si="3354"/>
        <v>162</v>
      </c>
      <c r="BY438" s="1292">
        <f t="shared" si="3354"/>
        <v>162</v>
      </c>
      <c r="BZ438" s="1292">
        <f t="shared" si="3354"/>
        <v>324</v>
      </c>
      <c r="CA438" s="1292">
        <f t="shared" si="3354"/>
        <v>10</v>
      </c>
      <c r="CB438" s="1292">
        <f t="shared" si="3354"/>
        <v>172</v>
      </c>
      <c r="CC438" s="1294">
        <f t="shared" si="3354"/>
        <v>334</v>
      </c>
      <c r="CD438" s="1293">
        <f t="shared" ref="CD438:CK438" si="3355">CD432-CD435</f>
        <v>131</v>
      </c>
      <c r="CE438" s="1292">
        <f t="shared" si="3355"/>
        <v>94</v>
      </c>
      <c r="CF438" s="1292">
        <f t="shared" si="3355"/>
        <v>225</v>
      </c>
      <c r="CG438" s="1292">
        <f t="shared" si="3355"/>
        <v>207</v>
      </c>
      <c r="CH438" s="1292">
        <f t="shared" si="3355"/>
        <v>432</v>
      </c>
      <c r="CI438" s="1292">
        <f t="shared" si="3355"/>
        <v>4</v>
      </c>
      <c r="CJ438" s="1292">
        <f t="shared" si="3355"/>
        <v>211</v>
      </c>
      <c r="CK438" s="1294">
        <f t="shared" si="3355"/>
        <v>436</v>
      </c>
      <c r="CL438" s="1293">
        <v>150</v>
      </c>
      <c r="CM438" s="1292">
        <f>CM432-CM435</f>
        <v>83.4</v>
      </c>
      <c r="CN438" s="1292">
        <f>CN432-CN435</f>
        <v>232.7</v>
      </c>
      <c r="CO438" s="1292">
        <f>CP438-CN438</f>
        <v>250.3</v>
      </c>
      <c r="CP438" s="1292">
        <f t="shared" ref="CP438:CV438" si="3356">CP432-CP435</f>
        <v>483</v>
      </c>
      <c r="CQ438" s="1292">
        <f t="shared" si="3356"/>
        <v>14</v>
      </c>
      <c r="CR438" s="1292">
        <f>CO438+CQ438</f>
        <v>264.3</v>
      </c>
      <c r="CS438" s="1294">
        <f t="shared" si="3356"/>
        <v>496</v>
      </c>
      <c r="CT438" s="1293">
        <f t="shared" si="3356"/>
        <v>129.3</v>
      </c>
      <c r="CU438" s="1292">
        <f t="shared" si="3356"/>
        <v>104.3</v>
      </c>
      <c r="CV438" s="1292">
        <f t="shared" si="3356"/>
        <v>233.6</v>
      </c>
      <c r="CW438" s="1292">
        <f t="shared" ref="CW438:DG438" si="3357">CW432-CW435</f>
        <v>300.4</v>
      </c>
      <c r="CX438" s="1292">
        <f t="shared" si="3357"/>
        <v>534</v>
      </c>
      <c r="CY438" s="1292">
        <f t="shared" si="3357"/>
        <v>21</v>
      </c>
      <c r="CZ438" s="1292">
        <f t="shared" si="3357"/>
        <v>321.4</v>
      </c>
      <c r="DA438" s="1294">
        <f t="shared" si="3357"/>
        <v>555</v>
      </c>
      <c r="DB438" s="1315">
        <f t="shared" si="3357"/>
        <v>170</v>
      </c>
      <c r="DC438" s="1316">
        <f t="shared" si="3357"/>
        <v>179</v>
      </c>
      <c r="DD438" s="1316">
        <f t="shared" si="3357"/>
        <v>287</v>
      </c>
      <c r="DE438" s="1316">
        <f t="shared" si="3357"/>
        <v>303</v>
      </c>
      <c r="DF438" s="1316">
        <f t="shared" si="3357"/>
        <v>590</v>
      </c>
      <c r="DG438" s="1316">
        <f t="shared" si="3357"/>
        <v>54</v>
      </c>
      <c r="DH438" s="1316">
        <f>DI438-DD438</f>
        <v>357</v>
      </c>
      <c r="DI438" s="1317">
        <f>'Profit and Loss'!O389</f>
        <v>644</v>
      </c>
      <c r="DJ438" s="1316">
        <f t="shared" ref="DJ438:DO438" si="3358">DJ432-DJ435</f>
        <v>3.864</v>
      </c>
      <c r="DK438" s="1316">
        <f t="shared" si="3358"/>
        <v>8.00000000000001</v>
      </c>
      <c r="DL438" s="1316">
        <f t="shared" si="3358"/>
        <v>11.864</v>
      </c>
      <c r="DM438" s="1316">
        <f t="shared" si="3358"/>
        <v>213</v>
      </c>
      <c r="DN438" s="1316">
        <f t="shared" si="3358"/>
        <v>224</v>
      </c>
      <c r="DO438" s="1316">
        <f t="shared" si="3358"/>
        <v>21</v>
      </c>
      <c r="DP438" s="1316">
        <f>DQ438-DL438</f>
        <v>233.136</v>
      </c>
      <c r="DQ438" s="1317">
        <f>'Profit and Loss'!P389</f>
        <v>245</v>
      </c>
      <c r="DR438" s="1316">
        <v>169</v>
      </c>
      <c r="DS438" s="1316">
        <v>126</v>
      </c>
      <c r="DT438" s="1316">
        <f>DR438+DS438</f>
        <v>295</v>
      </c>
      <c r="DU438" s="1316">
        <v>266</v>
      </c>
      <c r="DV438" s="1316">
        <f>DT438+DU438</f>
        <v>561</v>
      </c>
      <c r="DW438" s="1316">
        <f>DY438-DV438</f>
        <v>7</v>
      </c>
      <c r="DX438" s="1316">
        <f>DU438+DW438</f>
        <v>273</v>
      </c>
      <c r="DY438" s="1317">
        <f>'Profit and Loss'!Q389</f>
        <v>568</v>
      </c>
      <c r="DZ438" s="1316">
        <f>DZ432-DZ435</f>
        <v>209</v>
      </c>
      <c r="EA438" s="1316">
        <f>EA432-EA435</f>
        <v>140</v>
      </c>
      <c r="EB438" s="1316">
        <f>DZ438+EA438</f>
        <v>349</v>
      </c>
      <c r="EC438" s="1316">
        <f>EC432-EC435</f>
        <v>304</v>
      </c>
      <c r="ED438" s="1316">
        <f>EB438+EC438</f>
        <v>653</v>
      </c>
      <c r="EE438" s="1316">
        <f>EE432-EE435</f>
        <v>-45</v>
      </c>
      <c r="EF438" s="1316">
        <f>EC438+EE438</f>
        <v>259</v>
      </c>
      <c r="EG438" s="1317">
        <f>DZ438+EA438+EC438+EE438</f>
        <v>608</v>
      </c>
      <c r="EH438" s="1316">
        <f>EH432-EH435</f>
        <v>290</v>
      </c>
      <c r="EI438" s="1316">
        <f>EI432-EI435</f>
        <v>164</v>
      </c>
      <c r="EJ438" s="1316">
        <f>EH438+EI438</f>
        <v>454</v>
      </c>
      <c r="EK438" s="1316">
        <f>EK432-EK435</f>
        <v>343</v>
      </c>
      <c r="EL438" s="1316">
        <f>EJ438+EK438</f>
        <v>797</v>
      </c>
      <c r="EM438" s="1316">
        <f>EM432-EM435</f>
        <v>-273</v>
      </c>
      <c r="EN438" s="1316">
        <f>EK438+EM438</f>
        <v>70</v>
      </c>
      <c r="EO438" s="1317">
        <f>EH438+EI438+EK438+EM438</f>
        <v>524</v>
      </c>
      <c r="EP438" s="1316">
        <f>EP432-EP435</f>
        <v>309</v>
      </c>
      <c r="EQ438" s="1316">
        <f>EQ432-EQ435</f>
        <v>171</v>
      </c>
      <c r="ER438" s="1316">
        <f>EP438+EQ438</f>
        <v>480</v>
      </c>
      <c r="ES438" s="1316">
        <f>ES432-ES435</f>
        <v>318</v>
      </c>
      <c r="ET438" s="1316">
        <f>ER438+ES438</f>
        <v>798</v>
      </c>
      <c r="EU438" s="1316">
        <f>EU432-EU435</f>
        <v>-10</v>
      </c>
      <c r="EV438" s="1316">
        <f>ES438+EU438</f>
        <v>308</v>
      </c>
      <c r="EW438" s="1317">
        <f t="shared" ref="EW438:FG438" si="3359">EW432-EW435</f>
        <v>789</v>
      </c>
      <c r="EX438" s="1316">
        <f t="shared" si="3359"/>
        <v>210</v>
      </c>
      <c r="EY438" s="1316">
        <f t="shared" si="3359"/>
        <v>143</v>
      </c>
      <c r="EZ438" s="1316">
        <f t="shared" si="3359"/>
        <v>353</v>
      </c>
      <c r="FA438" s="1316">
        <f t="shared" si="3359"/>
        <v>280</v>
      </c>
      <c r="FB438" s="1316">
        <f t="shared" si="3359"/>
        <v>633</v>
      </c>
      <c r="FC438" s="1316">
        <f t="shared" si="3359"/>
        <v>-69</v>
      </c>
      <c r="FD438" s="1316">
        <f t="shared" si="3359"/>
        <v>122</v>
      </c>
      <c r="FE438" s="1317">
        <f t="shared" si="3359"/>
        <v>564</v>
      </c>
      <c r="FF438" s="1316">
        <f t="shared" si="3359"/>
        <v>237</v>
      </c>
      <c r="FG438" s="1316">
        <f t="shared" si="3359"/>
        <v>146</v>
      </c>
      <c r="FH438" s="1316">
        <f t="shared" ref="FH438:FP438" si="3360">FH432-FH435</f>
        <v>383</v>
      </c>
      <c r="FI438" s="1316">
        <f t="shared" si="3360"/>
        <v>337</v>
      </c>
      <c r="FJ438" s="1316">
        <f t="shared" si="3360"/>
        <v>720</v>
      </c>
      <c r="FK438" s="1316">
        <f t="shared" si="3360"/>
        <v>-35</v>
      </c>
      <c r="FL438" s="1316">
        <f t="shared" si="3360"/>
        <v>302</v>
      </c>
      <c r="FM438" s="1317">
        <f t="shared" si="3360"/>
        <v>685</v>
      </c>
      <c r="FN438" s="1316">
        <f t="shared" si="3360"/>
        <v>350</v>
      </c>
      <c r="FO438" s="1316">
        <f t="shared" si="3360"/>
        <v>290</v>
      </c>
      <c r="FP438" s="1316">
        <f t="shared" si="3360"/>
        <v>640</v>
      </c>
      <c r="FQ438" s="1316">
        <v>387</v>
      </c>
      <c r="FR438" s="1316">
        <f t="shared" ref="FR438:GC438" si="3361">FR432-FR435</f>
        <v>1028</v>
      </c>
      <c r="FS438" s="1316">
        <f t="shared" si="3361"/>
        <v>-9</v>
      </c>
      <c r="FT438" s="1316">
        <f t="shared" si="3361"/>
        <v>377</v>
      </c>
      <c r="FU438" s="1316">
        <f t="shared" si="3361"/>
        <v>1019</v>
      </c>
      <c r="FV438" s="1296">
        <f t="shared" si="3361"/>
        <v>462</v>
      </c>
      <c r="FW438" s="1316">
        <f t="shared" si="3361"/>
        <v>347</v>
      </c>
      <c r="FX438" s="1316">
        <f t="shared" si="3361"/>
        <v>809</v>
      </c>
      <c r="FY438" s="1316">
        <f t="shared" si="3361"/>
        <v>548.405</v>
      </c>
      <c r="FZ438" s="1316">
        <f t="shared" si="3361"/>
        <v>1357.405</v>
      </c>
      <c r="GA438" s="1316">
        <f t="shared" si="3361"/>
        <v>72.856</v>
      </c>
      <c r="GB438" s="1316">
        <f t="shared" si="3361"/>
        <v>621.261</v>
      </c>
      <c r="GC438" s="1317">
        <f t="shared" si="3361"/>
        <v>1430.261</v>
      </c>
      <c r="GD438" s="1316">
        <f t="shared" ref="GD438:GK438" si="3362">GD432-GD435</f>
        <v>541.527</v>
      </c>
      <c r="GE438" s="1316">
        <f t="shared" si="3362"/>
        <v>418</v>
      </c>
      <c r="GF438" s="1316">
        <f t="shared" si="3362"/>
        <v>959.527</v>
      </c>
      <c r="GG438" s="1316">
        <f t="shared" si="3362"/>
        <v>656</v>
      </c>
      <c r="GH438" s="1316">
        <f t="shared" si="3362"/>
        <v>1615.527</v>
      </c>
      <c r="GI438" s="1316">
        <f t="shared" si="3362"/>
        <v>93.4730000000004</v>
      </c>
      <c r="GJ438" s="1316">
        <f t="shared" si="3362"/>
        <v>749.473</v>
      </c>
      <c r="GK438" s="1317">
        <f t="shared" si="3362"/>
        <v>1709</v>
      </c>
      <c r="GL438" s="1316">
        <f t="shared" ref="GL438:GS438" si="3363">GL432-GL435</f>
        <v>631</v>
      </c>
      <c r="GM438" s="1316">
        <f t="shared" si="3363"/>
        <v>461.774</v>
      </c>
      <c r="GN438" s="1316">
        <f t="shared" si="3363"/>
        <v>1092.774</v>
      </c>
      <c r="GO438" s="1316">
        <f t="shared" si="3363"/>
        <v>645</v>
      </c>
      <c r="GP438" s="1316">
        <f t="shared" si="3363"/>
        <v>1737.774</v>
      </c>
      <c r="GQ438" s="1316">
        <f t="shared" si="3363"/>
        <v>180.226</v>
      </c>
      <c r="GR438" s="1316">
        <f t="shared" si="3363"/>
        <v>825.226</v>
      </c>
      <c r="GS438" s="1317">
        <f t="shared" si="3363"/>
        <v>1918</v>
      </c>
      <c r="GT438" s="1316">
        <f t="shared" ref="GT438:HA438" si="3364">GT432-GT435</f>
        <v>19.629</v>
      </c>
      <c r="GU438" s="1316">
        <f t="shared" si="3364"/>
        <v>-306</v>
      </c>
      <c r="GV438" s="1316">
        <f t="shared" si="3364"/>
        <v>-286.371</v>
      </c>
      <c r="GW438" s="1316">
        <f t="shared" si="3364"/>
        <v>578.030088559999</v>
      </c>
      <c r="GX438" s="1316">
        <f t="shared" si="3364"/>
        <v>291.659088559998</v>
      </c>
      <c r="GY438" s="1316">
        <f t="shared" si="3364"/>
        <v>137.340911440003</v>
      </c>
      <c r="GZ438" s="1316">
        <f t="shared" si="3364"/>
        <v>715.371000000001</v>
      </c>
      <c r="HA438" s="1317">
        <f t="shared" si="3364"/>
        <v>429.000000000001</v>
      </c>
      <c r="HB438" s="1316">
        <f t="shared" ref="HB438:HI438" si="3365">HB432-HB435</f>
        <v>502.7535</v>
      </c>
      <c r="HC438" s="1316">
        <f t="shared" si="3365"/>
        <v>387</v>
      </c>
      <c r="HD438" s="1316">
        <f t="shared" si="3365"/>
        <v>889.7535</v>
      </c>
      <c r="HE438" s="1316">
        <f t="shared" si="3365"/>
        <v>479</v>
      </c>
      <c r="HF438" s="1316">
        <f t="shared" si="3365"/>
        <v>1368.7535</v>
      </c>
      <c r="HG438" s="1316">
        <f t="shared" si="3365"/>
        <v>123.246499999999</v>
      </c>
      <c r="HH438" s="1316">
        <f t="shared" si="3365"/>
        <v>602.246499999999</v>
      </c>
      <c r="HI438" s="1317">
        <f t="shared" si="3365"/>
        <v>1492</v>
      </c>
      <c r="HJ438" s="1316">
        <f t="shared" ref="HJ438:HQ438" si="3366">HJ432-HJ435</f>
        <v>310.000000000001</v>
      </c>
      <c r="HK438" s="1316">
        <f t="shared" si="3366"/>
        <v>360.999999999999</v>
      </c>
      <c r="HL438" s="1316">
        <f t="shared" si="3366"/>
        <v>671</v>
      </c>
      <c r="HM438" s="1316">
        <f t="shared" si="3366"/>
        <v>66.0000000000001</v>
      </c>
      <c r="HN438" s="1316">
        <f t="shared" si="3366"/>
        <v>737</v>
      </c>
      <c r="HO438" s="1316">
        <f t="shared" si="3366"/>
        <v>-483</v>
      </c>
      <c r="HP438" s="1316">
        <f t="shared" si="3366"/>
        <v>-417</v>
      </c>
      <c r="HQ438" s="1317">
        <f t="shared" si="3366"/>
        <v>254</v>
      </c>
      <c r="HR438" s="1316">
        <f t="shared" ref="HR438:HY438" si="3367">HR432-HR435</f>
        <v>25.6447688564476</v>
      </c>
      <c r="HS438" s="1316">
        <f t="shared" si="3367"/>
        <v>55.3533333333331</v>
      </c>
      <c r="HT438" s="1316">
        <f t="shared" si="3367"/>
        <v>80.9981021897807</v>
      </c>
      <c r="HU438" s="1316">
        <f t="shared" si="3367"/>
        <v>237.666000000001</v>
      </c>
      <c r="HV438" s="1316">
        <f t="shared" si="3367"/>
        <v>318.664102189782</v>
      </c>
      <c r="HW438" s="1316">
        <f t="shared" si="3367"/>
        <v>-332.664102189765</v>
      </c>
      <c r="HX438" s="1316">
        <f t="shared" si="3367"/>
        <v>-94.9981021897637</v>
      </c>
      <c r="HY438" s="1317">
        <f t="shared" si="3367"/>
        <v>-13.999999999983</v>
      </c>
      <c r="HZ438" s="1316">
        <f t="shared" ref="HZ438:IG438" si="3368">HZ432-HZ435</f>
        <v>136.305</v>
      </c>
      <c r="IA438" s="1316">
        <f t="shared" si="3368"/>
        <v>176.53</v>
      </c>
      <c r="IB438" s="1316">
        <f t="shared" si="3368"/>
        <v>312.835</v>
      </c>
      <c r="IC438" s="1316">
        <f t="shared" si="3368"/>
        <v>429.229</v>
      </c>
      <c r="ID438" s="1316">
        <f t="shared" si="3368"/>
        <v>742.064</v>
      </c>
      <c r="IE438" s="1316">
        <f t="shared" si="3368"/>
        <v>-65.1290000000056</v>
      </c>
      <c r="IF438" s="1316">
        <f t="shared" si="3368"/>
        <v>364.099999999994</v>
      </c>
      <c r="IG438" s="1317">
        <f t="shared" si="3368"/>
        <v>676.934999999994</v>
      </c>
      <c r="IH438" s="1316">
        <f t="shared" ref="IH438:IO438" si="3369">IH432-IH435</f>
        <v>436</v>
      </c>
      <c r="II438" s="1316">
        <f t="shared" si="3369"/>
        <v>374</v>
      </c>
      <c r="IJ438" s="1316">
        <f t="shared" si="3369"/>
        <v>810</v>
      </c>
      <c r="IK438" s="1316">
        <f t="shared" si="3369"/>
        <v>484</v>
      </c>
      <c r="IL438" s="1316">
        <f t="shared" si="3369"/>
        <v>1294</v>
      </c>
      <c r="IM438" s="1316">
        <f t="shared" si="3369"/>
        <v>83.0000000000002</v>
      </c>
      <c r="IN438" s="1316">
        <f t="shared" si="3369"/>
        <v>567</v>
      </c>
      <c r="IO438" s="1317">
        <f t="shared" si="3369"/>
        <v>1377</v>
      </c>
      <c r="IP438" s="1316">
        <f t="shared" ref="IP438:IW438" si="3370">IP432-IP435</f>
        <v>512.25</v>
      </c>
      <c r="IQ438" s="1316">
        <f t="shared" si="3370"/>
        <v>397</v>
      </c>
      <c r="IR438" s="1316">
        <f t="shared" si="3370"/>
        <v>909.25</v>
      </c>
      <c r="IS438" s="1316">
        <f t="shared" si="3370"/>
        <v>624</v>
      </c>
      <c r="IT438" s="1316">
        <f t="shared" si="3370"/>
        <v>1533.25</v>
      </c>
      <c r="IU438" s="1316">
        <f t="shared" si="3370"/>
        <v>190.999999999999</v>
      </c>
      <c r="IV438" s="1316">
        <f t="shared" si="3370"/>
        <v>814.999999999999</v>
      </c>
      <c r="IW438" s="1317">
        <f t="shared" si="3370"/>
        <v>1724.25</v>
      </c>
      <c r="IX438" s="1314"/>
      <c r="IY438" s="1037"/>
      <c r="IZ438" s="1071"/>
      <c r="JA438" s="1071"/>
      <c r="JB438" s="1071"/>
      <c r="JC438" s="1104"/>
      <c r="JD438" s="1104"/>
      <c r="JE438" s="1104"/>
      <c r="JF438" s="1037"/>
      <c r="JG438" s="1037"/>
      <c r="JH438" s="1037"/>
      <c r="JI438" s="1035"/>
      <c r="JJ438" s="1035"/>
      <c r="JK438" s="1035"/>
      <c r="JL438" s="1035"/>
      <c r="JM438" s="1035"/>
      <c r="JN438" s="1035"/>
      <c r="JO438" s="1035"/>
      <c r="JP438" s="1035"/>
      <c r="JQ438" s="1035"/>
      <c r="JR438" s="1035"/>
      <c r="JS438" s="1035"/>
      <c r="JT438" s="1035"/>
      <c r="JU438" s="1035"/>
      <c r="JV438" s="1035"/>
      <c r="JW438" s="1035"/>
      <c r="JX438" s="1035"/>
      <c r="JY438" s="1035"/>
    </row>
    <row r="439" s="883" customFormat="1" spans="1:285">
      <c r="A439" s="883" t="s">
        <v>142</v>
      </c>
      <c r="B439" s="1302" t="s">
        <v>173</v>
      </c>
      <c r="C439" s="1302" t="s">
        <v>173</v>
      </c>
      <c r="D439" s="1302" t="s">
        <v>173</v>
      </c>
      <c r="E439" s="1302" t="s">
        <v>173</v>
      </c>
      <c r="F439" s="1302" t="s">
        <v>173</v>
      </c>
      <c r="G439" s="1302" t="s">
        <v>173</v>
      </c>
      <c r="H439" s="1302" t="s">
        <v>173</v>
      </c>
      <c r="I439" s="1302" t="s">
        <v>173</v>
      </c>
      <c r="J439" s="1302">
        <f t="shared" ref="J439:AO439" si="3371">J438/B438-1</f>
        <v>-0.244561444652907</v>
      </c>
      <c r="K439" s="1302">
        <f t="shared" si="3371"/>
        <v>-0.411190828025477</v>
      </c>
      <c r="L439" s="1302">
        <f t="shared" si="3371"/>
        <v>-0.315228146947595</v>
      </c>
      <c r="M439" s="1302">
        <f t="shared" si="3371"/>
        <v>-0.411654794520548</v>
      </c>
      <c r="N439" s="1302">
        <f t="shared" si="3371"/>
        <v>-0.357747900936273</v>
      </c>
      <c r="O439" s="1302">
        <f t="shared" si="3371"/>
        <v>-0.429435681818181</v>
      </c>
      <c r="P439" s="1302">
        <f t="shared" si="3371"/>
        <v>-1.10150880036226</v>
      </c>
      <c r="Q439" s="1302">
        <f t="shared" si="3371"/>
        <v>-0.36221442934013</v>
      </c>
      <c r="R439" s="1302">
        <f t="shared" si="3371"/>
        <v>0.276507936507936</v>
      </c>
      <c r="S439" s="1302">
        <f t="shared" si="3371"/>
        <v>0.156568455559229</v>
      </c>
      <c r="T439" s="1302">
        <f t="shared" si="3371"/>
        <v>0.232770425101066</v>
      </c>
      <c r="U439" s="1302">
        <f t="shared" si="3371"/>
        <v>0.488146461400912</v>
      </c>
      <c r="V439" s="1302">
        <f t="shared" si="3371"/>
        <v>0.335927852603769</v>
      </c>
      <c r="W439" s="1302">
        <f t="shared" si="3371"/>
        <v>0.6203256504824</v>
      </c>
      <c r="X439" s="1302">
        <f t="shared" si="3371"/>
        <v>0.52329139748384</v>
      </c>
      <c r="Y439" s="1302">
        <f t="shared" si="3371"/>
        <v>0.351779744845613</v>
      </c>
      <c r="Z439" s="1302">
        <f t="shared" si="3371"/>
        <v>-0.0475006217358861</v>
      </c>
      <c r="AA439" s="1302">
        <f t="shared" si="3371"/>
        <v>-0.665244076360606</v>
      </c>
      <c r="AB439" s="1302">
        <f t="shared" si="3371"/>
        <v>-0.258844266300562</v>
      </c>
      <c r="AC439" s="1302">
        <f t="shared" si="3371"/>
        <v>-0.100030978788919</v>
      </c>
      <c r="AD439" s="1302">
        <f t="shared" si="3371"/>
        <v>-0.187383138031723</v>
      </c>
      <c r="AE439" s="1302">
        <f t="shared" si="3371"/>
        <v>-2.44448094793253</v>
      </c>
      <c r="AF439" s="1302">
        <f t="shared" si="3371"/>
        <v>-0.251856245285124</v>
      </c>
      <c r="AG439" s="1302">
        <f t="shared" si="3371"/>
        <v>-0.338183239574347</v>
      </c>
      <c r="AH439" s="1302">
        <f t="shared" si="3371"/>
        <v>-0.37859007832898</v>
      </c>
      <c r="AI439" s="1302">
        <f t="shared" si="3371"/>
        <v>0.857098153167015</v>
      </c>
      <c r="AJ439" s="1302">
        <f t="shared" si="3371"/>
        <v>-0.187644876994059</v>
      </c>
      <c r="AK439" s="1302">
        <f t="shared" si="3371"/>
        <v>0.195645087684987</v>
      </c>
      <c r="AL439" s="1302">
        <f t="shared" si="3371"/>
        <v>0.00336341105197691</v>
      </c>
      <c r="AM439" s="1302">
        <f t="shared" si="3371"/>
        <v>-1.23826301091333</v>
      </c>
      <c r="AN439" s="1302">
        <f t="shared" ref="AN439:BU439" si="3372">AN438/AF438-1</f>
        <v>0.710318355892842</v>
      </c>
      <c r="AO439" s="1302">
        <f t="shared" si="3371"/>
        <v>0.184420801687766</v>
      </c>
      <c r="AP439" s="1302">
        <f t="shared" si="3372"/>
        <v>-0.0467534559296077</v>
      </c>
      <c r="AQ439" s="1302">
        <f t="shared" si="3372"/>
        <v>-0.338021345802606</v>
      </c>
      <c r="AR439" s="1302">
        <f t="shared" si="3372"/>
        <v>-0.149645402132692</v>
      </c>
      <c r="AS439" s="1302">
        <f t="shared" si="3372"/>
        <v>-0.163940385314431</v>
      </c>
      <c r="AT439" s="1302">
        <f t="shared" si="3372"/>
        <v>-0.158134322043412</v>
      </c>
      <c r="AU439" s="1302">
        <f t="shared" si="3372"/>
        <v>0.428571428571429</v>
      </c>
      <c r="AV439" s="1302">
        <f t="shared" si="3372"/>
        <v>-0.14704878880928</v>
      </c>
      <c r="AW439" s="1302">
        <f t="shared" si="3372"/>
        <v>-0.140923712349411</v>
      </c>
      <c r="AX439" s="1303">
        <f t="shared" si="3372"/>
        <v>-0.103448275862069</v>
      </c>
      <c r="AY439" s="1302">
        <f t="shared" si="3372"/>
        <v>0.25</v>
      </c>
      <c r="AZ439" s="1302">
        <f t="shared" si="3372"/>
        <v>-0.00624999999999998</v>
      </c>
      <c r="BA439" s="1302">
        <f t="shared" si="3372"/>
        <v>0.0565217391304347</v>
      </c>
      <c r="BB439" s="1302">
        <f t="shared" si="3372"/>
        <v>-0.235897435897436</v>
      </c>
      <c r="BC439" s="1302">
        <f t="shared" si="3372"/>
        <v>1.7876</v>
      </c>
      <c r="BD439" s="1302">
        <f t="shared" si="3372"/>
        <v>0.191008</v>
      </c>
      <c r="BE439" s="1304">
        <f t="shared" si="3372"/>
        <v>-0.137190243902439</v>
      </c>
      <c r="BF439" s="1302">
        <f t="shared" si="3372"/>
        <v>-0.115384615384615</v>
      </c>
      <c r="BG439" s="1302">
        <f t="shared" si="3372"/>
        <v>-0.0305397272727266</v>
      </c>
      <c r="BH439" s="1302">
        <f t="shared" si="3372"/>
        <v>-0.0860357547169808</v>
      </c>
      <c r="BI439" s="1302">
        <f t="shared" si="3372"/>
        <v>0.127572016460905</v>
      </c>
      <c r="BJ439" s="1302">
        <f t="shared" si="3372"/>
        <v>0.407115151006711</v>
      </c>
      <c r="BK439" s="1302">
        <f t="shared" si="3372"/>
        <v>0.125082508250825</v>
      </c>
      <c r="BL439" s="1302">
        <f t="shared" si="3372"/>
        <v>0.13089282355786</v>
      </c>
      <c r="BM439" s="1302">
        <f t="shared" si="3372"/>
        <v>0.36266626054411</v>
      </c>
      <c r="BN439" s="1303">
        <f t="shared" si="3372"/>
        <v>0.269782608695652</v>
      </c>
      <c r="BO439" s="1302">
        <f t="shared" si="3372"/>
        <v>0.174036574990226</v>
      </c>
      <c r="BP439" s="1302">
        <f t="shared" si="3372"/>
        <v>0.234651879195279</v>
      </c>
      <c r="BQ439" s="1302">
        <f t="shared" si="3372"/>
        <v>0.145985401459854</v>
      </c>
      <c r="BR439" s="1302">
        <f t="shared" si="3372"/>
        <v>0.176713796945421</v>
      </c>
      <c r="BS439" s="1302">
        <f t="shared" si="3372"/>
        <v>-0.202877294119148</v>
      </c>
      <c r="BT439" s="1302">
        <f t="shared" ref="BT439:CK439" si="3373">BT438/BL438-1</f>
        <v>0.0809988904912486</v>
      </c>
      <c r="BU439" s="1304">
        <f t="shared" si="3372"/>
        <v>0.127319998137522</v>
      </c>
      <c r="BV439" s="1303">
        <f t="shared" si="3373"/>
        <v>0.557952405410033</v>
      </c>
      <c r="BW439" s="1302">
        <f t="shared" si="3373"/>
        <v>1.26837060702875</v>
      </c>
      <c r="BX439" s="1302">
        <f t="shared" si="3373"/>
        <v>0.805818749303311</v>
      </c>
      <c r="BY439" s="1302">
        <f t="shared" si="3373"/>
        <v>0.0318471337579618</v>
      </c>
      <c r="BZ439" s="1302">
        <f t="shared" si="3373"/>
        <v>0.313282801669977</v>
      </c>
      <c r="CA439" s="1302">
        <f t="shared" si="3373"/>
        <v>-0.6</v>
      </c>
      <c r="CB439" s="1302">
        <f t="shared" si="3373"/>
        <v>-0.054945054945055</v>
      </c>
      <c r="CC439" s="1304">
        <f t="shared" si="3373"/>
        <v>0.229251775790365</v>
      </c>
      <c r="CD439" s="1303">
        <f t="shared" si="3373"/>
        <v>0.43956043956044</v>
      </c>
      <c r="CE439" s="1302">
        <f t="shared" si="3373"/>
        <v>0.323943661971831</v>
      </c>
      <c r="CF439" s="1302">
        <f t="shared" si="3373"/>
        <v>0.388888888888889</v>
      </c>
      <c r="CG439" s="1302">
        <f t="shared" si="3373"/>
        <v>0.277777777777778</v>
      </c>
      <c r="CH439" s="1302">
        <f t="shared" si="3373"/>
        <v>0.333333333333333</v>
      </c>
      <c r="CI439" s="1302">
        <f t="shared" si="3373"/>
        <v>-0.6</v>
      </c>
      <c r="CJ439" s="1302">
        <f t="shared" si="3373"/>
        <v>0.226744186046512</v>
      </c>
      <c r="CK439" s="1304">
        <f t="shared" si="3373"/>
        <v>0.305389221556886</v>
      </c>
      <c r="CL439" s="1303">
        <v>0.145038167938931</v>
      </c>
      <c r="CM439" s="1302">
        <f t="shared" ref="CM439:CS439" si="3374">CM438/CE438-1</f>
        <v>-0.112765957446809</v>
      </c>
      <c r="CN439" s="1302">
        <f t="shared" si="3374"/>
        <v>0.0342222222222222</v>
      </c>
      <c r="CO439" s="1302">
        <f t="shared" si="3374"/>
        <v>0.209178743961353</v>
      </c>
      <c r="CP439" s="1302">
        <f t="shared" si="3374"/>
        <v>0.118055555555556</v>
      </c>
      <c r="CQ439" s="1302">
        <f t="shared" si="3374"/>
        <v>2.5</v>
      </c>
      <c r="CR439" s="1302">
        <f t="shared" si="3374"/>
        <v>0.25260663507109</v>
      </c>
      <c r="CS439" s="1304">
        <f t="shared" si="3374"/>
        <v>0.137614678899083</v>
      </c>
      <c r="CT439" s="1303">
        <f t="shared" ref="CT439:DA439" si="3375">CT438/CL438-1</f>
        <v>-0.138</v>
      </c>
      <c r="CU439" s="1302">
        <f t="shared" si="3375"/>
        <v>0.250599520383693</v>
      </c>
      <c r="CV439" s="1302">
        <f t="shared" si="3375"/>
        <v>0.00386764073914914</v>
      </c>
      <c r="CW439" s="1302">
        <f t="shared" si="3375"/>
        <v>0.200159808230124</v>
      </c>
      <c r="CX439" s="1302">
        <f t="shared" si="3375"/>
        <v>0.105590062111801</v>
      </c>
      <c r="CY439" s="1302">
        <f t="shared" si="3375"/>
        <v>0.5</v>
      </c>
      <c r="CZ439" s="1302">
        <f t="shared" si="3375"/>
        <v>0.216042376087779</v>
      </c>
      <c r="DA439" s="1304">
        <f t="shared" si="3375"/>
        <v>0.118951612903226</v>
      </c>
      <c r="DB439" s="1109">
        <f t="shared" ref="DB439:DI439" si="3376">DB438/CT438-1</f>
        <v>0.31477184841454</v>
      </c>
      <c r="DC439" s="1082">
        <f t="shared" si="3376"/>
        <v>0.716203259827421</v>
      </c>
      <c r="DD439" s="1082">
        <f t="shared" si="3376"/>
        <v>0.228595890410959</v>
      </c>
      <c r="DE439" s="1082">
        <f t="shared" si="3376"/>
        <v>0.00865512649800282</v>
      </c>
      <c r="DF439" s="1082">
        <f t="shared" si="3376"/>
        <v>0.104868913857678</v>
      </c>
      <c r="DG439" s="1082">
        <f t="shared" si="3376"/>
        <v>1.57142857142857</v>
      </c>
      <c r="DH439" s="1082">
        <f t="shared" si="3376"/>
        <v>0.110765401369011</v>
      </c>
      <c r="DI439" s="1085">
        <f t="shared" si="3376"/>
        <v>0.16036036036036</v>
      </c>
      <c r="DJ439" s="1082">
        <f t="shared" ref="DJ439:DQ439" si="3377">DJ438/DB438-1</f>
        <v>-0.977270588235294</v>
      </c>
      <c r="DK439" s="1082">
        <f t="shared" si="3377"/>
        <v>-0.955307262569832</v>
      </c>
      <c r="DL439" s="1082">
        <f t="shared" si="3377"/>
        <v>-0.958662020905923</v>
      </c>
      <c r="DM439" s="1082">
        <f t="shared" si="3377"/>
        <v>-0.297029702970297</v>
      </c>
      <c r="DN439" s="1082">
        <f t="shared" si="3377"/>
        <v>-0.620338983050847</v>
      </c>
      <c r="DO439" s="1082">
        <f t="shared" si="3377"/>
        <v>-0.611111111111111</v>
      </c>
      <c r="DP439" s="1082">
        <f t="shared" si="3377"/>
        <v>-0.346957983193277</v>
      </c>
      <c r="DQ439" s="1085">
        <f t="shared" si="3377"/>
        <v>-0.619565217391304</v>
      </c>
      <c r="DR439" s="1082">
        <f t="shared" ref="DR439:DX439" si="3378">DR438/DJ438-1</f>
        <v>42.7370600414079</v>
      </c>
      <c r="DS439" s="1082">
        <f t="shared" si="3378"/>
        <v>14.75</v>
      </c>
      <c r="DT439" s="1082">
        <f t="shared" si="3378"/>
        <v>23.8651382333108</v>
      </c>
      <c r="DU439" s="1082">
        <f t="shared" si="3378"/>
        <v>0.248826291079812</v>
      </c>
      <c r="DV439" s="1082">
        <f t="shared" si="3378"/>
        <v>1.50446428571429</v>
      </c>
      <c r="DW439" s="1082">
        <f t="shared" si="3378"/>
        <v>-0.666666666666667</v>
      </c>
      <c r="DX439" s="1082">
        <f t="shared" si="3378"/>
        <v>0.170990323244801</v>
      </c>
      <c r="DY439" s="1085">
        <f t="shared" ref="DY439:EO439" si="3379">DY438/DQ438-1</f>
        <v>1.31836734693878</v>
      </c>
      <c r="DZ439" s="1082">
        <f t="shared" si="3379"/>
        <v>0.236686390532544</v>
      </c>
      <c r="EA439" s="1082">
        <f t="shared" si="3379"/>
        <v>0.111111111111111</v>
      </c>
      <c r="EB439" s="1082">
        <f t="shared" si="3379"/>
        <v>0.183050847457627</v>
      </c>
      <c r="EC439" s="1082">
        <f t="shared" si="3379"/>
        <v>0.142857142857143</v>
      </c>
      <c r="ED439" s="1082">
        <f t="shared" si="3379"/>
        <v>0.163992869875223</v>
      </c>
      <c r="EE439" s="1082">
        <f t="shared" si="3379"/>
        <v>-7.42857142857143</v>
      </c>
      <c r="EF439" s="1082">
        <f t="shared" si="3379"/>
        <v>-0.0512820512820513</v>
      </c>
      <c r="EG439" s="1085">
        <f t="shared" si="3379"/>
        <v>0.0704225352112675</v>
      </c>
      <c r="EH439" s="1082">
        <f t="shared" si="3379"/>
        <v>0.38755980861244</v>
      </c>
      <c r="EI439" s="1082">
        <f t="shared" si="3379"/>
        <v>0.171428571428571</v>
      </c>
      <c r="EJ439" s="1082">
        <f t="shared" si="3379"/>
        <v>0.300859598853868</v>
      </c>
      <c r="EK439" s="1082">
        <f t="shared" si="3379"/>
        <v>0.128289473684211</v>
      </c>
      <c r="EL439" s="1082">
        <f t="shared" si="3379"/>
        <v>0.22052067381317</v>
      </c>
      <c r="EM439" s="1082">
        <f t="shared" si="3379"/>
        <v>5.06666666666667</v>
      </c>
      <c r="EN439" s="1082">
        <f t="shared" si="3379"/>
        <v>-0.72972972972973</v>
      </c>
      <c r="EO439" s="1085">
        <f t="shared" si="3379"/>
        <v>-0.138157894736842</v>
      </c>
      <c r="EP439" s="1082">
        <f t="shared" ref="EP439:EW439" si="3380">EP438/EH438-1</f>
        <v>0.0655172413793104</v>
      </c>
      <c r="EQ439" s="1094">
        <f t="shared" si="3380"/>
        <v>0.0426829268292683</v>
      </c>
      <c r="ER439" s="1094">
        <f t="shared" si="3380"/>
        <v>0.0572687224669604</v>
      </c>
      <c r="ES439" s="1094">
        <f t="shared" si="3380"/>
        <v>-0.0728862973760933</v>
      </c>
      <c r="ET439" s="1094">
        <f t="shared" si="3380"/>
        <v>0.00125470514429105</v>
      </c>
      <c r="EU439" s="1094">
        <f t="shared" si="3380"/>
        <v>-0.963369963369963</v>
      </c>
      <c r="EV439" s="1094">
        <f t="shared" si="3380"/>
        <v>3.4</v>
      </c>
      <c r="EW439" s="1093">
        <f t="shared" si="3380"/>
        <v>0.505725190839695</v>
      </c>
      <c r="EX439" s="1094">
        <f t="shared" ref="EX439:FF439" si="3381">EX438/EP438-1</f>
        <v>-0.320388349514563</v>
      </c>
      <c r="EY439" s="1094">
        <f t="shared" si="3381"/>
        <v>-0.16374269005848</v>
      </c>
      <c r="EZ439" s="1094">
        <f t="shared" si="3381"/>
        <v>-0.264583333333333</v>
      </c>
      <c r="FA439" s="1094">
        <f t="shared" si="3381"/>
        <v>-0.119496855345912</v>
      </c>
      <c r="FB439" s="1094">
        <f t="shared" si="3381"/>
        <v>-0.206766917293233</v>
      </c>
      <c r="FC439" s="1094">
        <f t="shared" si="3381"/>
        <v>5.9</v>
      </c>
      <c r="FD439" s="1094">
        <f t="shared" si="3381"/>
        <v>-0.603896103896104</v>
      </c>
      <c r="FE439" s="1093">
        <f t="shared" si="3381"/>
        <v>-0.285171102661597</v>
      </c>
      <c r="FF439" s="1094">
        <f t="shared" si="3381"/>
        <v>0.128571428571429</v>
      </c>
      <c r="FG439" s="1094">
        <f t="shared" ref="FG439:FN439" si="3382">FG438/EY438-1</f>
        <v>0.020979020979021</v>
      </c>
      <c r="FH439" s="1094">
        <f t="shared" si="3382"/>
        <v>0.0849858356940509</v>
      </c>
      <c r="FI439" s="1094">
        <f t="shared" si="3382"/>
        <v>0.203571428571429</v>
      </c>
      <c r="FJ439" s="1094">
        <f t="shared" si="3382"/>
        <v>0.137440758293839</v>
      </c>
      <c r="FK439" s="1094">
        <f t="shared" si="3382"/>
        <v>-0.492753623188406</v>
      </c>
      <c r="FL439" s="1094">
        <f t="shared" si="3382"/>
        <v>1.47540983606557</v>
      </c>
      <c r="FM439" s="1093">
        <f t="shared" si="3382"/>
        <v>0.214539007092199</v>
      </c>
      <c r="FN439" s="1094">
        <f t="shared" si="3382"/>
        <v>0.476793248945148</v>
      </c>
      <c r="FO439" s="1094">
        <f t="shared" ref="FO439:FU439" si="3383">FO438/FG438-1</f>
        <v>0.986301369863014</v>
      </c>
      <c r="FP439" s="1094">
        <f t="shared" si="3383"/>
        <v>0.671018276762402</v>
      </c>
      <c r="FQ439" s="1094">
        <f t="shared" si="3383"/>
        <v>0.148367952522255</v>
      </c>
      <c r="FR439" s="1094">
        <f t="shared" si="3383"/>
        <v>0.427777777777778</v>
      </c>
      <c r="FS439" s="1094">
        <f t="shared" si="3383"/>
        <v>-0.742857142857143</v>
      </c>
      <c r="FT439" s="1094">
        <f t="shared" si="3383"/>
        <v>0.248344370860927</v>
      </c>
      <c r="FU439" s="1094">
        <f t="shared" si="3383"/>
        <v>0.487591240875912</v>
      </c>
      <c r="FV439" s="1275">
        <f t="shared" ref="FV439:GC439" si="3384">FV438/FN438-1</f>
        <v>0.32</v>
      </c>
      <c r="FW439" s="1094">
        <f t="shared" si="3384"/>
        <v>0.196551724137931</v>
      </c>
      <c r="FX439" s="1094">
        <f t="shared" si="3384"/>
        <v>0.2640625</v>
      </c>
      <c r="FY439" s="1094">
        <f t="shared" si="3384"/>
        <v>0.417067183462532</v>
      </c>
      <c r="FZ439" s="1094">
        <f t="shared" si="3384"/>
        <v>0.320432879377432</v>
      </c>
      <c r="GA439" s="1094">
        <f t="shared" si="3384"/>
        <v>-9.09511111111111</v>
      </c>
      <c r="GB439" s="1094">
        <f t="shared" si="3384"/>
        <v>0.647907161803714</v>
      </c>
      <c r="GC439" s="1093">
        <f t="shared" si="3384"/>
        <v>0.40359273797841</v>
      </c>
      <c r="GD439" s="1094">
        <f t="shared" ref="GD439:GS439" si="3385">GD438/FV438-1</f>
        <v>0.172136363636363</v>
      </c>
      <c r="GE439" s="1094">
        <f t="shared" si="3385"/>
        <v>0.204610951008646</v>
      </c>
      <c r="GF439" s="1094">
        <f t="shared" si="3385"/>
        <v>0.186065512978986</v>
      </c>
      <c r="GG439" s="1094">
        <f t="shared" si="3385"/>
        <v>0.196196241828576</v>
      </c>
      <c r="GH439" s="1094">
        <f t="shared" si="3385"/>
        <v>0.190158427293254</v>
      </c>
      <c r="GI439" s="1094">
        <f t="shared" si="3385"/>
        <v>0.282982870319541</v>
      </c>
      <c r="GJ439" s="1094">
        <f t="shared" si="3385"/>
        <v>0.206373810685043</v>
      </c>
      <c r="GK439" s="1093">
        <f t="shared" si="3385"/>
        <v>0.19488680737292</v>
      </c>
      <c r="GL439" s="1094">
        <f t="shared" si="3385"/>
        <v>0.165223525327454</v>
      </c>
      <c r="GM439" s="1094">
        <f t="shared" si="3385"/>
        <v>0.104722488038278</v>
      </c>
      <c r="GN439" s="1094">
        <f t="shared" si="3385"/>
        <v>0.138867379448416</v>
      </c>
      <c r="GO439" s="1094">
        <f t="shared" si="3385"/>
        <v>-0.016768292682927</v>
      </c>
      <c r="GP439" s="1094">
        <f t="shared" si="3385"/>
        <v>0.0756700445117913</v>
      </c>
      <c r="GQ439" s="1094">
        <f t="shared" si="3385"/>
        <v>0.928107581868556</v>
      </c>
      <c r="GR439" s="1094">
        <f t="shared" si="3385"/>
        <v>0.101075022048826</v>
      </c>
      <c r="GS439" s="1093">
        <f t="shared" si="3385"/>
        <v>0.122293739028672</v>
      </c>
      <c r="GT439" s="1094">
        <f t="shared" ref="GT439" si="3386">GT438/GL438-1</f>
        <v>-0.968892234548336</v>
      </c>
      <c r="GU439" s="1094">
        <f t="shared" ref="GU439" si="3387">GU438/GM438-1</f>
        <v>-1.66266182158372</v>
      </c>
      <c r="GV439" s="1094">
        <f t="shared" ref="GV439" si="3388">GV438/GN438-1</f>
        <v>-1.26205876054884</v>
      </c>
      <c r="GW439" s="1094">
        <f t="shared" ref="GW439" si="3389">GW438/GO438-1</f>
        <v>-0.103829320062018</v>
      </c>
      <c r="GX439" s="1094">
        <f t="shared" ref="GX439" si="3390">GX438/GP438-1</f>
        <v>-0.832165121264331</v>
      </c>
      <c r="GY439" s="1094">
        <f t="shared" ref="GY439" si="3391">GY438/GQ438-1</f>
        <v>-0.23795173038295</v>
      </c>
      <c r="GZ439" s="1094">
        <f t="shared" ref="GZ439" si="3392">GZ438/GR438-1</f>
        <v>-0.133121108641753</v>
      </c>
      <c r="HA439" s="1093">
        <f t="shared" ref="HA439" si="3393">HA438/GS438-1</f>
        <v>-0.776329509906152</v>
      </c>
      <c r="HB439" s="1094">
        <f t="shared" ref="HB439" si="3394">HB438/GT438-1</f>
        <v>24.6127922971115</v>
      </c>
      <c r="HC439" s="1094">
        <f t="shared" ref="HC439" si="3395">HC438/GU438-1</f>
        <v>-2.26470588235294</v>
      </c>
      <c r="HD439" s="1094">
        <f t="shared" ref="HD439" si="3396">HD438/GV438-1</f>
        <v>-4.10699582010748</v>
      </c>
      <c r="HE439" s="1094">
        <f t="shared" ref="HE439" si="3397">HE438/GW438-1</f>
        <v>-0.171323414680202</v>
      </c>
      <c r="HF439" s="1094">
        <f t="shared" ref="HF439" si="3398">HF438/GX438-1</f>
        <v>3.69299107652676</v>
      </c>
      <c r="HG439" s="1094">
        <f t="shared" ref="HG439" si="3399">HG438/GY438-1</f>
        <v>-0.102623546707426</v>
      </c>
      <c r="HH439" s="1094">
        <f t="shared" ref="HH439" si="3400">HH438/GZ438-1</f>
        <v>-0.158134031153069</v>
      </c>
      <c r="HI439" s="1093">
        <f t="shared" ref="HI439" si="3401">HI438/HA438-1</f>
        <v>2.47785547785547</v>
      </c>
      <c r="HJ439" s="1094">
        <f t="shared" ref="HJ439" si="3402">HJ438/HB438-1</f>
        <v>-0.383395640209366</v>
      </c>
      <c r="HK439" s="1094">
        <f t="shared" ref="HK439" si="3403">HK438/HC438-1</f>
        <v>-0.0671834625323007</v>
      </c>
      <c r="HL439" s="1094">
        <f t="shared" ref="HL439" si="3404">HL438/HD438-1</f>
        <v>-0.245858543967514</v>
      </c>
      <c r="HM439" s="1094">
        <f t="shared" ref="HM439" si="3405">HM438/HE438-1</f>
        <v>-0.862212943632568</v>
      </c>
      <c r="HN439" s="1094">
        <f t="shared" ref="HN439" si="3406">HN438/HF438-1</f>
        <v>-0.46155388826403</v>
      </c>
      <c r="HO439" s="1094">
        <f t="shared" ref="HO439" si="3407">HO438/HG438-1</f>
        <v>-4.91897538672501</v>
      </c>
      <c r="HP439" s="1094">
        <f t="shared" ref="HP439" si="3408">HP438/HH438-1</f>
        <v>-1.69240751087802</v>
      </c>
      <c r="HQ439" s="1093">
        <f t="shared" ref="HQ439" si="3409">HQ438/HI438-1</f>
        <v>-0.829758713136729</v>
      </c>
      <c r="HR439" s="1094">
        <f t="shared" ref="HR439" si="3410">HR438/HJ438-1</f>
        <v>-0.91727493917275</v>
      </c>
      <c r="HS439" s="1094">
        <f t="shared" ref="HS439" si="3411">HS438/HK438-1</f>
        <v>-0.846666666666667</v>
      </c>
      <c r="HT439" s="1094">
        <f t="shared" ref="HT439" si="3412">HT438/HL438-1</f>
        <v>-0.879287478107629</v>
      </c>
      <c r="HU439" s="1094">
        <f t="shared" ref="HU439" si="3413">HU438/HM438-1</f>
        <v>2.60100000000001</v>
      </c>
      <c r="HV439" s="1094">
        <f t="shared" ref="HV439" si="3414">HV438/HN438-1</f>
        <v>-0.567619942754706</v>
      </c>
      <c r="HW439" s="1094">
        <f t="shared" ref="HW439" si="3415">HW438/HO438-1</f>
        <v>-0.311254446812081</v>
      </c>
      <c r="HX439" s="1094">
        <f t="shared" ref="HX439" si="3416">HX438/HP438-1</f>
        <v>-0.772186805300327</v>
      </c>
      <c r="HY439" s="1093">
        <f t="shared" ref="HY439" si="3417">HY438/HQ438-1</f>
        <v>-1.05511811023615</v>
      </c>
      <c r="HZ439" s="1094">
        <f t="shared" ref="HZ439" si="3418">HZ438/HR438-1</f>
        <v>4.31511907020874</v>
      </c>
      <c r="IA439" s="1094">
        <f t="shared" ref="IA439" si="3419">IA438/HS438-1</f>
        <v>2.18914850054199</v>
      </c>
      <c r="IB439" s="1094">
        <f t="shared" ref="IB439" si="3420">IB438/HT438-1</f>
        <v>2.86225098542456</v>
      </c>
      <c r="IC439" s="1094">
        <f t="shared" ref="IC439" si="3421">IC438/HU438-1</f>
        <v>0.806017688689159</v>
      </c>
      <c r="ID439" s="1094">
        <f t="shared" ref="ID439" si="3422">ID438/HV438-1</f>
        <v>1.32867145969915</v>
      </c>
      <c r="IE439" s="1094">
        <f t="shared" ref="IE439" si="3423">IE438/HW438-1</f>
        <v>-0.804219933646903</v>
      </c>
      <c r="IF439" s="1094">
        <f t="shared" ref="IF439" si="3424">IF438/HX438-1</f>
        <v>-4.83270814476573</v>
      </c>
      <c r="IG439" s="1093">
        <f t="shared" ref="IG439" si="3425">IG438/HY438-1</f>
        <v>-49.3525000000582</v>
      </c>
      <c r="IH439" s="1094">
        <f t="shared" ref="IH439" si="3426">IH438/HZ438-1</f>
        <v>2.19870877810792</v>
      </c>
      <c r="II439" s="1094">
        <f t="shared" ref="II439" si="3427">II438/IA438-1</f>
        <v>1.11862006457826</v>
      </c>
      <c r="IJ439" s="1094">
        <f t="shared" ref="IJ439" si="3428">IJ438/IB438-1</f>
        <v>1.5892243514952</v>
      </c>
      <c r="IK439" s="1094">
        <f t="shared" ref="IK439" si="3429">IK438/IC438-1</f>
        <v>0.127603214135112</v>
      </c>
      <c r="IL439" s="1094">
        <f t="shared" ref="IL439" si="3430">IL438/ID438-1</f>
        <v>0.743784902649907</v>
      </c>
      <c r="IM439" s="1094">
        <f t="shared" ref="IM439" si="3431">IM438/IE438-1</f>
        <v>-2.27439389519251</v>
      </c>
      <c r="IN439" s="1094">
        <f t="shared" ref="IN439" si="3432">IN438/IF438-1</f>
        <v>0.557264487778107</v>
      </c>
      <c r="IO439" s="1093">
        <f t="shared" ref="IO439" si="3433">IO438/IG438-1</f>
        <v>1.03416871634649</v>
      </c>
      <c r="IP439" s="1094">
        <f t="shared" ref="IP439" si="3434">IP438/IH438-1</f>
        <v>0.174885321100917</v>
      </c>
      <c r="IQ439" s="1094">
        <f t="shared" ref="IQ439" si="3435">IQ438/II438-1</f>
        <v>0.061497326203209</v>
      </c>
      <c r="IR439" s="1094">
        <f t="shared" ref="IR439" si="3436">IR438/IJ438-1</f>
        <v>0.122530864197531</v>
      </c>
      <c r="IS439" s="1094">
        <f t="shared" ref="IS439" si="3437">IS438/IK438-1</f>
        <v>0.289256198347108</v>
      </c>
      <c r="IT439" s="1094">
        <f t="shared" ref="IT439" si="3438">IT438/IL438-1</f>
        <v>0.184891808346214</v>
      </c>
      <c r="IU439" s="1094">
        <f t="shared" ref="IU439" si="3439">IU438/IM438-1</f>
        <v>1.30120481927709</v>
      </c>
      <c r="IV439" s="1094">
        <f t="shared" ref="IV439" si="3440">IV438/IN438-1</f>
        <v>0.437389770723102</v>
      </c>
      <c r="IW439" s="1093">
        <f t="shared" ref="IW439" si="3441">IW438/IO438-1</f>
        <v>0.252178649237472</v>
      </c>
      <c r="IX439" s="1087"/>
      <c r="IY439" s="1087"/>
      <c r="IZ439" s="1049"/>
    </row>
    <row r="440" spans="1:285">
      <c r="A440" s="1035" t="s">
        <v>145</v>
      </c>
      <c r="B440" s="1302">
        <v>0.106691968476827</v>
      </c>
      <c r="C440" s="1302">
        <v>0.104678530233426</v>
      </c>
      <c r="D440" s="1302">
        <f t="shared" ref="D440:BN440" si="3442">D438/D$388</f>
        <v>0.105828697014899</v>
      </c>
      <c r="E440" s="1302">
        <v>0.1334209403252</v>
      </c>
      <c r="F440" s="1302">
        <f t="shared" si="3442"/>
        <v>0.116447803880937</v>
      </c>
      <c r="G440" s="1302">
        <v>0.0333438416955647</v>
      </c>
      <c r="H440" s="1302">
        <f>H438/H$388</f>
        <v>-0.826379276162493</v>
      </c>
      <c r="I440" s="1302">
        <f t="shared" si="3442"/>
        <v>0.100795689335753</v>
      </c>
      <c r="J440" s="1302">
        <f t="shared" si="3442"/>
        <v>0.131556966254594</v>
      </c>
      <c r="K440" s="1302">
        <f t="shared" si="3442"/>
        <v>0.0864906238040567</v>
      </c>
      <c r="L440" s="1302">
        <f t="shared" si="3442"/>
        <v>0.110551195148056</v>
      </c>
      <c r="M440" s="1302">
        <f t="shared" si="3442"/>
        <v>0.114130434782609</v>
      </c>
      <c r="N440" s="1302">
        <f t="shared" si="3442"/>
        <v>0.11196963170364</v>
      </c>
      <c r="O440" s="1302">
        <f t="shared" si="3442"/>
        <v>0.0246857717445953</v>
      </c>
      <c r="P440" s="1302">
        <f t="shared" si="3442"/>
        <v>0.0596068098905556</v>
      </c>
      <c r="Q440" s="1302">
        <f t="shared" si="3442"/>
        <v>0.0935356452674723</v>
      </c>
      <c r="R440" s="1302">
        <f t="shared" si="3442"/>
        <v>0.117367192060712</v>
      </c>
      <c r="S440" s="1302">
        <f t="shared" si="3442"/>
        <v>0.0732682469394214</v>
      </c>
      <c r="T440" s="1302">
        <f t="shared" si="3442"/>
        <v>0.0973260472555906</v>
      </c>
      <c r="U440" s="1302">
        <f t="shared" si="3442"/>
        <v>0.11660849137843</v>
      </c>
      <c r="V440" s="1302">
        <f t="shared" si="3442"/>
        <v>0.105149960995062</v>
      </c>
      <c r="W440" s="1302">
        <f t="shared" si="3442"/>
        <v>0.0281322452046273</v>
      </c>
      <c r="X440" s="1302">
        <f t="shared" si="3442"/>
        <v>0.0629567172568858</v>
      </c>
      <c r="Y440" s="1302">
        <f t="shared" si="3442"/>
        <v>0.0888909209640565</v>
      </c>
      <c r="Z440" s="1302">
        <f t="shared" si="3442"/>
        <v>0.0707163958641064</v>
      </c>
      <c r="AA440" s="1302">
        <f t="shared" si="3442"/>
        <v>0.0156249999999999</v>
      </c>
      <c r="AB440" s="1302">
        <f t="shared" si="3442"/>
        <v>0.0457760711398545</v>
      </c>
      <c r="AC440" s="1302">
        <f t="shared" si="3442"/>
        <v>0.0760649087221095</v>
      </c>
      <c r="AD440" s="1302">
        <f t="shared" si="3442"/>
        <v>0.0571085251707564</v>
      </c>
      <c r="AE440" s="1302">
        <f t="shared" si="3442"/>
        <v>-0.0287156421789103</v>
      </c>
      <c r="AF440" s="1302">
        <f t="shared" si="3442"/>
        <v>0.0337936493932523</v>
      </c>
      <c r="AG440" s="1302">
        <f t="shared" si="3442"/>
        <v>0.0397738972443727</v>
      </c>
      <c r="AH440" s="1302">
        <f t="shared" si="3442"/>
        <v>0.0437821927888155</v>
      </c>
      <c r="AI440" s="1302">
        <f t="shared" si="3442"/>
        <v>0.0278246726715946</v>
      </c>
      <c r="AJ440" s="1302">
        <f t="shared" si="3442"/>
        <v>0.0364064969055887</v>
      </c>
      <c r="AK440" s="1302">
        <f t="shared" si="3442"/>
        <v>0.0873333333333333</v>
      </c>
      <c r="AL440" s="1302">
        <f t="shared" si="3442"/>
        <v>0.0556918160042983</v>
      </c>
      <c r="AM440" s="1302">
        <f t="shared" si="3442"/>
        <v>0.00585774058577406</v>
      </c>
      <c r="AN440" s="1302">
        <f t="shared" si="3442"/>
        <v>0.0528679653679654</v>
      </c>
      <c r="AO440" s="1302">
        <f t="shared" si="3442"/>
        <v>0.044569198444963</v>
      </c>
      <c r="AP440" s="1302">
        <f t="shared" si="3442"/>
        <v>0.038233355306526</v>
      </c>
      <c r="AQ440" s="1302">
        <f t="shared" si="3442"/>
        <v>0.0176282051282051</v>
      </c>
      <c r="AR440" s="1302">
        <f t="shared" si="3442"/>
        <v>0.0289330922242315</v>
      </c>
      <c r="AS440" s="1302">
        <f t="shared" si="3442"/>
        <v>0.0685748360166965</v>
      </c>
      <c r="AT440" s="1302">
        <f t="shared" si="3442"/>
        <v>0.0438991445294912</v>
      </c>
      <c r="AU440" s="1302">
        <f t="shared" si="3442"/>
        <v>0.00717875089734386</v>
      </c>
      <c r="AV440" s="1302">
        <f t="shared" si="3442"/>
        <v>0.0407166123778502</v>
      </c>
      <c r="AW440" s="1302">
        <f t="shared" si="3442"/>
        <v>0.0351328191945159</v>
      </c>
      <c r="AX440" s="1303">
        <f t="shared" si="3442"/>
        <v>0.0333761232349166</v>
      </c>
      <c r="AY440" s="1302">
        <f t="shared" si="3442"/>
        <v>0.0201023391812865</v>
      </c>
      <c r="AZ440" s="1302">
        <f t="shared" si="3442"/>
        <v>0.0271701982228298</v>
      </c>
      <c r="BA440" s="1302">
        <f t="shared" si="3442"/>
        <v>0.067877094972067</v>
      </c>
      <c r="BB440" s="1302">
        <f t="shared" si="3442"/>
        <v>0.0471817606079797</v>
      </c>
      <c r="BC440" s="1302">
        <f t="shared" si="3442"/>
        <v>0.0199756359727696</v>
      </c>
      <c r="BD440" s="1302">
        <f t="shared" si="3442"/>
        <v>0.0467428571428571</v>
      </c>
      <c r="BE440" s="1304">
        <f t="shared" si="3442"/>
        <v>0.0388439661798616</v>
      </c>
      <c r="BF440" s="1302">
        <f t="shared" si="3442"/>
        <v>0.0280830280830281</v>
      </c>
      <c r="BG440" s="1302">
        <f t="shared" si="3442"/>
        <v>0.0176967524062396</v>
      </c>
      <c r="BH440" s="1302">
        <f t="shared" si="3442"/>
        <v>0.0231070623310542</v>
      </c>
      <c r="BI440" s="1302">
        <f t="shared" si="3442"/>
        <v>0.0734190782422294</v>
      </c>
      <c r="BJ440" s="1302">
        <f t="shared" si="3442"/>
        <v>0.0418441587665902</v>
      </c>
      <c r="BK440" s="1302">
        <f t="shared" si="3442"/>
        <v>0.0207563203176704</v>
      </c>
      <c r="BL440" s="1302">
        <f t="shared" si="3442"/>
        <v>0.0498557299378146</v>
      </c>
      <c r="BM440" s="1302">
        <f t="shared" si="3442"/>
        <v>0.0369582086176493</v>
      </c>
      <c r="BN440" s="1303">
        <f t="shared" si="3442"/>
        <v>0.0349970041941282</v>
      </c>
      <c r="BO440" s="1302">
        <f t="shared" ref="BO440:CJ440" si="3443">BO438/BO$388</f>
        <v>0.022485632183908</v>
      </c>
      <c r="BP440" s="1302">
        <f t="shared" si="3443"/>
        <v>0.0293074158771643</v>
      </c>
      <c r="BQ440" s="1302">
        <f t="shared" si="3443"/>
        <v>0.0847274689692391</v>
      </c>
      <c r="BR440" s="1302">
        <f t="shared" si="3443"/>
        <v>0.0502055352055352</v>
      </c>
      <c r="BS440" s="1302">
        <f t="shared" si="3443"/>
        <v>0.0184638109305761</v>
      </c>
      <c r="BT440" s="1302">
        <f t="shared" si="3443"/>
        <v>0.0567508574992205</v>
      </c>
      <c r="BU440" s="1304">
        <f t="shared" si="3443"/>
        <v>0.0433487555839183</v>
      </c>
      <c r="BV440" s="1303">
        <f t="shared" si="3443"/>
        <v>0.0604651162790698</v>
      </c>
      <c r="BW440" s="1302">
        <f t="shared" si="3443"/>
        <v>0.0506780870806567</v>
      </c>
      <c r="BX440" s="1302">
        <f t="shared" si="3443"/>
        <v>0.0557467309015829</v>
      </c>
      <c r="BY440" s="1302">
        <f t="shared" si="3443"/>
        <v>0.0921501706484642</v>
      </c>
      <c r="BZ440" s="1302">
        <f t="shared" si="3443"/>
        <v>0.0694682675814751</v>
      </c>
      <c r="CA440" s="1302">
        <f t="shared" si="3443"/>
        <v>0.00836120401337793</v>
      </c>
      <c r="CB440" s="1302">
        <f t="shared" si="3443"/>
        <v>0.0507824033067611</v>
      </c>
      <c r="CC440" s="1304">
        <f t="shared" si="3443"/>
        <v>0.0569965870307167</v>
      </c>
      <c r="CD440" s="1303">
        <f t="shared" si="3443"/>
        <v>0.0783024506873879</v>
      </c>
      <c r="CE440" s="1302">
        <f t="shared" si="3443"/>
        <v>0.0620052770448549</v>
      </c>
      <c r="CF440" s="1302">
        <f t="shared" si="3443"/>
        <v>0.070555032925682</v>
      </c>
      <c r="CG440" s="1302">
        <f t="shared" si="3443"/>
        <v>0.107588357588358</v>
      </c>
      <c r="CH440" s="1302">
        <f t="shared" si="3443"/>
        <v>0.0844905143751222</v>
      </c>
      <c r="CI440" s="1302">
        <f t="shared" si="3443"/>
        <v>0.00262984878369494</v>
      </c>
      <c r="CJ440" s="1302">
        <f t="shared" si="3443"/>
        <v>0.0612481857764877</v>
      </c>
      <c r="CK440" s="1304">
        <f t="shared" ref="CK440:CP440" si="3444">CK438/CK$388</f>
        <v>0.065722037986132</v>
      </c>
      <c r="CL440" s="1303">
        <v>0.0610004066693778</v>
      </c>
      <c r="CM440" s="1302">
        <f t="shared" si="3444"/>
        <v>0.0343492586490939</v>
      </c>
      <c r="CN440" s="1302">
        <f t="shared" si="3444"/>
        <v>0.0476161244117045</v>
      </c>
      <c r="CO440" s="1302">
        <f t="shared" si="3444"/>
        <v>0.0848762292302475</v>
      </c>
      <c r="CP440" s="1302">
        <f t="shared" si="3444"/>
        <v>0.0616385911179173</v>
      </c>
      <c r="CQ440" s="1302">
        <f t="shared" ref="CQ440:CV440" si="3445">CQ438/CQ$388</f>
        <v>0.00622775800711744</v>
      </c>
      <c r="CR440" s="1302">
        <f t="shared" si="3445"/>
        <v>0.0508561075314965</v>
      </c>
      <c r="CS440" s="1304">
        <f t="shared" si="3445"/>
        <v>0.0491868306227687</v>
      </c>
      <c r="CT440" s="1303">
        <f t="shared" si="3445"/>
        <v>0.0509456264775414</v>
      </c>
      <c r="CU440" s="1302">
        <f t="shared" si="3445"/>
        <v>0.0434583333333333</v>
      </c>
      <c r="CV440" s="1302">
        <f t="shared" si="3445"/>
        <v>0.0473066018631025</v>
      </c>
      <c r="CW440" s="1302">
        <f t="shared" ref="CW440:DI440" si="3446">CW438/CW$388</f>
        <v>0.102142128527712</v>
      </c>
      <c r="CX440" s="1302">
        <f t="shared" si="3446"/>
        <v>0.0677750983627364</v>
      </c>
      <c r="CY440" s="1302">
        <f t="shared" si="3446"/>
        <v>0.0086812732534105</v>
      </c>
      <c r="CZ440" s="1302">
        <f t="shared" si="3446"/>
        <v>0.0599626865671642</v>
      </c>
      <c r="DA440" s="1304">
        <f t="shared" si="3446"/>
        <v>0.0538939599922315</v>
      </c>
      <c r="DB440" s="1109">
        <f t="shared" si="3446"/>
        <v>0.0650593187906621</v>
      </c>
      <c r="DC440" s="1082">
        <f t="shared" si="3446"/>
        <v>0.0712012728719173</v>
      </c>
      <c r="DD440" s="1082">
        <f t="shared" si="3446"/>
        <v>0.0559781548663936</v>
      </c>
      <c r="DE440" s="1082">
        <f t="shared" si="3446"/>
        <v>0.0984085742124066</v>
      </c>
      <c r="DF440" s="1082">
        <f t="shared" si="3446"/>
        <v>0.0718986107726054</v>
      </c>
      <c r="DG440" s="1082">
        <f t="shared" si="3446"/>
        <v>0.0209627329192547</v>
      </c>
      <c r="DH440" s="1082">
        <f t="shared" si="3446"/>
        <v>0.0631299734748011</v>
      </c>
      <c r="DI440" s="1085">
        <f t="shared" si="3446"/>
        <v>0.0677039752277171</v>
      </c>
      <c r="DJ440" s="1082">
        <f t="shared" ref="DJ440:DR440" si="3447">DJ438/DJ$388</f>
        <v>0.00149941792782305</v>
      </c>
      <c r="DK440" s="1082">
        <f t="shared" si="3447"/>
        <v>0.00325600325600326</v>
      </c>
      <c r="DL440" s="1082">
        <f t="shared" si="3447"/>
        <v>0.00235677393722686</v>
      </c>
      <c r="DM440" s="1082">
        <f t="shared" si="3447"/>
        <v>0.0737534626038781</v>
      </c>
      <c r="DN440" s="1082">
        <f t="shared" si="3447"/>
        <v>0.0282721191467878</v>
      </c>
      <c r="DO440" s="1082">
        <f t="shared" si="3447"/>
        <v>0.00854353132628153</v>
      </c>
      <c r="DP440" s="1082">
        <f t="shared" si="3447"/>
        <v>0.0436502527616551</v>
      </c>
      <c r="DQ440" s="1085">
        <f t="shared" si="3447"/>
        <v>0.0236008091706001</v>
      </c>
      <c r="DR440" s="1082">
        <f t="shared" si="3447"/>
        <v>0.0632011967090501</v>
      </c>
      <c r="DS440" s="1082">
        <f t="shared" ref="DS440:DY440" si="3448">DS438/DS$388</f>
        <v>0.0431950634213233</v>
      </c>
      <c r="DT440" s="1082">
        <f t="shared" si="3448"/>
        <v>0.0527728085867621</v>
      </c>
      <c r="DU440" s="1082">
        <f t="shared" si="3448"/>
        <v>0.0767012687427912</v>
      </c>
      <c r="DV440" s="1082">
        <f t="shared" si="3448"/>
        <v>0.0619342018105542</v>
      </c>
      <c r="DW440" s="1082">
        <f t="shared" si="3448"/>
        <v>0.00238744884038199</v>
      </c>
      <c r="DX440" s="1094">
        <f t="shared" si="3448"/>
        <v>0.04265625</v>
      </c>
      <c r="DY440" s="1085">
        <f t="shared" si="3448"/>
        <v>0.047372810675563</v>
      </c>
      <c r="DZ440" s="1082">
        <f t="shared" ref="DZ440:EO440" si="3449">DZ438/DZ$388</f>
        <v>0.0638557897952948</v>
      </c>
      <c r="EA440" s="1082">
        <f t="shared" si="3449"/>
        <v>0.0456919060052219</v>
      </c>
      <c r="EB440" s="1082">
        <f t="shared" si="3449"/>
        <v>0.0550733785703014</v>
      </c>
      <c r="EC440" s="1082">
        <f t="shared" si="3449"/>
        <v>0.0811965811965812</v>
      </c>
      <c r="ED440" s="1082">
        <f t="shared" si="3449"/>
        <v>0.0647753199087392</v>
      </c>
      <c r="EE440" s="1082">
        <f t="shared" si="3449"/>
        <v>-0.0138846035174329</v>
      </c>
      <c r="EF440" s="1094">
        <f t="shared" si="3449"/>
        <v>0.0370794559770938</v>
      </c>
      <c r="EG440" s="1085">
        <f t="shared" si="3449"/>
        <v>0.0456387929740279</v>
      </c>
      <c r="EH440" s="1082">
        <f t="shared" si="3449"/>
        <v>0.075836820083682</v>
      </c>
      <c r="EI440" s="1082">
        <f t="shared" si="3449"/>
        <v>0.0466306511231163</v>
      </c>
      <c r="EJ440" s="1082">
        <f t="shared" si="3449"/>
        <v>0.0618444353630296</v>
      </c>
      <c r="EK440" s="1082">
        <f t="shared" si="3449"/>
        <v>0.0821950635034747</v>
      </c>
      <c r="EL440" s="1082">
        <f t="shared" si="3449"/>
        <v>0.0692200799027271</v>
      </c>
      <c r="EM440" s="1082">
        <f t="shared" si="3449"/>
        <v>-0.0810329474621549</v>
      </c>
      <c r="EN440" s="1094">
        <f t="shared" si="3449"/>
        <v>0.00928135773004508</v>
      </c>
      <c r="EO440" s="1085">
        <f t="shared" si="3449"/>
        <v>0.035207955385339</v>
      </c>
      <c r="EP440" s="1082">
        <f t="shared" ref="EP440:FB440" si="3450">EP438/EP$388</f>
        <v>0.0823780325246601</v>
      </c>
      <c r="EQ440" s="1094">
        <f t="shared" si="3450"/>
        <v>0.0505468519065918</v>
      </c>
      <c r="ER440" s="1094">
        <f t="shared" si="3450"/>
        <v>0.0672834314550042</v>
      </c>
      <c r="ES440" s="1094">
        <f t="shared" si="3450"/>
        <v>0.0819798917246713</v>
      </c>
      <c r="ET440" s="1094">
        <f t="shared" si="3450"/>
        <v>0.0724598202124762</v>
      </c>
      <c r="EU440" s="1094">
        <f t="shared" si="3450"/>
        <v>-0.00287438919229664</v>
      </c>
      <c r="EV440" s="1094">
        <f t="shared" si="3450"/>
        <v>0.0418592008698016</v>
      </c>
      <c r="EW440" s="1093">
        <f t="shared" si="3450"/>
        <v>0.0544438310792161</v>
      </c>
      <c r="EX440" s="1094">
        <f t="shared" si="3450"/>
        <v>0.0603274920999713</v>
      </c>
      <c r="EY440" s="1094">
        <f t="shared" si="3450"/>
        <v>0.0420835785756327</v>
      </c>
      <c r="EZ440" s="1094">
        <f t="shared" si="3450"/>
        <v>0.0513155981974124</v>
      </c>
      <c r="FA440" s="1094">
        <f t="shared" si="3450"/>
        <v>0.0692383778437191</v>
      </c>
      <c r="FB440" s="1094">
        <f t="shared" si="3450"/>
        <v>0.057951112331777</v>
      </c>
      <c r="FC440" s="1094">
        <f t="shared" ref="FC440:FN440" si="3451">FC438/FC$388</f>
        <v>-0.0191135734072022</v>
      </c>
      <c r="FD440" s="1094">
        <f t="shared" si="3451"/>
        <v>0.0159393781029527</v>
      </c>
      <c r="FE440" s="1093">
        <f t="shared" si="3451"/>
        <v>0.0388082295465492</v>
      </c>
      <c r="FF440" s="1094">
        <f t="shared" si="3451"/>
        <v>0.0580455547391624</v>
      </c>
      <c r="FG440" s="1094">
        <f t="shared" si="3451"/>
        <v>0.0373688251855644</v>
      </c>
      <c r="FH440" s="1094">
        <f t="shared" si="3451"/>
        <v>0.0479349186483104</v>
      </c>
      <c r="FI440" s="1094">
        <f t="shared" si="3451"/>
        <v>0.070842968257305</v>
      </c>
      <c r="FJ440" s="1094">
        <f t="shared" si="3451"/>
        <v>0.0564838785596611</v>
      </c>
      <c r="FK440" s="1094">
        <f t="shared" si="3451"/>
        <v>-0.00839731285988484</v>
      </c>
      <c r="FL440" s="1094">
        <f t="shared" si="3451"/>
        <v>0.0338375350140056</v>
      </c>
      <c r="FM440" s="1093">
        <f t="shared" si="3451"/>
        <v>0.0404966006503104</v>
      </c>
      <c r="FN440" s="1094">
        <f t="shared" si="3451"/>
        <v>0.0733906479345775</v>
      </c>
      <c r="FO440" s="1094">
        <f t="shared" ref="FO440:FU440" si="3452">FO438/FO$388</f>
        <v>0.0655663576757857</v>
      </c>
      <c r="FP440" s="1094">
        <f t="shared" si="3452"/>
        <v>0.0696257615317667</v>
      </c>
      <c r="FQ440" s="1094">
        <f t="shared" si="3452"/>
        <v>0.0715077605321508</v>
      </c>
      <c r="FR440" s="1094">
        <f t="shared" si="3452"/>
        <v>0.0703916735141057</v>
      </c>
      <c r="FS440" s="1094">
        <f t="shared" si="3452"/>
        <v>-0.00192061459667093</v>
      </c>
      <c r="FT440" s="1094">
        <f t="shared" si="3452"/>
        <v>0.0373341255694197</v>
      </c>
      <c r="FU440" s="1094">
        <f t="shared" si="3452"/>
        <v>0.0528252980819077</v>
      </c>
      <c r="FV440" s="1275">
        <f t="shared" ref="FV440:GC440" si="3453">FV438/FV$388</f>
        <v>0.0848329048843188</v>
      </c>
      <c r="FW440" s="1094">
        <f t="shared" si="3453"/>
        <v>0.0688765383088527</v>
      </c>
      <c r="FX440" s="1094">
        <f t="shared" si="3453"/>
        <v>0.0771652041205647</v>
      </c>
      <c r="FY440" s="1094">
        <f t="shared" si="3453"/>
        <v>0.0965841845720324</v>
      </c>
      <c r="FZ440" s="1094">
        <f t="shared" si="3453"/>
        <v>0.0839874396733078</v>
      </c>
      <c r="GA440" s="1094">
        <f t="shared" si="3453"/>
        <v>0.0144098101265823</v>
      </c>
      <c r="GB440" s="1094">
        <f t="shared" si="3453"/>
        <v>0.0578778647288988</v>
      </c>
      <c r="GC440" s="1093">
        <f t="shared" si="3453"/>
        <v>0.0674079083796776</v>
      </c>
      <c r="GD440" s="1094">
        <f t="shared" ref="GD440:GK440" si="3454">GD438/GD$388</f>
        <v>0.0976076063446287</v>
      </c>
      <c r="GE440" s="1094">
        <f t="shared" si="3454"/>
        <v>0.079452575555978</v>
      </c>
      <c r="GF440" s="1094">
        <f t="shared" si="3454"/>
        <v>0.0887711166620409</v>
      </c>
      <c r="GG440" s="1094">
        <f t="shared" si="3454"/>
        <v>0.1116975991827</v>
      </c>
      <c r="GH440" s="1094">
        <f t="shared" si="3454"/>
        <v>0.096842524877113</v>
      </c>
      <c r="GI440" s="1094">
        <f t="shared" si="3454"/>
        <v>0.0178622205236003</v>
      </c>
      <c r="GJ440" s="1094">
        <f t="shared" si="3454"/>
        <v>0.0674836124617324</v>
      </c>
      <c r="GK440" s="1093">
        <f t="shared" si="3454"/>
        <v>0.0779831165868127</v>
      </c>
      <c r="GL440" s="1094">
        <f t="shared" ref="GL440:GS440" si="3455">GL438/GL$388</f>
        <v>0.107258201597824</v>
      </c>
      <c r="GM440" s="1094">
        <f t="shared" si="3455"/>
        <v>0.0838217462334363</v>
      </c>
      <c r="GN440" s="1094">
        <f t="shared" si="3455"/>
        <v>0.0959246839887641</v>
      </c>
      <c r="GO440" s="1094">
        <f t="shared" si="3455"/>
        <v>0.100624024960998</v>
      </c>
      <c r="GP440" s="1094">
        <f t="shared" si="3455"/>
        <v>0.0976167846309404</v>
      </c>
      <c r="GQ440" s="1094">
        <f t="shared" si="3455"/>
        <v>0.0308659016954959</v>
      </c>
      <c r="GR440" s="1094">
        <f t="shared" si="3455"/>
        <v>0.0673708874193812</v>
      </c>
      <c r="GS440" s="1093">
        <f t="shared" si="3455"/>
        <v>0.0811302398375704</v>
      </c>
      <c r="GT440" s="1094">
        <f t="shared" ref="GT440:HA440" si="3456">GT438/GT$388</f>
        <v>0.0041298127498422</v>
      </c>
      <c r="GU440" s="1094">
        <f t="shared" si="3456"/>
        <v>-0.0855071763155182</v>
      </c>
      <c r="GV440" s="1094">
        <f t="shared" si="3456"/>
        <v>-0.0343714754117643</v>
      </c>
      <c r="GW440" s="1094">
        <f t="shared" si="3456"/>
        <v>0.0969146348168322</v>
      </c>
      <c r="GX440" s="1094">
        <f t="shared" si="3456"/>
        <v>0.0204014913966306</v>
      </c>
      <c r="GY440" s="1094">
        <f t="shared" si="3456"/>
        <v>0.0247548925808098</v>
      </c>
      <c r="GZ440" s="1094">
        <f t="shared" si="3456"/>
        <v>0.0621394253633468</v>
      </c>
      <c r="HA440" s="1093">
        <f t="shared" si="3456"/>
        <v>0.0216186252771619</v>
      </c>
      <c r="HB440" s="1094">
        <f t="shared" ref="HB440:HI440" si="3457">HB438/HB$388</f>
        <v>0.0954353644646925</v>
      </c>
      <c r="HC440" s="1094">
        <f t="shared" si="3457"/>
        <v>0.0762261177860941</v>
      </c>
      <c r="HD440" s="1094">
        <f t="shared" si="3457"/>
        <v>0.0860080715321411</v>
      </c>
      <c r="HE440" s="1094">
        <f t="shared" si="3457"/>
        <v>0.0832753824756606</v>
      </c>
      <c r="HF440" s="1094">
        <f t="shared" si="3457"/>
        <v>0.0850315897372181</v>
      </c>
      <c r="HG440" s="1094">
        <f t="shared" si="3457"/>
        <v>0.0239919213548762</v>
      </c>
      <c r="HH440" s="1094">
        <f t="shared" si="3457"/>
        <v>0.0553077876756359</v>
      </c>
      <c r="HI440" s="1093">
        <f t="shared" si="3457"/>
        <v>0.0702646698690778</v>
      </c>
      <c r="HJ440" s="1094">
        <f t="shared" ref="HJ440:HQ440" si="3458">HJ438/HJ$388</f>
        <v>0.0584685024519051</v>
      </c>
      <c r="HK440" s="1094">
        <f t="shared" si="3458"/>
        <v>0.0644988386635696</v>
      </c>
      <c r="HL440" s="1094">
        <f t="shared" si="3458"/>
        <v>0.0615652812184604</v>
      </c>
      <c r="HM440" s="1094">
        <f t="shared" si="3458"/>
        <v>0.0102996254681648</v>
      </c>
      <c r="HN440" s="1094">
        <f t="shared" si="3458"/>
        <v>0.0425839255792454</v>
      </c>
      <c r="HO440" s="1094">
        <f t="shared" si="3458"/>
        <v>-0.0928132205995388</v>
      </c>
      <c r="HP440" s="1094">
        <f t="shared" si="3458"/>
        <v>-0.0355529030607895</v>
      </c>
      <c r="HQ440" s="1093">
        <f t="shared" si="3458"/>
        <v>0.0112833725734086</v>
      </c>
      <c r="HR440" s="1094">
        <f t="shared" ref="HR440:HY440" si="3459">HR438/HR$388</f>
        <v>0.00486248935465446</v>
      </c>
      <c r="HS440" s="1094">
        <f t="shared" si="3459"/>
        <v>0.0111983276013217</v>
      </c>
      <c r="HT440" s="1094">
        <f t="shared" si="3459"/>
        <v>0.00794800335489949</v>
      </c>
      <c r="HU440" s="1094">
        <f t="shared" si="3459"/>
        <v>0.0420722251725971</v>
      </c>
      <c r="HV440" s="1094">
        <f t="shared" si="3459"/>
        <v>0.0201456633069782</v>
      </c>
      <c r="HW440" s="1094">
        <f t="shared" si="3459"/>
        <v>-0.0691321908125031</v>
      </c>
      <c r="HX440" s="1094">
        <f t="shared" si="3459"/>
        <v>-0.009081168357687</v>
      </c>
      <c r="HY440" s="1093">
        <f t="shared" si="3459"/>
        <v>-0.000677048070412178</v>
      </c>
      <c r="HZ440" s="1094">
        <f t="shared" ref="HZ440:IG440" si="3460">HZ438/HZ$388</f>
        <v>0.0256791635267521</v>
      </c>
      <c r="IA440" s="1094">
        <f t="shared" si="3460"/>
        <v>0.0313998577018854</v>
      </c>
      <c r="IB440" s="1094">
        <f t="shared" si="3460"/>
        <v>0.0286216834400732</v>
      </c>
      <c r="IC440" s="1094">
        <f t="shared" si="3460"/>
        <v>0.0688087528053863</v>
      </c>
      <c r="ID440" s="1094">
        <f t="shared" si="3460"/>
        <v>0.0432942823803967</v>
      </c>
      <c r="IE440" s="1094">
        <f t="shared" si="3460"/>
        <v>-0.0111046888320555</v>
      </c>
      <c r="IF440" s="1094">
        <f t="shared" si="3460"/>
        <v>0.0300635785649405</v>
      </c>
      <c r="IG440" s="1093">
        <f t="shared" si="3460"/>
        <v>0.0293897885642337</v>
      </c>
      <c r="IH440" s="1094">
        <f t="shared" ref="IH440:IO440" si="3461">IH438/IH$388</f>
        <v>0.070859743214692</v>
      </c>
      <c r="II440" s="1094">
        <f t="shared" si="3461"/>
        <v>0.0628360215053764</v>
      </c>
      <c r="IJ440" s="1094">
        <f t="shared" si="3461"/>
        <v>0.066914498141264</v>
      </c>
      <c r="IK440" s="1094">
        <f t="shared" si="3461"/>
        <v>0.0730015082956259</v>
      </c>
      <c r="IL440" s="1094">
        <f t="shared" si="3461"/>
        <v>0.0691719677126209</v>
      </c>
      <c r="IM440" s="1094">
        <f t="shared" si="3461"/>
        <v>0.0136603028308098</v>
      </c>
      <c r="IN440" s="1094">
        <f t="shared" si="3461"/>
        <v>0.0447902677936646</v>
      </c>
      <c r="IO440" s="1093">
        <f t="shared" si="3461"/>
        <v>0.0554995768006126</v>
      </c>
      <c r="IP440" s="1094">
        <f t="shared" ref="IP440:IW440" si="3462">IP438/IP$388</f>
        <v>0.0777078276699029</v>
      </c>
      <c r="IQ440" s="1094">
        <f t="shared" si="3462"/>
        <v>0.0588758712739138</v>
      </c>
      <c r="IR440" s="1094">
        <f t="shared" si="3462"/>
        <v>0.0681852268466442</v>
      </c>
      <c r="IS440" s="1094">
        <f t="shared" si="3462"/>
        <v>0.0856905014296846</v>
      </c>
      <c r="IT440" s="1094">
        <f t="shared" si="3462"/>
        <v>0.0743681653536241</v>
      </c>
      <c r="IU440" s="1094">
        <f t="shared" si="3462"/>
        <v>0.029312864180785</v>
      </c>
      <c r="IV440" s="1094">
        <f t="shared" si="3462"/>
        <v>0.0590668260892012</v>
      </c>
      <c r="IW440" s="1093">
        <f t="shared" si="3462"/>
        <v>0.0635482392251449</v>
      </c>
      <c r="IX440" s="1087"/>
      <c r="IY440" s="1049"/>
      <c r="IZ440" s="1049"/>
      <c r="JB440" s="1321"/>
      <c r="JC440" s="1321"/>
      <c r="JD440" s="1321"/>
      <c r="JE440" s="1321"/>
      <c r="JF440" s="1321"/>
      <c r="JG440" s="1321"/>
      <c r="JH440" s="1321"/>
      <c r="JI440" s="1321"/>
      <c r="JJ440" s="1035"/>
      <c r="JK440" s="1035"/>
      <c r="JL440" s="1035"/>
      <c r="JM440" s="1035"/>
      <c r="JN440" s="1035"/>
      <c r="JO440" s="1035"/>
      <c r="JP440" s="1035"/>
      <c r="JQ440" s="1035"/>
      <c r="JR440" s="1035"/>
      <c r="JS440" s="1035"/>
      <c r="JT440" s="1035"/>
      <c r="JU440" s="1035"/>
      <c r="JV440" s="1035"/>
      <c r="JW440" s="1035"/>
      <c r="JX440" s="1035"/>
      <c r="JY440" s="1035"/>
    </row>
    <row r="441" spans="1:285">
      <c r="A441" s="1306" t="s">
        <v>169</v>
      </c>
      <c r="B441" s="1307">
        <v>3</v>
      </c>
      <c r="C441" s="1307">
        <v>2</v>
      </c>
      <c r="D441" s="1307">
        <f>B441+C441</f>
        <v>5</v>
      </c>
      <c r="E441" s="1307">
        <v>3</v>
      </c>
      <c r="F441" s="1307">
        <f>D441+E441</f>
        <v>8</v>
      </c>
      <c r="G441" s="1307">
        <v>0</v>
      </c>
      <c r="H441" s="1307">
        <f>E441+G441</f>
        <v>3</v>
      </c>
      <c r="I441" s="1307">
        <f>F441+G441</f>
        <v>8</v>
      </c>
      <c r="J441" s="1307">
        <v>4.24379</v>
      </c>
      <c r="K441" s="1307">
        <v>2.19859</v>
      </c>
      <c r="L441" s="1307">
        <f>J441+K441</f>
        <v>6.44238</v>
      </c>
      <c r="M441" s="1307">
        <v>3.5791</v>
      </c>
      <c r="N441" s="1307">
        <f>L441+M441</f>
        <v>10.02148</v>
      </c>
      <c r="O441" s="1307">
        <v>4.75509</v>
      </c>
      <c r="P441" s="1307">
        <f>M441+O441</f>
        <v>8.33419</v>
      </c>
      <c r="Q441" s="1307">
        <f>N441+O441</f>
        <v>14.77657</v>
      </c>
      <c r="R441" s="1307">
        <v>6.49351</v>
      </c>
      <c r="S441" s="1307">
        <v>3.0678</v>
      </c>
      <c r="T441" s="1307">
        <f>R441+S441</f>
        <v>9.56131</v>
      </c>
      <c r="U441" s="1307">
        <v>5.6243</v>
      </c>
      <c r="V441" s="1307">
        <f>T441+U441</f>
        <v>15.18561</v>
      </c>
      <c r="W441" s="1307">
        <v>-1.5339</v>
      </c>
      <c r="X441" s="1307">
        <f>U441+W441</f>
        <v>4.0904</v>
      </c>
      <c r="Y441" s="1307">
        <f>V441+W441</f>
        <v>13.65171</v>
      </c>
      <c r="Z441" s="1307">
        <v>4.6017</v>
      </c>
      <c r="AA441" s="1307">
        <v>2.0452</v>
      </c>
      <c r="AB441" s="1307">
        <f>Z441+AA441</f>
        <v>6.6469</v>
      </c>
      <c r="AC441" s="1307">
        <v>5.113</v>
      </c>
      <c r="AD441" s="1307">
        <f>AB441+AC441</f>
        <v>11.7599</v>
      </c>
      <c r="AE441" s="1307">
        <v>-2.91441</v>
      </c>
      <c r="AF441" s="1307">
        <f>AC441+AE441</f>
        <v>2.19859</v>
      </c>
      <c r="AG441" s="1307">
        <f>AD441+AE441</f>
        <v>8.84549</v>
      </c>
      <c r="AH441" s="1307">
        <v>1.5339</v>
      </c>
      <c r="AI441" s="1307">
        <v>3.5791</v>
      </c>
      <c r="AJ441" s="1307">
        <f>AH441+AI441</f>
        <v>5.113</v>
      </c>
      <c r="AK441" s="1307">
        <v>6</v>
      </c>
      <c r="AL441" s="1307">
        <f>AJ441+AK441</f>
        <v>11.113</v>
      </c>
      <c r="AM441" s="1307">
        <v>6</v>
      </c>
      <c r="AN441" s="1307">
        <f>AK441+AM441</f>
        <v>12</v>
      </c>
      <c r="AO441" s="1307">
        <f>AL441+AM441</f>
        <v>17.113</v>
      </c>
      <c r="AP441" s="1307">
        <v>6</v>
      </c>
      <c r="AQ441" s="1307">
        <v>2</v>
      </c>
      <c r="AR441" s="1307">
        <f>AP441+AQ441</f>
        <v>8</v>
      </c>
      <c r="AS441" s="1307">
        <v>10</v>
      </c>
      <c r="AT441" s="1307">
        <f>AR441+AS441</f>
        <v>18</v>
      </c>
      <c r="AU441" s="1307">
        <v>5</v>
      </c>
      <c r="AV441" s="1307">
        <f>AS441+AU441</f>
        <v>15</v>
      </c>
      <c r="AW441" s="1307">
        <f>AT441+AU441</f>
        <v>23</v>
      </c>
      <c r="AX441" s="1308">
        <v>6</v>
      </c>
      <c r="AY441" s="1307">
        <v>3</v>
      </c>
      <c r="AZ441" s="1307">
        <f>AX441+AY441</f>
        <v>9</v>
      </c>
      <c r="BA441" s="1307">
        <v>7.5</v>
      </c>
      <c r="BB441" s="1307">
        <f>AY441+BA441</f>
        <v>10.5</v>
      </c>
      <c r="BC441" s="1307">
        <v>4</v>
      </c>
      <c r="BD441" s="1307">
        <f>BA441+BC441</f>
        <v>11.5</v>
      </c>
      <c r="BE441" s="1309">
        <f>BB441+BC441</f>
        <v>14.5</v>
      </c>
      <c r="BF441" s="1307">
        <v>3</v>
      </c>
      <c r="BG441" s="1307">
        <v>1.4</v>
      </c>
      <c r="BH441" s="1307">
        <f>BF441+BG441</f>
        <v>4.4</v>
      </c>
      <c r="BI441" s="1307">
        <v>6</v>
      </c>
      <c r="BJ441" s="1307">
        <f>BH441+BI441</f>
        <v>10.4</v>
      </c>
      <c r="BK441" s="1307">
        <v>2.2</v>
      </c>
      <c r="BL441" s="1307">
        <f>BI441+BK441</f>
        <v>8.2</v>
      </c>
      <c r="BM441" s="1307">
        <f>BJ441+BK441</f>
        <v>12.6</v>
      </c>
      <c r="BN441" s="1308">
        <v>6</v>
      </c>
      <c r="BO441" s="1307">
        <v>-1</v>
      </c>
      <c r="BP441" s="1307">
        <f>BN441+BO441</f>
        <v>5</v>
      </c>
      <c r="BQ441" s="1307">
        <v>7</v>
      </c>
      <c r="BR441" s="1307">
        <f>BP441+BQ441</f>
        <v>12</v>
      </c>
      <c r="BS441" s="1307">
        <v>-2</v>
      </c>
      <c r="BT441" s="1307">
        <f>BQ441+BS441</f>
        <v>5</v>
      </c>
      <c r="BU441" s="1309">
        <f>BR441+BS441</f>
        <v>10</v>
      </c>
      <c r="BV441" s="1308">
        <v>5</v>
      </c>
      <c r="BW441" s="1307">
        <v>1</v>
      </c>
      <c r="BX441" s="1307">
        <f>BV441+BW441</f>
        <v>6</v>
      </c>
      <c r="BY441" s="1307">
        <v>6</v>
      </c>
      <c r="BZ441" s="1307">
        <f>BX441+BY441</f>
        <v>12</v>
      </c>
      <c r="CA441" s="1307">
        <v>-2</v>
      </c>
      <c r="CB441" s="1307">
        <f>BY441+CA441</f>
        <v>4</v>
      </c>
      <c r="CC441" s="1309">
        <f>BZ441+CA441</f>
        <v>10</v>
      </c>
      <c r="CD441" s="1308">
        <v>5</v>
      </c>
      <c r="CE441" s="1307">
        <v>1</v>
      </c>
      <c r="CF441" s="1307">
        <f>CD441+CE441</f>
        <v>6</v>
      </c>
      <c r="CG441" s="1307">
        <v>3</v>
      </c>
      <c r="CH441" s="1307">
        <f>CF441+CG441</f>
        <v>9</v>
      </c>
      <c r="CI441" s="1307">
        <v>0</v>
      </c>
      <c r="CJ441" s="1307">
        <f>CG441+CI441</f>
        <v>3</v>
      </c>
      <c r="CK441" s="1309">
        <f>CH441+CI441</f>
        <v>9</v>
      </c>
      <c r="CL441" s="1308">
        <v>6</v>
      </c>
      <c r="CM441" s="1307">
        <v>1</v>
      </c>
      <c r="CN441" s="1307">
        <f>CL441+CM441</f>
        <v>7</v>
      </c>
      <c r="CO441" s="1307">
        <f>CP441-CN441</f>
        <v>6</v>
      </c>
      <c r="CP441" s="1307">
        <v>13</v>
      </c>
      <c r="CQ441" s="1307">
        <f>CS441-CP441</f>
        <v>0</v>
      </c>
      <c r="CR441" s="1307">
        <f>CS441-CQ441-CO441</f>
        <v>7</v>
      </c>
      <c r="CS441" s="1309">
        <v>13</v>
      </c>
      <c r="CT441" s="1308">
        <v>1</v>
      </c>
      <c r="CU441" s="1307">
        <v>0</v>
      </c>
      <c r="CV441" s="1307">
        <f>+CT441+CU441</f>
        <v>1</v>
      </c>
      <c r="CW441" s="1307">
        <f>CX441-CV441</f>
        <v>3</v>
      </c>
      <c r="CX441" s="1307">
        <v>4</v>
      </c>
      <c r="CY441" s="1307">
        <f>DA441-CX441</f>
        <v>0</v>
      </c>
      <c r="CZ441" s="1307">
        <f>CY441+CW441</f>
        <v>3</v>
      </c>
      <c r="DA441" s="1309">
        <v>4</v>
      </c>
      <c r="DB441" s="1332">
        <v>1</v>
      </c>
      <c r="DC441" s="1311">
        <v>1</v>
      </c>
      <c r="DD441" s="1311">
        <v>2</v>
      </c>
      <c r="DE441" s="1311">
        <v>1</v>
      </c>
      <c r="DF441" s="1311">
        <f>DE441+DB441</f>
        <v>2</v>
      </c>
      <c r="DG441" s="1311">
        <f>DI441-DF441</f>
        <v>0</v>
      </c>
      <c r="DH441" s="1311">
        <f>DI441-DD441</f>
        <v>0</v>
      </c>
      <c r="DI441" s="1312">
        <f>'Profit and Loss'!O392</f>
        <v>2</v>
      </c>
      <c r="DJ441" s="1311">
        <v>-1</v>
      </c>
      <c r="DK441" s="1311">
        <v>-1</v>
      </c>
      <c r="DL441" s="1311">
        <f>DK441+DJ441</f>
        <v>-2</v>
      </c>
      <c r="DM441" s="1311">
        <v>0</v>
      </c>
      <c r="DN441" s="1311">
        <v>-1</v>
      </c>
      <c r="DO441" s="1311">
        <f>DQ441-DN441</f>
        <v>1</v>
      </c>
      <c r="DP441" s="1311">
        <f>DO441+DM441</f>
        <v>1</v>
      </c>
      <c r="DQ441" s="1312">
        <f>'Profit and Loss'!P392</f>
        <v>0</v>
      </c>
      <c r="DR441" s="1311">
        <v>1</v>
      </c>
      <c r="DS441" s="1311">
        <f>$DQ$441*(1+DS442)</f>
        <v>0</v>
      </c>
      <c r="DT441" s="1311">
        <f>DS441+DR441</f>
        <v>1</v>
      </c>
      <c r="DU441" s="1311">
        <f>$DQ$441*(1+DU442)</f>
        <v>0</v>
      </c>
      <c r="DV441" s="1311">
        <f>DU441+DT441</f>
        <v>1</v>
      </c>
      <c r="DW441" s="1311">
        <f>$DQ$441*(1+DW442)</f>
        <v>0</v>
      </c>
      <c r="DX441" s="1311">
        <f>DU441+DW441</f>
        <v>0</v>
      </c>
      <c r="DY441" s="1312">
        <f>SUM(DR441:DS441,DU441,DW441)</f>
        <v>1</v>
      </c>
      <c r="DZ441" s="1311">
        <v>0</v>
      </c>
      <c r="EA441" s="1311">
        <v>0</v>
      </c>
      <c r="EB441" s="1311">
        <v>0</v>
      </c>
      <c r="EC441" s="1311">
        <v>1</v>
      </c>
      <c r="ED441" s="1311">
        <f>EC441+EB441</f>
        <v>1</v>
      </c>
      <c r="EE441" s="1311">
        <f>+EF441-EC441</f>
        <v>-6</v>
      </c>
      <c r="EF441" s="1311">
        <f>+EG441-EB441</f>
        <v>-5</v>
      </c>
      <c r="EG441" s="1312">
        <f>'Profit and Loss'!R392</f>
        <v>-5</v>
      </c>
      <c r="EH441" s="1311">
        <v>1</v>
      </c>
      <c r="EI441" s="1311">
        <v>-1</v>
      </c>
      <c r="EJ441" s="1311">
        <f>+EI441+EH441</f>
        <v>0</v>
      </c>
      <c r="EK441" s="1311">
        <v>-1</v>
      </c>
      <c r="EL441" s="1311">
        <f>+EK441+EJ441</f>
        <v>-1</v>
      </c>
      <c r="EM441" s="1311">
        <v>1</v>
      </c>
      <c r="EN441" s="1311">
        <f>+EM441+EK441</f>
        <v>0</v>
      </c>
      <c r="EO441" s="1312">
        <f>+'Profit and Loss'!S392</f>
        <v>-2</v>
      </c>
      <c r="EP441" s="1311">
        <v>1</v>
      </c>
      <c r="EQ441" s="1311">
        <f>(EI441/$EO441)*$EW441</f>
        <v>1.5</v>
      </c>
      <c r="ER441" s="1311">
        <f>EP441+EQ441</f>
        <v>2.5</v>
      </c>
      <c r="ES441" s="1311">
        <v>2</v>
      </c>
      <c r="ET441" s="1311">
        <f>ER441+ES441</f>
        <v>4.5</v>
      </c>
      <c r="EU441" s="1311">
        <v>-1</v>
      </c>
      <c r="EV441" s="1311">
        <f>ES441+EU441</f>
        <v>1</v>
      </c>
      <c r="EW441" s="1312">
        <f>'Profit and Loss'!T392</f>
        <v>3</v>
      </c>
      <c r="EX441" s="1311">
        <v>2</v>
      </c>
      <c r="EY441" s="1311">
        <v>1</v>
      </c>
      <c r="EZ441" s="1311">
        <f>EX441+EY441</f>
        <v>3</v>
      </c>
      <c r="FA441" s="1311">
        <v>2</v>
      </c>
      <c r="FB441" s="1311">
        <f>EZ441+FA441</f>
        <v>5</v>
      </c>
      <c r="FC441" s="1311">
        <v>1</v>
      </c>
      <c r="FD441" s="1311">
        <f>FA441+FC441</f>
        <v>3</v>
      </c>
      <c r="FE441" s="1312">
        <f>'Profit and Loss'!U392</f>
        <v>6</v>
      </c>
      <c r="FF441" s="1311">
        <v>2</v>
      </c>
      <c r="FG441" s="1311">
        <v>1</v>
      </c>
      <c r="FH441" s="1311">
        <f>FF441+FG441</f>
        <v>3</v>
      </c>
      <c r="FI441" s="1311">
        <v>3</v>
      </c>
      <c r="FJ441" s="1311">
        <f>FH441+FI441</f>
        <v>6</v>
      </c>
      <c r="FK441" s="1311">
        <f>FM441-FJ441</f>
        <v>0</v>
      </c>
      <c r="FL441" s="1311">
        <f>FI441+FK441</f>
        <v>3</v>
      </c>
      <c r="FM441" s="1312">
        <f>'Profit and Loss'!V392</f>
        <v>6</v>
      </c>
      <c r="FN441" s="1311">
        <v>0</v>
      </c>
      <c r="FO441" s="1311">
        <v>1</v>
      </c>
      <c r="FP441" s="1311">
        <f>FN441+FO441</f>
        <v>1</v>
      </c>
      <c r="FQ441" s="1311">
        <v>1</v>
      </c>
      <c r="FR441" s="1311">
        <f>FN441+FO441+FQ441</f>
        <v>2</v>
      </c>
      <c r="FS441" s="1311">
        <f>FU441-FR441</f>
        <v>0</v>
      </c>
      <c r="FT441" s="1311">
        <f>FQ441+FS441</f>
        <v>1</v>
      </c>
      <c r="FU441" s="1311">
        <f>'Profit and Loss'!W392</f>
        <v>2</v>
      </c>
      <c r="FV441" s="1313">
        <v>1</v>
      </c>
      <c r="FW441" s="1311">
        <v>0</v>
      </c>
      <c r="FX441" s="1311">
        <f>SUM(FV441:FW441)</f>
        <v>1</v>
      </c>
      <c r="FY441" s="1311">
        <v>1</v>
      </c>
      <c r="FZ441" s="1311">
        <f>FV441+FW441+FY441</f>
        <v>2</v>
      </c>
      <c r="GA441" s="1311">
        <f>GC441-FZ441</f>
        <v>1</v>
      </c>
      <c r="GB441" s="1311">
        <f>FY441+GA441</f>
        <v>2</v>
      </c>
      <c r="GC441" s="1312">
        <f>'Profit and Loss'!X392</f>
        <v>3</v>
      </c>
      <c r="GD441" s="1314">
        <v>1</v>
      </c>
      <c r="GE441" s="1311">
        <v>1</v>
      </c>
      <c r="GF441" s="1311">
        <f>SUM(GD441:GE441)</f>
        <v>2</v>
      </c>
      <c r="GG441" s="1311">
        <v>1</v>
      </c>
      <c r="GH441" s="1311">
        <f>GD441+GE441+GG441</f>
        <v>3</v>
      </c>
      <c r="GI441" s="1311">
        <f>GK441-GH441</f>
        <v>0</v>
      </c>
      <c r="GJ441" s="1311">
        <f>GG441+GI441</f>
        <v>1</v>
      </c>
      <c r="GK441" s="1312">
        <v>3</v>
      </c>
      <c r="GL441" s="1314">
        <v>1</v>
      </c>
      <c r="GM441" s="1314">
        <v>0</v>
      </c>
      <c r="GN441" s="1311">
        <f>SUM(GL441:GM441)</f>
        <v>1</v>
      </c>
      <c r="GO441" s="1311">
        <v>1</v>
      </c>
      <c r="GP441" s="1311">
        <f>GL441+GM441+GO441</f>
        <v>2</v>
      </c>
      <c r="GQ441" s="1311">
        <f>GS441-GP441</f>
        <v>0</v>
      </c>
      <c r="GR441" s="1311">
        <f>GO441+GQ441</f>
        <v>1</v>
      </c>
      <c r="GS441" s="1312">
        <f>'Profit and Loss'!Z392</f>
        <v>2</v>
      </c>
      <c r="GT441" s="1314">
        <v>-5</v>
      </c>
      <c r="GU441" s="1314">
        <v>-22</v>
      </c>
      <c r="GV441" s="1311">
        <f>SUM(GT441:GU441)</f>
        <v>-27</v>
      </c>
      <c r="GW441" s="1311">
        <v>31</v>
      </c>
      <c r="GX441" s="1311">
        <f>GT441+GU441+GW441</f>
        <v>4</v>
      </c>
      <c r="GY441" s="1311">
        <f>HA441-GX441</f>
        <v>7</v>
      </c>
      <c r="GZ441" s="1311">
        <f>GW441+GY441</f>
        <v>38</v>
      </c>
      <c r="HA441" s="1312">
        <f>'Profit and Loss'!AA392</f>
        <v>11</v>
      </c>
      <c r="HB441" s="1314">
        <v>-4</v>
      </c>
      <c r="HC441" s="1314">
        <v>11</v>
      </c>
      <c r="HD441" s="1311">
        <f>SUM(HB441:HC441)</f>
        <v>7</v>
      </c>
      <c r="HE441" s="1311">
        <v>24</v>
      </c>
      <c r="HF441" s="1311">
        <f>HB441+HC441+HE441</f>
        <v>31</v>
      </c>
      <c r="HG441" s="1311">
        <f>HI441-HF441</f>
        <v>11</v>
      </c>
      <c r="HH441" s="1311">
        <f>HE441+HG441</f>
        <v>35</v>
      </c>
      <c r="HI441" s="1312">
        <f>'Profit and Loss'!AB392</f>
        <v>42</v>
      </c>
      <c r="HJ441" s="1314">
        <v>8</v>
      </c>
      <c r="HK441" s="1314">
        <v>15</v>
      </c>
      <c r="HL441" s="1311">
        <f>SUM(HJ441:HK441)</f>
        <v>23</v>
      </c>
      <c r="HM441" s="1311">
        <v>5</v>
      </c>
      <c r="HN441" s="1311">
        <f>HJ441+HK441+HM441</f>
        <v>28</v>
      </c>
      <c r="HO441" s="1311">
        <f>HQ441-HN441</f>
        <v>-2</v>
      </c>
      <c r="HP441" s="1311">
        <f>HM441+HO441</f>
        <v>3</v>
      </c>
      <c r="HQ441" s="1312">
        <f>'Profit and Loss'!AC392</f>
        <v>26</v>
      </c>
      <c r="HR441" s="1314">
        <v>8</v>
      </c>
      <c r="HS441" s="1314">
        <v>15</v>
      </c>
      <c r="HT441" s="1311">
        <f>SUM(HR441:HS441)</f>
        <v>23</v>
      </c>
      <c r="HU441" s="1311">
        <v>21</v>
      </c>
      <c r="HV441" s="1311">
        <f>HR441+HS441+HU441</f>
        <v>44</v>
      </c>
      <c r="HW441" s="1311">
        <f>HY441-HV441</f>
        <v>17</v>
      </c>
      <c r="HX441" s="1311">
        <f>HU441+HW441</f>
        <v>38</v>
      </c>
      <c r="HY441" s="1312">
        <f>'Profit and Loss'!AD392</f>
        <v>61</v>
      </c>
      <c r="HZ441" s="1314">
        <v>0</v>
      </c>
      <c r="IA441" s="1314">
        <v>16</v>
      </c>
      <c r="IB441" s="1311">
        <f>SUM(HZ441:IA441)</f>
        <v>16</v>
      </c>
      <c r="IC441" s="1314">
        <v>33</v>
      </c>
      <c r="ID441" s="1311">
        <f>HZ441+IA441+IC441</f>
        <v>49</v>
      </c>
      <c r="IE441" s="1311">
        <f>IG441-ID441</f>
        <v>19</v>
      </c>
      <c r="IF441" s="1311">
        <f>IC441+IE441</f>
        <v>52</v>
      </c>
      <c r="IG441" s="1312">
        <f>'Profit and Loss'!AE392</f>
        <v>68</v>
      </c>
      <c r="IH441" s="1314">
        <v>1</v>
      </c>
      <c r="II441" s="1314">
        <v>11</v>
      </c>
      <c r="IJ441" s="1311">
        <f>SUM(IH441:II441)</f>
        <v>12</v>
      </c>
      <c r="IK441" s="1314">
        <v>23</v>
      </c>
      <c r="IL441" s="1311">
        <f>IH441+II441+IK441</f>
        <v>35</v>
      </c>
      <c r="IM441" s="1311">
        <f>IO441-IL441</f>
        <v>10</v>
      </c>
      <c r="IN441" s="1311">
        <f>IK441+IM441</f>
        <v>33</v>
      </c>
      <c r="IO441" s="1312">
        <f>'Profit and Loss'!AF392</f>
        <v>45</v>
      </c>
      <c r="IP441" s="1314">
        <v>1</v>
      </c>
      <c r="IQ441" s="1314">
        <v>29</v>
      </c>
      <c r="IR441" s="1311">
        <f>SUM(IP441:IQ441)</f>
        <v>30</v>
      </c>
      <c r="IS441" s="1314">
        <v>30</v>
      </c>
      <c r="IT441" s="1311">
        <f>IP441+IQ441+IS441</f>
        <v>60</v>
      </c>
      <c r="IU441" s="1311">
        <f>IW441-IT441</f>
        <v>9.99999999999999</v>
      </c>
      <c r="IV441" s="1311">
        <f>IS441+IU441</f>
        <v>40</v>
      </c>
      <c r="IW441" s="1312">
        <f>'Profit and Loss'!AG392</f>
        <v>70</v>
      </c>
      <c r="IX441" s="1314"/>
      <c r="IY441" s="1049"/>
      <c r="IZ441" s="1049"/>
      <c r="JB441" s="1321"/>
      <c r="JC441" s="1321"/>
      <c r="JD441" s="1321"/>
      <c r="JE441" s="1321"/>
      <c r="JF441" s="1321"/>
      <c r="JG441" s="1321"/>
      <c r="JH441" s="1321"/>
      <c r="JI441" s="1321"/>
      <c r="JJ441" s="1035"/>
      <c r="JK441" s="1035"/>
      <c r="JL441" s="1035"/>
      <c r="JM441" s="1035"/>
      <c r="JN441" s="1035"/>
      <c r="JO441" s="1035"/>
      <c r="JP441" s="1035"/>
      <c r="JQ441" s="1035"/>
      <c r="JR441" s="1035"/>
      <c r="JS441" s="1035"/>
      <c r="JT441" s="1035"/>
      <c r="JU441" s="1035"/>
      <c r="JV441" s="1035"/>
      <c r="JW441" s="1035"/>
      <c r="JX441" s="1035"/>
      <c r="JY441" s="1035"/>
    </row>
    <row r="442" s="883" customFormat="1" hidden="1" spans="1:285">
      <c r="A442" s="883" t="s">
        <v>142</v>
      </c>
      <c r="B442" s="1302" t="s">
        <v>173</v>
      </c>
      <c r="C442" s="1302" t="s">
        <v>173</v>
      </c>
      <c r="D442" s="1302" t="s">
        <v>173</v>
      </c>
      <c r="E442" s="1302" t="s">
        <v>173</v>
      </c>
      <c r="F442" s="1302" t="s">
        <v>173</v>
      </c>
      <c r="G442" s="1302" t="s">
        <v>173</v>
      </c>
      <c r="H442" s="1302" t="e">
        <f>H441/#REF!-1</f>
        <v>#REF!</v>
      </c>
      <c r="I442" s="1302" t="s">
        <v>173</v>
      </c>
      <c r="J442" s="1302">
        <v>0.414596666666667</v>
      </c>
      <c r="K442" s="1302">
        <v>0.0992949999999999</v>
      </c>
      <c r="L442" s="1302">
        <f>L441/D441-1</f>
        <v>0.288476</v>
      </c>
      <c r="M442" s="1302">
        <v>0.193033333333333</v>
      </c>
      <c r="N442" s="1302">
        <f>N441/F441-1</f>
        <v>0.252685</v>
      </c>
      <c r="O442" s="1302" t="e">
        <v>#DIV/0!</v>
      </c>
      <c r="P442" s="1302">
        <f>P441/H441-1</f>
        <v>1.77806333333333</v>
      </c>
      <c r="Q442" s="1302">
        <f>Q441/I441-1</f>
        <v>0.84707125</v>
      </c>
      <c r="R442" s="1302">
        <v>0.530120481927711</v>
      </c>
      <c r="S442" s="1302">
        <v>0.395348837209303</v>
      </c>
      <c r="T442" s="1302">
        <f>T441/L441-1</f>
        <v>0.484126984126984</v>
      </c>
      <c r="U442" s="1302">
        <v>0.571428571428571</v>
      </c>
      <c r="V442" s="1302">
        <f>V441/N441-1</f>
        <v>0.515306122448979</v>
      </c>
      <c r="W442" s="1302">
        <v>-1.32258064516129</v>
      </c>
      <c r="X442" s="1302">
        <f>X441/P441-1</f>
        <v>-0.50920245398773</v>
      </c>
      <c r="Y442" s="1302">
        <f>Y441/Q441-1</f>
        <v>-0.0761245674740486</v>
      </c>
      <c r="Z442" s="1302">
        <v>-0.291338582677165</v>
      </c>
      <c r="AA442" s="1302">
        <v>-0.333333333333333</v>
      </c>
      <c r="AB442" s="1302">
        <f>AB441/T441-1</f>
        <v>-0.304812834224599</v>
      </c>
      <c r="AC442" s="1302">
        <v>-0.0909090909090909</v>
      </c>
      <c r="AD442" s="1302">
        <f>AD441/V441-1</f>
        <v>-0.225589225589226</v>
      </c>
      <c r="AE442" s="1302">
        <v>0.9</v>
      </c>
      <c r="AF442" s="1302">
        <f>AF441/X441-1</f>
        <v>-0.4625</v>
      </c>
      <c r="AG442" s="1302">
        <f>AG441/Y441-1</f>
        <v>-0.352059925093633</v>
      </c>
      <c r="AH442" s="1302">
        <v>-0.666666666666667</v>
      </c>
      <c r="AI442" s="1302">
        <v>0.75</v>
      </c>
      <c r="AJ442" s="1302">
        <f>AJ441/AB441-1</f>
        <v>-0.230769230769231</v>
      </c>
      <c r="AK442" s="1302">
        <v>0.173479366321142</v>
      </c>
      <c r="AL442" s="1302">
        <f>AL441/AD441-1</f>
        <v>-0.0550089711647208</v>
      </c>
      <c r="AM442" s="1302">
        <v>-3.05873573038797</v>
      </c>
      <c r="AN442" s="1302">
        <f>AN441/AF441-1</f>
        <v>4.45804356428438</v>
      </c>
      <c r="AO442" s="1302">
        <f>AO441/AG441-1</f>
        <v>0.934658226960858</v>
      </c>
      <c r="AP442" s="1302">
        <v>2.91159788773714</v>
      </c>
      <c r="AQ442" s="1302">
        <v>-0.441200301751837</v>
      </c>
      <c r="AR442" s="1302">
        <f>AR441/AJ441-1</f>
        <v>0.564639155094856</v>
      </c>
      <c r="AS442" s="1302">
        <v>0.666666666666667</v>
      </c>
      <c r="AT442" s="1302">
        <f>AT441/AL441-1</f>
        <v>0.619724646810042</v>
      </c>
      <c r="AU442" s="1302">
        <v>-0.166666666666667</v>
      </c>
      <c r="AV442" s="1302">
        <f>AV441/AN441-1</f>
        <v>0.25</v>
      </c>
      <c r="AW442" s="1302">
        <f>AW441/AO441-1</f>
        <v>0.3440074796938</v>
      </c>
      <c r="AX442" s="1303">
        <v>0</v>
      </c>
      <c r="AY442" s="1302">
        <v>0.5</v>
      </c>
      <c r="AZ442" s="1302">
        <f>AZ441/AR441-1</f>
        <v>0.125</v>
      </c>
      <c r="BA442" s="1302">
        <v>-0.25</v>
      </c>
      <c r="BB442" s="1302">
        <f>BB441/AT441-1</f>
        <v>-0.416666666666667</v>
      </c>
      <c r="BC442" s="1302">
        <v>-0.2</v>
      </c>
      <c r="BD442" s="1302">
        <f>BD441/AV441-1</f>
        <v>-0.233333333333333</v>
      </c>
      <c r="BE442" s="1304">
        <f>BE441/AW441-1</f>
        <v>-0.369565217391304</v>
      </c>
      <c r="BF442" s="1302">
        <v>-0.5</v>
      </c>
      <c r="BG442" s="1302">
        <v>-0.533333333333333</v>
      </c>
      <c r="BH442" s="1302">
        <f>BH441/AZ441-1</f>
        <v>-0.511111111111111</v>
      </c>
      <c r="BI442" s="1302">
        <v>-0.2</v>
      </c>
      <c r="BJ442" s="1302">
        <f>BJ441/BB441-1</f>
        <v>-0.00952380952380949</v>
      </c>
      <c r="BK442" s="1302">
        <v>-0.45</v>
      </c>
      <c r="BL442" s="1302">
        <f>BL441/BD441-1</f>
        <v>-0.28695652173913</v>
      </c>
      <c r="BM442" s="1302">
        <f>BM441/BE441-1</f>
        <v>-0.131034482758621</v>
      </c>
      <c r="BN442" s="1303">
        <v>1</v>
      </c>
      <c r="BO442" s="1302">
        <v>-1.71428571428571</v>
      </c>
      <c r="BP442" s="1302">
        <f>BP441/BH441-1</f>
        <v>0.136363636363636</v>
      </c>
      <c r="BQ442" s="1302">
        <v>0.166666666666667</v>
      </c>
      <c r="BR442" s="1302">
        <f>BR441/BJ441-1</f>
        <v>0.153846153846154</v>
      </c>
      <c r="BS442" s="1302">
        <v>-1.90909090909091</v>
      </c>
      <c r="BT442" s="1302">
        <f>BT441/BL441-1</f>
        <v>-0.390243902439024</v>
      </c>
      <c r="BU442" s="1304">
        <f>BU441/BM441-1</f>
        <v>-0.206349206349206</v>
      </c>
      <c r="BV442" s="1303">
        <v>-0.166666666666667</v>
      </c>
      <c r="BW442" s="1302">
        <v>-2</v>
      </c>
      <c r="BX442" s="1302">
        <f t="shared" ref="BX442:CP442" si="3463">BX441/BP441-1</f>
        <v>0.2</v>
      </c>
      <c r="BY442" s="1302">
        <v>-0.142857142857143</v>
      </c>
      <c r="BZ442" s="1302">
        <f t="shared" si="3463"/>
        <v>0</v>
      </c>
      <c r="CA442" s="1302">
        <v>0</v>
      </c>
      <c r="CB442" s="1302">
        <f t="shared" si="3463"/>
        <v>-0.2</v>
      </c>
      <c r="CC442" s="1304">
        <f t="shared" si="3463"/>
        <v>0</v>
      </c>
      <c r="CD442" s="1303">
        <v>0</v>
      </c>
      <c r="CE442" s="1302">
        <v>0</v>
      </c>
      <c r="CF442" s="1302">
        <f t="shared" si="3463"/>
        <v>0</v>
      </c>
      <c r="CG442" s="1302">
        <v>-0.166666666666667</v>
      </c>
      <c r="CH442" s="1302">
        <f t="shared" si="3463"/>
        <v>-0.25</v>
      </c>
      <c r="CI442" s="1302">
        <v>-1</v>
      </c>
      <c r="CJ442" s="1302">
        <f t="shared" si="3463"/>
        <v>-0.25</v>
      </c>
      <c r="CK442" s="1304">
        <f t="shared" si="3463"/>
        <v>-0.1</v>
      </c>
      <c r="CL442" s="1303">
        <v>0.2</v>
      </c>
      <c r="CM442" s="1302">
        <f t="shared" si="3463"/>
        <v>0</v>
      </c>
      <c r="CN442" s="1302">
        <f t="shared" si="3463"/>
        <v>0.166666666666667</v>
      </c>
      <c r="CO442" s="1302">
        <f t="shared" si="3463"/>
        <v>1</v>
      </c>
      <c r="CP442" s="1302">
        <f t="shared" si="3463"/>
        <v>0.444444444444444</v>
      </c>
      <c r="CQ442" s="1302" t="s">
        <v>595</v>
      </c>
      <c r="CR442" s="1302">
        <f>CR441/CG441-1</f>
        <v>1.33333333333333</v>
      </c>
      <c r="CS442" s="1304">
        <f>CS441/CH441-1</f>
        <v>0.444444444444444</v>
      </c>
      <c r="CT442" s="1303" t="s">
        <v>595</v>
      </c>
      <c r="CU442" s="1302" t="s">
        <v>595</v>
      </c>
      <c r="CV442" s="1302" t="s">
        <v>595</v>
      </c>
      <c r="CW442" s="1358" t="s">
        <v>595</v>
      </c>
      <c r="CX442" s="1358" t="s">
        <v>595</v>
      </c>
      <c r="CY442" s="1358" t="s">
        <v>595</v>
      </c>
      <c r="CZ442" s="1358" t="s">
        <v>595</v>
      </c>
      <c r="DA442" s="1360" t="s">
        <v>595</v>
      </c>
      <c r="DB442" s="1109" t="s">
        <v>595</v>
      </c>
      <c r="DC442" s="1082" t="s">
        <v>595</v>
      </c>
      <c r="DD442" s="1082" t="s">
        <v>595</v>
      </c>
      <c r="DE442" s="1362" t="s">
        <v>595</v>
      </c>
      <c r="DF442" s="1362" t="s">
        <v>595</v>
      </c>
      <c r="DG442" s="1082" t="s">
        <v>595</v>
      </c>
      <c r="DH442" s="1082" t="s">
        <v>595</v>
      </c>
      <c r="DI442" s="1085" t="s">
        <v>595</v>
      </c>
      <c r="DJ442" s="1082" t="s">
        <v>595</v>
      </c>
      <c r="DK442" s="1082" t="s">
        <v>595</v>
      </c>
      <c r="DL442" s="1082" t="s">
        <v>595</v>
      </c>
      <c r="DM442" s="1082" t="s">
        <v>595</v>
      </c>
      <c r="DN442" s="1082" t="s">
        <v>595</v>
      </c>
      <c r="DO442" s="1082" t="s">
        <v>595</v>
      </c>
      <c r="DP442" s="1082" t="s">
        <v>595</v>
      </c>
      <c r="DQ442" s="1085" t="s">
        <v>595</v>
      </c>
      <c r="DR442" s="1094" t="s">
        <v>595</v>
      </c>
      <c r="DS442" s="1094">
        <v>0</v>
      </c>
      <c r="DT442" s="1094">
        <f>DT441/DL441-1</f>
        <v>-1.5</v>
      </c>
      <c r="DU442" s="1094">
        <v>0</v>
      </c>
      <c r="DV442" s="1094">
        <f>DV441/DN441-1</f>
        <v>-2</v>
      </c>
      <c r="DW442" s="1094">
        <v>0</v>
      </c>
      <c r="DX442" s="1094">
        <f>DX441/DP441-1</f>
        <v>-1</v>
      </c>
      <c r="DY442" s="1093"/>
      <c r="DZ442" s="1094"/>
      <c r="EA442" s="1094"/>
      <c r="EB442" s="1094"/>
      <c r="EC442" s="1094"/>
      <c r="ED442" s="1094"/>
      <c r="EE442" s="1094"/>
      <c r="EF442" s="1094"/>
      <c r="EG442" s="1093"/>
      <c r="EH442" s="1094" t="e">
        <f t="shared" ref="EH442:EW442" si="3464">EH441/DZ441-1</f>
        <v>#DIV/0!</v>
      </c>
      <c r="EI442" s="1094" t="e">
        <f t="shared" si="3464"/>
        <v>#DIV/0!</v>
      </c>
      <c r="EJ442" s="1094" t="e">
        <f t="shared" si="3464"/>
        <v>#DIV/0!</v>
      </c>
      <c r="EK442" s="1094">
        <f t="shared" si="3464"/>
        <v>-2</v>
      </c>
      <c r="EL442" s="1094">
        <f t="shared" si="3464"/>
        <v>-2</v>
      </c>
      <c r="EM442" s="1094">
        <f t="shared" si="3464"/>
        <v>-1.16666666666667</v>
      </c>
      <c r="EN442" s="1094">
        <f t="shared" si="3464"/>
        <v>-1</v>
      </c>
      <c r="EO442" s="1093">
        <f t="shared" si="3464"/>
        <v>-0.6</v>
      </c>
      <c r="EP442" s="1094">
        <f t="shared" si="3464"/>
        <v>0</v>
      </c>
      <c r="EQ442" s="1094">
        <f t="shared" si="3464"/>
        <v>-2.5</v>
      </c>
      <c r="ER442" s="1094" t="e">
        <f t="shared" si="3464"/>
        <v>#DIV/0!</v>
      </c>
      <c r="ES442" s="1094">
        <f t="shared" si="3464"/>
        <v>-3</v>
      </c>
      <c r="ET442" s="1094">
        <f t="shared" si="3464"/>
        <v>-5.5</v>
      </c>
      <c r="EU442" s="1094">
        <f t="shared" si="3464"/>
        <v>-2</v>
      </c>
      <c r="EV442" s="1094" t="e">
        <f t="shared" si="3464"/>
        <v>#DIV/0!</v>
      </c>
      <c r="EW442" s="1093">
        <f t="shared" si="3464"/>
        <v>-2.5</v>
      </c>
      <c r="EX442" s="1094">
        <f t="shared" ref="EX442:FE442" si="3465">EX441/EP441-1</f>
        <v>1</v>
      </c>
      <c r="EY442" s="1094">
        <f t="shared" si="3465"/>
        <v>-0.333333333333333</v>
      </c>
      <c r="EZ442" s="1094">
        <f t="shared" si="3465"/>
        <v>0.2</v>
      </c>
      <c r="FA442" s="1094">
        <f t="shared" si="3465"/>
        <v>0</v>
      </c>
      <c r="FB442" s="1094">
        <f t="shared" si="3465"/>
        <v>0.111111111111111</v>
      </c>
      <c r="FC442" s="1094">
        <f t="shared" si="3465"/>
        <v>-2</v>
      </c>
      <c r="FD442" s="1094">
        <f t="shared" si="3465"/>
        <v>2</v>
      </c>
      <c r="FE442" s="1093">
        <f t="shared" si="3465"/>
        <v>1</v>
      </c>
      <c r="FF442" s="1094">
        <f t="shared" ref="FF442:FN442" si="3466">FF441/EX441-1</f>
        <v>0</v>
      </c>
      <c r="FG442" s="1094">
        <f t="shared" si="3466"/>
        <v>0</v>
      </c>
      <c r="FH442" s="1094">
        <f t="shared" si="3466"/>
        <v>0</v>
      </c>
      <c r="FI442" s="1094">
        <f t="shared" si="3466"/>
        <v>0.5</v>
      </c>
      <c r="FJ442" s="1094">
        <f t="shared" si="3466"/>
        <v>0.2</v>
      </c>
      <c r="FK442" s="1094">
        <f t="shared" si="3466"/>
        <v>-1</v>
      </c>
      <c r="FL442" s="1094">
        <f t="shared" si="3466"/>
        <v>0</v>
      </c>
      <c r="FM442" s="1093">
        <f t="shared" si="3466"/>
        <v>0</v>
      </c>
      <c r="FN442" s="1094">
        <f t="shared" si="3466"/>
        <v>-1</v>
      </c>
      <c r="FO442" s="1094">
        <f t="shared" ref="FO442:FT442" si="3467">FO441/FG441-1</f>
        <v>0</v>
      </c>
      <c r="FP442" s="1094">
        <f t="shared" si="3467"/>
        <v>-0.666666666666667</v>
      </c>
      <c r="FQ442" s="1094">
        <f t="shared" si="3467"/>
        <v>-0.666666666666667</v>
      </c>
      <c r="FR442" s="1094">
        <f t="shared" si="3467"/>
        <v>-0.666666666666667</v>
      </c>
      <c r="FS442" s="1094"/>
      <c r="FT442" s="1094">
        <f t="shared" si="3467"/>
        <v>-0.666666666666667</v>
      </c>
      <c r="FU442" s="1094">
        <f t="shared" ref="FU442" si="3468">FU441/FM441-1</f>
        <v>-0.666666666666667</v>
      </c>
      <c r="FV442" s="1086"/>
      <c r="FW442" s="1094"/>
      <c r="FX442" s="1094"/>
      <c r="FY442" s="1094"/>
      <c r="FZ442" s="1094"/>
      <c r="GA442" s="1094"/>
      <c r="GB442" s="1094"/>
      <c r="GC442" s="1312"/>
      <c r="GD442" s="1087"/>
      <c r="GE442" s="1094"/>
      <c r="GF442" s="1094"/>
      <c r="GG442" s="1094"/>
      <c r="GH442" s="1094"/>
      <c r="GI442" s="1094"/>
      <c r="GJ442" s="1094"/>
      <c r="GK442" s="1093"/>
      <c r="GL442" s="1087"/>
      <c r="GM442" s="1087"/>
      <c r="GN442" s="1094"/>
      <c r="GO442" s="1094"/>
      <c r="GP442" s="1094"/>
      <c r="GQ442" s="1094"/>
      <c r="GR442" s="1094"/>
      <c r="GS442" s="1093"/>
      <c r="GT442" s="1087"/>
      <c r="GU442" s="1087"/>
      <c r="GV442" s="1094"/>
      <c r="GW442" s="1094"/>
      <c r="GX442" s="1094"/>
      <c r="GY442" s="1094"/>
      <c r="GZ442" s="1094"/>
      <c r="HA442" s="1093"/>
      <c r="HB442" s="1087"/>
      <c r="HC442" s="1087"/>
      <c r="HD442" s="1094"/>
      <c r="HE442" s="1094"/>
      <c r="HF442" s="1094"/>
      <c r="HG442" s="1094"/>
      <c r="HH442" s="1094"/>
      <c r="HI442" s="1093"/>
      <c r="HJ442" s="1087"/>
      <c r="HK442" s="1087"/>
      <c r="HL442" s="1094"/>
      <c r="HM442" s="1094"/>
      <c r="HN442" s="1094"/>
      <c r="HO442" s="1094"/>
      <c r="HP442" s="1094"/>
      <c r="HQ442" s="1093"/>
      <c r="HR442" s="1087"/>
      <c r="HS442" s="1087"/>
      <c r="HT442" s="1094"/>
      <c r="HU442" s="1094"/>
      <c r="HV442" s="1094"/>
      <c r="HW442" s="1094"/>
      <c r="HX442" s="1094"/>
      <c r="HY442" s="1093"/>
      <c r="HZ442" s="1087"/>
      <c r="IA442" s="1087"/>
      <c r="IB442" s="1094"/>
      <c r="IC442" s="1094"/>
      <c r="ID442" s="1094"/>
      <c r="IE442" s="1094"/>
      <c r="IF442" s="1094"/>
      <c r="IG442" s="1093"/>
      <c r="IH442" s="1087"/>
      <c r="II442" s="1087"/>
      <c r="IJ442" s="1094"/>
      <c r="IK442" s="1094"/>
      <c r="IL442" s="1094"/>
      <c r="IM442" s="1094"/>
      <c r="IN442" s="1094"/>
      <c r="IO442" s="1093"/>
      <c r="IP442" s="1087"/>
      <c r="IQ442" s="1087"/>
      <c r="IR442" s="1094"/>
      <c r="IS442" s="1094"/>
      <c r="IT442" s="1094"/>
      <c r="IU442" s="1094"/>
      <c r="IV442" s="1094"/>
      <c r="IW442" s="1093"/>
      <c r="IX442" s="1087"/>
      <c r="IY442" s="1049"/>
      <c r="IZ442" s="1049"/>
      <c r="JA442" s="1049"/>
      <c r="JB442" s="1049"/>
      <c r="JC442" s="1049"/>
      <c r="JD442" s="1049"/>
      <c r="JE442" s="1080"/>
      <c r="JF442" s="1082"/>
      <c r="JG442" s="1082"/>
      <c r="JH442" s="1082"/>
    </row>
    <row r="443" s="883" customFormat="1" hidden="1" spans="1:285">
      <c r="A443" s="883" t="s">
        <v>171</v>
      </c>
      <c r="B443" s="1302"/>
      <c r="C443" s="1302"/>
      <c r="D443" s="1302"/>
      <c r="E443" s="1302"/>
      <c r="F443" s="1302"/>
      <c r="G443" s="1302"/>
      <c r="H443" s="1302"/>
      <c r="I443" s="1302"/>
      <c r="J443" s="1302"/>
      <c r="K443" s="1302"/>
      <c r="L443" s="1302"/>
      <c r="M443" s="1302"/>
      <c r="N443" s="1302"/>
      <c r="O443" s="1302"/>
      <c r="P443" s="1302"/>
      <c r="Q443" s="1302"/>
      <c r="R443" s="1302"/>
      <c r="S443" s="1302"/>
      <c r="T443" s="1302"/>
      <c r="U443" s="1302"/>
      <c r="V443" s="1302"/>
      <c r="W443" s="1302"/>
      <c r="X443" s="1302"/>
      <c r="Y443" s="1302"/>
      <c r="Z443" s="1302"/>
      <c r="AA443" s="1302"/>
      <c r="AB443" s="1302"/>
      <c r="AC443" s="1302"/>
      <c r="AD443" s="1302"/>
      <c r="AE443" s="1302"/>
      <c r="AF443" s="1302"/>
      <c r="AG443" s="1302"/>
      <c r="AH443" s="1302"/>
      <c r="AI443" s="1302"/>
      <c r="AJ443" s="1302"/>
      <c r="AK443" s="1302"/>
      <c r="AL443" s="1302"/>
      <c r="AM443" s="1302"/>
      <c r="AN443" s="1302"/>
      <c r="AO443" s="1302"/>
      <c r="AP443" s="1302"/>
      <c r="AQ443" s="1302"/>
      <c r="AR443" s="1302"/>
      <c r="AS443" s="1302"/>
      <c r="AT443" s="1302"/>
      <c r="AU443" s="1302"/>
      <c r="AV443" s="1302"/>
      <c r="AW443" s="1302"/>
      <c r="AX443" s="1303"/>
      <c r="AY443" s="1302"/>
      <c r="AZ443" s="1302"/>
      <c r="BA443" s="1302"/>
      <c r="BB443" s="1302"/>
      <c r="BC443" s="1302"/>
      <c r="BD443" s="1302"/>
      <c r="BE443" s="1304"/>
      <c r="BF443" s="1302"/>
      <c r="BG443" s="1302"/>
      <c r="BH443" s="1302"/>
      <c r="BI443" s="1302"/>
      <c r="BJ443" s="1302"/>
      <c r="BK443" s="1302"/>
      <c r="BL443" s="1302"/>
      <c r="BM443" s="1302"/>
      <c r="BN443" s="1303"/>
      <c r="BO443" s="1302"/>
      <c r="BP443" s="1302"/>
      <c r="BQ443" s="1302"/>
      <c r="BR443" s="1302"/>
      <c r="BS443" s="1302"/>
      <c r="BT443" s="1302"/>
      <c r="BU443" s="1304"/>
      <c r="BV443" s="1303"/>
      <c r="BW443" s="1302"/>
      <c r="BX443" s="1302"/>
      <c r="BY443" s="1302"/>
      <c r="BZ443" s="1302"/>
      <c r="CA443" s="1302"/>
      <c r="CB443" s="1302"/>
      <c r="CC443" s="1304"/>
      <c r="CD443" s="1303"/>
      <c r="CE443" s="1302"/>
      <c r="CF443" s="1302"/>
      <c r="CG443" s="1302"/>
      <c r="CH443" s="1302"/>
      <c r="CI443" s="1302"/>
      <c r="CJ443" s="1302"/>
      <c r="CK443" s="1304"/>
      <c r="CL443" s="1303"/>
      <c r="CM443" s="1302"/>
      <c r="CN443" s="1302"/>
      <c r="CO443" s="1302"/>
      <c r="CP443" s="1302"/>
      <c r="CQ443" s="1302"/>
      <c r="CR443" s="1302"/>
      <c r="CS443" s="1304"/>
      <c r="CT443" s="1303"/>
      <c r="CU443" s="1302"/>
      <c r="CV443" s="1302"/>
      <c r="CW443" s="1358"/>
      <c r="CX443" s="1358"/>
      <c r="CY443" s="1358"/>
      <c r="CZ443" s="1358"/>
      <c r="DA443" s="1360"/>
      <c r="DB443" s="1109"/>
      <c r="DC443" s="1082"/>
      <c r="DD443" s="1082"/>
      <c r="DE443" s="1362"/>
      <c r="DF443" s="1362"/>
      <c r="DG443" s="1082"/>
      <c r="DH443" s="1082"/>
      <c r="DI443" s="1085"/>
      <c r="DJ443" s="1082"/>
      <c r="DK443" s="1082"/>
      <c r="DL443" s="1082"/>
      <c r="DM443" s="1082"/>
      <c r="DN443" s="1082"/>
      <c r="DO443" s="1082"/>
      <c r="DP443" s="1082"/>
      <c r="DQ443" s="1085"/>
      <c r="DR443" s="1094"/>
      <c r="DS443" s="1094"/>
      <c r="DT443" s="1094"/>
      <c r="DU443" s="1094"/>
      <c r="DV443" s="1094"/>
      <c r="DW443" s="1094"/>
      <c r="DX443" s="1094"/>
      <c r="DY443" s="1093"/>
      <c r="DZ443" s="1094"/>
      <c r="EA443" s="1094"/>
      <c r="EB443" s="1094"/>
      <c r="EC443" s="1094"/>
      <c r="ED443" s="1094"/>
      <c r="EE443" s="1094"/>
      <c r="EF443" s="1094"/>
      <c r="EG443" s="1093"/>
      <c r="EH443" s="1094"/>
      <c r="EI443" s="1094"/>
      <c r="EJ443" s="1094"/>
      <c r="EK443" s="1094"/>
      <c r="EL443" s="1094"/>
      <c r="EM443" s="1094"/>
      <c r="EN443" s="1094"/>
      <c r="EO443" s="1093"/>
      <c r="EP443" s="1094"/>
      <c r="EQ443" s="1094"/>
      <c r="ER443" s="1094"/>
      <c r="ES443" s="1094"/>
      <c r="ET443" s="1094"/>
      <c r="EU443" s="1094"/>
      <c r="EV443" s="1094"/>
      <c r="EW443" s="1093"/>
      <c r="EX443" s="1311">
        <v>-4</v>
      </c>
      <c r="EY443" s="1311">
        <v>2</v>
      </c>
      <c r="EZ443" s="1311">
        <f>EX443+EY443</f>
        <v>-2</v>
      </c>
      <c r="FA443" s="1311">
        <v>5</v>
      </c>
      <c r="FB443" s="1311">
        <f>EZ443+FA443</f>
        <v>3</v>
      </c>
      <c r="FC443" s="1311">
        <v>-71</v>
      </c>
      <c r="FD443" s="1311">
        <f>FA443+FC443</f>
        <v>-66</v>
      </c>
      <c r="FE443" s="1312">
        <f>EZ443+FD443</f>
        <v>-68</v>
      </c>
      <c r="FF443" s="1311">
        <v>-14</v>
      </c>
      <c r="FG443" s="1311">
        <v>1</v>
      </c>
      <c r="FH443" s="1311">
        <f>FF443+FG443</f>
        <v>-13</v>
      </c>
      <c r="FI443" s="1314">
        <v>-23</v>
      </c>
      <c r="FJ443" s="1311">
        <f>FH443+FI443</f>
        <v>-36</v>
      </c>
      <c r="FK443" s="1311">
        <f>FM443-FJ443</f>
        <v>-10</v>
      </c>
      <c r="FL443" s="1311">
        <f>FI443+FK443</f>
        <v>-33</v>
      </c>
      <c r="FM443" s="1312">
        <f>'Profit and Loss'!V397</f>
        <v>-46</v>
      </c>
      <c r="FN443" s="1311">
        <v>1</v>
      </c>
      <c r="FO443" s="1311">
        <v>0</v>
      </c>
      <c r="FP443" s="1311">
        <f>FN443-FO443</f>
        <v>1</v>
      </c>
      <c r="FQ443" s="1311">
        <v>1</v>
      </c>
      <c r="FR443" s="1311">
        <f>FP443+FQ443</f>
        <v>2</v>
      </c>
      <c r="FS443" s="1311">
        <f>FU443-FR443</f>
        <v>-1</v>
      </c>
      <c r="FT443" s="1311">
        <f>FQ443+FS443</f>
        <v>0</v>
      </c>
      <c r="FU443" s="1311">
        <f>'Profit and Loss'!W397</f>
        <v>1</v>
      </c>
      <c r="FV443" s="1313">
        <f>FX443-FW443</f>
        <v>-6</v>
      </c>
      <c r="FW443" s="1311">
        <f>-99-86-4</f>
        <v>-189</v>
      </c>
      <c r="FX443" s="1311">
        <f>-208+13</f>
        <v>-195</v>
      </c>
      <c r="FY443" s="1311">
        <v>-22</v>
      </c>
      <c r="FZ443" s="1311">
        <f>FX443+FY443</f>
        <v>-217</v>
      </c>
      <c r="GA443" s="1311">
        <f>GC443-FZ443</f>
        <v>-37</v>
      </c>
      <c r="GB443" s="1311">
        <f>FY443+GA443</f>
        <v>-59</v>
      </c>
      <c r="GC443" s="1312">
        <f>'Profit and Loss'!X397</f>
        <v>-254</v>
      </c>
      <c r="GD443" s="1314"/>
      <c r="GE443" s="1311"/>
      <c r="GF443" s="1311"/>
      <c r="GG443" s="1311"/>
      <c r="GH443" s="1311"/>
      <c r="GI443" s="1311"/>
      <c r="GJ443" s="1311"/>
      <c r="GK443" s="1312"/>
      <c r="GL443" s="1314"/>
      <c r="GM443" s="1314"/>
      <c r="GN443" s="1311"/>
      <c r="GO443" s="1311"/>
      <c r="GP443" s="1311"/>
      <c r="GQ443" s="1311"/>
      <c r="GR443" s="1311"/>
      <c r="GS443" s="1312"/>
      <c r="GT443" s="1314"/>
      <c r="GU443" s="1314"/>
      <c r="GV443" s="1311"/>
      <c r="GW443" s="1311"/>
      <c r="GX443" s="1311"/>
      <c r="GY443" s="1311"/>
      <c r="GZ443" s="1311"/>
      <c r="HA443" s="1312"/>
      <c r="HB443" s="1314"/>
      <c r="HC443" s="1314"/>
      <c r="HD443" s="1311"/>
      <c r="HE443" s="1311"/>
      <c r="HF443" s="1311"/>
      <c r="HG443" s="1311"/>
      <c r="HH443" s="1311"/>
      <c r="HI443" s="1312"/>
      <c r="HJ443" s="1314"/>
      <c r="HK443" s="1314"/>
      <c r="HL443" s="1311"/>
      <c r="HM443" s="1311"/>
      <c r="HN443" s="1311"/>
      <c r="HO443" s="1311"/>
      <c r="HP443" s="1311"/>
      <c r="HQ443" s="1312"/>
      <c r="HR443" s="1314"/>
      <c r="HS443" s="1314"/>
      <c r="HT443" s="1311"/>
      <c r="HU443" s="1311"/>
      <c r="HV443" s="1311"/>
      <c r="HW443" s="1311"/>
      <c r="HX443" s="1311"/>
      <c r="HY443" s="1312"/>
      <c r="HZ443" s="1314"/>
      <c r="IA443" s="1314"/>
      <c r="IB443" s="1311"/>
      <c r="IC443" s="1311"/>
      <c r="ID443" s="1311"/>
      <c r="IE443" s="1311"/>
      <c r="IF443" s="1311"/>
      <c r="IG443" s="1312"/>
      <c r="IH443" s="1314"/>
      <c r="II443" s="1314"/>
      <c r="IJ443" s="1311"/>
      <c r="IK443" s="1311"/>
      <c r="IL443" s="1311"/>
      <c r="IM443" s="1311"/>
      <c r="IN443" s="1311"/>
      <c r="IO443" s="1312"/>
      <c r="IP443" s="1314"/>
      <c r="IQ443" s="1314"/>
      <c r="IR443" s="1311"/>
      <c r="IS443" s="1311"/>
      <c r="IT443" s="1311"/>
      <c r="IU443" s="1311"/>
      <c r="IV443" s="1311"/>
      <c r="IW443" s="1312"/>
      <c r="IX443" s="1087"/>
      <c r="IY443" s="1049"/>
      <c r="IZ443" s="1049"/>
      <c r="JA443" s="1049"/>
      <c r="JB443" s="1049"/>
      <c r="JC443" s="1049"/>
      <c r="JD443" s="1049"/>
      <c r="JE443" s="1080"/>
      <c r="JF443" s="1082"/>
      <c r="JG443" s="1082"/>
      <c r="JH443" s="1082"/>
    </row>
    <row r="444" spans="1:285">
      <c r="A444" s="1254" t="s">
        <v>170</v>
      </c>
      <c r="B444" s="1292">
        <v>103.6</v>
      </c>
      <c r="C444" s="1292">
        <v>76.5</v>
      </c>
      <c r="D444" s="1292">
        <f>B444+C444</f>
        <v>180.1</v>
      </c>
      <c r="E444" s="1292">
        <v>143</v>
      </c>
      <c r="F444" s="1292">
        <f>D444+E444</f>
        <v>323.1</v>
      </c>
      <c r="G444" s="1292">
        <v>22</v>
      </c>
      <c r="H444" s="1292">
        <f>H438-H441</f>
        <v>-743.6911</v>
      </c>
      <c r="I444" s="1292">
        <f>F444+G444</f>
        <v>345.1</v>
      </c>
      <c r="J444" s="1292">
        <v>76.2859600000001</v>
      </c>
      <c r="K444" s="1292">
        <v>44.02293</v>
      </c>
      <c r="L444" s="1292">
        <f>J444+K444</f>
        <v>120.30889</v>
      </c>
      <c r="M444" s="1292">
        <v>82.3193000000001</v>
      </c>
      <c r="N444" s="1292">
        <f>L444+M444</f>
        <v>202.62819</v>
      </c>
      <c r="O444" s="1292">
        <v>7.79732500000002</v>
      </c>
      <c r="P444" s="1292">
        <f>P438-P441</f>
        <v>66.8524750000004</v>
      </c>
      <c r="Q444" s="1292">
        <f>N444+O444</f>
        <v>210.425515</v>
      </c>
      <c r="R444" s="1292">
        <f t="shared" ref="R444:CC444" si="3469">R438-R441</f>
        <v>96.303355</v>
      </c>
      <c r="S444" s="1292">
        <f t="shared" si="3469"/>
        <v>50.390552</v>
      </c>
      <c r="T444" s="1292">
        <f t="shared" si="3469"/>
        <v>146.693907</v>
      </c>
      <c r="U444" s="1292">
        <f t="shared" si="3469"/>
        <v>122.2051</v>
      </c>
      <c r="V444" s="1292">
        <f t="shared" si="3469"/>
        <v>268.899007</v>
      </c>
      <c r="W444" s="1292">
        <f t="shared" si="3469"/>
        <v>21.8729000000001</v>
      </c>
      <c r="X444" s="1292">
        <f t="shared" si="3469"/>
        <v>110.4408</v>
      </c>
      <c r="Y444" s="1292">
        <f t="shared" si="3469"/>
        <v>290.771907</v>
      </c>
      <c r="Z444" s="1292">
        <f t="shared" si="3469"/>
        <v>93.3122500000001</v>
      </c>
      <c r="AA444" s="1292">
        <f t="shared" si="3469"/>
        <v>15.8502999999999</v>
      </c>
      <c r="AB444" s="1292">
        <f t="shared" si="3469"/>
        <v>109.16255</v>
      </c>
      <c r="AC444" s="1292">
        <f t="shared" si="3469"/>
        <v>109.9295</v>
      </c>
      <c r="AD444" s="1292">
        <f t="shared" si="3469"/>
        <v>219.09205</v>
      </c>
      <c r="AE444" s="1292">
        <f t="shared" si="3469"/>
        <v>-26.4648879999998</v>
      </c>
      <c r="AF444" s="1292">
        <f t="shared" si="3469"/>
        <v>83.4872120000003</v>
      </c>
      <c r="AG444" s="1292">
        <f t="shared" si="3469"/>
        <v>192.627162</v>
      </c>
      <c r="AH444" s="1292">
        <f t="shared" si="3469"/>
        <v>59.3108000000002</v>
      </c>
      <c r="AI444" s="1292">
        <f t="shared" si="3469"/>
        <v>29.6546000000001</v>
      </c>
      <c r="AJ444" s="1292">
        <f t="shared" si="3469"/>
        <v>88.9654000000003</v>
      </c>
      <c r="AK444" s="1292">
        <f t="shared" si="3469"/>
        <v>131.55</v>
      </c>
      <c r="AL444" s="1292">
        <f t="shared" si="3469"/>
        <v>220.5154</v>
      </c>
      <c r="AM444" s="1292">
        <f t="shared" si="3469"/>
        <v>1</v>
      </c>
      <c r="AN444" s="1292">
        <f t="shared" si="3469"/>
        <v>134.55</v>
      </c>
      <c r="AO444" s="1292">
        <f t="shared" si="3469"/>
        <v>221.5154</v>
      </c>
      <c r="AP444" s="1292">
        <f t="shared" si="3469"/>
        <v>52</v>
      </c>
      <c r="AQ444" s="1292">
        <f t="shared" si="3469"/>
        <v>20</v>
      </c>
      <c r="AR444" s="1292">
        <f t="shared" si="3469"/>
        <v>72</v>
      </c>
      <c r="AS444" s="1292">
        <f t="shared" si="3469"/>
        <v>105</v>
      </c>
      <c r="AT444" s="1292">
        <f t="shared" si="3469"/>
        <v>177</v>
      </c>
      <c r="AU444" s="1292">
        <f t="shared" si="3469"/>
        <v>5</v>
      </c>
      <c r="AV444" s="1292">
        <f t="shared" si="3469"/>
        <v>110</v>
      </c>
      <c r="AW444" s="1292">
        <f t="shared" si="3469"/>
        <v>182</v>
      </c>
      <c r="AX444" s="1293">
        <f t="shared" si="3469"/>
        <v>46</v>
      </c>
      <c r="AY444" s="1292">
        <f t="shared" si="3469"/>
        <v>24.5</v>
      </c>
      <c r="AZ444" s="1292">
        <f t="shared" si="3469"/>
        <v>70.5</v>
      </c>
      <c r="BA444" s="1292">
        <f t="shared" si="3469"/>
        <v>114</v>
      </c>
      <c r="BB444" s="1292">
        <f t="shared" si="3469"/>
        <v>138.5</v>
      </c>
      <c r="BC444" s="1292">
        <f t="shared" si="3469"/>
        <v>23.876</v>
      </c>
      <c r="BD444" s="1292">
        <f t="shared" si="3469"/>
        <v>137.376</v>
      </c>
      <c r="BE444" s="1294">
        <f t="shared" si="3469"/>
        <v>162.376</v>
      </c>
      <c r="BF444" s="1292">
        <f t="shared" si="3469"/>
        <v>43</v>
      </c>
      <c r="BG444" s="1292">
        <f t="shared" si="3469"/>
        <v>25.2601575</v>
      </c>
      <c r="BH444" s="1292">
        <f t="shared" si="3469"/>
        <v>68.2601575</v>
      </c>
      <c r="BI444" s="1292">
        <f t="shared" si="3469"/>
        <v>131</v>
      </c>
      <c r="BJ444" s="1292">
        <f t="shared" si="3469"/>
        <v>199.2601575</v>
      </c>
      <c r="BK444" s="1292">
        <f t="shared" si="3469"/>
        <v>29.1628</v>
      </c>
      <c r="BL444" s="1292">
        <f t="shared" si="3469"/>
        <v>160.1628</v>
      </c>
      <c r="BM444" s="1292">
        <f t="shared" si="3469"/>
        <v>228.4229575</v>
      </c>
      <c r="BN444" s="1293">
        <f t="shared" si="3469"/>
        <v>52.41</v>
      </c>
      <c r="BO444" s="1292">
        <f t="shared" si="3469"/>
        <v>32.3</v>
      </c>
      <c r="BP444" s="1292">
        <f t="shared" si="3469"/>
        <v>84.71</v>
      </c>
      <c r="BQ444" s="1292">
        <f t="shared" si="3469"/>
        <v>150</v>
      </c>
      <c r="BR444" s="1292">
        <f t="shared" si="3469"/>
        <v>234.71</v>
      </c>
      <c r="BS444" s="1292">
        <f t="shared" si="3469"/>
        <v>27</v>
      </c>
      <c r="BT444" s="1292">
        <f t="shared" si="3469"/>
        <v>177</v>
      </c>
      <c r="BU444" s="1294">
        <f t="shared" si="3469"/>
        <v>261.71</v>
      </c>
      <c r="BV444" s="1293">
        <f t="shared" si="3469"/>
        <v>86</v>
      </c>
      <c r="BW444" s="1292">
        <f t="shared" si="3469"/>
        <v>70</v>
      </c>
      <c r="BX444" s="1292">
        <f t="shared" si="3469"/>
        <v>156</v>
      </c>
      <c r="BY444" s="1292">
        <f t="shared" si="3469"/>
        <v>156</v>
      </c>
      <c r="BZ444" s="1292">
        <f t="shared" si="3469"/>
        <v>312</v>
      </c>
      <c r="CA444" s="1292">
        <f t="shared" si="3469"/>
        <v>12</v>
      </c>
      <c r="CB444" s="1292">
        <f t="shared" si="3469"/>
        <v>168</v>
      </c>
      <c r="CC444" s="1294">
        <f t="shared" si="3469"/>
        <v>324</v>
      </c>
      <c r="CD444" s="1293">
        <f t="shared" ref="CD444:CJ444" si="3470">CD438-CD441</f>
        <v>126</v>
      </c>
      <c r="CE444" s="1292">
        <f t="shared" si="3470"/>
        <v>93</v>
      </c>
      <c r="CF444" s="1292">
        <f t="shared" si="3470"/>
        <v>219</v>
      </c>
      <c r="CG444" s="1292">
        <f t="shared" si="3470"/>
        <v>204</v>
      </c>
      <c r="CH444" s="1292">
        <f t="shared" si="3470"/>
        <v>423</v>
      </c>
      <c r="CI444" s="1292">
        <f t="shared" si="3470"/>
        <v>4</v>
      </c>
      <c r="CJ444" s="1292">
        <f t="shared" si="3470"/>
        <v>208</v>
      </c>
      <c r="CK444" s="1294">
        <f>CH444+CI444</f>
        <v>427</v>
      </c>
      <c r="CL444" s="1293">
        <v>144</v>
      </c>
      <c r="CM444" s="1292">
        <f>CM438-CM441</f>
        <v>82.4</v>
      </c>
      <c r="CN444" s="1292">
        <f>CL444+CM444</f>
        <v>226.4</v>
      </c>
      <c r="CO444" s="1292">
        <f>CP444-CN444</f>
        <v>243.6</v>
      </c>
      <c r="CP444" s="1292">
        <f>CP438-CP441</f>
        <v>470</v>
      </c>
      <c r="CQ444" s="1292">
        <f>CS444-CP444</f>
        <v>13</v>
      </c>
      <c r="CR444" s="1292">
        <f>CR438-CR441</f>
        <v>257.3</v>
      </c>
      <c r="CS444" s="1294">
        <v>483</v>
      </c>
      <c r="CT444" s="1293">
        <v>128</v>
      </c>
      <c r="CU444" s="1292">
        <f t="shared" ref="CU444:DG444" si="3471">CU438-CU441</f>
        <v>104.3</v>
      </c>
      <c r="CV444" s="1292">
        <f t="shared" si="3471"/>
        <v>232.6</v>
      </c>
      <c r="CW444" s="1292">
        <f t="shared" si="3471"/>
        <v>297.4</v>
      </c>
      <c r="CX444" s="1292">
        <f t="shared" si="3471"/>
        <v>530</v>
      </c>
      <c r="CY444" s="1292">
        <f t="shared" si="3471"/>
        <v>21</v>
      </c>
      <c r="CZ444" s="1292">
        <f t="shared" si="3471"/>
        <v>318.4</v>
      </c>
      <c r="DA444" s="1294">
        <f t="shared" si="3471"/>
        <v>551</v>
      </c>
      <c r="DB444" s="1315">
        <f t="shared" si="3471"/>
        <v>169</v>
      </c>
      <c r="DC444" s="1316">
        <f t="shared" si="3471"/>
        <v>178</v>
      </c>
      <c r="DD444" s="1316">
        <f t="shared" si="3471"/>
        <v>285</v>
      </c>
      <c r="DE444" s="1316">
        <f t="shared" si="3471"/>
        <v>302</v>
      </c>
      <c r="DF444" s="1316">
        <f t="shared" si="3471"/>
        <v>588</v>
      </c>
      <c r="DG444" s="1316">
        <f t="shared" si="3471"/>
        <v>54</v>
      </c>
      <c r="DH444" s="1316">
        <f>DI444-DD444</f>
        <v>357</v>
      </c>
      <c r="DI444" s="1317">
        <f>'Profit and Loss'!O394</f>
        <v>642</v>
      </c>
      <c r="DJ444" s="1316">
        <f t="shared" ref="DJ444:DO444" si="3472">DJ438-DJ441</f>
        <v>4.864</v>
      </c>
      <c r="DK444" s="1316">
        <f t="shared" si="3472"/>
        <v>9.00000000000001</v>
      </c>
      <c r="DL444" s="1316">
        <f t="shared" si="3472"/>
        <v>13.864</v>
      </c>
      <c r="DM444" s="1316">
        <f t="shared" si="3472"/>
        <v>213</v>
      </c>
      <c r="DN444" s="1316">
        <f t="shared" si="3472"/>
        <v>225</v>
      </c>
      <c r="DO444" s="1316">
        <f t="shared" si="3472"/>
        <v>20</v>
      </c>
      <c r="DP444" s="1316">
        <f>DQ444-DL444</f>
        <v>231.136</v>
      </c>
      <c r="DQ444" s="1317">
        <f>'Profit and Loss'!P394</f>
        <v>245</v>
      </c>
      <c r="DR444" s="1316">
        <f>DR438-DR441</f>
        <v>168</v>
      </c>
      <c r="DS444" s="1316">
        <f>DS438-DS441</f>
        <v>126</v>
      </c>
      <c r="DT444" s="1316">
        <f>DT438-DT441</f>
        <v>294</v>
      </c>
      <c r="DU444" s="1316">
        <f>DU438-DU441</f>
        <v>266</v>
      </c>
      <c r="DV444" s="1316">
        <f>DV438-DV441</f>
        <v>560</v>
      </c>
      <c r="DW444" s="1316">
        <f>DY444-DV444</f>
        <v>7</v>
      </c>
      <c r="DX444" s="1316">
        <f>DU444+DW444</f>
        <v>273</v>
      </c>
      <c r="DY444" s="1317">
        <f>'Profit and Loss'!Q394</f>
        <v>567</v>
      </c>
      <c r="DZ444" s="1316">
        <f t="shared" ref="DZ444:EE444" si="3473">DZ438-DZ441</f>
        <v>209</v>
      </c>
      <c r="EA444" s="1316">
        <f t="shared" si="3473"/>
        <v>140</v>
      </c>
      <c r="EB444" s="1316">
        <f t="shared" si="3473"/>
        <v>349</v>
      </c>
      <c r="EC444" s="1316">
        <f t="shared" si="3473"/>
        <v>303</v>
      </c>
      <c r="ED444" s="1316">
        <f t="shared" si="3473"/>
        <v>652</v>
      </c>
      <c r="EE444" s="1316">
        <f t="shared" si="3473"/>
        <v>-39</v>
      </c>
      <c r="EF444" s="1316">
        <f>EC444+EE444</f>
        <v>264</v>
      </c>
      <c r="EG444" s="1317">
        <f>DZ444+EA444+EC444+EE444</f>
        <v>613</v>
      </c>
      <c r="EH444" s="1316">
        <f t="shared" ref="EH444:EM444" si="3474">EH438-EH441</f>
        <v>289</v>
      </c>
      <c r="EI444" s="1316">
        <f t="shared" si="3474"/>
        <v>165</v>
      </c>
      <c r="EJ444" s="1316">
        <f t="shared" si="3474"/>
        <v>454</v>
      </c>
      <c r="EK444" s="1316">
        <f t="shared" si="3474"/>
        <v>344</v>
      </c>
      <c r="EL444" s="1316">
        <f t="shared" si="3474"/>
        <v>798</v>
      </c>
      <c r="EM444" s="1316">
        <f t="shared" si="3474"/>
        <v>-274</v>
      </c>
      <c r="EN444" s="1316">
        <f>EK444+EM444</f>
        <v>70</v>
      </c>
      <c r="EO444" s="1317">
        <f>EH444+EI444+EK444+EM444</f>
        <v>524</v>
      </c>
      <c r="EP444" s="1316">
        <f>EP438-EP441</f>
        <v>308</v>
      </c>
      <c r="EQ444" s="1316">
        <f>EQ438-EQ441</f>
        <v>169.5</v>
      </c>
      <c r="ER444" s="1316">
        <f>EP444+EQ444</f>
        <v>477.5</v>
      </c>
      <c r="ES444" s="1316">
        <f>ES438-ES441</f>
        <v>316</v>
      </c>
      <c r="ET444" s="1316">
        <f>ER444+ES444</f>
        <v>793.5</v>
      </c>
      <c r="EU444" s="1316">
        <f>EU438-EU441</f>
        <v>-9</v>
      </c>
      <c r="EV444" s="1316">
        <f>ES444+EU444</f>
        <v>307</v>
      </c>
      <c r="EW444" s="1317">
        <f>EW438-EW441</f>
        <v>786</v>
      </c>
      <c r="EX444" s="1316">
        <f>EX438-EX441+EX443</f>
        <v>204</v>
      </c>
      <c r="EY444" s="1316">
        <f>EY438-EY441+EY443</f>
        <v>144</v>
      </c>
      <c r="EZ444" s="1316">
        <f>EZ438-EZ441</f>
        <v>350</v>
      </c>
      <c r="FA444" s="1316">
        <f>FA438-FA441+FA443</f>
        <v>283</v>
      </c>
      <c r="FB444" s="1316">
        <f>FB438-FB441</f>
        <v>628</v>
      </c>
      <c r="FC444" s="1316">
        <f>FC438-FC441+FC443</f>
        <v>-141</v>
      </c>
      <c r="FD444" s="1316">
        <f>FD438-FD441</f>
        <v>119</v>
      </c>
      <c r="FE444" s="1317">
        <f t="shared" ref="FE444:FN444" si="3475">FE438-FE441+FE443</f>
        <v>490</v>
      </c>
      <c r="FF444" s="1316">
        <f t="shared" si="3475"/>
        <v>221</v>
      </c>
      <c r="FG444" s="1316">
        <f t="shared" si="3475"/>
        <v>146</v>
      </c>
      <c r="FH444" s="1316">
        <f t="shared" si="3475"/>
        <v>367</v>
      </c>
      <c r="FI444" s="1316">
        <f t="shared" si="3475"/>
        <v>311</v>
      </c>
      <c r="FJ444" s="1316">
        <f t="shared" si="3475"/>
        <v>678</v>
      </c>
      <c r="FK444" s="1316">
        <f t="shared" si="3475"/>
        <v>-45</v>
      </c>
      <c r="FL444" s="1316">
        <f t="shared" si="3475"/>
        <v>266</v>
      </c>
      <c r="FM444" s="1317">
        <f t="shared" si="3475"/>
        <v>633</v>
      </c>
      <c r="FN444" s="1316">
        <f t="shared" si="3475"/>
        <v>351</v>
      </c>
      <c r="FO444" s="1316">
        <f t="shared" ref="FO444:FU444" si="3476">FO432-FO435-FO441</f>
        <v>289</v>
      </c>
      <c r="FP444" s="1316">
        <f t="shared" si="3476"/>
        <v>639</v>
      </c>
      <c r="FQ444" s="1316">
        <f t="shared" si="3476"/>
        <v>385</v>
      </c>
      <c r="FR444" s="1316">
        <f t="shared" si="3476"/>
        <v>1026</v>
      </c>
      <c r="FS444" s="1316">
        <f t="shared" si="3476"/>
        <v>-9</v>
      </c>
      <c r="FT444" s="1316">
        <f t="shared" si="3476"/>
        <v>376</v>
      </c>
      <c r="FU444" s="1316">
        <f t="shared" si="3476"/>
        <v>1017</v>
      </c>
      <c r="FV444" s="1296">
        <f t="shared" ref="FV444:GE444" si="3477">FV438-FV441+FV443</f>
        <v>455</v>
      </c>
      <c r="FW444" s="1316">
        <f t="shared" si="3477"/>
        <v>158</v>
      </c>
      <c r="FX444" s="1316">
        <f t="shared" si="3477"/>
        <v>613</v>
      </c>
      <c r="FY444" s="1316">
        <f t="shared" si="3477"/>
        <v>525.405</v>
      </c>
      <c r="FZ444" s="1316">
        <f t="shared" si="3477"/>
        <v>1138.405</v>
      </c>
      <c r="GA444" s="1316">
        <f t="shared" si="3477"/>
        <v>34.856</v>
      </c>
      <c r="GB444" s="1316">
        <f t="shared" si="3477"/>
        <v>560.261</v>
      </c>
      <c r="GC444" s="1317">
        <f t="shared" si="3477"/>
        <v>1173.261</v>
      </c>
      <c r="GD444" s="1316">
        <f t="shared" si="3477"/>
        <v>540.527</v>
      </c>
      <c r="GE444" s="1316">
        <f t="shared" si="3477"/>
        <v>417</v>
      </c>
      <c r="GF444" s="1316">
        <f>GE444+GD444</f>
        <v>957.527</v>
      </c>
      <c r="GG444" s="1316">
        <f>GG438-GG441+GG443</f>
        <v>655</v>
      </c>
      <c r="GH444" s="1316">
        <f>GG444+GF444</f>
        <v>1612.527</v>
      </c>
      <c r="GI444" s="1316">
        <f>GI438-GI441+GI443</f>
        <v>93.4730000000004</v>
      </c>
      <c r="GJ444" s="1316">
        <f>GI444+GG444</f>
        <v>748.473</v>
      </c>
      <c r="GK444" s="1317">
        <f>GJ444+GF444</f>
        <v>1706</v>
      </c>
      <c r="GL444" s="1316">
        <f>GL438-GL441+GL443</f>
        <v>630</v>
      </c>
      <c r="GM444" s="1316">
        <f>GM438-GM441+GM443</f>
        <v>461.774</v>
      </c>
      <c r="GN444" s="1316">
        <f>GM444+GL444</f>
        <v>1091.774</v>
      </c>
      <c r="GO444" s="1316">
        <f>GO438-GO441+GO443</f>
        <v>644</v>
      </c>
      <c r="GP444" s="1316">
        <f>GO444+GN444</f>
        <v>1735.774</v>
      </c>
      <c r="GQ444" s="1316">
        <f>GQ438-GQ441+GQ443</f>
        <v>180.226</v>
      </c>
      <c r="GR444" s="1316">
        <f>GQ444+GO444</f>
        <v>824.226</v>
      </c>
      <c r="GS444" s="1317">
        <f>GR444+GN444</f>
        <v>1916</v>
      </c>
      <c r="GT444" s="1316">
        <f>GT438-GT441+GT443</f>
        <v>24.629</v>
      </c>
      <c r="GU444" s="1316">
        <f>GU438-GU441+GU443</f>
        <v>-284</v>
      </c>
      <c r="GV444" s="1316">
        <f>GU444+GT444</f>
        <v>-259.371</v>
      </c>
      <c r="GW444" s="1316">
        <f>GW438-GW441+GW443</f>
        <v>547.030088559999</v>
      </c>
      <c r="GX444" s="1316">
        <f>GW444+GV444</f>
        <v>287.659088559998</v>
      </c>
      <c r="GY444" s="1316">
        <f>GY438-GY441+GY443</f>
        <v>130.340911440003</v>
      </c>
      <c r="GZ444" s="1316">
        <f>GY444+GW444</f>
        <v>677.371000000001</v>
      </c>
      <c r="HA444" s="1317">
        <f>GZ444+GV444</f>
        <v>418.000000000001</v>
      </c>
      <c r="HB444" s="1316">
        <f>HB438-HB441+HB443</f>
        <v>506.7535</v>
      </c>
      <c r="HC444" s="1316">
        <f>HC438-HC441+HC443</f>
        <v>376</v>
      </c>
      <c r="HD444" s="1316">
        <f>HC444+HB444</f>
        <v>882.7535</v>
      </c>
      <c r="HE444" s="1316">
        <f>HE438-HE441+HE443</f>
        <v>455</v>
      </c>
      <c r="HF444" s="1316">
        <f>HE444+HD444</f>
        <v>1337.7535</v>
      </c>
      <c r="HG444" s="1316">
        <f>HG438-HG441+HG443</f>
        <v>112.246499999999</v>
      </c>
      <c r="HH444" s="1316">
        <f>HG444+HE444</f>
        <v>567.246499999999</v>
      </c>
      <c r="HI444" s="1317">
        <f>HI438-HI441+HI443</f>
        <v>1450</v>
      </c>
      <c r="HJ444" s="1316">
        <f>HJ438-HJ441+HJ443</f>
        <v>302.000000000001</v>
      </c>
      <c r="HK444" s="1316">
        <f>HK438-HK441+HK443</f>
        <v>345.999999999999</v>
      </c>
      <c r="HL444" s="1316">
        <f>HK444+HJ444</f>
        <v>648</v>
      </c>
      <c r="HM444" s="1316">
        <f>HM438-HM441+HM443</f>
        <v>61.0000000000001</v>
      </c>
      <c r="HN444" s="1316">
        <f>HM444+HL444</f>
        <v>709</v>
      </c>
      <c r="HO444" s="1316">
        <f>HO438-HO441+HO443</f>
        <v>-481</v>
      </c>
      <c r="HP444" s="1316">
        <f>HO444+HM444</f>
        <v>-420</v>
      </c>
      <c r="HQ444" s="1317">
        <f>HQ438-HQ441+HQ443</f>
        <v>228</v>
      </c>
      <c r="HR444" s="1316">
        <f>HR438-HR441+HR443</f>
        <v>17.6447688564476</v>
      </c>
      <c r="HS444" s="1316">
        <f>HS438-HS441+HS443</f>
        <v>40.3533333333331</v>
      </c>
      <c r="HT444" s="1316">
        <f>HS444+HR444</f>
        <v>57.9981021897807</v>
      </c>
      <c r="HU444" s="1316">
        <f>HU438-HU441+HU443</f>
        <v>216.666000000001</v>
      </c>
      <c r="HV444" s="1316">
        <f>HU444+HT444</f>
        <v>274.664102189782</v>
      </c>
      <c r="HW444" s="1316">
        <f>HW438-HW441+HW443</f>
        <v>-349.664102189765</v>
      </c>
      <c r="HX444" s="1316">
        <f>HW444+HU444</f>
        <v>-132.998102189764</v>
      </c>
      <c r="HY444" s="1317">
        <f>HY438-HY441+HY443</f>
        <v>-74.999999999983</v>
      </c>
      <c r="HZ444" s="1316">
        <f>HZ438-HZ441+HZ443</f>
        <v>136.305</v>
      </c>
      <c r="IA444" s="1316">
        <f>IA438-IA441+IA443</f>
        <v>160.53</v>
      </c>
      <c r="IB444" s="1316">
        <f>IA444+HZ444</f>
        <v>296.835</v>
      </c>
      <c r="IC444" s="1316">
        <f>IC438-IC441+IC443</f>
        <v>396.229</v>
      </c>
      <c r="ID444" s="1316">
        <f>IC444+IB444</f>
        <v>693.064</v>
      </c>
      <c r="IE444" s="1316">
        <f>IE438-IE441+IE443</f>
        <v>-84.1290000000056</v>
      </c>
      <c r="IF444" s="1316">
        <f>IE444+IC444</f>
        <v>312.099999999994</v>
      </c>
      <c r="IG444" s="1317">
        <f>IG438-IG441+IG443</f>
        <v>608.934999999994</v>
      </c>
      <c r="IH444" s="1316">
        <f>IH438-IH441+IH443</f>
        <v>435</v>
      </c>
      <c r="II444" s="1316">
        <f>II438-II441+II443</f>
        <v>363</v>
      </c>
      <c r="IJ444" s="1316">
        <f>II444+IH444</f>
        <v>798</v>
      </c>
      <c r="IK444" s="1316">
        <f>IK438-IK441+IK443</f>
        <v>461</v>
      </c>
      <c r="IL444" s="1316">
        <f>IK444+IJ444</f>
        <v>1259</v>
      </c>
      <c r="IM444" s="1316">
        <f>IM438-IM441+IM443</f>
        <v>73.0000000000002</v>
      </c>
      <c r="IN444" s="1316">
        <f>IM444+IK444</f>
        <v>534</v>
      </c>
      <c r="IO444" s="1317">
        <f>IO438-IO441+IO443</f>
        <v>1332</v>
      </c>
      <c r="IP444" s="1316">
        <f>IP438-IP441+IP443</f>
        <v>511.25</v>
      </c>
      <c r="IQ444" s="1316">
        <f>IQ438-IQ441+IQ443</f>
        <v>368</v>
      </c>
      <c r="IR444" s="1316">
        <f>IQ444+IP444</f>
        <v>879.25</v>
      </c>
      <c r="IS444" s="1316">
        <f>IS438-IS441+IS443</f>
        <v>594</v>
      </c>
      <c r="IT444" s="1316">
        <f>IS444+IR444</f>
        <v>1473.25</v>
      </c>
      <c r="IU444" s="1316">
        <f>IU438-IU441+IU443</f>
        <v>180.999999999999</v>
      </c>
      <c r="IV444" s="1316">
        <f>IU444+IS444</f>
        <v>774.999999999999</v>
      </c>
      <c r="IW444" s="1317">
        <f>IW438-IW441+IW443</f>
        <v>1654.25</v>
      </c>
      <c r="IX444" s="1314"/>
      <c r="IY444" s="1049"/>
      <c r="IZ444" s="1049"/>
      <c r="JA444" s="1049"/>
      <c r="JB444" s="1049"/>
      <c r="JC444" s="1049"/>
      <c r="JD444" s="1049"/>
      <c r="JE444" s="1079"/>
      <c r="JF444" s="1037"/>
      <c r="JG444" s="1037"/>
      <c r="JH444" s="1037"/>
      <c r="JI444" s="1035"/>
      <c r="JJ444" s="1035"/>
      <c r="JK444" s="1035"/>
      <c r="JL444" s="1035"/>
      <c r="JM444" s="1035"/>
      <c r="JN444" s="1035"/>
      <c r="JO444" s="1035"/>
      <c r="JP444" s="1035"/>
      <c r="JQ444" s="1035"/>
      <c r="JR444" s="1035"/>
      <c r="JS444" s="1035"/>
      <c r="JT444" s="1035"/>
      <c r="JU444" s="1035"/>
      <c r="JV444" s="1035"/>
      <c r="JW444" s="1035"/>
      <c r="JX444" s="1035"/>
      <c r="JY444" s="1035"/>
    </row>
    <row r="445" s="883" customFormat="1" spans="1:285">
      <c r="A445" s="883" t="s">
        <v>142</v>
      </c>
      <c r="B445" s="1302" t="s">
        <v>173</v>
      </c>
      <c r="C445" s="1302" t="s">
        <v>173</v>
      </c>
      <c r="D445" s="1302" t="s">
        <v>173</v>
      </c>
      <c r="E445" s="1302" t="s">
        <v>173</v>
      </c>
      <c r="F445" s="1302" t="s">
        <v>173</v>
      </c>
      <c r="G445" s="1302" t="s">
        <v>173</v>
      </c>
      <c r="H445" s="1302" t="s">
        <v>173</v>
      </c>
      <c r="I445" s="1302" t="s">
        <v>173</v>
      </c>
      <c r="J445" s="1302">
        <f t="shared" ref="J445:AO445" si="3478">J444/B444-1</f>
        <v>-0.263649034749034</v>
      </c>
      <c r="K445" s="1302">
        <f t="shared" si="3478"/>
        <v>-0.424536862745098</v>
      </c>
      <c r="L445" s="1302">
        <f t="shared" si="3478"/>
        <v>-0.331988395335924</v>
      </c>
      <c r="M445" s="1302">
        <f t="shared" si="3478"/>
        <v>-0.424340559440559</v>
      </c>
      <c r="N445" s="1302">
        <f t="shared" si="3478"/>
        <v>-0.372862302692664</v>
      </c>
      <c r="O445" s="1302">
        <f t="shared" si="3478"/>
        <v>-0.645576136363636</v>
      </c>
      <c r="P445" s="1302">
        <f t="shared" si="3478"/>
        <v>-1.08989279957767</v>
      </c>
      <c r="Q445" s="1302">
        <f t="shared" si="3478"/>
        <v>-0.390247710808461</v>
      </c>
      <c r="R445" s="1302">
        <f t="shared" si="3478"/>
        <v>0.26239946380697</v>
      </c>
      <c r="S445" s="1302">
        <f t="shared" si="3478"/>
        <v>0.144643302933267</v>
      </c>
      <c r="T445" s="1302">
        <f t="shared" si="3478"/>
        <v>0.219310617860409</v>
      </c>
      <c r="U445" s="1302">
        <f t="shared" si="3478"/>
        <v>0.484525500095361</v>
      </c>
      <c r="V445" s="1302">
        <f t="shared" si="3478"/>
        <v>0.327056255104485</v>
      </c>
      <c r="W445" s="1302">
        <f t="shared" si="3478"/>
        <v>1.80517998159626</v>
      </c>
      <c r="X445" s="1302">
        <f t="shared" si="3478"/>
        <v>0.652007648183545</v>
      </c>
      <c r="Y445" s="1302">
        <f t="shared" si="3478"/>
        <v>0.381828182765765</v>
      </c>
      <c r="Z445" s="1302">
        <f t="shared" si="3478"/>
        <v>-0.0310591983010348</v>
      </c>
      <c r="AA445" s="1302">
        <f t="shared" si="3478"/>
        <v>-0.685450955171123</v>
      </c>
      <c r="AB445" s="1302">
        <f t="shared" si="3478"/>
        <v>-0.255848097358264</v>
      </c>
      <c r="AC445" s="1302">
        <f t="shared" si="3478"/>
        <v>-0.100450799516552</v>
      </c>
      <c r="AD445" s="1302">
        <f t="shared" si="3478"/>
        <v>-0.185225514797086</v>
      </c>
      <c r="AE445" s="1302">
        <f t="shared" si="3478"/>
        <v>-2.2099396056307</v>
      </c>
      <c r="AF445" s="1302">
        <f t="shared" si="3478"/>
        <v>-0.244054624740129</v>
      </c>
      <c r="AG445" s="1302">
        <f t="shared" si="3478"/>
        <v>-0.337531730670254</v>
      </c>
      <c r="AH445" s="1302">
        <f t="shared" si="3478"/>
        <v>-0.364383561643834</v>
      </c>
      <c r="AI445" s="1302">
        <f t="shared" si="3478"/>
        <v>0.870917269704695</v>
      </c>
      <c r="AJ445" s="1302">
        <f t="shared" si="3478"/>
        <v>-0.185019038122503</v>
      </c>
      <c r="AK445" s="1302">
        <f t="shared" si="3478"/>
        <v>0.196676051469352</v>
      </c>
      <c r="AL445" s="1302">
        <f t="shared" si="3478"/>
        <v>0.00649658442650192</v>
      </c>
      <c r="AM445" s="1302">
        <f t="shared" si="3478"/>
        <v>-1.03778591468061</v>
      </c>
      <c r="AN445" s="1302">
        <f t="shared" ref="AN445:BU445" si="3479">AN444/AF444-1</f>
        <v>0.611624065252048</v>
      </c>
      <c r="AO445" s="1302">
        <f t="shared" si="3478"/>
        <v>0.149969701573033</v>
      </c>
      <c r="AP445" s="1302">
        <f t="shared" si="3479"/>
        <v>-0.123262542403747</v>
      </c>
      <c r="AQ445" s="1302">
        <f t="shared" si="3479"/>
        <v>-0.325568377250075</v>
      </c>
      <c r="AR445" s="1302">
        <f t="shared" si="3479"/>
        <v>-0.190696607894757</v>
      </c>
      <c r="AS445" s="1302">
        <f t="shared" si="3479"/>
        <v>-0.201824401368301</v>
      </c>
      <c r="AT445" s="1302">
        <f t="shared" si="3479"/>
        <v>-0.19733497070953</v>
      </c>
      <c r="AU445" s="1302">
        <f t="shared" si="3479"/>
        <v>4</v>
      </c>
      <c r="AV445" s="1302">
        <f t="shared" si="3479"/>
        <v>-0.182460052025269</v>
      </c>
      <c r="AW445" s="1302">
        <f t="shared" si="3479"/>
        <v>-0.178386694559386</v>
      </c>
      <c r="AX445" s="1303">
        <f t="shared" si="3479"/>
        <v>-0.115384615384615</v>
      </c>
      <c r="AY445" s="1302">
        <f t="shared" si="3479"/>
        <v>0.225</v>
      </c>
      <c r="AZ445" s="1302">
        <f t="shared" si="3479"/>
        <v>-0.0208333333333334</v>
      </c>
      <c r="BA445" s="1302">
        <f t="shared" si="3479"/>
        <v>0.0857142857142856</v>
      </c>
      <c r="BB445" s="1302">
        <f t="shared" si="3479"/>
        <v>-0.217514124293785</v>
      </c>
      <c r="BC445" s="1302">
        <f t="shared" si="3479"/>
        <v>3.7752</v>
      </c>
      <c r="BD445" s="1302">
        <f t="shared" si="3479"/>
        <v>0.248872727272727</v>
      </c>
      <c r="BE445" s="1304">
        <f t="shared" si="3479"/>
        <v>-0.107824175824176</v>
      </c>
      <c r="BF445" s="1302">
        <f t="shared" si="3479"/>
        <v>-0.0652173913043478</v>
      </c>
      <c r="BG445" s="1302">
        <f t="shared" si="3479"/>
        <v>0.0310268367346946</v>
      </c>
      <c r="BH445" s="1302">
        <f t="shared" si="3479"/>
        <v>-0.0317708156028366</v>
      </c>
      <c r="BI445" s="1302">
        <f t="shared" si="3479"/>
        <v>0.149122807017544</v>
      </c>
      <c r="BJ445" s="1302">
        <f t="shared" si="3479"/>
        <v>0.438701498194946</v>
      </c>
      <c r="BK445" s="1302">
        <f t="shared" si="3479"/>
        <v>0.221427374769643</v>
      </c>
      <c r="BL445" s="1302">
        <f t="shared" si="3479"/>
        <v>0.16587176799441</v>
      </c>
      <c r="BM445" s="1302">
        <f t="shared" si="3479"/>
        <v>0.406753199364438</v>
      </c>
      <c r="BN445" s="1303">
        <f t="shared" si="3479"/>
        <v>0.218837209302325</v>
      </c>
      <c r="BO445" s="1302">
        <f t="shared" si="3479"/>
        <v>0.278693531503118</v>
      </c>
      <c r="BP445" s="1302">
        <f t="shared" si="3479"/>
        <v>0.240987467689332</v>
      </c>
      <c r="BQ445" s="1302">
        <f t="shared" si="3479"/>
        <v>0.145038167938931</v>
      </c>
      <c r="BR445" s="1302">
        <f t="shared" si="3479"/>
        <v>0.177907329517191</v>
      </c>
      <c r="BS445" s="1302">
        <f t="shared" si="3479"/>
        <v>-0.0741629747486525</v>
      </c>
      <c r="BT445" s="1302">
        <f t="shared" ref="BT445:CK445" si="3480">BT444/BL444-1</f>
        <v>0.105125534768373</v>
      </c>
      <c r="BU445" s="1304">
        <f t="shared" si="3479"/>
        <v>0.145725468509442</v>
      </c>
      <c r="BV445" s="1303">
        <f t="shared" si="3480"/>
        <v>0.640908223621447</v>
      </c>
      <c r="BW445" s="1302">
        <f t="shared" si="3480"/>
        <v>1.1671826625387</v>
      </c>
      <c r="BX445" s="1302">
        <f t="shared" si="3480"/>
        <v>0.841577145555425</v>
      </c>
      <c r="BY445" s="1302">
        <f t="shared" si="3480"/>
        <v>0.04</v>
      </c>
      <c r="BZ445" s="1302">
        <f t="shared" si="3480"/>
        <v>0.329299987218269</v>
      </c>
      <c r="CA445" s="1302">
        <f t="shared" si="3480"/>
        <v>-0.555555555555556</v>
      </c>
      <c r="CB445" s="1302">
        <f t="shared" si="3480"/>
        <v>-0.0508474576271186</v>
      </c>
      <c r="CC445" s="1304">
        <f t="shared" si="3480"/>
        <v>0.238011539490276</v>
      </c>
      <c r="CD445" s="1303">
        <f t="shared" si="3480"/>
        <v>0.465116279069767</v>
      </c>
      <c r="CE445" s="1302">
        <f t="shared" si="3480"/>
        <v>0.328571428571429</v>
      </c>
      <c r="CF445" s="1302">
        <f t="shared" si="3480"/>
        <v>0.403846153846154</v>
      </c>
      <c r="CG445" s="1302">
        <f t="shared" si="3480"/>
        <v>0.307692307692308</v>
      </c>
      <c r="CH445" s="1302">
        <f t="shared" si="3480"/>
        <v>0.355769230769231</v>
      </c>
      <c r="CI445" s="1302">
        <f t="shared" si="3480"/>
        <v>-0.666666666666667</v>
      </c>
      <c r="CJ445" s="1302">
        <f t="shared" si="3480"/>
        <v>0.238095238095238</v>
      </c>
      <c r="CK445" s="1304">
        <f t="shared" si="3480"/>
        <v>0.317901234567901</v>
      </c>
      <c r="CL445" s="1303">
        <v>0.142857142857143</v>
      </c>
      <c r="CM445" s="1302">
        <f t="shared" ref="CM445:CS445" si="3481">CM444/CE444-1</f>
        <v>-0.113978494623656</v>
      </c>
      <c r="CN445" s="1302">
        <f t="shared" si="3481"/>
        <v>0.0337899543378994</v>
      </c>
      <c r="CO445" s="1302">
        <f t="shared" si="3481"/>
        <v>0.194117647058824</v>
      </c>
      <c r="CP445" s="1302">
        <f t="shared" si="3481"/>
        <v>0.111111111111111</v>
      </c>
      <c r="CQ445" s="1302">
        <f t="shared" si="3481"/>
        <v>2.25</v>
      </c>
      <c r="CR445" s="1302">
        <f t="shared" si="3481"/>
        <v>0.237019230769231</v>
      </c>
      <c r="CS445" s="1304">
        <f t="shared" si="3481"/>
        <v>0.131147540983606</v>
      </c>
      <c r="CT445" s="1303">
        <f t="shared" ref="CT445:DA445" si="3482">CT444/CL444-1</f>
        <v>-0.111111111111111</v>
      </c>
      <c r="CU445" s="1302">
        <f t="shared" si="3482"/>
        <v>0.265776699029127</v>
      </c>
      <c r="CV445" s="1302">
        <f t="shared" si="3482"/>
        <v>0.0273851590106007</v>
      </c>
      <c r="CW445" s="1302">
        <f t="shared" si="3482"/>
        <v>0.220853858784893</v>
      </c>
      <c r="CX445" s="1302">
        <f t="shared" si="3482"/>
        <v>0.127659574468085</v>
      </c>
      <c r="CY445" s="1302">
        <f t="shared" si="3482"/>
        <v>0.615384615384615</v>
      </c>
      <c r="CZ445" s="1302">
        <f t="shared" si="3482"/>
        <v>0.237465993004275</v>
      </c>
      <c r="DA445" s="1304">
        <f t="shared" si="3482"/>
        <v>0.140786749482402</v>
      </c>
      <c r="DB445" s="1109">
        <f t="shared" ref="DB445:DI445" si="3483">DB444/CT444-1</f>
        <v>0.3203125</v>
      </c>
      <c r="DC445" s="1082">
        <f t="shared" si="3483"/>
        <v>0.706615532118888</v>
      </c>
      <c r="DD445" s="1082">
        <f t="shared" si="3483"/>
        <v>0.225279449699054</v>
      </c>
      <c r="DE445" s="1082">
        <f t="shared" si="3483"/>
        <v>0.0154673839946202</v>
      </c>
      <c r="DF445" s="1082">
        <f t="shared" si="3483"/>
        <v>0.109433962264151</v>
      </c>
      <c r="DG445" s="1082">
        <f t="shared" si="3483"/>
        <v>1.57142857142857</v>
      </c>
      <c r="DH445" s="1082">
        <f t="shared" si="3483"/>
        <v>0.121231155778895</v>
      </c>
      <c r="DI445" s="1085">
        <f t="shared" si="3483"/>
        <v>0.165154264972777</v>
      </c>
      <c r="DJ445" s="1082">
        <f t="shared" ref="DJ445:DQ445" si="3484">DJ444/DB444-1</f>
        <v>-0.971218934911243</v>
      </c>
      <c r="DK445" s="1082">
        <f t="shared" si="3484"/>
        <v>-0.949438202247191</v>
      </c>
      <c r="DL445" s="1082">
        <f t="shared" si="3484"/>
        <v>-0.951354385964912</v>
      </c>
      <c r="DM445" s="1082">
        <f t="shared" si="3484"/>
        <v>-0.294701986754967</v>
      </c>
      <c r="DN445" s="1082">
        <f t="shared" si="3484"/>
        <v>-0.61734693877551</v>
      </c>
      <c r="DO445" s="1082">
        <f t="shared" si="3484"/>
        <v>-0.62962962962963</v>
      </c>
      <c r="DP445" s="1082">
        <f t="shared" si="3484"/>
        <v>-0.352560224089636</v>
      </c>
      <c r="DQ445" s="1085">
        <f t="shared" si="3484"/>
        <v>-0.618380062305296</v>
      </c>
      <c r="DR445" s="1094">
        <f t="shared" ref="DR445:DX445" si="3485">DR444/DJ444-1</f>
        <v>33.5394736842105</v>
      </c>
      <c r="DS445" s="1094">
        <f t="shared" si="3485"/>
        <v>13</v>
      </c>
      <c r="DT445" s="1094">
        <f t="shared" si="3485"/>
        <v>20.2060011540681</v>
      </c>
      <c r="DU445" s="1094">
        <f t="shared" si="3485"/>
        <v>0.248826291079812</v>
      </c>
      <c r="DV445" s="1094">
        <f t="shared" si="3485"/>
        <v>1.48888888888889</v>
      </c>
      <c r="DW445" s="1094">
        <f t="shared" si="3485"/>
        <v>-0.65</v>
      </c>
      <c r="DX445" s="1094">
        <f t="shared" si="3485"/>
        <v>0.181122802159768</v>
      </c>
      <c r="DY445" s="1093">
        <f t="shared" ref="DY445:EH445" si="3486">DY444/DQ444-1</f>
        <v>1.31428571428571</v>
      </c>
      <c r="DZ445" s="1094">
        <f t="shared" si="3486"/>
        <v>0.244047619047619</v>
      </c>
      <c r="EA445" s="1094">
        <f t="shared" si="3486"/>
        <v>0.111111111111111</v>
      </c>
      <c r="EB445" s="1094">
        <f t="shared" si="3486"/>
        <v>0.187074829931973</v>
      </c>
      <c r="EC445" s="1094">
        <f t="shared" si="3486"/>
        <v>0.139097744360902</v>
      </c>
      <c r="ED445" s="1094">
        <f t="shared" si="3486"/>
        <v>0.164285714285714</v>
      </c>
      <c r="EE445" s="1094">
        <f t="shared" si="3486"/>
        <v>-6.57142857142857</v>
      </c>
      <c r="EF445" s="1094">
        <f t="shared" si="3486"/>
        <v>-0.032967032967033</v>
      </c>
      <c r="EG445" s="1093">
        <f t="shared" si="3486"/>
        <v>0.0811287477954146</v>
      </c>
      <c r="EH445" s="1094">
        <f t="shared" si="3486"/>
        <v>0.382775119617225</v>
      </c>
      <c r="EI445" s="1094">
        <f t="shared" ref="EI445:EO445" si="3487">EI444/EA444-1</f>
        <v>0.178571428571429</v>
      </c>
      <c r="EJ445" s="1094">
        <f t="shared" si="3487"/>
        <v>0.300859598853868</v>
      </c>
      <c r="EK445" s="1094">
        <f t="shared" si="3487"/>
        <v>0.135313531353135</v>
      </c>
      <c r="EL445" s="1094">
        <f t="shared" si="3487"/>
        <v>0.223926380368098</v>
      </c>
      <c r="EM445" s="1094">
        <f t="shared" si="3487"/>
        <v>6.02564102564103</v>
      </c>
      <c r="EN445" s="1094">
        <f t="shared" si="3487"/>
        <v>-0.734848484848485</v>
      </c>
      <c r="EO445" s="1093">
        <f t="shared" si="3487"/>
        <v>-0.145187601957586</v>
      </c>
      <c r="EP445" s="1094">
        <f t="shared" ref="EP445:EW445" si="3488">EP444/EH444-1</f>
        <v>0.0657439446366781</v>
      </c>
      <c r="EQ445" s="1094">
        <f t="shared" si="3488"/>
        <v>0.0272727272727273</v>
      </c>
      <c r="ER445" s="1094">
        <f t="shared" si="3488"/>
        <v>0.0517621145374449</v>
      </c>
      <c r="ES445" s="1094">
        <f t="shared" si="3488"/>
        <v>-0.0813953488372093</v>
      </c>
      <c r="ET445" s="1094">
        <f t="shared" si="3488"/>
        <v>-0.00563909774436089</v>
      </c>
      <c r="EU445" s="1094">
        <f t="shared" si="3488"/>
        <v>-0.967153284671533</v>
      </c>
      <c r="EV445" s="1094">
        <f t="shared" si="3488"/>
        <v>3.38571428571429</v>
      </c>
      <c r="EW445" s="1093">
        <f t="shared" si="3488"/>
        <v>0.5</v>
      </c>
      <c r="EX445" s="1094">
        <f t="shared" ref="EX445:FG445" si="3489">EX444/EP444-1</f>
        <v>-0.337662337662338</v>
      </c>
      <c r="EY445" s="1094">
        <f t="shared" si="3489"/>
        <v>-0.150442477876106</v>
      </c>
      <c r="EZ445" s="1094">
        <f t="shared" si="3489"/>
        <v>-0.267015706806283</v>
      </c>
      <c r="FA445" s="1094">
        <f t="shared" si="3489"/>
        <v>-0.104430379746835</v>
      </c>
      <c r="FB445" s="1094">
        <f t="shared" si="3489"/>
        <v>-0.208569628229364</v>
      </c>
      <c r="FC445" s="1094">
        <f t="shared" si="3489"/>
        <v>14.6666666666667</v>
      </c>
      <c r="FD445" s="1094">
        <f t="shared" si="3489"/>
        <v>-0.612377850162866</v>
      </c>
      <c r="FE445" s="1093">
        <f t="shared" si="3489"/>
        <v>-0.376590330788804</v>
      </c>
      <c r="FF445" s="1094">
        <f t="shared" si="3489"/>
        <v>0.0833333333333333</v>
      </c>
      <c r="FG445" s="1094">
        <f t="shared" si="3489"/>
        <v>0.0138888888888888</v>
      </c>
      <c r="FH445" s="1094">
        <f t="shared" ref="FH445:FM445" si="3490">FH444/EZ444-1</f>
        <v>0.0485714285714285</v>
      </c>
      <c r="FI445" s="1094">
        <f t="shared" si="3490"/>
        <v>0.0989399293286219</v>
      </c>
      <c r="FJ445" s="1094">
        <f t="shared" si="3490"/>
        <v>0.0796178343949046</v>
      </c>
      <c r="FK445" s="1094">
        <f t="shared" si="3490"/>
        <v>-0.680851063829787</v>
      </c>
      <c r="FL445" s="1094">
        <f t="shared" si="3490"/>
        <v>1.23529411764706</v>
      </c>
      <c r="FM445" s="1093">
        <f t="shared" si="3490"/>
        <v>0.291836734693877</v>
      </c>
      <c r="FN445" s="1094">
        <f t="shared" ref="FN445:GC445" si="3491">FN444/FF444-1</f>
        <v>0.588235294117647</v>
      </c>
      <c r="FO445" s="1094">
        <f t="shared" si="3491"/>
        <v>0.97945205479452</v>
      </c>
      <c r="FP445" s="1094">
        <f t="shared" si="3491"/>
        <v>0.741144414168937</v>
      </c>
      <c r="FQ445" s="1094">
        <f t="shared" si="3491"/>
        <v>0.237942122186495</v>
      </c>
      <c r="FR445" s="1094">
        <f t="shared" si="3491"/>
        <v>0.513274336283186</v>
      </c>
      <c r="FS445" s="1094">
        <f t="shared" si="3491"/>
        <v>-0.8</v>
      </c>
      <c r="FT445" s="1094">
        <f t="shared" si="3491"/>
        <v>0.413533834586466</v>
      </c>
      <c r="FU445" s="1094">
        <f t="shared" si="3491"/>
        <v>0.606635071090047</v>
      </c>
      <c r="FV445" s="1086">
        <f t="shared" si="3491"/>
        <v>0.296296296296296</v>
      </c>
      <c r="FW445" s="1094">
        <f t="shared" si="3491"/>
        <v>-0.453287197231834</v>
      </c>
      <c r="FX445" s="1094">
        <f t="shared" si="3491"/>
        <v>-0.0406885758998435</v>
      </c>
      <c r="FY445" s="1094">
        <f t="shared" si="3491"/>
        <v>0.364688311688312</v>
      </c>
      <c r="FZ445" s="1094">
        <f t="shared" si="3491"/>
        <v>0.109556530214425</v>
      </c>
      <c r="GA445" s="1094">
        <f t="shared" si="3491"/>
        <v>-4.87288888888889</v>
      </c>
      <c r="GB445" s="1094">
        <f t="shared" si="3491"/>
        <v>0.49005585106383</v>
      </c>
      <c r="GC445" s="1093">
        <f t="shared" si="3491"/>
        <v>0.153648967551622</v>
      </c>
      <c r="GD445" s="1087">
        <f t="shared" ref="GD445:GS445" si="3492">GD444/FV444-1</f>
        <v>0.187971428571428</v>
      </c>
      <c r="GE445" s="1094">
        <f t="shared" si="3492"/>
        <v>1.63924050632911</v>
      </c>
      <c r="GF445" s="1094">
        <f t="shared" si="3492"/>
        <v>0.562034257748776</v>
      </c>
      <c r="GG445" s="1094">
        <f t="shared" si="3492"/>
        <v>0.246657340527783</v>
      </c>
      <c r="GH445" s="1094">
        <f t="shared" si="3492"/>
        <v>0.416479196770921</v>
      </c>
      <c r="GI445" s="1094">
        <f t="shared" si="3492"/>
        <v>1.68169038329127</v>
      </c>
      <c r="GJ445" s="1094">
        <f t="shared" si="3492"/>
        <v>0.335936286837742</v>
      </c>
      <c r="GK445" s="1093">
        <f t="shared" si="3492"/>
        <v>0.45406691264774</v>
      </c>
      <c r="GL445" s="1087">
        <f t="shared" si="3492"/>
        <v>0.165529196506373</v>
      </c>
      <c r="GM445" s="1087">
        <f t="shared" si="3492"/>
        <v>0.10737170263789</v>
      </c>
      <c r="GN445" s="1094">
        <f t="shared" si="3492"/>
        <v>0.140201790654468</v>
      </c>
      <c r="GO445" s="1094">
        <f t="shared" si="3492"/>
        <v>-0.0167938931297712</v>
      </c>
      <c r="GP445" s="1094">
        <f t="shared" si="3492"/>
        <v>0.0764309682876629</v>
      </c>
      <c r="GQ445" s="1094">
        <f t="shared" si="3492"/>
        <v>0.928107581868556</v>
      </c>
      <c r="GR445" s="1094">
        <f t="shared" si="3492"/>
        <v>0.101210063689672</v>
      </c>
      <c r="GS445" s="1093">
        <f t="shared" si="3492"/>
        <v>0.123094958968347</v>
      </c>
      <c r="GT445" s="1087">
        <f t="shared" ref="GT445" si="3493">GT444/GL444-1</f>
        <v>-0.960906349206349</v>
      </c>
      <c r="GU445" s="1087">
        <f t="shared" ref="GU445" si="3494">GU444/GM444-1</f>
        <v>-1.61501946839796</v>
      </c>
      <c r="GV445" s="1094">
        <f t="shared" ref="GV445" si="3495">GV444/GN444-1</f>
        <v>-1.23756839785523</v>
      </c>
      <c r="GW445" s="1094">
        <f t="shared" ref="GW445" si="3496">GW444/GO444-1</f>
        <v>-0.150574396645965</v>
      </c>
      <c r="GX445" s="1094">
        <f t="shared" ref="GX445" si="3497">GX444/GP444-1</f>
        <v>-0.834276185402018</v>
      </c>
      <c r="GY445" s="1094">
        <f t="shared" ref="GY445" si="3498">GY444/GQ444-1</f>
        <v>-0.276791853339682</v>
      </c>
      <c r="GZ445" s="1094">
        <f t="shared" ref="GZ445" si="3499">GZ444/GR444-1</f>
        <v>-0.178173219481063</v>
      </c>
      <c r="HA445" s="1093">
        <f t="shared" ref="HA445" si="3500">HA444/GS444-1</f>
        <v>-0.781837160751565</v>
      </c>
      <c r="HB445" s="1087">
        <f t="shared" ref="HB445" si="3501">HB444/GT444-1</f>
        <v>19.5754801250559</v>
      </c>
      <c r="HC445" s="1087">
        <f t="shared" ref="HC445" si="3502">HC444/GU444-1</f>
        <v>-2.32394366197183</v>
      </c>
      <c r="HD445" s="1094">
        <f t="shared" ref="HD445" si="3503">HD444/GV444-1</f>
        <v>-4.40343947472924</v>
      </c>
      <c r="HE445" s="1094">
        <f t="shared" ref="HE445" si="3504">HE444/GW444-1</f>
        <v>-0.168235880410634</v>
      </c>
      <c r="HF445" s="1094">
        <f t="shared" ref="HF445" si="3505">HF444/GX444-1</f>
        <v>3.65048230075643</v>
      </c>
      <c r="HG445" s="1094">
        <f t="shared" ref="HG445" si="3506">HG444/GY444-1</f>
        <v>-0.138823729557336</v>
      </c>
      <c r="HH445" s="1094">
        <f t="shared" ref="HH445" si="3507">HH444/GZ444-1</f>
        <v>-0.162576342949435</v>
      </c>
      <c r="HI445" s="1093">
        <f t="shared" ref="HI445" si="3508">HI444/HA444-1</f>
        <v>2.46889952153109</v>
      </c>
      <c r="HJ445" s="1087">
        <f t="shared" ref="HJ445" si="3509">HJ444/HB444-1</f>
        <v>-0.40404950335814</v>
      </c>
      <c r="HK445" s="1087">
        <f t="shared" ref="HK445" si="3510">HK444/HC444-1</f>
        <v>-0.0797872340425542</v>
      </c>
      <c r="HL445" s="1094">
        <f t="shared" ref="HL445" si="3511">HL444/HD444-1</f>
        <v>-0.265933241839313</v>
      </c>
      <c r="HM445" s="1094">
        <f t="shared" ref="HM445" si="3512">HM444/HE444-1</f>
        <v>-0.865934065934066</v>
      </c>
      <c r="HN445" s="1094">
        <f t="shared" ref="HN445" si="3513">HN444/HF444-1</f>
        <v>-0.470006993067108</v>
      </c>
      <c r="HO445" s="1094">
        <f t="shared" ref="HO445" si="3514">HO444/HG444-1</f>
        <v>-5.28521156561678</v>
      </c>
      <c r="HP445" s="1094">
        <f t="shared" ref="HP445" si="3515">HP444/HH444-1</f>
        <v>-1.74041884789065</v>
      </c>
      <c r="HQ445" s="1093">
        <f t="shared" ref="HQ445" si="3516">HQ444/HI444-1</f>
        <v>-0.842758620689655</v>
      </c>
      <c r="HR445" s="1087">
        <f t="shared" ref="HR445" si="3517">HR444/HJ444-1</f>
        <v>-0.94157361305812</v>
      </c>
      <c r="HS445" s="1087">
        <f t="shared" ref="HS445" si="3518">HS444/HK444-1</f>
        <v>-0.883371868978806</v>
      </c>
      <c r="HT445" s="1094">
        <f t="shared" ref="HT445" si="3519">HT444/HL444-1</f>
        <v>-0.910496755879968</v>
      </c>
      <c r="HU445" s="1094">
        <f t="shared" ref="HU445" si="3520">HU444/HM444-1</f>
        <v>2.55190163934428</v>
      </c>
      <c r="HV445" s="1094">
        <f t="shared" ref="HV445" si="3521">HV444/HN444-1</f>
        <v>-0.612603523004539</v>
      </c>
      <c r="HW445" s="1094">
        <f t="shared" ref="HW445" si="3522">HW444/HO444-1</f>
        <v>-0.273047604595084</v>
      </c>
      <c r="HX445" s="1094">
        <f t="shared" ref="HX445" si="3523">HX444/HP444-1</f>
        <v>-0.683337851929134</v>
      </c>
      <c r="HY445" s="1093">
        <f t="shared" ref="HY445" si="3524">HY444/HQ444-1</f>
        <v>-1.32894736842098</v>
      </c>
      <c r="HZ445" s="1087">
        <f t="shared" ref="HZ445" si="3525">HZ444/HR444-1</f>
        <v>6.72495242691674</v>
      </c>
      <c r="IA445" s="1087">
        <f t="shared" ref="IA445" si="3526">IA444/HS444-1</f>
        <v>2.97811002808527</v>
      </c>
      <c r="IB445" s="1094">
        <f t="shared" ref="IB445" si="3527">IB444/HT444-1</f>
        <v>4.11801229337988</v>
      </c>
      <c r="IC445" s="1094">
        <f t="shared" ref="IC445" si="3528">IC444/HU444-1</f>
        <v>0.828754857707244</v>
      </c>
      <c r="ID445" s="1094">
        <f t="shared" ref="ID445" si="3529">ID444/HV444-1</f>
        <v>1.52331482153835</v>
      </c>
      <c r="IE445" s="1094">
        <f t="shared" ref="IE445" si="3530">IE444/HW444-1</f>
        <v>-0.759400523321813</v>
      </c>
      <c r="IF445" s="1094">
        <f t="shared" ref="IF445" si="3531">IF444/HX444-1</f>
        <v>-3.34665002628898</v>
      </c>
      <c r="IG445" s="1093">
        <f t="shared" ref="IG445" si="3532">IG444/HY444-1</f>
        <v>-9.11913333333509</v>
      </c>
      <c r="IH445" s="1087">
        <f t="shared" ref="IH445" si="3533">IH444/HZ444-1</f>
        <v>2.19137229008474</v>
      </c>
      <c r="II445" s="1087">
        <f t="shared" ref="II445" si="3534">II444/IA444-1</f>
        <v>1.26125957764904</v>
      </c>
      <c r="IJ445" s="1094">
        <f t="shared" ref="IJ445" si="3535">IJ444/IB444-1</f>
        <v>1.68836222143615</v>
      </c>
      <c r="IK445" s="1094">
        <f t="shared" ref="IK445" si="3536">IK444/IC444-1</f>
        <v>0.163468600228655</v>
      </c>
      <c r="IL445" s="1094">
        <f t="shared" ref="IL445" si="3537">IL444/ID444-1</f>
        <v>0.816571052601203</v>
      </c>
      <c r="IM445" s="1094">
        <f t="shared" ref="IM445" si="3538">IM444/IE444-1</f>
        <v>-1.86771505663915</v>
      </c>
      <c r="IN445" s="1094">
        <f t="shared" ref="IN445" si="3539">IN444/IF444-1</f>
        <v>0.710990067286158</v>
      </c>
      <c r="IO445" s="1093">
        <f t="shared" ref="IO445" si="3540">IO444/IG444-1</f>
        <v>1.18742558729587</v>
      </c>
      <c r="IP445" s="1087">
        <f t="shared" ref="IP445" si="3541">IP444/IH444-1</f>
        <v>0.175287356321838</v>
      </c>
      <c r="IQ445" s="1087">
        <f t="shared" ref="IQ445" si="3542">IQ444/II444-1</f>
        <v>0.0137741046831961</v>
      </c>
      <c r="IR445" s="1094">
        <f t="shared" ref="IR445" si="3543">IR444/IJ444-1</f>
        <v>0.101817042606516</v>
      </c>
      <c r="IS445" s="1094">
        <f t="shared" ref="IS445" si="3544">IS444/IK444-1</f>
        <v>0.288503253796096</v>
      </c>
      <c r="IT445" s="1094">
        <f t="shared" ref="IT445" si="3545">IT444/IL444-1</f>
        <v>0.170174741858618</v>
      </c>
      <c r="IU445" s="1094">
        <f t="shared" ref="IU445" si="3546">IU444/IM444-1</f>
        <v>1.4794520547945</v>
      </c>
      <c r="IV445" s="1094">
        <f t="shared" ref="IV445" si="3547">IV444/IN444-1</f>
        <v>0.45131086142322</v>
      </c>
      <c r="IW445" s="1093">
        <f t="shared" ref="IW445" si="3548">IW444/IO444-1</f>
        <v>0.241929429429429</v>
      </c>
      <c r="IX445" s="1322"/>
      <c r="IY445" s="1049"/>
      <c r="IZ445" s="1049"/>
      <c r="JA445" s="1049"/>
      <c r="JB445" s="1049"/>
      <c r="JC445" s="1049"/>
      <c r="JD445" s="1049"/>
      <c r="JE445" s="1080"/>
      <c r="JF445" s="1082"/>
      <c r="JG445" s="1082"/>
      <c r="JH445" s="1082"/>
    </row>
    <row r="446" hidden="1" spans="1:285">
      <c r="A446" s="1035" t="s">
        <v>145</v>
      </c>
      <c r="B446" s="1302">
        <v>0.103689380245772</v>
      </c>
      <c r="C446" s="1302">
        <v>0.102011561310282</v>
      </c>
      <c r="D446" s="1302">
        <f t="shared" ref="D446:BN446" si="3549">D444/D$388</f>
        <v>0.102970007198181</v>
      </c>
      <c r="E446" s="1302">
        <v>0.130679414154134</v>
      </c>
      <c r="F446" s="1302">
        <f t="shared" si="3549"/>
        <v>0.113634205478498</v>
      </c>
      <c r="G446" s="1302">
        <v>0.0333438416955647</v>
      </c>
      <c r="H446" s="1302">
        <f>H444/H$388</f>
        <v>-0.829726336534202</v>
      </c>
      <c r="I446" s="1302">
        <f t="shared" si="3549"/>
        <v>0.09851201469773</v>
      </c>
      <c r="J446" s="1302">
        <f t="shared" si="3549"/>
        <v>0.124624122953558</v>
      </c>
      <c r="K446" s="1302">
        <f t="shared" si="3549"/>
        <v>0.0823765786452354</v>
      </c>
      <c r="L446" s="1302">
        <f t="shared" si="3549"/>
        <v>0.104932215483411</v>
      </c>
      <c r="M446" s="1302">
        <f t="shared" si="3549"/>
        <v>0.109375</v>
      </c>
      <c r="N446" s="1302">
        <f t="shared" si="3549"/>
        <v>0.106692870988585</v>
      </c>
      <c r="O446" s="1302">
        <f t="shared" si="3549"/>
        <v>0.0153343388637507</v>
      </c>
      <c r="P446" s="1302">
        <f t="shared" si="3549"/>
        <v>0.052999594649372</v>
      </c>
      <c r="Q446" s="1302">
        <f t="shared" si="3549"/>
        <v>0.0873983308203615</v>
      </c>
      <c r="R446" s="1302">
        <f t="shared" si="3549"/>
        <v>0.109953298307064</v>
      </c>
      <c r="S446" s="1302">
        <f t="shared" si="3549"/>
        <v>0.0690636218518251</v>
      </c>
      <c r="T446" s="1302">
        <f t="shared" si="3549"/>
        <v>0.0913706332428517</v>
      </c>
      <c r="U446" s="1302">
        <f t="shared" si="3549"/>
        <v>0.111477894363504</v>
      </c>
      <c r="V446" s="1302">
        <f t="shared" si="3549"/>
        <v>0.0995292191328364</v>
      </c>
      <c r="W446" s="1302">
        <f t="shared" si="3549"/>
        <v>0.0302538859401294</v>
      </c>
      <c r="X446" s="1302">
        <f t="shared" si="3549"/>
        <v>0.0607082630691399</v>
      </c>
      <c r="Y446" s="1302">
        <f t="shared" si="3549"/>
        <v>0.0849046564074725</v>
      </c>
      <c r="Z446" s="1302">
        <f t="shared" si="3549"/>
        <v>0.0673929098966027</v>
      </c>
      <c r="AA446" s="1302">
        <f t="shared" si="3549"/>
        <v>0.0138392857142856</v>
      </c>
      <c r="AB446" s="1302">
        <f t="shared" si="3549"/>
        <v>0.0431487469684721</v>
      </c>
      <c r="AC446" s="1302">
        <f t="shared" si="3549"/>
        <v>0.0726842461122379</v>
      </c>
      <c r="AD446" s="1302">
        <f t="shared" si="3549"/>
        <v>0.0541993422716924</v>
      </c>
      <c r="AE446" s="1302">
        <f t="shared" si="3549"/>
        <v>-0.0258670664667664</v>
      </c>
      <c r="AF446" s="1302">
        <f t="shared" si="3549"/>
        <v>0.0329265468175011</v>
      </c>
      <c r="AG446" s="1302">
        <f t="shared" si="3549"/>
        <v>0.0380276572120723</v>
      </c>
      <c r="AH446" s="1302">
        <f t="shared" si="3549"/>
        <v>0.0426784400294336</v>
      </c>
      <c r="AI446" s="1302">
        <f t="shared" si="3549"/>
        <v>0.0248280973291289</v>
      </c>
      <c r="AJ446" s="1302">
        <f t="shared" si="3549"/>
        <v>0.0344278661180937</v>
      </c>
      <c r="AK446" s="1302">
        <f t="shared" si="3549"/>
        <v>0.0835238095238095</v>
      </c>
      <c r="AL446" s="1302">
        <f t="shared" si="3549"/>
        <v>0.0530198502554706</v>
      </c>
      <c r="AM446" s="1302">
        <f t="shared" si="3549"/>
        <v>0.000836820083682008</v>
      </c>
      <c r="AN446" s="1302">
        <f t="shared" si="3549"/>
        <v>0.048538961038961</v>
      </c>
      <c r="AO446" s="1302">
        <f t="shared" si="3549"/>
        <v>0.0413729624018572</v>
      </c>
      <c r="AP446" s="1302">
        <f t="shared" si="3549"/>
        <v>0.034278180619644</v>
      </c>
      <c r="AQ446" s="1302">
        <f t="shared" si="3549"/>
        <v>0.016025641025641</v>
      </c>
      <c r="AR446" s="1302">
        <f t="shared" si="3549"/>
        <v>0.0260397830018083</v>
      </c>
      <c r="AS446" s="1302">
        <f t="shared" si="3549"/>
        <v>0.0626118067978533</v>
      </c>
      <c r="AT446" s="1302">
        <f t="shared" si="3549"/>
        <v>0.039846915803692</v>
      </c>
      <c r="AU446" s="1302">
        <f t="shared" si="3549"/>
        <v>0.00358937544867193</v>
      </c>
      <c r="AV446" s="1302">
        <f t="shared" si="3549"/>
        <v>0.0358306188925081</v>
      </c>
      <c r="AW446" s="1302">
        <f t="shared" si="3549"/>
        <v>0.031191088260497</v>
      </c>
      <c r="AX446" s="1303">
        <f t="shared" si="3549"/>
        <v>0.0295250320924262</v>
      </c>
      <c r="AY446" s="1302">
        <f t="shared" si="3549"/>
        <v>0.0179093567251462</v>
      </c>
      <c r="AZ446" s="1302">
        <f t="shared" si="3549"/>
        <v>0.0240943267259057</v>
      </c>
      <c r="BA446" s="1302">
        <f t="shared" si="3549"/>
        <v>0.0636871508379888</v>
      </c>
      <c r="BB446" s="1302">
        <f t="shared" si="3549"/>
        <v>0.0438568714376187</v>
      </c>
      <c r="BC446" s="1302">
        <f t="shared" si="3549"/>
        <v>0.0171092798280186</v>
      </c>
      <c r="BD446" s="1302">
        <f t="shared" si="3549"/>
        <v>0.0431321821036107</v>
      </c>
      <c r="BE446" s="1304">
        <f t="shared" si="3549"/>
        <v>0.0356596025035687</v>
      </c>
      <c r="BF446" s="1302">
        <f t="shared" si="3549"/>
        <v>0.0262515262515263</v>
      </c>
      <c r="BG446" s="1302">
        <f t="shared" si="3549"/>
        <v>0.0167674460670428</v>
      </c>
      <c r="BH446" s="1302">
        <f t="shared" si="3549"/>
        <v>0.0217077937668946</v>
      </c>
      <c r="BI446" s="1302">
        <f t="shared" si="3549"/>
        <v>0.0702036441586281</v>
      </c>
      <c r="BJ446" s="1302">
        <f t="shared" si="3549"/>
        <v>0.0397685176130127</v>
      </c>
      <c r="BK446" s="1302">
        <f t="shared" si="3549"/>
        <v>0.0193003309066843</v>
      </c>
      <c r="BL446" s="1302">
        <f t="shared" si="3549"/>
        <v>0.0474275392360083</v>
      </c>
      <c r="BM446" s="1302">
        <f t="shared" si="3549"/>
        <v>0.0350261377750518</v>
      </c>
      <c r="BN446" s="1303">
        <f t="shared" si="3549"/>
        <v>0.0314020371479928</v>
      </c>
      <c r="BO446" s="1302">
        <f t="shared" ref="BO446:CJ446" si="3550">BO444/BO$388</f>
        <v>0.0232040229885057</v>
      </c>
      <c r="BP446" s="1302">
        <f t="shared" si="3550"/>
        <v>0.0276739627572689</v>
      </c>
      <c r="BQ446" s="1302">
        <f t="shared" si="3550"/>
        <v>0.0809498111171074</v>
      </c>
      <c r="BR446" s="1302">
        <f t="shared" si="3550"/>
        <v>0.0477635327635328</v>
      </c>
      <c r="BS446" s="1302">
        <f t="shared" si="3550"/>
        <v>0.0199409158050222</v>
      </c>
      <c r="BT446" s="1302">
        <f t="shared" si="3550"/>
        <v>0.0551917680074836</v>
      </c>
      <c r="BU446" s="1304">
        <f t="shared" si="3550"/>
        <v>0.0417533503509891</v>
      </c>
      <c r="BV446" s="1303">
        <f t="shared" si="3550"/>
        <v>0.0571428571428571</v>
      </c>
      <c r="BW446" s="1302">
        <f t="shared" si="3550"/>
        <v>0.0499643112062812</v>
      </c>
      <c r="BX446" s="1302">
        <f t="shared" si="3550"/>
        <v>0.0536820371644873</v>
      </c>
      <c r="BY446" s="1302">
        <f t="shared" si="3550"/>
        <v>0.0887372013651877</v>
      </c>
      <c r="BZ446" s="1302">
        <f t="shared" si="3550"/>
        <v>0.0668953687821612</v>
      </c>
      <c r="CA446" s="1302">
        <f t="shared" si="3550"/>
        <v>0.0100334448160535</v>
      </c>
      <c r="CB446" s="1302">
        <f t="shared" si="3550"/>
        <v>0.0496014171833481</v>
      </c>
      <c r="CC446" s="1304">
        <f t="shared" si="3550"/>
        <v>0.0552901023890785</v>
      </c>
      <c r="CD446" s="1303">
        <f t="shared" si="3550"/>
        <v>0.0753138075313808</v>
      </c>
      <c r="CE446" s="1302">
        <f t="shared" si="3550"/>
        <v>0.0613456464379947</v>
      </c>
      <c r="CF446" s="1302">
        <f t="shared" si="3550"/>
        <v>0.0686735653809972</v>
      </c>
      <c r="CG446" s="1302">
        <f t="shared" si="3550"/>
        <v>0.106029106029106</v>
      </c>
      <c r="CH446" s="1302">
        <f t="shared" si="3550"/>
        <v>0.0827302953256405</v>
      </c>
      <c r="CI446" s="1302">
        <f t="shared" si="3550"/>
        <v>0.00262984878369494</v>
      </c>
      <c r="CJ446" s="1302">
        <f t="shared" si="3550"/>
        <v>0.060377358490566</v>
      </c>
      <c r="CK446" s="1304">
        <f t="shared" ref="CK446:CP446" si="3551">CK444/CK$388</f>
        <v>0.0643653904130238</v>
      </c>
      <c r="CL446" s="1303">
        <v>0.0585603904026027</v>
      </c>
      <c r="CM446" s="1302">
        <f t="shared" si="3551"/>
        <v>0.0339373970345964</v>
      </c>
      <c r="CN446" s="1302">
        <f t="shared" si="3551"/>
        <v>0.0463269899733988</v>
      </c>
      <c r="CO446" s="1302">
        <f t="shared" si="3551"/>
        <v>0.0826042726347915</v>
      </c>
      <c r="CP446" s="1302">
        <f t="shared" si="3551"/>
        <v>0.0599795814190914</v>
      </c>
      <c r="CQ446" s="1302">
        <f t="shared" ref="CQ446:CV446" si="3552">CQ444/CQ$388</f>
        <v>0.00578291814946619</v>
      </c>
      <c r="CR446" s="1302">
        <f t="shared" si="3552"/>
        <v>0.0495091807334621</v>
      </c>
      <c r="CS446" s="1304">
        <f t="shared" si="3552"/>
        <v>0.0478976596588655</v>
      </c>
      <c r="CT446" s="1303">
        <f t="shared" si="3552"/>
        <v>0.0504334121355398</v>
      </c>
      <c r="CU446" s="1302">
        <f t="shared" si="3552"/>
        <v>0.0434583333333333</v>
      </c>
      <c r="CV446" s="1302">
        <f t="shared" si="3552"/>
        <v>0.0471040907249899</v>
      </c>
      <c r="CW446" s="1302">
        <f t="shared" ref="CW446:DI446" si="3553">CW444/CW$388</f>
        <v>0.101122067324039</v>
      </c>
      <c r="CX446" s="1302">
        <f t="shared" si="3553"/>
        <v>0.0672674197233151</v>
      </c>
      <c r="CY446" s="1302">
        <f t="shared" si="3553"/>
        <v>0.0086812732534105</v>
      </c>
      <c r="CZ446" s="1302">
        <f t="shared" si="3553"/>
        <v>0.0594029850746269</v>
      </c>
      <c r="DA446" s="1304">
        <f t="shared" si="3553"/>
        <v>0.0535055350553506</v>
      </c>
      <c r="DB446" s="1109">
        <f t="shared" si="3553"/>
        <v>0.0646766169154229</v>
      </c>
      <c r="DC446" s="1082">
        <f t="shared" si="3553"/>
        <v>0.0708035003977725</v>
      </c>
      <c r="DD446" s="1082">
        <f t="shared" si="3553"/>
        <v>0.0555880631948508</v>
      </c>
      <c r="DE446" s="1082">
        <f t="shared" si="3553"/>
        <v>0.0980837934394284</v>
      </c>
      <c r="DF446" s="1082">
        <f t="shared" si="3553"/>
        <v>0.0716548866682915</v>
      </c>
      <c r="DG446" s="1082">
        <f t="shared" si="3553"/>
        <v>0.0209627329192547</v>
      </c>
      <c r="DH446" s="1082">
        <f t="shared" si="3553"/>
        <v>0.0631299734748011</v>
      </c>
      <c r="DI446" s="1085">
        <f t="shared" si="3553"/>
        <v>0.0674937144350844</v>
      </c>
      <c r="DJ446" s="1082">
        <f t="shared" ref="DJ446:DQ446" si="3554">DJ444/DJ$388</f>
        <v>0.00188746604578968</v>
      </c>
      <c r="DK446" s="1082">
        <f t="shared" si="3554"/>
        <v>0.00366300366300367</v>
      </c>
      <c r="DL446" s="1082">
        <f t="shared" si="3554"/>
        <v>0.00275407230830354</v>
      </c>
      <c r="DM446" s="1082">
        <f t="shared" si="3554"/>
        <v>0.0737534626038781</v>
      </c>
      <c r="DN446" s="1082">
        <f t="shared" si="3554"/>
        <v>0.0283983339644074</v>
      </c>
      <c r="DO446" s="1082">
        <f t="shared" si="3554"/>
        <v>0.0081366965012205</v>
      </c>
      <c r="DP446" s="1082">
        <f t="shared" si="3554"/>
        <v>0.0432757910503651</v>
      </c>
      <c r="DQ446" s="1085">
        <f t="shared" si="3554"/>
        <v>0.0236008091706001</v>
      </c>
      <c r="DR446" s="1094">
        <f t="shared" ref="DR446:DX446" si="3555">DR444/DR$388</f>
        <v>0.06282722513089</v>
      </c>
      <c r="DS446" s="1094">
        <f t="shared" si="3555"/>
        <v>0.0431950634213233</v>
      </c>
      <c r="DT446" s="1094">
        <f t="shared" si="3555"/>
        <v>0.0525939177101968</v>
      </c>
      <c r="DU446" s="1094">
        <f t="shared" si="3555"/>
        <v>0.0767012687427912</v>
      </c>
      <c r="DV446" s="1094">
        <f t="shared" si="3555"/>
        <v>0.0618238021638331</v>
      </c>
      <c r="DW446" s="1094">
        <f t="shared" si="3555"/>
        <v>0.00238744884038199</v>
      </c>
      <c r="DX446" s="1094">
        <f t="shared" si="3555"/>
        <v>0.04265625</v>
      </c>
      <c r="DY446" s="1093">
        <f t="shared" ref="DY446:EH446" si="3556">DY444/DY$388</f>
        <v>0.0472894078398666</v>
      </c>
      <c r="DZ446" s="1094">
        <f t="shared" si="3556"/>
        <v>0.0638557897952948</v>
      </c>
      <c r="EA446" s="1094">
        <f t="shared" si="3556"/>
        <v>0.0456919060052219</v>
      </c>
      <c r="EB446" s="1094">
        <f t="shared" si="3556"/>
        <v>0.0550733785703014</v>
      </c>
      <c r="EC446" s="1094">
        <f t="shared" si="3556"/>
        <v>0.0809294871794872</v>
      </c>
      <c r="ED446" s="1094">
        <f t="shared" si="3556"/>
        <v>0.0646761234004563</v>
      </c>
      <c r="EE446" s="1094">
        <f t="shared" si="3556"/>
        <v>-0.0120333230484418</v>
      </c>
      <c r="EF446" s="1094">
        <f t="shared" si="3556"/>
        <v>0.0377952755905512</v>
      </c>
      <c r="EG446" s="1093">
        <f t="shared" si="3556"/>
        <v>0.0460141119951959</v>
      </c>
      <c r="EH446" s="1094">
        <f t="shared" si="3556"/>
        <v>0.0755753138075314</v>
      </c>
      <c r="EI446" s="1094">
        <f t="shared" ref="EI446:EP446" si="3557">EI444/EI$388</f>
        <v>0.0469149843616719</v>
      </c>
      <c r="EJ446" s="1094">
        <f t="shared" si="3557"/>
        <v>0.0618444353630296</v>
      </c>
      <c r="EK446" s="1094">
        <f t="shared" si="3557"/>
        <v>0.0824346992571292</v>
      </c>
      <c r="EL446" s="1094">
        <f t="shared" si="3557"/>
        <v>0.0693069306930693</v>
      </c>
      <c r="EM446" s="1094">
        <f t="shared" si="3557"/>
        <v>-0.0813297714455328</v>
      </c>
      <c r="EN446" s="1094">
        <f t="shared" si="3557"/>
        <v>0.00928135773004508</v>
      </c>
      <c r="EO446" s="1093">
        <f t="shared" si="3557"/>
        <v>0.035207955385339</v>
      </c>
      <c r="EP446" s="1094">
        <f t="shared" si="3557"/>
        <v>0.0821114369501466</v>
      </c>
      <c r="EQ446" s="1094">
        <f t="shared" ref="EQ446:FB446" si="3558">EQ444/EQ$388</f>
        <v>0.0501034584688147</v>
      </c>
      <c r="ER446" s="1094">
        <f t="shared" si="3558"/>
        <v>0.0669329969161761</v>
      </c>
      <c r="ES446" s="1094">
        <f t="shared" si="3558"/>
        <v>0.0814642949213715</v>
      </c>
      <c r="ET446" s="1094">
        <f t="shared" si="3558"/>
        <v>0.0720512122037592</v>
      </c>
      <c r="EU446" s="1094">
        <f t="shared" si="3558"/>
        <v>-0.00258695027306697</v>
      </c>
      <c r="EV446" s="1094">
        <f t="shared" si="3558"/>
        <v>0.0417232943734711</v>
      </c>
      <c r="EW446" s="1093">
        <f t="shared" si="3558"/>
        <v>0.0542368203146564</v>
      </c>
      <c r="EX446" s="1094">
        <f t="shared" si="3558"/>
        <v>0.0586038494685435</v>
      </c>
      <c r="EY446" s="1094">
        <f t="shared" si="3558"/>
        <v>0.0423778693349029</v>
      </c>
      <c r="EZ446" s="1094">
        <f t="shared" si="3558"/>
        <v>0.0508794882977177</v>
      </c>
      <c r="FA446" s="1094">
        <f t="shared" si="3558"/>
        <v>0.0699802176063304</v>
      </c>
      <c r="FB446" s="1094">
        <f t="shared" si="3558"/>
        <v>0.0574933626293143</v>
      </c>
      <c r="FC446" s="1094">
        <f t="shared" ref="FC446:FO446" si="3559">FC444/FC$388</f>
        <v>-0.0390581717451524</v>
      </c>
      <c r="FD446" s="1094">
        <f t="shared" si="3559"/>
        <v>0.0155474261823883</v>
      </c>
      <c r="FE446" s="1093">
        <f t="shared" si="3559"/>
        <v>0.0337163696415055</v>
      </c>
      <c r="FF446" s="1094">
        <f t="shared" si="3559"/>
        <v>0.0541268674993877</v>
      </c>
      <c r="FG446" s="1094">
        <f t="shared" si="3559"/>
        <v>0.0373688251855644</v>
      </c>
      <c r="FH446" s="1094">
        <f t="shared" si="3559"/>
        <v>0.0459324155193993</v>
      </c>
      <c r="FI446" s="1094">
        <f t="shared" si="3559"/>
        <v>0.0653773386588186</v>
      </c>
      <c r="FJ446" s="1094">
        <f t="shared" si="3559"/>
        <v>0.0531889856436809</v>
      </c>
      <c r="FK446" s="1094">
        <f t="shared" si="3559"/>
        <v>-0.0107965451055662</v>
      </c>
      <c r="FL446" s="1094">
        <f t="shared" si="3559"/>
        <v>0.0298039215686275</v>
      </c>
      <c r="FM446" s="1093">
        <f t="shared" si="3559"/>
        <v>0.037422406148389</v>
      </c>
      <c r="FN446" s="1094">
        <f t="shared" si="3559"/>
        <v>0.0736003355001048</v>
      </c>
      <c r="FO446" s="1094">
        <f t="shared" si="3559"/>
        <v>0.0653402667872485</v>
      </c>
      <c r="FP446" s="1094">
        <f t="shared" ref="FP446:FU446" si="3560">FP444/FP$388</f>
        <v>0.0695169712793734</v>
      </c>
      <c r="FQ446" s="1094">
        <f t="shared" si="3560"/>
        <v>0.0711382113821138</v>
      </c>
      <c r="FR446" s="1094">
        <f t="shared" si="3560"/>
        <v>0.0702547247329499</v>
      </c>
      <c r="FS446" s="1094">
        <f t="shared" si="3560"/>
        <v>-0.00192061459667093</v>
      </c>
      <c r="FT446" s="1094">
        <f t="shared" si="3560"/>
        <v>0.0372350960586255</v>
      </c>
      <c r="FU446" s="1094">
        <f t="shared" si="3560"/>
        <v>0.0527216174183515</v>
      </c>
      <c r="FV446" s="1086">
        <f t="shared" ref="FV446:GC446" si="3561">FV444/FV$388</f>
        <v>0.083547557840617</v>
      </c>
      <c r="FW446" s="1094">
        <f t="shared" si="3561"/>
        <v>0.0313616514489877</v>
      </c>
      <c r="FX446" s="1094">
        <f t="shared" si="3561"/>
        <v>0.0584700495993895</v>
      </c>
      <c r="FY446" s="1094">
        <f t="shared" si="3561"/>
        <v>0.0925334624867911</v>
      </c>
      <c r="FZ446" s="1094">
        <f t="shared" si="3561"/>
        <v>0.0704371364930083</v>
      </c>
      <c r="GA446" s="1094">
        <f t="shared" si="3561"/>
        <v>0.00689398734177215</v>
      </c>
      <c r="GB446" s="1094">
        <f t="shared" si="3561"/>
        <v>0.052194987888951</v>
      </c>
      <c r="GC446" s="1093">
        <f t="shared" si="3561"/>
        <v>0.0552955509473089</v>
      </c>
      <c r="GD446" s="1087">
        <f t="shared" ref="GD446:GK446" si="3562">GD444/GD$388</f>
        <v>0.0974273612112473</v>
      </c>
      <c r="GE446" s="1094">
        <f t="shared" si="3562"/>
        <v>0.0792624976240259</v>
      </c>
      <c r="GF446" s="1094">
        <f t="shared" si="3562"/>
        <v>0.0885860856693496</v>
      </c>
      <c r="GG446" s="1094">
        <f t="shared" si="3562"/>
        <v>0.111527328452239</v>
      </c>
      <c r="GH446" s="1094">
        <f t="shared" si="3562"/>
        <v>0.0966626903249011</v>
      </c>
      <c r="GI446" s="1094">
        <f t="shared" si="3562"/>
        <v>0.0178622205236003</v>
      </c>
      <c r="GJ446" s="1094">
        <f t="shared" si="3562"/>
        <v>0.0673935710426797</v>
      </c>
      <c r="GK446" s="1093">
        <f t="shared" si="3562"/>
        <v>0.0778462240474561</v>
      </c>
      <c r="GL446" s="1087">
        <f t="shared" ref="GL446:GS446" si="3563">GL444/GL$388</f>
        <v>0.107088220295767</v>
      </c>
      <c r="GM446" s="1087">
        <f t="shared" si="3563"/>
        <v>0.0838217462334363</v>
      </c>
      <c r="GN446" s="1094">
        <f t="shared" si="3563"/>
        <v>0.0958369030898877</v>
      </c>
      <c r="GO446" s="1094">
        <f t="shared" si="3563"/>
        <v>0.100468018720749</v>
      </c>
      <c r="GP446" s="1094">
        <f t="shared" si="3563"/>
        <v>0.0975044377036288</v>
      </c>
      <c r="GQ446" s="1094">
        <f t="shared" si="3563"/>
        <v>0.0308659016954959</v>
      </c>
      <c r="GR446" s="1094">
        <f t="shared" si="3563"/>
        <v>0.0672892481018859</v>
      </c>
      <c r="GS446" s="1093">
        <f t="shared" si="3563"/>
        <v>0.081045641047333</v>
      </c>
      <c r="GT446" s="1087">
        <f t="shared" ref="GT446:HA446" si="3564">GT444/GT$388</f>
        <v>0.00518177992846622</v>
      </c>
      <c r="GU446" s="1087">
        <f t="shared" si="3564"/>
        <v>-0.0793596015477358</v>
      </c>
      <c r="GV446" s="1094">
        <f t="shared" si="3564"/>
        <v>-0.0311308196326609</v>
      </c>
      <c r="GW446" s="1094">
        <f t="shared" si="3564"/>
        <v>0.0917170616475767</v>
      </c>
      <c r="GX446" s="1094">
        <f t="shared" si="3564"/>
        <v>0.0201216922448558</v>
      </c>
      <c r="GY446" s="1094">
        <f t="shared" si="3564"/>
        <v>0.0234931836970635</v>
      </c>
      <c r="GZ446" s="1094">
        <f t="shared" si="3564"/>
        <v>0.0588386231728649</v>
      </c>
      <c r="HA446" s="1093">
        <f t="shared" si="3564"/>
        <v>0.0210643015521065</v>
      </c>
      <c r="HB446" s="1087">
        <f t="shared" ref="HB446:HI446" si="3565">HB444/HB$388</f>
        <v>0.0961946659073652</v>
      </c>
      <c r="HC446" s="1087">
        <f t="shared" si="3565"/>
        <v>0.0740594839472129</v>
      </c>
      <c r="HD446" s="1094">
        <f t="shared" si="3565"/>
        <v>0.0853314161430642</v>
      </c>
      <c r="HE446" s="1094">
        <f t="shared" si="3565"/>
        <v>0.0791029207232267</v>
      </c>
      <c r="HF446" s="1094">
        <f t="shared" si="3565"/>
        <v>0.083105765049388</v>
      </c>
      <c r="HG446" s="1094">
        <f t="shared" si="3565"/>
        <v>0.0218505937317499</v>
      </c>
      <c r="HH446" s="1094">
        <f t="shared" si="3565"/>
        <v>0.0520935347598493</v>
      </c>
      <c r="HI446" s="1093">
        <f t="shared" si="3565"/>
        <v>0.0682867099934067</v>
      </c>
      <c r="HJ446" s="1087">
        <f t="shared" ref="HJ446:HQ446" si="3566">HJ444/HJ$388</f>
        <v>0.0569596378725011</v>
      </c>
      <c r="HK446" s="1087">
        <f t="shared" si="3566"/>
        <v>0.0618188315168839</v>
      </c>
      <c r="HL446" s="1094">
        <f t="shared" si="3566"/>
        <v>0.0594549958711808</v>
      </c>
      <c r="HM446" s="1094">
        <f t="shared" si="3566"/>
        <v>0.00951935081148565</v>
      </c>
      <c r="HN446" s="1094">
        <f t="shared" si="3566"/>
        <v>0.040966083087768</v>
      </c>
      <c r="HO446" s="1094">
        <f t="shared" si="3566"/>
        <v>-0.0924289008455035</v>
      </c>
      <c r="HP446" s="1094">
        <f t="shared" si="3566"/>
        <v>-0.0358086793418024</v>
      </c>
      <c r="HQ446" s="1093">
        <f t="shared" si="3566"/>
        <v>0.0101283816800675</v>
      </c>
      <c r="HR446" s="1087">
        <f t="shared" ref="HR446:HY446" si="3567">HR444/HR$388</f>
        <v>0.00334561411764271</v>
      </c>
      <c r="HS446" s="1087">
        <f t="shared" si="3567"/>
        <v>0.00816373322543659</v>
      </c>
      <c r="HT446" s="1094">
        <f t="shared" si="3567"/>
        <v>0.00569111001764112</v>
      </c>
      <c r="HU446" s="1094">
        <f t="shared" si="3567"/>
        <v>0.038354753053638</v>
      </c>
      <c r="HV446" s="1094">
        <f t="shared" si="3567"/>
        <v>0.0173640221386889</v>
      </c>
      <c r="HW446" s="1094">
        <f t="shared" si="3567"/>
        <v>-0.0726650253927192</v>
      </c>
      <c r="HX446" s="1094">
        <f t="shared" si="3567"/>
        <v>-0.0127137082678294</v>
      </c>
      <c r="HY446" s="1093">
        <f t="shared" si="3567"/>
        <v>-0.00362704323435453</v>
      </c>
      <c r="HZ446" s="1087">
        <f t="shared" ref="HZ446:IG446" si="3568">HZ444/HZ$388</f>
        <v>0.0256791635267521</v>
      </c>
      <c r="IA446" s="1087">
        <f t="shared" si="3568"/>
        <v>0.0285538954108858</v>
      </c>
      <c r="IB446" s="1094">
        <f t="shared" si="3568"/>
        <v>0.0271578225068618</v>
      </c>
      <c r="IC446" s="1094">
        <f t="shared" si="3568"/>
        <v>0.0635185957037512</v>
      </c>
      <c r="ID446" s="1094">
        <f t="shared" si="3568"/>
        <v>0.0404354725787631</v>
      </c>
      <c r="IE446" s="1094">
        <f t="shared" si="3568"/>
        <v>-0.0143442455242976</v>
      </c>
      <c r="IF446" s="1094">
        <f t="shared" si="3568"/>
        <v>0.025769961192304</v>
      </c>
      <c r="IG446" s="1093">
        <f t="shared" si="3568"/>
        <v>0.0264375027134978</v>
      </c>
      <c r="IH446" s="1087">
        <f t="shared" ref="IH446:IO446" si="3569">IH444/IH$388</f>
        <v>0.0706972208678693</v>
      </c>
      <c r="II446" s="1087">
        <f t="shared" si="3569"/>
        <v>0.0609879032258065</v>
      </c>
      <c r="IJ446" s="1094">
        <f t="shared" si="3569"/>
        <v>0.0659231722428749</v>
      </c>
      <c r="IK446" s="1094">
        <f t="shared" si="3569"/>
        <v>0.0695324283559577</v>
      </c>
      <c r="IL446" s="1094">
        <f t="shared" si="3569"/>
        <v>0.0673010103169936</v>
      </c>
      <c r="IM446" s="1094">
        <f t="shared" si="3569"/>
        <v>0.0120144832126399</v>
      </c>
      <c r="IN446" s="1094">
        <f t="shared" si="3569"/>
        <v>0.0421834268109645</v>
      </c>
      <c r="IO446" s="1093">
        <f t="shared" si="3569"/>
        <v>0.0536858651404619</v>
      </c>
      <c r="IP446" s="1087">
        <f t="shared" ref="IP446:IW446" si="3570">IP444/IP$388</f>
        <v>0.0775561286407767</v>
      </c>
      <c r="IQ446" s="1087">
        <f t="shared" si="3570"/>
        <v>0.0545751149340057</v>
      </c>
      <c r="IR446" s="1094">
        <f t="shared" si="3570"/>
        <v>0.0659355080614923</v>
      </c>
      <c r="IS446" s="1094">
        <f t="shared" si="3570"/>
        <v>0.0815707657840267</v>
      </c>
      <c r="IT446" s="1094">
        <f t="shared" si="3570"/>
        <v>0.0714579485453949</v>
      </c>
      <c r="IU446" s="1094">
        <f t="shared" si="3570"/>
        <v>0.0277781592498538</v>
      </c>
      <c r="IV446" s="1094">
        <f t="shared" si="3570"/>
        <v>0.0561678407596699</v>
      </c>
      <c r="IW446" s="1093">
        <f t="shared" si="3570"/>
        <v>0.0609683484055073</v>
      </c>
      <c r="IX446" s="1087"/>
      <c r="IY446" s="1049"/>
      <c r="IZ446" s="1049"/>
      <c r="JA446" s="1049"/>
      <c r="JB446" s="1049"/>
      <c r="JC446" s="1049"/>
      <c r="JD446" s="1049"/>
      <c r="JE446" s="1080"/>
      <c r="JF446" s="1037"/>
      <c r="JG446" s="1037"/>
      <c r="JH446" s="1037"/>
      <c r="JI446" s="1035"/>
      <c r="JJ446" s="1035"/>
      <c r="JK446" s="1035"/>
      <c r="JL446" s="1035"/>
      <c r="JM446" s="1035"/>
      <c r="JN446" s="1035"/>
      <c r="JO446" s="1035"/>
      <c r="JP446" s="1035"/>
      <c r="JQ446" s="1035"/>
      <c r="JR446" s="1035"/>
      <c r="JS446" s="1035"/>
      <c r="JT446" s="1035"/>
      <c r="JU446" s="1035"/>
      <c r="JV446" s="1035"/>
      <c r="JW446" s="1035"/>
      <c r="JX446" s="1035"/>
      <c r="JY446" s="1035"/>
    </row>
    <row r="447" s="1028" customFormat="1" hidden="1" spans="1:285">
      <c r="A447" s="1364" t="s">
        <v>596</v>
      </c>
      <c r="B447" s="1365">
        <v>2.28445424476295</v>
      </c>
      <c r="C447" s="1365">
        <v>1.68687982359427</v>
      </c>
      <c r="D447" s="1365">
        <f>B447+C447</f>
        <v>3.97133406835722</v>
      </c>
      <c r="E447" s="1365">
        <v>3.15325248070562</v>
      </c>
      <c r="F447" s="1365">
        <f>D447+E447</f>
        <v>7.12458654906284</v>
      </c>
      <c r="G447" s="1365">
        <v>0.485115766262403</v>
      </c>
      <c r="H447" s="1365">
        <f>B447+G447</f>
        <v>2.76957001102536</v>
      </c>
      <c r="I447" s="1365">
        <f>F447+G447</f>
        <v>7.60970231532525</v>
      </c>
      <c r="J447" s="1365">
        <v>1.68216008820287</v>
      </c>
      <c r="K447" s="1365">
        <v>0.970737155457553</v>
      </c>
      <c r="L447" s="1365">
        <f>J447+K447</f>
        <v>2.65289724366042</v>
      </c>
      <c r="M447" s="1365">
        <v>1.81519955898567</v>
      </c>
      <c r="N447" s="1365">
        <f>L447+M447</f>
        <v>4.46809680264609</v>
      </c>
      <c r="O447" s="1365">
        <v>0.171936604189637</v>
      </c>
      <c r="P447" s="1365">
        <f>J447+O447</f>
        <v>1.8540966923925</v>
      </c>
      <c r="Q447" s="1365">
        <f>N447+O447</f>
        <v>4.64003340683573</v>
      </c>
      <c r="R447" s="1365">
        <v>1.87551830209482</v>
      </c>
      <c r="S447" s="1365">
        <v>0.654373803748623</v>
      </c>
      <c r="T447" s="1365">
        <f>R447+S447</f>
        <v>2.52989210584344</v>
      </c>
      <c r="U447" s="1365">
        <v>2.3112789415656</v>
      </c>
      <c r="V447" s="1365">
        <f>T447+U447</f>
        <v>4.84117104740904</v>
      </c>
      <c r="W447" s="1365">
        <v>0.124019845644985</v>
      </c>
      <c r="X447" s="1365">
        <f>R447+W447</f>
        <v>1.9995381477398</v>
      </c>
      <c r="Y447" s="1365">
        <f>V447+W447</f>
        <v>4.96519089305403</v>
      </c>
      <c r="Z447" s="1365">
        <v>2.0576019845645</v>
      </c>
      <c r="AA447" s="1365">
        <v>0.349510474090405</v>
      </c>
      <c r="AB447" s="1365">
        <f>Z447+AA447</f>
        <v>2.40711245865491</v>
      </c>
      <c r="AC447" s="1365">
        <v>2.42402425578831</v>
      </c>
      <c r="AD447" s="1365">
        <f>AB447+AC447</f>
        <v>4.83113671444322</v>
      </c>
      <c r="AE447" s="1365">
        <v>-0.583569746416754</v>
      </c>
      <c r="AF447" s="1365">
        <f>Z447+AE447</f>
        <v>1.47403223814775</v>
      </c>
      <c r="AG447" s="1365">
        <f>AD447+AE447</f>
        <v>4.24756696802646</v>
      </c>
      <c r="AH447" s="1365">
        <v>1.30784564498347</v>
      </c>
      <c r="AI447" s="1365">
        <v>0.653905181918415</v>
      </c>
      <c r="AJ447" s="1365">
        <f>AH447+AI447</f>
        <v>1.96175082690188</v>
      </c>
      <c r="AK447" s="1365">
        <v>2.90077177508269</v>
      </c>
      <c r="AL447" s="1365">
        <f>AJ447+AK447</f>
        <v>4.86252260198457</v>
      </c>
      <c r="AM447" s="1365">
        <v>0.0220507166482911</v>
      </c>
      <c r="AN447" s="1365">
        <f>AH447+AM447</f>
        <v>1.32989636163176</v>
      </c>
      <c r="AO447" s="1365">
        <f>AL447+AM447</f>
        <v>4.88457331863286</v>
      </c>
      <c r="AP447" s="1365">
        <v>1.13663726571114</v>
      </c>
      <c r="AQ447" s="1365">
        <v>0.441014332965821</v>
      </c>
      <c r="AR447" s="1365">
        <f>AP447+AQ447</f>
        <v>1.57765159867696</v>
      </c>
      <c r="AS447" s="1365">
        <v>2.31532524807056</v>
      </c>
      <c r="AT447" s="1365">
        <f>AR447+AS447</f>
        <v>3.89297684674752</v>
      </c>
      <c r="AU447" s="1365">
        <v>0.1</v>
      </c>
      <c r="AV447" s="1365">
        <f>AP447+AU447</f>
        <v>1.23663726571114</v>
      </c>
      <c r="AW447" s="1365">
        <f>AT447+AU447</f>
        <v>3.99297684674752</v>
      </c>
      <c r="AX447" s="1366">
        <v>1.02</v>
      </c>
      <c r="AY447" s="1365">
        <v>0.540242557883131</v>
      </c>
      <c r="AZ447" s="1365">
        <f>AX447+AY447</f>
        <v>1.56024255788313</v>
      </c>
      <c r="BA447" s="1365">
        <v>2.51378169790518</v>
      </c>
      <c r="BB447" s="1365">
        <f>AY447+BA447</f>
        <v>3.05402425578831</v>
      </c>
      <c r="BC447" s="1365">
        <v>0.526482910694598</v>
      </c>
      <c r="BD447" s="1365">
        <f>AX447+BC447</f>
        <v>1.5464829106946</v>
      </c>
      <c r="BE447" s="1367">
        <f>BB447+BC447</f>
        <v>3.58050716648291</v>
      </c>
      <c r="BF447" s="1365">
        <v>0.237045203969129</v>
      </c>
      <c r="BG447" s="1365">
        <v>0.139251143880926</v>
      </c>
      <c r="BH447" s="1365">
        <f>BF447+BG447</f>
        <v>0.376296347850055</v>
      </c>
      <c r="BI447" s="1365">
        <v>0.722160970231532</v>
      </c>
      <c r="BJ447" s="1365">
        <f>BH447+BI447</f>
        <v>1.09845731808159</v>
      </c>
      <c r="BK447" s="1365">
        <v>0.160765159867696</v>
      </c>
      <c r="BL447" s="1365">
        <f>BF447+BK447</f>
        <v>0.397810363836825</v>
      </c>
      <c r="BM447" s="1365">
        <f>BJ447+BK447</f>
        <v>1.25922247794928</v>
      </c>
      <c r="BN447" s="1366">
        <v>1.13</v>
      </c>
      <c r="BO447" s="1365">
        <v>0.177714922815603</v>
      </c>
      <c r="BP447" s="1365">
        <f>BN447+BO447</f>
        <v>1.3077149228156</v>
      </c>
      <c r="BQ447" s="1365">
        <v>3.31</v>
      </c>
      <c r="BR447" s="1365">
        <f>BP447+BQ447</f>
        <v>4.6177149228156</v>
      </c>
      <c r="BS447" s="1365">
        <v>0.58</v>
      </c>
      <c r="BT447" s="1365">
        <f>BN447+BS447</f>
        <v>1.71</v>
      </c>
      <c r="BU447" s="1367">
        <f>BR447+BS447</f>
        <v>5.1977149228156</v>
      </c>
      <c r="BV447" s="1366">
        <v>1.92</v>
      </c>
      <c r="BW447" s="1365">
        <v>1.51</v>
      </c>
      <c r="BX447" s="1365">
        <f>BV447+BW447</f>
        <v>3.43</v>
      </c>
      <c r="BY447" s="1365">
        <v>3.45</v>
      </c>
      <c r="BZ447" s="1365">
        <f>BX447+BY447</f>
        <v>6.88</v>
      </c>
      <c r="CA447" s="1365">
        <v>0.3</v>
      </c>
      <c r="CB447" s="1365">
        <f>BV447+CA447</f>
        <v>2.22</v>
      </c>
      <c r="CC447" s="1367">
        <f>BZ447+CA447</f>
        <v>7.18</v>
      </c>
      <c r="CD447" s="1366">
        <v>2.59</v>
      </c>
      <c r="CE447" s="1365">
        <v>0.48</v>
      </c>
      <c r="CF447" s="1365">
        <f>CD447+CE447</f>
        <v>3.07</v>
      </c>
      <c r="CG447" s="1365">
        <v>1.09773803703</v>
      </c>
      <c r="CH447" s="1365">
        <f>CF447+CG447</f>
        <v>4.16773803703</v>
      </c>
      <c r="CI447" s="1365">
        <v>0.11</v>
      </c>
      <c r="CJ447" s="1365">
        <f>CD447+CI447</f>
        <v>2.7</v>
      </c>
      <c r="CK447" s="1367">
        <f>CH447+CI447</f>
        <v>4.27773803703</v>
      </c>
      <c r="CL447" s="1366">
        <v>0.668767080143107</v>
      </c>
      <c r="CM447" s="1368">
        <v>0.39</v>
      </c>
      <c r="CN447" s="1368">
        <f>CL447+CM447</f>
        <v>1.05876708014311</v>
      </c>
      <c r="CO447" s="1365">
        <f t="shared" ref="CO447:CT447" si="3571">CO438/CO455</f>
        <v>1.14135886912905</v>
      </c>
      <c r="CP447" s="1365">
        <f t="shared" si="3571"/>
        <v>2.20246238030096</v>
      </c>
      <c r="CQ447" s="1365">
        <f t="shared" si="3571"/>
        <v>0.063837365447249</v>
      </c>
      <c r="CR447" s="1365">
        <f t="shared" si="3571"/>
        <v>1.20515826340771</v>
      </c>
      <c r="CS447" s="1367">
        <f t="shared" si="3571"/>
        <v>2.26166666155968</v>
      </c>
      <c r="CT447" s="1366">
        <f t="shared" si="3571"/>
        <v>0.589583668023521</v>
      </c>
      <c r="CU447" s="1365">
        <v>0.49</v>
      </c>
      <c r="CV447" s="1365">
        <f>CV438/CV455</f>
        <v>1.09744966442953</v>
      </c>
      <c r="CW447" s="1365">
        <f>CW438/CW455</f>
        <v>1.41127516778523</v>
      </c>
      <c r="CX447" s="1365">
        <v>2.46</v>
      </c>
      <c r="CY447" s="1365">
        <f>DA447-CX447</f>
        <v>0.11</v>
      </c>
      <c r="CZ447" s="1365">
        <f>CY447+CW447</f>
        <v>1.52127516778523</v>
      </c>
      <c r="DA447" s="1367">
        <v>2.57</v>
      </c>
      <c r="DB447" s="1369">
        <v>0.79</v>
      </c>
      <c r="DC447" s="1370">
        <f>DD447-DB447</f>
        <v>0.63</v>
      </c>
      <c r="DD447" s="1370">
        <v>1.42</v>
      </c>
      <c r="DE447" s="1370">
        <v>1.44</v>
      </c>
      <c r="DF447" s="1370">
        <v>2.78</v>
      </c>
      <c r="DG447" s="1370">
        <f>DI447-DF447</f>
        <v>0.29</v>
      </c>
      <c r="DH447" s="1370">
        <f>DI447-DD447</f>
        <v>1.65</v>
      </c>
      <c r="DI447" s="1371">
        <f>'Profit and Loss'!O404</f>
        <v>3.07</v>
      </c>
      <c r="DJ447" s="1370">
        <f t="shared" ref="DJ447:DV447" si="3572">DJ444/DJ455</f>
        <v>0.0232437379941004</v>
      </c>
      <c r="DK447" s="1370">
        <f t="shared" si="3572"/>
        <v>0.0430085612555312</v>
      </c>
      <c r="DL447" s="1370">
        <f t="shared" si="3572"/>
        <v>0.0662522992496316</v>
      </c>
      <c r="DM447" s="1370">
        <f t="shared" si="3572"/>
        <v>1.01793297783991</v>
      </c>
      <c r="DN447" s="1370">
        <f t="shared" si="3572"/>
        <v>1.13008538422903</v>
      </c>
      <c r="DO447" s="1370">
        <f t="shared" si="3572"/>
        <v>0.100452034153692</v>
      </c>
      <c r="DP447" s="1370">
        <f t="shared" si="3572"/>
        <v>1.16090406830738</v>
      </c>
      <c r="DQ447" s="1370">
        <f t="shared" si="3572"/>
        <v>1.22011952191235</v>
      </c>
      <c r="DR447" s="1369">
        <f t="shared" si="3572"/>
        <v>0.80299714478114</v>
      </c>
      <c r="DS447" s="1370">
        <f t="shared" si="3572"/>
        <v>0.602247858585855</v>
      </c>
      <c r="DT447" s="1370">
        <f t="shared" si="3572"/>
        <v>1.405245003367</v>
      </c>
      <c r="DU447" s="1370">
        <f t="shared" si="3572"/>
        <v>1.27127959548457</v>
      </c>
      <c r="DV447" s="1370">
        <f t="shared" si="3572"/>
        <v>2.67637809575698</v>
      </c>
      <c r="DW447" s="1370">
        <f>DY447-DV447</f>
        <v>0.0337372678793644</v>
      </c>
      <c r="DX447" s="1372">
        <f>DU447+DW447</f>
        <v>1.30501686336393</v>
      </c>
      <c r="DY447" s="1373">
        <f>'Profit and Loss'!Q404</f>
        <v>2.71011536363635</v>
      </c>
      <c r="DZ447" s="1370">
        <f t="shared" ref="DZ447:EG447" si="3573">DZ444/DZ455</f>
        <v>0.998966686067014</v>
      </c>
      <c r="EA447" s="1370">
        <f t="shared" si="3573"/>
        <v>0.669162272309889</v>
      </c>
      <c r="EB447" s="1370">
        <f t="shared" si="3573"/>
        <v>1.66812595025822</v>
      </c>
      <c r="EC447" s="1370">
        <f t="shared" si="3573"/>
        <v>1.4482627075517</v>
      </c>
      <c r="ED447" s="1370">
        <f t="shared" si="3573"/>
        <v>3.11639368093633</v>
      </c>
      <c r="EE447" s="1370">
        <f t="shared" si="3573"/>
        <v>-0.18641005146705</v>
      </c>
      <c r="EF447" s="1370">
        <f t="shared" si="3573"/>
        <v>1.26185265608465</v>
      </c>
      <c r="EG447" s="1374">
        <f t="shared" si="3573"/>
        <v>2.92998362946928</v>
      </c>
      <c r="EH447" s="1370">
        <f t="shared" ref="EH447:EM447" si="3574">EH444/EH455</f>
        <v>1.38134627881994</v>
      </c>
      <c r="EI447" s="1370">
        <f t="shared" si="3574"/>
        <v>0.788657910052906</v>
      </c>
      <c r="EJ447" s="1370">
        <f t="shared" si="3574"/>
        <v>2.17000418887284</v>
      </c>
      <c r="EK447" s="1370">
        <f t="shared" si="3574"/>
        <v>1.64423224883757</v>
      </c>
      <c r="EL447" s="1370">
        <f t="shared" si="3574"/>
        <v>3.81423643771042</v>
      </c>
      <c r="EM447" s="1370">
        <f t="shared" si="3574"/>
        <v>-1.30965010517876</v>
      </c>
      <c r="EN447" s="1372">
        <f>EK447+EM447</f>
        <v>0.334582143658809</v>
      </c>
      <c r="EO447" s="1373">
        <f>EH447+EI447+EK447+EM447</f>
        <v>2.50458633253165</v>
      </c>
      <c r="EP447" s="1370">
        <f t="shared" ref="EP447:EW447" si="3575">EP444/EP455</f>
        <v>1.47216143209876</v>
      </c>
      <c r="EQ447" s="1375">
        <f t="shared" si="3575"/>
        <v>0.810166762145258</v>
      </c>
      <c r="ER447" s="1375">
        <f t="shared" si="3575"/>
        <v>2.28232819424402</v>
      </c>
      <c r="ES447" s="1375">
        <f t="shared" si="3575"/>
        <v>1.51039939137405</v>
      </c>
      <c r="ET447" s="1375">
        <f t="shared" si="3575"/>
        <v>3.79272758561806</v>
      </c>
      <c r="EU447" s="1375">
        <f t="shared" si="3575"/>
        <v>-0.043017704184704</v>
      </c>
      <c r="EV447" s="1375">
        <f t="shared" si="3575"/>
        <v>1.46738168718935</v>
      </c>
      <c r="EW447" s="1373">
        <f t="shared" si="3575"/>
        <v>3.75687949879748</v>
      </c>
      <c r="EX447" s="1370">
        <f t="shared" ref="EX447:FD447" si="3576">EX444/EX455</f>
        <v>0.975067961519956</v>
      </c>
      <c r="EY447" s="1370">
        <f t="shared" si="3576"/>
        <v>0.688283266955263</v>
      </c>
      <c r="EZ447" s="1370">
        <f t="shared" si="3576"/>
        <v>1.67291071829404</v>
      </c>
      <c r="FA447" s="1370">
        <f t="shared" si="3576"/>
        <v>1.35266780936347</v>
      </c>
      <c r="FB447" s="1370">
        <f t="shared" si="3576"/>
        <v>3.00167980311045</v>
      </c>
      <c r="FC447" s="1370">
        <f t="shared" si="3576"/>
        <v>-0.675363506144757</v>
      </c>
      <c r="FD447" s="1370">
        <f t="shared" si="3576"/>
        <v>0.569987639937773</v>
      </c>
      <c r="FE447" s="1373">
        <f>'Profit and Loss'!U404</f>
        <v>2.34700792915554</v>
      </c>
      <c r="FF447" s="1375">
        <f>FF$444/FF455</f>
        <v>1.08251952274977</v>
      </c>
      <c r="FG447" s="1375">
        <f>FG$444/FG455</f>
        <v>0.719574754188951</v>
      </c>
      <c r="FH447" s="1375">
        <f t="shared" ref="FH447:FM447" si="3577">FH$444/FH455</f>
        <v>1.80879407388593</v>
      </c>
      <c r="FI447" s="1375">
        <f t="shared" si="3577"/>
        <v>1.55346659642467</v>
      </c>
      <c r="FJ447" s="1375">
        <f>FJ444/FJ455</f>
        <v>3.35664074760766</v>
      </c>
      <c r="FK447" s="1375">
        <f t="shared" si="3577"/>
        <v>-0.22328470678684</v>
      </c>
      <c r="FL447" s="1375">
        <f t="shared" si="3577"/>
        <v>1.31986071122888</v>
      </c>
      <c r="FM447" s="1373">
        <f t="shared" si="3577"/>
        <v>3.14087154213488</v>
      </c>
      <c r="FN447" s="1375">
        <f t="shared" ref="FN447:GC447" si="3578">FN$444/FN455</f>
        <v>1.70144976122988</v>
      </c>
      <c r="FO447" s="1375">
        <f t="shared" si="3578"/>
        <v>1.40068859984104</v>
      </c>
      <c r="FP447" s="1375">
        <f t="shared" si="3578"/>
        <v>3.09702427438902</v>
      </c>
      <c r="FQ447" s="1375">
        <f t="shared" si="3578"/>
        <v>1.86596924200278</v>
      </c>
      <c r="FR447" s="1375">
        <f t="shared" si="3578"/>
        <v>4.9726868631035</v>
      </c>
      <c r="FS447" s="1375">
        <f t="shared" si="3578"/>
        <v>-0.0436581857439259</v>
      </c>
      <c r="FT447" s="1375">
        <f t="shared" si="3578"/>
        <v>1.82394198219068</v>
      </c>
      <c r="FU447" s="1375">
        <f t="shared" si="3578"/>
        <v>4.93337498906362</v>
      </c>
      <c r="FV447" s="1376">
        <f t="shared" si="3578"/>
        <v>2.22741135637113</v>
      </c>
      <c r="FW447" s="1375">
        <f t="shared" si="3578"/>
        <v>0.773755013491741</v>
      </c>
      <c r="FX447" s="1375">
        <f t="shared" si="3578"/>
        <v>3.00142971856088</v>
      </c>
      <c r="FY447" s="1375">
        <f t="shared" si="3578"/>
        <v>2.57252603592885</v>
      </c>
      <c r="FZ447" s="1375">
        <f t="shared" si="3578"/>
        <v>5.57395925308752</v>
      </c>
      <c r="GA447" s="1375">
        <f t="shared" si="3578"/>
        <v>0.170663637520931</v>
      </c>
      <c r="GB447" s="1375">
        <f t="shared" si="3578"/>
        <v>2.74317707772305</v>
      </c>
      <c r="GC447" s="1373">
        <f t="shared" si="3578"/>
        <v>5.74457740479245</v>
      </c>
      <c r="GD447" s="1375">
        <f t="shared" ref="GD447:GK447" si="3579">GD$444/GD455</f>
        <v>2.6464048772338</v>
      </c>
      <c r="GE447" s="1375">
        <f t="shared" si="3579"/>
        <v>2.05138800749716</v>
      </c>
      <c r="GF447" s="1375">
        <f t="shared" si="3579"/>
        <v>4.69921287189369</v>
      </c>
      <c r="GG447" s="1375">
        <f t="shared" si="3579"/>
        <v>3.25920913175664</v>
      </c>
      <c r="GH447" s="1375">
        <f t="shared" si="3579"/>
        <v>7.95006802580584</v>
      </c>
      <c r="GI447" s="1375">
        <f t="shared" si="3579"/>
        <v>0.467975523207456</v>
      </c>
      <c r="GJ447" s="1375">
        <f t="shared" si="3579"/>
        <v>3.73575198118229</v>
      </c>
      <c r="GK447" s="1373">
        <f t="shared" si="3579"/>
        <v>8.44366491940381</v>
      </c>
      <c r="GL447" s="1375">
        <f t="shared" ref="GL447:GS447" si="3580">GL$444/GL455</f>
        <v>3.16998550647404</v>
      </c>
      <c r="GM447" s="1375">
        <f t="shared" si="3580"/>
        <v>2.32938019259581</v>
      </c>
      <c r="GN447" s="1375">
        <f t="shared" si="3580"/>
        <v>5.50042462168295</v>
      </c>
      <c r="GO447" s="1375">
        <f t="shared" si="3580"/>
        <v>3.26011572398362</v>
      </c>
      <c r="GP447" s="1375">
        <f t="shared" si="3580"/>
        <v>8.75891069228644</v>
      </c>
      <c r="GQ447" s="1375">
        <f t="shared" si="3580"/>
        <v>0.915601074990222</v>
      </c>
      <c r="GR447" s="1375">
        <f t="shared" si="3580"/>
        <v>4.17987818793138</v>
      </c>
      <c r="GS447" s="1373">
        <f t="shared" si="3580"/>
        <v>9.69574131211607</v>
      </c>
      <c r="GT447" s="1375">
        <f t="shared" ref="GT447:HA447" si="3581">GT$444/GT455</f>
        <v>0.125684454401176</v>
      </c>
      <c r="GU447" s="1375">
        <f t="shared" si="3581"/>
        <v>-1.45617129496698</v>
      </c>
      <c r="GV447" s="1375">
        <f t="shared" si="3581"/>
        <v>-1.32673642104294</v>
      </c>
      <c r="GW447" s="1375">
        <f t="shared" si="3581"/>
        <v>2.8048222269166</v>
      </c>
      <c r="GX447" s="1375">
        <f t="shared" si="3581"/>
        <v>1.47259965168602</v>
      </c>
      <c r="GY447" s="1375">
        <f t="shared" si="3581"/>
        <v>0.668305259854807</v>
      </c>
      <c r="GZ447" s="1375">
        <f t="shared" si="3581"/>
        <v>3.47312748677141</v>
      </c>
      <c r="HA447" s="1373">
        <f t="shared" si="3581"/>
        <v>2.1406943173016</v>
      </c>
      <c r="HB447" s="1375">
        <f t="shared" ref="HB447:HI447" si="3582">HB$444/HB455</f>
        <v>2.59780335264264</v>
      </c>
      <c r="HC447" s="1375">
        <f t="shared" si="3582"/>
        <v>1.9275132003896</v>
      </c>
      <c r="HD447" s="1375">
        <f t="shared" si="3582"/>
        <v>4.52531655303224</v>
      </c>
      <c r="HE447" s="1375">
        <f t="shared" si="3582"/>
        <v>2.34113712374582</v>
      </c>
      <c r="HF447" s="1375">
        <f t="shared" si="3582"/>
        <v>6.88321842037561</v>
      </c>
      <c r="HG447" s="1375">
        <f t="shared" si="3582"/>
        <v>0.583826588994066</v>
      </c>
      <c r="HH447" s="1375">
        <f t="shared" si="3582"/>
        <v>2.95041350254863</v>
      </c>
      <c r="HI447" s="1373">
        <f t="shared" si="3582"/>
        <v>7.46768295823247</v>
      </c>
      <c r="HJ447" s="1375">
        <f t="shared" ref="HJ447:HQ447" si="3583">HJ$444/HJ455</f>
        <v>1.60001695382203</v>
      </c>
      <c r="HK447" s="1375">
        <f t="shared" si="3583"/>
        <v>1.87765911261613</v>
      </c>
      <c r="HL447" s="1375">
        <f t="shared" si="3583"/>
        <v>3.4743445391668</v>
      </c>
      <c r="HM447" s="1375">
        <f t="shared" si="3583"/>
        <v>0.338888888888889</v>
      </c>
      <c r="HN447" s="1375">
        <f t="shared" si="3583"/>
        <v>3.84615384615385</v>
      </c>
      <c r="HO447" s="1375">
        <f t="shared" si="3583"/>
        <v>-2.67222222222222</v>
      </c>
      <c r="HP447" s="1375">
        <f t="shared" si="3583"/>
        <v>-2.33333333333333</v>
      </c>
      <c r="HQ447" s="1373">
        <f t="shared" si="3583"/>
        <v>1.24416796267496</v>
      </c>
      <c r="HR447" s="1375">
        <f t="shared" ref="HR447:HY447" si="3584">HR$444/HR455</f>
        <v>0.0988502456943845</v>
      </c>
      <c r="HS447" s="1375">
        <f t="shared" si="3584"/>
        <v>0.226069094304387</v>
      </c>
      <c r="HT447" s="1375">
        <f t="shared" si="3584"/>
        <v>0.324919339998772</v>
      </c>
      <c r="HU447" s="1375">
        <f t="shared" si="3584"/>
        <v>1.21381512605043</v>
      </c>
      <c r="HV447" s="1375">
        <f t="shared" si="3584"/>
        <v>1.5387344660492</v>
      </c>
      <c r="HW447" s="1375">
        <f t="shared" si="3584"/>
        <v>-1.95890253327599</v>
      </c>
      <c r="HX447" s="1375">
        <f t="shared" si="3584"/>
        <v>-0.745087407225567</v>
      </c>
      <c r="HY447" s="1373">
        <f t="shared" si="3584"/>
        <v>-0.420168067226796</v>
      </c>
      <c r="HZ447" s="1375">
        <f t="shared" ref="HZ447:IG447" si="3585">HZ$444/HZ455</f>
        <v>0.763613445378151</v>
      </c>
      <c r="IA447" s="1375">
        <f t="shared" si="3585"/>
        <v>0.899327731092437</v>
      </c>
      <c r="IB447" s="1375">
        <f t="shared" si="3585"/>
        <v>1.66294117647059</v>
      </c>
      <c r="IC447" s="1375">
        <f t="shared" si="3585"/>
        <v>2.21977030812325</v>
      </c>
      <c r="ID447" s="1375">
        <f t="shared" si="3585"/>
        <v>3.88271148459384</v>
      </c>
      <c r="IE447" s="1375">
        <f t="shared" si="3585"/>
        <v>-0.47131092436978</v>
      </c>
      <c r="IF447" s="1375">
        <f t="shared" si="3585"/>
        <v>1.74845938375347</v>
      </c>
      <c r="IG447" s="1373">
        <f t="shared" si="3585"/>
        <v>3.41140056022406</v>
      </c>
      <c r="IH447" s="1375">
        <f t="shared" ref="IH447:IO447" si="3586">IH$444/IH455</f>
        <v>2.43697478991597</v>
      </c>
      <c r="II447" s="1375">
        <f t="shared" si="3586"/>
        <v>2.03361344537815</v>
      </c>
      <c r="IJ447" s="1375">
        <f t="shared" si="3586"/>
        <v>4.47058823529412</v>
      </c>
      <c r="IK447" s="1375">
        <f t="shared" si="3586"/>
        <v>2.58263305322129</v>
      </c>
      <c r="IL447" s="1375">
        <f t="shared" si="3586"/>
        <v>7.05322128851541</v>
      </c>
      <c r="IM447" s="1375">
        <f t="shared" si="3586"/>
        <v>0.408963585434175</v>
      </c>
      <c r="IN447" s="1375">
        <f t="shared" si="3586"/>
        <v>2.99159663865546</v>
      </c>
      <c r="IO447" s="1373">
        <f t="shared" si="3586"/>
        <v>7.46218487394958</v>
      </c>
      <c r="IP447" s="1375">
        <f t="shared" ref="IP447:IW447" si="3587">IP$444/IP455</f>
        <v>2.885174295566</v>
      </c>
      <c r="IQ447" s="1375">
        <f t="shared" si="3587"/>
        <v>2.09862391860989</v>
      </c>
      <c r="IR447" s="1375">
        <f t="shared" si="3587"/>
        <v>4.98791667612154</v>
      </c>
      <c r="IS447" s="1375">
        <f t="shared" si="3587"/>
        <v>3.40783088313271</v>
      </c>
      <c r="IT447" s="1375">
        <f t="shared" si="3587"/>
        <v>8.38890786300126</v>
      </c>
      <c r="IU447" s="1375">
        <f t="shared" si="3587"/>
        <v>1.04751873274961</v>
      </c>
      <c r="IV447" s="1375">
        <f t="shared" si="3587"/>
        <v>4.46565297362724</v>
      </c>
      <c r="IW447" s="1373">
        <f t="shared" si="3587"/>
        <v>9.45764410280735</v>
      </c>
      <c r="IX447" s="1377"/>
      <c r="IY447" s="1378"/>
      <c r="IZ447" s="1378"/>
      <c r="JA447" s="1378"/>
      <c r="JB447" s="1104"/>
      <c r="JC447" s="1104"/>
      <c r="JD447" s="1104"/>
      <c r="JE447" s="1037"/>
      <c r="JF447" s="1187"/>
      <c r="JG447" s="1187"/>
      <c r="JH447" s="1187"/>
    </row>
    <row r="448" s="883" customFormat="1" hidden="1" spans="1:285">
      <c r="A448" s="883" t="s">
        <v>142</v>
      </c>
      <c r="B448" s="1302" t="s">
        <v>173</v>
      </c>
      <c r="C448" s="1302" t="s">
        <v>173</v>
      </c>
      <c r="D448" s="1302" t="s">
        <v>173</v>
      </c>
      <c r="E448" s="1302" t="s">
        <v>173</v>
      </c>
      <c r="F448" s="1302" t="s">
        <v>173</v>
      </c>
      <c r="G448" s="1302" t="s">
        <v>173</v>
      </c>
      <c r="H448" s="1302" t="s">
        <v>173</v>
      </c>
      <c r="I448" s="1302" t="s">
        <v>173</v>
      </c>
      <c r="J448" s="1302">
        <v>-0.263649034749034</v>
      </c>
      <c r="K448" s="1302">
        <v>-0.424536862745098</v>
      </c>
      <c r="L448" s="1302">
        <f>L447/D447-1</f>
        <v>-0.331988395335924</v>
      </c>
      <c r="M448" s="1302">
        <v>-0.424340559440559</v>
      </c>
      <c r="N448" s="1302">
        <f>N447/F447-1</f>
        <v>-0.372862302692664</v>
      </c>
      <c r="O448" s="1302">
        <v>-0.645576136363636</v>
      </c>
      <c r="P448" s="1302">
        <f>P447/H447-1</f>
        <v>-0.330547093949044</v>
      </c>
      <c r="Q448" s="1302">
        <f>Q447/I447-1</f>
        <v>-0.390247710808461</v>
      </c>
      <c r="R448" s="1302">
        <v>0.11494638069705</v>
      </c>
      <c r="S448" s="1302">
        <v>-0.325900116144018</v>
      </c>
      <c r="T448" s="1302">
        <f>T447/L447-1</f>
        <v>-0.0463663408414792</v>
      </c>
      <c r="U448" s="1302">
        <v>0.27329192546584</v>
      </c>
      <c r="V448" s="1302">
        <f>V447/N447-1</f>
        <v>0.0834973504920515</v>
      </c>
      <c r="W448" s="1302">
        <v>-0.278688524590157</v>
      </c>
      <c r="X448" s="1302">
        <f>X447/P447-1</f>
        <v>0.0784432958346002</v>
      </c>
      <c r="Y448" s="1302">
        <f>Y447/Q447-1</f>
        <v>0.0700765399100962</v>
      </c>
      <c r="Z448" s="1302">
        <v>0.0970844604749033</v>
      </c>
      <c r="AA448" s="1302">
        <v>-0.465885596140598</v>
      </c>
      <c r="AB448" s="1302">
        <f>AB447/T447-1</f>
        <v>-0.0485315744908426</v>
      </c>
      <c r="AC448" s="1302">
        <v>0.0487804878048756</v>
      </c>
      <c r="AD448" s="1302">
        <f>AD447/V447-1</f>
        <v>-0.00207270779478008</v>
      </c>
      <c r="AE448" s="1302">
        <v>-5.70545454545445</v>
      </c>
      <c r="AF448" s="1302">
        <f>AF447/X447-1</f>
        <v>-0.262813645334083</v>
      </c>
      <c r="AG448" s="1302">
        <f>AG447/Y447-1</f>
        <v>-0.144530983900634</v>
      </c>
      <c r="AH448" s="1302">
        <v>-0.364383561643834</v>
      </c>
      <c r="AI448" s="1302">
        <v>0.870917269704695</v>
      </c>
      <c r="AJ448" s="1302">
        <f>AJ447/AB447-1</f>
        <v>-0.185019038122503</v>
      </c>
      <c r="AK448" s="1302">
        <v>0.196676051469352</v>
      </c>
      <c r="AL448" s="1302">
        <f>AL447/AD447-1</f>
        <v>0.00649658442650214</v>
      </c>
      <c r="AM448" s="1302">
        <v>-1.03778591468061</v>
      </c>
      <c r="AN448" s="1302">
        <f>AN447/AF447-1</f>
        <v>-0.0977833949528188</v>
      </c>
      <c r="AO448" s="1302">
        <f>AO447/AG447-1</f>
        <v>0.149969701573033</v>
      </c>
      <c r="AP448" s="1302">
        <v>-0.13090870465413</v>
      </c>
      <c r="AQ448" s="1302">
        <v>-0.325568377250075</v>
      </c>
      <c r="AR448" s="1302">
        <f>AR447/AJ447-1</f>
        <v>-0.195794095232531</v>
      </c>
      <c r="AS448" s="1302">
        <v>-0.201824401368301</v>
      </c>
      <c r="AT448" s="1302">
        <f>AT447/AL447-1</f>
        <v>-0.19939151642017</v>
      </c>
      <c r="AU448" s="1302">
        <v>3.535</v>
      </c>
      <c r="AV448" s="1302">
        <f>AV447/AN447-1</f>
        <v>-0.070125085391011</v>
      </c>
      <c r="AW448" s="1302">
        <f>AW447/AO447-1</f>
        <v>-0.182533133136568</v>
      </c>
      <c r="AX448" s="1303">
        <v>-0.102616084506223</v>
      </c>
      <c r="AY448" s="1302">
        <v>0.225</v>
      </c>
      <c r="AZ448" s="1302">
        <f>AZ447/AR447-1</f>
        <v>-0.0110347815756187</v>
      </c>
      <c r="BA448" s="1302">
        <v>0.0857142857142856</v>
      </c>
      <c r="BB448" s="1302">
        <f>BB447/AT447-1</f>
        <v>-0.215504130639803</v>
      </c>
      <c r="BC448" s="1302">
        <v>4.26482910694597</v>
      </c>
      <c r="BD448" s="1302">
        <f>BD447/AV447-1</f>
        <v>0.250554995854248</v>
      </c>
      <c r="BE448" s="1304">
        <f>BE447/AW447-1</f>
        <v>-0.103298790875932</v>
      </c>
      <c r="BF448" s="1302">
        <v>-0.767602741206736</v>
      </c>
      <c r="BG448" s="1302">
        <v>-0.742243290816326</v>
      </c>
      <c r="BH448" s="1302">
        <f>BH447/AZ447-1</f>
        <v>-0.758821892180279</v>
      </c>
      <c r="BI448" s="1302">
        <v>-0.712719298245614</v>
      </c>
      <c r="BJ448" s="1302">
        <f>BJ447/BB447-1</f>
        <v>-0.640324625451264</v>
      </c>
      <c r="BK448" s="1302">
        <v>-0.694643156307589</v>
      </c>
      <c r="BL448" s="1302">
        <f>BL447/BD447-1</f>
        <v>-0.742764461808279</v>
      </c>
      <c r="BM448" s="1302">
        <f>BM447/BE447-1</f>
        <v>-0.648311700158891</v>
      </c>
      <c r="BN448" s="1303">
        <v>3.76702325581395</v>
      </c>
      <c r="BO448" s="1302">
        <v>0.276218764619752</v>
      </c>
      <c r="BP448" s="1302">
        <f>BP447/BH447-1</f>
        <v>2.47522618884596</v>
      </c>
      <c r="BQ448" s="1302">
        <v>3.58346564885496</v>
      </c>
      <c r="BR448" s="1302">
        <f>BR447/BJ447-1</f>
        <v>3.20381825201935</v>
      </c>
      <c r="BS448" s="1302">
        <v>2.60774685558314</v>
      </c>
      <c r="BT448" s="1302">
        <f>BT447/BL447-1</f>
        <v>3.29853054482365</v>
      </c>
      <c r="BU448" s="1304">
        <f>BU447/BM447-1</f>
        <v>3.12771770980485</v>
      </c>
      <c r="BV448" s="1303">
        <v>0.699115044247788</v>
      </c>
      <c r="BW448" s="1302">
        <v>7.49675410526316</v>
      </c>
      <c r="BX448" s="1302">
        <f t="shared" ref="BX448:CN448" si="3588">BX447/BP447-1</f>
        <v>1.62289581632591</v>
      </c>
      <c r="BY448" s="1302">
        <v>0.042296072507553</v>
      </c>
      <c r="BZ448" s="1302">
        <f t="shared" si="3588"/>
        <v>0.489914408965938</v>
      </c>
      <c r="CA448" s="1302">
        <v>-0.482758620689655</v>
      </c>
      <c r="CB448" s="1302">
        <f t="shared" si="3588"/>
        <v>0.298245614035088</v>
      </c>
      <c r="CC448" s="1304">
        <f t="shared" si="3588"/>
        <v>0.381376259879715</v>
      </c>
      <c r="CD448" s="1303">
        <v>0.348958333333333</v>
      </c>
      <c r="CE448" s="1302">
        <v>-0.682119205298013</v>
      </c>
      <c r="CF448" s="1302">
        <f t="shared" si="3588"/>
        <v>-0.104956268221574</v>
      </c>
      <c r="CG448" s="1302">
        <v>-0.681815061730434</v>
      </c>
      <c r="CH448" s="1302">
        <f t="shared" si="3588"/>
        <v>-0.394224122524709</v>
      </c>
      <c r="CI448" s="1302">
        <v>-0.633333333333333</v>
      </c>
      <c r="CJ448" s="1302">
        <f t="shared" si="3588"/>
        <v>0.216216216216216</v>
      </c>
      <c r="CK448" s="1304">
        <f t="shared" si="3588"/>
        <v>-0.404214758073816</v>
      </c>
      <c r="CL448" s="1303">
        <v>-0.741788772145519</v>
      </c>
      <c r="CM448" s="1302">
        <f t="shared" si="3588"/>
        <v>-0.1875</v>
      </c>
      <c r="CN448" s="1302">
        <f t="shared" si="3588"/>
        <v>-0.655124729595079</v>
      </c>
      <c r="CO448" s="1302">
        <f t="shared" ref="CO448:CT448" si="3589">CO447/CG447-1</f>
        <v>0.0397370143217974</v>
      </c>
      <c r="CP448" s="1302">
        <f t="shared" si="3589"/>
        <v>-0.47154490979705</v>
      </c>
      <c r="CQ448" s="1302">
        <f t="shared" si="3589"/>
        <v>-0.419660314115919</v>
      </c>
      <c r="CR448" s="1302">
        <f t="shared" si="3589"/>
        <v>-0.553645087626775</v>
      </c>
      <c r="CS448" s="1304">
        <f t="shared" si="3589"/>
        <v>-0.471293790788103</v>
      </c>
      <c r="CT448" s="1303">
        <f t="shared" si="3589"/>
        <v>-0.118402078198349</v>
      </c>
      <c r="CU448" s="1302">
        <f t="shared" ref="CU448:DA448" si="3590">CU447/CM447-1</f>
        <v>0.256410256410256</v>
      </c>
      <c r="CV448" s="1302">
        <f t="shared" si="3590"/>
        <v>0.0365354996504001</v>
      </c>
      <c r="CW448" s="1302">
        <f t="shared" si="3590"/>
        <v>0.236486793029572</v>
      </c>
      <c r="CX448" s="1302">
        <f t="shared" si="3590"/>
        <v>0.116931677018633</v>
      </c>
      <c r="CY448" s="1302">
        <f t="shared" si="3590"/>
        <v>0.723128754285713</v>
      </c>
      <c r="CZ448" s="1302">
        <f t="shared" si="3590"/>
        <v>0.262303229356512</v>
      </c>
      <c r="DA448" s="1304">
        <f t="shared" si="3590"/>
        <v>0.136330142580645</v>
      </c>
      <c r="DB448" s="1109">
        <f t="shared" ref="DB448:DI448" si="3591">DB447/CT447-1</f>
        <v>0.339928567981439</v>
      </c>
      <c r="DC448" s="1082">
        <f t="shared" si="3591"/>
        <v>0.285714285714286</v>
      </c>
      <c r="DD448" s="1082">
        <f t="shared" si="3591"/>
        <v>0.293909001956947</v>
      </c>
      <c r="DE448" s="1082">
        <f t="shared" si="3591"/>
        <v>0.0203538139623358</v>
      </c>
      <c r="DF448" s="1082">
        <f t="shared" si="3591"/>
        <v>0.130081300813008</v>
      </c>
      <c r="DG448" s="1082">
        <f t="shared" si="3591"/>
        <v>1.63636363636364</v>
      </c>
      <c r="DH448" s="1082">
        <f t="shared" si="3591"/>
        <v>0.0846164026999603</v>
      </c>
      <c r="DI448" s="1085">
        <f t="shared" si="3591"/>
        <v>0.194552529182879</v>
      </c>
      <c r="DJ448" s="1082">
        <f t="shared" ref="DJ448:DR448" si="3592">DJ447/DB447-1</f>
        <v>-0.970577546842911</v>
      </c>
      <c r="DK448" s="1082">
        <f t="shared" si="3592"/>
        <v>-0.931732442451538</v>
      </c>
      <c r="DL448" s="1082">
        <f t="shared" si="3592"/>
        <v>-0.953343451232654</v>
      </c>
      <c r="DM448" s="1082">
        <f t="shared" si="3592"/>
        <v>-0.293102098722282</v>
      </c>
      <c r="DN448" s="1082">
        <f t="shared" si="3592"/>
        <v>-0.593494466104665</v>
      </c>
      <c r="DO448" s="1082">
        <f t="shared" si="3592"/>
        <v>-0.653613675332098</v>
      </c>
      <c r="DP448" s="1082">
        <f t="shared" si="3592"/>
        <v>-0.296421776783404</v>
      </c>
      <c r="DQ448" s="1082">
        <f t="shared" si="3592"/>
        <v>-0.602566930973176</v>
      </c>
      <c r="DR448" s="1275">
        <f t="shared" si="3592"/>
        <v>33.546816221425</v>
      </c>
      <c r="DS448" s="1094">
        <f t="shared" ref="DS448:DX448" si="3593">DS447/DK447-1</f>
        <v>13.0029761750843</v>
      </c>
      <c r="DT448" s="1094">
        <f t="shared" si="3593"/>
        <v>20.2105092092303</v>
      </c>
      <c r="DU448" s="1094">
        <f t="shared" si="3593"/>
        <v>0.24888339719798</v>
      </c>
      <c r="DV448" s="1094">
        <f t="shared" si="3593"/>
        <v>1.36829723940096</v>
      </c>
      <c r="DW448" s="1094">
        <f t="shared" si="3593"/>
        <v>-0.664145498260928</v>
      </c>
      <c r="DX448" s="1094">
        <f t="shared" si="3593"/>
        <v>0.124138418488504</v>
      </c>
      <c r="DY448" s="1093">
        <f t="shared" ref="DY448:EP448" si="3594">DY447/DQ447-1</f>
        <v>1.22118842864563</v>
      </c>
      <c r="DZ448" s="1094">
        <f t="shared" si="3594"/>
        <v>0.244047619047619</v>
      </c>
      <c r="EA448" s="1094">
        <f t="shared" si="3594"/>
        <v>0.11110776529975</v>
      </c>
      <c r="EB448" s="1094">
        <f t="shared" si="3594"/>
        <v>0.187071255376365</v>
      </c>
      <c r="EC448" s="1094">
        <f t="shared" si="3594"/>
        <v>0.139216512792115</v>
      </c>
      <c r="ED448" s="1094">
        <f t="shared" si="3594"/>
        <v>0.164407108949564</v>
      </c>
      <c r="EE448" s="1094">
        <f t="shared" si="3594"/>
        <v>-6.52534520974265</v>
      </c>
      <c r="EF448" s="1094">
        <f t="shared" si="3594"/>
        <v>-0.0330755934969446</v>
      </c>
      <c r="EG448" s="1093">
        <f t="shared" si="3594"/>
        <v>0.0811287477954143</v>
      </c>
      <c r="EH448" s="1094">
        <f t="shared" si="3594"/>
        <v>0.382775119617225</v>
      </c>
      <c r="EI448" s="1094">
        <f t="shared" si="3594"/>
        <v>0.178574977532024</v>
      </c>
      <c r="EJ448" s="1094">
        <f t="shared" si="3594"/>
        <v>0.300863516053407</v>
      </c>
      <c r="EK448" s="1094">
        <f t="shared" si="3594"/>
        <v>0.135313531353136</v>
      </c>
      <c r="EL448" s="1094">
        <f t="shared" si="3594"/>
        <v>0.223926380368098</v>
      </c>
      <c r="EM448" s="1094">
        <f t="shared" si="3594"/>
        <v>6.02564102564103</v>
      </c>
      <c r="EN448" s="1094">
        <f t="shared" si="3594"/>
        <v>-0.734848484848485</v>
      </c>
      <c r="EO448" s="1093">
        <f t="shared" si="3594"/>
        <v>-0.145187601957586</v>
      </c>
      <c r="EP448" s="1094">
        <f t="shared" si="3594"/>
        <v>0.0657439446366783</v>
      </c>
      <c r="EQ448" s="1094">
        <f t="shared" ref="EQ448:EW448" si="3595">EQ447/EI447-1</f>
        <v>0.0272727272727273</v>
      </c>
      <c r="ER448" s="1094">
        <f t="shared" si="3595"/>
        <v>0.0517621145374449</v>
      </c>
      <c r="ES448" s="1094">
        <f t="shared" si="3595"/>
        <v>-0.0813953488372093</v>
      </c>
      <c r="ET448" s="1094">
        <f t="shared" si="3595"/>
        <v>-0.00563909774436089</v>
      </c>
      <c r="EU448" s="1094">
        <f t="shared" si="3595"/>
        <v>-0.967153284671533</v>
      </c>
      <c r="EV448" s="1094">
        <f t="shared" si="3595"/>
        <v>3.38571428571429</v>
      </c>
      <c r="EW448" s="1093">
        <f t="shared" si="3595"/>
        <v>0.5</v>
      </c>
      <c r="EX448" s="1094">
        <f t="shared" ref="EX448:FE448" si="3596">EX447/EP447-1</f>
        <v>-0.337662337662338</v>
      </c>
      <c r="EY448" s="1094">
        <f t="shared" si="3596"/>
        <v>-0.150442477876106</v>
      </c>
      <c r="EZ448" s="1094">
        <f t="shared" si="3596"/>
        <v>-0.267015706806283</v>
      </c>
      <c r="FA448" s="1094">
        <f t="shared" si="3596"/>
        <v>-0.104430379746835</v>
      </c>
      <c r="FB448" s="1094">
        <f t="shared" si="3596"/>
        <v>-0.208569628229364</v>
      </c>
      <c r="FC448" s="1094">
        <f t="shared" si="3596"/>
        <v>14.6996641021326</v>
      </c>
      <c r="FD448" s="1094">
        <f t="shared" si="3596"/>
        <v>-0.611561432915563</v>
      </c>
      <c r="FE448" s="1093">
        <f t="shared" si="3596"/>
        <v>-0.375277293321018</v>
      </c>
      <c r="FF448" s="1094">
        <f t="shared" ref="FF448:FO448" si="3597">FF447/EX447-1</f>
        <v>0.110199048138461</v>
      </c>
      <c r="FG448" s="1094">
        <f t="shared" si="3597"/>
        <v>0.0454630945368051</v>
      </c>
      <c r="FH448" s="1094">
        <f t="shared" si="3597"/>
        <v>0.0812257068509017</v>
      </c>
      <c r="FI448" s="1094">
        <f t="shared" si="3597"/>
        <v>0.148446488983641</v>
      </c>
      <c r="FJ448" s="1094">
        <f t="shared" si="3597"/>
        <v>0.118254100297235</v>
      </c>
      <c r="FK448" s="1094">
        <f t="shared" si="3597"/>
        <v>-0.669385886629501</v>
      </c>
      <c r="FL448" s="1094">
        <f t="shared" si="3597"/>
        <v>1.31559531952828</v>
      </c>
      <c r="FM448" s="1093">
        <f t="shared" si="3597"/>
        <v>0.338244964202136</v>
      </c>
      <c r="FN448" s="1094">
        <f t="shared" si="3597"/>
        <v>0.571749724113927</v>
      </c>
      <c r="FO448" s="1094">
        <f t="shared" si="3597"/>
        <v>0.946550503178494</v>
      </c>
      <c r="FP448" s="1094">
        <f t="shared" ref="FP448:FV448" si="3598">FP447/FH447-1</f>
        <v>0.712203903750926</v>
      </c>
      <c r="FQ448" s="1094">
        <f t="shared" si="3598"/>
        <v>0.201164702412873</v>
      </c>
      <c r="FR448" s="1094">
        <f t="shared" si="3598"/>
        <v>0.481447446125304</v>
      </c>
      <c r="FS448" s="1094">
        <f t="shared" si="3598"/>
        <v>-0.804473013973123</v>
      </c>
      <c r="FT448" s="1094">
        <f t="shared" si="3598"/>
        <v>0.381920051618533</v>
      </c>
      <c r="FU448" s="1094">
        <f t="shared" si="3598"/>
        <v>0.570702565476575</v>
      </c>
      <c r="FV448" s="1275">
        <f t="shared" si="3598"/>
        <v>0.309125551118864</v>
      </c>
      <c r="FW448" s="1094">
        <f t="shared" ref="FW448:GB448" si="3599">FW447/FO447-1</f>
        <v>-0.447589554466603</v>
      </c>
      <c r="FX448" s="1094">
        <f t="shared" si="3599"/>
        <v>-0.0308665826802409</v>
      </c>
      <c r="FY448" s="1094">
        <f t="shared" si="3599"/>
        <v>0.378654041032162</v>
      </c>
      <c r="FZ448" s="1094">
        <f t="shared" si="3599"/>
        <v>0.120914991540158</v>
      </c>
      <c r="GA448" s="1094">
        <f t="shared" si="3599"/>
        <v>-4.90908679810809</v>
      </c>
      <c r="GB448" s="1094">
        <f t="shared" si="3599"/>
        <v>0.503982640077346</v>
      </c>
      <c r="GC448" s="1093">
        <f t="shared" ref="GC448:GK448" si="3600">GC447/FU447-1</f>
        <v>0.164431533691866</v>
      </c>
      <c r="GD448" s="1094">
        <f t="shared" si="3600"/>
        <v>0.188107831839958</v>
      </c>
      <c r="GE448" s="1094">
        <f t="shared" si="3600"/>
        <v>1.65121126419565</v>
      </c>
      <c r="GF448" s="1094">
        <f t="shared" si="3600"/>
        <v>0.565658140463424</v>
      </c>
      <c r="GG448" s="1094">
        <f t="shared" si="3600"/>
        <v>0.266929502845578</v>
      </c>
      <c r="GH448" s="1094">
        <f t="shared" si="3600"/>
        <v>0.426287431398453</v>
      </c>
      <c r="GI448" s="1094">
        <f t="shared" si="3600"/>
        <v>1.74209275042588</v>
      </c>
      <c r="GJ448" s="1094">
        <f t="shared" si="3600"/>
        <v>0.361834061504744</v>
      </c>
      <c r="GK448" s="1093">
        <f t="shared" si="3600"/>
        <v>0.469849620680475</v>
      </c>
      <c r="GL448" s="1094" t="e">
        <f>GL447/#REF!-1</f>
        <v>#REF!</v>
      </c>
      <c r="GM448" s="1094">
        <f>GM447/GD447-1</f>
        <v>-0.119794475654599</v>
      </c>
      <c r="GN448" s="1094">
        <f t="shared" ref="GN448:GS448" si="3601">GN447/GF447-1</f>
        <v>0.170499139245504</v>
      </c>
      <c r="GO448" s="1094">
        <f t="shared" si="3601"/>
        <v>0.000278163256890895</v>
      </c>
      <c r="GP448" s="1094">
        <f t="shared" si="3601"/>
        <v>0.101740345347374</v>
      </c>
      <c r="GQ448" s="1094">
        <f t="shared" si="3601"/>
        <v>0.956514880767239</v>
      </c>
      <c r="GR448" s="1094">
        <f t="shared" si="3601"/>
        <v>0.11888535667952</v>
      </c>
      <c r="GS448" s="1093">
        <f t="shared" si="3601"/>
        <v>0.148285892993568</v>
      </c>
      <c r="GT448" s="1094" t="e">
        <f>GT447/#REF!-1</f>
        <v>#REF!</v>
      </c>
      <c r="GU448" s="1094">
        <f>GU447/GL447-1</f>
        <v>-1.45936213020313</v>
      </c>
      <c r="GV448" s="1094">
        <f t="shared" ref="GV448" si="3602">GV447/GN447-1</f>
        <v>-1.24120618175784</v>
      </c>
      <c r="GW448" s="1094">
        <f t="shared" ref="GW448" si="3603">GW447/GO447-1</f>
        <v>-0.139655624405468</v>
      </c>
      <c r="GX448" s="1094">
        <f t="shared" ref="GX448" si="3604">GX447/GP447-1</f>
        <v>-0.831874110443566</v>
      </c>
      <c r="GY448" s="1094">
        <f t="shared" ref="GY448" si="3605">GY447/GQ447-1</f>
        <v>-0.270091224104402</v>
      </c>
      <c r="GZ448" s="1094">
        <f t="shared" ref="GZ448" si="3606">GZ447/GR447-1</f>
        <v>-0.169084042496879</v>
      </c>
      <c r="HA448" s="1093">
        <f t="shared" ref="HA448" si="3607">HA447/GS447-1</f>
        <v>-0.779212929843071</v>
      </c>
      <c r="HB448" s="1094" t="e">
        <f>HB447/#REF!-1</f>
        <v>#REF!</v>
      </c>
      <c r="HC448" s="1094">
        <f>HC447/GT447-1</f>
        <v>14.3361305467192</v>
      </c>
      <c r="HD448" s="1094">
        <f t="shared" ref="HD448" si="3608">HD447/GV447-1</f>
        <v>-4.41086328923941</v>
      </c>
      <c r="HE448" s="1094">
        <f t="shared" ref="HE448" si="3609">HE447/GW447-1</f>
        <v>-0.165317109484162</v>
      </c>
      <c r="HF448" s="1094">
        <f t="shared" ref="HF448" si="3610">HF447/GX447-1</f>
        <v>3.67419533373842</v>
      </c>
      <c r="HG448" s="1094">
        <f t="shared" ref="HG448" si="3611">HG447/GY447-1</f>
        <v>-0.126407311052878</v>
      </c>
      <c r="HH448" s="1094">
        <f t="shared" ref="HH448" si="3612">HH447/GZ447-1</f>
        <v>-0.150502389046678</v>
      </c>
      <c r="HI448" s="1093">
        <f t="shared" ref="HI448" si="3613">HI447/HA447-1</f>
        <v>2.48843966085063</v>
      </c>
      <c r="HJ448" s="1094" t="e">
        <f>HJ447/#REF!-1</f>
        <v>#REF!</v>
      </c>
      <c r="HK448" s="1094">
        <f>HK447/HB447-1</f>
        <v>-0.277212761040568</v>
      </c>
      <c r="HL448" s="1094">
        <f t="shared" ref="HL448" si="3614">HL447/HD447-1</f>
        <v>-0.232242761704974</v>
      </c>
      <c r="HM448" s="1094">
        <f t="shared" ref="HM448" si="3615">HM447/HE447-1</f>
        <v>-0.855246031746032</v>
      </c>
      <c r="HN448" s="1094">
        <f t="shared" ref="HN448" si="3616">HN447/HF447-1</f>
        <v>-0.441227401012219</v>
      </c>
      <c r="HO448" s="1094">
        <f t="shared" ref="HO448" si="3617">HO447/HG447-1</f>
        <v>-5.57708208669713</v>
      </c>
      <c r="HP448" s="1094">
        <f t="shared" ref="HP448" si="3618">HP447/HH447-1</f>
        <v>-1.79084959830809</v>
      </c>
      <c r="HQ448" s="1093">
        <f t="shared" ref="HQ448" si="3619">HQ447/HI447-1</f>
        <v>-0.83339303909476</v>
      </c>
      <c r="HR448" s="1094" t="e">
        <f>HR447/#REF!-1</f>
        <v>#REF!</v>
      </c>
      <c r="HS448" s="1094">
        <f>HS447/HJ447-1</f>
        <v>-0.858708313206078</v>
      </c>
      <c r="HT448" s="1094">
        <f t="shared" ref="HT448" si="3620">HT447/HL447-1</f>
        <v>-0.906480391816094</v>
      </c>
      <c r="HU448" s="1094">
        <f t="shared" ref="HU448" si="3621">HU447/HM447-1</f>
        <v>2.58174955227994</v>
      </c>
      <c r="HV448" s="1094">
        <f t="shared" ref="HV448" si="3622">HV447/HN447-1</f>
        <v>-0.599929038827208</v>
      </c>
      <c r="HW448" s="1094">
        <f t="shared" ref="HW448" si="3623">HW447/HO447-1</f>
        <v>-0.266938760936219</v>
      </c>
      <c r="HX448" s="1094">
        <f t="shared" ref="HX448" si="3624">HX447/HP447-1</f>
        <v>-0.680676825474757</v>
      </c>
      <c r="HY448" s="1093">
        <f t="shared" ref="HY448" si="3625">HY447/HQ447-1</f>
        <v>-1.33771008403354</v>
      </c>
      <c r="HZ448" s="1094" t="e">
        <f>HZ447/#REF!-1</f>
        <v>#REF!</v>
      </c>
      <c r="IA448" s="1094">
        <f>IA447/HR447-1</f>
        <v>8.09788058466633</v>
      </c>
      <c r="IB448" s="1094">
        <f t="shared" ref="IB448" si="3626">IB447/HT447-1</f>
        <v>4.11801229337988</v>
      </c>
      <c r="IC448" s="1094">
        <f t="shared" ref="IC448" si="3627">IC447/HU447-1</f>
        <v>0.828754857707244</v>
      </c>
      <c r="ID448" s="1094">
        <f t="shared" ref="ID448" si="3628">ID447/HV447-1</f>
        <v>1.52331482153835</v>
      </c>
      <c r="IE448" s="1094">
        <f t="shared" ref="IE448" si="3629">IE447/HW447-1</f>
        <v>-0.759400523321813</v>
      </c>
      <c r="IF448" s="1094">
        <f t="shared" ref="IF448" si="3630">IF447/HX447-1</f>
        <v>-3.34665002628898</v>
      </c>
      <c r="IG448" s="1093">
        <f t="shared" ref="IG448" si="3631">IG447/HY447-1</f>
        <v>-9.11913333333509</v>
      </c>
      <c r="IH448" s="1094" t="e">
        <f>IH447/#REF!-1</f>
        <v>#REF!</v>
      </c>
      <c r="II448" s="1094">
        <f>II447/HZ447-1</f>
        <v>1.66314515241554</v>
      </c>
      <c r="IJ448" s="1094">
        <f t="shared" ref="IJ448" si="3632">IJ447/IB447-1</f>
        <v>1.68836222143615</v>
      </c>
      <c r="IK448" s="1094">
        <f t="shared" ref="IK448" si="3633">IK447/IC447-1</f>
        <v>0.163468600228655</v>
      </c>
      <c r="IL448" s="1094">
        <f t="shared" ref="IL448" si="3634">IL447/ID447-1</f>
        <v>0.816571052601203</v>
      </c>
      <c r="IM448" s="1094">
        <f t="shared" ref="IM448" si="3635">IM447/IE447-1</f>
        <v>-1.86771505663915</v>
      </c>
      <c r="IN448" s="1094">
        <f t="shared" ref="IN448" si="3636">IN447/IF447-1</f>
        <v>0.710990067286158</v>
      </c>
      <c r="IO448" s="1093">
        <f t="shared" ref="IO448" si="3637">IO447/IG447-1</f>
        <v>1.18742558729587</v>
      </c>
      <c r="IP448" s="1094" t="e">
        <f>IP447/#REF!-1</f>
        <v>#REF!</v>
      </c>
      <c r="IQ448" s="1094">
        <f>IQ447/IH447-1</f>
        <v>-0.138840529949734</v>
      </c>
      <c r="IR448" s="1094">
        <f t="shared" ref="IR448" si="3638">IR447/IJ447-1</f>
        <v>0.115718203869291</v>
      </c>
      <c r="IS448" s="1094">
        <f t="shared" ref="IS448" si="3639">IS447/IK447-1</f>
        <v>0.319518031755293</v>
      </c>
      <c r="IT448" s="1094">
        <f t="shared" ref="IT448" si="3640">IT447/IL447-1</f>
        <v>0.189372560401688</v>
      </c>
      <c r="IU448" s="1094">
        <f t="shared" ref="IU448" si="3641">IU447/IM447-1</f>
        <v>1.56139854514801</v>
      </c>
      <c r="IV448" s="1094">
        <f t="shared" ref="IV448" si="3642">IV447/IN447-1</f>
        <v>0.492732314218093</v>
      </c>
      <c r="IW448" s="1093">
        <f t="shared" ref="IW448" si="3643">IW447/IO447-1</f>
        <v>0.267409513777112</v>
      </c>
      <c r="IX448" s="1087"/>
      <c r="IY448" s="1378"/>
      <c r="IZ448" s="1378"/>
      <c r="JA448" s="1104"/>
      <c r="JB448" s="1049"/>
      <c r="JC448" s="1049"/>
      <c r="JD448" s="1112"/>
      <c r="JE448" s="1079"/>
      <c r="JF448" s="1082"/>
      <c r="JG448" s="1082"/>
      <c r="JH448" s="1082"/>
    </row>
    <row r="449" s="883" customFormat="1" hidden="1" spans="1:285">
      <c r="A449" s="1364" t="s">
        <v>597</v>
      </c>
      <c r="B449" s="1365">
        <v>2.28445424476295</v>
      </c>
      <c r="C449" s="1365">
        <v>1.68687982359427</v>
      </c>
      <c r="D449" s="1365">
        <f>B449+C449</f>
        <v>3.97133406835722</v>
      </c>
      <c r="E449" s="1365">
        <v>3.15325248070562</v>
      </c>
      <c r="F449" s="1365">
        <f>D449+E449</f>
        <v>7.12458654906284</v>
      </c>
      <c r="G449" s="1365">
        <v>0.485115766262403</v>
      </c>
      <c r="H449" s="1365">
        <f>B449+G449</f>
        <v>2.76957001102536</v>
      </c>
      <c r="I449" s="1365">
        <f>F449+G449</f>
        <v>7.60970231532525</v>
      </c>
      <c r="J449" s="1365">
        <v>1.68216008820287</v>
      </c>
      <c r="K449" s="1365">
        <v>0.970737155457553</v>
      </c>
      <c r="L449" s="1365">
        <f>J449+K449</f>
        <v>2.65289724366042</v>
      </c>
      <c r="M449" s="1365">
        <v>1.81519955898567</v>
      </c>
      <c r="N449" s="1365">
        <f>L449+M449</f>
        <v>4.46809680264609</v>
      </c>
      <c r="O449" s="1365">
        <v>0.171936604189637</v>
      </c>
      <c r="P449" s="1365">
        <f>J449+O449</f>
        <v>1.8540966923925</v>
      </c>
      <c r="Q449" s="1365">
        <f>N449+O449</f>
        <v>4.64003340683573</v>
      </c>
      <c r="R449" s="1365">
        <v>1.87551830209482</v>
      </c>
      <c r="S449" s="1365">
        <v>0.654373803748623</v>
      </c>
      <c r="T449" s="1365">
        <f>R449+S449</f>
        <v>2.52989210584344</v>
      </c>
      <c r="U449" s="1365">
        <v>2.3112789415656</v>
      </c>
      <c r="V449" s="1365">
        <f>T449+U449</f>
        <v>4.84117104740904</v>
      </c>
      <c r="W449" s="1365">
        <v>0.124019845644985</v>
      </c>
      <c r="X449" s="1365">
        <f>R449+W449</f>
        <v>1.9995381477398</v>
      </c>
      <c r="Y449" s="1365">
        <f>V449+W449</f>
        <v>4.96519089305403</v>
      </c>
      <c r="Z449" s="1365">
        <v>2.0576019845645</v>
      </c>
      <c r="AA449" s="1365">
        <v>0.349510474090405</v>
      </c>
      <c r="AB449" s="1365">
        <f>Z449+AA449</f>
        <v>2.40711245865491</v>
      </c>
      <c r="AC449" s="1365">
        <v>2.42402425578831</v>
      </c>
      <c r="AD449" s="1365">
        <f>AB449+AC449</f>
        <v>4.83113671444322</v>
      </c>
      <c r="AE449" s="1365">
        <v>-0.583569746416754</v>
      </c>
      <c r="AF449" s="1365">
        <f>Z449+AE449</f>
        <v>1.47403223814775</v>
      </c>
      <c r="AG449" s="1365">
        <f>AD449+AE449</f>
        <v>4.24756696802646</v>
      </c>
      <c r="AH449" s="1365">
        <v>1.30784564498347</v>
      </c>
      <c r="AI449" s="1365">
        <v>0.653905181918415</v>
      </c>
      <c r="AJ449" s="1365">
        <f>AH449+AI449</f>
        <v>1.96175082690188</v>
      </c>
      <c r="AK449" s="1365">
        <v>2.90077177508269</v>
      </c>
      <c r="AL449" s="1365">
        <f>AJ449+AK449</f>
        <v>4.86252260198457</v>
      </c>
      <c r="AM449" s="1365">
        <v>0.0220507166482911</v>
      </c>
      <c r="AN449" s="1365">
        <f>AH449+AM449</f>
        <v>1.32989636163176</v>
      </c>
      <c r="AO449" s="1365">
        <f>AL449+AM449</f>
        <v>4.88457331863286</v>
      </c>
      <c r="AP449" s="1365">
        <v>1.13663726571114</v>
      </c>
      <c r="AQ449" s="1365">
        <v>0.441014332965821</v>
      </c>
      <c r="AR449" s="1365">
        <f>AP449+AQ449</f>
        <v>1.57765159867696</v>
      </c>
      <c r="AS449" s="1365">
        <v>2.31532524807056</v>
      </c>
      <c r="AT449" s="1365">
        <f>AR449+AS449</f>
        <v>3.89297684674752</v>
      </c>
      <c r="AU449" s="1365">
        <v>0.1</v>
      </c>
      <c r="AV449" s="1365">
        <f>AP449+AU449</f>
        <v>1.23663726571114</v>
      </c>
      <c r="AW449" s="1365">
        <f>AT449+AU449</f>
        <v>3.99297684674752</v>
      </c>
      <c r="AX449" s="1366">
        <v>1.02</v>
      </c>
      <c r="AY449" s="1365">
        <v>0.540242557883131</v>
      </c>
      <c r="AZ449" s="1365">
        <f>AX449+AY449</f>
        <v>1.56024255788313</v>
      </c>
      <c r="BA449" s="1365">
        <v>2.51378169790518</v>
      </c>
      <c r="BB449" s="1365">
        <f>AY449+BA449</f>
        <v>3.05402425578831</v>
      </c>
      <c r="BC449" s="1365">
        <v>0.526482910694598</v>
      </c>
      <c r="BD449" s="1365">
        <f>AX449+BC449</f>
        <v>1.5464829106946</v>
      </c>
      <c r="BE449" s="1367">
        <f>BB449+BC449</f>
        <v>3.58050716648291</v>
      </c>
      <c r="BF449" s="1365">
        <v>0.237045203969129</v>
      </c>
      <c r="BG449" s="1365">
        <v>0.139251143880926</v>
      </c>
      <c r="BH449" s="1365">
        <f>BF449+BG449</f>
        <v>0.376296347850055</v>
      </c>
      <c r="BI449" s="1365">
        <v>0.722160970231532</v>
      </c>
      <c r="BJ449" s="1365">
        <f>BH449+BI449</f>
        <v>1.09845731808159</v>
      </c>
      <c r="BK449" s="1365">
        <v>0.160765159867696</v>
      </c>
      <c r="BL449" s="1365">
        <f>BF449+BK449</f>
        <v>0.397810363836825</v>
      </c>
      <c r="BM449" s="1365">
        <f>BJ449+BK449</f>
        <v>1.25922247794928</v>
      </c>
      <c r="BN449" s="1366">
        <v>1.13</v>
      </c>
      <c r="BO449" s="1365">
        <v>0.177714922815603</v>
      </c>
      <c r="BP449" s="1365">
        <f>BN449+BO449</f>
        <v>1.3077149228156</v>
      </c>
      <c r="BQ449" s="1365">
        <v>3.31</v>
      </c>
      <c r="BR449" s="1365">
        <f>BP449+BQ449</f>
        <v>4.6177149228156</v>
      </c>
      <c r="BS449" s="1365">
        <v>0.58</v>
      </c>
      <c r="BT449" s="1365">
        <f>BN449+BS449</f>
        <v>1.71</v>
      </c>
      <c r="BU449" s="1367">
        <f>BR449+BS449</f>
        <v>5.1977149228156</v>
      </c>
      <c r="BV449" s="1366">
        <v>1.92</v>
      </c>
      <c r="BW449" s="1365">
        <v>1.51</v>
      </c>
      <c r="BX449" s="1365">
        <f>BV449+BW449</f>
        <v>3.43</v>
      </c>
      <c r="BY449" s="1365">
        <v>3.45</v>
      </c>
      <c r="BZ449" s="1365">
        <f>BX449+BY449</f>
        <v>6.88</v>
      </c>
      <c r="CA449" s="1365">
        <v>0.3</v>
      </c>
      <c r="CB449" s="1365">
        <f>BV449+CA449</f>
        <v>2.22</v>
      </c>
      <c r="CC449" s="1367">
        <f>BZ449+CA449</f>
        <v>7.18</v>
      </c>
      <c r="CD449" s="1366">
        <v>2.59</v>
      </c>
      <c r="CE449" s="1365">
        <v>0.48</v>
      </c>
      <c r="CF449" s="1365">
        <f>CD449+CE449</f>
        <v>3.07</v>
      </c>
      <c r="CG449" s="1365">
        <v>1.09773803703</v>
      </c>
      <c r="CH449" s="1365">
        <f>CF449+CG449</f>
        <v>4.16773803703</v>
      </c>
      <c r="CI449" s="1365">
        <v>0.11</v>
      </c>
      <c r="CJ449" s="1365">
        <f>CD449+CI449</f>
        <v>2.7</v>
      </c>
      <c r="CK449" s="1367">
        <f>CH449+CI449</f>
        <v>4.27773803703</v>
      </c>
      <c r="CL449" s="1366">
        <v>0.668767080143107</v>
      </c>
      <c r="CM449" s="1368">
        <v>0.39</v>
      </c>
      <c r="CN449" s="1368">
        <f>CL449+CM449</f>
        <v>1.05876708014311</v>
      </c>
      <c r="CO449" s="1365">
        <v>1.2</v>
      </c>
      <c r="CP449" s="1365">
        <v>2.31</v>
      </c>
      <c r="CQ449" s="1379">
        <f>CS449-CP449</f>
        <v>0.0600000000000001</v>
      </c>
      <c r="CR449" s="1365">
        <f>CO449+CQ449</f>
        <v>1.26</v>
      </c>
      <c r="CS449" s="1367">
        <v>2.37</v>
      </c>
      <c r="CT449" s="1366"/>
      <c r="CU449" s="1365"/>
      <c r="CV449" s="1365"/>
      <c r="CW449" s="1365"/>
      <c r="CX449" s="1365"/>
      <c r="CY449" s="1365"/>
      <c r="CZ449" s="1365"/>
      <c r="DA449" s="1367"/>
      <c r="DB449" s="1369"/>
      <c r="DC449" s="1370"/>
      <c r="DD449" s="1370"/>
      <c r="DE449" s="1370"/>
      <c r="DF449" s="1370"/>
      <c r="DG449" s="1370"/>
      <c r="DH449" s="1370"/>
      <c r="DI449" s="1371"/>
      <c r="DJ449" s="1370">
        <f t="shared" ref="DJ449:DV449" si="3644">DJ444/DJ456</f>
        <v>0.0251349359528346</v>
      </c>
      <c r="DK449" s="1370">
        <f t="shared" si="3644"/>
        <v>0.0465078995837812</v>
      </c>
      <c r="DL449" s="1370">
        <f t="shared" si="3644"/>
        <v>0.10002886002886</v>
      </c>
      <c r="DM449" s="1370">
        <f t="shared" si="3644"/>
        <v>1.10068695681615</v>
      </c>
      <c r="DN449" s="1370">
        <f t="shared" si="3644"/>
        <v>1.16269748959453</v>
      </c>
      <c r="DO449" s="1370">
        <f t="shared" si="3644"/>
        <v>0.103350887963958</v>
      </c>
      <c r="DP449" s="1370">
        <f t="shared" si="3644"/>
        <v>1.19440554202187</v>
      </c>
      <c r="DQ449" s="1370">
        <f t="shared" si="3644"/>
        <v>1.25</v>
      </c>
      <c r="DR449" s="1369">
        <f t="shared" si="3644"/>
        <v>0.80299714478114</v>
      </c>
      <c r="DS449" s="1370">
        <f t="shared" si="3644"/>
        <v>0.602247858585855</v>
      </c>
      <c r="DT449" s="1370">
        <f t="shared" si="3644"/>
        <v>1.405245003367</v>
      </c>
      <c r="DU449" s="1370">
        <f t="shared" si="3644"/>
        <v>1.27127959548457</v>
      </c>
      <c r="DV449" s="1370">
        <f t="shared" si="3644"/>
        <v>2.67637809575698</v>
      </c>
      <c r="DW449" s="1370">
        <f>DY449-DV449</f>
        <v>0.0337372678793644</v>
      </c>
      <c r="DX449" s="1372">
        <f>DU449+DW449</f>
        <v>1.30501686336393</v>
      </c>
      <c r="DY449" s="1373">
        <f>'Profit and Loss'!Q406</f>
        <v>2.71011536363635</v>
      </c>
      <c r="DZ449" s="1370">
        <f t="shared" ref="DZ449:EE449" si="3645">DZ444/DZ456</f>
        <v>0.998966686067014</v>
      </c>
      <c r="EA449" s="1370">
        <f t="shared" si="3645"/>
        <v>0.669162272309889</v>
      </c>
      <c r="EB449" s="1370">
        <f t="shared" si="3645"/>
        <v>1.66812595025822</v>
      </c>
      <c r="EC449" s="1370">
        <f t="shared" si="3645"/>
        <v>1.4482627075517</v>
      </c>
      <c r="ED449" s="1370">
        <f t="shared" si="3645"/>
        <v>3.11639368093633</v>
      </c>
      <c r="EE449" s="1370">
        <f t="shared" si="3645"/>
        <v>-0.18641005146705</v>
      </c>
      <c r="EF449" s="1372">
        <f>EC449+EE449</f>
        <v>1.26185265608465</v>
      </c>
      <c r="EG449" s="1374">
        <f t="shared" ref="EG449:EM449" si="3646">EG444/EG456</f>
        <v>2.92998362946928</v>
      </c>
      <c r="EH449" s="1370">
        <f t="shared" si="3646"/>
        <v>1.38134627881994</v>
      </c>
      <c r="EI449" s="1370">
        <f t="shared" si="3646"/>
        <v>0.788657910052906</v>
      </c>
      <c r="EJ449" s="1370">
        <f t="shared" si="3646"/>
        <v>2.17000418887284</v>
      </c>
      <c r="EK449" s="1370">
        <f t="shared" si="3646"/>
        <v>1.64423224883757</v>
      </c>
      <c r="EL449" s="1370">
        <f t="shared" si="3646"/>
        <v>3.81423643771042</v>
      </c>
      <c r="EM449" s="1370">
        <f t="shared" si="3646"/>
        <v>-1.30965010517876</v>
      </c>
      <c r="EN449" s="1372">
        <f>EK449+EM449</f>
        <v>0.334582143658809</v>
      </c>
      <c r="EO449" s="1373">
        <f>EH449+EI449+EK449+EM449</f>
        <v>2.50458633253165</v>
      </c>
      <c r="EP449" s="1375">
        <f t="shared" ref="EP449:EW449" si="3647">EP444/EP456</f>
        <v>1.47216143209876</v>
      </c>
      <c r="EQ449" s="1375">
        <f t="shared" si="3647"/>
        <v>0.810166762145258</v>
      </c>
      <c r="ER449" s="1375">
        <f t="shared" si="3647"/>
        <v>2.28232819424402</v>
      </c>
      <c r="ES449" s="1375">
        <f t="shared" si="3647"/>
        <v>1.51039939137405</v>
      </c>
      <c r="ET449" s="1375">
        <f t="shared" si="3647"/>
        <v>3.79272758561806</v>
      </c>
      <c r="EU449" s="1375">
        <f t="shared" si="3647"/>
        <v>-0.043017704184704</v>
      </c>
      <c r="EV449" s="1375">
        <f t="shared" si="3647"/>
        <v>1.46738168718935</v>
      </c>
      <c r="EW449" s="1373">
        <f t="shared" si="3647"/>
        <v>3.75687949879748</v>
      </c>
      <c r="EX449" s="1375">
        <f t="shared" ref="EX449:FE449" si="3648">EX444/EX456</f>
        <v>0.975067961519956</v>
      </c>
      <c r="EY449" s="1375">
        <f t="shared" si="3648"/>
        <v>0.688283266955263</v>
      </c>
      <c r="EZ449" s="1375">
        <f t="shared" si="3648"/>
        <v>1.67291071829404</v>
      </c>
      <c r="FA449" s="1375">
        <f t="shared" si="3648"/>
        <v>1.35266780936347</v>
      </c>
      <c r="FB449" s="1375">
        <f t="shared" si="3648"/>
        <v>3.00167980311045</v>
      </c>
      <c r="FC449" s="1375">
        <f t="shared" si="3648"/>
        <v>-0.675363506144757</v>
      </c>
      <c r="FD449" s="1375">
        <f t="shared" si="3648"/>
        <v>0.569987639937773</v>
      </c>
      <c r="FE449" s="1373">
        <f t="shared" si="3648"/>
        <v>2.34700792915554</v>
      </c>
      <c r="FF449" s="1375">
        <f>FF$444/FF456</f>
        <v>1.08251952274977</v>
      </c>
      <c r="FG449" s="1375">
        <f>FG$444/FG456</f>
        <v>0.719574754188951</v>
      </c>
      <c r="FH449" s="1375">
        <f t="shared" ref="FH449:FM449" si="3649">FH$444/FH456</f>
        <v>1.80879407388593</v>
      </c>
      <c r="FI449" s="1375">
        <f t="shared" si="3649"/>
        <v>1.55346659642467</v>
      </c>
      <c r="FJ449" s="1375">
        <f t="shared" si="3649"/>
        <v>3.35664074760766</v>
      </c>
      <c r="FK449" s="1375">
        <f t="shared" si="3649"/>
        <v>-0.22328470678684</v>
      </c>
      <c r="FL449" s="1375">
        <f t="shared" si="3649"/>
        <v>1.31986071122888</v>
      </c>
      <c r="FM449" s="1373">
        <f t="shared" si="3649"/>
        <v>3.14087154213488</v>
      </c>
      <c r="FN449" s="1375">
        <f t="shared" ref="FN449:GC449" si="3650">FN$444/FN456</f>
        <v>1.75326937409987</v>
      </c>
      <c r="FO449" s="1375">
        <f t="shared" si="3650"/>
        <v>1.44357506870331</v>
      </c>
      <c r="FP449" s="1375">
        <f t="shared" si="3650"/>
        <v>3.1918493733613</v>
      </c>
      <c r="FQ449" s="1375">
        <f t="shared" si="3650"/>
        <v>1.92282145290796</v>
      </c>
      <c r="FR449" s="1375">
        <f t="shared" si="3650"/>
        <v>5.12469043635615</v>
      </c>
      <c r="FS449" s="1375">
        <f t="shared" si="3650"/>
        <v>-0.0449576777413279</v>
      </c>
      <c r="FT449" s="1375">
        <f t="shared" si="3650"/>
        <v>1.87823187008214</v>
      </c>
      <c r="FU449" s="1375">
        <f t="shared" si="3650"/>
        <v>5.08021758477005</v>
      </c>
      <c r="FV449" s="1376">
        <f t="shared" si="3650"/>
        <v>2.26132965169649</v>
      </c>
      <c r="FW449" s="1375">
        <f t="shared" si="3650"/>
        <v>0.780825302693353</v>
      </c>
      <c r="FX449" s="1375">
        <f t="shared" si="3650"/>
        <v>3.02940449715839</v>
      </c>
      <c r="FY449" s="1375">
        <f t="shared" si="3650"/>
        <v>2.59131665647379</v>
      </c>
      <c r="FZ449" s="1375">
        <f t="shared" si="3650"/>
        <v>5.63273990554752</v>
      </c>
      <c r="GA449" s="1375">
        <f t="shared" si="3650"/>
        <v>0.171515259770135</v>
      </c>
      <c r="GB449" s="1375">
        <f t="shared" si="3650"/>
        <v>2.75686570329572</v>
      </c>
      <c r="GC449" s="1373">
        <f t="shared" si="3650"/>
        <v>5.77324320613865</v>
      </c>
      <c r="GD449" s="1375">
        <f t="shared" ref="GD449:GK449" si="3651">GD$444/GD456</f>
        <v>2.65122337767605</v>
      </c>
      <c r="GE449" s="1375">
        <f t="shared" si="3651"/>
        <v>2.05509831945197</v>
      </c>
      <c r="GF449" s="1375">
        <f t="shared" si="3651"/>
        <v>4.70774073234726</v>
      </c>
      <c r="GG449" s="1375">
        <f t="shared" si="3651"/>
        <v>3.26439073012709</v>
      </c>
      <c r="GH449" s="1375">
        <f t="shared" si="3651"/>
        <v>7.96390472111332</v>
      </c>
      <c r="GI449" s="1375">
        <f t="shared" si="3651"/>
        <v>0.468179916303219</v>
      </c>
      <c r="GJ449" s="1375">
        <f t="shared" si="3651"/>
        <v>3.7395427764155</v>
      </c>
      <c r="GK449" s="1373">
        <f t="shared" si="3651"/>
        <v>8.4556327103128</v>
      </c>
      <c r="GL449" s="1375">
        <f t="shared" ref="GL449:GS449" si="3652">GL$444/GL456</f>
        <v>3.1713769996608</v>
      </c>
      <c r="GM449" s="1375">
        <f t="shared" si="3652"/>
        <v>2.32949770215256</v>
      </c>
      <c r="GN449" s="1375">
        <f t="shared" si="3652"/>
        <v>5.50177172934552</v>
      </c>
      <c r="GO449" s="1375">
        <f t="shared" si="3652"/>
        <v>3.26028076889976</v>
      </c>
      <c r="GP449" s="1375">
        <f t="shared" si="3652"/>
        <v>8.76049033498651</v>
      </c>
      <c r="GQ449" s="1375">
        <f t="shared" si="3652"/>
        <v>0.915647592580363</v>
      </c>
      <c r="GR449" s="1375">
        <f t="shared" si="3652"/>
        <v>4.18009017187429</v>
      </c>
      <c r="GS449" s="1373">
        <f t="shared" si="3652"/>
        <v>9.69606186046983</v>
      </c>
      <c r="GT449" s="1375">
        <f t="shared" ref="GT449:HA449" si="3653">GT$444/GT456</f>
        <v>0.125690868542325</v>
      </c>
      <c r="GU449" s="1375">
        <f t="shared" si="3653"/>
        <v>-1.45614143030005</v>
      </c>
      <c r="GV449" s="1375">
        <f t="shared" si="3653"/>
        <v>-1.32675678095068</v>
      </c>
      <c r="GW449" s="1375">
        <f t="shared" si="3653"/>
        <v>2.80476470272154</v>
      </c>
      <c r="GX449" s="1375">
        <f t="shared" si="3653"/>
        <v>1.47260467744329</v>
      </c>
      <c r="GY449" s="1375">
        <f t="shared" si="3653"/>
        <v>0.668291553559357</v>
      </c>
      <c r="GZ449" s="1375">
        <f t="shared" si="3653"/>
        <v>3.4730562562809</v>
      </c>
      <c r="HA449" s="1373">
        <f t="shared" si="3653"/>
        <v>2.14068883576999</v>
      </c>
      <c r="HB449" s="1375">
        <f t="shared" ref="HB449:HI449" si="3654">HB$444/HB456</f>
        <v>2.59780335264264</v>
      </c>
      <c r="HC449" s="1375">
        <f t="shared" si="3654"/>
        <v>1.9275132003896</v>
      </c>
      <c r="HD449" s="1375">
        <f t="shared" si="3654"/>
        <v>4.52531655303224</v>
      </c>
      <c r="HE449" s="1375">
        <f t="shared" si="3654"/>
        <v>2.34113712374582</v>
      </c>
      <c r="HF449" s="1375">
        <f t="shared" si="3654"/>
        <v>6.88321842037561</v>
      </c>
      <c r="HG449" s="1375">
        <f t="shared" si="3654"/>
        <v>0.583826588994066</v>
      </c>
      <c r="HH449" s="1375">
        <f t="shared" si="3654"/>
        <v>2.95041350254863</v>
      </c>
      <c r="HI449" s="1373">
        <f t="shared" si="3654"/>
        <v>7.46729838294365</v>
      </c>
      <c r="HJ449" s="1375">
        <f t="shared" ref="HJ449:HQ449" si="3655">HJ$444/HJ456</f>
        <v>1.60005086254398</v>
      </c>
      <c r="HK449" s="1375">
        <f t="shared" si="3655"/>
        <v>1.87759797696958</v>
      </c>
      <c r="HL449" s="1375">
        <f t="shared" si="3655"/>
        <v>3.47432591107227</v>
      </c>
      <c r="HM449" s="1375">
        <f t="shared" si="3655"/>
        <v>0.338888888888889</v>
      </c>
      <c r="HN449" s="1375">
        <f t="shared" si="3655"/>
        <v>3.84613993656672</v>
      </c>
      <c r="HO449" s="1375">
        <f t="shared" si="3655"/>
        <v>-2.67222222222222</v>
      </c>
      <c r="HP449" s="1375">
        <f t="shared" si="3655"/>
        <v>-2.33333333333333</v>
      </c>
      <c r="HQ449" s="1373">
        <f t="shared" si="3655"/>
        <v>1.24416456804843</v>
      </c>
      <c r="HR449" s="1375">
        <f t="shared" ref="HR449:HY449" si="3656">HR$444/HR456</f>
        <v>0.0988502456943845</v>
      </c>
      <c r="HS449" s="1375">
        <f t="shared" si="3656"/>
        <v>0.226005787361149</v>
      </c>
      <c r="HT449" s="1375">
        <f t="shared" si="3656"/>
        <v>0.324873839461032</v>
      </c>
      <c r="HU449" s="1375">
        <f t="shared" si="3656"/>
        <v>1.21340725806452</v>
      </c>
      <c r="HV449" s="1375">
        <f t="shared" si="3656"/>
        <v>1.53841845105458</v>
      </c>
      <c r="HW449" s="1375">
        <f t="shared" si="3656"/>
        <v>-1.95824429989788</v>
      </c>
      <c r="HX449" s="1375">
        <f t="shared" si="3656"/>
        <v>-0.744837041833354</v>
      </c>
      <c r="HY449" s="1373">
        <f t="shared" si="3656"/>
        <v>-0.420068051024171</v>
      </c>
      <c r="HZ449" s="1375">
        <f t="shared" ref="HZ449:IG449" si="3657">HZ$444/HZ456</f>
        <v>0.76335685483871</v>
      </c>
      <c r="IA449" s="1375">
        <f t="shared" si="3657"/>
        <v>0.899025537634408</v>
      </c>
      <c r="IB449" s="1375">
        <f t="shared" si="3657"/>
        <v>1.66238239247312</v>
      </c>
      <c r="IC449" s="1375">
        <f t="shared" si="3657"/>
        <v>2.21902441756272</v>
      </c>
      <c r="ID449" s="1375">
        <f t="shared" si="3657"/>
        <v>3.88140681003584</v>
      </c>
      <c r="IE449" s="1375">
        <f t="shared" si="3657"/>
        <v>-0.471152553763472</v>
      </c>
      <c r="IF449" s="1375">
        <f t="shared" si="3657"/>
        <v>1.74787186379925</v>
      </c>
      <c r="IG449" s="1373">
        <f t="shared" si="3657"/>
        <v>3.41025425627237</v>
      </c>
      <c r="IH449" s="1375">
        <f t="shared" ref="IH449:IO449" si="3658">IH$444/IH456</f>
        <v>2.43615591397849</v>
      </c>
      <c r="II449" s="1375">
        <f t="shared" si="3658"/>
        <v>2.03293010752688</v>
      </c>
      <c r="IJ449" s="1375">
        <f t="shared" si="3658"/>
        <v>4.46908602150538</v>
      </c>
      <c r="IK449" s="1375">
        <f t="shared" si="3658"/>
        <v>2.58176523297491</v>
      </c>
      <c r="IL449" s="1375">
        <f t="shared" si="3658"/>
        <v>7.05085125448029</v>
      </c>
      <c r="IM449" s="1375">
        <f t="shared" si="3658"/>
        <v>0.408826164874553</v>
      </c>
      <c r="IN449" s="1375">
        <f t="shared" si="3658"/>
        <v>2.99059139784946</v>
      </c>
      <c r="IO449" s="1373">
        <f t="shared" si="3658"/>
        <v>7.45967741935484</v>
      </c>
      <c r="IP449" s="1375">
        <f t="shared" ref="IP449:IW449" si="3659">IP$444/IP456</f>
        <v>2.88528827486568</v>
      </c>
      <c r="IQ449" s="1375">
        <f t="shared" si="3659"/>
        <v>2.09871966694232</v>
      </c>
      <c r="IR449" s="1375">
        <f t="shared" si="3659"/>
        <v>4.98812890561842</v>
      </c>
      <c r="IS449" s="1375">
        <f t="shared" si="3659"/>
        <v>3.40783088313271</v>
      </c>
      <c r="IT449" s="1375">
        <f t="shared" si="3659"/>
        <v>8.38914670833907</v>
      </c>
      <c r="IU449" s="1375">
        <f t="shared" si="3659"/>
        <v>1.04751873274961</v>
      </c>
      <c r="IV449" s="1375">
        <f t="shared" si="3659"/>
        <v>4.46565297362724</v>
      </c>
      <c r="IW449" s="1373">
        <f t="shared" si="3659"/>
        <v>9.45784687358651</v>
      </c>
      <c r="IX449" s="1377"/>
      <c r="IY449" s="1378"/>
      <c r="IZ449" s="1378"/>
      <c r="JA449" s="1049"/>
      <c r="JB449" s="1049"/>
      <c r="JC449" s="1049"/>
      <c r="JD449" s="1112"/>
      <c r="JE449" s="1080"/>
      <c r="JF449" s="1082"/>
      <c r="JG449" s="1082"/>
      <c r="JH449" s="1082"/>
    </row>
    <row r="450" s="883" customFormat="1" hidden="1" spans="1:285">
      <c r="A450" s="883" t="s">
        <v>142</v>
      </c>
      <c r="B450" s="1302" t="s">
        <v>173</v>
      </c>
      <c r="C450" s="1302" t="s">
        <v>173</v>
      </c>
      <c r="D450" s="1302" t="s">
        <v>173</v>
      </c>
      <c r="E450" s="1302" t="s">
        <v>173</v>
      </c>
      <c r="F450" s="1302" t="s">
        <v>173</v>
      </c>
      <c r="G450" s="1302" t="s">
        <v>173</v>
      </c>
      <c r="H450" s="1302" t="s">
        <v>173</v>
      </c>
      <c r="I450" s="1302" t="s">
        <v>173</v>
      </c>
      <c r="J450" s="1302">
        <v>-0.263649034749034</v>
      </c>
      <c r="K450" s="1302">
        <v>-0.424536862745098</v>
      </c>
      <c r="L450" s="1302">
        <f>L449/D449-1</f>
        <v>-0.331988395335924</v>
      </c>
      <c r="M450" s="1302">
        <v>-0.424340559440559</v>
      </c>
      <c r="N450" s="1302">
        <f>N449/F449-1</f>
        <v>-0.372862302692664</v>
      </c>
      <c r="O450" s="1302">
        <v>-0.645576136363636</v>
      </c>
      <c r="P450" s="1302">
        <f>P449/H449-1</f>
        <v>-0.330547093949044</v>
      </c>
      <c r="Q450" s="1302">
        <f>Q449/I449-1</f>
        <v>-0.390247710808461</v>
      </c>
      <c r="R450" s="1302">
        <v>0.11494638069705</v>
      </c>
      <c r="S450" s="1302">
        <v>-0.325900116144018</v>
      </c>
      <c r="T450" s="1302">
        <f>T449/L449-1</f>
        <v>-0.0463663408414792</v>
      </c>
      <c r="U450" s="1302">
        <v>0.27329192546584</v>
      </c>
      <c r="V450" s="1302">
        <f>V449/N449-1</f>
        <v>0.0834973504920515</v>
      </c>
      <c r="W450" s="1302">
        <v>-0.278688524590157</v>
      </c>
      <c r="X450" s="1302">
        <f>X449/P449-1</f>
        <v>0.0784432958346002</v>
      </c>
      <c r="Y450" s="1302">
        <f>Y449/Q449-1</f>
        <v>0.0700765399100962</v>
      </c>
      <c r="Z450" s="1302">
        <v>0.0970844604749033</v>
      </c>
      <c r="AA450" s="1302">
        <v>-0.465885596140598</v>
      </c>
      <c r="AB450" s="1302">
        <f>AB449/T449-1</f>
        <v>-0.0485315744908426</v>
      </c>
      <c r="AC450" s="1302">
        <v>0.0487804878048756</v>
      </c>
      <c r="AD450" s="1302">
        <f>AD449/V449-1</f>
        <v>-0.00207270779478008</v>
      </c>
      <c r="AE450" s="1302">
        <v>-5.70545454545445</v>
      </c>
      <c r="AF450" s="1302">
        <f>AF449/X449-1</f>
        <v>-0.262813645334083</v>
      </c>
      <c r="AG450" s="1302">
        <f>AG449/Y449-1</f>
        <v>-0.144530983900634</v>
      </c>
      <c r="AH450" s="1302">
        <v>-0.364383561643834</v>
      </c>
      <c r="AI450" s="1302">
        <v>0.870917269704695</v>
      </c>
      <c r="AJ450" s="1302">
        <f>AJ449/AB449-1</f>
        <v>-0.185019038122503</v>
      </c>
      <c r="AK450" s="1302">
        <v>0.196676051469352</v>
      </c>
      <c r="AL450" s="1302">
        <f>AL449/AD449-1</f>
        <v>0.00649658442650214</v>
      </c>
      <c r="AM450" s="1302">
        <v>-1.03778591468061</v>
      </c>
      <c r="AN450" s="1302">
        <f>AN449/AF449-1</f>
        <v>-0.0977833949528188</v>
      </c>
      <c r="AO450" s="1302">
        <f>AO449/AG449-1</f>
        <v>0.149969701573033</v>
      </c>
      <c r="AP450" s="1302">
        <v>-0.13090870465413</v>
      </c>
      <c r="AQ450" s="1302">
        <v>-0.325568377250075</v>
      </c>
      <c r="AR450" s="1302">
        <f>AR449/AJ449-1</f>
        <v>-0.195794095232531</v>
      </c>
      <c r="AS450" s="1302">
        <v>-0.201824401368301</v>
      </c>
      <c r="AT450" s="1302">
        <f>AT449/AL449-1</f>
        <v>-0.19939151642017</v>
      </c>
      <c r="AU450" s="1302">
        <v>3.535</v>
      </c>
      <c r="AV450" s="1302">
        <f>AV449/AN449-1</f>
        <v>-0.070125085391011</v>
      </c>
      <c r="AW450" s="1302">
        <f>AW449/AO449-1</f>
        <v>-0.182533133136568</v>
      </c>
      <c r="AX450" s="1303">
        <v>-0.102616084506223</v>
      </c>
      <c r="AY450" s="1302">
        <v>0.225</v>
      </c>
      <c r="AZ450" s="1302">
        <f>AZ449/AR449-1</f>
        <v>-0.0110347815756187</v>
      </c>
      <c r="BA450" s="1302">
        <v>0.0857142857142856</v>
      </c>
      <c r="BB450" s="1302">
        <f>BB449/AT449-1</f>
        <v>-0.215504130639803</v>
      </c>
      <c r="BC450" s="1302">
        <v>4.26482910694597</v>
      </c>
      <c r="BD450" s="1302">
        <f>BD449/AV449-1</f>
        <v>0.250554995854248</v>
      </c>
      <c r="BE450" s="1304">
        <f>BE449/AW449-1</f>
        <v>-0.103298790875932</v>
      </c>
      <c r="BF450" s="1302">
        <v>-0.767602741206736</v>
      </c>
      <c r="BG450" s="1302">
        <v>-0.742243290816326</v>
      </c>
      <c r="BH450" s="1302">
        <f>BH449/AZ449-1</f>
        <v>-0.758821892180279</v>
      </c>
      <c r="BI450" s="1302">
        <v>-0.712719298245614</v>
      </c>
      <c r="BJ450" s="1302">
        <f>BJ449/BB449-1</f>
        <v>-0.640324625451264</v>
      </c>
      <c r="BK450" s="1302">
        <v>-0.694643156307589</v>
      </c>
      <c r="BL450" s="1302">
        <f>BL449/BD449-1</f>
        <v>-0.742764461808279</v>
      </c>
      <c r="BM450" s="1302">
        <f>BM449/BE449-1</f>
        <v>-0.648311700158891</v>
      </c>
      <c r="BN450" s="1303">
        <v>3.76702325581395</v>
      </c>
      <c r="BO450" s="1302">
        <v>0.276218764619752</v>
      </c>
      <c r="BP450" s="1302">
        <f>BP449/BH449-1</f>
        <v>2.47522618884596</v>
      </c>
      <c r="BQ450" s="1302">
        <v>3.58346564885496</v>
      </c>
      <c r="BR450" s="1302">
        <f>BR449/BJ449-1</f>
        <v>3.20381825201935</v>
      </c>
      <c r="BS450" s="1302">
        <v>2.60774685558314</v>
      </c>
      <c r="BT450" s="1302">
        <f>BT449/BL449-1</f>
        <v>3.29853054482365</v>
      </c>
      <c r="BU450" s="1304">
        <f>BU449/BM449-1</f>
        <v>3.12771770980485</v>
      </c>
      <c r="BV450" s="1303">
        <v>0.699115044247788</v>
      </c>
      <c r="BW450" s="1302">
        <v>7.49675410526316</v>
      </c>
      <c r="BX450" s="1302">
        <f>BX449/BP449-1</f>
        <v>1.62289581632591</v>
      </c>
      <c r="BY450" s="1302">
        <v>0.042296072507553</v>
      </c>
      <c r="BZ450" s="1302">
        <f>BZ449/BR449-1</f>
        <v>0.489914408965938</v>
      </c>
      <c r="CA450" s="1302">
        <v>-0.482758620689655</v>
      </c>
      <c r="CB450" s="1302">
        <f>CB449/BT449-1</f>
        <v>0.298245614035088</v>
      </c>
      <c r="CC450" s="1304">
        <f>CC449/BU449-1</f>
        <v>0.381376259879715</v>
      </c>
      <c r="CD450" s="1303">
        <v>0.348958333333333</v>
      </c>
      <c r="CE450" s="1302">
        <v>-0.682119205298013</v>
      </c>
      <c r="CF450" s="1302">
        <f>CF449/BX449-1</f>
        <v>-0.104956268221574</v>
      </c>
      <c r="CG450" s="1302">
        <v>-0.681815061730434</v>
      </c>
      <c r="CH450" s="1302">
        <f>CH449/BZ449-1</f>
        <v>-0.394224122524709</v>
      </c>
      <c r="CI450" s="1302">
        <v>-0.633333333333333</v>
      </c>
      <c r="CJ450" s="1302">
        <f>CJ449/CB449-1</f>
        <v>0.216216216216216</v>
      </c>
      <c r="CK450" s="1304">
        <f>CK449/CC449-1</f>
        <v>-0.404214758073816</v>
      </c>
      <c r="CL450" s="1303">
        <v>-0.741788772145519</v>
      </c>
      <c r="CM450" s="1302">
        <f t="shared" ref="CM450:CS450" si="3660">CM449/CE449-1</f>
        <v>-0.1875</v>
      </c>
      <c r="CN450" s="1302">
        <f t="shared" si="3660"/>
        <v>-0.655124729595079</v>
      </c>
      <c r="CO450" s="1302">
        <f t="shared" si="3660"/>
        <v>0.0931569823768443</v>
      </c>
      <c r="CP450" s="1302">
        <f t="shared" si="3660"/>
        <v>-0.445742515610184</v>
      </c>
      <c r="CQ450" s="1302">
        <f t="shared" si="3660"/>
        <v>-0.454545454545454</v>
      </c>
      <c r="CR450" s="1302">
        <f t="shared" si="3660"/>
        <v>-0.533333333333333</v>
      </c>
      <c r="CS450" s="1304">
        <f t="shared" si="3660"/>
        <v>-0.445968879000017</v>
      </c>
      <c r="CT450" s="1303"/>
      <c r="CU450" s="1302"/>
      <c r="CV450" s="1302"/>
      <c r="CW450" s="1302"/>
      <c r="CX450" s="1302"/>
      <c r="CY450" s="1302"/>
      <c r="CZ450" s="1302"/>
      <c r="DA450" s="1304"/>
      <c r="DB450" s="1109"/>
      <c r="DC450" s="1082"/>
      <c r="DD450" s="1082">
        <f>DD426/DI426</f>
        <v>0.313084112149533</v>
      </c>
      <c r="DE450" s="1082"/>
      <c r="DF450" s="1082"/>
      <c r="DG450" s="1082"/>
      <c r="DH450" s="1082">
        <f>DH426/DI426</f>
        <v>0.686915887850467</v>
      </c>
      <c r="DI450" s="1085"/>
      <c r="DJ450" s="1082"/>
      <c r="DK450" s="1082"/>
      <c r="DL450" s="1082"/>
      <c r="DM450" s="1082"/>
      <c r="DN450" s="1082"/>
      <c r="DO450" s="1082"/>
      <c r="DP450" s="1082"/>
      <c r="DQ450" s="1082"/>
      <c r="DR450" s="1275"/>
      <c r="DS450" s="1094"/>
      <c r="DT450" s="1094"/>
      <c r="DU450" s="1094"/>
      <c r="DV450" s="1094"/>
      <c r="DW450" s="1094"/>
      <c r="DX450" s="1094"/>
      <c r="DY450" s="1093"/>
      <c r="DZ450" s="1094"/>
      <c r="EA450" s="1094"/>
      <c r="EB450" s="1094"/>
      <c r="EC450" s="1094"/>
      <c r="ED450" s="1094"/>
      <c r="EE450" s="1094"/>
      <c r="EF450" s="1094"/>
      <c r="EG450" s="1093"/>
      <c r="EH450" s="1094"/>
      <c r="EI450" s="1094"/>
      <c r="EJ450" s="1094"/>
      <c r="EK450" s="1094"/>
      <c r="EL450" s="1094"/>
      <c r="EM450" s="1094"/>
      <c r="EN450" s="1094"/>
      <c r="EO450" s="1093"/>
      <c r="EP450" s="1094">
        <f>EP449/EH449-1</f>
        <v>0.0657439446366783</v>
      </c>
      <c r="EQ450" s="1094">
        <f t="shared" ref="EQ450:EW450" si="3661">EQ449/EI449-1</f>
        <v>0.0272727272727273</v>
      </c>
      <c r="ER450" s="1094">
        <f t="shared" si="3661"/>
        <v>0.0517621145374449</v>
      </c>
      <c r="ES450" s="1094">
        <f t="shared" si="3661"/>
        <v>-0.0813953488372093</v>
      </c>
      <c r="ET450" s="1094">
        <f t="shared" si="3661"/>
        <v>-0.00563909774436089</v>
      </c>
      <c r="EU450" s="1094">
        <f t="shared" si="3661"/>
        <v>-0.967153284671533</v>
      </c>
      <c r="EV450" s="1094">
        <f t="shared" si="3661"/>
        <v>3.38571428571429</v>
      </c>
      <c r="EW450" s="1093">
        <f t="shared" si="3661"/>
        <v>0.5</v>
      </c>
      <c r="EX450" s="1094">
        <f t="shared" ref="EX450:FG450" si="3662">EX449/EP449-1</f>
        <v>-0.337662337662338</v>
      </c>
      <c r="EY450" s="1094">
        <f t="shared" si="3662"/>
        <v>-0.150442477876106</v>
      </c>
      <c r="EZ450" s="1094">
        <f t="shared" si="3662"/>
        <v>-0.267015706806283</v>
      </c>
      <c r="FA450" s="1094">
        <f t="shared" si="3662"/>
        <v>-0.104430379746835</v>
      </c>
      <c r="FB450" s="1094">
        <f t="shared" si="3662"/>
        <v>-0.208569628229364</v>
      </c>
      <c r="FC450" s="1094">
        <f t="shared" si="3662"/>
        <v>14.6996641021326</v>
      </c>
      <c r="FD450" s="1094">
        <f t="shared" si="3662"/>
        <v>-0.611561432915563</v>
      </c>
      <c r="FE450" s="1093">
        <f t="shared" si="3662"/>
        <v>-0.375277293321018</v>
      </c>
      <c r="FF450" s="1094">
        <f t="shared" si="3662"/>
        <v>0.110199048138461</v>
      </c>
      <c r="FG450" s="1094">
        <f t="shared" si="3662"/>
        <v>0.0454630945368051</v>
      </c>
      <c r="FH450" s="1094">
        <f t="shared" ref="FH450:FO450" si="3663">FH449/EZ449-1</f>
        <v>0.0812257068509017</v>
      </c>
      <c r="FI450" s="1094">
        <f t="shared" si="3663"/>
        <v>0.148446488983641</v>
      </c>
      <c r="FJ450" s="1094">
        <f t="shared" si="3663"/>
        <v>0.118254100297235</v>
      </c>
      <c r="FK450" s="1094">
        <f t="shared" si="3663"/>
        <v>-0.669385886629501</v>
      </c>
      <c r="FL450" s="1094">
        <f t="shared" si="3663"/>
        <v>1.31559531952828</v>
      </c>
      <c r="FM450" s="1093">
        <f t="shared" si="3663"/>
        <v>0.338244964202136</v>
      </c>
      <c r="FN450" s="1094">
        <f t="shared" si="3663"/>
        <v>0.619619172914586</v>
      </c>
      <c r="FO450" s="1094">
        <f t="shared" si="3663"/>
        <v>1.00615024401515</v>
      </c>
      <c r="FP450" s="1094">
        <f t="shared" ref="FP450:FV450" si="3664">FP449/FH449-1</f>
        <v>0.764628389402051</v>
      </c>
      <c r="FQ450" s="1094">
        <f t="shared" si="3664"/>
        <v>0.237761698470615</v>
      </c>
      <c r="FR450" s="1094">
        <f t="shared" si="3664"/>
        <v>0.526731879188624</v>
      </c>
      <c r="FS450" s="1094">
        <f t="shared" si="3664"/>
        <v>-0.798653125920321</v>
      </c>
      <c r="FT450" s="1094">
        <f t="shared" si="3664"/>
        <v>0.423053094999234</v>
      </c>
      <c r="FU450" s="1094">
        <f t="shared" si="3664"/>
        <v>0.617454746753819</v>
      </c>
      <c r="FV450" s="1275">
        <f t="shared" si="3664"/>
        <v>0.289778789900703</v>
      </c>
      <c r="FW450" s="1094">
        <f t="shared" ref="FW450:GB450" si="3665">FW449/FO449-1</f>
        <v>-0.459103083988054</v>
      </c>
      <c r="FX450" s="1094">
        <f t="shared" si="3665"/>
        <v>-0.0508936535535315</v>
      </c>
      <c r="FY450" s="1094">
        <f t="shared" si="3665"/>
        <v>0.347663691059217</v>
      </c>
      <c r="FZ450" s="1094">
        <f t="shared" si="3665"/>
        <v>0.0991375919191346</v>
      </c>
      <c r="GA450" s="1094">
        <f t="shared" si="3665"/>
        <v>-4.8150382401195</v>
      </c>
      <c r="GB450" s="1094">
        <f t="shared" si="3665"/>
        <v>0.467798383793347</v>
      </c>
      <c r="GC450" s="1093">
        <f t="shared" ref="GC450:GK450" si="3666">GC449/FU449-1</f>
        <v>0.136416523466675</v>
      </c>
      <c r="GD450" s="1094">
        <f t="shared" si="3666"/>
        <v>0.172417907175568</v>
      </c>
      <c r="GE450" s="1094">
        <f t="shared" si="3666"/>
        <v>1.63195661355131</v>
      </c>
      <c r="GF450" s="1094">
        <f t="shared" si="3666"/>
        <v>0.554015231958349</v>
      </c>
      <c r="GG450" s="1094">
        <f t="shared" si="3666"/>
        <v>0.259742116800654</v>
      </c>
      <c r="GH450" s="1094">
        <f t="shared" si="3666"/>
        <v>0.413859836359549</v>
      </c>
      <c r="GI450" s="1094">
        <f t="shared" si="3666"/>
        <v>1.72966916722555</v>
      </c>
      <c r="GJ450" s="1094">
        <f t="shared" si="3666"/>
        <v>0.356447204499306</v>
      </c>
      <c r="GK450" s="1093">
        <f t="shared" si="3666"/>
        <v>0.464624372886628</v>
      </c>
      <c r="GL450" s="1094" t="e">
        <f>GL449/#REF!-1</f>
        <v>#REF!</v>
      </c>
      <c r="GM450" s="1094">
        <f>GM449/GD449-1</f>
        <v>-0.121349893876351</v>
      </c>
      <c r="GN450" s="1094">
        <f t="shared" ref="GN450:GS450" si="3667">GN449/GF449-1</f>
        <v>0.168664980112947</v>
      </c>
      <c r="GO450" s="1094">
        <f t="shared" si="3667"/>
        <v>-0.00125902858055571</v>
      </c>
      <c r="GP450" s="1094">
        <f t="shared" si="3667"/>
        <v>0.100024503276809</v>
      </c>
      <c r="GQ450" s="1094">
        <f t="shared" si="3667"/>
        <v>0.955760084307717</v>
      </c>
      <c r="GR450" s="1094">
        <f t="shared" si="3667"/>
        <v>0.117807823522498</v>
      </c>
      <c r="GS450" s="1093">
        <f t="shared" si="3667"/>
        <v>0.146698560906525</v>
      </c>
      <c r="GT450" s="1094" t="e">
        <f>GT449/#REF!-1</f>
        <v>#REF!</v>
      </c>
      <c r="GU450" s="1094">
        <f>GU449/GL449-1</f>
        <v>-1.45915116066484</v>
      </c>
      <c r="GV450" s="1094">
        <f t="shared" ref="GV450" si="3668">GV449/GN449-1</f>
        <v>-1.24115082308377</v>
      </c>
      <c r="GW450" s="1094">
        <f t="shared" ref="GW450" si="3669">GW449/GO449-1</f>
        <v>-0.139716821484653</v>
      </c>
      <c r="GX450" s="1094">
        <f t="shared" ref="GX450" si="3670">GX449/GP449-1</f>
        <v>-0.831903852280712</v>
      </c>
      <c r="GY450" s="1094">
        <f t="shared" ref="GY450" si="3671">GY449/GQ449-1</f>
        <v>-0.270143274580059</v>
      </c>
      <c r="GZ450" s="1094">
        <f t="shared" ref="GZ450" si="3672">GZ449/GR449-1</f>
        <v>-0.169143220964625</v>
      </c>
      <c r="HA450" s="1093">
        <f t="shared" ref="HA450" si="3673">HA449/GS449-1</f>
        <v>-0.779220794320895</v>
      </c>
      <c r="HB450" s="1094" t="e">
        <f>HB449/#REF!-1</f>
        <v>#REF!</v>
      </c>
      <c r="HC450" s="1094">
        <f>HC449/GT449-1</f>
        <v>14.3353479273679</v>
      </c>
      <c r="HD450" s="1094">
        <f t="shared" ref="HD450" si="3674">HD449/GV449-1</f>
        <v>-4.41081094742147</v>
      </c>
      <c r="HE450" s="1094">
        <f t="shared" ref="HE450" si="3675">HE449/GW449-1</f>
        <v>-0.165299990593097</v>
      </c>
      <c r="HF450" s="1094">
        <f t="shared" ref="HF450" si="3676">HF449/GX449-1</f>
        <v>3.67417938147944</v>
      </c>
      <c r="HG450" s="1094">
        <f t="shared" ref="HG450" si="3677">HG449/GY449-1</f>
        <v>-0.126389394143059</v>
      </c>
      <c r="HH450" s="1094">
        <f t="shared" ref="HH450" si="3678">HH449/GZ449-1</f>
        <v>-0.150484966313773</v>
      </c>
      <c r="HI450" s="1093">
        <f t="shared" ref="HI450" si="3679">HI449/HA449-1</f>
        <v>2.48826894323374</v>
      </c>
      <c r="HJ450" s="1094" t="e">
        <f>HJ449/#REF!-1</f>
        <v>#REF!</v>
      </c>
      <c r="HK450" s="1094">
        <f>HK449/HB449-1</f>
        <v>-0.277236294633476</v>
      </c>
      <c r="HL450" s="1094">
        <f t="shared" ref="HL450" si="3680">HL449/HD449-1</f>
        <v>-0.232246878122978</v>
      </c>
      <c r="HM450" s="1094">
        <f t="shared" ref="HM450" si="3681">HM449/HE449-1</f>
        <v>-0.855246031746032</v>
      </c>
      <c r="HN450" s="1094">
        <f t="shared" ref="HN450" si="3682">HN449/HF449-1</f>
        <v>-0.441229421809218</v>
      </c>
      <c r="HO450" s="1094">
        <f t="shared" ref="HO450" si="3683">HO449/HG449-1</f>
        <v>-5.57708208669713</v>
      </c>
      <c r="HP450" s="1094">
        <f t="shared" ref="HP450" si="3684">HP449/HH449-1</f>
        <v>-1.79084959830809</v>
      </c>
      <c r="HQ450" s="1093">
        <f t="shared" ref="HQ450" si="3685">HQ449/HI449-1</f>
        <v>-0.833384913225072</v>
      </c>
      <c r="HR450" s="1094" t="e">
        <f>HR449/#REF!-1</f>
        <v>#REF!</v>
      </c>
      <c r="HS450" s="1094">
        <f>HS449/HJ449-1</f>
        <v>-0.858750873080488</v>
      </c>
      <c r="HT450" s="1094">
        <f t="shared" ref="HT450" si="3686">HT449/HL449-1</f>
        <v>-0.906492986617721</v>
      </c>
      <c r="HU450" s="1094">
        <f t="shared" ref="HU450" si="3687">HU449/HM449-1</f>
        <v>2.58054600740351</v>
      </c>
      <c r="HV450" s="1094">
        <f t="shared" ref="HV450" si="3688">HV449/HN449-1</f>
        <v>-0.60000975616403</v>
      </c>
      <c r="HW450" s="1094">
        <f t="shared" ref="HW450" si="3689">HW449/HO449-1</f>
        <v>-0.267185085277302</v>
      </c>
      <c r="HX450" s="1094">
        <f t="shared" ref="HX450" si="3690">HX449/HP449-1</f>
        <v>-0.680784124928562</v>
      </c>
      <c r="HY450" s="1093">
        <f t="shared" ref="HY450" si="3691">HY449/HQ449-1</f>
        <v>-1.33763061721254</v>
      </c>
      <c r="HZ450" s="1094" t="e">
        <f>HZ449/#REF!-1</f>
        <v>#REF!</v>
      </c>
      <c r="IA450" s="1094">
        <f>IA449/HR449-1</f>
        <v>8.09482350113653</v>
      </c>
      <c r="IB450" s="1094">
        <f t="shared" ref="IB450" si="3692">IB449/HT449-1</f>
        <v>4.11700909876592</v>
      </c>
      <c r="IC450" s="1094">
        <f t="shared" ref="IC450" si="3693">IC449/HU449-1</f>
        <v>0.828754857707244</v>
      </c>
      <c r="ID450" s="1094">
        <f t="shared" ref="ID450" si="3694">ID449/HV449-1</f>
        <v>1.52298508729867</v>
      </c>
      <c r="IE450" s="1094">
        <f t="shared" ref="IE450" si="3695">IE449/HW449-1</f>
        <v>-0.759400523321813</v>
      </c>
      <c r="IF450" s="1094">
        <f t="shared" ref="IF450" si="3696">IF449/HX449-1</f>
        <v>-3.34665002628898</v>
      </c>
      <c r="IG450" s="1093">
        <f t="shared" ref="IG450" si="3697">IG449/HY449-1</f>
        <v>-9.11833760734196</v>
      </c>
      <c r="IH450" s="1094" t="e">
        <f>IH449/#REF!-1</f>
        <v>#REF!</v>
      </c>
      <c r="II450" s="1094">
        <f>II449/HZ449-1</f>
        <v>1.66314515241554</v>
      </c>
      <c r="IJ450" s="1094">
        <f t="shared" ref="IJ450" si="3698">IJ449/IB449-1</f>
        <v>1.68836222143615</v>
      </c>
      <c r="IK450" s="1094">
        <f t="shared" ref="IK450" si="3699">IK449/IC449-1</f>
        <v>0.163468600228655</v>
      </c>
      <c r="IL450" s="1094">
        <f t="shared" ref="IL450" si="3700">IL449/ID449-1</f>
        <v>0.816571052601203</v>
      </c>
      <c r="IM450" s="1094">
        <f t="shared" ref="IM450" si="3701">IM449/IE449-1</f>
        <v>-1.86771505663915</v>
      </c>
      <c r="IN450" s="1094">
        <f t="shared" ref="IN450" si="3702">IN449/IF449-1</f>
        <v>0.710990067286158</v>
      </c>
      <c r="IO450" s="1093">
        <f t="shared" ref="IO450" si="3703">IO449/IG449-1</f>
        <v>1.18742558729587</v>
      </c>
      <c r="IP450" s="1094" t="e">
        <f>IP449/#REF!-1</f>
        <v>#REF!</v>
      </c>
      <c r="IQ450" s="1094">
        <f>IQ449/IH449-1</f>
        <v>-0.138511761542023</v>
      </c>
      <c r="IR450" s="1094">
        <f t="shared" ref="IR450" si="3704">IR449/IJ449-1</f>
        <v>0.116140723542888</v>
      </c>
      <c r="IS450" s="1094">
        <f t="shared" ref="IS450" si="3705">IS449/IK449-1</f>
        <v>0.319961567228152</v>
      </c>
      <c r="IT450" s="1094">
        <f t="shared" ref="IT450" si="3706">IT449/IL449-1</f>
        <v>0.189806224178733</v>
      </c>
      <c r="IU450" s="1094">
        <f t="shared" ref="IU450" si="3707">IU449/IM449-1</f>
        <v>1.5622595194489</v>
      </c>
      <c r="IV450" s="1094">
        <f t="shared" ref="IV450" si="3708">IV449/IN449-1</f>
        <v>0.493234072979175</v>
      </c>
      <c r="IW450" s="1093">
        <f t="shared" ref="IW450" si="3709">IW449/IO449-1</f>
        <v>0.267862716026732</v>
      </c>
      <c r="IX450" s="1087"/>
      <c r="IY450" s="1049"/>
      <c r="IZ450" s="1049"/>
      <c r="JA450" s="1049"/>
      <c r="JB450" s="1049"/>
      <c r="JC450" s="1049"/>
      <c r="JD450" s="1112"/>
      <c r="JE450" s="1080"/>
      <c r="JF450" s="1082"/>
      <c r="JG450" s="1082"/>
      <c r="JH450" s="1082"/>
    </row>
    <row r="451" s="883" customFormat="1" spans="1:285">
      <c r="A451" s="1380" t="s">
        <v>598</v>
      </c>
      <c r="B451" s="1381"/>
      <c r="C451" s="1381"/>
      <c r="D451" s="1381"/>
      <c r="E451" s="1381"/>
      <c r="F451" s="1381"/>
      <c r="G451" s="1381"/>
      <c r="H451" s="1381"/>
      <c r="I451" s="1381"/>
      <c r="J451" s="1381"/>
      <c r="K451" s="1381"/>
      <c r="L451" s="1381"/>
      <c r="M451" s="1381"/>
      <c r="N451" s="1381"/>
      <c r="O451" s="1381"/>
      <c r="P451" s="1381"/>
      <c r="Q451" s="1381"/>
      <c r="R451" s="1381"/>
      <c r="S451" s="1381"/>
      <c r="T451" s="1381"/>
      <c r="U451" s="1381"/>
      <c r="V451" s="1381"/>
      <c r="W451" s="1381"/>
      <c r="X451" s="1381"/>
      <c r="Y451" s="1381"/>
      <c r="Z451" s="1381"/>
      <c r="AA451" s="1381"/>
      <c r="AB451" s="1381"/>
      <c r="AC451" s="1381"/>
      <c r="AD451" s="1381"/>
      <c r="AE451" s="1381"/>
      <c r="AF451" s="1381"/>
      <c r="AG451" s="1381"/>
      <c r="AH451" s="1381"/>
      <c r="AI451" s="1381"/>
      <c r="AJ451" s="1381"/>
      <c r="AK451" s="1381"/>
      <c r="AL451" s="1381"/>
      <c r="AM451" s="1381"/>
      <c r="AN451" s="1381"/>
      <c r="AO451" s="1381"/>
      <c r="AP451" s="1381"/>
      <c r="AQ451" s="1381"/>
      <c r="AR451" s="1381"/>
      <c r="AS451" s="1381"/>
      <c r="AT451" s="1381"/>
      <c r="AU451" s="1381"/>
      <c r="AV451" s="1381"/>
      <c r="AW451" s="1381"/>
      <c r="AX451" s="1382"/>
      <c r="AY451" s="1381"/>
      <c r="AZ451" s="1381"/>
      <c r="BA451" s="1381"/>
      <c r="BB451" s="1381"/>
      <c r="BC451" s="1381"/>
      <c r="BD451" s="1381"/>
      <c r="BE451" s="1383"/>
      <c r="BF451" s="1381"/>
      <c r="BG451" s="1381"/>
      <c r="BH451" s="1381"/>
      <c r="BI451" s="1381"/>
      <c r="BJ451" s="1381"/>
      <c r="BK451" s="1381"/>
      <c r="BL451" s="1381"/>
      <c r="BM451" s="1381"/>
      <c r="BN451" s="1382"/>
      <c r="BO451" s="1381"/>
      <c r="BP451" s="1381"/>
      <c r="BQ451" s="1381"/>
      <c r="BR451" s="1381"/>
      <c r="BS451" s="1381"/>
      <c r="BT451" s="1381"/>
      <c r="BU451" s="1383"/>
      <c r="BV451" s="1382"/>
      <c r="BW451" s="1381"/>
      <c r="BX451" s="1381"/>
      <c r="BY451" s="1381"/>
      <c r="BZ451" s="1381"/>
      <c r="CA451" s="1381"/>
      <c r="CB451" s="1381"/>
      <c r="CC451" s="1383"/>
      <c r="CD451" s="1382"/>
      <c r="CE451" s="1381"/>
      <c r="CF451" s="1381"/>
      <c r="CG451" s="1381"/>
      <c r="CH451" s="1381"/>
      <c r="CI451" s="1381"/>
      <c r="CJ451" s="1381"/>
      <c r="CK451" s="1383"/>
      <c r="CL451" s="1382"/>
      <c r="CM451" s="1384"/>
      <c r="CN451" s="1384"/>
      <c r="CO451" s="1381"/>
      <c r="CP451" s="1381"/>
      <c r="CQ451" s="1381"/>
      <c r="CR451" s="1381"/>
      <c r="CS451" s="1383"/>
      <c r="CT451" s="1382"/>
      <c r="CU451" s="1381"/>
      <c r="CV451" s="1381"/>
      <c r="CW451" s="1381"/>
      <c r="CX451" s="1381"/>
      <c r="CY451" s="1381"/>
      <c r="CZ451" s="1381"/>
      <c r="DA451" s="1383"/>
      <c r="DB451" s="1385"/>
      <c r="DC451" s="1386"/>
      <c r="DD451" s="1386"/>
      <c r="DE451" s="1386"/>
      <c r="DF451" s="1386"/>
      <c r="DG451" s="1386"/>
      <c r="DH451" s="1386"/>
      <c r="DI451" s="1387"/>
      <c r="DJ451" s="1386"/>
      <c r="DK451" s="1386"/>
      <c r="DL451" s="1386"/>
      <c r="DM451" s="1386"/>
      <c r="DN451" s="1386"/>
      <c r="DO451" s="1386"/>
      <c r="DP451" s="1386"/>
      <c r="DQ451" s="1386"/>
      <c r="DR451" s="1385"/>
      <c r="DS451" s="1386"/>
      <c r="DT451" s="1386"/>
      <c r="DU451" s="1386"/>
      <c r="DV451" s="1386"/>
      <c r="DW451" s="1386"/>
      <c r="DX451" s="1316"/>
      <c r="DY451" s="1388"/>
      <c r="DZ451" s="1386"/>
      <c r="EA451" s="1386"/>
      <c r="EB451" s="1386"/>
      <c r="EC451" s="1386"/>
      <c r="ED451" s="1386"/>
      <c r="EE451" s="1386"/>
      <c r="EF451" s="1386"/>
      <c r="EG451" s="1389"/>
      <c r="EH451" s="1386"/>
      <c r="EI451" s="1386"/>
      <c r="EJ451" s="1386"/>
      <c r="EK451" s="1386"/>
      <c r="EL451" s="1386"/>
      <c r="EM451" s="1386"/>
      <c r="EN451" s="1316"/>
      <c r="EO451" s="1388"/>
      <c r="EP451" s="1386"/>
      <c r="EQ451" s="1390"/>
      <c r="ER451" s="1390"/>
      <c r="ES451" s="1390"/>
      <c r="ET451" s="1390"/>
      <c r="EU451" s="1390"/>
      <c r="EV451" s="1390"/>
      <c r="EW451" s="1388"/>
      <c r="EX451" s="1386">
        <f>(EX444-EX443)/EX455</f>
        <v>0.994186941157602</v>
      </c>
      <c r="EY451" s="1386">
        <f t="shared" ref="EY451:FG451" si="3710">(EY444-EY443)/EY455</f>
        <v>0.67872377713644</v>
      </c>
      <c r="EZ451" s="1386">
        <f t="shared" si="3710"/>
        <v>1.68247020811287</v>
      </c>
      <c r="FA451" s="1386">
        <f t="shared" si="3710"/>
        <v>1.32876908481641</v>
      </c>
      <c r="FB451" s="1386">
        <f t="shared" si="3710"/>
        <v>2.98734056838222</v>
      </c>
      <c r="FC451" s="1386">
        <f t="shared" si="3710"/>
        <v>-0.33528684702222</v>
      </c>
      <c r="FD451" s="1386">
        <f t="shared" si="3710"/>
        <v>0.886115238558723</v>
      </c>
      <c r="FE451" s="1388">
        <f t="shared" si="3710"/>
        <v>2.67271515197712</v>
      </c>
      <c r="FF451" s="1386">
        <f t="shared" si="3710"/>
        <v>1.15109542011853</v>
      </c>
      <c r="FG451" s="1386">
        <f t="shared" si="3710"/>
        <v>0.714646159982178</v>
      </c>
      <c r="FH451" s="1386">
        <f t="shared" ref="FH451:FM451" si="3711">(FH444-FH443)/FH455</f>
        <v>1.87286579857398</v>
      </c>
      <c r="FI451" s="1386">
        <f t="shared" si="3711"/>
        <v>1.66835319358791</v>
      </c>
      <c r="FJ451" s="1386">
        <f t="shared" si="3711"/>
        <v>3.53486945987002</v>
      </c>
      <c r="FK451" s="1386">
        <f t="shared" si="3711"/>
        <v>-0.173665883056431</v>
      </c>
      <c r="FL451" s="1386">
        <f t="shared" si="3711"/>
        <v>1.48360282953922</v>
      </c>
      <c r="FM451" s="1388">
        <f t="shared" si="3711"/>
        <v>3.36911813129476</v>
      </c>
      <c r="FN451" s="1386">
        <f t="shared" ref="FN451:GC451" si="3712">(FN444-FN443)/FN455</f>
        <v>1.6966023260127</v>
      </c>
      <c r="FO451" s="1386">
        <f t="shared" si="3712"/>
        <v>1.40068859984104</v>
      </c>
      <c r="FP451" s="1386">
        <f t="shared" si="3712"/>
        <v>3.09217760103317</v>
      </c>
      <c r="FQ451" s="1386">
        <f t="shared" si="3712"/>
        <v>1.86112256864692</v>
      </c>
      <c r="FR451" s="1386">
        <f t="shared" si="3712"/>
        <v>4.9629935163918</v>
      </c>
      <c r="FS451" s="1386">
        <f t="shared" si="3712"/>
        <v>-0.038807276216823</v>
      </c>
      <c r="FT451" s="1386">
        <f t="shared" si="3712"/>
        <v>1.82394198219068</v>
      </c>
      <c r="FU451" s="1386">
        <f t="shared" si="3712"/>
        <v>4.92852407953652</v>
      </c>
      <c r="FV451" s="1385">
        <f t="shared" si="3712"/>
        <v>2.25678381381778</v>
      </c>
      <c r="FW451" s="1386">
        <f t="shared" si="3712"/>
        <v>1.69932271950401</v>
      </c>
      <c r="FX451" s="1386">
        <f t="shared" si="3712"/>
        <v>3.95620752462837</v>
      </c>
      <c r="FY451" s="1386">
        <f t="shared" si="3712"/>
        <v>2.68024403021979</v>
      </c>
      <c r="FZ451" s="1386">
        <f t="shared" si="3712"/>
        <v>6.63645384676902</v>
      </c>
      <c r="GA451" s="1386">
        <f t="shared" si="3712"/>
        <v>0.351824831813864</v>
      </c>
      <c r="GB451" s="1386">
        <f t="shared" si="3712"/>
        <v>3.03205573889286</v>
      </c>
      <c r="GC451" s="1387">
        <f t="shared" si="3712"/>
        <v>6.98822452237096</v>
      </c>
      <c r="GD451" s="1386">
        <f t="shared" ref="GD451:GK451" si="3713">(GD444-GD443)/GD455</f>
        <v>2.6464048772338</v>
      </c>
      <c r="GE451" s="1386">
        <f t="shared" si="3713"/>
        <v>2.05138800749716</v>
      </c>
      <c r="GF451" s="1386">
        <f>GE451+GD451</f>
        <v>4.69779288473096</v>
      </c>
      <c r="GG451" s="1386">
        <f t="shared" si="3713"/>
        <v>3.25920913175664</v>
      </c>
      <c r="GH451" s="1386">
        <f>GG451+GF451</f>
        <v>7.9570020164876</v>
      </c>
      <c r="GI451" s="1386">
        <f>GJ451-GG451</f>
        <v>0.486662902916208</v>
      </c>
      <c r="GJ451" s="1386">
        <f>GK451-GF451</f>
        <v>3.74587203467285</v>
      </c>
      <c r="GK451" s="1387">
        <f t="shared" si="3713"/>
        <v>8.44366491940381</v>
      </c>
      <c r="GL451" s="1386">
        <f t="shared" ref="GL451:GM451" si="3714">(GL444-GL443)/GL455</f>
        <v>3.16998550647404</v>
      </c>
      <c r="GM451" s="1386">
        <f t="shared" si="3714"/>
        <v>2.32938019259581</v>
      </c>
      <c r="GN451" s="1386">
        <f>GM451+GL451</f>
        <v>5.49936569906985</v>
      </c>
      <c r="GO451" s="1386">
        <f t="shared" ref="GO451" si="3715">(GO444-GO443)/GO455</f>
        <v>3.26011572398362</v>
      </c>
      <c r="GP451" s="1386">
        <f>GO451+GN451</f>
        <v>8.75948142305347</v>
      </c>
      <c r="GQ451" s="1386">
        <f>GR451-GO451</f>
        <v>0.936259889062602</v>
      </c>
      <c r="GR451" s="1386">
        <f>GS451-GN451</f>
        <v>4.19637561304622</v>
      </c>
      <c r="GS451" s="1387">
        <f t="shared" ref="GS451:GU451" si="3716">(GS444-GS443)/GS455</f>
        <v>9.69574131211607</v>
      </c>
      <c r="GT451" s="1386">
        <f t="shared" si="3716"/>
        <v>0.125684454401176</v>
      </c>
      <c r="GU451" s="1386">
        <f t="shared" si="3716"/>
        <v>-1.45617129496698</v>
      </c>
      <c r="GV451" s="1386">
        <f>GU451+GT451</f>
        <v>-1.33048684056581</v>
      </c>
      <c r="GW451" s="1386">
        <f t="shared" ref="GW451" si="3717">(GW444-GW443)/GW455</f>
        <v>2.8048222269166</v>
      </c>
      <c r="GX451" s="1386">
        <f>GW451+GV451</f>
        <v>1.4743353863508</v>
      </c>
      <c r="GY451" s="1386">
        <f>GZ451-GW451</f>
        <v>0.666358930950807</v>
      </c>
      <c r="GZ451" s="1386">
        <f>HA451-GV451</f>
        <v>3.47118115786741</v>
      </c>
      <c r="HA451" s="1387">
        <f t="shared" ref="HA451:HC451" si="3718">(HA444-HA443)/HA455</f>
        <v>2.1406943173016</v>
      </c>
      <c r="HB451" s="1386">
        <f t="shared" si="3718"/>
        <v>2.59780335264264</v>
      </c>
      <c r="HC451" s="1386">
        <f t="shared" si="3718"/>
        <v>1.9275132003896</v>
      </c>
      <c r="HD451" s="1386">
        <f>HC451+HB451</f>
        <v>4.52531655303224</v>
      </c>
      <c r="HE451" s="1386">
        <f t="shared" ref="HE451" si="3719">(HE444-HE443)/HE455</f>
        <v>2.34113712374582</v>
      </c>
      <c r="HF451" s="1386">
        <f>HE451+HD451</f>
        <v>6.86645367677806</v>
      </c>
      <c r="HG451" s="1386">
        <f>HH451-HE451</f>
        <v>0.601229281454407</v>
      </c>
      <c r="HH451" s="1386">
        <f>HI451-HD451</f>
        <v>2.94236640520023</v>
      </c>
      <c r="HI451" s="1387">
        <f t="shared" ref="HI451:HK451" si="3720">(HI444-HI443)/HI455</f>
        <v>7.46768295823247</v>
      </c>
      <c r="HJ451" s="1386">
        <f t="shared" si="3720"/>
        <v>1.60001695382203</v>
      </c>
      <c r="HK451" s="1386">
        <f t="shared" si="3720"/>
        <v>1.87765911261613</v>
      </c>
      <c r="HL451" s="1386">
        <f>HK451+HJ451</f>
        <v>3.47767606643816</v>
      </c>
      <c r="HM451" s="1386">
        <f t="shared" ref="HM451" si="3721">(HM444-HM443)/HM455</f>
        <v>0.338888888888889</v>
      </c>
      <c r="HN451" s="1386">
        <f>HM451+HL451</f>
        <v>3.81656495532705</v>
      </c>
      <c r="HO451" s="1386">
        <f>HP451-HM451</f>
        <v>-2.57239699265209</v>
      </c>
      <c r="HP451" s="1386">
        <f>HQ451-HL451</f>
        <v>-2.2335081037632</v>
      </c>
      <c r="HQ451" s="1387">
        <f t="shared" ref="HQ451:HS451" si="3722">(HQ444-HQ443)/HQ455</f>
        <v>1.24416796267496</v>
      </c>
      <c r="HR451" s="1386">
        <f t="shared" si="3722"/>
        <v>0.0988502456943845</v>
      </c>
      <c r="HS451" s="1386">
        <f t="shared" si="3722"/>
        <v>0.226069094304387</v>
      </c>
      <c r="HT451" s="1386">
        <f>HS451+HR451</f>
        <v>0.324919339998772</v>
      </c>
      <c r="HU451" s="1386">
        <f t="shared" ref="HU451" si="3723">(HU444-HU443)/HU455</f>
        <v>1.21381512605043</v>
      </c>
      <c r="HV451" s="1386">
        <f>HU451+HT451</f>
        <v>1.5387344660492</v>
      </c>
      <c r="HW451" s="1386">
        <f>HX451-HU451</f>
        <v>-1.95890253327599</v>
      </c>
      <c r="HX451" s="1386">
        <f>HY451-HT451</f>
        <v>-0.745087407225567</v>
      </c>
      <c r="HY451" s="1387">
        <f t="shared" ref="HY451:IA451" si="3724">(HY444-HY443)/HY455</f>
        <v>-0.420168067226796</v>
      </c>
      <c r="HZ451" s="1386">
        <f t="shared" si="3724"/>
        <v>0.763613445378151</v>
      </c>
      <c r="IA451" s="1386">
        <f t="shared" si="3724"/>
        <v>0.899327731092437</v>
      </c>
      <c r="IB451" s="1386">
        <f>IA451+HZ451</f>
        <v>1.66294117647059</v>
      </c>
      <c r="IC451" s="1386">
        <f t="shared" ref="IC451" si="3725">(IC444-IC443)/IC455</f>
        <v>2.21977030812325</v>
      </c>
      <c r="ID451" s="1386">
        <f>IC451+IB451</f>
        <v>3.88271148459384</v>
      </c>
      <c r="IE451" s="1386">
        <f>IF451-IC451</f>
        <v>-0.47131092436978</v>
      </c>
      <c r="IF451" s="1386">
        <f>IG451-IB451</f>
        <v>1.74845938375347</v>
      </c>
      <c r="IG451" s="1387">
        <f t="shared" ref="IG451:II451" si="3726">(IG444-IG443)/IG455</f>
        <v>3.41140056022406</v>
      </c>
      <c r="IH451" s="1386">
        <f t="shared" si="3726"/>
        <v>2.43697478991597</v>
      </c>
      <c r="II451" s="1386">
        <f t="shared" si="3726"/>
        <v>2.03361344537815</v>
      </c>
      <c r="IJ451" s="1386">
        <f>II451+IH451</f>
        <v>4.47058823529412</v>
      </c>
      <c r="IK451" s="1386">
        <f t="shared" ref="IK451" si="3727">(IK444-IK443)/IK455</f>
        <v>2.58263305322129</v>
      </c>
      <c r="IL451" s="1386">
        <f>IK451+IJ451</f>
        <v>7.05322128851541</v>
      </c>
      <c r="IM451" s="1386">
        <f>IN451-IK451</f>
        <v>0.408963585434175</v>
      </c>
      <c r="IN451" s="1386">
        <f>IO451-IJ451</f>
        <v>2.99159663865546</v>
      </c>
      <c r="IO451" s="1387">
        <f t="shared" ref="IO451:IQ451" si="3728">(IO444-IO443)/IO455</f>
        <v>7.46218487394958</v>
      </c>
      <c r="IP451" s="1386">
        <f t="shared" si="3728"/>
        <v>2.885174295566</v>
      </c>
      <c r="IQ451" s="1386">
        <f t="shared" si="3728"/>
        <v>2.09862391860989</v>
      </c>
      <c r="IR451" s="1386">
        <f>IQ451+IP451</f>
        <v>4.98379821417589</v>
      </c>
      <c r="IS451" s="1386">
        <f t="shared" ref="IS451" si="3729">(IS444-IS443)/IS455</f>
        <v>3.40783088313271</v>
      </c>
      <c r="IT451" s="1386">
        <f>IS451+IR451</f>
        <v>8.39162909730861</v>
      </c>
      <c r="IU451" s="1386">
        <f>IV451-IS451</f>
        <v>1.06601500549875</v>
      </c>
      <c r="IV451" s="1386">
        <f>IW451-IR451</f>
        <v>4.47384588863146</v>
      </c>
      <c r="IW451" s="1387">
        <f t="shared" ref="IW451" si="3730">(IW444-IW443)/IW455</f>
        <v>9.45764410280735</v>
      </c>
      <c r="IX451" s="1087"/>
      <c r="IY451" s="1049"/>
      <c r="IZ451" s="1049"/>
      <c r="JA451" s="1049"/>
      <c r="JB451" s="1049"/>
      <c r="JC451" s="1049"/>
      <c r="JD451" s="1112"/>
      <c r="JE451" s="1080"/>
      <c r="JF451" s="1082"/>
      <c r="JG451" s="1082"/>
      <c r="JH451" s="1082"/>
    </row>
    <row r="452" s="883" customFormat="1" spans="1:285">
      <c r="A452" s="883" t="s">
        <v>142</v>
      </c>
      <c r="B452" s="1302"/>
      <c r="C452" s="1302"/>
      <c r="D452" s="1302"/>
      <c r="E452" s="1302"/>
      <c r="F452" s="1302"/>
      <c r="G452" s="1302"/>
      <c r="H452" s="1302"/>
      <c r="I452" s="1302"/>
      <c r="J452" s="1302"/>
      <c r="K452" s="1302"/>
      <c r="L452" s="1302"/>
      <c r="M452" s="1302"/>
      <c r="N452" s="1302"/>
      <c r="O452" s="1302"/>
      <c r="P452" s="1302"/>
      <c r="Q452" s="1302"/>
      <c r="R452" s="1302"/>
      <c r="S452" s="1302"/>
      <c r="T452" s="1302"/>
      <c r="U452" s="1302"/>
      <c r="V452" s="1302"/>
      <c r="W452" s="1302"/>
      <c r="X452" s="1302"/>
      <c r="Y452" s="1302"/>
      <c r="Z452" s="1302"/>
      <c r="AA452" s="1302"/>
      <c r="AB452" s="1302"/>
      <c r="AC452" s="1302"/>
      <c r="AD452" s="1302"/>
      <c r="AE452" s="1302"/>
      <c r="AF452" s="1302"/>
      <c r="AG452" s="1302"/>
      <c r="AH452" s="1302"/>
      <c r="AI452" s="1302"/>
      <c r="AJ452" s="1302"/>
      <c r="AK452" s="1302"/>
      <c r="AL452" s="1302"/>
      <c r="AM452" s="1302"/>
      <c r="AN452" s="1302"/>
      <c r="AO452" s="1302"/>
      <c r="AP452" s="1302"/>
      <c r="AQ452" s="1302"/>
      <c r="AR452" s="1302"/>
      <c r="AS452" s="1302"/>
      <c r="AT452" s="1302"/>
      <c r="AU452" s="1302"/>
      <c r="AV452" s="1302"/>
      <c r="AW452" s="1302"/>
      <c r="AX452" s="1303"/>
      <c r="AY452" s="1302"/>
      <c r="AZ452" s="1302"/>
      <c r="BA452" s="1302"/>
      <c r="BB452" s="1302"/>
      <c r="BC452" s="1302"/>
      <c r="BD452" s="1302"/>
      <c r="BE452" s="1304"/>
      <c r="BF452" s="1302"/>
      <c r="BG452" s="1302"/>
      <c r="BH452" s="1302"/>
      <c r="BI452" s="1302"/>
      <c r="BJ452" s="1302"/>
      <c r="BK452" s="1302"/>
      <c r="BL452" s="1302"/>
      <c r="BM452" s="1302"/>
      <c r="BN452" s="1303"/>
      <c r="BO452" s="1302"/>
      <c r="BP452" s="1302"/>
      <c r="BQ452" s="1302"/>
      <c r="BR452" s="1302"/>
      <c r="BS452" s="1302"/>
      <c r="BT452" s="1302"/>
      <c r="BU452" s="1304"/>
      <c r="BV452" s="1303"/>
      <c r="BW452" s="1302"/>
      <c r="BX452" s="1302"/>
      <c r="BY452" s="1302"/>
      <c r="BZ452" s="1302"/>
      <c r="CA452" s="1302"/>
      <c r="CB452" s="1302"/>
      <c r="CC452" s="1304"/>
      <c r="CD452" s="1303"/>
      <c r="CE452" s="1302"/>
      <c r="CF452" s="1302"/>
      <c r="CG452" s="1302"/>
      <c r="CH452" s="1302"/>
      <c r="CI452" s="1302"/>
      <c r="CJ452" s="1302"/>
      <c r="CK452" s="1304"/>
      <c r="CL452" s="1303"/>
      <c r="CM452" s="1302"/>
      <c r="CN452" s="1302"/>
      <c r="CO452" s="1302"/>
      <c r="CP452" s="1302"/>
      <c r="CQ452" s="1302"/>
      <c r="CR452" s="1302"/>
      <c r="CS452" s="1304"/>
      <c r="CT452" s="1303"/>
      <c r="CU452" s="1302"/>
      <c r="CV452" s="1302"/>
      <c r="CW452" s="1302"/>
      <c r="CX452" s="1302"/>
      <c r="CY452" s="1302"/>
      <c r="CZ452" s="1302"/>
      <c r="DA452" s="1304"/>
      <c r="DB452" s="1109"/>
      <c r="DC452" s="1082"/>
      <c r="DD452" s="1082"/>
      <c r="DE452" s="1082"/>
      <c r="DF452" s="1082"/>
      <c r="DG452" s="1082"/>
      <c r="DH452" s="1082"/>
      <c r="DI452" s="1085"/>
      <c r="DJ452" s="1082"/>
      <c r="DK452" s="1082"/>
      <c r="DL452" s="1082"/>
      <c r="DM452" s="1082"/>
      <c r="DN452" s="1082"/>
      <c r="DO452" s="1082"/>
      <c r="DP452" s="1082"/>
      <c r="DQ452" s="1082"/>
      <c r="DR452" s="1275"/>
      <c r="DS452" s="1094"/>
      <c r="DT452" s="1094"/>
      <c r="DU452" s="1094"/>
      <c r="DV452" s="1094"/>
      <c r="DW452" s="1094"/>
      <c r="DX452" s="1094"/>
      <c r="DY452" s="1093"/>
      <c r="DZ452" s="1094"/>
      <c r="EA452" s="1094"/>
      <c r="EB452" s="1094"/>
      <c r="EC452" s="1094"/>
      <c r="ED452" s="1094"/>
      <c r="EE452" s="1094"/>
      <c r="EF452" s="1094"/>
      <c r="EG452" s="1093"/>
      <c r="EH452" s="1094"/>
      <c r="EI452" s="1094"/>
      <c r="EJ452" s="1094"/>
      <c r="EK452" s="1094"/>
      <c r="EL452" s="1094"/>
      <c r="EM452" s="1094"/>
      <c r="EN452" s="1094"/>
      <c r="EO452" s="1093"/>
      <c r="EP452" s="1094"/>
      <c r="EQ452" s="1094"/>
      <c r="ER452" s="1094"/>
      <c r="ES452" s="1094"/>
      <c r="ET452" s="1094"/>
      <c r="EU452" s="1094"/>
      <c r="EV452" s="1094"/>
      <c r="EW452" s="1093"/>
      <c r="EX452" s="1094"/>
      <c r="EY452" s="1094"/>
      <c r="EZ452" s="1094"/>
      <c r="FA452" s="1094"/>
      <c r="FB452" s="1094"/>
      <c r="FC452" s="1094"/>
      <c r="FD452" s="1094"/>
      <c r="FE452" s="1093"/>
      <c r="FF452" s="1094"/>
      <c r="FG452" s="1094"/>
      <c r="FH452" s="1094"/>
      <c r="FI452" s="1094"/>
      <c r="FJ452" s="1094"/>
      <c r="FK452" s="1094"/>
      <c r="FL452" s="1094"/>
      <c r="FM452" s="1093"/>
      <c r="FN452" s="1094">
        <f>FN451/FF451-1</f>
        <v>0.473902420563888</v>
      </c>
      <c r="FO452" s="1094">
        <f t="shared" ref="FO452" si="3731">FO451/FG451-1</f>
        <v>0.959974989407311</v>
      </c>
      <c r="FP452" s="1094">
        <f t="shared" ref="FP452" si="3732">FP451/FH451-1</f>
        <v>0.651040669004465</v>
      </c>
      <c r="FQ452" s="1094">
        <f t="shared" ref="FQ452" si="3733">FQ451/FI451-1</f>
        <v>0.115544703483591</v>
      </c>
      <c r="FR452" s="1094">
        <f t="shared" ref="FR452" si="3734">FR451/FJ451-1</f>
        <v>0.40401040907867</v>
      </c>
      <c r="FS452" s="1094">
        <f t="shared" ref="FS452" si="3735">FS451/FK451-1</f>
        <v>-0.776540587397854</v>
      </c>
      <c r="FT452" s="1094">
        <f t="shared" ref="FT452" si="3736">FT451/FL451-1</f>
        <v>0.229400447259297</v>
      </c>
      <c r="FU452" s="1094">
        <f t="shared" ref="FU452:FV452" si="3737">FU451/FM451-1</f>
        <v>0.462852855694459</v>
      </c>
      <c r="FV452" s="1275">
        <f t="shared" si="3737"/>
        <v>0.330178427328694</v>
      </c>
      <c r="FW452" s="1094">
        <f t="shared" ref="FW452:GC452" si="3738">FW451/FO451-1</f>
        <v>0.213205218987903</v>
      </c>
      <c r="FX452" s="1094">
        <f t="shared" si="3738"/>
        <v>0.279424417053699</v>
      </c>
      <c r="FY452" s="1094">
        <f t="shared" si="3738"/>
        <v>0.440122254907901</v>
      </c>
      <c r="FZ452" s="1094">
        <f t="shared" si="3738"/>
        <v>0.337187692236572</v>
      </c>
      <c r="GA452" s="1094">
        <f t="shared" si="3738"/>
        <v>-10.065950154506</v>
      </c>
      <c r="GB452" s="1094">
        <f t="shared" si="3738"/>
        <v>0.662364136852177</v>
      </c>
      <c r="GC452" s="1093">
        <f t="shared" si="3738"/>
        <v>0.417914249701329</v>
      </c>
      <c r="GD452" s="1094">
        <f t="shared" ref="GD452:GS452" si="3739">GD451/FV451-1</f>
        <v>0.172644389343125</v>
      </c>
      <c r="GE452" s="1094">
        <f t="shared" si="3739"/>
        <v>0.207179768711564</v>
      </c>
      <c r="GF452" s="1094">
        <f t="shared" si="3739"/>
        <v>0.187448549017219</v>
      </c>
      <c r="GG452" s="1094">
        <f t="shared" si="3739"/>
        <v>0.216012085097105</v>
      </c>
      <c r="GH452" s="1094">
        <f t="shared" si="3739"/>
        <v>0.198984005646554</v>
      </c>
      <c r="GI452" s="1094">
        <f t="shared" si="3739"/>
        <v>0.38325342303775</v>
      </c>
      <c r="GJ452" s="1094">
        <f t="shared" si="3739"/>
        <v>0.235423210274041</v>
      </c>
      <c r="GK452" s="1093">
        <f t="shared" si="3739"/>
        <v>0.208270411514919</v>
      </c>
      <c r="GL452" s="1094">
        <f t="shared" si="3739"/>
        <v>0.197846003740562</v>
      </c>
      <c r="GM452" s="1094">
        <f t="shared" si="3739"/>
        <v>0.135514190432369</v>
      </c>
      <c r="GN452" s="1094">
        <f t="shared" si="3739"/>
        <v>0.170627533824279</v>
      </c>
      <c r="GO452" s="1094">
        <f t="shared" si="3739"/>
        <v>0.000278163256890895</v>
      </c>
      <c r="GP452" s="1094">
        <f t="shared" si="3739"/>
        <v>0.100851979791265</v>
      </c>
      <c r="GQ452" s="1094">
        <f t="shared" si="3739"/>
        <v>0.923836568294593</v>
      </c>
      <c r="GR452" s="1094">
        <f t="shared" si="3739"/>
        <v>0.120266676011189</v>
      </c>
      <c r="GS452" s="1093">
        <f t="shared" si="3739"/>
        <v>0.148285892993568</v>
      </c>
      <c r="GT452" s="1094">
        <f t="shared" ref="GT452" si="3740">GT451/GL451-1</f>
        <v>-0.960351725853481</v>
      </c>
      <c r="GU452" s="1094">
        <f t="shared" ref="GU452" si="3741">GU451/GM451-1</f>
        <v>-1.62513251361696</v>
      </c>
      <c r="GV452" s="1094">
        <f t="shared" ref="GV452" si="3742">GV451/GN451-1</f>
        <v>-1.2419345999832</v>
      </c>
      <c r="GW452" s="1094">
        <f t="shared" ref="GW452" si="3743">GW451/GO451-1</f>
        <v>-0.139655624405468</v>
      </c>
      <c r="GX452" s="1094">
        <f t="shared" ref="GX452" si="3744">GX451/GP451-1</f>
        <v>-0.831686909858545</v>
      </c>
      <c r="GY452" s="1094">
        <f t="shared" ref="GY452" si="3745">GY451/GQ451-1</f>
        <v>-0.28827568206732</v>
      </c>
      <c r="GZ452" s="1094">
        <f t="shared" ref="GZ452" si="3746">GZ451/GR451-1</f>
        <v>-0.172814476598385</v>
      </c>
      <c r="HA452" s="1093">
        <f t="shared" ref="HA452" si="3747">HA451/GS451-1</f>
        <v>-0.779212929843071</v>
      </c>
      <c r="HB452" s="1094">
        <f>HB451/0.16-1</f>
        <v>15.2362709540165</v>
      </c>
      <c r="HC452" s="1094">
        <f t="shared" ref="HC452" si="3748">HC451/GU451-1</f>
        <v>-2.323685755276</v>
      </c>
      <c r="HD452" s="1094">
        <f t="shared" ref="HD452" si="3749">HD451/GV451-1</f>
        <v>-4.40124863700854</v>
      </c>
      <c r="HE452" s="1094">
        <f t="shared" ref="HE452" si="3750">HE451/GW451-1</f>
        <v>-0.165317109484162</v>
      </c>
      <c r="HF452" s="1094">
        <f t="shared" ref="HF452" si="3751">HF451/GX451-1</f>
        <v>3.65732135330047</v>
      </c>
      <c r="HG452" s="1094">
        <f t="shared" ref="HG452" si="3752">HG451/GY451-1</f>
        <v>-0.0977395911891936</v>
      </c>
      <c r="HH452" s="1094">
        <f t="shared" ref="HH452" si="3753">HH451/GZ451-1</f>
        <v>-0.152344325639308</v>
      </c>
      <c r="HI452" s="1093">
        <f t="shared" ref="HI452" si="3754">HI451/HA451-1</f>
        <v>2.48843966085063</v>
      </c>
      <c r="HJ452" s="1094">
        <f>HJ451/0.16-1</f>
        <v>9.00010596138769</v>
      </c>
      <c r="HK452" s="1094">
        <f t="shared" ref="HK452" si="3755">HK451/HC451-1</f>
        <v>-0.0258644598456685</v>
      </c>
      <c r="HL452" s="1094">
        <f t="shared" ref="HL452" si="3756">HL451/HD451-1</f>
        <v>-0.231506564086019</v>
      </c>
      <c r="HM452" s="1094">
        <f t="shared" ref="HM452" si="3757">HM451/HE451-1</f>
        <v>-0.855246031746032</v>
      </c>
      <c r="HN452" s="1094">
        <f t="shared" ref="HN452" si="3758">HN451/HF451-1</f>
        <v>-0.444172328980469</v>
      </c>
      <c r="HO452" s="1094">
        <f t="shared" ref="HO452" si="3759">HO451/HG451-1</f>
        <v>-5.27856239208662</v>
      </c>
      <c r="HP452" s="1094">
        <f t="shared" ref="HP452" si="3760">HP451/HH451-1</f>
        <v>-1.75908564610301</v>
      </c>
      <c r="HQ452" s="1093">
        <f t="shared" ref="HQ452" si="3761">HQ451/HI451-1</f>
        <v>-0.83339303909476</v>
      </c>
      <c r="HR452" s="1094">
        <f>HR451/0.16-1</f>
        <v>-0.382185964410097</v>
      </c>
      <c r="HS452" s="1094">
        <f t="shared" ref="HS452" si="3762">HS451/HK451-1</f>
        <v>-0.879600566053011</v>
      </c>
      <c r="HT452" s="1094">
        <f t="shared" ref="HT452" si="3763">HT451/HL451-1</f>
        <v>-0.906569981277309</v>
      </c>
      <c r="HU452" s="1094">
        <f t="shared" ref="HU452" si="3764">HU451/HM451-1</f>
        <v>2.58174955227994</v>
      </c>
      <c r="HV452" s="1094">
        <f t="shared" ref="HV452" si="3765">HV451/HN451-1</f>
        <v>-0.596827386914645</v>
      </c>
      <c r="HW452" s="1094">
        <f t="shared" ref="HW452" si="3766">HW451/HO451-1</f>
        <v>-0.23849136083136</v>
      </c>
      <c r="HX452" s="1094">
        <f t="shared" ref="HX452" si="3767">HX451/HP451-1</f>
        <v>-0.666404878509202</v>
      </c>
      <c r="HY452" s="1093">
        <f t="shared" ref="HY452" si="3768">HY451/HQ451-1</f>
        <v>-1.33771008403354</v>
      </c>
      <c r="HZ452" s="1094">
        <f>HZ451/0.16-1</f>
        <v>3.77258403361345</v>
      </c>
      <c r="IA452" s="1094">
        <f t="shared" ref="IA452" si="3769">IA451/HS451-1</f>
        <v>2.97811002808527</v>
      </c>
      <c r="IB452" s="1094">
        <f t="shared" ref="IB452" si="3770">IB451/HT451-1</f>
        <v>4.11801229337988</v>
      </c>
      <c r="IC452" s="1094">
        <f t="shared" ref="IC452" si="3771">IC451/HU451-1</f>
        <v>0.828754857707244</v>
      </c>
      <c r="ID452" s="1094">
        <f t="shared" ref="ID452" si="3772">ID451/HV451-1</f>
        <v>1.52331482153835</v>
      </c>
      <c r="IE452" s="1094">
        <f t="shared" ref="IE452" si="3773">IE451/HW451-1</f>
        <v>-0.759400523321813</v>
      </c>
      <c r="IF452" s="1094">
        <f t="shared" ref="IF452" si="3774">IF451/HX451-1</f>
        <v>-3.34665002628898</v>
      </c>
      <c r="IG452" s="1093">
        <f t="shared" ref="IG452" si="3775">IG451/HY451-1</f>
        <v>-9.11913333333509</v>
      </c>
      <c r="IH452" s="1094">
        <f t="shared" ref="IH452:II452" si="3776">IH451/HZ451-1</f>
        <v>2.19137229008474</v>
      </c>
      <c r="II452" s="1094">
        <f t="shared" si="3776"/>
        <v>1.26125957764904</v>
      </c>
      <c r="IJ452" s="1094">
        <f t="shared" ref="IJ452" si="3777">IJ451/IB451-1</f>
        <v>1.68836222143615</v>
      </c>
      <c r="IK452" s="1094">
        <f t="shared" ref="IK452" si="3778">IK451/IC451-1</f>
        <v>0.163468600228655</v>
      </c>
      <c r="IL452" s="1094">
        <f t="shared" ref="IL452" si="3779">IL451/ID451-1</f>
        <v>0.816571052601203</v>
      </c>
      <c r="IM452" s="1094">
        <f t="shared" ref="IM452" si="3780">IM451/IE451-1</f>
        <v>-1.86771505663915</v>
      </c>
      <c r="IN452" s="1094">
        <f t="shared" ref="IN452" si="3781">IN451/IF451-1</f>
        <v>0.710990067286158</v>
      </c>
      <c r="IO452" s="1093">
        <f t="shared" ref="IO452" si="3782">IO451/IG451-1</f>
        <v>1.18742558729587</v>
      </c>
      <c r="IP452" s="1094">
        <f t="shared" ref="IP452:IQ452" si="3783">IP451/IH451-1</f>
        <v>0.183916348870187</v>
      </c>
      <c r="IQ452" s="1094">
        <f t="shared" si="3783"/>
        <v>0.0319679599775908</v>
      </c>
      <c r="IR452" s="1094">
        <f t="shared" ref="IR452" si="3784">IR451/IJ451-1</f>
        <v>0.114796968960397</v>
      </c>
      <c r="IS452" s="1094">
        <f t="shared" ref="IS452" si="3785">IS451/IK451-1</f>
        <v>0.319518031755293</v>
      </c>
      <c r="IT452" s="1094">
        <f t="shared" ref="IT452" si="3786">IT451/IL451-1</f>
        <v>0.18975837479713</v>
      </c>
      <c r="IU452" s="1094">
        <f t="shared" ref="IU452" si="3787">IU451/IM451-1</f>
        <v>1.60662573262364</v>
      </c>
      <c r="IV452" s="1094">
        <f t="shared" ref="IV452" si="3788">IV451/IN451-1</f>
        <v>0.495470957154899</v>
      </c>
      <c r="IW452" s="1093">
        <f t="shared" ref="IW452" si="3789">IW451/IO451-1</f>
        <v>0.267409513777112</v>
      </c>
      <c r="IX452" s="1087"/>
      <c r="IY452" s="1049"/>
      <c r="IZ452" s="1049"/>
      <c r="JA452" s="1049"/>
      <c r="JB452" s="1049"/>
      <c r="JC452" s="1049"/>
      <c r="JD452" s="1112"/>
      <c r="JE452" s="1080"/>
      <c r="JF452" s="1082"/>
      <c r="JG452" s="1082"/>
      <c r="JH452" s="1082"/>
    </row>
    <row r="453" s="883" customFormat="1" spans="1:285">
      <c r="A453" s="1380" t="s">
        <v>599</v>
      </c>
      <c r="B453" s="1381"/>
      <c r="C453" s="1381"/>
      <c r="D453" s="1381"/>
      <c r="E453" s="1381"/>
      <c r="F453" s="1381"/>
      <c r="G453" s="1381"/>
      <c r="H453" s="1381"/>
      <c r="I453" s="1381"/>
      <c r="J453" s="1381"/>
      <c r="K453" s="1381"/>
      <c r="L453" s="1381"/>
      <c r="M453" s="1381"/>
      <c r="N453" s="1381"/>
      <c r="O453" s="1381"/>
      <c r="P453" s="1381"/>
      <c r="Q453" s="1381"/>
      <c r="R453" s="1381"/>
      <c r="S453" s="1381"/>
      <c r="T453" s="1381"/>
      <c r="U453" s="1381"/>
      <c r="V453" s="1381"/>
      <c r="W453" s="1381"/>
      <c r="X453" s="1381"/>
      <c r="Y453" s="1381"/>
      <c r="Z453" s="1381"/>
      <c r="AA453" s="1381"/>
      <c r="AB453" s="1381"/>
      <c r="AC453" s="1381"/>
      <c r="AD453" s="1381"/>
      <c r="AE453" s="1381"/>
      <c r="AF453" s="1381"/>
      <c r="AG453" s="1381"/>
      <c r="AH453" s="1381"/>
      <c r="AI453" s="1381"/>
      <c r="AJ453" s="1381"/>
      <c r="AK453" s="1381"/>
      <c r="AL453" s="1381"/>
      <c r="AM453" s="1381"/>
      <c r="AN453" s="1381"/>
      <c r="AO453" s="1381"/>
      <c r="AP453" s="1381"/>
      <c r="AQ453" s="1381"/>
      <c r="AR453" s="1381"/>
      <c r="AS453" s="1381"/>
      <c r="AT453" s="1381"/>
      <c r="AU453" s="1381"/>
      <c r="AV453" s="1381"/>
      <c r="AW453" s="1381"/>
      <c r="AX453" s="1382"/>
      <c r="AY453" s="1381"/>
      <c r="AZ453" s="1381"/>
      <c r="BA453" s="1381"/>
      <c r="BB453" s="1381"/>
      <c r="BC453" s="1381"/>
      <c r="BD453" s="1381"/>
      <c r="BE453" s="1383"/>
      <c r="BF453" s="1381"/>
      <c r="BG453" s="1381"/>
      <c r="BH453" s="1381"/>
      <c r="BI453" s="1381"/>
      <c r="BJ453" s="1381"/>
      <c r="BK453" s="1381"/>
      <c r="BL453" s="1381"/>
      <c r="BM453" s="1381"/>
      <c r="BN453" s="1382"/>
      <c r="BO453" s="1381"/>
      <c r="BP453" s="1381"/>
      <c r="BQ453" s="1381"/>
      <c r="BR453" s="1381"/>
      <c r="BS453" s="1381"/>
      <c r="BT453" s="1381"/>
      <c r="BU453" s="1383"/>
      <c r="BV453" s="1382"/>
      <c r="BW453" s="1381"/>
      <c r="BX453" s="1381"/>
      <c r="BY453" s="1381"/>
      <c r="BZ453" s="1381"/>
      <c r="CA453" s="1381"/>
      <c r="CB453" s="1381"/>
      <c r="CC453" s="1383"/>
      <c r="CD453" s="1382"/>
      <c r="CE453" s="1381"/>
      <c r="CF453" s="1381"/>
      <c r="CG453" s="1381"/>
      <c r="CH453" s="1381"/>
      <c r="CI453" s="1381"/>
      <c r="CJ453" s="1381"/>
      <c r="CK453" s="1383"/>
      <c r="CL453" s="1382"/>
      <c r="CM453" s="1384"/>
      <c r="CN453" s="1384"/>
      <c r="CO453" s="1381"/>
      <c r="CP453" s="1381"/>
      <c r="CQ453" s="1391"/>
      <c r="CR453" s="1381"/>
      <c r="CS453" s="1383"/>
      <c r="CT453" s="1382"/>
      <c r="CU453" s="1381"/>
      <c r="CV453" s="1381"/>
      <c r="CW453" s="1381"/>
      <c r="CX453" s="1381"/>
      <c r="CY453" s="1381"/>
      <c r="CZ453" s="1381"/>
      <c r="DA453" s="1383"/>
      <c r="DB453" s="1385"/>
      <c r="DC453" s="1386"/>
      <c r="DD453" s="1386"/>
      <c r="DE453" s="1386"/>
      <c r="DF453" s="1386"/>
      <c r="DG453" s="1386"/>
      <c r="DH453" s="1386"/>
      <c r="DI453" s="1387"/>
      <c r="DJ453" s="1386"/>
      <c r="DK453" s="1386"/>
      <c r="DL453" s="1386"/>
      <c r="DM453" s="1386"/>
      <c r="DN453" s="1386"/>
      <c r="DO453" s="1386"/>
      <c r="DP453" s="1386"/>
      <c r="DQ453" s="1386"/>
      <c r="DR453" s="1385"/>
      <c r="DS453" s="1386"/>
      <c r="DT453" s="1386"/>
      <c r="DU453" s="1386"/>
      <c r="DV453" s="1386"/>
      <c r="DW453" s="1386"/>
      <c r="DX453" s="1316"/>
      <c r="DY453" s="1388"/>
      <c r="DZ453" s="1386"/>
      <c r="EA453" s="1386"/>
      <c r="EB453" s="1386"/>
      <c r="EC453" s="1386"/>
      <c r="ED453" s="1386"/>
      <c r="EE453" s="1386"/>
      <c r="EF453" s="1316"/>
      <c r="EG453" s="1389"/>
      <c r="EH453" s="1386"/>
      <c r="EI453" s="1386"/>
      <c r="EJ453" s="1386"/>
      <c r="EK453" s="1386"/>
      <c r="EL453" s="1386"/>
      <c r="EM453" s="1386"/>
      <c r="EN453" s="1316"/>
      <c r="EO453" s="1388"/>
      <c r="EP453" s="1390"/>
      <c r="EQ453" s="1390"/>
      <c r="ER453" s="1390"/>
      <c r="ES453" s="1390"/>
      <c r="ET453" s="1390"/>
      <c r="EU453" s="1390"/>
      <c r="EV453" s="1390"/>
      <c r="EW453" s="1388"/>
      <c r="EX453" s="1386">
        <f>(EX444-EX443)/EX456</f>
        <v>0.994186941157602</v>
      </c>
      <c r="EY453" s="1390">
        <f t="shared" ref="EY453:FG453" si="3790">(EY444-EY443)/EY456</f>
        <v>0.67872377713644</v>
      </c>
      <c r="EZ453" s="1390">
        <f t="shared" si="3790"/>
        <v>1.68247020811287</v>
      </c>
      <c r="FA453" s="1390">
        <f t="shared" si="3790"/>
        <v>1.32876908481641</v>
      </c>
      <c r="FB453" s="1390">
        <f t="shared" si="3790"/>
        <v>2.98734056838222</v>
      </c>
      <c r="FC453" s="1390">
        <f t="shared" si="3790"/>
        <v>-0.33528684702222</v>
      </c>
      <c r="FD453" s="1390">
        <f t="shared" si="3790"/>
        <v>0.886115238558723</v>
      </c>
      <c r="FE453" s="1388">
        <f t="shared" si="3790"/>
        <v>2.67271515197712</v>
      </c>
      <c r="FF453" s="1386">
        <f t="shared" si="3790"/>
        <v>1.15109542011853</v>
      </c>
      <c r="FG453" s="1390">
        <f t="shared" si="3790"/>
        <v>0.714646159982178</v>
      </c>
      <c r="FH453" s="1390">
        <f t="shared" ref="FH453:FM453" si="3791">(FH444-FH443)/FH456</f>
        <v>1.87286579857398</v>
      </c>
      <c r="FI453" s="1390">
        <f t="shared" si="3791"/>
        <v>1.66835319358791</v>
      </c>
      <c r="FJ453" s="1390">
        <f t="shared" si="3791"/>
        <v>3.53486945987002</v>
      </c>
      <c r="FK453" s="1390">
        <f t="shared" si="3791"/>
        <v>-0.173665883056431</v>
      </c>
      <c r="FL453" s="1390">
        <f t="shared" si="3791"/>
        <v>1.48360282953922</v>
      </c>
      <c r="FM453" s="1388">
        <f t="shared" si="3791"/>
        <v>3.36911813129476</v>
      </c>
      <c r="FN453" s="1390">
        <f t="shared" ref="FN453:GC453" si="3792">(FN444-FN443)/FN456</f>
        <v>1.74827430465799</v>
      </c>
      <c r="FO453" s="1390">
        <f t="shared" si="3792"/>
        <v>1.44357506870331</v>
      </c>
      <c r="FP453" s="1390">
        <f t="shared" si="3792"/>
        <v>3.18685430391942</v>
      </c>
      <c r="FQ453" s="1390">
        <f t="shared" si="3792"/>
        <v>1.91782711147184</v>
      </c>
      <c r="FR453" s="1390">
        <f t="shared" si="3792"/>
        <v>5.11470078638275</v>
      </c>
      <c r="FS453" s="1390">
        <f t="shared" si="3792"/>
        <v>-0.0399623802145137</v>
      </c>
      <c r="FT453" s="1390">
        <f t="shared" si="3792"/>
        <v>1.87823187008214</v>
      </c>
      <c r="FU453" s="1390">
        <f t="shared" si="3792"/>
        <v>5.07522228724323</v>
      </c>
      <c r="FV453" s="1392">
        <f t="shared" si="3792"/>
        <v>2.29114938336721</v>
      </c>
      <c r="FW453" s="1390">
        <f t="shared" si="3792"/>
        <v>1.71485050654806</v>
      </c>
      <c r="FX453" s="1390">
        <f t="shared" si="3792"/>
        <v>3.99308129478626</v>
      </c>
      <c r="FY453" s="1390">
        <f t="shared" si="3792"/>
        <v>2.69982146027738</v>
      </c>
      <c r="FZ453" s="1390">
        <f t="shared" si="3792"/>
        <v>6.70643912463371</v>
      </c>
      <c r="GA453" s="1390">
        <f t="shared" si="3792"/>
        <v>0.353580459778599</v>
      </c>
      <c r="GB453" s="1390">
        <f t="shared" si="3792"/>
        <v>3.047185887093</v>
      </c>
      <c r="GC453" s="1388">
        <f t="shared" si="3792"/>
        <v>7.02309620079134</v>
      </c>
      <c r="GD453" s="1390">
        <f t="shared" ref="GD453:GK453" si="3793">(GD444-GD443)/GD456</f>
        <v>2.65122337767605</v>
      </c>
      <c r="GE453" s="1390">
        <f t="shared" si="3793"/>
        <v>2.05509831945197</v>
      </c>
      <c r="GF453" s="1390">
        <f>GE453+GD453</f>
        <v>4.70632169712803</v>
      </c>
      <c r="GG453" s="1390">
        <f t="shared" si="3793"/>
        <v>3.26439073012709</v>
      </c>
      <c r="GH453" s="1390">
        <f>GG453+GF453</f>
        <v>7.97071242725511</v>
      </c>
      <c r="GI453" s="1386">
        <f>GJ453-GG453</f>
        <v>0.484920283057688</v>
      </c>
      <c r="GJ453" s="1386">
        <f>GK453-GF453</f>
        <v>3.74931101318477</v>
      </c>
      <c r="GK453" s="1388">
        <f t="shared" si="3793"/>
        <v>8.4556327103128</v>
      </c>
      <c r="GL453" s="1390">
        <f t="shared" ref="GL453:GM453" si="3794">(GL444-GL443)/GL456</f>
        <v>3.1713769996608</v>
      </c>
      <c r="GM453" s="1390">
        <f t="shared" si="3794"/>
        <v>2.32949770215256</v>
      </c>
      <c r="GN453" s="1390">
        <f>GM453+GL453</f>
        <v>5.50087470181336</v>
      </c>
      <c r="GO453" s="1390">
        <f t="shared" ref="GO453" si="3795">(GO444-GO443)/GO456</f>
        <v>3.26028076889976</v>
      </c>
      <c r="GP453" s="1390">
        <f>GO453+GN453</f>
        <v>8.76115547071312</v>
      </c>
      <c r="GQ453" s="1386">
        <f>GR453-GO453</f>
        <v>0.93490638975671</v>
      </c>
      <c r="GR453" s="1386">
        <f>GS453-GN453</f>
        <v>4.19518715865647</v>
      </c>
      <c r="GS453" s="1388">
        <f t="shared" ref="GS453:GU453" si="3796">(GS444-GS443)/GS456</f>
        <v>9.69606186046983</v>
      </c>
      <c r="GT453" s="1390">
        <f t="shared" si="3796"/>
        <v>0.125690868542325</v>
      </c>
      <c r="GU453" s="1390">
        <f t="shared" si="3796"/>
        <v>-1.45614143030005</v>
      </c>
      <c r="GV453" s="1390">
        <f>GU453+GT453</f>
        <v>-1.33045056175772</v>
      </c>
      <c r="GW453" s="1390">
        <f t="shared" ref="GW453" si="3797">(GW444-GW443)/GW456</f>
        <v>2.80476470272154</v>
      </c>
      <c r="GX453" s="1390">
        <f>GW453+GV453</f>
        <v>1.47431414096382</v>
      </c>
      <c r="GY453" s="1386">
        <f>GZ453-GW453</f>
        <v>0.666374694806176</v>
      </c>
      <c r="GZ453" s="1386">
        <f>HA453-GV453</f>
        <v>3.47113939752772</v>
      </c>
      <c r="HA453" s="1388">
        <f t="shared" ref="HA453:HC453" si="3798">(HA444-HA443)/HA456</f>
        <v>2.14068883576999</v>
      </c>
      <c r="HB453" s="1390">
        <f t="shared" si="3798"/>
        <v>2.59780335264264</v>
      </c>
      <c r="HC453" s="1390">
        <f t="shared" si="3798"/>
        <v>1.9275132003896</v>
      </c>
      <c r="HD453" s="1390">
        <f>HC453+HB453</f>
        <v>4.52531655303224</v>
      </c>
      <c r="HE453" s="1390">
        <f t="shared" ref="HE453" si="3799">(HE444-HE443)/HE456</f>
        <v>2.34113712374582</v>
      </c>
      <c r="HF453" s="1390">
        <f>HE453+HD453</f>
        <v>6.86645367677806</v>
      </c>
      <c r="HG453" s="1386">
        <f>HH453-HE453</f>
        <v>0.60084470616559</v>
      </c>
      <c r="HH453" s="1386">
        <f>HI453-HD453</f>
        <v>2.94198182991141</v>
      </c>
      <c r="HI453" s="1388">
        <f t="shared" ref="HI453:HK453" si="3800">(HI444-HI443)/HI456</f>
        <v>7.46729838294365</v>
      </c>
      <c r="HJ453" s="1390">
        <f t="shared" si="3800"/>
        <v>1.60005086254398</v>
      </c>
      <c r="HK453" s="1390">
        <f t="shared" si="3800"/>
        <v>1.87759797696958</v>
      </c>
      <c r="HL453" s="1390">
        <f>HK453+HJ453</f>
        <v>3.47764883951355</v>
      </c>
      <c r="HM453" s="1390">
        <f t="shared" ref="HM453" si="3801">(HM444-HM443)/HM456</f>
        <v>0.338888888888889</v>
      </c>
      <c r="HN453" s="1390">
        <f>HM453+HL453</f>
        <v>3.81653772840244</v>
      </c>
      <c r="HO453" s="1386">
        <f>HP453-HM453</f>
        <v>-2.57237316035401</v>
      </c>
      <c r="HP453" s="1386">
        <f>HQ453-HL453</f>
        <v>-2.23348427146512</v>
      </c>
      <c r="HQ453" s="1388">
        <f t="shared" ref="HQ453:HS453" si="3802">(HQ444-HQ443)/HQ456</f>
        <v>1.24416456804843</v>
      </c>
      <c r="HR453" s="1390">
        <f t="shared" si="3802"/>
        <v>0.0988502456943845</v>
      </c>
      <c r="HS453" s="1390">
        <f t="shared" si="3802"/>
        <v>0.226005787361149</v>
      </c>
      <c r="HT453" s="1390">
        <f>HS453+HR453</f>
        <v>0.324856033055533</v>
      </c>
      <c r="HU453" s="1390">
        <f t="shared" ref="HU453" si="3803">(HU444-HU443)/HU456</f>
        <v>1.21340725806452</v>
      </c>
      <c r="HV453" s="1390">
        <f>HU453+HT453</f>
        <v>1.53826329112006</v>
      </c>
      <c r="HW453" s="1386">
        <f>HX453-HU453</f>
        <v>-1.95833134214423</v>
      </c>
      <c r="HX453" s="1386">
        <f>HY453-HT453</f>
        <v>-0.744924084079704</v>
      </c>
      <c r="HY453" s="1388">
        <f t="shared" ref="HY453:IA453" si="3804">(HY444-HY443)/HY456</f>
        <v>-0.420068051024171</v>
      </c>
      <c r="HZ453" s="1390">
        <f t="shared" si="3804"/>
        <v>0.76335685483871</v>
      </c>
      <c r="IA453" s="1390">
        <f t="shared" si="3804"/>
        <v>0.899025537634408</v>
      </c>
      <c r="IB453" s="1390">
        <f>IA453+HZ453</f>
        <v>1.66238239247312</v>
      </c>
      <c r="IC453" s="1390">
        <f t="shared" ref="IC453" si="3805">(IC444-IC443)/IC456</f>
        <v>2.21902441756272</v>
      </c>
      <c r="ID453" s="1390">
        <f>IC453+IB453</f>
        <v>3.88140681003584</v>
      </c>
      <c r="IE453" s="1386">
        <f>IF453-IC453</f>
        <v>-0.471152553763472</v>
      </c>
      <c r="IF453" s="1386">
        <f>IG453-IB453</f>
        <v>1.74787186379925</v>
      </c>
      <c r="IG453" s="1388">
        <f t="shared" ref="IG453:II453" si="3806">(IG444-IG443)/IG456</f>
        <v>3.41025425627237</v>
      </c>
      <c r="IH453" s="1390">
        <f t="shared" si="3806"/>
        <v>2.43615591397849</v>
      </c>
      <c r="II453" s="1390">
        <f t="shared" si="3806"/>
        <v>2.03293010752688</v>
      </c>
      <c r="IJ453" s="1390">
        <f>II453+IH453</f>
        <v>4.46908602150538</v>
      </c>
      <c r="IK453" s="1390">
        <f t="shared" ref="IK453" si="3807">(IK444-IK443)/IK456</f>
        <v>2.58176523297491</v>
      </c>
      <c r="IL453" s="1390">
        <f>IK453+IJ453</f>
        <v>7.05085125448029</v>
      </c>
      <c r="IM453" s="1386">
        <f>IN453-IK453</f>
        <v>0.408826164874553</v>
      </c>
      <c r="IN453" s="1386">
        <f>IO453-IJ453</f>
        <v>2.99059139784946</v>
      </c>
      <c r="IO453" s="1388">
        <f t="shared" ref="IO453:IQ453" si="3808">(IO444-IO443)/IO456</f>
        <v>7.45967741935484</v>
      </c>
      <c r="IP453" s="1390">
        <f t="shared" si="3808"/>
        <v>2.88528827486568</v>
      </c>
      <c r="IQ453" s="1390">
        <f t="shared" si="3808"/>
        <v>2.09871966694232</v>
      </c>
      <c r="IR453" s="1390">
        <f>IQ453+IP453</f>
        <v>4.984007941808</v>
      </c>
      <c r="IS453" s="1390">
        <f t="shared" ref="IS453" si="3809">(IS444-IS443)/IS456</f>
        <v>3.40783088313271</v>
      </c>
      <c r="IT453" s="1390">
        <f>IS453+IR453</f>
        <v>8.39183882494071</v>
      </c>
      <c r="IU453" s="1386">
        <f>IV453-IS453</f>
        <v>1.06600804864579</v>
      </c>
      <c r="IV453" s="1386">
        <f>IW453-IR453</f>
        <v>4.47383893177851</v>
      </c>
      <c r="IW453" s="1388">
        <f t="shared" ref="IW453" si="3810">(IW444-IW443)/IW456</f>
        <v>9.45784687358651</v>
      </c>
      <c r="IX453" s="1087"/>
      <c r="IY453" s="1049"/>
      <c r="IZ453" s="1049"/>
      <c r="JA453" s="1049"/>
      <c r="JB453" s="1049"/>
      <c r="JC453" s="1049"/>
      <c r="JD453" s="1112"/>
      <c r="JE453" s="1080"/>
      <c r="JF453" s="1082"/>
      <c r="JG453" s="1082"/>
      <c r="JH453" s="1082"/>
    </row>
    <row r="454" spans="1:285">
      <c r="A454" s="883" t="s">
        <v>142</v>
      </c>
      <c r="B454" s="1302"/>
      <c r="C454" s="1302"/>
      <c r="D454" s="1302"/>
      <c r="E454" s="1302"/>
      <c r="F454" s="1302"/>
      <c r="G454" s="1302"/>
      <c r="H454" s="1302"/>
      <c r="I454" s="1302"/>
      <c r="J454" s="1302"/>
      <c r="K454" s="1302"/>
      <c r="L454" s="1302"/>
      <c r="M454" s="1302"/>
      <c r="N454" s="1302"/>
      <c r="O454" s="1302"/>
      <c r="P454" s="1302"/>
      <c r="Q454" s="1302"/>
      <c r="R454" s="1302"/>
      <c r="S454" s="1302"/>
      <c r="T454" s="1302"/>
      <c r="U454" s="1302"/>
      <c r="V454" s="1302"/>
      <c r="W454" s="1302"/>
      <c r="X454" s="1302"/>
      <c r="Y454" s="1302"/>
      <c r="Z454" s="1302"/>
      <c r="AA454" s="1302"/>
      <c r="AB454" s="1302"/>
      <c r="AC454" s="1302"/>
      <c r="AD454" s="1302"/>
      <c r="AE454" s="1302"/>
      <c r="AF454" s="1302"/>
      <c r="AG454" s="1302"/>
      <c r="AH454" s="1302"/>
      <c r="AI454" s="1302"/>
      <c r="AJ454" s="1302"/>
      <c r="AK454" s="1302"/>
      <c r="AL454" s="1302"/>
      <c r="AM454" s="1302"/>
      <c r="AN454" s="1302"/>
      <c r="AO454" s="1302"/>
      <c r="AP454" s="1302"/>
      <c r="AQ454" s="1302"/>
      <c r="AR454" s="1302"/>
      <c r="AS454" s="1302"/>
      <c r="AT454" s="1302"/>
      <c r="AU454" s="1302"/>
      <c r="AV454" s="1302"/>
      <c r="AW454" s="1302"/>
      <c r="AX454" s="1303"/>
      <c r="AY454" s="1302"/>
      <c r="AZ454" s="1302"/>
      <c r="BA454" s="1302"/>
      <c r="BB454" s="1302"/>
      <c r="BC454" s="1302"/>
      <c r="BD454" s="1302"/>
      <c r="BE454" s="1304"/>
      <c r="BF454" s="1302"/>
      <c r="BG454" s="1302"/>
      <c r="BH454" s="1302"/>
      <c r="BI454" s="1302"/>
      <c r="BJ454" s="1302"/>
      <c r="BK454" s="1302"/>
      <c r="BL454" s="1302"/>
      <c r="BM454" s="1302"/>
      <c r="BN454" s="1303"/>
      <c r="BO454" s="1302"/>
      <c r="BP454" s="1302"/>
      <c r="BQ454" s="1302"/>
      <c r="BR454" s="1302"/>
      <c r="BS454" s="1302"/>
      <c r="BT454" s="1302"/>
      <c r="BU454" s="1304"/>
      <c r="BV454" s="1303"/>
      <c r="BW454" s="1302"/>
      <c r="BX454" s="1302"/>
      <c r="BY454" s="1302"/>
      <c r="BZ454" s="1302"/>
      <c r="CA454" s="1302"/>
      <c r="CB454" s="1302"/>
      <c r="CC454" s="1304"/>
      <c r="CD454" s="1303"/>
      <c r="CE454" s="1302"/>
      <c r="CF454" s="1302"/>
      <c r="CG454" s="1302"/>
      <c r="CH454" s="1302"/>
      <c r="CI454" s="1302"/>
      <c r="CJ454" s="1302"/>
      <c r="CK454" s="1304"/>
      <c r="CL454" s="1303"/>
      <c r="CM454" s="1302"/>
      <c r="CN454" s="1302"/>
      <c r="CO454" s="1302"/>
      <c r="CP454" s="1302"/>
      <c r="CQ454" s="1302"/>
      <c r="CR454" s="1302"/>
      <c r="CS454" s="1304"/>
      <c r="CT454" s="1303"/>
      <c r="CU454" s="1302"/>
      <c r="CV454" s="1302"/>
      <c r="CW454" s="1302"/>
      <c r="CX454" s="1302"/>
      <c r="CY454" s="1302"/>
      <c r="CZ454" s="1302"/>
      <c r="DA454" s="1304"/>
      <c r="DB454" s="1109"/>
      <c r="DC454" s="1082"/>
      <c r="DD454" s="1082"/>
      <c r="DE454" s="1082"/>
      <c r="DF454" s="1082"/>
      <c r="DG454" s="1082"/>
      <c r="DH454" s="1082"/>
      <c r="DI454" s="1085"/>
      <c r="DJ454" s="1082"/>
      <c r="DK454" s="1082"/>
      <c r="DL454" s="1082"/>
      <c r="DM454" s="1082"/>
      <c r="DN454" s="1082"/>
      <c r="DO454" s="1082"/>
      <c r="DP454" s="1082"/>
      <c r="DQ454" s="1082"/>
      <c r="DR454" s="1275"/>
      <c r="DS454" s="1094"/>
      <c r="DT454" s="1094"/>
      <c r="DU454" s="1094"/>
      <c r="DV454" s="1094"/>
      <c r="DW454" s="1094"/>
      <c r="DX454" s="1094"/>
      <c r="DY454" s="1093"/>
      <c r="DZ454" s="1094"/>
      <c r="EA454" s="1094"/>
      <c r="EB454" s="1094"/>
      <c r="EC454" s="1094"/>
      <c r="ED454" s="1094"/>
      <c r="EE454" s="1094"/>
      <c r="EF454" s="1094"/>
      <c r="EG454" s="1093"/>
      <c r="EH454" s="1094"/>
      <c r="EI454" s="1094"/>
      <c r="EJ454" s="1094"/>
      <c r="EK454" s="1094"/>
      <c r="EL454" s="1094"/>
      <c r="EM454" s="1094"/>
      <c r="EN454" s="1094"/>
      <c r="EO454" s="1093"/>
      <c r="EP454" s="1094"/>
      <c r="EQ454" s="1094"/>
      <c r="ER454" s="1094"/>
      <c r="ES454" s="1094"/>
      <c r="ET454" s="1094"/>
      <c r="EU454" s="1094"/>
      <c r="EV454" s="1094"/>
      <c r="EW454" s="1093"/>
      <c r="EX454" s="1094"/>
      <c r="EY454" s="1094"/>
      <c r="EZ454" s="1094"/>
      <c r="FA454" s="1094"/>
      <c r="FB454" s="1094"/>
      <c r="FC454" s="1094"/>
      <c r="FD454" s="1094"/>
      <c r="FE454" s="1093"/>
      <c r="FF454" s="1094"/>
      <c r="FG454" s="1094"/>
      <c r="FH454" s="1094"/>
      <c r="FI454" s="1094"/>
      <c r="FJ454" s="1094"/>
      <c r="FK454" s="1094"/>
      <c r="FL454" s="1094"/>
      <c r="FM454" s="1093"/>
      <c r="FN454" s="1094">
        <f>FN453/FF453-1</f>
        <v>0.518791816996341</v>
      </c>
      <c r="FO454" s="1094">
        <f t="shared" ref="FO454" si="3811">FO453/FG453-1</f>
        <v>1.0199857629394</v>
      </c>
      <c r="FP454" s="1094">
        <f t="shared" ref="FP454" si="3812">FP453/FH453-1</f>
        <v>0.701592450642174</v>
      </c>
      <c r="FQ454" s="1094">
        <f t="shared" ref="FQ454" si="3813">FQ453/FI453-1</f>
        <v>0.149533035836027</v>
      </c>
      <c r="FR454" s="1094">
        <f t="shared" ref="FR454" si="3814">FR453/FJ453-1</f>
        <v>0.446927770444691</v>
      </c>
      <c r="FS454" s="1094">
        <f t="shared" ref="FS454" si="3815">FS453/FK453-1</f>
        <v>-0.769889286766081</v>
      </c>
      <c r="FT454" s="1094">
        <f t="shared" ref="FT454" si="3816">FT453/FL453-1</f>
        <v>0.265993723310356</v>
      </c>
      <c r="FU454" s="1094">
        <f t="shared" ref="FU454:FV454" si="3817">FU453/FM453-1</f>
        <v>0.50639487529421</v>
      </c>
      <c r="FV454" s="1275">
        <f t="shared" si="3817"/>
        <v>0.310520538603596</v>
      </c>
      <c r="FW454" s="1094">
        <f t="shared" ref="FW454" si="3818">FW453/FO453-1</f>
        <v>0.187919176304717</v>
      </c>
      <c r="FX454" s="1094">
        <f t="shared" ref="FX454" si="3819">FX453/FP453-1</f>
        <v>0.25298520546587</v>
      </c>
      <c r="FY454" s="1094">
        <f t="shared" ref="FY454" si="3820">FY453/FQ453-1</f>
        <v>0.407750179423315</v>
      </c>
      <c r="FZ454" s="1094">
        <f t="shared" ref="FZ454" si="3821">FZ453/FR453-1</f>
        <v>0.311208495810501</v>
      </c>
      <c r="GA454" s="1094">
        <f t="shared" ref="GA454" si="3822">GA453/FS453-1</f>
        <v>-9.84783283379563</v>
      </c>
      <c r="GB454" s="1094">
        <f t="shared" ref="GB454" si="3823">GB453/FT453-1</f>
        <v>0.622369386672019</v>
      </c>
      <c r="GC454" s="1093">
        <f t="shared" ref="GC454" si="3824">GC453/FU453-1</f>
        <v>0.383800709270245</v>
      </c>
      <c r="GD454" s="1094">
        <f t="shared" ref="GD454:GS454" si="3825">GD453/FV453-1</f>
        <v>0.157158671941179</v>
      </c>
      <c r="GE454" s="1094">
        <f t="shared" si="3825"/>
        <v>0.198412521444112</v>
      </c>
      <c r="GF454" s="1094">
        <f t="shared" si="3825"/>
        <v>0.17861905373002</v>
      </c>
      <c r="GG454" s="1094">
        <f t="shared" si="3825"/>
        <v>0.209113557380089</v>
      </c>
      <c r="GH454" s="1094">
        <f t="shared" si="3825"/>
        <v>0.188516331711347</v>
      </c>
      <c r="GI454" s="1094">
        <f t="shared" si="3825"/>
        <v>0.371456678803263</v>
      </c>
      <c r="GJ454" s="1094">
        <f t="shared" si="3825"/>
        <v>0.23041755642994</v>
      </c>
      <c r="GK454" s="1093">
        <f t="shared" si="3825"/>
        <v>0.203975065777975</v>
      </c>
      <c r="GL454" s="1094">
        <f t="shared" si="3825"/>
        <v>0.196193812397916</v>
      </c>
      <c r="GM454" s="1094">
        <f t="shared" si="3825"/>
        <v>0.133521291951502</v>
      </c>
      <c r="GN454" s="1094">
        <f t="shared" si="3825"/>
        <v>0.168826751722093</v>
      </c>
      <c r="GO454" s="1094">
        <f t="shared" si="3825"/>
        <v>-0.00125902858055571</v>
      </c>
      <c r="GP454" s="1094">
        <f t="shared" si="3825"/>
        <v>0.099168430760989</v>
      </c>
      <c r="GQ454" s="1094">
        <f t="shared" si="3825"/>
        <v>0.927958929376213</v>
      </c>
      <c r="GR454" s="1094">
        <f t="shared" si="3825"/>
        <v>0.118922155004941</v>
      </c>
      <c r="GS454" s="1093">
        <f t="shared" si="3825"/>
        <v>0.146698560906525</v>
      </c>
      <c r="GT454" s="1094">
        <f t="shared" ref="GT454" si="3826">GT453/GL453-1</f>
        <v>-0.960367099668135</v>
      </c>
      <c r="GU454" s="1094">
        <f t="shared" ref="GU454" si="3827">GU453/GM453-1</f>
        <v>-1.62508815911452</v>
      </c>
      <c r="GV454" s="1094">
        <f t="shared" ref="GV454" si="3828">GV453/GN453-1</f>
        <v>-1.24186163726273</v>
      </c>
      <c r="GW454" s="1094">
        <f t="shared" ref="GW454" si="3829">GW453/GO453-1</f>
        <v>-0.139716821484653</v>
      </c>
      <c r="GX454" s="1094">
        <f t="shared" ref="GX454" si="3830">GX453/GP453-1</f>
        <v>-0.831721495424642</v>
      </c>
      <c r="GY454" s="1094">
        <f t="shared" ref="GY454" si="3831">GY453/GQ453-1</f>
        <v>-0.28722843045325</v>
      </c>
      <c r="GZ454" s="1094">
        <f t="shared" ref="GZ454" si="3832">GZ453/GR453-1</f>
        <v>-0.172590097591886</v>
      </c>
      <c r="HA454" s="1093">
        <f t="shared" ref="HA454" si="3833">HA453/GS453-1</f>
        <v>-0.779220794320895</v>
      </c>
      <c r="HB454" s="1094">
        <f>HB453/0.16-1</f>
        <v>15.2362709540165</v>
      </c>
      <c r="HC454" s="1094">
        <f t="shared" ref="HC454" si="3834">HC453/GU453-1</f>
        <v>-2.32371290334925</v>
      </c>
      <c r="HD454" s="1094">
        <f t="shared" ref="HD454" si="3835">HD453/GV453-1</f>
        <v>-4.40134138246642</v>
      </c>
      <c r="HE454" s="1094">
        <f t="shared" ref="HE454" si="3836">HE453/GW453-1</f>
        <v>-0.165299990593097</v>
      </c>
      <c r="HF454" s="1094">
        <f t="shared" ref="HF454" si="3837">HF453/GX453-1</f>
        <v>3.65738846694449</v>
      </c>
      <c r="HG454" s="1094">
        <f t="shared" ref="HG454" si="3838">HG453/GY453-1</f>
        <v>-0.0983380508763849</v>
      </c>
      <c r="HH454" s="1094">
        <f t="shared" ref="HH454" si="3839">HH453/GZ453-1</f>
        <v>-0.152444919957174</v>
      </c>
      <c r="HI454" s="1093">
        <f t="shared" ref="HI454" si="3840">HI453/HA453-1</f>
        <v>2.48826894323374</v>
      </c>
      <c r="HJ454" s="1094">
        <f>HJ453/0.16-1</f>
        <v>9.00031789089986</v>
      </c>
      <c r="HK454" s="1094">
        <f t="shared" ref="HK454" si="3841">HK453/HC453-1</f>
        <v>-0.0258961772142148</v>
      </c>
      <c r="HL454" s="1094">
        <f t="shared" ref="HL454" si="3842">HL453/HD453-1</f>
        <v>-0.231512580665034</v>
      </c>
      <c r="HM454" s="1094">
        <f t="shared" ref="HM454" si="3843">HM453/HE453-1</f>
        <v>-0.855246031746032</v>
      </c>
      <c r="HN454" s="1094">
        <f t="shared" ref="HN454" si="3844">HN453/HF453-1</f>
        <v>-0.444176294189569</v>
      </c>
      <c r="HO454" s="1094">
        <f t="shared" ref="HO454" si="3845">HO453/HG453-1</f>
        <v>-5.28126125429334</v>
      </c>
      <c r="HP454" s="1094">
        <f t="shared" ref="HP454" si="3846">HP453/HH453-1</f>
        <v>-1.75917677286687</v>
      </c>
      <c r="HQ454" s="1093">
        <f t="shared" ref="HQ454" si="3847">HQ453/HI453-1</f>
        <v>-0.833384913225072</v>
      </c>
      <c r="HR454" s="1094">
        <f>HR453/0.16-1</f>
        <v>-0.382185964410097</v>
      </c>
      <c r="HS454" s="1094">
        <f t="shared" ref="HS454" si="3848">HS453/HK453-1</f>
        <v>-0.87963036276492</v>
      </c>
      <c r="HT454" s="1094">
        <f t="shared" ref="HT454" si="3849">HT453/HL453-1</f>
        <v>-0.906587453751951</v>
      </c>
      <c r="HU454" s="1094">
        <f t="shared" ref="HU454" si="3850">HU453/HM453-1</f>
        <v>2.58054600740351</v>
      </c>
      <c r="HV454" s="1094">
        <f t="shared" ref="HV454" si="3851">HV453/HN453-1</f>
        <v>-0.596947966825431</v>
      </c>
      <c r="HW454" s="1094">
        <f t="shared" ref="HW454" si="3852">HW453/HO453-1</f>
        <v>-0.238706353989978</v>
      </c>
      <c r="HX454" s="1094">
        <f t="shared" ref="HX454" si="3853">HX453/HP453-1</f>
        <v>-0.666474443721491</v>
      </c>
      <c r="HY454" s="1093">
        <f t="shared" ref="HY454" si="3854">HY453/HQ453-1</f>
        <v>-1.33763061721254</v>
      </c>
      <c r="HZ454" s="1094">
        <f>HZ453/0.16-1</f>
        <v>3.77098034274194</v>
      </c>
      <c r="IA454" s="1094">
        <f t="shared" ref="IA454" si="3855">IA453/HS453-1</f>
        <v>2.97788723966524</v>
      </c>
      <c r="IB454" s="1094">
        <f t="shared" ref="IB454" si="3856">IB453/HT453-1</f>
        <v>4.11728957851597</v>
      </c>
      <c r="IC454" s="1094">
        <f t="shared" ref="IC454" si="3857">IC453/HU453-1</f>
        <v>0.828754857707244</v>
      </c>
      <c r="ID454" s="1094">
        <f t="shared" ref="ID454" si="3858">ID453/HV453-1</f>
        <v>1.52323957312254</v>
      </c>
      <c r="IE454" s="1094">
        <f t="shared" ref="IE454" si="3859">IE453/HW453-1</f>
        <v>-0.759411217282773</v>
      </c>
      <c r="IF454" s="1094">
        <f t="shared" ref="IF454" si="3860">IF453/HX453-1</f>
        <v>-3.34637582695237</v>
      </c>
      <c r="IG454" s="1093">
        <f t="shared" ref="IG454:IH454" si="3861">IG453/HY453-1</f>
        <v>-9.11833760734196</v>
      </c>
      <c r="IH454" s="1094">
        <f t="shared" si="3861"/>
        <v>2.19137229008474</v>
      </c>
      <c r="II454" s="1094">
        <f t="shared" ref="II454" si="3862">II453/IA453-1</f>
        <v>1.26125957764904</v>
      </c>
      <c r="IJ454" s="1094">
        <f t="shared" ref="IJ454" si="3863">IJ453/IB453-1</f>
        <v>1.68836222143615</v>
      </c>
      <c r="IK454" s="1094">
        <f t="shared" ref="IK454" si="3864">IK453/IC453-1</f>
        <v>0.163468600228655</v>
      </c>
      <c r="IL454" s="1094">
        <f t="shared" ref="IL454" si="3865">IL453/ID453-1</f>
        <v>0.816571052601203</v>
      </c>
      <c r="IM454" s="1094">
        <f t="shared" ref="IM454" si="3866">IM453/IE453-1</f>
        <v>-1.86771505663915</v>
      </c>
      <c r="IN454" s="1094">
        <f t="shared" ref="IN454" si="3867">IN453/IF453-1</f>
        <v>0.710990067286157</v>
      </c>
      <c r="IO454" s="1093">
        <f t="shared" ref="IO454" si="3868">IO453/IG453-1</f>
        <v>1.18742558729587</v>
      </c>
      <c r="IP454" s="1094">
        <f t="shared" ref="IP454:IQ454" si="3869">IP453/IH453-1</f>
        <v>0.184361090482795</v>
      </c>
      <c r="IQ454" s="1094">
        <f t="shared" si="3869"/>
        <v>0.0323619386479883</v>
      </c>
      <c r="IR454" s="1094">
        <f t="shared" ref="IR454" si="3870">IR453/IJ453-1</f>
        <v>0.115218619159443</v>
      </c>
      <c r="IS454" s="1094">
        <f t="shared" ref="IS454" si="3871">IS453/IK453-1</f>
        <v>0.319961567228152</v>
      </c>
      <c r="IT454" s="1094">
        <f t="shared" ref="IT454" si="3872">IT453/IL453-1</f>
        <v>0.190188038587302</v>
      </c>
      <c r="IU454" s="1094">
        <f t="shared" ref="IU454" si="3873">IU453/IM453-1</f>
        <v>1.60748489268757</v>
      </c>
      <c r="IV454" s="1094">
        <f t="shared" ref="IV454" si="3874">IV453/IN453-1</f>
        <v>0.495971310221669</v>
      </c>
      <c r="IW454" s="1093">
        <f t="shared" ref="IW454" si="3875">IW453/IO453-1</f>
        <v>0.267862716026732</v>
      </c>
      <c r="IX454" s="1393"/>
      <c r="IY454" s="1049"/>
      <c r="IZ454" s="1049"/>
      <c r="JA454" s="1049"/>
      <c r="JB454" s="1049"/>
      <c r="JC454" s="1049"/>
      <c r="JD454" s="1112"/>
      <c r="JE454" s="1079"/>
      <c r="JF454" s="1037"/>
      <c r="JG454" s="1037"/>
      <c r="JH454" s="1037"/>
      <c r="JI454" s="1035"/>
      <c r="JJ454" s="1035"/>
      <c r="JK454" s="1035"/>
      <c r="JL454" s="1035"/>
      <c r="JM454" s="1035"/>
      <c r="JN454" s="1035"/>
      <c r="JO454" s="1035"/>
      <c r="JP454" s="1035"/>
      <c r="JQ454" s="1035"/>
      <c r="JR454" s="1035"/>
      <c r="JS454" s="1035"/>
      <c r="JT454" s="1035"/>
      <c r="JU454" s="1035"/>
      <c r="JV454" s="1035"/>
      <c r="JW454" s="1035"/>
      <c r="JX454" s="1035"/>
      <c r="JY454" s="1035"/>
    </row>
    <row r="455" spans="1:285">
      <c r="A455" s="969" t="s">
        <v>180</v>
      </c>
      <c r="B455" s="1057">
        <v>45.35</v>
      </c>
      <c r="C455" s="1057">
        <v>45.35</v>
      </c>
      <c r="D455" s="1057">
        <f>C455</f>
        <v>45.35</v>
      </c>
      <c r="E455" s="1057">
        <v>45.35</v>
      </c>
      <c r="F455" s="1057">
        <f>E455</f>
        <v>45.35</v>
      </c>
      <c r="G455" s="1057">
        <v>45.35</v>
      </c>
      <c r="H455" s="1057">
        <f>G455</f>
        <v>45.35</v>
      </c>
      <c r="I455" s="1057">
        <f>H455</f>
        <v>45.35</v>
      </c>
      <c r="J455" s="1057">
        <v>45.35</v>
      </c>
      <c r="K455" s="1057">
        <v>45.35</v>
      </c>
      <c r="L455" s="1057">
        <f>K455</f>
        <v>45.35</v>
      </c>
      <c r="M455" s="1057">
        <v>45.35</v>
      </c>
      <c r="N455" s="1057">
        <f>M455</f>
        <v>45.35</v>
      </c>
      <c r="O455" s="1057">
        <v>45.35</v>
      </c>
      <c r="P455" s="1057">
        <f>O455</f>
        <v>45.35</v>
      </c>
      <c r="Q455" s="1057">
        <f>P455</f>
        <v>45.35</v>
      </c>
      <c r="R455" s="1057">
        <v>45.35</v>
      </c>
      <c r="S455" s="1057">
        <v>45.35</v>
      </c>
      <c r="T455" s="1057">
        <f>S455</f>
        <v>45.35</v>
      </c>
      <c r="U455" s="1057">
        <v>45.35</v>
      </c>
      <c r="V455" s="1057">
        <f>U455</f>
        <v>45.35</v>
      </c>
      <c r="W455" s="1057">
        <v>45.35</v>
      </c>
      <c r="X455" s="1057">
        <f>W455</f>
        <v>45.35</v>
      </c>
      <c r="Y455" s="1057">
        <f>X455</f>
        <v>45.35</v>
      </c>
      <c r="Z455" s="1057">
        <v>45.35</v>
      </c>
      <c r="AA455" s="1057">
        <v>45.35</v>
      </c>
      <c r="AB455" s="1057">
        <f>AA455</f>
        <v>45.35</v>
      </c>
      <c r="AC455" s="1057">
        <v>45.35</v>
      </c>
      <c r="AD455" s="1057">
        <f>AC455</f>
        <v>45.35</v>
      </c>
      <c r="AE455" s="1057">
        <v>45.35</v>
      </c>
      <c r="AF455" s="1057">
        <f>AE455</f>
        <v>45.35</v>
      </c>
      <c r="AG455" s="1057">
        <f>AF455</f>
        <v>45.35</v>
      </c>
      <c r="AH455" s="1057">
        <v>45.35</v>
      </c>
      <c r="AI455" s="1057">
        <v>45.35</v>
      </c>
      <c r="AJ455" s="1057">
        <f>AI455</f>
        <v>45.35</v>
      </c>
      <c r="AK455" s="1057">
        <v>45.35</v>
      </c>
      <c r="AL455" s="1057">
        <f>AK455</f>
        <v>45.35</v>
      </c>
      <c r="AM455" s="1057">
        <v>45.35</v>
      </c>
      <c r="AN455" s="1057">
        <f>AM455</f>
        <v>45.35</v>
      </c>
      <c r="AO455" s="1057">
        <f>AN455</f>
        <v>45.35</v>
      </c>
      <c r="AP455" s="1057">
        <v>45.35</v>
      </c>
      <c r="AQ455" s="1057">
        <v>45.35</v>
      </c>
      <c r="AR455" s="1057">
        <f>AQ455</f>
        <v>45.35</v>
      </c>
      <c r="AS455" s="1057">
        <v>45.35</v>
      </c>
      <c r="AT455" s="1057">
        <f>AS455</f>
        <v>45.35</v>
      </c>
      <c r="AU455" s="1057">
        <v>45.35</v>
      </c>
      <c r="AV455" s="1057">
        <f>AU455</f>
        <v>45.35</v>
      </c>
      <c r="AW455" s="1057">
        <f>AV455</f>
        <v>45.35</v>
      </c>
      <c r="AX455" s="1153">
        <v>45.35</v>
      </c>
      <c r="AY455" s="1057">
        <v>45.35</v>
      </c>
      <c r="AZ455" s="1057">
        <f>AY455</f>
        <v>45.35</v>
      </c>
      <c r="BA455" s="1057">
        <v>45.35</v>
      </c>
      <c r="BB455" s="1057">
        <f>BA455</f>
        <v>45.35</v>
      </c>
      <c r="BC455" s="1057">
        <v>45.35</v>
      </c>
      <c r="BD455" s="1057">
        <f>BC455</f>
        <v>45.35</v>
      </c>
      <c r="BE455" s="1154">
        <f>BD455</f>
        <v>45.35</v>
      </c>
      <c r="BF455" s="1057">
        <v>181.4</v>
      </c>
      <c r="BG455" s="1057">
        <v>181.4</v>
      </c>
      <c r="BH455" s="1057">
        <f>BG455</f>
        <v>181.4</v>
      </c>
      <c r="BI455" s="1057">
        <v>181.4</v>
      </c>
      <c r="BJ455" s="1057">
        <f>BI455</f>
        <v>181.4</v>
      </c>
      <c r="BK455" s="1057">
        <v>181.4</v>
      </c>
      <c r="BL455" s="1057">
        <f>BK455</f>
        <v>181.4</v>
      </c>
      <c r="BM455" s="1057">
        <f>BL455</f>
        <v>181.4</v>
      </c>
      <c r="BN455" s="1153">
        <v>181.75176</v>
      </c>
      <c r="BO455" s="1057">
        <v>181.75176</v>
      </c>
      <c r="BP455" s="1057">
        <f>BO455</f>
        <v>181.75176</v>
      </c>
      <c r="BQ455" s="1057">
        <v>181.8</v>
      </c>
      <c r="BR455" s="1057">
        <f>BQ455</f>
        <v>181.8</v>
      </c>
      <c r="BS455" s="1057">
        <v>184</v>
      </c>
      <c r="BT455" s="1057">
        <f>BS455</f>
        <v>184</v>
      </c>
      <c r="BU455" s="1154">
        <f>BT455</f>
        <v>184</v>
      </c>
      <c r="BV455" s="1153">
        <v>186.059104627451</v>
      </c>
      <c r="BW455" s="1057">
        <v>186.126188627451</v>
      </c>
      <c r="BX455" s="1057">
        <f>BW455</f>
        <v>186.126188627451</v>
      </c>
      <c r="BY455" s="1057">
        <v>186.412984627451</v>
      </c>
      <c r="BZ455" s="1057">
        <f>BY455</f>
        <v>186.412984627451</v>
      </c>
      <c r="CA455" s="1057">
        <v>186.519808627451</v>
      </c>
      <c r="CB455" s="1057">
        <f>CA455</f>
        <v>186.519808627451</v>
      </c>
      <c r="CC455" s="1154">
        <f>CB455</f>
        <v>186.519808627451</v>
      </c>
      <c r="CD455" s="1153">
        <v>199.829456</v>
      </c>
      <c r="CE455" s="1057">
        <v>199.837548</v>
      </c>
      <c r="CF455" s="1057">
        <f>CE455</f>
        <v>199.837548</v>
      </c>
      <c r="CG455" s="1057">
        <v>188.219769225645</v>
      </c>
      <c r="CH455" s="1057">
        <f>CG455</f>
        <v>188.219769225645</v>
      </c>
      <c r="CI455" s="1057">
        <v>191.078727627451</v>
      </c>
      <c r="CJ455" s="1057">
        <f>CI455</f>
        <v>191.078727627451</v>
      </c>
      <c r="CK455" s="1154">
        <f>CJ455</f>
        <v>191.078727627451</v>
      </c>
      <c r="CL455" s="1153">
        <v>219.307296</v>
      </c>
      <c r="CM455" s="1057">
        <v>219.3</v>
      </c>
      <c r="CN455" s="1057">
        <f>CM455</f>
        <v>219.3</v>
      </c>
      <c r="CO455" s="1057">
        <f>CM455</f>
        <v>219.3</v>
      </c>
      <c r="CP455" s="1057">
        <f>CO455</f>
        <v>219.3</v>
      </c>
      <c r="CQ455" s="1057">
        <f>CL455</f>
        <v>219.307296</v>
      </c>
      <c r="CR455" s="1057">
        <f>CQ455</f>
        <v>219.307296</v>
      </c>
      <c r="CS455" s="1154">
        <f>CR455</f>
        <v>219.307296</v>
      </c>
      <c r="CT455" s="1153">
        <f>CQ455</f>
        <v>219.307296</v>
      </c>
      <c r="CU455" s="1057">
        <f>CU444/CU447</f>
        <v>212.857142857143</v>
      </c>
      <c r="CV455" s="1057">
        <f>CU455</f>
        <v>212.857142857143</v>
      </c>
      <c r="CW455" s="1057">
        <f>CV455</f>
        <v>212.857142857143</v>
      </c>
      <c r="CX455" s="1057">
        <f>CW455</f>
        <v>212.857142857143</v>
      </c>
      <c r="CY455" s="1057">
        <v>212.9</v>
      </c>
      <c r="CZ455" s="1057">
        <f t="shared" ref="CZ455:DI455" si="3876">CZ444/CZ447</f>
        <v>209.298098557374</v>
      </c>
      <c r="DA455" s="1154">
        <f t="shared" si="3876"/>
        <v>214.396887159533</v>
      </c>
      <c r="DB455" s="1394">
        <f t="shared" si="3876"/>
        <v>213.924050632911</v>
      </c>
      <c r="DC455" s="1079">
        <f t="shared" si="3876"/>
        <v>282.539682539683</v>
      </c>
      <c r="DD455" s="1079">
        <f t="shared" si="3876"/>
        <v>200.704225352113</v>
      </c>
      <c r="DE455" s="1079">
        <f t="shared" si="3876"/>
        <v>209.722222222222</v>
      </c>
      <c r="DF455" s="1079">
        <f t="shared" si="3876"/>
        <v>211.510791366906</v>
      </c>
      <c r="DG455" s="1079">
        <f t="shared" si="3876"/>
        <v>186.206896551724</v>
      </c>
      <c r="DH455" s="1079">
        <f t="shared" si="3876"/>
        <v>216.363636363636</v>
      </c>
      <c r="DI455" s="1174">
        <f t="shared" si="3876"/>
        <v>209.120521172638</v>
      </c>
      <c r="DJ455" s="1079">
        <v>209.260662</v>
      </c>
      <c r="DK455" s="1079">
        <f>DJ455</f>
        <v>209.260662</v>
      </c>
      <c r="DL455" s="1079">
        <f>DK455</f>
        <v>209.260662</v>
      </c>
      <c r="DM455" s="1079">
        <v>209.247568</v>
      </c>
      <c r="DN455" s="1079">
        <v>199.1</v>
      </c>
      <c r="DO455" s="1079">
        <f>DN455</f>
        <v>199.1</v>
      </c>
      <c r="DP455" s="1079">
        <f>DO455</f>
        <v>199.1</v>
      </c>
      <c r="DQ455" s="1079">
        <v>200.8</v>
      </c>
      <c r="DR455" s="1394">
        <v>209.216186</v>
      </c>
      <c r="DS455" s="1079">
        <v>209.216186</v>
      </c>
      <c r="DT455" s="1079">
        <f>DS455</f>
        <v>209.216186</v>
      </c>
      <c r="DU455" s="1395">
        <f>DY455</f>
        <v>209.238</v>
      </c>
      <c r="DV455" s="1079">
        <f>DU455</f>
        <v>209.238</v>
      </c>
      <c r="DW455" s="1395">
        <f>DY455</f>
        <v>209.238</v>
      </c>
      <c r="DX455" s="1079">
        <f>DW455</f>
        <v>209.238</v>
      </c>
      <c r="DY455" s="1174">
        <f>'Profit and Loss'!P413</f>
        <v>209.238</v>
      </c>
      <c r="DZ455" s="1079">
        <f>+DZ456</f>
        <v>209.216186</v>
      </c>
      <c r="EA455" s="1079">
        <f>+EA456</f>
        <v>209.216816</v>
      </c>
      <c r="EB455" s="1079">
        <f>EA455</f>
        <v>209.216816</v>
      </c>
      <c r="EC455" s="1079">
        <f>+EC456</f>
        <v>209.216186</v>
      </c>
      <c r="ED455" s="1079">
        <f>EC455</f>
        <v>209.216186</v>
      </c>
      <c r="EE455" s="1079">
        <f>+EF455</f>
        <v>209.216186</v>
      </c>
      <c r="EF455" s="1079">
        <f>+EG455</f>
        <v>209.216186</v>
      </c>
      <c r="EG455" s="1174">
        <f>+EG456</f>
        <v>209.216186</v>
      </c>
      <c r="EH455" s="1079">
        <f>EG455</f>
        <v>209.216186</v>
      </c>
      <c r="EI455" s="1079">
        <f>EH455</f>
        <v>209.216186</v>
      </c>
      <c r="EJ455" s="1079">
        <f>EI455</f>
        <v>209.216186</v>
      </c>
      <c r="EK455" s="1079">
        <f>EJ455</f>
        <v>209.216186</v>
      </c>
      <c r="EL455" s="1079">
        <f>EK455</f>
        <v>209.216186</v>
      </c>
      <c r="EM455" s="1079">
        <f>EN455</f>
        <v>209.216186</v>
      </c>
      <c r="EN455" s="1079">
        <f>EO455</f>
        <v>209.216186</v>
      </c>
      <c r="EO455" s="1174">
        <f>'Profit and Loss'!S413</f>
        <v>209.216186</v>
      </c>
      <c r="EP455" s="1079">
        <f>EO455</f>
        <v>209.216186</v>
      </c>
      <c r="EQ455" s="1079">
        <f>EP455-(($EO455-$EW455)/4)</f>
        <v>209.216186</v>
      </c>
      <c r="ER455" s="1079">
        <f>EQ455</f>
        <v>209.216186</v>
      </c>
      <c r="ES455" s="1079">
        <f>ET455</f>
        <v>209.216186</v>
      </c>
      <c r="ET455" s="1079">
        <v>209.216186</v>
      </c>
      <c r="EU455" s="1079">
        <v>209.216186</v>
      </c>
      <c r="EV455" s="1079">
        <f t="shared" ref="EV455:FB456" si="3877">EU455</f>
        <v>209.216186</v>
      </c>
      <c r="EW455" s="1174">
        <f t="shared" si="3877"/>
        <v>209.216186</v>
      </c>
      <c r="EX455" s="1079">
        <f t="shared" si="3877"/>
        <v>209.216186</v>
      </c>
      <c r="EY455" s="1079">
        <f t="shared" si="3877"/>
        <v>209.216186</v>
      </c>
      <c r="EZ455" s="1079">
        <f>EY455</f>
        <v>209.216186</v>
      </c>
      <c r="FA455" s="1079">
        <f>EZ455</f>
        <v>209.216186</v>
      </c>
      <c r="FB455" s="1079">
        <f>FA455</f>
        <v>209.216186</v>
      </c>
      <c r="FC455" s="1079">
        <f>FD455</f>
        <v>208.776457</v>
      </c>
      <c r="FD455" s="1079">
        <f>FE455</f>
        <v>208.776457</v>
      </c>
      <c r="FE455" s="1174">
        <f>'Profit and Loss'!U413</f>
        <v>208.776457</v>
      </c>
      <c r="FF455" s="1079">
        <v>204.153362</v>
      </c>
      <c r="FG455" s="1079">
        <v>202.897613</v>
      </c>
      <c r="FH455" s="1079">
        <f>FG455</f>
        <v>202.897613</v>
      </c>
      <c r="FI455" s="1396">
        <v>200.197417</v>
      </c>
      <c r="FJ455" s="1396">
        <v>201.987657</v>
      </c>
      <c r="FK455" s="1396">
        <f>FL455</f>
        <v>201.536418</v>
      </c>
      <c r="FL455" s="1396">
        <f>FM455</f>
        <v>201.536418</v>
      </c>
      <c r="FM455" s="1397">
        <v>201.536418</v>
      </c>
      <c r="FN455" s="1396">
        <v>206.29466</v>
      </c>
      <c r="FO455" s="1396">
        <v>206.327088</v>
      </c>
      <c r="FP455" s="1396">
        <f>FO455</f>
        <v>206.327088</v>
      </c>
      <c r="FQ455" s="1079">
        <v>206.327088</v>
      </c>
      <c r="FR455" s="1079">
        <v>206.327088</v>
      </c>
      <c r="FS455" s="1396">
        <f>FU455</f>
        <v>206.146908</v>
      </c>
      <c r="FT455" s="1396">
        <f>FU455</f>
        <v>206.146908</v>
      </c>
      <c r="FU455" s="1396">
        <v>206.146908</v>
      </c>
      <c r="FV455" s="1398">
        <v>204.273</v>
      </c>
      <c r="FW455" s="1396">
        <v>204.199</v>
      </c>
      <c r="FX455" s="1396">
        <f>AVERAGE(FV455:FW455)</f>
        <v>204.236</v>
      </c>
      <c r="FY455" s="1079">
        <v>204.237</v>
      </c>
      <c r="FZ455" s="1079">
        <f>AVERAGE(FY455,FW455,FV455)</f>
        <v>204.236333333333</v>
      </c>
      <c r="GA455" s="1079">
        <v>204.238</v>
      </c>
      <c r="GB455" s="1079">
        <f t="shared" ref="GB455:GC456" si="3878">GA455</f>
        <v>204.238</v>
      </c>
      <c r="GC455" s="1174">
        <f t="shared" si="3878"/>
        <v>204.238</v>
      </c>
      <c r="GD455" s="1399">
        <v>204.249548</v>
      </c>
      <c r="GE455" s="1399">
        <v>203.277</v>
      </c>
      <c r="GF455" s="1396">
        <f>AVERAGE(GD455:GE455)</f>
        <v>203.763274</v>
      </c>
      <c r="GG455" s="1399">
        <v>200.969</v>
      </c>
      <c r="GH455" s="1396">
        <f>AVERAGE(GG455,GE455,GD455)</f>
        <v>202.831849333333</v>
      </c>
      <c r="GI455" s="1399">
        <v>199.739079</v>
      </c>
      <c r="GJ455" s="1396">
        <f>AVERAGE(GI455,GG455)</f>
        <v>200.3540395</v>
      </c>
      <c r="GK455" s="1397">
        <v>202.044967</v>
      </c>
      <c r="GL455" s="1396">
        <f>GI455-1</f>
        <v>198.739079</v>
      </c>
      <c r="GM455" s="1396">
        <v>198.239</v>
      </c>
      <c r="GN455" s="1396">
        <f>AVERAGE(GL455:GM455)</f>
        <v>198.4890395</v>
      </c>
      <c r="GO455" s="1396">
        <f>GM455-0.7</f>
        <v>197.539</v>
      </c>
      <c r="GP455" s="1396">
        <f>AVERAGE(GO455,GM455,GL455)</f>
        <v>198.172359666667</v>
      </c>
      <c r="GQ455" s="1396">
        <f>GO455-0.7</f>
        <v>196.839</v>
      </c>
      <c r="GR455" s="1400">
        <f>AVERAGE(GQ455,GO455)</f>
        <v>197.189</v>
      </c>
      <c r="GS455" s="1397">
        <f>'Profit and Loss'!Z413</f>
        <v>197.612533</v>
      </c>
      <c r="GT455" s="1396">
        <f>GQ455-0.88</f>
        <v>195.959</v>
      </c>
      <c r="GU455" s="1396">
        <v>195.032</v>
      </c>
      <c r="GV455" s="1396">
        <f>AVERAGE(GT455:GU455)</f>
        <v>195.4955</v>
      </c>
      <c r="GW455" s="1396">
        <f>GU455</f>
        <v>195.032</v>
      </c>
      <c r="GX455" s="1396">
        <f>AVERAGE(GW455,GU455,GT455)</f>
        <v>195.341</v>
      </c>
      <c r="GY455" s="1396">
        <f>GW455</f>
        <v>195.032</v>
      </c>
      <c r="GZ455" s="1396">
        <f>AVERAGE(GY455,GW455)</f>
        <v>195.032</v>
      </c>
      <c r="HA455" s="1397">
        <f>AVERAGE(GY455,GW455,GU455,GT455)</f>
        <v>195.26375</v>
      </c>
      <c r="HB455" s="1396">
        <v>195.07</v>
      </c>
      <c r="HC455" s="1396">
        <v>195.07</v>
      </c>
      <c r="HD455" s="1396">
        <f t="shared" ref="HD455:HH455" si="3879">HC455</f>
        <v>195.07</v>
      </c>
      <c r="HE455" s="1396">
        <v>194.35</v>
      </c>
      <c r="HF455" s="1396">
        <f t="shared" si="3879"/>
        <v>194.35</v>
      </c>
      <c r="HG455" s="1396">
        <v>192.26</v>
      </c>
      <c r="HH455" s="1396">
        <f t="shared" si="3879"/>
        <v>192.26</v>
      </c>
      <c r="HI455" s="1397">
        <v>194.17</v>
      </c>
      <c r="HJ455" s="1396">
        <v>188.748</v>
      </c>
      <c r="HK455" s="1396">
        <v>184.272</v>
      </c>
      <c r="HL455" s="1396">
        <f>AVERAGE(HJ455:HK455)</f>
        <v>186.51</v>
      </c>
      <c r="HM455" s="1396">
        <v>180</v>
      </c>
      <c r="HN455" s="1396">
        <f>AVERAGE(HM455,HK455,HJ455)</f>
        <v>184.34</v>
      </c>
      <c r="HO455" s="1396">
        <f>HM455</f>
        <v>180</v>
      </c>
      <c r="HP455" s="1396">
        <f>AVERAGE(HO455,HM455)</f>
        <v>180</v>
      </c>
      <c r="HQ455" s="1397">
        <f>AVERAGE(HP455,HL455)</f>
        <v>183.255</v>
      </c>
      <c r="HR455" s="1396">
        <v>178.5</v>
      </c>
      <c r="HS455" s="1396">
        <v>178.5</v>
      </c>
      <c r="HT455" s="1396">
        <f>AVERAGE(HR455:HS455)</f>
        <v>178.5</v>
      </c>
      <c r="HU455" s="1396">
        <v>178.5</v>
      </c>
      <c r="HV455" s="1396">
        <f>AVERAGE(HU455,HS455,HR455)</f>
        <v>178.5</v>
      </c>
      <c r="HW455" s="1396">
        <v>178.5</v>
      </c>
      <c r="HX455" s="1396">
        <f>AVERAGE(HW455,HU455)</f>
        <v>178.5</v>
      </c>
      <c r="HY455" s="1397">
        <f>AVERAGE(HX455,HT455)</f>
        <v>178.5</v>
      </c>
      <c r="HZ455" s="1396">
        <v>178.5</v>
      </c>
      <c r="IA455" s="1396">
        <v>178.5</v>
      </c>
      <c r="IB455" s="1396">
        <f>AVERAGE(HZ455:IA455)</f>
        <v>178.5</v>
      </c>
      <c r="IC455" s="1396">
        <v>178.5</v>
      </c>
      <c r="ID455" s="1396">
        <f>AVERAGE(IC455,IA455,HZ455)</f>
        <v>178.5</v>
      </c>
      <c r="IE455" s="1396">
        <v>178.5</v>
      </c>
      <c r="IF455" s="1396">
        <f>AVERAGE(IE455,IC455)</f>
        <v>178.5</v>
      </c>
      <c r="IG455" s="1397">
        <f>AVERAGE(IF455,IB455)</f>
        <v>178.5</v>
      </c>
      <c r="IH455" s="1396">
        <v>178.5</v>
      </c>
      <c r="II455" s="1396">
        <v>178.5</v>
      </c>
      <c r="IJ455" s="1396">
        <f>AVERAGE(IH455:II455)</f>
        <v>178.5</v>
      </c>
      <c r="IK455" s="1396">
        <v>178.5</v>
      </c>
      <c r="IL455" s="1396">
        <f>AVERAGE(IK455,II455,IH455)</f>
        <v>178.5</v>
      </c>
      <c r="IM455" s="1396">
        <v>178.5</v>
      </c>
      <c r="IN455" s="1396">
        <f>AVERAGE(IM455,IK455)</f>
        <v>178.5</v>
      </c>
      <c r="IO455" s="1397">
        <f>AVERAGE(IN455,IJ455)</f>
        <v>178.5</v>
      </c>
      <c r="IP455" s="1396">
        <v>177.199</v>
      </c>
      <c r="IQ455" s="1396">
        <v>175.353</v>
      </c>
      <c r="IR455" s="1396">
        <f>AVERAGE(IP455:IQ455)</f>
        <v>176.276</v>
      </c>
      <c r="IS455" s="1396">
        <f>IS456</f>
        <v>174.304424242424</v>
      </c>
      <c r="IT455" s="1396">
        <f>AVERAGE(IS455,IQ455,IP455)</f>
        <v>175.618808080808</v>
      </c>
      <c r="IU455" s="1396">
        <f>IU456</f>
        <v>172.789272727273</v>
      </c>
      <c r="IV455" s="1396">
        <f>AVERAGE(IU455,IS455)</f>
        <v>173.546848484849</v>
      </c>
      <c r="IW455" s="1397">
        <f>AVERAGE(IU455,IS455,IQ455,IP455)</f>
        <v>174.911424242424</v>
      </c>
      <c r="IX455" s="1393"/>
      <c r="IY455" s="1049"/>
      <c r="IZ455" s="1049"/>
      <c r="JA455" s="1049"/>
      <c r="JB455" s="1049"/>
      <c r="JC455" s="1049"/>
      <c r="JD455" s="1112"/>
      <c r="JE455" s="1080"/>
      <c r="JF455" s="1037"/>
      <c r="JG455" s="1037"/>
      <c r="JH455" s="1037"/>
      <c r="JI455" s="1035"/>
      <c r="JJ455" s="1035"/>
      <c r="JK455" s="1035"/>
      <c r="JL455" s="1035"/>
      <c r="JM455" s="1035"/>
      <c r="JN455" s="1035"/>
      <c r="JO455" s="1035"/>
      <c r="JP455" s="1035"/>
      <c r="JQ455" s="1035"/>
      <c r="JR455" s="1035"/>
      <c r="JS455" s="1035"/>
      <c r="JT455" s="1035"/>
      <c r="JU455" s="1035"/>
      <c r="JV455" s="1035"/>
      <c r="JW455" s="1035"/>
      <c r="JX455" s="1035"/>
      <c r="JY455" s="1035"/>
    </row>
    <row r="456" spans="1:285">
      <c r="A456" s="969" t="s">
        <v>181</v>
      </c>
      <c r="B456" s="1057"/>
      <c r="C456" s="1057"/>
      <c r="D456" s="1057"/>
      <c r="E456" s="1057"/>
      <c r="F456" s="1057"/>
      <c r="G456" s="1057"/>
      <c r="H456" s="1057"/>
      <c r="I456" s="1057"/>
      <c r="J456" s="1057"/>
      <c r="K456" s="1057"/>
      <c r="L456" s="1057"/>
      <c r="M456" s="1057"/>
      <c r="N456" s="1057"/>
      <c r="O456" s="1057"/>
      <c r="P456" s="1057"/>
      <c r="Q456" s="1057"/>
      <c r="R456" s="1057"/>
      <c r="S456" s="1057"/>
      <c r="T456" s="1057"/>
      <c r="U456" s="1057"/>
      <c r="V456" s="1057"/>
      <c r="W456" s="1057"/>
      <c r="X456" s="1057"/>
      <c r="Y456" s="1057"/>
      <c r="Z456" s="1057"/>
      <c r="AA456" s="1057"/>
      <c r="AB456" s="1057"/>
      <c r="AC456" s="1057"/>
      <c r="AD456" s="1057"/>
      <c r="AE456" s="1057"/>
      <c r="AF456" s="1057"/>
      <c r="AG456" s="1057"/>
      <c r="AH456" s="1057"/>
      <c r="AI456" s="1057"/>
      <c r="AJ456" s="1057"/>
      <c r="AK456" s="1057"/>
      <c r="AL456" s="1057"/>
      <c r="AM456" s="1057"/>
      <c r="AN456" s="1057"/>
      <c r="AO456" s="1057"/>
      <c r="AP456" s="1057"/>
      <c r="AQ456" s="1057"/>
      <c r="AR456" s="1057"/>
      <c r="AS456" s="1057"/>
      <c r="AT456" s="1057"/>
      <c r="AU456" s="1057"/>
      <c r="AV456" s="1057"/>
      <c r="AW456" s="1057"/>
      <c r="AX456" s="1153"/>
      <c r="AY456" s="1057"/>
      <c r="AZ456" s="1057"/>
      <c r="BA456" s="1057"/>
      <c r="BB456" s="1057"/>
      <c r="BC456" s="1057"/>
      <c r="BD456" s="1057"/>
      <c r="BE456" s="1154"/>
      <c r="BF456" s="1057"/>
      <c r="BG456" s="1057"/>
      <c r="BH456" s="1057"/>
      <c r="BI456" s="1057"/>
      <c r="BJ456" s="1057"/>
      <c r="BK456" s="1057"/>
      <c r="BL456" s="1057"/>
      <c r="BM456" s="1057"/>
      <c r="BN456" s="1153"/>
      <c r="BO456" s="1057"/>
      <c r="BP456" s="1057"/>
      <c r="BQ456" s="1057"/>
      <c r="BR456" s="1057"/>
      <c r="BS456" s="1057"/>
      <c r="BT456" s="1057"/>
      <c r="BU456" s="1154"/>
      <c r="BV456" s="1153"/>
      <c r="BW456" s="1057"/>
      <c r="BX456" s="1057"/>
      <c r="BY456" s="1057"/>
      <c r="BZ456" s="1057"/>
      <c r="CA456" s="1057"/>
      <c r="CB456" s="1057"/>
      <c r="CC456" s="1154"/>
      <c r="CD456" s="1153"/>
      <c r="CE456" s="1057"/>
      <c r="CF456" s="1057"/>
      <c r="CG456" s="1057"/>
      <c r="CH456" s="1057"/>
      <c r="CI456" s="1057"/>
      <c r="CJ456" s="1057"/>
      <c r="CK456" s="1154"/>
      <c r="CL456" s="1153"/>
      <c r="CM456" s="1057"/>
      <c r="CN456" s="1057"/>
      <c r="CO456" s="1057"/>
      <c r="CP456" s="1057"/>
      <c r="CQ456" s="1057"/>
      <c r="CR456" s="1057"/>
      <c r="CS456" s="1154"/>
      <c r="CT456" s="1153"/>
      <c r="CU456" s="1057"/>
      <c r="CV456" s="1057"/>
      <c r="CW456" s="1057"/>
      <c r="CX456" s="1057"/>
      <c r="CY456" s="1057"/>
      <c r="CZ456" s="1057"/>
      <c r="DA456" s="1154"/>
      <c r="DB456" s="1394"/>
      <c r="DC456" s="1079"/>
      <c r="DD456" s="1079"/>
      <c r="DE456" s="1079"/>
      <c r="DF456" s="1079"/>
      <c r="DG456" s="1079"/>
      <c r="DH456" s="1079"/>
      <c r="DI456" s="1174"/>
      <c r="DJ456" s="1079">
        <v>193.515512</v>
      </c>
      <c r="DK456" s="1079">
        <v>193.515512</v>
      </c>
      <c r="DL456" s="1079">
        <v>138.6</v>
      </c>
      <c r="DM456" s="1079">
        <v>193.515512</v>
      </c>
      <c r="DN456" s="1079">
        <f>DM456</f>
        <v>193.515512</v>
      </c>
      <c r="DO456" s="1079">
        <f>DN456</f>
        <v>193.515512</v>
      </c>
      <c r="DP456" s="1079">
        <f>DO456</f>
        <v>193.515512</v>
      </c>
      <c r="DQ456" s="1079">
        <v>196</v>
      </c>
      <c r="DR456" s="1401">
        <f>DR455</f>
        <v>209.216186</v>
      </c>
      <c r="DS456" s="1395">
        <f>DS455</f>
        <v>209.216186</v>
      </c>
      <c r="DT456" s="1079">
        <f>DS456</f>
        <v>209.216186</v>
      </c>
      <c r="DU456" s="1395">
        <f>DU455</f>
        <v>209.238</v>
      </c>
      <c r="DV456" s="1079">
        <f>DU456</f>
        <v>209.238</v>
      </c>
      <c r="DW456" s="1395">
        <f>DY456</f>
        <v>209.216186</v>
      </c>
      <c r="DX456" s="1079">
        <f>DW456</f>
        <v>209.216186</v>
      </c>
      <c r="DY456" s="1174">
        <f>'Profit and Loss'!Q415</f>
        <v>209.216186</v>
      </c>
      <c r="DZ456" s="1395">
        <v>209.216186</v>
      </c>
      <c r="EA456" s="1395">
        <v>209.216816</v>
      </c>
      <c r="EB456" s="1079">
        <f>EA456</f>
        <v>209.216816</v>
      </c>
      <c r="EC456" s="1395">
        <v>209.216186</v>
      </c>
      <c r="ED456" s="1079">
        <f>EC456</f>
        <v>209.216186</v>
      </c>
      <c r="EE456" s="1079">
        <f>+EF456</f>
        <v>209.216186</v>
      </c>
      <c r="EF456" s="1079">
        <f>+EG456</f>
        <v>209.216186</v>
      </c>
      <c r="EG456" s="1402">
        <v>209.216186</v>
      </c>
      <c r="EH456" s="1395">
        <f>EH455</f>
        <v>209.216186</v>
      </c>
      <c r="EI456" s="1395">
        <f>EI455</f>
        <v>209.216186</v>
      </c>
      <c r="EJ456" s="1079">
        <f>EI456</f>
        <v>209.216186</v>
      </c>
      <c r="EK456" s="1395">
        <f>EK455</f>
        <v>209.216186</v>
      </c>
      <c r="EL456" s="1079">
        <f>EK456</f>
        <v>209.216186</v>
      </c>
      <c r="EM456" s="1079">
        <f>EN456</f>
        <v>209.216186</v>
      </c>
      <c r="EN456" s="1079">
        <f>EO456</f>
        <v>209.216186</v>
      </c>
      <c r="EO456" s="1174">
        <f>'Profit and Loss'!S415</f>
        <v>209.216186</v>
      </c>
      <c r="EP456" s="1079">
        <f>EP455</f>
        <v>209.216186</v>
      </c>
      <c r="EQ456" s="1079">
        <f>EP456-(($EO456-$EW456)/4)</f>
        <v>209.216186</v>
      </c>
      <c r="ER456" s="1079">
        <f>EQ456</f>
        <v>209.216186</v>
      </c>
      <c r="ES456" s="1079">
        <f>ET456</f>
        <v>209.216186</v>
      </c>
      <c r="ET456" s="1079">
        <v>209.216186</v>
      </c>
      <c r="EU456" s="1079">
        <v>209.216186</v>
      </c>
      <c r="EV456" s="1079">
        <f t="shared" si="3877"/>
        <v>209.216186</v>
      </c>
      <c r="EW456" s="1174">
        <f t="shared" si="3877"/>
        <v>209.216186</v>
      </c>
      <c r="EX456" s="1079">
        <f t="shared" si="3877"/>
        <v>209.216186</v>
      </c>
      <c r="EY456" s="1079">
        <f t="shared" si="3877"/>
        <v>209.216186</v>
      </c>
      <c r="EZ456" s="1079">
        <f t="shared" si="3877"/>
        <v>209.216186</v>
      </c>
      <c r="FA456" s="1079">
        <f t="shared" si="3877"/>
        <v>209.216186</v>
      </c>
      <c r="FB456" s="1079">
        <f t="shared" si="3877"/>
        <v>209.216186</v>
      </c>
      <c r="FC456" s="1079">
        <f>FD456</f>
        <v>208.776457</v>
      </c>
      <c r="FD456" s="1079">
        <f>FE456</f>
        <v>208.776457</v>
      </c>
      <c r="FE456" s="1174">
        <f>'Profit and Loss'!U415</f>
        <v>208.776457</v>
      </c>
      <c r="FF456" s="1079">
        <v>204.153362</v>
      </c>
      <c r="FG456" s="1079">
        <v>202.897613</v>
      </c>
      <c r="FH456" s="1079">
        <f>FG456</f>
        <v>202.897613</v>
      </c>
      <c r="FI456" s="1396">
        <v>200.197417</v>
      </c>
      <c r="FJ456" s="1396">
        <v>201.987657</v>
      </c>
      <c r="FK456" s="1396">
        <f>FL456</f>
        <v>201.536418</v>
      </c>
      <c r="FL456" s="1396">
        <f>FM456</f>
        <v>201.536418</v>
      </c>
      <c r="FM456" s="1397">
        <v>201.536418</v>
      </c>
      <c r="FN456" s="1396">
        <v>200.197417</v>
      </c>
      <c r="FO456" s="1396">
        <v>200.197417</v>
      </c>
      <c r="FP456" s="1396">
        <f>FO456</f>
        <v>200.197417</v>
      </c>
      <c r="FQ456" s="1079">
        <v>200.226599</v>
      </c>
      <c r="FR456" s="1079">
        <v>200.207215</v>
      </c>
      <c r="FS456" s="1396">
        <f>FU456</f>
        <v>200.188276</v>
      </c>
      <c r="FT456" s="1396">
        <f>FU456</f>
        <v>200.188276</v>
      </c>
      <c r="FU456" s="1396">
        <v>200.188276</v>
      </c>
      <c r="FV456" s="1398">
        <v>201.209054</v>
      </c>
      <c r="FW456" s="1396">
        <f>FX456</f>
        <v>202.35</v>
      </c>
      <c r="FX456" s="1396">
        <v>202.35</v>
      </c>
      <c r="FY456" s="1079">
        <v>202.756</v>
      </c>
      <c r="FZ456" s="1079">
        <f>AVERAGE(FY456,FW456,FV456)</f>
        <v>202.105018</v>
      </c>
      <c r="GA456" s="1079">
        <v>203.2239</v>
      </c>
      <c r="GB456" s="1079">
        <f t="shared" si="3878"/>
        <v>203.2239</v>
      </c>
      <c r="GC456" s="1174">
        <f t="shared" si="3878"/>
        <v>203.2239</v>
      </c>
      <c r="GD456" s="1399">
        <v>203.878332</v>
      </c>
      <c r="GE456" s="1399">
        <v>202.91</v>
      </c>
      <c r="GF456" s="1396">
        <f>AVERAGE(GD456:GE456)</f>
        <v>203.394166</v>
      </c>
      <c r="GG456" s="1399">
        <v>200.65</v>
      </c>
      <c r="GH456" s="1396">
        <f>AVERAGE(GG456,GE456,GD456)</f>
        <v>202.479444</v>
      </c>
      <c r="GI456" s="1399">
        <v>199.651879</v>
      </c>
      <c r="GJ456" s="1396">
        <f>AVERAGE(GI456,GG456)</f>
        <v>200.1509395</v>
      </c>
      <c r="GK456" s="1397">
        <v>201.759</v>
      </c>
      <c r="GL456" s="1396">
        <f>GI456-1</f>
        <v>198.651879</v>
      </c>
      <c r="GM456" s="1396">
        <v>198.229</v>
      </c>
      <c r="GN456" s="1396">
        <f>AVERAGE(GL456:GM456)</f>
        <v>198.4404395</v>
      </c>
      <c r="GO456" s="1396">
        <f>GM456-0.7</f>
        <v>197.529</v>
      </c>
      <c r="GP456" s="1396">
        <f>AVERAGE(GO456,GM456,GL456)</f>
        <v>198.136626333333</v>
      </c>
      <c r="GQ456" s="1396">
        <f>GO456-0.7</f>
        <v>196.829</v>
      </c>
      <c r="GR456" s="1400">
        <f>AVERAGE(GQ456,GO456)</f>
        <v>197.179</v>
      </c>
      <c r="GS456" s="1397">
        <f>'Profit and Loss'!Z415</f>
        <v>197.606</v>
      </c>
      <c r="GT456" s="1396">
        <f>GQ456-0.88</f>
        <v>195.949</v>
      </c>
      <c r="GU456" s="1396">
        <v>195.036</v>
      </c>
      <c r="GV456" s="1396">
        <f>AVERAGE(GT456:GU456)</f>
        <v>195.4925</v>
      </c>
      <c r="GW456" s="1396">
        <f>GU456</f>
        <v>195.036</v>
      </c>
      <c r="GX456" s="1396">
        <f>AVERAGE(GW456,GU456,GT456)</f>
        <v>195.340333333333</v>
      </c>
      <c r="GY456" s="1396">
        <f>GW456</f>
        <v>195.036</v>
      </c>
      <c r="GZ456" s="1396">
        <f>AVERAGE(GY456,GW456)</f>
        <v>195.036</v>
      </c>
      <c r="HA456" s="1397">
        <f>AVERAGE(GY456,GW456,GU456,GT456)</f>
        <v>195.26425</v>
      </c>
      <c r="HB456" s="1396">
        <f>HB455</f>
        <v>195.07</v>
      </c>
      <c r="HC456" s="1396">
        <f>HC455</f>
        <v>195.07</v>
      </c>
      <c r="HD456" s="1396">
        <f t="shared" ref="HD456:HH456" si="3880">HD455</f>
        <v>195.07</v>
      </c>
      <c r="HE456" s="1396">
        <f t="shared" si="3880"/>
        <v>194.35</v>
      </c>
      <c r="HF456" s="1396">
        <f t="shared" si="3880"/>
        <v>194.35</v>
      </c>
      <c r="HG456" s="1396">
        <f t="shared" si="3880"/>
        <v>192.26</v>
      </c>
      <c r="HH456" s="1396">
        <f t="shared" si="3880"/>
        <v>192.26</v>
      </c>
      <c r="HI456" s="1397">
        <v>194.18</v>
      </c>
      <c r="HJ456" s="1396">
        <v>188.744</v>
      </c>
      <c r="HK456" s="1396">
        <v>184.278</v>
      </c>
      <c r="HL456" s="1396">
        <f>AVERAGE(HJ456:HK456)</f>
        <v>186.511</v>
      </c>
      <c r="HM456" s="1396">
        <v>180</v>
      </c>
      <c r="HN456" s="1396">
        <f>AVERAGE(HM456,HK456,HJ456)</f>
        <v>184.340666666667</v>
      </c>
      <c r="HO456" s="1396">
        <f>HM456</f>
        <v>180</v>
      </c>
      <c r="HP456" s="1396">
        <f>AVERAGE(HO456,HM456)</f>
        <v>180</v>
      </c>
      <c r="HQ456" s="1397">
        <f>AVERAGE(HP456,HL456)</f>
        <v>183.2555</v>
      </c>
      <c r="HR456" s="1396">
        <v>178.5</v>
      </c>
      <c r="HS456" s="1396">
        <v>178.55</v>
      </c>
      <c r="HT456" s="1396">
        <f>AVERAGE(HR456:HS456)</f>
        <v>178.525</v>
      </c>
      <c r="HU456" s="1396">
        <v>178.56</v>
      </c>
      <c r="HV456" s="1396">
        <f>AVERAGE(HU456,HS456,HR456)</f>
        <v>178.536666666667</v>
      </c>
      <c r="HW456" s="1396">
        <v>178.56</v>
      </c>
      <c r="HX456" s="1396">
        <f>AVERAGE(HW456,HU456)</f>
        <v>178.56</v>
      </c>
      <c r="HY456" s="1397">
        <f>AVERAGE(HX456,HT456)</f>
        <v>178.5425</v>
      </c>
      <c r="HZ456" s="1396">
        <v>178.56</v>
      </c>
      <c r="IA456" s="1396">
        <v>178.56</v>
      </c>
      <c r="IB456" s="1396">
        <f>AVERAGE(HZ456:IA456)</f>
        <v>178.56</v>
      </c>
      <c r="IC456" s="1396">
        <v>178.56</v>
      </c>
      <c r="ID456" s="1396">
        <f>AVERAGE(IC456,IA456,HZ456)</f>
        <v>178.56</v>
      </c>
      <c r="IE456" s="1396">
        <v>178.56</v>
      </c>
      <c r="IF456" s="1396">
        <f>AVERAGE(IE456,IC456)</f>
        <v>178.56</v>
      </c>
      <c r="IG456" s="1397">
        <f>AVERAGE(IF456,IB456)</f>
        <v>178.56</v>
      </c>
      <c r="IH456" s="1396">
        <v>178.56</v>
      </c>
      <c r="II456" s="1396">
        <v>178.56</v>
      </c>
      <c r="IJ456" s="1396">
        <f>AVERAGE(IH456:II456)</f>
        <v>178.56</v>
      </c>
      <c r="IK456" s="1396">
        <f>II456</f>
        <v>178.56</v>
      </c>
      <c r="IL456" s="1396">
        <f>AVERAGE(IK456,II456,IH456)</f>
        <v>178.56</v>
      </c>
      <c r="IM456" s="1396">
        <f>IK456</f>
        <v>178.56</v>
      </c>
      <c r="IN456" s="1396">
        <f>AVERAGE(IM456,IK456)</f>
        <v>178.56</v>
      </c>
      <c r="IO456" s="1397">
        <f>AVERAGE(IN456,IJ456)</f>
        <v>178.56</v>
      </c>
      <c r="IP456" s="1396">
        <v>177.192</v>
      </c>
      <c r="IQ456" s="1396">
        <v>175.345</v>
      </c>
      <c r="IR456" s="1396">
        <f>AVERAGE(IP456:IQ456)</f>
        <v>176.2685</v>
      </c>
      <c r="IS456" s="1396">
        <f>(IS457+IQ457)/2</f>
        <v>174.304424242424</v>
      </c>
      <c r="IT456" s="1396">
        <f>AVERAGE(IS456,IQ456,IP456)</f>
        <v>175.613808080808</v>
      </c>
      <c r="IU456" s="1396">
        <f>(IU457+IS457)/2</f>
        <v>172.789272727273</v>
      </c>
      <c r="IV456" s="1396">
        <f>AVERAGE(IU456,IS456)</f>
        <v>173.546848484849</v>
      </c>
      <c r="IW456" s="1397">
        <f>AVERAGE(IU456,IS456,IQ456,IP456)</f>
        <v>174.907674242424</v>
      </c>
      <c r="IX456" s="1049"/>
      <c r="IY456" s="1049"/>
      <c r="IZ456" s="1049"/>
      <c r="JA456" s="1049"/>
      <c r="JB456" s="1049"/>
      <c r="JC456" s="1049"/>
      <c r="JD456" s="1112"/>
      <c r="JE456" s="1079"/>
      <c r="JF456" s="1037"/>
      <c r="JG456" s="1037"/>
      <c r="JH456" s="1037"/>
      <c r="JI456" s="1035"/>
      <c r="JJ456" s="1035"/>
      <c r="JK456" s="1035"/>
      <c r="JL456" s="1035"/>
      <c r="JM456" s="1035"/>
      <c r="JN456" s="1035"/>
      <c r="JO456" s="1035"/>
      <c r="JP456" s="1035"/>
      <c r="JQ456" s="1035"/>
      <c r="JR456" s="1035"/>
      <c r="JS456" s="1035"/>
      <c r="JT456" s="1035"/>
      <c r="JU456" s="1035"/>
      <c r="JV456" s="1035"/>
      <c r="JW456" s="1035"/>
      <c r="JX456" s="1035"/>
      <c r="JY456" s="1035"/>
    </row>
    <row r="457" spans="1:285">
      <c r="A457" s="1035" t="s">
        <v>600</v>
      </c>
      <c r="AX457" s="1059"/>
      <c r="BE457" s="1060"/>
      <c r="BN457" s="1059"/>
      <c r="BU457" s="1060"/>
      <c r="BV457" s="1059"/>
      <c r="CC457" s="1060"/>
      <c r="CD457" s="1059"/>
      <c r="CK457" s="1060"/>
      <c r="CL457" s="1059"/>
      <c r="CM457" s="1403"/>
      <c r="CN457" s="1403"/>
      <c r="CS457" s="1060"/>
      <c r="CT457" s="1059"/>
      <c r="DA457" s="1060"/>
      <c r="DB457" s="1063"/>
      <c r="EW457" s="1038"/>
      <c r="EX457" s="1082">
        <f>EX459/EW459-1</f>
        <v>-0.0489749430523918</v>
      </c>
      <c r="EY457" s="1037"/>
      <c r="EZ457" s="1037"/>
      <c r="FA457" s="1037"/>
      <c r="FB457" s="1037"/>
      <c r="FC457" s="1037"/>
      <c r="FD457" s="1037"/>
      <c r="FE457" s="1038"/>
      <c r="FF457" s="1037"/>
      <c r="FG457" s="1037"/>
      <c r="FH457" s="1037"/>
      <c r="FI457" s="1037"/>
      <c r="FJ457" s="1037"/>
      <c r="FK457" s="1037"/>
      <c r="FL457" s="1037"/>
      <c r="FM457" s="1038"/>
      <c r="FN457" s="1037"/>
      <c r="FO457" s="1037"/>
      <c r="FP457" s="1037"/>
      <c r="FQ457" s="1037"/>
      <c r="FR457" s="1037"/>
      <c r="FS457" s="1037"/>
      <c r="FT457" s="1037"/>
      <c r="FU457" s="1037"/>
      <c r="FV457" s="1063"/>
      <c r="FW457" s="1037"/>
      <c r="FX457" s="1037"/>
      <c r="FY457" s="1037"/>
      <c r="FZ457" s="1037"/>
      <c r="GA457" s="1037"/>
      <c r="GB457" s="1037"/>
      <c r="GC457" s="1038"/>
      <c r="GD457" s="1037"/>
      <c r="GE457" s="1037"/>
      <c r="GF457" s="1037"/>
      <c r="GG457" s="1037"/>
      <c r="GH457" s="1037"/>
      <c r="GI457" s="1037"/>
      <c r="GJ457" s="1037"/>
      <c r="GK457" s="1038"/>
      <c r="GL457" s="1037"/>
      <c r="GM457" s="1037"/>
      <c r="GN457" s="1037"/>
      <c r="GO457" s="1037"/>
      <c r="GP457" s="1037"/>
      <c r="GQ457" s="1037"/>
      <c r="GR457" s="1037"/>
      <c r="GS457" s="1038"/>
      <c r="GT457" s="1037"/>
      <c r="GU457" s="1037"/>
      <c r="GV457" s="1037"/>
      <c r="GW457" s="1037"/>
      <c r="GX457" s="1037"/>
      <c r="GY457" s="1037"/>
      <c r="GZ457" s="1037"/>
      <c r="HA457" s="1038"/>
      <c r="HB457" s="1037"/>
      <c r="HC457" s="1037"/>
      <c r="HD457" s="1037"/>
      <c r="HE457" s="1037"/>
      <c r="HF457" s="1037"/>
      <c r="HG457" s="1037"/>
      <c r="HH457" s="1037"/>
      <c r="HI457" s="1038"/>
      <c r="HJ457" s="1037"/>
      <c r="HK457" s="1037"/>
      <c r="HL457" s="1037"/>
      <c r="HM457" s="1037"/>
      <c r="HN457" s="1037"/>
      <c r="HO457" s="1037"/>
      <c r="HP457" s="1037"/>
      <c r="HQ457" s="1038"/>
      <c r="HR457" s="1037"/>
      <c r="HS457" s="1037"/>
      <c r="HT457" s="1037"/>
      <c r="HU457" s="1037"/>
      <c r="HV457" s="1037"/>
      <c r="HW457" s="1037"/>
      <c r="HX457" s="1037"/>
      <c r="HY457" s="1037"/>
      <c r="HZ457" s="1037"/>
      <c r="IA457" s="1037"/>
      <c r="IB457" s="1037"/>
      <c r="IC457" s="1037"/>
      <c r="ID457" s="1037"/>
      <c r="IE457" s="1037"/>
      <c r="IF457" s="1037"/>
      <c r="IG457" s="1038"/>
      <c r="IH457" s="1037">
        <f t="shared" ref="IH457:IK457" si="3881">IH456</f>
        <v>178.56</v>
      </c>
      <c r="II457" s="1037">
        <f t="shared" si="3881"/>
        <v>178.56</v>
      </c>
      <c r="IJ457" s="1037">
        <f t="shared" si="3881"/>
        <v>178.56</v>
      </c>
      <c r="IK457" s="1037">
        <f t="shared" si="3881"/>
        <v>178.56</v>
      </c>
      <c r="IL457" s="1037"/>
      <c r="IM457" s="1037">
        <f>IM456</f>
        <v>178.56</v>
      </c>
      <c r="IN457" s="1037"/>
      <c r="IO457" s="1038">
        <f>IO456</f>
        <v>178.56</v>
      </c>
      <c r="IP457" s="1037">
        <v>175.399</v>
      </c>
      <c r="IQ457" s="1037">
        <v>175.062</v>
      </c>
      <c r="IR457" s="1037"/>
      <c r="IS457" s="1037">
        <f>IQ457-(250/165)</f>
        <v>173.546848484849</v>
      </c>
      <c r="IT457" s="1037"/>
      <c r="IU457" s="1037">
        <f>IS457-(250/165)</f>
        <v>172.031696969697</v>
      </c>
      <c r="IV457" s="1037"/>
      <c r="IW457" s="1037">
        <f>IU457</f>
        <v>172.031696969697</v>
      </c>
      <c r="IX457" s="1049"/>
      <c r="IY457" s="1049"/>
      <c r="IZ457" s="1049"/>
      <c r="JA457" s="1049"/>
      <c r="JB457" s="1049"/>
      <c r="JC457" s="1049"/>
      <c r="JD457" s="1404"/>
      <c r="JE457" s="1080"/>
      <c r="JF457" s="1037"/>
      <c r="JG457" s="1037"/>
      <c r="JH457" s="1037"/>
      <c r="JI457" s="1035"/>
      <c r="JJ457" s="1035"/>
      <c r="JK457" s="1035"/>
      <c r="JL457" s="1035"/>
      <c r="JM457" s="1035"/>
      <c r="JN457" s="1035"/>
      <c r="JO457" s="1035"/>
      <c r="JP457" s="1035"/>
      <c r="JQ457" s="1035"/>
      <c r="JR457" s="1035"/>
      <c r="JS457" s="1035"/>
      <c r="JT457" s="1035"/>
      <c r="JU457" s="1035"/>
      <c r="JV457" s="1035"/>
      <c r="JW457" s="1035"/>
      <c r="JX457" s="1035"/>
      <c r="JY457" s="1035"/>
    </row>
    <row r="458" spans="1:285">
      <c r="A458" s="1051" t="s">
        <v>601</v>
      </c>
      <c r="B458" s="1197"/>
      <c r="C458" s="1197"/>
      <c r="D458" s="1197"/>
      <c r="E458" s="1197"/>
      <c r="F458" s="1197"/>
      <c r="G458" s="1197"/>
      <c r="H458" s="1197"/>
      <c r="I458" s="1197"/>
      <c r="J458" s="1197"/>
      <c r="K458" s="1197"/>
      <c r="L458" s="1197"/>
      <c r="M458" s="1197"/>
      <c r="N458" s="1197"/>
      <c r="O458" s="1197"/>
      <c r="P458" s="1197"/>
      <c r="Q458" s="1197"/>
      <c r="R458" s="1197"/>
      <c r="S458" s="1197"/>
      <c r="T458" s="1197"/>
      <c r="U458" s="1197"/>
      <c r="V458" s="1197"/>
      <c r="W458" s="1197"/>
      <c r="X458" s="1197"/>
      <c r="Y458" s="1197"/>
      <c r="Z458" s="1197"/>
      <c r="AA458" s="1197"/>
      <c r="AB458" s="1197"/>
      <c r="AC458" s="1197"/>
      <c r="AD458" s="1197"/>
      <c r="AE458" s="1197"/>
      <c r="AF458" s="1197"/>
      <c r="AG458" s="1197"/>
      <c r="AH458" s="1197"/>
      <c r="AI458" s="1197"/>
      <c r="AJ458" s="1197"/>
      <c r="AK458" s="1197"/>
      <c r="AL458" s="1197"/>
      <c r="AM458" s="1197"/>
      <c r="AN458" s="1197"/>
      <c r="AO458" s="1197"/>
      <c r="AP458" s="1197"/>
      <c r="AQ458" s="1197"/>
      <c r="AR458" s="1197"/>
      <c r="AS458" s="1197"/>
      <c r="AT458" s="1197"/>
      <c r="AU458" s="1197"/>
      <c r="AV458" s="1197"/>
      <c r="AW458" s="1197"/>
      <c r="AX458" s="1198" t="str">
        <f t="shared" ref="AX458:BU458" si="3882">AX2</f>
        <v>Q1 01</v>
      </c>
      <c r="AY458" s="1197" t="str">
        <f t="shared" si="3882"/>
        <v>Q2 01</v>
      </c>
      <c r="AZ458" s="1197" t="str">
        <f t="shared" si="3882"/>
        <v>H1 01</v>
      </c>
      <c r="BA458" s="1197" t="str">
        <f t="shared" si="3882"/>
        <v>Q3 01</v>
      </c>
      <c r="BB458" s="1197" t="str">
        <f t="shared" si="3882"/>
        <v>9M 01</v>
      </c>
      <c r="BC458" s="1197" t="str">
        <f t="shared" si="3882"/>
        <v>Q4 01</v>
      </c>
      <c r="BD458" s="1197" t="str">
        <f t="shared" si="3882"/>
        <v>H2 01</v>
      </c>
      <c r="BE458" s="1199" t="str">
        <f t="shared" si="3882"/>
        <v>FY 01</v>
      </c>
      <c r="BF458" s="1198" t="str">
        <f t="shared" si="3882"/>
        <v>Q1 02</v>
      </c>
      <c r="BG458" s="1197" t="str">
        <f t="shared" si="3882"/>
        <v>Q2 02</v>
      </c>
      <c r="BH458" s="1197" t="str">
        <f t="shared" si="3882"/>
        <v>H1 02</v>
      </c>
      <c r="BI458" s="1197" t="str">
        <f t="shared" si="3882"/>
        <v>Q3 02</v>
      </c>
      <c r="BJ458" s="1197" t="str">
        <f t="shared" si="3882"/>
        <v>9M 02</v>
      </c>
      <c r="BK458" s="1197" t="str">
        <f t="shared" si="3882"/>
        <v>Q4 02</v>
      </c>
      <c r="BL458" s="1197" t="str">
        <f t="shared" si="3882"/>
        <v>H2 02</v>
      </c>
      <c r="BM458" s="1199" t="str">
        <f t="shared" si="3882"/>
        <v>FY 02</v>
      </c>
      <c r="BN458" s="1198" t="str">
        <f t="shared" si="3882"/>
        <v>Q1 03</v>
      </c>
      <c r="BO458" s="1197" t="str">
        <f t="shared" si="3882"/>
        <v>Q2 03</v>
      </c>
      <c r="BP458" s="1197" t="str">
        <f t="shared" si="3882"/>
        <v>H1 03</v>
      </c>
      <c r="BQ458" s="1197" t="str">
        <f t="shared" si="3882"/>
        <v>Q3 03</v>
      </c>
      <c r="BR458" s="1197" t="str">
        <f t="shared" si="3882"/>
        <v>9M 03</v>
      </c>
      <c r="BS458" s="1197" t="str">
        <f t="shared" si="3882"/>
        <v>Q4 03</v>
      </c>
      <c r="BT458" s="1197" t="str">
        <f t="shared" si="3882"/>
        <v>H2 03</v>
      </c>
      <c r="BU458" s="1199" t="str">
        <f t="shared" si="3882"/>
        <v>FY 03</v>
      </c>
      <c r="BV458" s="1198" t="s">
        <v>321</v>
      </c>
      <c r="BW458" s="1197" t="s">
        <v>322</v>
      </c>
      <c r="BX458" s="1197" t="s">
        <v>323</v>
      </c>
      <c r="BY458" s="1197" t="s">
        <v>324</v>
      </c>
      <c r="BZ458" s="1197" t="s">
        <v>325</v>
      </c>
      <c r="CA458" s="1197" t="s">
        <v>326</v>
      </c>
      <c r="CB458" s="1197" t="s">
        <v>327</v>
      </c>
      <c r="CC458" s="1199" t="s">
        <v>23</v>
      </c>
      <c r="CD458" s="1198" t="s">
        <v>328</v>
      </c>
      <c r="CE458" s="1197" t="s">
        <v>329</v>
      </c>
      <c r="CF458" s="1197" t="s">
        <v>330</v>
      </c>
      <c r="CG458" s="1197" t="s">
        <v>331</v>
      </c>
      <c r="CH458" s="1197" t="s">
        <v>332</v>
      </c>
      <c r="CI458" s="1197" t="s">
        <v>333</v>
      </c>
      <c r="CJ458" s="1197" t="str">
        <f t="shared" ref="CJ458:DO458" si="3883">CJ2</f>
        <v>H2 05</v>
      </c>
      <c r="CK458" s="1199" t="str">
        <f t="shared" si="3883"/>
        <v>FY 05</v>
      </c>
      <c r="CL458" s="1198" t="str">
        <f t="shared" si="3883"/>
        <v>Q1 06</v>
      </c>
      <c r="CM458" s="1197" t="str">
        <f t="shared" si="3883"/>
        <v>Q2 06</v>
      </c>
      <c r="CN458" s="1197" t="str">
        <f t="shared" si="3883"/>
        <v>H1 06</v>
      </c>
      <c r="CO458" s="1197" t="str">
        <f t="shared" si="3883"/>
        <v>Q3 06</v>
      </c>
      <c r="CP458" s="1197" t="str">
        <f t="shared" si="3883"/>
        <v>9M 06</v>
      </c>
      <c r="CQ458" s="1197" t="str">
        <f t="shared" si="3883"/>
        <v>Q4 06</v>
      </c>
      <c r="CR458" s="1197" t="str">
        <f t="shared" si="3883"/>
        <v>H2 06</v>
      </c>
      <c r="CS458" s="1199" t="str">
        <f t="shared" si="3883"/>
        <v>FY 06</v>
      </c>
      <c r="CT458" s="1198" t="str">
        <f t="shared" si="3883"/>
        <v>Q1 07</v>
      </c>
      <c r="CU458" s="1197" t="str">
        <f t="shared" si="3883"/>
        <v>Q2 07</v>
      </c>
      <c r="CV458" s="1197" t="str">
        <f t="shared" si="3883"/>
        <v>H1 07</v>
      </c>
      <c r="CW458" s="1197" t="str">
        <f t="shared" si="3883"/>
        <v>Q3 07</v>
      </c>
      <c r="CX458" s="1197" t="str">
        <f t="shared" si="3883"/>
        <v>9M 07</v>
      </c>
      <c r="CY458" s="1197" t="str">
        <f t="shared" si="3883"/>
        <v>Q4 07</v>
      </c>
      <c r="CZ458" s="1197" t="str">
        <f t="shared" si="3883"/>
        <v>H2 07</v>
      </c>
      <c r="DA458" s="1199" t="str">
        <f t="shared" si="3883"/>
        <v>FY 07</v>
      </c>
      <c r="DB458" s="1200" t="str">
        <f t="shared" si="3883"/>
        <v>Q1 08</v>
      </c>
      <c r="DC458" s="1201" t="str">
        <f t="shared" si="3883"/>
        <v>Q2 08</v>
      </c>
      <c r="DD458" s="1201" t="str">
        <f t="shared" si="3883"/>
        <v>H1 08</v>
      </c>
      <c r="DE458" s="1201" t="str">
        <f t="shared" si="3883"/>
        <v>Q3 08</v>
      </c>
      <c r="DF458" s="1201" t="str">
        <f t="shared" si="3883"/>
        <v>9M 08</v>
      </c>
      <c r="DG458" s="1201" t="str">
        <f t="shared" si="3883"/>
        <v>Q4 08</v>
      </c>
      <c r="DH458" s="1201" t="str">
        <f t="shared" si="3883"/>
        <v>H2 08</v>
      </c>
      <c r="DI458" s="1202" t="str">
        <f t="shared" si="3883"/>
        <v>FY 08</v>
      </c>
      <c r="DJ458" s="1201" t="str">
        <f t="shared" si="3883"/>
        <v>Q1 09</v>
      </c>
      <c r="DK458" s="1201" t="str">
        <f t="shared" si="3883"/>
        <v>Q2 09</v>
      </c>
      <c r="DL458" s="1201" t="str">
        <f t="shared" si="3883"/>
        <v>H1 09</v>
      </c>
      <c r="DM458" s="1201" t="str">
        <f t="shared" si="3883"/>
        <v>Q3 09</v>
      </c>
      <c r="DN458" s="1201" t="str">
        <f t="shared" si="3883"/>
        <v>9M 09</v>
      </c>
      <c r="DO458" s="1201" t="str">
        <f t="shared" si="3883"/>
        <v>Q4 09</v>
      </c>
      <c r="DP458" s="1201" t="str">
        <f t="shared" ref="DP458:EU458" si="3884">DP2</f>
        <v>H2 09</v>
      </c>
      <c r="DQ458" s="1202" t="str">
        <f t="shared" si="3884"/>
        <v>FY 09</v>
      </c>
      <c r="DR458" s="1201" t="str">
        <f t="shared" si="3884"/>
        <v>Q1 10</v>
      </c>
      <c r="DS458" s="1201" t="str">
        <f t="shared" si="3884"/>
        <v>Q2 10</v>
      </c>
      <c r="DT458" s="1201" t="str">
        <f t="shared" si="3884"/>
        <v>H1 10</v>
      </c>
      <c r="DU458" s="1201" t="str">
        <f t="shared" si="3884"/>
        <v>Q3 10</v>
      </c>
      <c r="DV458" s="1201" t="str">
        <f t="shared" si="3884"/>
        <v>9M 10</v>
      </c>
      <c r="DW458" s="1201" t="str">
        <f t="shared" si="3884"/>
        <v>Q4 10</v>
      </c>
      <c r="DX458" s="1201" t="str">
        <f t="shared" si="3884"/>
        <v>H2 10</v>
      </c>
      <c r="DY458" s="1202" t="str">
        <f t="shared" si="3884"/>
        <v>FY 10</v>
      </c>
      <c r="DZ458" s="1201" t="str">
        <f t="shared" si="3884"/>
        <v>Q1 11</v>
      </c>
      <c r="EA458" s="1201" t="str">
        <f t="shared" si="3884"/>
        <v>Q2 11</v>
      </c>
      <c r="EB458" s="1201" t="str">
        <f t="shared" si="3884"/>
        <v>H1 11</v>
      </c>
      <c r="EC458" s="1201" t="str">
        <f t="shared" si="3884"/>
        <v>Q3 11</v>
      </c>
      <c r="ED458" s="1201" t="str">
        <f t="shared" si="3884"/>
        <v>9M 11</v>
      </c>
      <c r="EE458" s="1201" t="str">
        <f t="shared" si="3884"/>
        <v>Q4 11</v>
      </c>
      <c r="EF458" s="1201" t="str">
        <f t="shared" si="3884"/>
        <v>H2 11</v>
      </c>
      <c r="EG458" s="1202" t="str">
        <f t="shared" si="3884"/>
        <v>FY 11</v>
      </c>
      <c r="EH458" s="1201" t="str">
        <f t="shared" si="3884"/>
        <v>Q1 12</v>
      </c>
      <c r="EI458" s="1201" t="str">
        <f t="shared" si="3884"/>
        <v>Q2 12</v>
      </c>
      <c r="EJ458" s="1201" t="str">
        <f t="shared" si="3884"/>
        <v>H1 12</v>
      </c>
      <c r="EK458" s="1201" t="str">
        <f t="shared" si="3884"/>
        <v>Q3 12</v>
      </c>
      <c r="EL458" s="1201" t="str">
        <f t="shared" si="3884"/>
        <v>9M 12</v>
      </c>
      <c r="EM458" s="1201" t="str">
        <f t="shared" si="3884"/>
        <v>Q4 12</v>
      </c>
      <c r="EN458" s="1201" t="str">
        <f t="shared" si="3884"/>
        <v>H2 12</v>
      </c>
      <c r="EO458" s="1202" t="str">
        <f t="shared" si="3884"/>
        <v>FY 12</v>
      </c>
      <c r="EP458" s="1201" t="str">
        <f t="shared" si="3884"/>
        <v>1Q13</v>
      </c>
      <c r="EQ458" s="1201" t="str">
        <f t="shared" si="3884"/>
        <v>2Q13</v>
      </c>
      <c r="ER458" s="1201" t="str">
        <f t="shared" si="3884"/>
        <v>1H13</v>
      </c>
      <c r="ES458" s="1201" t="str">
        <f t="shared" si="3884"/>
        <v>3Q13</v>
      </c>
      <c r="ET458" s="1201" t="str">
        <f t="shared" si="3884"/>
        <v>9M13</v>
      </c>
      <c r="EU458" s="1201" t="str">
        <f t="shared" si="3884"/>
        <v>4Q13</v>
      </c>
      <c r="EV458" s="1201" t="str">
        <f t="shared" ref="EV458:GC458" si="3885">EV2</f>
        <v>2H13</v>
      </c>
      <c r="EW458" s="1202" t="str">
        <f t="shared" si="3885"/>
        <v>FY13</v>
      </c>
      <c r="EX458" s="1201" t="str">
        <f t="shared" si="3885"/>
        <v>1Q14</v>
      </c>
      <c r="EY458" s="1201" t="str">
        <f t="shared" si="3885"/>
        <v>2Q14</v>
      </c>
      <c r="EZ458" s="1201" t="str">
        <f t="shared" si="3885"/>
        <v>1H14</v>
      </c>
      <c r="FA458" s="1201" t="str">
        <f t="shared" si="3885"/>
        <v>3Q14</v>
      </c>
      <c r="FB458" s="1201" t="str">
        <f t="shared" si="3885"/>
        <v>9M14</v>
      </c>
      <c r="FC458" s="1201" t="str">
        <f t="shared" si="3885"/>
        <v>4Q14</v>
      </c>
      <c r="FD458" s="1201" t="str">
        <f t="shared" si="3885"/>
        <v>2H14</v>
      </c>
      <c r="FE458" s="1202" t="str">
        <f t="shared" si="3885"/>
        <v>FY14</v>
      </c>
      <c r="FF458" s="1201" t="str">
        <f t="shared" si="3885"/>
        <v>1Q15</v>
      </c>
      <c r="FG458" s="1201" t="str">
        <f t="shared" si="3885"/>
        <v>2Q15</v>
      </c>
      <c r="FH458" s="1201" t="str">
        <f t="shared" si="3885"/>
        <v>1H15</v>
      </c>
      <c r="FI458" s="1201" t="str">
        <f t="shared" si="3885"/>
        <v>3Q15</v>
      </c>
      <c r="FJ458" s="1201" t="str">
        <f t="shared" si="3885"/>
        <v>9M15</v>
      </c>
      <c r="FK458" s="1201" t="str">
        <f t="shared" si="3885"/>
        <v>4Q15</v>
      </c>
      <c r="FL458" s="1201" t="str">
        <f t="shared" si="3885"/>
        <v>2H15</v>
      </c>
      <c r="FM458" s="1202" t="str">
        <f t="shared" si="3885"/>
        <v>FY15</v>
      </c>
      <c r="FN458" s="1201" t="str">
        <f t="shared" si="3885"/>
        <v>1Q16</v>
      </c>
      <c r="FO458" s="1201" t="str">
        <f t="shared" si="3885"/>
        <v>2Q16</v>
      </c>
      <c r="FP458" s="1201" t="str">
        <f t="shared" si="3885"/>
        <v>1H16</v>
      </c>
      <c r="FQ458" s="1201" t="str">
        <f t="shared" si="3885"/>
        <v>3Q16</v>
      </c>
      <c r="FR458" s="1201" t="str">
        <f t="shared" si="3885"/>
        <v>9M16</v>
      </c>
      <c r="FS458" s="1201" t="str">
        <f t="shared" si="3885"/>
        <v>4Q16</v>
      </c>
      <c r="FT458" s="1201" t="str">
        <f t="shared" si="3885"/>
        <v>2H16</v>
      </c>
      <c r="FU458" s="1201" t="str">
        <f t="shared" si="3885"/>
        <v>FY16</v>
      </c>
      <c r="FV458" s="1200" t="str">
        <f t="shared" si="3885"/>
        <v>1Q17</v>
      </c>
      <c r="FW458" s="1201" t="str">
        <f t="shared" si="3885"/>
        <v>2Q17</v>
      </c>
      <c r="FX458" s="1201" t="str">
        <f t="shared" si="3885"/>
        <v>1H17</v>
      </c>
      <c r="FY458" s="1201" t="str">
        <f t="shared" si="3885"/>
        <v>3Q17</v>
      </c>
      <c r="FZ458" s="1201" t="str">
        <f t="shared" si="3885"/>
        <v>9M17</v>
      </c>
      <c r="GA458" s="1201" t="str">
        <f t="shared" si="3885"/>
        <v>4Q17</v>
      </c>
      <c r="GB458" s="1201" t="str">
        <f t="shared" si="3885"/>
        <v>2H17</v>
      </c>
      <c r="GC458" s="1202" t="str">
        <f t="shared" si="3885"/>
        <v>FY17</v>
      </c>
      <c r="GD458" s="1201"/>
      <c r="GE458" s="1201"/>
      <c r="GF458" s="1201"/>
      <c r="GG458" s="1201"/>
      <c r="GH458" s="1201"/>
      <c r="GI458" s="1201"/>
      <c r="GJ458" s="1201"/>
      <c r="GK458" s="1202"/>
      <c r="GL458" s="1201"/>
      <c r="GM458" s="1201"/>
      <c r="GN458" s="1201"/>
      <c r="GO458" s="1201"/>
      <c r="GP458" s="1201"/>
      <c r="GQ458" s="1201"/>
      <c r="GR458" s="1201"/>
      <c r="GS458" s="1202"/>
      <c r="GT458" s="1201"/>
      <c r="GU458" s="1201"/>
      <c r="GV458" s="1201"/>
      <c r="GW458" s="1201"/>
      <c r="GX458" s="1201"/>
      <c r="GY458" s="1201"/>
      <c r="GZ458" s="1201"/>
      <c r="HA458" s="1202"/>
      <c r="HB458" s="1201"/>
      <c r="HC458" s="1201"/>
      <c r="HD458" s="1201"/>
      <c r="HE458" s="1201"/>
      <c r="HF458" s="1201"/>
      <c r="HG458" s="1201"/>
      <c r="HH458" s="1201"/>
      <c r="HI458" s="1202"/>
      <c r="HJ458" s="1201"/>
      <c r="HK458" s="1201"/>
      <c r="HL458" s="1201"/>
      <c r="HM458" s="1201"/>
      <c r="HN458" s="1201"/>
      <c r="HO458" s="1201"/>
      <c r="HP458" s="1201"/>
      <c r="HQ458" s="1202"/>
      <c r="HR458" s="1201"/>
      <c r="HS458" s="1201"/>
      <c r="HT458" s="1201"/>
      <c r="HU458" s="1201"/>
      <c r="HV458" s="1201"/>
      <c r="HW458" s="1201"/>
      <c r="HX458" s="1201"/>
      <c r="HY458" s="1201"/>
      <c r="HZ458" s="1201"/>
      <c r="IA458" s="1201"/>
      <c r="IB458" s="1201"/>
      <c r="IC458" s="1201"/>
      <c r="ID458" s="1201"/>
      <c r="IE458" s="1201"/>
      <c r="IF458" s="1201"/>
      <c r="IG458" s="1202"/>
      <c r="IH458" s="1201"/>
      <c r="II458" s="1201"/>
      <c r="IJ458" s="1201"/>
      <c r="IK458" s="1201"/>
      <c r="IL458" s="1201"/>
      <c r="IM458" s="1201"/>
      <c r="IN458" s="1201"/>
      <c r="IO458" s="1202"/>
      <c r="IP458" s="1201"/>
      <c r="IQ458" s="1201"/>
      <c r="IR458" s="1201"/>
      <c r="IS458" s="1201"/>
      <c r="IT458" s="1201"/>
      <c r="IU458" s="1201"/>
      <c r="IV458" s="1201"/>
      <c r="IW458" s="1201"/>
      <c r="IX458" s="1049"/>
      <c r="IY458" s="1049"/>
      <c r="IZ458" s="1049"/>
      <c r="JA458" s="1049"/>
      <c r="JB458" s="1049"/>
      <c r="JC458" s="1049"/>
      <c r="JD458" s="1041"/>
      <c r="JE458" s="1037"/>
      <c r="JF458" s="1037"/>
      <c r="JG458" s="1037"/>
      <c r="JH458" s="1037"/>
      <c r="JI458" s="1035"/>
      <c r="JJ458" s="1035"/>
      <c r="JK458" s="1035"/>
      <c r="JL458" s="1035"/>
      <c r="JM458" s="1035"/>
      <c r="JN458" s="1035"/>
      <c r="JO458" s="1035"/>
      <c r="JP458" s="1035"/>
      <c r="JQ458" s="1035"/>
      <c r="JR458" s="1035"/>
      <c r="JS458" s="1035"/>
      <c r="JT458" s="1035"/>
      <c r="JU458" s="1035"/>
      <c r="JV458" s="1035"/>
      <c r="JW458" s="1035"/>
      <c r="JX458" s="1035"/>
      <c r="JY458" s="1035"/>
    </row>
    <row r="459" spans="1:285">
      <c r="A459" s="1339" t="s">
        <v>602</v>
      </c>
      <c r="B459" s="1405"/>
      <c r="C459" s="1405"/>
      <c r="D459" s="1405"/>
      <c r="E459" s="1405"/>
      <c r="F459" s="1405"/>
      <c r="G459" s="1405"/>
      <c r="H459" s="1405"/>
      <c r="I459" s="1405"/>
      <c r="J459" s="1405"/>
      <c r="K459" s="1405"/>
      <c r="L459" s="1405"/>
      <c r="M459" s="1405"/>
      <c r="N459" s="1405"/>
      <c r="O459" s="1405"/>
      <c r="P459" s="1405"/>
      <c r="Q459" s="1405"/>
      <c r="R459" s="1405"/>
      <c r="S459" s="1405"/>
      <c r="T459" s="1405"/>
      <c r="U459" s="1405"/>
      <c r="V459" s="1405"/>
      <c r="W459" s="1405"/>
      <c r="X459" s="1405"/>
      <c r="Y459" s="1405"/>
      <c r="Z459" s="1405"/>
      <c r="AA459" s="1405"/>
      <c r="AB459" s="1405"/>
      <c r="AC459" s="1405"/>
      <c r="AD459" s="1405"/>
      <c r="AE459" s="1405"/>
      <c r="AF459" s="1405"/>
      <c r="AG459" s="1405"/>
      <c r="AH459" s="1405"/>
      <c r="AI459" s="1405"/>
      <c r="AJ459" s="1405"/>
      <c r="AK459" s="1405"/>
      <c r="AL459" s="1405"/>
      <c r="AM459" s="1405"/>
      <c r="AN459" s="1405"/>
      <c r="AO459" s="1405"/>
      <c r="AP459" s="1405"/>
      <c r="AQ459" s="1405"/>
      <c r="AR459" s="1405"/>
      <c r="AS459" s="1405"/>
      <c r="AT459" s="1405"/>
      <c r="AU459" s="1405"/>
      <c r="AV459" s="1405"/>
      <c r="AW459" s="1405"/>
      <c r="AX459" s="1406"/>
      <c r="AY459" s="1405"/>
      <c r="AZ459" s="1405"/>
      <c r="BA459" s="1405"/>
      <c r="BB459" s="1405"/>
      <c r="BC459" s="1405"/>
      <c r="BD459" s="1405"/>
      <c r="BE459" s="1407"/>
      <c r="BF459" s="1405"/>
      <c r="BG459" s="1405"/>
      <c r="BH459" s="1405"/>
      <c r="BI459" s="1405"/>
      <c r="BJ459" s="1405"/>
      <c r="BK459" s="1405"/>
      <c r="BL459" s="1405"/>
      <c r="BM459" s="1405"/>
      <c r="BN459" s="1406"/>
      <c r="BO459" s="1405"/>
      <c r="BP459" s="1405"/>
      <c r="BQ459" s="1405"/>
      <c r="BR459" s="1405"/>
      <c r="BS459" s="1405"/>
      <c r="BT459" s="1405"/>
      <c r="BU459" s="1407"/>
      <c r="BV459" s="1303"/>
      <c r="BW459" s="1302"/>
      <c r="BX459" s="1302"/>
      <c r="BY459" s="1302"/>
      <c r="BZ459" s="1302"/>
      <c r="CA459" s="1302"/>
      <c r="CB459" s="1302"/>
      <c r="CC459" s="1304"/>
      <c r="CD459" s="1303"/>
      <c r="CE459" s="1302"/>
      <c r="CF459" s="1302"/>
      <c r="CG459" s="1302"/>
      <c r="CH459" s="1302"/>
      <c r="CI459" s="1302"/>
      <c r="CJ459" s="1302"/>
      <c r="CK459" s="1304"/>
      <c r="CL459" s="1408"/>
      <c r="CM459" s="1409"/>
      <c r="CN459" s="1409"/>
      <c r="CO459" s="1409"/>
      <c r="CP459" s="1409"/>
      <c r="CQ459" s="1409">
        <f>CS459</f>
        <v>1607</v>
      </c>
      <c r="CR459" s="1409"/>
      <c r="CS459" s="1409">
        <f>'Balance Sheet &amp; Cash Flow'!N12</f>
        <v>1607</v>
      </c>
      <c r="CT459" s="1408">
        <v>1536</v>
      </c>
      <c r="CU459" s="1409">
        <v>1716</v>
      </c>
      <c r="CV459" s="1409">
        <f>CU459</f>
        <v>1716</v>
      </c>
      <c r="CW459" s="1409">
        <v>1596</v>
      </c>
      <c r="CX459" s="1409">
        <f>CW459</f>
        <v>1596</v>
      </c>
      <c r="CY459" s="1409">
        <f>'Balance Sheet &amp; Cash Flow'!O12</f>
        <v>1629</v>
      </c>
      <c r="CZ459" s="1409">
        <f>CY459</f>
        <v>1629</v>
      </c>
      <c r="DA459" s="1410">
        <f>CY459</f>
        <v>1629</v>
      </c>
      <c r="DB459" s="1411">
        <v>1578</v>
      </c>
      <c r="DC459" s="1412">
        <v>1806</v>
      </c>
      <c r="DD459" s="1412">
        <f>DC459</f>
        <v>1806</v>
      </c>
      <c r="DE459" s="1412">
        <v>1812</v>
      </c>
      <c r="DF459" s="1412">
        <f>DE459</f>
        <v>1812</v>
      </c>
      <c r="DG459" s="1412">
        <f>'Balance Sheet &amp; Cash Flow'!P12</f>
        <v>1995</v>
      </c>
      <c r="DH459" s="1412">
        <f>DG459</f>
        <v>1995</v>
      </c>
      <c r="DI459" s="1413">
        <f>DG459</f>
        <v>1995</v>
      </c>
      <c r="DJ459" s="1412">
        <v>2016</v>
      </c>
      <c r="DK459" s="1412">
        <v>2041</v>
      </c>
      <c r="DL459" s="1412">
        <v>2041</v>
      </c>
      <c r="DM459" s="1412">
        <v>1652</v>
      </c>
      <c r="DN459" s="1412">
        <f>DM459</f>
        <v>1652</v>
      </c>
      <c r="DO459" s="1412">
        <v>1471</v>
      </c>
      <c r="DP459" s="1412">
        <v>1471</v>
      </c>
      <c r="DQ459" s="1413">
        <v>1471</v>
      </c>
      <c r="DR459" s="1412">
        <v>1680</v>
      </c>
      <c r="DS459" s="1412">
        <v>2049</v>
      </c>
      <c r="DT459" s="1412">
        <v>2049</v>
      </c>
      <c r="DU459" s="1412">
        <v>1926</v>
      </c>
      <c r="DV459" s="1412">
        <v>1926</v>
      </c>
      <c r="DW459" s="1412">
        <f>DY459</f>
        <v>2135</v>
      </c>
      <c r="DX459" s="1412">
        <f>+DY459</f>
        <v>2135</v>
      </c>
      <c r="DY459" s="1413">
        <f>'Balance Sheet &amp; Cash Flow'!R12</f>
        <v>2135</v>
      </c>
      <c r="DZ459" s="1414">
        <v>2033</v>
      </c>
      <c r="EA459" s="1414">
        <f>EB459</f>
        <v>2376</v>
      </c>
      <c r="EB459" s="1414">
        <v>2376</v>
      </c>
      <c r="EC459" s="1412">
        <f>+ED459</f>
        <v>2302</v>
      </c>
      <c r="ED459" s="1412">
        <v>2302</v>
      </c>
      <c r="EE459" s="1412">
        <f t="shared" ref="EE459:EF462" si="3886">+EF459</f>
        <v>2502</v>
      </c>
      <c r="EF459" s="1412">
        <f t="shared" si="3886"/>
        <v>2502</v>
      </c>
      <c r="EG459" s="1413">
        <v>2502</v>
      </c>
      <c r="EH459" s="1414">
        <v>2395</v>
      </c>
      <c r="EI459" s="1414">
        <v>2702</v>
      </c>
      <c r="EJ459" s="1414">
        <f>+EI459</f>
        <v>2702</v>
      </c>
      <c r="EK459" s="1412">
        <f>EL459</f>
        <v>2347</v>
      </c>
      <c r="EL459" s="1412">
        <v>2347</v>
      </c>
      <c r="EM459" s="1412">
        <f>EN459</f>
        <v>2486</v>
      </c>
      <c r="EN459" s="1412">
        <f>EO459</f>
        <v>2486</v>
      </c>
      <c r="EO459" s="1413">
        <v>2486</v>
      </c>
      <c r="EP459" s="1414">
        <v>2346</v>
      </c>
      <c r="EQ459" s="1412">
        <f>ER459</f>
        <v>2611</v>
      </c>
      <c r="ER459" s="1412">
        <v>2611</v>
      </c>
      <c r="ES459" s="1412">
        <f>ET459</f>
        <v>2513</v>
      </c>
      <c r="ET459" s="1412">
        <v>2513</v>
      </c>
      <c r="EU459" s="1412">
        <f t="shared" ref="EU459:EV462" si="3887">EV459</f>
        <v>2634</v>
      </c>
      <c r="EV459" s="1412">
        <f t="shared" si="3887"/>
        <v>2634</v>
      </c>
      <c r="EW459" s="1413">
        <v>2634</v>
      </c>
      <c r="EX459" s="1412">
        <v>2505</v>
      </c>
      <c r="EY459" s="1347">
        <f>EZ459</f>
        <v>2896</v>
      </c>
      <c r="EZ459" s="1347">
        <v>2896</v>
      </c>
      <c r="FA459" s="1347">
        <f>FB459</f>
        <v>2647</v>
      </c>
      <c r="FB459" s="1347">
        <v>2647</v>
      </c>
      <c r="FC459" s="1347">
        <f>FD459</f>
        <v>2526</v>
      </c>
      <c r="FD459" s="1347">
        <f>FE459</f>
        <v>2526</v>
      </c>
      <c r="FE459" s="1415">
        <f>'Balance Sheet &amp; Cash Flow'!V12</f>
        <v>2526</v>
      </c>
      <c r="FF459" s="1347">
        <v>2539</v>
      </c>
      <c r="FG459" s="1347">
        <f>FH459</f>
        <v>2927</v>
      </c>
      <c r="FH459" s="1347">
        <v>2927</v>
      </c>
      <c r="FI459" s="1347">
        <f>FJ459</f>
        <v>2698</v>
      </c>
      <c r="FJ459" s="1347">
        <v>2698</v>
      </c>
      <c r="FK459" s="1347">
        <f>FL459</f>
        <v>3113</v>
      </c>
      <c r="FL459" s="1347">
        <f>FM459</f>
        <v>3113</v>
      </c>
      <c r="FM459" s="1413">
        <f>'Balance Sheet &amp; Cash Flow'!W12</f>
        <v>3113</v>
      </c>
      <c r="FN459" s="1412">
        <v>2939</v>
      </c>
      <c r="FO459" s="1412">
        <f>FP459</f>
        <v>3514</v>
      </c>
      <c r="FP459" s="1412">
        <v>3514</v>
      </c>
      <c r="FQ459" s="1412">
        <f>FR459</f>
        <v>3203</v>
      </c>
      <c r="FR459" s="1412">
        <v>3203</v>
      </c>
      <c r="FS459" s="1412">
        <f>FT459</f>
        <v>3763</v>
      </c>
      <c r="FT459" s="1412">
        <f>FU459</f>
        <v>3763</v>
      </c>
      <c r="FU459" s="1412">
        <f>'Balance Sheet &amp; Cash Flow'!X12</f>
        <v>3763</v>
      </c>
      <c r="FV459" s="1411">
        <v>3609</v>
      </c>
      <c r="FW459" s="1412">
        <f>FX459</f>
        <v>3644</v>
      </c>
      <c r="FX459" s="1412">
        <v>3644</v>
      </c>
      <c r="FY459" s="1412">
        <v>3441</v>
      </c>
      <c r="FZ459" s="1412">
        <f>FY459</f>
        <v>3441</v>
      </c>
      <c r="GA459" s="1412">
        <f>GB459</f>
        <v>3692</v>
      </c>
      <c r="GB459" s="1412">
        <f>GC459</f>
        <v>3692</v>
      </c>
      <c r="GC459" s="1413">
        <f>'Balance Sheet &amp; Cash Flow'!Y12</f>
        <v>3692</v>
      </c>
      <c r="GD459" s="1412"/>
      <c r="GE459" s="1412"/>
      <c r="GF459" s="1412"/>
      <c r="GG459" s="1412"/>
      <c r="GH459" s="1412"/>
      <c r="GI459" s="1412"/>
      <c r="GJ459" s="1412"/>
      <c r="GK459" s="1413"/>
      <c r="GL459" s="1412"/>
      <c r="GM459" s="1412"/>
      <c r="GN459" s="1412"/>
      <c r="GO459" s="1412"/>
      <c r="GP459" s="1412"/>
      <c r="GQ459" s="1412"/>
      <c r="GR459" s="1412"/>
      <c r="GS459" s="1413"/>
      <c r="GT459" s="1412"/>
      <c r="GU459" s="1412"/>
      <c r="GV459" s="1412"/>
      <c r="GW459" s="1412"/>
      <c r="GX459" s="1412"/>
      <c r="GY459" s="1412"/>
      <c r="GZ459" s="1412"/>
      <c r="HA459" s="1413"/>
      <c r="HB459" s="1412"/>
      <c r="HC459" s="1412"/>
      <c r="HD459" s="1412"/>
      <c r="HE459" s="1412"/>
      <c r="HF459" s="1412"/>
      <c r="HG459" s="1412"/>
      <c r="HH459" s="1412"/>
      <c r="HI459" s="1413"/>
      <c r="HJ459" s="1412"/>
      <c r="HK459" s="1412"/>
      <c r="HL459" s="1412"/>
      <c r="HM459" s="1412"/>
      <c r="HN459" s="1412"/>
      <c r="HO459" s="1412"/>
      <c r="HP459" s="1412"/>
      <c r="HQ459" s="1413"/>
      <c r="HR459" s="1412"/>
      <c r="HS459" s="1412"/>
      <c r="HT459" s="1412"/>
      <c r="HU459" s="1412"/>
      <c r="HV459" s="1412"/>
      <c r="HW459" s="1412"/>
      <c r="HX459" s="1412"/>
      <c r="HY459" s="1412"/>
      <c r="HZ459" s="1412"/>
      <c r="IA459" s="1412"/>
      <c r="IB459" s="1412"/>
      <c r="IC459" s="1412"/>
      <c r="ID459" s="1412"/>
      <c r="IE459" s="1412"/>
      <c r="IF459" s="1412"/>
      <c r="IG459" s="1413"/>
      <c r="IH459" s="1412"/>
      <c r="II459" s="1412"/>
      <c r="IJ459" s="1412"/>
      <c r="IK459" s="1412"/>
      <c r="IL459" s="1412"/>
      <c r="IM459" s="1412"/>
      <c r="IN459" s="1412"/>
      <c r="IO459" s="1413"/>
      <c r="IP459" s="1416">
        <f>IP426/IH426-1</f>
        <v>0.155737704918032</v>
      </c>
      <c r="IQ459" s="1416">
        <f>IQ426/II426-1</f>
        <v>0.0512820512820509</v>
      </c>
      <c r="IR459" s="1412"/>
      <c r="IS459" s="1416">
        <f>IS426/IK426-1</f>
        <v>0.24320652173913</v>
      </c>
      <c r="IT459" s="1412"/>
      <c r="IU459" s="1416">
        <f>IU426/IM426-1</f>
        <v>1.01829268292683</v>
      </c>
      <c r="IV459" s="1412"/>
      <c r="IW459" s="1416">
        <f>IW426/IO426-1</f>
        <v>0.228112840466926</v>
      </c>
      <c r="IX459" s="1049"/>
      <c r="IY459" s="1049"/>
      <c r="IZ459" s="1049"/>
      <c r="JA459" s="1049"/>
      <c r="JB459" s="1049"/>
      <c r="JC459" s="1049"/>
      <c r="JD459" s="1041"/>
      <c r="JE459" s="1037"/>
      <c r="JF459" s="1037"/>
      <c r="JG459" s="1037"/>
      <c r="JH459" s="1037"/>
      <c r="JI459" s="1035"/>
      <c r="JJ459" s="1035"/>
      <c r="JK459" s="1035"/>
      <c r="JL459" s="1035"/>
      <c r="JM459" s="1035"/>
      <c r="JN459" s="1035"/>
      <c r="JO459" s="1035"/>
      <c r="JP459" s="1035"/>
      <c r="JQ459" s="1035"/>
      <c r="JR459" s="1035"/>
      <c r="JS459" s="1035"/>
      <c r="JT459" s="1035"/>
      <c r="JU459" s="1035"/>
      <c r="JV459" s="1035"/>
      <c r="JW459" s="1035"/>
      <c r="JX459" s="1035"/>
      <c r="JY459" s="1035"/>
    </row>
    <row r="460" spans="1:285">
      <c r="A460" s="1339" t="s">
        <v>603</v>
      </c>
      <c r="B460" s="1405"/>
      <c r="C460" s="1405"/>
      <c r="D460" s="1405"/>
      <c r="E460" s="1405"/>
      <c r="F460" s="1405"/>
      <c r="G460" s="1405"/>
      <c r="H460" s="1405"/>
      <c r="I460" s="1405"/>
      <c r="J460" s="1405"/>
      <c r="K460" s="1405"/>
      <c r="L460" s="1405"/>
      <c r="M460" s="1405"/>
      <c r="N460" s="1405"/>
      <c r="O460" s="1405"/>
      <c r="P460" s="1405"/>
      <c r="Q460" s="1405"/>
      <c r="R460" s="1405"/>
      <c r="S460" s="1405"/>
      <c r="T460" s="1405"/>
      <c r="U460" s="1405"/>
      <c r="V460" s="1405"/>
      <c r="W460" s="1405"/>
      <c r="X460" s="1405"/>
      <c r="Y460" s="1405"/>
      <c r="Z460" s="1405"/>
      <c r="AA460" s="1405"/>
      <c r="AB460" s="1405"/>
      <c r="AC460" s="1405"/>
      <c r="AD460" s="1405"/>
      <c r="AE460" s="1405"/>
      <c r="AF460" s="1405"/>
      <c r="AG460" s="1405"/>
      <c r="AH460" s="1405"/>
      <c r="AI460" s="1405"/>
      <c r="AJ460" s="1405"/>
      <c r="AK460" s="1405"/>
      <c r="AL460" s="1405"/>
      <c r="AM460" s="1405"/>
      <c r="AN460" s="1405"/>
      <c r="AO460" s="1405"/>
      <c r="AP460" s="1405"/>
      <c r="AQ460" s="1405"/>
      <c r="AR460" s="1405"/>
      <c r="AS460" s="1405"/>
      <c r="AT460" s="1405"/>
      <c r="AU460" s="1405"/>
      <c r="AV460" s="1405"/>
      <c r="AW460" s="1405"/>
      <c r="AX460" s="1406"/>
      <c r="AY460" s="1405"/>
      <c r="AZ460" s="1405"/>
      <c r="BA460" s="1405"/>
      <c r="BB460" s="1405"/>
      <c r="BC460" s="1405"/>
      <c r="BD460" s="1405"/>
      <c r="BE460" s="1407"/>
      <c r="BF460" s="1405"/>
      <c r="BG460" s="1405"/>
      <c r="BH460" s="1405"/>
      <c r="BI460" s="1405"/>
      <c r="BJ460" s="1405"/>
      <c r="BK460" s="1405"/>
      <c r="BL460" s="1405"/>
      <c r="BM460" s="1405"/>
      <c r="BN460" s="1406"/>
      <c r="BO460" s="1405"/>
      <c r="BP460" s="1405"/>
      <c r="BQ460" s="1405"/>
      <c r="BR460" s="1405"/>
      <c r="BS460" s="1405"/>
      <c r="BT460" s="1405"/>
      <c r="BU460" s="1407"/>
      <c r="BV460" s="1303"/>
      <c r="BW460" s="1302"/>
      <c r="BX460" s="1302"/>
      <c r="BY460" s="1302"/>
      <c r="BZ460" s="1302"/>
      <c r="CA460" s="1302"/>
      <c r="CB460" s="1302"/>
      <c r="CC460" s="1304"/>
      <c r="CD460" s="1303"/>
      <c r="CE460" s="1302"/>
      <c r="CF460" s="1302"/>
      <c r="CG460" s="1302"/>
      <c r="CH460" s="1302"/>
      <c r="CI460" s="1302"/>
      <c r="CJ460" s="1302"/>
      <c r="CK460" s="1304"/>
      <c r="CL460" s="1408"/>
      <c r="CM460" s="1409"/>
      <c r="CN460" s="1409"/>
      <c r="CO460" s="1409"/>
      <c r="CP460" s="1409"/>
      <c r="CQ460" s="1409">
        <f>CS460</f>
        <v>1451</v>
      </c>
      <c r="CR460" s="1409"/>
      <c r="CS460" s="1409">
        <f>'Balance Sheet &amp; Cash Flow'!N9</f>
        <v>1451</v>
      </c>
      <c r="CT460" s="1408">
        <v>1777</v>
      </c>
      <c r="CU460" s="1409">
        <v>1689</v>
      </c>
      <c r="CV460" s="1409">
        <f>CU460</f>
        <v>1689</v>
      </c>
      <c r="CW460" s="1409">
        <v>1918</v>
      </c>
      <c r="CX460" s="1409">
        <f>CW460</f>
        <v>1918</v>
      </c>
      <c r="CY460" s="1409">
        <f>'Balance Sheet &amp; Cash Flow'!O9</f>
        <v>1545</v>
      </c>
      <c r="CZ460" s="1409">
        <f>CY460</f>
        <v>1545</v>
      </c>
      <c r="DA460" s="1410">
        <f>CY460</f>
        <v>1545</v>
      </c>
      <c r="DB460" s="1411">
        <f>1645</f>
        <v>1645</v>
      </c>
      <c r="DC460" s="1412">
        <v>1641</v>
      </c>
      <c r="DD460" s="1412">
        <f>DC460</f>
        <v>1641</v>
      </c>
      <c r="DE460" s="1412">
        <v>2055</v>
      </c>
      <c r="DF460" s="1412">
        <f>DE460</f>
        <v>2055</v>
      </c>
      <c r="DG460" s="1412">
        <f>'Balance Sheet &amp; Cash Flow'!P9</f>
        <v>1765</v>
      </c>
      <c r="DH460" s="1412">
        <f>DG460</f>
        <v>1765</v>
      </c>
      <c r="DI460" s="1413">
        <f>DG460</f>
        <v>1765</v>
      </c>
      <c r="DJ460" s="1412">
        <v>1884</v>
      </c>
      <c r="DK460" s="1412">
        <v>1729</v>
      </c>
      <c r="DL460" s="1412">
        <v>1729</v>
      </c>
      <c r="DM460" s="1412">
        <v>1866</v>
      </c>
      <c r="DN460" s="1412">
        <f>DM460</f>
        <v>1866</v>
      </c>
      <c r="DO460" s="1412">
        <f>DQ460</f>
        <v>1504</v>
      </c>
      <c r="DP460" s="1412">
        <v>1429</v>
      </c>
      <c r="DQ460" s="1413">
        <f>'Balance Sheet &amp; Cash Flow'!Q9</f>
        <v>1504</v>
      </c>
      <c r="DR460" s="1412">
        <v>1987</v>
      </c>
      <c r="DS460" s="1412">
        <v>1999</v>
      </c>
      <c r="DT460" s="1412">
        <v>1999</v>
      </c>
      <c r="DU460" s="1412">
        <v>2166</v>
      </c>
      <c r="DV460" s="1412">
        <v>2166</v>
      </c>
      <c r="DW460" s="1412">
        <f>DY460</f>
        <v>1667</v>
      </c>
      <c r="DX460" s="1412">
        <f>+DY460</f>
        <v>1667</v>
      </c>
      <c r="DY460" s="1413">
        <v>1667</v>
      </c>
      <c r="DZ460" s="1414">
        <v>2155</v>
      </c>
      <c r="EA460" s="1414">
        <f>EB460</f>
        <v>2023</v>
      </c>
      <c r="EB460" s="1414">
        <v>2023</v>
      </c>
      <c r="EC460" s="1412">
        <f>+ED460</f>
        <v>2251</v>
      </c>
      <c r="ED460" s="1412">
        <v>2251</v>
      </c>
      <c r="EE460" s="1412">
        <f t="shared" si="3886"/>
        <v>1707</v>
      </c>
      <c r="EF460" s="1412">
        <f t="shared" si="3886"/>
        <v>1707</v>
      </c>
      <c r="EG460" s="1413">
        <v>1707</v>
      </c>
      <c r="EH460" s="1414">
        <v>2253</v>
      </c>
      <c r="EI460" s="1414">
        <v>2245</v>
      </c>
      <c r="EJ460" s="1414">
        <f t="shared" ref="EJ460:EJ466" si="3888">+EI460</f>
        <v>2245</v>
      </c>
      <c r="EK460" s="1412">
        <f t="shared" ref="EK460:EK466" si="3889">EL460</f>
        <v>2387</v>
      </c>
      <c r="EL460" s="1412">
        <v>2387</v>
      </c>
      <c r="EM460" s="1412">
        <f t="shared" ref="EM460:EN464" si="3890">EN460</f>
        <v>1688</v>
      </c>
      <c r="EN460" s="1412">
        <f t="shared" si="3890"/>
        <v>1688</v>
      </c>
      <c r="EO460" s="1413">
        <v>1688</v>
      </c>
      <c r="EP460" s="1414">
        <v>2328</v>
      </c>
      <c r="EQ460" s="1412">
        <f t="shared" ref="EQ460:EQ466" si="3891">ER460</f>
        <v>2029</v>
      </c>
      <c r="ER460" s="1412">
        <v>2029</v>
      </c>
      <c r="ES460" s="1412">
        <f>ET460</f>
        <v>2156</v>
      </c>
      <c r="ET460" s="1412">
        <v>2156</v>
      </c>
      <c r="EU460" s="1412">
        <f t="shared" si="3887"/>
        <v>1809</v>
      </c>
      <c r="EV460" s="1412">
        <f t="shared" si="3887"/>
        <v>1809</v>
      </c>
      <c r="EW460" s="1413">
        <v>1809</v>
      </c>
      <c r="EX460" s="1412">
        <v>2176</v>
      </c>
      <c r="EY460" s="1347">
        <f>EZ460</f>
        <v>2070</v>
      </c>
      <c r="EZ460" s="1347">
        <v>2070</v>
      </c>
      <c r="FA460" s="1347">
        <f>FB460</f>
        <v>2322</v>
      </c>
      <c r="FB460" s="1347">
        <v>2322</v>
      </c>
      <c r="FC460" s="1347">
        <f>FD460</f>
        <v>1951</v>
      </c>
      <c r="FD460" s="1347">
        <f>FE460</f>
        <v>1951</v>
      </c>
      <c r="FE460" s="1415">
        <f>'Balance Sheet &amp; Cash Flow'!V9</f>
        <v>1951</v>
      </c>
      <c r="FF460" s="1347">
        <v>2456</v>
      </c>
      <c r="FG460" s="1347">
        <f>FH460</f>
        <v>2271</v>
      </c>
      <c r="FH460" s="1347">
        <v>2271</v>
      </c>
      <c r="FI460" s="1347">
        <f>FJ460</f>
        <v>2502</v>
      </c>
      <c r="FJ460" s="1347">
        <v>2502</v>
      </c>
      <c r="FK460" s="1347">
        <f>FL460</f>
        <v>2054</v>
      </c>
      <c r="FL460" s="1347">
        <f>FM460</f>
        <v>2054</v>
      </c>
      <c r="FM460" s="1413">
        <f>'Balance Sheet &amp; Cash Flow'!W9</f>
        <v>2054</v>
      </c>
      <c r="FN460" s="1412">
        <v>2517</v>
      </c>
      <c r="FO460" s="1412">
        <f>FP460</f>
        <v>2356</v>
      </c>
      <c r="FP460" s="1412">
        <v>2356</v>
      </c>
      <c r="FQ460" s="1412">
        <f>FR460</f>
        <v>2715</v>
      </c>
      <c r="FR460" s="1412">
        <v>2715</v>
      </c>
      <c r="FS460" s="1412">
        <f>FT460</f>
        <v>2206</v>
      </c>
      <c r="FT460" s="1412">
        <f>FU460</f>
        <v>2206</v>
      </c>
      <c r="FU460" s="1412">
        <f>'Balance Sheet &amp; Cash Flow'!X9</f>
        <v>2206</v>
      </c>
      <c r="FV460" s="1411">
        <v>2876</v>
      </c>
      <c r="FW460" s="1412">
        <f>FX460</f>
        <v>3530</v>
      </c>
      <c r="FX460" s="1412">
        <v>3530</v>
      </c>
      <c r="FY460" s="1412">
        <v>2808</v>
      </c>
      <c r="FZ460" s="1412">
        <f t="shared" ref="FZ460:FZ462" si="3892">FY460</f>
        <v>2808</v>
      </c>
      <c r="GA460" s="1412">
        <f>GB460</f>
        <v>2320</v>
      </c>
      <c r="GB460" s="1412">
        <f>GC460</f>
        <v>2320</v>
      </c>
      <c r="GC460" s="1413">
        <f>'Balance Sheet &amp; Cash Flow'!Y9</f>
        <v>2320</v>
      </c>
      <c r="GD460" s="1412"/>
      <c r="GE460" s="1412"/>
      <c r="GF460" s="1412"/>
      <c r="GG460" s="1412"/>
      <c r="GH460" s="1412"/>
      <c r="GI460" s="1412"/>
      <c r="GJ460" s="1412"/>
      <c r="GK460" s="1413"/>
      <c r="GL460" s="1412"/>
      <c r="GM460" s="1412"/>
      <c r="GN460" s="1412"/>
      <c r="GO460" s="1412"/>
      <c r="GP460" s="1412"/>
      <c r="GQ460" s="1412"/>
      <c r="GR460" s="1412"/>
      <c r="GS460" s="1413"/>
      <c r="GT460" s="1412"/>
      <c r="GU460" s="1412"/>
      <c r="GV460" s="1412"/>
      <c r="GW460" s="1412"/>
      <c r="GX460" s="1412"/>
      <c r="GY460" s="1412"/>
      <c r="GZ460" s="1412"/>
      <c r="HA460" s="1413"/>
      <c r="HB460" s="1412"/>
      <c r="HC460" s="1412"/>
      <c r="HD460" s="1412"/>
      <c r="HE460" s="1412"/>
      <c r="HF460" s="1412"/>
      <c r="HG460" s="1412"/>
      <c r="HH460" s="1412"/>
      <c r="HI460" s="1413"/>
      <c r="HJ460" s="1412"/>
      <c r="HK460" s="1412"/>
      <c r="HL460" s="1412"/>
      <c r="HM460" s="1412"/>
      <c r="HN460" s="1412"/>
      <c r="HO460" s="1412"/>
      <c r="HP460" s="1412"/>
      <c r="HQ460" s="1413"/>
      <c r="HR460" s="1412"/>
      <c r="HS460" s="1412"/>
      <c r="HT460" s="1412"/>
      <c r="HU460" s="1412"/>
      <c r="HV460" s="1412"/>
      <c r="HW460" s="1412"/>
      <c r="HX460" s="1412"/>
      <c r="HY460" s="1412"/>
      <c r="HZ460" s="1412"/>
      <c r="IA460" s="1412"/>
      <c r="IB460" s="1412"/>
      <c r="IC460" s="1412"/>
      <c r="ID460" s="1412"/>
      <c r="IE460" s="1412"/>
      <c r="IF460" s="1412"/>
      <c r="IG460" s="1413"/>
      <c r="IH460" s="1412"/>
      <c r="II460" s="1412"/>
      <c r="IJ460" s="1412"/>
      <c r="IK460" s="1412"/>
      <c r="IL460" s="1412"/>
      <c r="IM460" s="1412"/>
      <c r="IN460" s="1412"/>
      <c r="IO460" s="1413"/>
      <c r="IP460" s="1412"/>
      <c r="IQ460" s="1412"/>
      <c r="IR460" s="1412"/>
      <c r="IS460" s="1412"/>
      <c r="IT460" s="1412"/>
      <c r="IU460" s="1416"/>
      <c r="IV460" s="1412"/>
      <c r="IW460" s="1412"/>
      <c r="IX460" s="1049"/>
      <c r="IY460" s="1049"/>
      <c r="IZ460" s="1049"/>
      <c r="JA460" s="1049"/>
      <c r="JB460" s="1049"/>
      <c r="JC460" s="1049"/>
      <c r="JD460" s="1041"/>
      <c r="JE460" s="1037"/>
      <c r="JF460" s="1037"/>
      <c r="JG460" s="1037"/>
      <c r="JH460" s="1037"/>
      <c r="JI460" s="1035"/>
      <c r="JJ460" s="1035"/>
      <c r="JK460" s="1035"/>
      <c r="JL460" s="1035"/>
      <c r="JM460" s="1035"/>
      <c r="JN460" s="1035"/>
      <c r="JO460" s="1035"/>
      <c r="JP460" s="1035"/>
      <c r="JQ460" s="1035"/>
      <c r="JR460" s="1035"/>
      <c r="JS460" s="1035"/>
      <c r="JT460" s="1035"/>
      <c r="JU460" s="1035"/>
      <c r="JV460" s="1035"/>
      <c r="JW460" s="1035"/>
      <c r="JX460" s="1035"/>
      <c r="JY460" s="1035"/>
    </row>
    <row r="461" spans="1:285">
      <c r="A461" s="1306" t="s">
        <v>604</v>
      </c>
      <c r="B461" s="1417"/>
      <c r="C461" s="1417"/>
      <c r="D461" s="1417"/>
      <c r="E461" s="1417"/>
      <c r="F461" s="1417"/>
      <c r="G461" s="1417"/>
      <c r="H461" s="1417"/>
      <c r="I461" s="1417"/>
      <c r="J461" s="1417"/>
      <c r="K461" s="1417"/>
      <c r="L461" s="1417"/>
      <c r="M461" s="1417"/>
      <c r="N461" s="1417"/>
      <c r="O461" s="1417"/>
      <c r="P461" s="1417"/>
      <c r="Q461" s="1417"/>
      <c r="R461" s="1417"/>
      <c r="S461" s="1417"/>
      <c r="T461" s="1417"/>
      <c r="U461" s="1417"/>
      <c r="V461" s="1417"/>
      <c r="W461" s="1417"/>
      <c r="X461" s="1417"/>
      <c r="Y461" s="1417"/>
      <c r="Z461" s="1417"/>
      <c r="AA461" s="1417"/>
      <c r="AB461" s="1417"/>
      <c r="AC461" s="1417"/>
      <c r="AD461" s="1417"/>
      <c r="AE461" s="1417"/>
      <c r="AF461" s="1417"/>
      <c r="AG461" s="1417"/>
      <c r="AH461" s="1417"/>
      <c r="AI461" s="1417"/>
      <c r="AJ461" s="1417"/>
      <c r="AK461" s="1417"/>
      <c r="AL461" s="1417"/>
      <c r="AM461" s="1417"/>
      <c r="AN461" s="1417"/>
      <c r="AO461" s="1417"/>
      <c r="AP461" s="1417"/>
      <c r="AQ461" s="1417"/>
      <c r="AR461" s="1417"/>
      <c r="AS461" s="1417"/>
      <c r="AT461" s="1417"/>
      <c r="AU461" s="1417"/>
      <c r="AV461" s="1417"/>
      <c r="AW461" s="1417"/>
      <c r="AX461" s="1418"/>
      <c r="AY461" s="1417"/>
      <c r="AZ461" s="1417"/>
      <c r="BA461" s="1417"/>
      <c r="BB461" s="1417"/>
      <c r="BC461" s="1417"/>
      <c r="BD461" s="1417"/>
      <c r="BE461" s="1419"/>
      <c r="BF461" s="1417"/>
      <c r="BG461" s="1417"/>
      <c r="BH461" s="1417"/>
      <c r="BI461" s="1417"/>
      <c r="BJ461" s="1417"/>
      <c r="BK461" s="1417"/>
      <c r="BL461" s="1417"/>
      <c r="BM461" s="1417"/>
      <c r="BN461" s="1418"/>
      <c r="BO461" s="1417"/>
      <c r="BP461" s="1417"/>
      <c r="BQ461" s="1417"/>
      <c r="BR461" s="1417"/>
      <c r="BS461" s="1417"/>
      <c r="BT461" s="1417"/>
      <c r="BU461" s="1419"/>
      <c r="BV461" s="1420"/>
      <c r="BW461" s="1421"/>
      <c r="BX461" s="1421"/>
      <c r="BY461" s="1421"/>
      <c r="BZ461" s="1421"/>
      <c r="CA461" s="1421"/>
      <c r="CB461" s="1421"/>
      <c r="CC461" s="1422"/>
      <c r="CD461" s="1420"/>
      <c r="CE461" s="1421"/>
      <c r="CF461" s="1421"/>
      <c r="CG461" s="1421"/>
      <c r="CH461" s="1421"/>
      <c r="CI461" s="1421"/>
      <c r="CJ461" s="1421"/>
      <c r="CK461" s="1422"/>
      <c r="CL461" s="1308"/>
      <c r="CM461" s="1307"/>
      <c r="CN461" s="1307"/>
      <c r="CO461" s="1307"/>
      <c r="CP461" s="1307"/>
      <c r="CQ461" s="1307"/>
      <c r="CR461" s="1307"/>
      <c r="CS461" s="1307"/>
      <c r="CT461" s="1308">
        <f t="shared" ref="CT461:DB461" si="3893">CT459+CT460-CT462</f>
        <v>2677</v>
      </c>
      <c r="CU461" s="1307">
        <f t="shared" si="3893"/>
        <v>2622</v>
      </c>
      <c r="CV461" s="1307">
        <f t="shared" si="3893"/>
        <v>3405</v>
      </c>
      <c r="CW461" s="1307">
        <f t="shared" si="3893"/>
        <v>2824</v>
      </c>
      <c r="CX461" s="1307">
        <f t="shared" si="3893"/>
        <v>3514</v>
      </c>
      <c r="CY461" s="1307">
        <f t="shared" si="3893"/>
        <v>2325</v>
      </c>
      <c r="CZ461" s="1307">
        <f t="shared" si="3893"/>
        <v>3174</v>
      </c>
      <c r="DA461" s="1309">
        <f t="shared" si="3893"/>
        <v>3174</v>
      </c>
      <c r="DB461" s="1332">
        <f t="shared" si="3893"/>
        <v>2567</v>
      </c>
      <c r="DC461" s="1311">
        <f t="shared" ref="DC461:EW461" si="3894">DC459+DC460-DC462</f>
        <v>2519</v>
      </c>
      <c r="DD461" s="1311">
        <f t="shared" si="3894"/>
        <v>3447</v>
      </c>
      <c r="DE461" s="1311">
        <f t="shared" si="3894"/>
        <v>3092</v>
      </c>
      <c r="DF461" s="1311">
        <f t="shared" si="3894"/>
        <v>3867</v>
      </c>
      <c r="DG461" s="1311">
        <f t="shared" si="3894"/>
        <v>2542</v>
      </c>
      <c r="DH461" s="1311">
        <f t="shared" si="3894"/>
        <v>3760</v>
      </c>
      <c r="DI461" s="1312">
        <f t="shared" si="3894"/>
        <v>2542</v>
      </c>
      <c r="DJ461" s="1311">
        <f t="shared" si="3894"/>
        <v>3020</v>
      </c>
      <c r="DK461" s="1311">
        <f t="shared" si="3894"/>
        <v>2710</v>
      </c>
      <c r="DL461" s="1311">
        <f t="shared" si="3894"/>
        <v>3770</v>
      </c>
      <c r="DM461" s="1311">
        <f t="shared" si="3894"/>
        <v>2626</v>
      </c>
      <c r="DN461" s="1311">
        <f t="shared" si="3894"/>
        <v>3518</v>
      </c>
      <c r="DO461" s="1311">
        <f t="shared" si="3894"/>
        <v>1809</v>
      </c>
      <c r="DP461" s="1311">
        <f t="shared" si="3894"/>
        <v>2900</v>
      </c>
      <c r="DQ461" s="1312">
        <f t="shared" si="3894"/>
        <v>1809</v>
      </c>
      <c r="DR461" s="1311">
        <f t="shared" si="3894"/>
        <v>2534</v>
      </c>
      <c r="DS461" s="1311">
        <f t="shared" si="3894"/>
        <v>2584</v>
      </c>
      <c r="DT461" s="1311">
        <f t="shared" si="3894"/>
        <v>2584</v>
      </c>
      <c r="DU461" s="1311">
        <f t="shared" si="3894"/>
        <v>2779</v>
      </c>
      <c r="DV461" s="1311">
        <f t="shared" si="3894"/>
        <v>4092</v>
      </c>
      <c r="DW461" s="1311">
        <f t="shared" si="3894"/>
        <v>2105</v>
      </c>
      <c r="DX461" s="1311">
        <f t="shared" si="3894"/>
        <v>2105</v>
      </c>
      <c r="DY461" s="1312">
        <f t="shared" si="3894"/>
        <v>2105</v>
      </c>
      <c r="DZ461" s="1354">
        <f t="shared" si="3894"/>
        <v>2872</v>
      </c>
      <c r="EA461" s="1354">
        <f t="shared" si="3894"/>
        <v>2794</v>
      </c>
      <c r="EB461" s="1354">
        <f t="shared" si="3894"/>
        <v>2794</v>
      </c>
      <c r="EC461" s="1311">
        <f t="shared" si="3894"/>
        <v>3132</v>
      </c>
      <c r="ED461" s="1311">
        <f t="shared" si="3894"/>
        <v>3132</v>
      </c>
      <c r="EE461" s="1311">
        <f t="shared" si="3894"/>
        <v>2323</v>
      </c>
      <c r="EF461" s="1311">
        <f t="shared" si="3894"/>
        <v>2323</v>
      </c>
      <c r="EG461" s="1312">
        <f t="shared" si="3894"/>
        <v>2323</v>
      </c>
      <c r="EH461" s="1354">
        <f t="shared" si="3894"/>
        <v>3201</v>
      </c>
      <c r="EI461" s="1354">
        <f t="shared" si="3894"/>
        <v>3074</v>
      </c>
      <c r="EJ461" s="1354">
        <f t="shared" si="3894"/>
        <v>3074</v>
      </c>
      <c r="EK461" s="1311">
        <f t="shared" si="3894"/>
        <v>3448</v>
      </c>
      <c r="EL461" s="1311">
        <f t="shared" si="3894"/>
        <v>3448</v>
      </c>
      <c r="EM461" s="1311">
        <f t="shared" si="3894"/>
        <v>2384</v>
      </c>
      <c r="EN461" s="1311">
        <f t="shared" si="3894"/>
        <v>2384</v>
      </c>
      <c r="EO461" s="1312">
        <f t="shared" si="3894"/>
        <v>2384</v>
      </c>
      <c r="EP461" s="1354">
        <f t="shared" si="3894"/>
        <v>3323</v>
      </c>
      <c r="EQ461" s="1354">
        <f t="shared" si="3894"/>
        <v>2894</v>
      </c>
      <c r="ER461" s="1354">
        <f t="shared" si="3894"/>
        <v>2894</v>
      </c>
      <c r="ES461" s="1354">
        <f t="shared" si="3894"/>
        <v>3273</v>
      </c>
      <c r="ET461" s="1354">
        <f t="shared" si="3894"/>
        <v>3273</v>
      </c>
      <c r="EU461" s="1311">
        <f t="shared" si="3894"/>
        <v>2618</v>
      </c>
      <c r="EV461" s="1311">
        <f t="shared" si="3894"/>
        <v>2618</v>
      </c>
      <c r="EW461" s="1312">
        <f t="shared" si="3894"/>
        <v>2618</v>
      </c>
      <c r="EX461" s="1354">
        <f t="shared" ref="EX461:FF461" si="3895">EX459+EX460-EX462</f>
        <v>3280</v>
      </c>
      <c r="EY461" s="1354">
        <f t="shared" si="3895"/>
        <v>3214</v>
      </c>
      <c r="EZ461" s="1354">
        <f t="shared" si="3895"/>
        <v>3214</v>
      </c>
      <c r="FA461" s="1354">
        <f t="shared" si="3895"/>
        <v>3688</v>
      </c>
      <c r="FB461" s="1354">
        <f t="shared" si="3895"/>
        <v>3688</v>
      </c>
      <c r="FC461" s="1311">
        <f t="shared" si="3895"/>
        <v>2825</v>
      </c>
      <c r="FD461" s="1311">
        <f t="shared" si="3895"/>
        <v>2825</v>
      </c>
      <c r="FE461" s="1312">
        <f t="shared" si="3895"/>
        <v>2825</v>
      </c>
      <c r="FF461" s="1314">
        <f t="shared" si="3895"/>
        <v>3520</v>
      </c>
      <c r="FG461" s="1314">
        <f t="shared" ref="FG461:FL461" si="3896">FG459+FG460-FG462</f>
        <v>3486</v>
      </c>
      <c r="FH461" s="1314">
        <f t="shared" si="3896"/>
        <v>3486</v>
      </c>
      <c r="FI461" s="1314">
        <f t="shared" si="3896"/>
        <v>3724</v>
      </c>
      <c r="FJ461" s="1314">
        <f t="shared" si="3896"/>
        <v>3724</v>
      </c>
      <c r="FK461" s="1314">
        <f t="shared" si="3896"/>
        <v>3143</v>
      </c>
      <c r="FL461" s="1314">
        <f t="shared" si="3896"/>
        <v>3143</v>
      </c>
      <c r="FM461" s="1312">
        <f t="shared" ref="FM461:FY461" si="3897">FM459+FM460-FM462</f>
        <v>3143</v>
      </c>
      <c r="FN461" s="1314">
        <f t="shared" si="3897"/>
        <v>3883</v>
      </c>
      <c r="FO461" s="1314">
        <f t="shared" si="3897"/>
        <v>4013</v>
      </c>
      <c r="FP461" s="1314">
        <f t="shared" si="3897"/>
        <v>4013</v>
      </c>
      <c r="FQ461" s="1311">
        <f t="shared" si="3897"/>
        <v>4229</v>
      </c>
      <c r="FR461" s="1311">
        <f t="shared" si="3897"/>
        <v>4229</v>
      </c>
      <c r="FS461" s="1311">
        <f t="shared" si="3897"/>
        <v>3473</v>
      </c>
      <c r="FT461" s="1311">
        <f t="shared" si="3897"/>
        <v>3473</v>
      </c>
      <c r="FU461" s="1311">
        <f t="shared" si="3897"/>
        <v>3473</v>
      </c>
      <c r="FV461" s="1313">
        <f t="shared" si="3897"/>
        <v>4554</v>
      </c>
      <c r="FW461" s="1314">
        <f t="shared" si="3897"/>
        <v>5312</v>
      </c>
      <c r="FX461" s="1314">
        <f t="shared" si="3897"/>
        <v>5312</v>
      </c>
      <c r="FY461" s="1314">
        <f t="shared" si="3897"/>
        <v>4502</v>
      </c>
      <c r="FZ461" s="1311">
        <f t="shared" si="3892"/>
        <v>4502</v>
      </c>
      <c r="GA461" s="1311">
        <f t="shared" ref="GA461:GC461" si="3898">GA459+GA460-GA462</f>
        <v>4037</v>
      </c>
      <c r="GB461" s="1311">
        <f t="shared" si="3898"/>
        <v>4037</v>
      </c>
      <c r="GC461" s="1312">
        <f t="shared" si="3898"/>
        <v>4037</v>
      </c>
      <c r="GD461" s="1311"/>
      <c r="GE461" s="1311"/>
      <c r="GF461" s="1311"/>
      <c r="GG461" s="1311"/>
      <c r="GH461" s="1311"/>
      <c r="GI461" s="1311"/>
      <c r="GJ461" s="1311"/>
      <c r="GK461" s="1312"/>
      <c r="GL461" s="1089"/>
      <c r="GM461" s="1089"/>
      <c r="GN461" s="1311"/>
      <c r="GO461" s="1311"/>
      <c r="GP461" s="1311"/>
      <c r="GQ461" s="1311"/>
      <c r="GR461" s="1311"/>
      <c r="GS461" s="1312"/>
      <c r="GT461" s="1089"/>
      <c r="GU461" s="1089"/>
      <c r="GV461" s="1311"/>
      <c r="GW461" s="1311"/>
      <c r="GX461" s="1311"/>
      <c r="GY461" s="1311"/>
      <c r="GZ461" s="1311"/>
      <c r="HA461" s="1312"/>
      <c r="HB461" s="1311"/>
      <c r="HC461" s="1311"/>
      <c r="HD461" s="1311"/>
      <c r="HE461" s="1311"/>
      <c r="HF461" s="1311"/>
      <c r="HG461" s="1311"/>
      <c r="HH461" s="1311"/>
      <c r="HI461" s="1312"/>
      <c r="HJ461" s="1311"/>
      <c r="HK461" s="1311"/>
      <c r="HL461" s="1311"/>
      <c r="HM461" s="1311"/>
      <c r="HN461" s="1311"/>
      <c r="HO461" s="1311"/>
      <c r="HP461" s="1311"/>
      <c r="HQ461" s="1312"/>
      <c r="HR461" s="1311"/>
      <c r="HS461" s="1311"/>
      <c r="HT461" s="1311"/>
      <c r="HU461" s="1311"/>
      <c r="HV461" s="1311"/>
      <c r="HW461" s="1311"/>
      <c r="HX461" s="1311"/>
      <c r="HY461" s="1311"/>
      <c r="HZ461" s="1311"/>
      <c r="IA461" s="1311"/>
      <c r="IB461" s="1311"/>
      <c r="IC461" s="1311"/>
      <c r="ID461" s="1311"/>
      <c r="IE461" s="1311"/>
      <c r="IF461" s="1311"/>
      <c r="IG461" s="1312"/>
      <c r="IH461" s="1311"/>
      <c r="II461" s="1311"/>
      <c r="IJ461" s="1311"/>
      <c r="IK461" s="1311"/>
      <c r="IL461" s="1311"/>
      <c r="IM461" s="1311"/>
      <c r="IN461" s="1311"/>
      <c r="IO461" s="1312"/>
      <c r="IP461" s="1311"/>
      <c r="IQ461" s="1311"/>
      <c r="IR461" s="1311"/>
      <c r="IS461" s="1311"/>
      <c r="IT461" s="1311"/>
      <c r="IU461" s="1311"/>
      <c r="IV461" s="1311"/>
      <c r="IW461" s="1311"/>
      <c r="IX461" s="1049"/>
      <c r="IY461" s="1049"/>
      <c r="IZ461" s="1049"/>
      <c r="JA461" s="1049"/>
      <c r="JB461" s="1049"/>
      <c r="JC461" s="1049"/>
      <c r="JD461" s="1041"/>
      <c r="JE461" s="1037"/>
      <c r="JF461" s="1037"/>
      <c r="JG461" s="1037"/>
      <c r="JH461" s="1037"/>
      <c r="JI461" s="1035"/>
      <c r="JJ461" s="1035"/>
      <c r="JK461" s="1035"/>
      <c r="JL461" s="1035"/>
      <c r="JM461" s="1035"/>
      <c r="JN461" s="1035"/>
      <c r="JO461" s="1035"/>
      <c r="JP461" s="1035"/>
      <c r="JQ461" s="1035"/>
      <c r="JR461" s="1035"/>
      <c r="JS461" s="1035"/>
      <c r="JT461" s="1035"/>
      <c r="JU461" s="1035"/>
      <c r="JV461" s="1035"/>
      <c r="JW461" s="1035"/>
      <c r="JX461" s="1035"/>
      <c r="JY461" s="1035"/>
    </row>
    <row r="462" spans="1:285">
      <c r="A462" s="1339" t="s">
        <v>605</v>
      </c>
      <c r="B462" s="1405"/>
      <c r="C462" s="1405"/>
      <c r="D462" s="1405"/>
      <c r="E462" s="1405"/>
      <c r="F462" s="1405"/>
      <c r="G462" s="1405"/>
      <c r="H462" s="1405"/>
      <c r="I462" s="1405"/>
      <c r="J462" s="1405"/>
      <c r="K462" s="1405"/>
      <c r="L462" s="1405"/>
      <c r="M462" s="1405"/>
      <c r="N462" s="1405"/>
      <c r="O462" s="1405"/>
      <c r="P462" s="1405"/>
      <c r="Q462" s="1405"/>
      <c r="R462" s="1405"/>
      <c r="S462" s="1405"/>
      <c r="T462" s="1405"/>
      <c r="U462" s="1405"/>
      <c r="V462" s="1405"/>
      <c r="W462" s="1405"/>
      <c r="X462" s="1405"/>
      <c r="Y462" s="1405"/>
      <c r="Z462" s="1405"/>
      <c r="AA462" s="1405"/>
      <c r="AB462" s="1405"/>
      <c r="AC462" s="1405"/>
      <c r="AD462" s="1405"/>
      <c r="AE462" s="1405"/>
      <c r="AF462" s="1405"/>
      <c r="AG462" s="1405"/>
      <c r="AH462" s="1405"/>
      <c r="AI462" s="1405"/>
      <c r="AJ462" s="1405"/>
      <c r="AK462" s="1405"/>
      <c r="AL462" s="1405"/>
      <c r="AM462" s="1405"/>
      <c r="AN462" s="1405"/>
      <c r="AO462" s="1405"/>
      <c r="AP462" s="1405"/>
      <c r="AQ462" s="1405"/>
      <c r="AR462" s="1405"/>
      <c r="AS462" s="1405"/>
      <c r="AT462" s="1405"/>
      <c r="AU462" s="1423">
        <f>AW462</f>
        <v>532.299</v>
      </c>
      <c r="AV462" s="1423">
        <f>AW462</f>
        <v>532.299</v>
      </c>
      <c r="AW462" s="1424">
        <f>'Balance Sheet &amp; Cash Flow'!H40</f>
        <v>532.299</v>
      </c>
      <c r="AX462" s="1423">
        <v>563</v>
      </c>
      <c r="AY462" s="1423">
        <v>614</v>
      </c>
      <c r="AZ462" s="1423">
        <f>AY462</f>
        <v>614</v>
      </c>
      <c r="BA462" s="1423">
        <v>412</v>
      </c>
      <c r="BB462" s="1423">
        <f>BA462</f>
        <v>412</v>
      </c>
      <c r="BC462" s="1423">
        <f>BD462</f>
        <v>629.7</v>
      </c>
      <c r="BD462" s="1423">
        <f>BE462</f>
        <v>629.7</v>
      </c>
      <c r="BE462" s="1425">
        <f>'Balance Sheet &amp; Cash Flow'!I40</f>
        <v>629.7</v>
      </c>
      <c r="BF462" s="1423">
        <v>564</v>
      </c>
      <c r="BG462" s="1423">
        <v>650</v>
      </c>
      <c r="BH462" s="1423">
        <f>BG462</f>
        <v>650</v>
      </c>
      <c r="BI462" s="1423">
        <v>477</v>
      </c>
      <c r="BJ462" s="1423">
        <f>BI462</f>
        <v>477</v>
      </c>
      <c r="BK462" s="1423">
        <f>BL462</f>
        <v>669</v>
      </c>
      <c r="BL462" s="1423">
        <f>BM462</f>
        <v>669</v>
      </c>
      <c r="BM462" s="1425">
        <f>'Balance Sheet &amp; Cash Flow'!J40</f>
        <v>669</v>
      </c>
      <c r="BN462" s="1423">
        <v>524</v>
      </c>
      <c r="BO462" s="1423">
        <v>548</v>
      </c>
      <c r="BP462" s="1423">
        <f>BO462</f>
        <v>548</v>
      </c>
      <c r="BQ462" s="1423">
        <v>456</v>
      </c>
      <c r="BR462" s="1423">
        <f>BQ462</f>
        <v>456</v>
      </c>
      <c r="BS462" s="1423">
        <f>BT462</f>
        <v>592.273</v>
      </c>
      <c r="BT462" s="1423">
        <f>BU462</f>
        <v>592.273</v>
      </c>
      <c r="BU462" s="1425">
        <f>'Balance Sheet &amp; Cash Flow'!K40</f>
        <v>592.273</v>
      </c>
      <c r="BV462" s="1423">
        <v>494</v>
      </c>
      <c r="BW462" s="1423">
        <v>638</v>
      </c>
      <c r="BX462" s="1423">
        <f>BW462</f>
        <v>638</v>
      </c>
      <c r="BY462" s="1423">
        <v>494</v>
      </c>
      <c r="BZ462" s="1423">
        <f>BY462</f>
        <v>494</v>
      </c>
      <c r="CA462" s="1423">
        <f>CB462</f>
        <v>591.689</v>
      </c>
      <c r="CB462" s="1423">
        <f>CC462</f>
        <v>591.689</v>
      </c>
      <c r="CC462" s="1425">
        <f>'Balance Sheet &amp; Cash Flow'!L40</f>
        <v>591.689</v>
      </c>
      <c r="CD462" s="1423">
        <v>470</v>
      </c>
      <c r="CE462" s="1423">
        <v>639</v>
      </c>
      <c r="CF462" s="1423">
        <f>CE462</f>
        <v>639</v>
      </c>
      <c r="CG462" s="1423">
        <v>528</v>
      </c>
      <c r="CH462" s="1423">
        <f>CG462</f>
        <v>528</v>
      </c>
      <c r="CI462" s="1423">
        <f>CJ462</f>
        <v>684</v>
      </c>
      <c r="CJ462" s="1423">
        <f>CK462</f>
        <v>684</v>
      </c>
      <c r="CK462" s="1425">
        <f>'Balance Sheet &amp; Cash Flow'!M40</f>
        <v>684</v>
      </c>
      <c r="CL462" s="1423">
        <v>765</v>
      </c>
      <c r="CM462" s="1423">
        <v>836</v>
      </c>
      <c r="CN462" s="1423">
        <f>CM462</f>
        <v>836</v>
      </c>
      <c r="CO462" s="1423">
        <v>606</v>
      </c>
      <c r="CP462" s="1423">
        <f>CO462</f>
        <v>606</v>
      </c>
      <c r="CQ462" s="1423">
        <f>CS462</f>
        <v>752</v>
      </c>
      <c r="CR462" s="1409">
        <f>CS462</f>
        <v>752</v>
      </c>
      <c r="CS462" s="1409">
        <f>'Balance Sheet &amp; Cash Flow'!N40</f>
        <v>752</v>
      </c>
      <c r="CT462" s="1408">
        <v>636</v>
      </c>
      <c r="CU462" s="1409">
        <v>783</v>
      </c>
      <c r="CV462" s="1409"/>
      <c r="CW462" s="1409">
        <v>690</v>
      </c>
      <c r="CX462" s="1409"/>
      <c r="CY462" s="1409">
        <f>'Balance Sheet &amp; Cash Flow'!O40</f>
        <v>849</v>
      </c>
      <c r="CZ462" s="1409"/>
      <c r="DA462" s="1410"/>
      <c r="DB462" s="1411">
        <v>656</v>
      </c>
      <c r="DC462" s="1412">
        <v>928</v>
      </c>
      <c r="DD462" s="1412"/>
      <c r="DE462" s="1412">
        <v>775</v>
      </c>
      <c r="DF462" s="1412"/>
      <c r="DG462" s="1412">
        <f>DI462</f>
        <v>1218</v>
      </c>
      <c r="DH462" s="1412"/>
      <c r="DI462" s="1413">
        <f>'Balance Sheet &amp; Cash Flow'!P40</f>
        <v>1218</v>
      </c>
      <c r="DJ462" s="1412">
        <v>880</v>
      </c>
      <c r="DK462" s="1412">
        <v>1060</v>
      </c>
      <c r="DL462" s="1412"/>
      <c r="DM462" s="1412">
        <v>892</v>
      </c>
      <c r="DN462" s="1412"/>
      <c r="DO462" s="1412">
        <f>DQ462</f>
        <v>1166</v>
      </c>
      <c r="DP462" s="1412"/>
      <c r="DQ462" s="1413">
        <f>'Balance Sheet &amp; Cash Flow'!Q40</f>
        <v>1166</v>
      </c>
      <c r="DR462" s="1412">
        <v>1133</v>
      </c>
      <c r="DS462" s="1412">
        <v>1464</v>
      </c>
      <c r="DT462" s="1412">
        <f>+DS462</f>
        <v>1464</v>
      </c>
      <c r="DU462" s="1412">
        <v>1313</v>
      </c>
      <c r="DV462" s="1412"/>
      <c r="DW462" s="1412">
        <f>DY462</f>
        <v>1697</v>
      </c>
      <c r="DX462" s="1412">
        <f>+DY462</f>
        <v>1697</v>
      </c>
      <c r="DY462" s="1413">
        <f>'Balance Sheet &amp; Cash Flow'!R40</f>
        <v>1697</v>
      </c>
      <c r="DZ462" s="1414">
        <v>1316</v>
      </c>
      <c r="EA462" s="1414">
        <f>EB462</f>
        <v>1605</v>
      </c>
      <c r="EB462" s="1414">
        <v>1605</v>
      </c>
      <c r="EC462" s="1412">
        <f>+ED462</f>
        <v>1421</v>
      </c>
      <c r="ED462" s="1412">
        <v>1421</v>
      </c>
      <c r="EE462" s="1412">
        <f t="shared" si="3886"/>
        <v>1886</v>
      </c>
      <c r="EF462" s="1412">
        <f t="shared" si="3886"/>
        <v>1886</v>
      </c>
      <c r="EG462" s="1413">
        <v>1886</v>
      </c>
      <c r="EH462" s="1414">
        <v>1447</v>
      </c>
      <c r="EI462" s="1414">
        <v>1873</v>
      </c>
      <c r="EJ462" s="1414">
        <f t="shared" si="3888"/>
        <v>1873</v>
      </c>
      <c r="EK462" s="1412">
        <f t="shared" si="3889"/>
        <v>1286</v>
      </c>
      <c r="EL462" s="1412">
        <v>1286</v>
      </c>
      <c r="EM462" s="1412">
        <f t="shared" si="3890"/>
        <v>1790</v>
      </c>
      <c r="EN462" s="1412">
        <f t="shared" si="3890"/>
        <v>1790</v>
      </c>
      <c r="EO462" s="1413">
        <v>1790</v>
      </c>
      <c r="EP462" s="1414">
        <v>1351</v>
      </c>
      <c r="EQ462" s="1412">
        <f t="shared" si="3891"/>
        <v>1746</v>
      </c>
      <c r="ER462" s="1412">
        <v>1746</v>
      </c>
      <c r="ES462" s="1412">
        <f>ET462</f>
        <v>1396</v>
      </c>
      <c r="ET462" s="1412">
        <v>1396</v>
      </c>
      <c r="EU462" s="1412">
        <f t="shared" si="3887"/>
        <v>1825</v>
      </c>
      <c r="EV462" s="1412">
        <f t="shared" si="3887"/>
        <v>1825</v>
      </c>
      <c r="EW462" s="1413">
        <v>1825</v>
      </c>
      <c r="EX462" s="1412">
        <v>1401</v>
      </c>
      <c r="EY462" s="1347">
        <f>EZ462</f>
        <v>1752</v>
      </c>
      <c r="EZ462" s="1347">
        <v>1752</v>
      </c>
      <c r="FA462" s="1347">
        <f>FB462</f>
        <v>1281</v>
      </c>
      <c r="FB462" s="1347">
        <v>1281</v>
      </c>
      <c r="FC462" s="1347">
        <f>FD462</f>
        <v>1652</v>
      </c>
      <c r="FD462" s="1347">
        <f>FE462</f>
        <v>1652</v>
      </c>
      <c r="FE462" s="1415">
        <f>'Balance Sheet &amp; Cash Flow'!V40</f>
        <v>1652</v>
      </c>
      <c r="FF462" s="1347">
        <v>1475</v>
      </c>
      <c r="FG462" s="1347">
        <f>FH462</f>
        <v>1712</v>
      </c>
      <c r="FH462" s="1347">
        <v>1712</v>
      </c>
      <c r="FI462" s="1347">
        <f>FJ462</f>
        <v>1476</v>
      </c>
      <c r="FJ462" s="1347">
        <v>1476</v>
      </c>
      <c r="FK462" s="1347">
        <f>FL462</f>
        <v>2024</v>
      </c>
      <c r="FL462" s="1347">
        <f>FM462</f>
        <v>2024</v>
      </c>
      <c r="FM462" s="1413">
        <f>'Balance Sheet &amp; Cash Flow'!W40</f>
        <v>2024</v>
      </c>
      <c r="FN462" s="1412">
        <v>1573</v>
      </c>
      <c r="FO462" s="1412">
        <f>FP462</f>
        <v>1857</v>
      </c>
      <c r="FP462" s="1412">
        <v>1857</v>
      </c>
      <c r="FQ462" s="1412">
        <f>FR462</f>
        <v>1689</v>
      </c>
      <c r="FR462" s="1412">
        <v>1689</v>
      </c>
      <c r="FS462" s="1412">
        <f>FT462</f>
        <v>2496</v>
      </c>
      <c r="FT462" s="1412">
        <f>FU462</f>
        <v>2496</v>
      </c>
      <c r="FU462" s="1412">
        <f>'Balance Sheet &amp; Cash Flow'!X40</f>
        <v>2496</v>
      </c>
      <c r="FV462" s="1411">
        <v>1931</v>
      </c>
      <c r="FW462" s="1412">
        <f>FX462</f>
        <v>1862</v>
      </c>
      <c r="FX462" s="1412">
        <v>1862</v>
      </c>
      <c r="FY462" s="1412">
        <v>1747</v>
      </c>
      <c r="FZ462" s="1412">
        <f t="shared" si="3892"/>
        <v>1747</v>
      </c>
      <c r="GA462" s="1412">
        <f>GB462</f>
        <v>1975</v>
      </c>
      <c r="GB462" s="1412">
        <f>GC462</f>
        <v>1975</v>
      </c>
      <c r="GC462" s="1413">
        <f>'Balance Sheet &amp; Cash Flow'!Y40</f>
        <v>1975</v>
      </c>
      <c r="GD462" s="1412"/>
      <c r="GE462" s="1412"/>
      <c r="GF462" s="1412"/>
      <c r="GG462" s="1412"/>
      <c r="GH462" s="1412"/>
      <c r="GI462" s="1412"/>
      <c r="GJ462" s="1412"/>
      <c r="GK462" s="1413"/>
      <c r="GL462" s="1412"/>
      <c r="GM462" s="1412"/>
      <c r="GN462" s="1412"/>
      <c r="GO462" s="1412"/>
      <c r="GP462" s="1412"/>
      <c r="GQ462" s="1412"/>
      <c r="GR462" s="1412"/>
      <c r="GS462" s="1413"/>
      <c r="GT462" s="1412"/>
      <c r="GU462" s="1412"/>
      <c r="GV462" s="1412"/>
      <c r="GW462" s="1412"/>
      <c r="GX462" s="1412"/>
      <c r="GY462" s="1412"/>
      <c r="GZ462" s="1412"/>
      <c r="HA462" s="1413"/>
      <c r="HB462" s="1412"/>
      <c r="HC462" s="1412"/>
      <c r="HD462" s="1412"/>
      <c r="HE462" s="1412"/>
      <c r="HF462" s="1412"/>
      <c r="HG462" s="1412"/>
      <c r="HH462" s="1412"/>
      <c r="HI462" s="1413"/>
      <c r="HJ462" s="1412"/>
      <c r="HK462" s="1412"/>
      <c r="HL462" s="1412"/>
      <c r="HM462" s="1412"/>
      <c r="HN462" s="1412"/>
      <c r="HO462" s="1412"/>
      <c r="HP462" s="1412"/>
      <c r="HQ462" s="1413"/>
      <c r="HR462" s="1412"/>
      <c r="HS462" s="1412"/>
      <c r="HT462" s="1412"/>
      <c r="HU462" s="1412"/>
      <c r="HV462" s="1412"/>
      <c r="HW462" s="1412"/>
      <c r="HX462" s="1412"/>
      <c r="HY462" s="1412"/>
      <c r="HZ462" s="1412"/>
      <c r="IA462" s="1412"/>
      <c r="IB462" s="1412"/>
      <c r="IC462" s="1412"/>
      <c r="ID462" s="1412"/>
      <c r="IE462" s="1412"/>
      <c r="IF462" s="1412"/>
      <c r="IG462" s="1413"/>
      <c r="IH462" s="1412"/>
      <c r="II462" s="1412"/>
      <c r="IJ462" s="1412"/>
      <c r="IK462" s="1412"/>
      <c r="IL462" s="1412"/>
      <c r="IM462" s="1412"/>
      <c r="IN462" s="1412"/>
      <c r="IO462" s="1413"/>
      <c r="IP462" s="1412"/>
      <c r="IQ462" s="1412"/>
      <c r="IR462" s="1412"/>
      <c r="IS462" s="1412"/>
      <c r="IT462" s="1412"/>
      <c r="IU462" s="1412"/>
      <c r="IV462" s="1412"/>
      <c r="IW462" s="1412"/>
      <c r="IX462" s="1049"/>
      <c r="IY462" s="1049"/>
      <c r="IZ462" s="1049"/>
      <c r="JA462" s="1049"/>
      <c r="JB462" s="1049"/>
      <c r="JC462" s="1049"/>
      <c r="JD462" s="1041"/>
      <c r="JE462" s="1037"/>
      <c r="JF462" s="1037"/>
      <c r="JG462" s="1037"/>
      <c r="JH462" s="1037"/>
      <c r="JI462" s="1035"/>
      <c r="JJ462" s="1035"/>
      <c r="JK462" s="1035"/>
      <c r="JL462" s="1035"/>
      <c r="JM462" s="1035"/>
      <c r="JN462" s="1035"/>
      <c r="JO462" s="1035"/>
      <c r="JP462" s="1035"/>
      <c r="JQ462" s="1035"/>
      <c r="JR462" s="1035"/>
      <c r="JS462" s="1035"/>
      <c r="JT462" s="1035"/>
      <c r="JU462" s="1035"/>
      <c r="JV462" s="1035"/>
      <c r="JW462" s="1035"/>
      <c r="JX462" s="1035"/>
      <c r="JY462" s="1035"/>
    </row>
    <row r="463" spans="1:285">
      <c r="A463" s="1339"/>
      <c r="B463" s="1405"/>
      <c r="C463" s="1405"/>
      <c r="D463" s="1405"/>
      <c r="E463" s="1405"/>
      <c r="F463" s="1405"/>
      <c r="G463" s="1405"/>
      <c r="H463" s="1405"/>
      <c r="I463" s="1405"/>
      <c r="J463" s="1405"/>
      <c r="K463" s="1405"/>
      <c r="L463" s="1405"/>
      <c r="M463" s="1405"/>
      <c r="N463" s="1405"/>
      <c r="O463" s="1405"/>
      <c r="P463" s="1405"/>
      <c r="Q463" s="1405"/>
      <c r="R463" s="1405"/>
      <c r="S463" s="1405"/>
      <c r="T463" s="1405"/>
      <c r="U463" s="1405"/>
      <c r="V463" s="1405"/>
      <c r="W463" s="1405"/>
      <c r="X463" s="1405"/>
      <c r="Y463" s="1405"/>
      <c r="Z463" s="1405"/>
      <c r="AA463" s="1405"/>
      <c r="AB463" s="1405"/>
      <c r="AC463" s="1405"/>
      <c r="AD463" s="1405"/>
      <c r="AE463" s="1405"/>
      <c r="AF463" s="1405"/>
      <c r="AG463" s="1405"/>
      <c r="AH463" s="1405"/>
      <c r="AI463" s="1405"/>
      <c r="AJ463" s="1405"/>
      <c r="AK463" s="1405"/>
      <c r="AL463" s="1405"/>
      <c r="AM463" s="1405"/>
      <c r="AN463" s="1405"/>
      <c r="AO463" s="1405"/>
      <c r="AP463" s="1405"/>
      <c r="AQ463" s="1405"/>
      <c r="AR463" s="1405"/>
      <c r="AS463" s="1405"/>
      <c r="AT463" s="1405"/>
      <c r="AU463" s="1405"/>
      <c r="AV463" s="1405"/>
      <c r="AW463" s="1405"/>
      <c r="AX463" s="1406"/>
      <c r="AY463" s="1405"/>
      <c r="AZ463" s="1405"/>
      <c r="BA463" s="1405"/>
      <c r="BB463" s="1405"/>
      <c r="BC463" s="1405"/>
      <c r="BD463" s="1405"/>
      <c r="BE463" s="1407"/>
      <c r="BF463" s="1405"/>
      <c r="BG463" s="1405"/>
      <c r="BH463" s="1405"/>
      <c r="BI463" s="1405"/>
      <c r="BJ463" s="1405"/>
      <c r="BK463" s="1405"/>
      <c r="BL463" s="1405"/>
      <c r="BM463" s="1405"/>
      <c r="BN463" s="1406"/>
      <c r="BO463" s="1405"/>
      <c r="BP463" s="1405"/>
      <c r="BQ463" s="1405"/>
      <c r="BR463" s="1405"/>
      <c r="BS463" s="1405"/>
      <c r="BT463" s="1405"/>
      <c r="BU463" s="1407"/>
      <c r="BV463" s="1303"/>
      <c r="BW463" s="1302"/>
      <c r="BX463" s="1302"/>
      <c r="BY463" s="1302"/>
      <c r="BZ463" s="1302"/>
      <c r="CA463" s="1302"/>
      <c r="CB463" s="1302"/>
      <c r="CC463" s="1304"/>
      <c r="CD463" s="1303"/>
      <c r="CE463" s="1302"/>
      <c r="CF463" s="1302"/>
      <c r="CG463" s="1302"/>
      <c r="CH463" s="1302"/>
      <c r="CI463" s="1302"/>
      <c r="CJ463" s="1302"/>
      <c r="CK463" s="1304"/>
      <c r="CL463" s="1303"/>
      <c r="CM463" s="1302"/>
      <c r="CN463" s="1302"/>
      <c r="CO463" s="1302"/>
      <c r="CP463" s="1302"/>
      <c r="CQ463" s="1302"/>
      <c r="CR463" s="1302"/>
      <c r="CS463" s="1304"/>
      <c r="CT463" s="1408"/>
      <c r="CU463" s="1409"/>
      <c r="CV463" s="1409"/>
      <c r="CW463" s="1409"/>
      <c r="CX463" s="1409"/>
      <c r="CY463" s="1409"/>
      <c r="CZ463" s="1409"/>
      <c r="DA463" s="1410"/>
      <c r="DB463" s="1411"/>
      <c r="DC463" s="1412"/>
      <c r="DD463" s="1412"/>
      <c r="DE463" s="1412"/>
      <c r="DF463" s="1412"/>
      <c r="DG463" s="1412"/>
      <c r="DH463" s="1412"/>
      <c r="DI463" s="1413"/>
      <c r="DJ463" s="1412"/>
      <c r="DK463" s="1412"/>
      <c r="DL463" s="1412"/>
      <c r="DM463" s="1412"/>
      <c r="DN463" s="1426"/>
      <c r="DO463" s="1412"/>
      <c r="DP463" s="1412"/>
      <c r="DQ463" s="1413"/>
      <c r="DR463" s="1412"/>
      <c r="DS463" s="1412"/>
      <c r="DT463" s="1412"/>
      <c r="DU463" s="1412"/>
      <c r="DV463" s="1412"/>
      <c r="DW463" s="1412"/>
      <c r="DX463" s="1412"/>
      <c r="DY463" s="1413"/>
      <c r="DZ463" s="1414"/>
      <c r="EA463" s="1414"/>
      <c r="EB463" s="1414"/>
      <c r="EC463" s="1412"/>
      <c r="ED463" s="1412"/>
      <c r="EE463" s="1412"/>
      <c r="EF463" s="1412"/>
      <c r="EG463" s="1413"/>
      <c r="EH463" s="1414"/>
      <c r="EI463" s="1414"/>
      <c r="EJ463" s="1414"/>
      <c r="EK463" s="1412"/>
      <c r="EL463" s="1412"/>
      <c r="EM463" s="1412"/>
      <c r="EN463" s="1412"/>
      <c r="EO463" s="1413"/>
      <c r="EP463" s="1414"/>
      <c r="EQ463" s="1412"/>
      <c r="ER463" s="1412"/>
      <c r="ES463" s="1412"/>
      <c r="ET463" s="1412"/>
      <c r="EU463" s="1412"/>
      <c r="EV463" s="1412"/>
      <c r="EW463" s="1413"/>
      <c r="EX463" s="1412"/>
      <c r="EY463" s="1427"/>
      <c r="EZ463" s="1427"/>
      <c r="FA463" s="1427"/>
      <c r="FB463" s="1427"/>
      <c r="FC463" s="1427"/>
      <c r="FD463" s="1427"/>
      <c r="FE463" s="1428"/>
      <c r="FF463" s="1427"/>
      <c r="FG463" s="1427"/>
      <c r="FH463" s="1412"/>
      <c r="FI463" s="1412"/>
      <c r="FJ463" s="1412"/>
      <c r="FK463" s="1412"/>
      <c r="FL463" s="1412"/>
      <c r="FM463" s="1413"/>
      <c r="FN463" s="1412"/>
      <c r="FO463" s="1412"/>
      <c r="FP463" s="1412"/>
      <c r="FQ463" s="1412"/>
      <c r="FR463" s="1412"/>
      <c r="FS463" s="1412"/>
      <c r="FT463" s="1412"/>
      <c r="FU463" s="1412"/>
      <c r="FV463" s="1411"/>
      <c r="FW463" s="1412"/>
      <c r="FX463" s="1412"/>
      <c r="FY463" s="1412"/>
      <c r="FZ463" s="1412"/>
      <c r="GA463" s="1412"/>
      <c r="GB463" s="1412"/>
      <c r="GC463" s="1413"/>
      <c r="GD463" s="1412"/>
      <c r="GE463" s="1412"/>
      <c r="GF463" s="1412"/>
      <c r="GG463" s="1412"/>
      <c r="GH463" s="1412"/>
      <c r="GI463" s="1412"/>
      <c r="GJ463" s="1412"/>
      <c r="GK463" s="1413"/>
      <c r="GL463" s="1412"/>
      <c r="GM463" s="1412"/>
      <c r="GN463" s="1412"/>
      <c r="GO463" s="1412"/>
      <c r="GP463" s="1412"/>
      <c r="GQ463" s="1412"/>
      <c r="GR463" s="1412"/>
      <c r="GS463" s="1413"/>
      <c r="GT463" s="1412"/>
      <c r="GU463" s="1412"/>
      <c r="GV463" s="1412"/>
      <c r="GW463" s="1412"/>
      <c r="GX463" s="1412"/>
      <c r="GY463" s="1412"/>
      <c r="GZ463" s="1412"/>
      <c r="HA463" s="1413"/>
      <c r="HB463" s="1412"/>
      <c r="HC463" s="1412"/>
      <c r="HD463" s="1412"/>
      <c r="HE463" s="1412"/>
      <c r="HF463" s="1412"/>
      <c r="HG463" s="1412"/>
      <c r="HH463" s="1412"/>
      <c r="HI463" s="1413"/>
      <c r="HJ463" s="1412"/>
      <c r="HK463" s="1412"/>
      <c r="HL463" s="1412"/>
      <c r="HM463" s="1412"/>
      <c r="HN463" s="1412"/>
      <c r="HO463" s="1412"/>
      <c r="HP463" s="1412"/>
      <c r="HQ463" s="1413"/>
      <c r="HR463" s="1412"/>
      <c r="HS463" s="1412"/>
      <c r="HT463" s="1412"/>
      <c r="HU463" s="1412"/>
      <c r="HV463" s="1412"/>
      <c r="HW463" s="1412"/>
      <c r="HX463" s="1412"/>
      <c r="HY463" s="1412"/>
      <c r="HZ463" s="1412"/>
      <c r="IA463" s="1412"/>
      <c r="IB463" s="1412"/>
      <c r="IC463" s="1412"/>
      <c r="ID463" s="1412"/>
      <c r="IE463" s="1412"/>
      <c r="IF463" s="1412"/>
      <c r="IG463" s="1413"/>
      <c r="IH463" s="1412"/>
      <c r="II463" s="1412"/>
      <c r="IJ463" s="1412"/>
      <c r="IK463" s="1412"/>
      <c r="IL463" s="1412"/>
      <c r="IM463" s="1412"/>
      <c r="IN463" s="1412"/>
      <c r="IO463" s="1413"/>
      <c r="IP463" s="1412"/>
      <c r="IQ463" s="1412"/>
      <c r="IR463" s="1412"/>
      <c r="IS463" s="1412"/>
      <c r="IT463" s="1412"/>
      <c r="IU463" s="1412"/>
      <c r="IV463" s="1412"/>
      <c r="IW463" s="1412"/>
      <c r="IX463" s="1049"/>
      <c r="IY463" s="1049"/>
      <c r="IZ463" s="1049"/>
      <c r="JA463" s="1049"/>
      <c r="JB463" s="1049"/>
      <c r="JC463" s="1049"/>
      <c r="JD463" s="1041"/>
      <c r="JE463" s="1037"/>
      <c r="JF463" s="1037"/>
      <c r="JG463" s="1037"/>
      <c r="JH463" s="1037"/>
      <c r="JI463" s="1035"/>
      <c r="JJ463" s="1035"/>
      <c r="JK463" s="1035"/>
      <c r="JL463" s="1035"/>
      <c r="JM463" s="1035"/>
      <c r="JN463" s="1035"/>
      <c r="JO463" s="1035"/>
      <c r="JP463" s="1035"/>
      <c r="JQ463" s="1035"/>
      <c r="JR463" s="1035"/>
      <c r="JS463" s="1035"/>
      <c r="JT463" s="1035"/>
      <c r="JU463" s="1035"/>
      <c r="JV463" s="1035"/>
      <c r="JW463" s="1035"/>
      <c r="JX463" s="1035"/>
      <c r="JY463" s="1035"/>
    </row>
    <row r="464" spans="1:285">
      <c r="A464" s="1339" t="s">
        <v>606</v>
      </c>
      <c r="B464" s="1405"/>
      <c r="C464" s="1405"/>
      <c r="D464" s="1405"/>
      <c r="E464" s="1405"/>
      <c r="F464" s="1405"/>
      <c r="G464" s="1405"/>
      <c r="H464" s="1405"/>
      <c r="I464" s="1405"/>
      <c r="J464" s="1405"/>
      <c r="K464" s="1405"/>
      <c r="L464" s="1405"/>
      <c r="M464" s="1405"/>
      <c r="N464" s="1405"/>
      <c r="O464" s="1405"/>
      <c r="P464" s="1405"/>
      <c r="Q464" s="1405"/>
      <c r="R464" s="1405"/>
      <c r="S464" s="1405"/>
      <c r="T464" s="1405"/>
      <c r="U464" s="1405"/>
      <c r="V464" s="1405"/>
      <c r="W464" s="1405"/>
      <c r="X464" s="1405"/>
      <c r="Y464" s="1405"/>
      <c r="Z464" s="1405"/>
      <c r="AA464" s="1405"/>
      <c r="AB464" s="1405"/>
      <c r="AC464" s="1405"/>
      <c r="AD464" s="1405"/>
      <c r="AE464" s="1405"/>
      <c r="AF464" s="1405"/>
      <c r="AG464" s="1405"/>
      <c r="AH464" s="1405"/>
      <c r="AI464" s="1405"/>
      <c r="AJ464" s="1405"/>
      <c r="AK464" s="1405"/>
      <c r="AL464" s="1405"/>
      <c r="AM464" s="1405"/>
      <c r="AN464" s="1405"/>
      <c r="AO464" s="1405"/>
      <c r="AP464" s="1405"/>
      <c r="AQ464" s="1405"/>
      <c r="AR464" s="1405"/>
      <c r="AS464" s="1405"/>
      <c r="AT464" s="1405"/>
      <c r="AU464" s="1405"/>
      <c r="AV464" s="1405"/>
      <c r="AW464" s="1405"/>
      <c r="AX464" s="1406"/>
      <c r="AY464" s="1405"/>
      <c r="AZ464" s="1405"/>
      <c r="BA464" s="1405"/>
      <c r="BB464" s="1405"/>
      <c r="BC464" s="1405"/>
      <c r="BD464" s="1405"/>
      <c r="BE464" s="1407"/>
      <c r="BF464" s="1405"/>
      <c r="BG464" s="1405"/>
      <c r="BH464" s="1405"/>
      <c r="BI464" s="1405"/>
      <c r="BJ464" s="1405"/>
      <c r="BK464" s="1405"/>
      <c r="BL464" s="1405"/>
      <c r="BM464" s="1405"/>
      <c r="BN464" s="1406"/>
      <c r="BO464" s="1405"/>
      <c r="BP464" s="1405"/>
      <c r="BQ464" s="1405"/>
      <c r="BR464" s="1405"/>
      <c r="BS464" s="1405"/>
      <c r="BT464" s="1405"/>
      <c r="BU464" s="1407"/>
      <c r="BV464" s="1303"/>
      <c r="BW464" s="1302"/>
      <c r="BX464" s="1302"/>
      <c r="BY464" s="1302"/>
      <c r="BZ464" s="1302"/>
      <c r="CA464" s="1302"/>
      <c r="CB464" s="1302"/>
      <c r="CC464" s="1304"/>
      <c r="CD464" s="1303"/>
      <c r="CE464" s="1302"/>
      <c r="CF464" s="1302"/>
      <c r="CG464" s="1302"/>
      <c r="CH464" s="1302"/>
      <c r="CI464" s="1302"/>
      <c r="CJ464" s="1302"/>
      <c r="CK464" s="1304"/>
      <c r="CL464" s="1303"/>
      <c r="CM464" s="1302"/>
      <c r="CN464" s="1302"/>
      <c r="CO464" s="1302"/>
      <c r="CP464" s="1302"/>
      <c r="CQ464" s="1302"/>
      <c r="CR464" s="1302"/>
      <c r="CS464" s="1304"/>
      <c r="CT464" s="1408">
        <v>2519</v>
      </c>
      <c r="CU464" s="1409">
        <v>2395</v>
      </c>
      <c r="CV464" s="1409">
        <f>CU464</f>
        <v>2395</v>
      </c>
      <c r="CW464" s="1409">
        <v>2201</v>
      </c>
      <c r="CX464" s="1409">
        <f>-CW464</f>
        <v>-2201</v>
      </c>
      <c r="CY464" s="1409">
        <f>'Balance Sheet &amp; Cash Flow'!O178</f>
        <v>1851</v>
      </c>
      <c r="CZ464" s="1409">
        <f>CY464</f>
        <v>1851</v>
      </c>
      <c r="DA464" s="1410">
        <f>CY464</f>
        <v>1851</v>
      </c>
      <c r="DB464" s="1411">
        <v>2073</v>
      </c>
      <c r="DC464" s="1412">
        <v>2260</v>
      </c>
      <c r="DD464" s="1412">
        <f>DC464</f>
        <v>2260</v>
      </c>
      <c r="DE464" s="1412">
        <v>2593</v>
      </c>
      <c r="DF464" s="1412">
        <f>DE464</f>
        <v>2593</v>
      </c>
      <c r="DG464" s="1412">
        <f>'Balance Sheet &amp; Cash Flow'!P178</f>
        <v>2329</v>
      </c>
      <c r="DH464" s="1412">
        <f>DG464</f>
        <v>2329</v>
      </c>
      <c r="DI464" s="1413">
        <f>DG464</f>
        <v>2329</v>
      </c>
      <c r="DJ464" s="1412">
        <v>2883</v>
      </c>
      <c r="DK464" s="1412">
        <v>2732</v>
      </c>
      <c r="DL464" s="1412">
        <v>2732</v>
      </c>
      <c r="DM464" s="1412">
        <v>2294</v>
      </c>
      <c r="DN464" s="1412">
        <f>DM464</f>
        <v>2294</v>
      </c>
      <c r="DO464" s="1412">
        <f t="shared" ref="DO464:DP466" si="3899">DP464</f>
        <v>992</v>
      </c>
      <c r="DP464" s="1412">
        <f t="shared" si="3899"/>
        <v>992</v>
      </c>
      <c r="DQ464" s="1413">
        <f>'Balance Sheet &amp; Cash Flow'!Q178</f>
        <v>992</v>
      </c>
      <c r="DR464" s="1412">
        <v>1359</v>
      </c>
      <c r="DS464" s="1412">
        <v>1090</v>
      </c>
      <c r="DT464" s="1412">
        <v>1090</v>
      </c>
      <c r="DU464" s="1412">
        <v>903</v>
      </c>
      <c r="DV464" s="1412">
        <v>903</v>
      </c>
      <c r="DW464" s="1412">
        <f>DY464</f>
        <v>471</v>
      </c>
      <c r="DX464" s="1412">
        <f>+DY464</f>
        <v>471</v>
      </c>
      <c r="DY464" s="1413">
        <f>'Balance Sheet &amp; Cash Flow'!R178</f>
        <v>471</v>
      </c>
      <c r="DZ464" s="1414">
        <v>914</v>
      </c>
      <c r="EA464" s="1414">
        <f>EB464</f>
        <v>863</v>
      </c>
      <c r="EB464" s="1414">
        <v>863</v>
      </c>
      <c r="EC464" s="1412">
        <f>+ED464</f>
        <v>750</v>
      </c>
      <c r="ED464" s="1412">
        <v>750</v>
      </c>
      <c r="EE464" s="1412">
        <f t="shared" ref="EE464:EF466" si="3900">+EF464</f>
        <v>374</v>
      </c>
      <c r="EF464" s="1412">
        <f t="shared" si="3900"/>
        <v>374</v>
      </c>
      <c r="EG464" s="1413">
        <f>'Balance Sheet &amp; Cash Flow'!S178</f>
        <v>374</v>
      </c>
      <c r="EH464" s="1414">
        <v>640</v>
      </c>
      <c r="EI464" s="1414">
        <v>318</v>
      </c>
      <c r="EJ464" s="1414">
        <f t="shared" si="3888"/>
        <v>318</v>
      </c>
      <c r="EK464" s="1412">
        <f t="shared" si="3889"/>
        <v>337</v>
      </c>
      <c r="EL464" s="1412">
        <v>337</v>
      </c>
      <c r="EM464" s="1412">
        <f t="shared" si="3890"/>
        <v>-183</v>
      </c>
      <c r="EN464" s="1412">
        <f t="shared" si="3890"/>
        <v>-183</v>
      </c>
      <c r="EO464" s="1413">
        <f>'Balance Sheet &amp; Cash Flow'!T178</f>
        <v>-183</v>
      </c>
      <c r="EP464" s="1414">
        <v>180</v>
      </c>
      <c r="EQ464" s="1412">
        <f t="shared" si="3891"/>
        <v>94</v>
      </c>
      <c r="ER464" s="1412">
        <v>94</v>
      </c>
      <c r="ES464" s="1412">
        <f>ET464</f>
        <v>180</v>
      </c>
      <c r="ET464" s="1412">
        <v>180</v>
      </c>
      <c r="EU464" s="1412">
        <f t="shared" ref="EU464:EV466" si="3901">EW464</f>
        <v>-295</v>
      </c>
      <c r="EV464" s="1412">
        <f t="shared" si="3901"/>
        <v>254</v>
      </c>
      <c r="EW464" s="1413">
        <v>-295</v>
      </c>
      <c r="EX464" s="1412">
        <v>254</v>
      </c>
      <c r="EY464" s="1427"/>
      <c r="EZ464" s="1427"/>
      <c r="FA464" s="1427"/>
      <c r="FB464" s="1427"/>
      <c r="FC464" s="1427"/>
      <c r="FD464" s="1427"/>
      <c r="FE464" s="1428"/>
      <c r="FF464" s="1427"/>
      <c r="FG464" s="1427"/>
      <c r="FH464" s="1412"/>
      <c r="FI464" s="1412"/>
      <c r="FJ464" s="1412"/>
      <c r="FK464" s="1412"/>
      <c r="FL464" s="1412"/>
      <c r="FM464" s="1413"/>
      <c r="FN464" s="1412"/>
      <c r="FO464" s="1412"/>
      <c r="FP464" s="1412"/>
      <c r="FQ464" s="1412"/>
      <c r="FR464" s="1412"/>
      <c r="FS464" s="1412"/>
      <c r="FT464" s="1412"/>
      <c r="FU464" s="1412"/>
      <c r="FV464" s="1411"/>
      <c r="FW464" s="1412"/>
      <c r="FX464" s="1412"/>
      <c r="FY464" s="1412"/>
      <c r="FZ464" s="1412"/>
      <c r="GA464" s="1412"/>
      <c r="GB464" s="1412"/>
      <c r="GC464" s="1413"/>
      <c r="GD464" s="1412"/>
      <c r="GE464" s="1412"/>
      <c r="GF464" s="1412"/>
      <c r="GG464" s="1412"/>
      <c r="GH464" s="1412"/>
      <c r="GI464" s="1412"/>
      <c r="GJ464" s="1412"/>
      <c r="GK464" s="1413"/>
      <c r="GL464" s="1412"/>
      <c r="GM464" s="1412"/>
      <c r="GN464" s="1412"/>
      <c r="GO464" s="1412"/>
      <c r="GP464" s="1412"/>
      <c r="GQ464" s="1412"/>
      <c r="GR464" s="1412"/>
      <c r="GS464" s="1413"/>
      <c r="GT464" s="1412"/>
      <c r="GU464" s="1412"/>
      <c r="GV464" s="1412"/>
      <c r="GW464" s="1412"/>
      <c r="GX464" s="1412"/>
      <c r="GY464" s="1412"/>
      <c r="GZ464" s="1412"/>
      <c r="HA464" s="1413"/>
      <c r="HB464" s="1412"/>
      <c r="HC464" s="1412"/>
      <c r="HD464" s="1412"/>
      <c r="HE464" s="1412"/>
      <c r="HF464" s="1412"/>
      <c r="HG464" s="1412"/>
      <c r="HH464" s="1412"/>
      <c r="HI464" s="1413"/>
      <c r="HJ464" s="1412"/>
      <c r="HK464" s="1412"/>
      <c r="HL464" s="1412"/>
      <c r="HM464" s="1412"/>
      <c r="HN464" s="1412"/>
      <c r="HO464" s="1412"/>
      <c r="HP464" s="1412"/>
      <c r="HQ464" s="1413"/>
      <c r="HR464" s="1412"/>
      <c r="HS464" s="1412"/>
      <c r="HT464" s="1412"/>
      <c r="HU464" s="1412"/>
      <c r="HV464" s="1412"/>
      <c r="HW464" s="1412"/>
      <c r="HX464" s="1412"/>
      <c r="HY464" s="1412"/>
      <c r="HZ464" s="1412"/>
      <c r="IA464" s="1412"/>
      <c r="IB464" s="1412"/>
      <c r="IC464" s="1412"/>
      <c r="ID464" s="1412"/>
      <c r="IE464" s="1412"/>
      <c r="IF464" s="1412"/>
      <c r="IG464" s="1413"/>
      <c r="IH464" s="1412"/>
      <c r="II464" s="1412"/>
      <c r="IJ464" s="1412"/>
      <c r="IK464" s="1412"/>
      <c r="IL464" s="1412"/>
      <c r="IM464" s="1412"/>
      <c r="IN464" s="1412"/>
      <c r="IO464" s="1413"/>
      <c r="IP464" s="1412"/>
      <c r="IQ464" s="1412"/>
      <c r="IR464" s="1412"/>
      <c r="IS464" s="1412"/>
      <c r="IT464" s="1412"/>
      <c r="IU464" s="1412"/>
      <c r="IV464" s="1412"/>
      <c r="IW464" s="1412"/>
      <c r="IX464" s="1049"/>
      <c r="IY464" s="1049"/>
      <c r="IZ464" s="1049"/>
      <c r="JA464" s="1049"/>
      <c r="JB464" s="1049"/>
      <c r="JC464" s="1049"/>
      <c r="JD464" s="1041"/>
      <c r="JE464" s="1037"/>
      <c r="JF464" s="1037"/>
      <c r="JG464" s="1037"/>
      <c r="JH464" s="1037"/>
      <c r="JI464" s="1035"/>
      <c r="JJ464" s="1035"/>
      <c r="JK464" s="1035"/>
      <c r="JL464" s="1035"/>
      <c r="JM464" s="1035"/>
      <c r="JN464" s="1035"/>
      <c r="JO464" s="1035"/>
      <c r="JP464" s="1035"/>
      <c r="JQ464" s="1035"/>
      <c r="JR464" s="1035"/>
      <c r="JS464" s="1035"/>
      <c r="JT464" s="1035"/>
      <c r="JU464" s="1035"/>
      <c r="JV464" s="1035"/>
      <c r="JW464" s="1035"/>
      <c r="JX464" s="1035"/>
      <c r="JY464" s="1035"/>
    </row>
    <row r="465" spans="1:285">
      <c r="A465" s="1339" t="s">
        <v>607</v>
      </c>
      <c r="B465" s="1405"/>
      <c r="C465" s="1405"/>
      <c r="D465" s="1405"/>
      <c r="E465" s="1405"/>
      <c r="F465" s="1405"/>
      <c r="G465" s="1405"/>
      <c r="H465" s="1405"/>
      <c r="I465" s="1405"/>
      <c r="J465" s="1405"/>
      <c r="K465" s="1405"/>
      <c r="L465" s="1405"/>
      <c r="M465" s="1405"/>
      <c r="N465" s="1405"/>
      <c r="O465" s="1405"/>
      <c r="P465" s="1405"/>
      <c r="Q465" s="1405"/>
      <c r="R465" s="1405"/>
      <c r="S465" s="1405"/>
      <c r="T465" s="1405"/>
      <c r="U465" s="1405"/>
      <c r="V465" s="1405"/>
      <c r="W465" s="1405"/>
      <c r="X465" s="1405"/>
      <c r="Y465" s="1405"/>
      <c r="Z465" s="1405"/>
      <c r="AA465" s="1405"/>
      <c r="AB465" s="1405"/>
      <c r="AC465" s="1405"/>
      <c r="AD465" s="1405"/>
      <c r="AE465" s="1405"/>
      <c r="AF465" s="1405"/>
      <c r="AG465" s="1405"/>
      <c r="AH465" s="1405"/>
      <c r="AI465" s="1405"/>
      <c r="AJ465" s="1405"/>
      <c r="AK465" s="1405"/>
      <c r="AL465" s="1405"/>
      <c r="AM465" s="1405"/>
      <c r="AN465" s="1405"/>
      <c r="AO465" s="1405"/>
      <c r="AP465" s="1405"/>
      <c r="AQ465" s="1405"/>
      <c r="AR465" s="1405"/>
      <c r="AS465" s="1405"/>
      <c r="AT465" s="1405"/>
      <c r="AU465" s="1405"/>
      <c r="AV465" s="1405"/>
      <c r="AW465" s="1405"/>
      <c r="AX465" s="1406"/>
      <c r="AY465" s="1405"/>
      <c r="AZ465" s="1405"/>
      <c r="BA465" s="1405"/>
      <c r="BB465" s="1405"/>
      <c r="BC465" s="1405"/>
      <c r="BD465" s="1405"/>
      <c r="BE465" s="1407"/>
      <c r="BF465" s="1405"/>
      <c r="BG465" s="1405"/>
      <c r="BH465" s="1405"/>
      <c r="BI465" s="1405"/>
      <c r="BJ465" s="1405"/>
      <c r="BK465" s="1405"/>
      <c r="BL465" s="1405"/>
      <c r="BM465" s="1405"/>
      <c r="BN465" s="1406"/>
      <c r="BO465" s="1405"/>
      <c r="BP465" s="1405"/>
      <c r="BQ465" s="1405"/>
      <c r="BR465" s="1405"/>
      <c r="BS465" s="1405"/>
      <c r="BT465" s="1405"/>
      <c r="BU465" s="1407"/>
      <c r="BV465" s="1303"/>
      <c r="BW465" s="1302"/>
      <c r="BX465" s="1302"/>
      <c r="BY465" s="1302"/>
      <c r="BZ465" s="1302"/>
      <c r="CA465" s="1302"/>
      <c r="CB465" s="1302"/>
      <c r="CC465" s="1304"/>
      <c r="CD465" s="1303"/>
      <c r="CE465" s="1302"/>
      <c r="CF465" s="1302"/>
      <c r="CG465" s="1302"/>
      <c r="CH465" s="1302"/>
      <c r="CI465" s="1302"/>
      <c r="CJ465" s="1302"/>
      <c r="CK465" s="1304"/>
      <c r="CL465" s="1303"/>
      <c r="CM465" s="1302"/>
      <c r="CN465" s="1302"/>
      <c r="CO465" s="1302"/>
      <c r="CP465" s="1302"/>
      <c r="CQ465" s="1302"/>
      <c r="CR465" s="1302"/>
      <c r="CS465" s="1304"/>
      <c r="CT465" s="1408">
        <v>8627</v>
      </c>
      <c r="CU465" s="1409">
        <v>8761</v>
      </c>
      <c r="CV465" s="1409">
        <f>CU465</f>
        <v>8761</v>
      </c>
      <c r="CW465" s="1409">
        <v>8738</v>
      </c>
      <c r="CX465" s="1409">
        <f>-CW465</f>
        <v>-8738</v>
      </c>
      <c r="CY465" s="1409">
        <v>8325</v>
      </c>
      <c r="CZ465" s="1409">
        <f>CY465</f>
        <v>8325</v>
      </c>
      <c r="DA465" s="1410">
        <f>CY465</f>
        <v>8325</v>
      </c>
      <c r="DB465" s="1411">
        <v>8406</v>
      </c>
      <c r="DC465" s="1412">
        <v>8679</v>
      </c>
      <c r="DD465" s="1412">
        <f>DC465</f>
        <v>8679</v>
      </c>
      <c r="DE465" s="1412">
        <v>9456</v>
      </c>
      <c r="DF465" s="1412">
        <f>DE465</f>
        <v>9456</v>
      </c>
      <c r="DG465" s="1412">
        <v>9533</v>
      </c>
      <c r="DH465" s="1412">
        <f>DG465</f>
        <v>9533</v>
      </c>
      <c r="DI465" s="1413">
        <f>DG465</f>
        <v>9533</v>
      </c>
      <c r="DJ465" s="1412">
        <v>9904</v>
      </c>
      <c r="DK465" s="1412">
        <v>9407</v>
      </c>
      <c r="DL465" s="1412">
        <v>9407</v>
      </c>
      <c r="DM465" s="1412">
        <v>9105</v>
      </c>
      <c r="DN465" s="1412">
        <f>DM465</f>
        <v>9105</v>
      </c>
      <c r="DO465" s="1412">
        <f t="shared" si="3899"/>
        <v>8875</v>
      </c>
      <c r="DP465" s="1412">
        <f t="shared" si="3899"/>
        <v>8875</v>
      </c>
      <c r="DQ465" s="1413">
        <f>'Balance Sheet &amp; Cash Flow'!Q37</f>
        <v>8875</v>
      </c>
      <c r="DR465" s="1412">
        <v>9531</v>
      </c>
      <c r="DS465" s="1412">
        <v>10608</v>
      </c>
      <c r="DT465" s="1412">
        <v>10608</v>
      </c>
      <c r="DU465" s="1412">
        <v>10105</v>
      </c>
      <c r="DV465" s="1412">
        <v>10105</v>
      </c>
      <c r="DW465" s="1412">
        <f>DY465</f>
        <v>10528</v>
      </c>
      <c r="DX465" s="1412">
        <f>+DY465</f>
        <v>10528</v>
      </c>
      <c r="DY465" s="1413">
        <f>'Balance Sheet &amp; Cash Flow'!R37</f>
        <v>10528</v>
      </c>
      <c r="DZ465" s="1414">
        <v>10037</v>
      </c>
      <c r="EA465" s="1414">
        <f>EB465</f>
        <v>10265</v>
      </c>
      <c r="EB465" s="1414">
        <v>10265</v>
      </c>
      <c r="EC465" s="1412">
        <f>+ED465</f>
        <v>10928</v>
      </c>
      <c r="ED465" s="1412">
        <v>10928</v>
      </c>
      <c r="EE465" s="1412">
        <f t="shared" si="3900"/>
        <v>11237</v>
      </c>
      <c r="EF465" s="1412">
        <f t="shared" si="3900"/>
        <v>11237</v>
      </c>
      <c r="EG465" s="1413">
        <v>11237</v>
      </c>
      <c r="EH465" s="1414">
        <v>11308</v>
      </c>
      <c r="EI465" s="1414">
        <v>12237</v>
      </c>
      <c r="EJ465" s="1414">
        <f t="shared" si="3888"/>
        <v>12237</v>
      </c>
      <c r="EK465" s="1412">
        <f t="shared" si="3889"/>
        <v>11889</v>
      </c>
      <c r="EL465" s="1412">
        <v>11889</v>
      </c>
      <c r="EM465" s="1412">
        <f>EN465</f>
        <v>11651</v>
      </c>
      <c r="EN465" s="1412">
        <f>EO465</f>
        <v>11651</v>
      </c>
      <c r="EO465" s="1413">
        <v>11651</v>
      </c>
      <c r="EP465" s="1414">
        <v>11561</v>
      </c>
      <c r="EQ465" s="1412">
        <f t="shared" si="3891"/>
        <v>11525</v>
      </c>
      <c r="ER465" s="1412">
        <v>11525</v>
      </c>
      <c r="ES465" s="1412">
        <f>ET465</f>
        <v>11389</v>
      </c>
      <c r="ET465" s="1412">
        <v>11389</v>
      </c>
      <c r="EU465" s="1412">
        <f t="shared" si="3901"/>
        <v>11599</v>
      </c>
      <c r="EV465" s="1412">
        <f t="shared" si="3901"/>
        <v>11488</v>
      </c>
      <c r="EW465" s="1413">
        <v>11599</v>
      </c>
      <c r="EX465" s="1412">
        <v>11488</v>
      </c>
      <c r="EY465" s="1427"/>
      <c r="EZ465" s="1427"/>
      <c r="FA465" s="1427"/>
      <c r="FB465" s="1427"/>
      <c r="FC465" s="1427"/>
      <c r="FD465" s="1427"/>
      <c r="FE465" s="1428"/>
      <c r="FF465" s="1427"/>
      <c r="FG465" s="1427"/>
      <c r="FH465" s="1412"/>
      <c r="FI465" s="1412"/>
      <c r="FJ465" s="1412"/>
      <c r="FK465" s="1412"/>
      <c r="FL465" s="1412"/>
      <c r="FM465" s="1413"/>
      <c r="FN465" s="1412"/>
      <c r="FO465" s="1412"/>
      <c r="FP465" s="1412"/>
      <c r="FQ465" s="1412"/>
      <c r="FR465" s="1412"/>
      <c r="FS465" s="1412"/>
      <c r="FT465" s="1412"/>
      <c r="FU465" s="1412"/>
      <c r="FV465" s="1411"/>
      <c r="FW465" s="1412"/>
      <c r="FX465" s="1412"/>
      <c r="FY465" s="1412"/>
      <c r="FZ465" s="1412"/>
      <c r="GA465" s="1412"/>
      <c r="GB465" s="1412"/>
      <c r="GC465" s="1413"/>
      <c r="GD465" s="1412"/>
      <c r="GE465" s="1412"/>
      <c r="GF465" s="1412"/>
      <c r="GG465" s="1412"/>
      <c r="GH465" s="1412"/>
      <c r="GI465" s="1412"/>
      <c r="GJ465" s="1412"/>
      <c r="GK465" s="1413"/>
      <c r="GL465" s="1412"/>
      <c r="GM465" s="1412"/>
      <c r="GN465" s="1412"/>
      <c r="GO465" s="1412"/>
      <c r="GP465" s="1412"/>
      <c r="GQ465" s="1412"/>
      <c r="GR465" s="1412"/>
      <c r="GS465" s="1413"/>
      <c r="GT465" s="1412"/>
      <c r="GU465" s="1412"/>
      <c r="GV465" s="1412"/>
      <c r="GW465" s="1412"/>
      <c r="GX465" s="1412"/>
      <c r="GY465" s="1412"/>
      <c r="GZ465" s="1412"/>
      <c r="HA465" s="1413"/>
      <c r="HB465" s="1412"/>
      <c r="HC465" s="1412"/>
      <c r="HD465" s="1412"/>
      <c r="HE465" s="1412"/>
      <c r="HF465" s="1412"/>
      <c r="HG465" s="1412"/>
      <c r="HH465" s="1412"/>
      <c r="HI465" s="1413"/>
      <c r="HJ465" s="1412"/>
      <c r="HK465" s="1412"/>
      <c r="HL465" s="1412"/>
      <c r="HM465" s="1412"/>
      <c r="HN465" s="1412"/>
      <c r="HO465" s="1412"/>
      <c r="HP465" s="1412"/>
      <c r="HQ465" s="1413"/>
      <c r="HR465" s="1412"/>
      <c r="HS465" s="1412"/>
      <c r="HT465" s="1412"/>
      <c r="HU465" s="1412"/>
      <c r="HV465" s="1412"/>
      <c r="HW465" s="1412"/>
      <c r="HX465" s="1412"/>
      <c r="HY465" s="1412"/>
      <c r="HZ465" s="1412"/>
      <c r="IA465" s="1412"/>
      <c r="IB465" s="1412"/>
      <c r="IC465" s="1412"/>
      <c r="ID465" s="1412"/>
      <c r="IE465" s="1412"/>
      <c r="IF465" s="1412"/>
      <c r="IG465" s="1413"/>
      <c r="IH465" s="1412"/>
      <c r="II465" s="1412"/>
      <c r="IJ465" s="1412"/>
      <c r="IK465" s="1412"/>
      <c r="IL465" s="1412"/>
      <c r="IM465" s="1412"/>
      <c r="IN465" s="1412"/>
      <c r="IO465" s="1413"/>
      <c r="IP465" s="1412"/>
      <c r="IQ465" s="1412"/>
      <c r="IR465" s="1412"/>
      <c r="IS465" s="1412"/>
      <c r="IT465" s="1412"/>
      <c r="IU465" s="1412"/>
      <c r="IV465" s="1412"/>
      <c r="IW465" s="1412"/>
      <c r="IX465" s="1049"/>
      <c r="IY465" s="1049"/>
      <c r="IZ465" s="1049"/>
      <c r="JA465" s="1049"/>
      <c r="JB465" s="1049"/>
      <c r="JC465" s="1049"/>
      <c r="JD465" s="1041"/>
      <c r="JE465" s="1037"/>
      <c r="JF465" s="1037"/>
      <c r="JG465" s="1037"/>
      <c r="JH465" s="1037"/>
      <c r="JI465" s="1035"/>
      <c r="JJ465" s="1035"/>
      <c r="JK465" s="1035"/>
      <c r="JL465" s="1035"/>
      <c r="JM465" s="1035"/>
      <c r="JN465" s="1035"/>
      <c r="JO465" s="1035"/>
      <c r="JP465" s="1035"/>
      <c r="JQ465" s="1035"/>
      <c r="JR465" s="1035"/>
      <c r="JS465" s="1035"/>
      <c r="JT465" s="1035"/>
      <c r="JU465" s="1035"/>
      <c r="JV465" s="1035"/>
      <c r="JW465" s="1035"/>
      <c r="JX465" s="1035"/>
      <c r="JY465" s="1035"/>
    </row>
    <row r="466" spans="1:285">
      <c r="A466" s="1339" t="s">
        <v>608</v>
      </c>
      <c r="B466" s="1405"/>
      <c r="C466" s="1405"/>
      <c r="D466" s="1405"/>
      <c r="E466" s="1405"/>
      <c r="F466" s="1405"/>
      <c r="G466" s="1405"/>
      <c r="H466" s="1405"/>
      <c r="I466" s="1405"/>
      <c r="J466" s="1405"/>
      <c r="K466" s="1405"/>
      <c r="L466" s="1405"/>
      <c r="M466" s="1405"/>
      <c r="N466" s="1405"/>
      <c r="O466" s="1405"/>
      <c r="P466" s="1405"/>
      <c r="Q466" s="1405"/>
      <c r="R466" s="1405"/>
      <c r="S466" s="1405"/>
      <c r="T466" s="1405"/>
      <c r="U466" s="1405"/>
      <c r="V466" s="1405"/>
      <c r="W466" s="1405"/>
      <c r="X466" s="1405"/>
      <c r="Y466" s="1405"/>
      <c r="Z466" s="1405"/>
      <c r="AA466" s="1405"/>
      <c r="AB466" s="1405"/>
      <c r="AC466" s="1405"/>
      <c r="AD466" s="1405"/>
      <c r="AE466" s="1405"/>
      <c r="AF466" s="1405"/>
      <c r="AG466" s="1405"/>
      <c r="AH466" s="1405"/>
      <c r="AI466" s="1405"/>
      <c r="AJ466" s="1405"/>
      <c r="AK466" s="1405"/>
      <c r="AL466" s="1405"/>
      <c r="AM466" s="1405"/>
      <c r="AN466" s="1405"/>
      <c r="AO466" s="1405"/>
      <c r="AP466" s="1405"/>
      <c r="AQ466" s="1405"/>
      <c r="AR466" s="1405"/>
      <c r="AS466" s="1405"/>
      <c r="AT466" s="1405"/>
      <c r="AU466" s="1405"/>
      <c r="AV466" s="1405"/>
      <c r="AW466" s="1405"/>
      <c r="AX466" s="1406"/>
      <c r="AY466" s="1405"/>
      <c r="AZ466" s="1405"/>
      <c r="BA466" s="1405"/>
      <c r="BB466" s="1405"/>
      <c r="BC466" s="1405"/>
      <c r="BD466" s="1405"/>
      <c r="BE466" s="1407"/>
      <c r="BF466" s="1405"/>
      <c r="BG466" s="1405"/>
      <c r="BH466" s="1405"/>
      <c r="BI466" s="1405"/>
      <c r="BJ466" s="1405"/>
      <c r="BK466" s="1405"/>
      <c r="BL466" s="1405"/>
      <c r="BM466" s="1405"/>
      <c r="BN466" s="1406"/>
      <c r="BO466" s="1405"/>
      <c r="BP466" s="1405"/>
      <c r="BQ466" s="1405"/>
      <c r="BR466" s="1405"/>
      <c r="BS466" s="1405"/>
      <c r="BT466" s="1405"/>
      <c r="BU466" s="1407"/>
      <c r="BV466" s="1303"/>
      <c r="BW466" s="1302"/>
      <c r="BX466" s="1302"/>
      <c r="BY466" s="1302"/>
      <c r="BZ466" s="1302"/>
      <c r="CA466" s="1302"/>
      <c r="CB466" s="1302"/>
      <c r="CC466" s="1304"/>
      <c r="CD466" s="1303"/>
      <c r="CE466" s="1302"/>
      <c r="CF466" s="1302"/>
      <c r="CG466" s="1302"/>
      <c r="CH466" s="1302"/>
      <c r="CI466" s="1302"/>
      <c r="CJ466" s="1302"/>
      <c r="CK466" s="1304"/>
      <c r="CL466" s="1303"/>
      <c r="CM466" s="1302"/>
      <c r="CN466" s="1302"/>
      <c r="CO466" s="1302"/>
      <c r="CP466" s="1302"/>
      <c r="CQ466" s="1302"/>
      <c r="CR466" s="1302"/>
      <c r="CS466" s="1304"/>
      <c r="CT466" s="1408">
        <v>2931</v>
      </c>
      <c r="CU466" s="1409">
        <v>2948</v>
      </c>
      <c r="CV466" s="1409">
        <f>CU466</f>
        <v>2948</v>
      </c>
      <c r="CW466" s="1409">
        <v>3096</v>
      </c>
      <c r="CX466" s="1409">
        <f>-CW466</f>
        <v>-3096</v>
      </c>
      <c r="CY466" s="1409">
        <v>3023</v>
      </c>
      <c r="CZ466" s="1409">
        <f>CY466</f>
        <v>3023</v>
      </c>
      <c r="DA466" s="1410">
        <f>CY466</f>
        <v>3023</v>
      </c>
      <c r="DB466" s="1411">
        <v>2843</v>
      </c>
      <c r="DC466" s="1412">
        <v>2746</v>
      </c>
      <c r="DD466" s="1412">
        <f>DC466</f>
        <v>2746</v>
      </c>
      <c r="DE466" s="1412">
        <v>3306</v>
      </c>
      <c r="DF466" s="1412">
        <f>DE466</f>
        <v>3306</v>
      </c>
      <c r="DG466" s="1412">
        <v>3386</v>
      </c>
      <c r="DH466" s="1412">
        <f>DG466</f>
        <v>3386</v>
      </c>
      <c r="DI466" s="1413">
        <f>DG466</f>
        <v>3386</v>
      </c>
      <c r="DJ466" s="1412">
        <v>3525</v>
      </c>
      <c r="DK466" s="1412">
        <v>3189</v>
      </c>
      <c r="DL466" s="1412">
        <v>3189</v>
      </c>
      <c r="DM466" s="1412">
        <v>3268</v>
      </c>
      <c r="DN466" s="1412">
        <f>DM466</f>
        <v>3268</v>
      </c>
      <c r="DO466" s="1412">
        <f t="shared" si="3899"/>
        <v>3771</v>
      </c>
      <c r="DP466" s="1412">
        <f t="shared" si="3899"/>
        <v>3771</v>
      </c>
      <c r="DQ466" s="1413">
        <f>'Balance Sheet &amp; Cash Flow'!Q67</f>
        <v>3771</v>
      </c>
      <c r="DR466" s="1412">
        <v>4254</v>
      </c>
      <c r="DS466" s="1412">
        <v>4729</v>
      </c>
      <c r="DT466" s="1412">
        <v>4729</v>
      </c>
      <c r="DU466" s="1412">
        <v>4494</v>
      </c>
      <c r="DV466" s="1412">
        <v>4494</v>
      </c>
      <c r="DW466" s="1412">
        <f>DY466</f>
        <v>4463</v>
      </c>
      <c r="DX466" s="1412">
        <f>+DY466</f>
        <v>4463</v>
      </c>
      <c r="DY466" s="1413">
        <f>'Balance Sheet &amp; Cash Flow'!R67</f>
        <v>4463</v>
      </c>
      <c r="DZ466" s="1414">
        <v>4542</v>
      </c>
      <c r="EA466" s="1414">
        <f>EB466</f>
        <v>4467</v>
      </c>
      <c r="EB466" s="1414">
        <v>4467</v>
      </c>
      <c r="EC466" s="1412">
        <f>+ED466</f>
        <v>5119</v>
      </c>
      <c r="ED466" s="1412">
        <v>5119</v>
      </c>
      <c r="EE466" s="1412">
        <f t="shared" si="3900"/>
        <v>5128</v>
      </c>
      <c r="EF466" s="1412">
        <f t="shared" si="3900"/>
        <v>5128</v>
      </c>
      <c r="EG466" s="1413">
        <v>5128</v>
      </c>
      <c r="EH466" s="1414">
        <v>5317</v>
      </c>
      <c r="EI466" s="1414">
        <v>5688</v>
      </c>
      <c r="EJ466" s="1414">
        <f t="shared" si="3888"/>
        <v>5688</v>
      </c>
      <c r="EK466" s="1412">
        <f t="shared" si="3889"/>
        <v>5895</v>
      </c>
      <c r="EL466" s="1412">
        <v>5895</v>
      </c>
      <c r="EM466" s="1412">
        <f t="shared" ref="EM466:EN468" si="3902">EN466</f>
        <v>5291</v>
      </c>
      <c r="EN466" s="1412">
        <f t="shared" si="3902"/>
        <v>5291</v>
      </c>
      <c r="EO466" s="1413">
        <v>5291</v>
      </c>
      <c r="EP466" s="1414">
        <v>5743</v>
      </c>
      <c r="EQ466" s="1412">
        <f t="shared" si="3891"/>
        <v>5476</v>
      </c>
      <c r="ER466" s="1412">
        <v>5476</v>
      </c>
      <c r="ES466" s="1412">
        <f>ET466</f>
        <v>5619</v>
      </c>
      <c r="ET466" s="1412">
        <v>5619</v>
      </c>
      <c r="EU466" s="1412">
        <f t="shared" si="3901"/>
        <v>5489</v>
      </c>
      <c r="EV466" s="1412">
        <f t="shared" si="3901"/>
        <v>5610</v>
      </c>
      <c r="EW466" s="1413">
        <v>5489</v>
      </c>
      <c r="EX466" s="1412">
        <v>5610</v>
      </c>
      <c r="EY466" s="1427"/>
      <c r="EZ466" s="1427"/>
      <c r="FA466" s="1427"/>
      <c r="FB466" s="1427"/>
      <c r="FC466" s="1427"/>
      <c r="FD466" s="1427"/>
      <c r="FE466" s="1428"/>
      <c r="FF466" s="1427"/>
      <c r="FG466" s="1427"/>
      <c r="FH466" s="1412"/>
      <c r="FI466" s="1412"/>
      <c r="FJ466" s="1412"/>
      <c r="FK466" s="1412"/>
      <c r="FL466" s="1412"/>
      <c r="FM466" s="1413"/>
      <c r="FN466" s="1412"/>
      <c r="FO466" s="1412"/>
      <c r="FP466" s="1412"/>
      <c r="FQ466" s="1412"/>
      <c r="FR466" s="1412"/>
      <c r="FS466" s="1412"/>
      <c r="FT466" s="1412"/>
      <c r="FU466" s="1412"/>
      <c r="FV466" s="1411"/>
      <c r="FW466" s="1412"/>
      <c r="FX466" s="1412"/>
      <c r="FY466" s="1412"/>
      <c r="FZ466" s="1412"/>
      <c r="GA466" s="1412"/>
      <c r="GB466" s="1412"/>
      <c r="GC466" s="1413"/>
      <c r="GD466" s="1412"/>
      <c r="GE466" s="1412"/>
      <c r="GF466" s="1412"/>
      <c r="GG466" s="1412"/>
      <c r="GH466" s="1412"/>
      <c r="GI466" s="1412"/>
      <c r="GJ466" s="1412"/>
      <c r="GK466" s="1413"/>
      <c r="GL466" s="1412"/>
      <c r="GM466" s="1412"/>
      <c r="GN466" s="1412"/>
      <c r="GO466" s="1412"/>
      <c r="GP466" s="1412"/>
      <c r="GQ466" s="1412"/>
      <c r="GR466" s="1412"/>
      <c r="GS466" s="1413"/>
      <c r="GT466" s="1412"/>
      <c r="GU466" s="1412"/>
      <c r="GV466" s="1412"/>
      <c r="GW466" s="1412"/>
      <c r="GX466" s="1412"/>
      <c r="GY466" s="1412"/>
      <c r="GZ466" s="1412"/>
      <c r="HA466" s="1413"/>
      <c r="HB466" s="1412"/>
      <c r="HC466" s="1412"/>
      <c r="HD466" s="1412"/>
      <c r="HE466" s="1412"/>
      <c r="HF466" s="1412"/>
      <c r="HG466" s="1412"/>
      <c r="HH466" s="1412"/>
      <c r="HI466" s="1413"/>
      <c r="HJ466" s="1412"/>
      <c r="HK466" s="1412"/>
      <c r="HL466" s="1412"/>
      <c r="HM466" s="1412"/>
      <c r="HN466" s="1412"/>
      <c r="HO466" s="1412"/>
      <c r="HP466" s="1412"/>
      <c r="HQ466" s="1413"/>
      <c r="HR466" s="1412"/>
      <c r="HS466" s="1412"/>
      <c r="HT466" s="1412"/>
      <c r="HU466" s="1412"/>
      <c r="HV466" s="1412"/>
      <c r="HW466" s="1412"/>
      <c r="HX466" s="1412"/>
      <c r="HY466" s="1412"/>
      <c r="HZ466" s="1412"/>
      <c r="IA466" s="1412"/>
      <c r="IB466" s="1412"/>
      <c r="IC466" s="1412"/>
      <c r="ID466" s="1412"/>
      <c r="IE466" s="1412"/>
      <c r="IF466" s="1412"/>
      <c r="IG466" s="1413"/>
      <c r="IH466" s="1412"/>
      <c r="II466" s="1412"/>
      <c r="IJ466" s="1412"/>
      <c r="IK466" s="1412"/>
      <c r="IL466" s="1412"/>
      <c r="IM466" s="1412"/>
      <c r="IN466" s="1412"/>
      <c r="IO466" s="1413"/>
      <c r="IP466" s="1412"/>
      <c r="IQ466" s="1412"/>
      <c r="IR466" s="1412"/>
      <c r="IS466" s="1412"/>
      <c r="IT466" s="1412"/>
      <c r="IU466" s="1412"/>
      <c r="IV466" s="1412"/>
      <c r="IW466" s="1412"/>
      <c r="IX466" s="1049"/>
      <c r="IY466" s="1049"/>
      <c r="IZ466" s="1049"/>
      <c r="JA466" s="1049"/>
      <c r="JB466" s="1049"/>
      <c r="JC466" s="1049"/>
      <c r="JD466" s="1041"/>
      <c r="JE466" s="1037"/>
      <c r="JF466" s="1037"/>
      <c r="JG466" s="1037"/>
      <c r="JH466" s="1037"/>
      <c r="JI466" s="1035"/>
      <c r="JJ466" s="1035"/>
      <c r="JK466" s="1035"/>
      <c r="JL466" s="1035"/>
      <c r="JM466" s="1035"/>
      <c r="JN466" s="1035"/>
      <c r="JO466" s="1035"/>
      <c r="JP466" s="1035"/>
      <c r="JQ466" s="1035"/>
      <c r="JR466" s="1035"/>
      <c r="JS466" s="1035"/>
      <c r="JT466" s="1035"/>
      <c r="JU466" s="1035"/>
      <c r="JV466" s="1035"/>
      <c r="JW466" s="1035"/>
      <c r="JX466" s="1035"/>
      <c r="JY466" s="1035"/>
    </row>
    <row r="467" spans="1:285">
      <c r="A467" s="1339"/>
      <c r="B467" s="1405"/>
      <c r="C467" s="1405"/>
      <c r="D467" s="1405"/>
      <c r="E467" s="1405"/>
      <c r="F467" s="1405"/>
      <c r="G467" s="1405"/>
      <c r="H467" s="1405"/>
      <c r="I467" s="1405"/>
      <c r="J467" s="1405"/>
      <c r="K467" s="1405"/>
      <c r="L467" s="1405"/>
      <c r="M467" s="1405"/>
      <c r="N467" s="1405"/>
      <c r="O467" s="1405"/>
      <c r="P467" s="1405"/>
      <c r="Q467" s="1405"/>
      <c r="R467" s="1405"/>
      <c r="S467" s="1405"/>
      <c r="T467" s="1405"/>
      <c r="U467" s="1405"/>
      <c r="V467" s="1405"/>
      <c r="W467" s="1405"/>
      <c r="X467" s="1405"/>
      <c r="Y467" s="1405"/>
      <c r="Z467" s="1405"/>
      <c r="AA467" s="1405"/>
      <c r="AB467" s="1405"/>
      <c r="AC467" s="1405"/>
      <c r="AD467" s="1405"/>
      <c r="AE467" s="1405"/>
      <c r="AF467" s="1405"/>
      <c r="AG467" s="1405"/>
      <c r="AH467" s="1405"/>
      <c r="AI467" s="1405"/>
      <c r="AJ467" s="1405"/>
      <c r="AK467" s="1405"/>
      <c r="AL467" s="1405"/>
      <c r="AM467" s="1405"/>
      <c r="AN467" s="1405"/>
      <c r="AO467" s="1405"/>
      <c r="AP467" s="1405"/>
      <c r="AQ467" s="1405"/>
      <c r="AR467" s="1405"/>
      <c r="AS467" s="1405"/>
      <c r="AT467" s="1405"/>
      <c r="AU467" s="1405"/>
      <c r="AV467" s="1405"/>
      <c r="AW467" s="1405"/>
      <c r="AX467" s="1406"/>
      <c r="AY467" s="1405"/>
      <c r="AZ467" s="1405"/>
      <c r="BA467" s="1405"/>
      <c r="BB467" s="1405"/>
      <c r="BC467" s="1405"/>
      <c r="BD467" s="1405"/>
      <c r="BE467" s="1407"/>
      <c r="BF467" s="1405"/>
      <c r="BG467" s="1405"/>
      <c r="BH467" s="1405"/>
      <c r="BI467" s="1405"/>
      <c r="BJ467" s="1405"/>
      <c r="BK467" s="1405"/>
      <c r="BL467" s="1405"/>
      <c r="BM467" s="1405"/>
      <c r="BN467" s="1406"/>
      <c r="BO467" s="1405"/>
      <c r="BP467" s="1405"/>
      <c r="BQ467" s="1405"/>
      <c r="BR467" s="1405"/>
      <c r="BS467" s="1405"/>
      <c r="BT467" s="1405"/>
      <c r="BU467" s="1407"/>
      <c r="BV467" s="1303"/>
      <c r="BW467" s="1302"/>
      <c r="BX467" s="1302"/>
      <c r="BY467" s="1302"/>
      <c r="BZ467" s="1302"/>
      <c r="CA467" s="1302"/>
      <c r="CB467" s="1302"/>
      <c r="CC467" s="1304"/>
      <c r="CD467" s="1303"/>
      <c r="CE467" s="1302"/>
      <c r="CF467" s="1302"/>
      <c r="CG467" s="1302"/>
      <c r="CH467" s="1302"/>
      <c r="CI467" s="1302"/>
      <c r="CJ467" s="1302"/>
      <c r="CK467" s="1304"/>
      <c r="CL467" s="1303"/>
      <c r="CM467" s="1302"/>
      <c r="CN467" s="1302"/>
      <c r="CO467" s="1302"/>
      <c r="CP467" s="1302"/>
      <c r="CQ467" s="1302"/>
      <c r="CR467" s="1302"/>
      <c r="CS467" s="1304"/>
      <c r="CT467" s="1408"/>
      <c r="CU467" s="1409"/>
      <c r="CV467" s="1409"/>
      <c r="CW467" s="1409"/>
      <c r="CX467" s="1409"/>
      <c r="CY467" s="1409"/>
      <c r="CZ467" s="1409"/>
      <c r="DA467" s="1410"/>
      <c r="DB467" s="1411"/>
      <c r="DC467" s="1412"/>
      <c r="DD467" s="1412"/>
      <c r="DE467" s="1412"/>
      <c r="DF467" s="1412"/>
      <c r="DG467" s="1412"/>
      <c r="DH467" s="1412"/>
      <c r="DI467" s="1413"/>
      <c r="DJ467" s="1412"/>
      <c r="DK467" s="1426"/>
      <c r="DL467" s="1412"/>
      <c r="DM467" s="1412"/>
      <c r="DN467" s="1412"/>
      <c r="DO467" s="1412"/>
      <c r="DP467" s="1412"/>
      <c r="DQ467" s="1413"/>
      <c r="DR467" s="1412"/>
      <c r="DS467" s="1426"/>
      <c r="DT467" s="1412"/>
      <c r="DU467" s="1412"/>
      <c r="DV467" s="1412"/>
      <c r="DW467" s="1412"/>
      <c r="DX467" s="1412"/>
      <c r="DY467" s="1413"/>
      <c r="DZ467" s="1414"/>
      <c r="EA467" s="1429"/>
      <c r="EB467" s="1414"/>
      <c r="EC467" s="1412"/>
      <c r="ED467" s="1412"/>
      <c r="EE467" s="1412"/>
      <c r="EF467" s="1412"/>
      <c r="EG467" s="1413"/>
      <c r="EH467" s="1414"/>
      <c r="EI467" s="1429"/>
      <c r="EJ467" s="1414"/>
      <c r="EK467" s="1412"/>
      <c r="EL467" s="1412"/>
      <c r="EM467" s="1412"/>
      <c r="EN467" s="1412"/>
      <c r="EO467" s="1413"/>
      <c r="EP467" s="1414"/>
      <c r="EQ467" s="1412"/>
      <c r="ER467" s="1412"/>
      <c r="ES467" s="1412"/>
      <c r="ET467" s="1412"/>
      <c r="EU467" s="1412"/>
      <c r="EV467" s="1412"/>
      <c r="EW467" s="1413"/>
      <c r="EX467" s="1412"/>
      <c r="EY467" s="1427"/>
      <c r="EZ467" s="1427"/>
      <c r="FA467" s="1427"/>
      <c r="FB467" s="1427"/>
      <c r="FC467" s="1427"/>
      <c r="FD467" s="1427"/>
      <c r="FE467" s="1428"/>
      <c r="FF467" s="1427"/>
      <c r="FG467" s="1427"/>
      <c r="FH467" s="1412"/>
      <c r="FI467" s="1412"/>
      <c r="FJ467" s="1412"/>
      <c r="FK467" s="1412"/>
      <c r="FL467" s="1412"/>
      <c r="FM467" s="1413"/>
      <c r="FN467" s="1412"/>
      <c r="FO467" s="1412"/>
      <c r="FP467" s="1412"/>
      <c r="FQ467" s="1412"/>
      <c r="FR467" s="1412"/>
      <c r="FS467" s="1412"/>
      <c r="FT467" s="1412"/>
      <c r="FU467" s="1412"/>
      <c r="FV467" s="1411"/>
      <c r="FW467" s="1412"/>
      <c r="FX467" s="1412"/>
      <c r="FY467" s="1412"/>
      <c r="FZ467" s="1412"/>
      <c r="GA467" s="1412"/>
      <c r="GB467" s="1412"/>
      <c r="GC467" s="1413"/>
      <c r="GD467" s="1412"/>
      <c r="GE467" s="1412"/>
      <c r="GF467" s="1412"/>
      <c r="GG467" s="1412"/>
      <c r="GH467" s="1412"/>
      <c r="GI467" s="1412"/>
      <c r="GJ467" s="1412"/>
      <c r="GK467" s="1413"/>
      <c r="GL467" s="1412"/>
      <c r="GM467" s="1412"/>
      <c r="GN467" s="1412"/>
      <c r="GO467" s="1412"/>
      <c r="GP467" s="1412"/>
      <c r="GQ467" s="1412"/>
      <c r="GR467" s="1412"/>
      <c r="GS467" s="1413"/>
      <c r="GT467" s="1412"/>
      <c r="GU467" s="1412"/>
      <c r="GV467" s="1412"/>
      <c r="GW467" s="1412"/>
      <c r="GX467" s="1412"/>
      <c r="GY467" s="1412"/>
      <c r="GZ467" s="1412"/>
      <c r="HA467" s="1413"/>
      <c r="HB467" s="1412"/>
      <c r="HC467" s="1412"/>
      <c r="HD467" s="1412"/>
      <c r="HE467" s="1412"/>
      <c r="HF467" s="1412"/>
      <c r="HG467" s="1412"/>
      <c r="HH467" s="1412"/>
      <c r="HI467" s="1413"/>
      <c r="HJ467" s="1412"/>
      <c r="HK467" s="1412"/>
      <c r="HL467" s="1412"/>
      <c r="HM467" s="1412"/>
      <c r="HN467" s="1412"/>
      <c r="HO467" s="1412"/>
      <c r="HP467" s="1412"/>
      <c r="HQ467" s="1413"/>
      <c r="HR467" s="1412"/>
      <c r="HS467" s="1412"/>
      <c r="HT467" s="1412"/>
      <c r="HU467" s="1412"/>
      <c r="HV467" s="1412"/>
      <c r="HW467" s="1412"/>
      <c r="HX467" s="1412"/>
      <c r="HY467" s="1412"/>
      <c r="HZ467" s="1412"/>
      <c r="IA467" s="1412"/>
      <c r="IB467" s="1412"/>
      <c r="IC467" s="1412"/>
      <c r="ID467" s="1412"/>
      <c r="IE467" s="1412"/>
      <c r="IF467" s="1412"/>
      <c r="IG467" s="1413"/>
      <c r="IH467" s="1412"/>
      <c r="II467" s="1412"/>
      <c r="IJ467" s="1412"/>
      <c r="IK467" s="1412"/>
      <c r="IL467" s="1412"/>
      <c r="IM467" s="1412"/>
      <c r="IN467" s="1412"/>
      <c r="IO467" s="1413"/>
      <c r="IP467" s="1412"/>
      <c r="IQ467" s="1412"/>
      <c r="IR467" s="1412"/>
      <c r="IS467" s="1412"/>
      <c r="IT467" s="1412"/>
      <c r="IU467" s="1412"/>
      <c r="IV467" s="1412"/>
      <c r="IW467" s="1412"/>
      <c r="IX467" s="1049"/>
      <c r="IY467" s="1049"/>
      <c r="IZ467" s="1049"/>
      <c r="JA467" s="1049"/>
      <c r="JB467" s="1049"/>
      <c r="JC467" s="1049"/>
      <c r="JD467" s="1041"/>
      <c r="JE467" s="1037"/>
      <c r="JF467" s="1037"/>
      <c r="JG467" s="1037"/>
      <c r="JH467" s="1037"/>
      <c r="JI467" s="1035"/>
      <c r="JJ467" s="1035"/>
      <c r="JK467" s="1035"/>
      <c r="JL467" s="1035"/>
      <c r="JM467" s="1035"/>
      <c r="JN467" s="1035"/>
      <c r="JO467" s="1035"/>
      <c r="JP467" s="1035"/>
      <c r="JQ467" s="1035"/>
      <c r="JR467" s="1035"/>
      <c r="JS467" s="1035"/>
      <c r="JT467" s="1035"/>
      <c r="JU467" s="1035"/>
      <c r="JV467" s="1035"/>
      <c r="JW467" s="1035"/>
      <c r="JX467" s="1035"/>
      <c r="JY467" s="1035"/>
    </row>
    <row r="468" spans="1:285">
      <c r="A468" s="1339" t="s">
        <v>221</v>
      </c>
      <c r="B468" s="1405"/>
      <c r="C468" s="1405"/>
      <c r="D468" s="1405"/>
      <c r="E468" s="1405"/>
      <c r="F468" s="1405"/>
      <c r="G468" s="1405"/>
      <c r="H468" s="1405"/>
      <c r="I468" s="1405"/>
      <c r="J468" s="1405"/>
      <c r="K468" s="1405"/>
      <c r="L468" s="1405"/>
      <c r="M468" s="1405"/>
      <c r="N468" s="1405"/>
      <c r="O468" s="1405"/>
      <c r="P468" s="1405"/>
      <c r="Q468" s="1405"/>
      <c r="R468" s="1405"/>
      <c r="S468" s="1405"/>
      <c r="T468" s="1405"/>
      <c r="U468" s="1405"/>
      <c r="V468" s="1405"/>
      <c r="W468" s="1405"/>
      <c r="X468" s="1405"/>
      <c r="Y468" s="1405"/>
      <c r="Z468" s="1405"/>
      <c r="AA468" s="1405"/>
      <c r="AB468" s="1405"/>
      <c r="AC468" s="1405"/>
      <c r="AD468" s="1405"/>
      <c r="AE468" s="1405"/>
      <c r="AF468" s="1405"/>
      <c r="AG468" s="1405"/>
      <c r="AH468" s="1405"/>
      <c r="AI468" s="1405"/>
      <c r="AJ468" s="1405"/>
      <c r="AK468" s="1405"/>
      <c r="AL468" s="1405"/>
      <c r="AM468" s="1405"/>
      <c r="AN468" s="1405"/>
      <c r="AO468" s="1405"/>
      <c r="AP468" s="1405"/>
      <c r="AQ468" s="1405"/>
      <c r="AR468" s="1405"/>
      <c r="AS468" s="1405"/>
      <c r="AT468" s="1405"/>
      <c r="AU468" s="1405"/>
      <c r="AV468" s="1405"/>
      <c r="AW468" s="1405"/>
      <c r="AX468" s="1406"/>
      <c r="AY468" s="1405"/>
      <c r="AZ468" s="1405"/>
      <c r="BA468" s="1405"/>
      <c r="BB468" s="1405"/>
      <c r="BC468" s="1405"/>
      <c r="BD468" s="1405"/>
      <c r="BE468" s="1407"/>
      <c r="BF468" s="1405"/>
      <c r="BG468" s="1405"/>
      <c r="BH468" s="1405"/>
      <c r="BI468" s="1405"/>
      <c r="BJ468" s="1405"/>
      <c r="BK468" s="1405"/>
      <c r="BL468" s="1405"/>
      <c r="BM468" s="1405"/>
      <c r="BN468" s="1406"/>
      <c r="BO468" s="1405"/>
      <c r="BP468" s="1405"/>
      <c r="BQ468" s="1405"/>
      <c r="BR468" s="1405"/>
      <c r="BS468" s="1405"/>
      <c r="BT468" s="1405"/>
      <c r="BU468" s="1407"/>
      <c r="BV468" s="1303"/>
      <c r="BW468" s="1302"/>
      <c r="BX468" s="1302"/>
      <c r="BY468" s="1302"/>
      <c r="BZ468" s="1302"/>
      <c r="CA468" s="1302"/>
      <c r="CB468" s="1302"/>
      <c r="CC468" s="1304"/>
      <c r="CD468" s="1303"/>
      <c r="CE468" s="1302"/>
      <c r="CF468" s="1302"/>
      <c r="CG468" s="1302"/>
      <c r="CH468" s="1302"/>
      <c r="CI468" s="1302"/>
      <c r="CJ468" s="1302"/>
      <c r="CK468" s="1304"/>
      <c r="CL468" s="1303"/>
      <c r="CM468" s="1302"/>
      <c r="CN468" s="1302"/>
      <c r="CO468" s="1302"/>
      <c r="CP468" s="1302"/>
      <c r="CQ468" s="1302"/>
      <c r="CR468" s="1302"/>
      <c r="CS468" s="1304"/>
      <c r="CT468" s="1408">
        <v>35</v>
      </c>
      <c r="CU468" s="1409">
        <v>92</v>
      </c>
      <c r="CV468" s="1409">
        <f>CU468</f>
        <v>92</v>
      </c>
      <c r="CW468" s="1409">
        <v>154</v>
      </c>
      <c r="CX468" s="1409">
        <f>-CW468</f>
        <v>-154</v>
      </c>
      <c r="CY468" s="1409">
        <f>-'Balance Sheet &amp; Cash Flow'!O111</f>
        <v>285</v>
      </c>
      <c r="CZ468" s="1409">
        <f>CY468</f>
        <v>285</v>
      </c>
      <c r="DA468" s="1410">
        <f>CY468</f>
        <v>285</v>
      </c>
      <c r="DB468" s="1411">
        <v>54</v>
      </c>
      <c r="DC468" s="1412">
        <v>129</v>
      </c>
      <c r="DD468" s="1412">
        <f>DC468</f>
        <v>129</v>
      </c>
      <c r="DE468" s="1412">
        <v>238</v>
      </c>
      <c r="DF468" s="1412">
        <f>DE468</f>
        <v>238</v>
      </c>
      <c r="DG468" s="1412">
        <f>-'Balance Sheet &amp; Cash Flow'!P111</f>
        <v>376</v>
      </c>
      <c r="DH468" s="1412">
        <f>DG468</f>
        <v>376</v>
      </c>
      <c r="DI468" s="1413">
        <f>DG468</f>
        <v>376</v>
      </c>
      <c r="DJ468" s="1412">
        <v>56</v>
      </c>
      <c r="DK468" s="1412">
        <v>60</v>
      </c>
      <c r="DL468" s="1412">
        <v>116</v>
      </c>
      <c r="DM468" s="1412">
        <v>40</v>
      </c>
      <c r="DN468" s="1412">
        <f>DM468+DL468</f>
        <v>156</v>
      </c>
      <c r="DO468" s="1412">
        <f>DQ468-DN468</f>
        <v>85</v>
      </c>
      <c r="DP468" s="1412">
        <f>DQ468-DL468</f>
        <v>125</v>
      </c>
      <c r="DQ468" s="1413">
        <f>-'Balance Sheet &amp; Cash Flow'!Q111</f>
        <v>241</v>
      </c>
      <c r="DR468" s="1412">
        <v>26</v>
      </c>
      <c r="DS468" s="1412">
        <v>53</v>
      </c>
      <c r="DT468" s="1412">
        <v>80</v>
      </c>
      <c r="DU468" s="1412">
        <v>52</v>
      </c>
      <c r="DV468" s="1412">
        <v>133</v>
      </c>
      <c r="DW468" s="1412">
        <f>DY468-DV468</f>
        <v>136</v>
      </c>
      <c r="DX468" s="1412">
        <f>DY468-DT468</f>
        <v>189</v>
      </c>
      <c r="DY468" s="1413">
        <f>-'Balance Sheet &amp; Cash Flow'!R111</f>
        <v>269</v>
      </c>
      <c r="DZ468" s="1414">
        <v>50</v>
      </c>
      <c r="EA468" s="1414">
        <f>+EB468-DZ468</f>
        <v>74</v>
      </c>
      <c r="EB468" s="1414">
        <v>124</v>
      </c>
      <c r="EC468" s="1412">
        <f>+ED468-EB468</f>
        <v>78</v>
      </c>
      <c r="ED468" s="1412">
        <v>202</v>
      </c>
      <c r="EE468" s="1412">
        <f>+EF468-EC468</f>
        <v>174</v>
      </c>
      <c r="EF468" s="1412">
        <f>EG468-EB468</f>
        <v>252</v>
      </c>
      <c r="EG468" s="1413">
        <v>376</v>
      </c>
      <c r="EH468" s="1414">
        <v>62</v>
      </c>
      <c r="EI468" s="1414">
        <v>87</v>
      </c>
      <c r="EJ468" s="1414">
        <f>+EI468+EH468</f>
        <v>149</v>
      </c>
      <c r="EK468" s="1412">
        <v>103</v>
      </c>
      <c r="EL468" s="1412">
        <v>252</v>
      </c>
      <c r="EM468" s="1412">
        <f t="shared" si="3902"/>
        <v>434</v>
      </c>
      <c r="EN468" s="1412">
        <f t="shared" si="3902"/>
        <v>434</v>
      </c>
      <c r="EO468" s="1413">
        <f>-'Balance Sheet &amp; Cash Flow'!T111</f>
        <v>434</v>
      </c>
      <c r="EP468" s="1414">
        <f>42+6+24</f>
        <v>72</v>
      </c>
      <c r="EQ468" s="1412">
        <f>ER468-EP468</f>
        <v>121</v>
      </c>
      <c r="ER468" s="1412">
        <f>156+15+22</f>
        <v>193</v>
      </c>
      <c r="ES468" s="1412">
        <f>ET468-ER468</f>
        <v>107</v>
      </c>
      <c r="ET468" s="1412">
        <f>256+24+20</f>
        <v>300</v>
      </c>
      <c r="EU468" s="1412">
        <f>EW468-ET468</f>
        <v>179</v>
      </c>
      <c r="EV468" s="1412">
        <f>EW468-ER468</f>
        <v>286</v>
      </c>
      <c r="EW468" s="1413">
        <v>479</v>
      </c>
      <c r="EX468" s="1412">
        <f>149+8+1</f>
        <v>158</v>
      </c>
      <c r="EY468" s="1347">
        <f>EZ468-EX468</f>
        <v>125</v>
      </c>
      <c r="EZ468" s="1347">
        <f>246+18+19</f>
        <v>283</v>
      </c>
      <c r="FA468" s="1347">
        <f>FB468-EZ468</f>
        <v>119</v>
      </c>
      <c r="FB468" s="1347">
        <f>346+27+29</f>
        <v>402</v>
      </c>
      <c r="FC468" s="1347">
        <f>FE468-FB468</f>
        <v>146</v>
      </c>
      <c r="FD468" s="1347">
        <f>FA468+FC468</f>
        <v>265</v>
      </c>
      <c r="FE468" s="1415">
        <f>-'Balance Sheet &amp; Cash Flow'!V111</f>
        <v>548</v>
      </c>
      <c r="FF468" s="1347">
        <f>49+4+11</f>
        <v>64</v>
      </c>
      <c r="FG468" s="1347">
        <f>FH468-FF468</f>
        <v>81</v>
      </c>
      <c r="FH468" s="1347">
        <f>126+12+7</f>
        <v>145</v>
      </c>
      <c r="FI468" s="1347">
        <f>FJ468-FH468</f>
        <v>208</v>
      </c>
      <c r="FJ468" s="1347">
        <f>289+22+42</f>
        <v>353</v>
      </c>
      <c r="FK468" s="1347">
        <f>FM468-FJ468</f>
        <v>160</v>
      </c>
      <c r="FL468" s="1347">
        <f>FI468+FK468</f>
        <v>368</v>
      </c>
      <c r="FM468" s="1415">
        <f>-'Balance Sheet &amp; Cash Flow'!W111</f>
        <v>513</v>
      </c>
      <c r="FN468" s="1347">
        <v>68</v>
      </c>
      <c r="FO468" s="1412">
        <f>FP468-FN468</f>
        <v>133</v>
      </c>
      <c r="FP468" s="1412">
        <v>201</v>
      </c>
      <c r="FQ468" s="1412"/>
      <c r="FR468" s="1412"/>
      <c r="FS468" s="1412"/>
      <c r="FT468" s="1412"/>
      <c r="FU468" s="1412">
        <f>-'Balance Sheet &amp; Cash Flow'!X111</f>
        <v>651</v>
      </c>
      <c r="FV468" s="1430">
        <v>116</v>
      </c>
      <c r="FW468" s="1412">
        <f>FX468-FV468</f>
        <v>150</v>
      </c>
      <c r="FX468" s="1412">
        <v>266</v>
      </c>
      <c r="FY468" s="1412"/>
      <c r="FZ468" s="1412"/>
      <c r="GA468" s="1412"/>
      <c r="GB468" s="1412">
        <f>GC468-FX468</f>
        <v>340</v>
      </c>
      <c r="GC468" s="1413">
        <f>-'Balance Sheet &amp; Cash Flow'!Y111</f>
        <v>606</v>
      </c>
      <c r="GD468" s="1412"/>
      <c r="GE468" s="1412"/>
      <c r="GF468" s="1412"/>
      <c r="GG468" s="1412"/>
      <c r="GH468" s="1412"/>
      <c r="GI468" s="1412"/>
      <c r="GJ468" s="1412"/>
      <c r="GK468" s="1413"/>
      <c r="GL468" s="1412"/>
      <c r="GM468" s="1412"/>
      <c r="GN468" s="1412"/>
      <c r="GO468" s="1412"/>
      <c r="GP468" s="1412"/>
      <c r="GQ468" s="1412"/>
      <c r="GR468" s="1412"/>
      <c r="GS468" s="1413"/>
      <c r="GT468" s="1412"/>
      <c r="GU468" s="1412"/>
      <c r="GV468" s="1412"/>
      <c r="GW468" s="1412"/>
      <c r="GX468" s="1412"/>
      <c r="GY468" s="1412"/>
      <c r="GZ468" s="1412"/>
      <c r="HA468" s="1413"/>
      <c r="HB468" s="1412"/>
      <c r="HC468" s="1412"/>
      <c r="HD468" s="1412"/>
      <c r="HE468" s="1412"/>
      <c r="HF468" s="1412"/>
      <c r="HG468" s="1412"/>
      <c r="HH468" s="1412"/>
      <c r="HI468" s="1413"/>
      <c r="HJ468" s="1412"/>
      <c r="HK468" s="1412"/>
      <c r="HL468" s="1412"/>
      <c r="HM468" s="1412"/>
      <c r="HN468" s="1412"/>
      <c r="HO468" s="1412"/>
      <c r="HP468" s="1412"/>
      <c r="HQ468" s="1413"/>
      <c r="HR468" s="1412"/>
      <c r="HS468" s="1412"/>
      <c r="HT468" s="1412"/>
      <c r="HU468" s="1412"/>
      <c r="HV468" s="1412"/>
      <c r="HW468" s="1412"/>
      <c r="HX468" s="1412"/>
      <c r="HY468" s="1412"/>
      <c r="HZ468" s="1412"/>
      <c r="IA468" s="1412"/>
      <c r="IB468" s="1412"/>
      <c r="IC468" s="1412"/>
      <c r="ID468" s="1412"/>
      <c r="IE468" s="1412"/>
      <c r="IF468" s="1412"/>
      <c r="IG468" s="1413"/>
      <c r="IH468" s="1412"/>
      <c r="II468" s="1412"/>
      <c r="IJ468" s="1412"/>
      <c r="IK468" s="1412"/>
      <c r="IL468" s="1412"/>
      <c r="IM468" s="1412"/>
      <c r="IN468" s="1412"/>
      <c r="IO468" s="1413"/>
      <c r="IP468" s="1412"/>
      <c r="IQ468" s="1412"/>
      <c r="IR468" s="1412"/>
      <c r="IS468" s="1412"/>
      <c r="IT468" s="1412"/>
      <c r="IU468" s="1412"/>
      <c r="IV468" s="1412"/>
      <c r="IW468" s="1412"/>
      <c r="IX468" s="1049"/>
      <c r="IY468" s="1049"/>
      <c r="IZ468" s="1049"/>
      <c r="JA468" s="1049"/>
      <c r="JB468" s="1049"/>
      <c r="JC468" s="1049"/>
      <c r="JD468" s="1041"/>
      <c r="JE468" s="1037"/>
      <c r="JF468" s="1037"/>
      <c r="JG468" s="1037"/>
      <c r="JH468" s="1037"/>
      <c r="JI468" s="1035"/>
      <c r="JJ468" s="1035"/>
      <c r="JK468" s="1035"/>
      <c r="JL468" s="1035"/>
      <c r="JM468" s="1035"/>
      <c r="JN468" s="1035"/>
      <c r="JO468" s="1035"/>
      <c r="JP468" s="1035"/>
      <c r="JQ468" s="1035"/>
      <c r="JR468" s="1035"/>
      <c r="JS468" s="1035"/>
      <c r="JT468" s="1035"/>
      <c r="JU468" s="1035"/>
      <c r="JV468" s="1035"/>
      <c r="JW468" s="1035"/>
      <c r="JX468" s="1035"/>
      <c r="JY468" s="1035"/>
    </row>
    <row r="469" spans="1:285">
      <c r="A469" s="1339"/>
      <c r="B469" s="1405"/>
      <c r="C469" s="1405"/>
      <c r="D469" s="1405"/>
      <c r="E469" s="1405"/>
      <c r="F469" s="1405"/>
      <c r="G469" s="1405"/>
      <c r="H469" s="1405"/>
      <c r="I469" s="1405"/>
      <c r="J469" s="1405"/>
      <c r="K469" s="1405"/>
      <c r="L469" s="1405"/>
      <c r="M469" s="1405"/>
      <c r="N469" s="1405"/>
      <c r="O469" s="1405"/>
      <c r="P469" s="1405"/>
      <c r="Q469" s="1405"/>
      <c r="R469" s="1405"/>
      <c r="S469" s="1405"/>
      <c r="T469" s="1405"/>
      <c r="U469" s="1405"/>
      <c r="V469" s="1405"/>
      <c r="W469" s="1405"/>
      <c r="X469" s="1405"/>
      <c r="Y469" s="1405"/>
      <c r="Z469" s="1405"/>
      <c r="AA469" s="1405"/>
      <c r="AB469" s="1405"/>
      <c r="AC469" s="1405"/>
      <c r="AD469" s="1405"/>
      <c r="AE469" s="1405"/>
      <c r="AF469" s="1405"/>
      <c r="AG469" s="1405"/>
      <c r="AH469" s="1405"/>
      <c r="AI469" s="1405"/>
      <c r="AJ469" s="1405"/>
      <c r="AK469" s="1405"/>
      <c r="AL469" s="1405"/>
      <c r="AM469" s="1405"/>
      <c r="AN469" s="1405"/>
      <c r="AO469" s="1405"/>
      <c r="AP469" s="1405"/>
      <c r="AQ469" s="1405"/>
      <c r="AR469" s="1405"/>
      <c r="AS469" s="1405"/>
      <c r="AT469" s="1405"/>
      <c r="AU469" s="1405"/>
      <c r="AV469" s="1405"/>
      <c r="AW469" s="1405"/>
      <c r="AX469" s="1406"/>
      <c r="AY469" s="1405"/>
      <c r="AZ469" s="1405"/>
      <c r="BA469" s="1405"/>
      <c r="BB469" s="1405"/>
      <c r="BC469" s="1405"/>
      <c r="BD469" s="1405"/>
      <c r="BE469" s="1407"/>
      <c r="BF469" s="1405"/>
      <c r="BG469" s="1405"/>
      <c r="BH469" s="1405"/>
      <c r="BI469" s="1405"/>
      <c r="BJ469" s="1405"/>
      <c r="BK469" s="1405"/>
      <c r="BL469" s="1405"/>
      <c r="BM469" s="1405"/>
      <c r="BN469" s="1406"/>
      <c r="BO469" s="1405"/>
      <c r="BP469" s="1405"/>
      <c r="BQ469" s="1405"/>
      <c r="BR469" s="1405"/>
      <c r="BS469" s="1405"/>
      <c r="BT469" s="1405"/>
      <c r="BU469" s="1407"/>
      <c r="BV469" s="1303"/>
      <c r="BW469" s="1302"/>
      <c r="BX469" s="1302"/>
      <c r="BY469" s="1302"/>
      <c r="BZ469" s="1302"/>
      <c r="CA469" s="1302"/>
      <c r="CB469" s="1302"/>
      <c r="CC469" s="1304"/>
      <c r="CD469" s="1303"/>
      <c r="CE469" s="1302"/>
      <c r="CF469" s="1302"/>
      <c r="CG469" s="1302"/>
      <c r="CH469" s="1302"/>
      <c r="CI469" s="1302"/>
      <c r="CJ469" s="1302"/>
      <c r="CK469" s="1304"/>
      <c r="CL469" s="1303"/>
      <c r="CM469" s="1302"/>
      <c r="CN469" s="1302"/>
      <c r="CO469" s="1302"/>
      <c r="CP469" s="1302"/>
      <c r="CQ469" s="1302"/>
      <c r="CR469" s="1302"/>
      <c r="CS469" s="1304"/>
      <c r="CT469" s="1408"/>
      <c r="CU469" s="1409"/>
      <c r="CV469" s="1409"/>
      <c r="CW469" s="1409"/>
      <c r="CX469" s="1409"/>
      <c r="CY469" s="1409"/>
      <c r="CZ469" s="1409"/>
      <c r="DA469" s="1410"/>
      <c r="DB469" s="1411"/>
      <c r="DC469" s="1412"/>
      <c r="DD469" s="1412"/>
      <c r="DE469" s="1412"/>
      <c r="DF469" s="1412"/>
      <c r="DG469" s="1412"/>
      <c r="DH469" s="1412"/>
      <c r="DI469" s="1413"/>
      <c r="DJ469" s="1412"/>
      <c r="DK469" s="1412"/>
      <c r="DL469" s="1412"/>
      <c r="DM469" s="1412"/>
      <c r="DN469" s="1412"/>
      <c r="DO469" s="1412"/>
      <c r="DP469" s="1412"/>
      <c r="DQ469" s="1413"/>
      <c r="DR469" s="1412"/>
      <c r="DS469" s="1412"/>
      <c r="DT469" s="1412"/>
      <c r="DU469" s="1412"/>
      <c r="DV469" s="1412"/>
      <c r="DW469" s="1412"/>
      <c r="DX469" s="1412"/>
      <c r="DY469" s="1413"/>
      <c r="DZ469" s="1414"/>
      <c r="EA469" s="1414"/>
      <c r="EB469" s="1414"/>
      <c r="EC469" s="1412"/>
      <c r="ED469" s="1412"/>
      <c r="EE469" s="1412"/>
      <c r="EF469" s="1412"/>
      <c r="EG469" s="1413"/>
      <c r="EH469" s="1414"/>
      <c r="EI469" s="1412"/>
      <c r="EJ469" s="1412"/>
      <c r="EK469" s="1412"/>
      <c r="EL469" s="1412"/>
      <c r="EM469" s="1412"/>
      <c r="EN469" s="1412"/>
      <c r="EO469" s="1413"/>
      <c r="EP469" s="1414"/>
      <c r="EQ469" s="1412"/>
      <c r="ER469" s="1412"/>
      <c r="ES469" s="1412"/>
      <c r="ET469" s="1412"/>
      <c r="EU469" s="1412"/>
      <c r="EV469" s="1412"/>
      <c r="EW469" s="1413"/>
      <c r="EX469" s="1347"/>
      <c r="EY469" s="1347"/>
      <c r="EZ469" s="1347"/>
      <c r="FA469" s="1347"/>
      <c r="FB469" s="1347"/>
      <c r="FC469" s="1347"/>
      <c r="FD469" s="1347"/>
      <c r="FE469" s="1415"/>
      <c r="FF469" s="1347"/>
      <c r="FG469" s="1347"/>
      <c r="FH469" s="1412"/>
      <c r="FI469" s="1412"/>
      <c r="FJ469" s="1412"/>
      <c r="FK469" s="1412"/>
      <c r="FL469" s="1412"/>
      <c r="FM469" s="1413"/>
      <c r="FN469" s="1412"/>
      <c r="FO469" s="1412"/>
      <c r="FP469" s="1412"/>
      <c r="FQ469" s="1412"/>
      <c r="FR469" s="1412"/>
      <c r="FS469" s="1412"/>
      <c r="FT469" s="1412"/>
      <c r="FU469" s="1412"/>
      <c r="FV469" s="1411"/>
      <c r="FW469" s="1412"/>
      <c r="FX469" s="1412"/>
      <c r="FY469" s="1412"/>
      <c r="FZ469" s="1412"/>
      <c r="GA469" s="1412"/>
      <c r="GB469" s="1412"/>
      <c r="GC469" s="1413"/>
      <c r="GD469" s="1412"/>
      <c r="GE469" s="1412"/>
      <c r="GF469" s="1412"/>
      <c r="GG469" s="1412"/>
      <c r="GH469" s="1412"/>
      <c r="GI469" s="1412"/>
      <c r="GJ469" s="1412"/>
      <c r="GK469" s="1413"/>
      <c r="GL469" s="1412"/>
      <c r="GM469" s="1412"/>
      <c r="GN469" s="1412"/>
      <c r="GO469" s="1412"/>
      <c r="GP469" s="1412"/>
      <c r="GQ469" s="1412"/>
      <c r="GR469" s="1412"/>
      <c r="GS469" s="1413"/>
      <c r="GT469" s="1412"/>
      <c r="GU469" s="1412"/>
      <c r="GV469" s="1412"/>
      <c r="GW469" s="1412"/>
      <c r="GX469" s="1412"/>
      <c r="GY469" s="1412"/>
      <c r="GZ469" s="1412"/>
      <c r="HA469" s="1413"/>
      <c r="HB469" s="1412"/>
      <c r="HC469" s="1412"/>
      <c r="HD469" s="1412"/>
      <c r="HE469" s="1412"/>
      <c r="HF469" s="1412"/>
      <c r="HG469" s="1412"/>
      <c r="HH469" s="1412"/>
      <c r="HI469" s="1413"/>
      <c r="HJ469" s="1412"/>
      <c r="HK469" s="1412"/>
      <c r="HL469" s="1412"/>
      <c r="HM469" s="1412"/>
      <c r="HN469" s="1412"/>
      <c r="HO469" s="1412"/>
      <c r="HP469" s="1412"/>
      <c r="HQ469" s="1413"/>
      <c r="HR469" s="1412"/>
      <c r="HS469" s="1412"/>
      <c r="HT469" s="1412"/>
      <c r="HU469" s="1412"/>
      <c r="HV469" s="1412"/>
      <c r="HW469" s="1412"/>
      <c r="HX469" s="1412"/>
      <c r="HY469" s="1412"/>
      <c r="HZ469" s="1412"/>
      <c r="IA469" s="1412"/>
      <c r="IB469" s="1412"/>
      <c r="IC469" s="1412"/>
      <c r="ID469" s="1412"/>
      <c r="IE469" s="1412"/>
      <c r="IF469" s="1412"/>
      <c r="IG469" s="1413"/>
      <c r="IH469" s="1412"/>
      <c r="II469" s="1412"/>
      <c r="IJ469" s="1412"/>
      <c r="IK469" s="1412"/>
      <c r="IL469" s="1412"/>
      <c r="IM469" s="1412"/>
      <c r="IN469" s="1412"/>
      <c r="IO469" s="1413"/>
      <c r="IP469" s="1412"/>
      <c r="IQ469" s="1412"/>
      <c r="IR469" s="1412"/>
      <c r="IS469" s="1412"/>
      <c r="IT469" s="1412"/>
      <c r="IU469" s="1412"/>
      <c r="IV469" s="1412"/>
      <c r="IW469" s="1412"/>
      <c r="IX469" s="1049"/>
      <c r="IY469" s="1049"/>
      <c r="IZ469" s="1049"/>
      <c r="JA469" s="1049"/>
      <c r="JB469" s="1049"/>
      <c r="JC469" s="1049"/>
      <c r="JD469" s="1041"/>
      <c r="JE469" s="1037"/>
      <c r="JF469" s="1037"/>
      <c r="JG469" s="1037"/>
      <c r="JH469" s="1037"/>
      <c r="JI469" s="1035"/>
      <c r="JJ469" s="1035"/>
      <c r="JK469" s="1035"/>
      <c r="JL469" s="1035"/>
      <c r="JM469" s="1035"/>
      <c r="JN469" s="1035"/>
      <c r="JO469" s="1035"/>
      <c r="JP469" s="1035"/>
      <c r="JQ469" s="1035"/>
      <c r="JR469" s="1035"/>
      <c r="JS469" s="1035"/>
      <c r="JT469" s="1035"/>
      <c r="JU469" s="1035"/>
      <c r="JV469" s="1035"/>
      <c r="JW469" s="1035"/>
      <c r="JX469" s="1035"/>
      <c r="JY469" s="1035"/>
    </row>
    <row r="470" spans="1:285">
      <c r="A470" s="1339" t="s">
        <v>609</v>
      </c>
      <c r="B470" s="1405"/>
      <c r="C470" s="1405"/>
      <c r="D470" s="1405"/>
      <c r="E470" s="1405"/>
      <c r="F470" s="1405"/>
      <c r="G470" s="1405"/>
      <c r="H470" s="1405"/>
      <c r="I470" s="1405"/>
      <c r="J470" s="1405"/>
      <c r="K470" s="1405"/>
      <c r="L470" s="1405"/>
      <c r="M470" s="1405"/>
      <c r="N470" s="1405"/>
      <c r="O470" s="1405"/>
      <c r="P470" s="1405"/>
      <c r="Q470" s="1405"/>
      <c r="R470" s="1405"/>
      <c r="S470" s="1405"/>
      <c r="T470" s="1405"/>
      <c r="U470" s="1405"/>
      <c r="V470" s="1405"/>
      <c r="W470" s="1405"/>
      <c r="X470" s="1405"/>
      <c r="Y470" s="1405"/>
      <c r="Z470" s="1405"/>
      <c r="AA470" s="1405"/>
      <c r="AB470" s="1405"/>
      <c r="AC470" s="1405"/>
      <c r="AD470" s="1405"/>
      <c r="AE470" s="1405"/>
      <c r="AF470" s="1405"/>
      <c r="AG470" s="1405"/>
      <c r="AH470" s="1405"/>
      <c r="AI470" s="1405"/>
      <c r="AJ470" s="1405"/>
      <c r="AK470" s="1405"/>
      <c r="AL470" s="1405"/>
      <c r="AM470" s="1405"/>
      <c r="AN470" s="1405"/>
      <c r="AO470" s="1405"/>
      <c r="AP470" s="1405"/>
      <c r="AQ470" s="1405"/>
      <c r="AR470" s="1405"/>
      <c r="AS470" s="1405"/>
      <c r="AT470" s="1405"/>
      <c r="AU470" s="1405"/>
      <c r="AV470" s="1405"/>
      <c r="AW470" s="1405"/>
      <c r="AX470" s="1406"/>
      <c r="AY470" s="1405"/>
      <c r="AZ470" s="1405"/>
      <c r="BA470" s="1405"/>
      <c r="BB470" s="1405"/>
      <c r="BC470" s="1405"/>
      <c r="BD470" s="1405"/>
      <c r="BE470" s="1407"/>
      <c r="BF470" s="1405"/>
      <c r="BG470" s="1405"/>
      <c r="BH470" s="1405"/>
      <c r="BI470" s="1405"/>
      <c r="BJ470" s="1405"/>
      <c r="BK470" s="1405"/>
      <c r="BL470" s="1405"/>
      <c r="BM470" s="1405"/>
      <c r="BN470" s="1406"/>
      <c r="BO470" s="1405"/>
      <c r="BP470" s="1405"/>
      <c r="BQ470" s="1405"/>
      <c r="BR470" s="1405"/>
      <c r="BS470" s="1405"/>
      <c r="BT470" s="1405"/>
      <c r="BU470" s="1407"/>
      <c r="BV470" s="1303"/>
      <c r="BW470" s="1302"/>
      <c r="BX470" s="1302"/>
      <c r="BY470" s="1302"/>
      <c r="BZ470" s="1302"/>
      <c r="CA470" s="1302"/>
      <c r="CB470" s="1302"/>
      <c r="CC470" s="1304"/>
      <c r="CD470" s="1303"/>
      <c r="CE470" s="1302"/>
      <c r="CF470" s="1302"/>
      <c r="CG470" s="1302"/>
      <c r="CH470" s="1302"/>
      <c r="CI470" s="1302"/>
      <c r="CJ470" s="1302"/>
      <c r="CK470" s="1304"/>
      <c r="CL470" s="1303"/>
      <c r="CM470" s="1302"/>
      <c r="CN470" s="1302"/>
      <c r="CO470" s="1302"/>
      <c r="CP470" s="1302"/>
      <c r="CQ470" s="1302"/>
      <c r="CR470" s="1302"/>
      <c r="CS470" s="1304"/>
      <c r="CT470" s="1431">
        <f t="shared" ref="CT470:DW470" si="3903">CT459/CT392</f>
        <v>1.13777777777778</v>
      </c>
      <c r="CU470" s="1432">
        <f t="shared" si="3903"/>
        <v>1.35974643423138</v>
      </c>
      <c r="CV470" s="1432">
        <f t="shared" si="3903"/>
        <v>0.656967840735069</v>
      </c>
      <c r="CW470" s="1432">
        <f t="shared" si="3903"/>
        <v>1.05555555555556</v>
      </c>
      <c r="CX470" s="1432">
        <f t="shared" si="3903"/>
        <v>0.387002909796314</v>
      </c>
      <c r="CY470" s="1432">
        <f t="shared" si="3903"/>
        <v>1.26083591331269</v>
      </c>
      <c r="CZ470" s="1432">
        <f t="shared" si="3903"/>
        <v>0.58095577746077</v>
      </c>
      <c r="DA470" s="1433">
        <f t="shared" si="3903"/>
        <v>0.300775480059084</v>
      </c>
      <c r="DB470" s="1434">
        <f t="shared" si="3903"/>
        <v>1.18379594898725</v>
      </c>
      <c r="DC470" s="1435">
        <f t="shared" si="3903"/>
        <v>1.43561208267091</v>
      </c>
      <c r="DD470" s="1435">
        <f t="shared" si="3903"/>
        <v>0.697297297297297</v>
      </c>
      <c r="DE470" s="1435">
        <f t="shared" si="3903"/>
        <v>1.15267175572519</v>
      </c>
      <c r="DF470" s="1435">
        <f t="shared" si="3903"/>
        <v>0.435263031467692</v>
      </c>
      <c r="DG470" s="1435">
        <f t="shared" si="3903"/>
        <v>1.38349514563107</v>
      </c>
      <c r="DH470" s="1435">
        <f t="shared" si="3903"/>
        <v>0.653241650294695</v>
      </c>
      <c r="DI470" s="1436">
        <f t="shared" si="3903"/>
        <v>0.44205658909645</v>
      </c>
      <c r="DJ470" s="1435">
        <f t="shared" si="3903"/>
        <v>1.42756387923489</v>
      </c>
      <c r="DK470" s="1435">
        <f t="shared" si="3903"/>
        <v>1.51034151034151</v>
      </c>
      <c r="DL470" s="1435">
        <f t="shared" si="3903"/>
        <v>0.738543885283618</v>
      </c>
      <c r="DM470" s="1435">
        <f t="shared" si="3903"/>
        <v>1.04574435222088</v>
      </c>
      <c r="DN470" s="1435">
        <f t="shared" si="3903"/>
        <v>0.380269973266008</v>
      </c>
      <c r="DO470" s="1435">
        <f t="shared" si="3903"/>
        <v>1.11236808116128</v>
      </c>
      <c r="DP470" s="1435">
        <f t="shared" si="3903"/>
        <v>0.507742118088874</v>
      </c>
      <c r="DQ470" s="1436">
        <f t="shared" si="3903"/>
        <v>0.259481390015876</v>
      </c>
      <c r="DR470" s="1435">
        <f t="shared" si="3903"/>
        <v>1.22231955507568</v>
      </c>
      <c r="DS470" s="1435">
        <f t="shared" si="3903"/>
        <v>1.37462623785126</v>
      </c>
      <c r="DT470" s="1435">
        <f t="shared" si="3903"/>
        <v>0.715912902504472</v>
      </c>
      <c r="DU470" s="1435">
        <f t="shared" si="3903"/>
        <v>1.05382034497022</v>
      </c>
      <c r="DV470" s="1435">
        <f t="shared" si="3903"/>
        <v>0.410482084140728</v>
      </c>
      <c r="DW470" s="1435">
        <f t="shared" si="3903"/>
        <v>1.35991072361264</v>
      </c>
      <c r="DX470" s="1412"/>
      <c r="DY470" s="1436">
        <f t="shared" ref="DY470:EX470" si="3904">DY459/DY392</f>
        <v>0.341054313099042</v>
      </c>
      <c r="DZ470" s="1437">
        <f t="shared" si="3904"/>
        <v>1.20610229622181</v>
      </c>
      <c r="EA470" s="1437">
        <f t="shared" si="3904"/>
        <v>1.52503209242619</v>
      </c>
      <c r="EB470" s="1437">
        <f t="shared" si="3904"/>
        <v>0.732520552041793</v>
      </c>
      <c r="EC470" s="1435">
        <f t="shared" si="3904"/>
        <v>1.16145307769929</v>
      </c>
      <c r="ED470" s="1435">
        <f t="shared" si="3904"/>
        <v>0.440523997745711</v>
      </c>
      <c r="EE470" s="1435">
        <f t="shared" si="3904"/>
        <v>1.41917186613727</v>
      </c>
      <c r="EF470" s="1435">
        <f t="shared" si="3904"/>
        <v>0.669986249482849</v>
      </c>
      <c r="EG470" s="1436">
        <f t="shared" si="3904"/>
        <v>0.358555460017197</v>
      </c>
      <c r="EH470" s="1437">
        <f t="shared" si="3904"/>
        <v>1.1986986986987</v>
      </c>
      <c r="EI470" s="1435">
        <f t="shared" si="3904"/>
        <v>1.48461538461538</v>
      </c>
      <c r="EJ470" s="1435">
        <f t="shared" si="3904"/>
        <v>0.707700366684128</v>
      </c>
      <c r="EK470" s="1435">
        <f t="shared" si="3904"/>
        <v>1.06924829157175</v>
      </c>
      <c r="EL470" s="1435">
        <f t="shared" si="3904"/>
        <v>0.390320971229004</v>
      </c>
      <c r="EM470" s="1435">
        <f t="shared" si="3904"/>
        <v>1.40770101925255</v>
      </c>
      <c r="EN470" s="1435">
        <f t="shared" si="3904"/>
        <v>0.627619288058571</v>
      </c>
      <c r="EO470" s="1436">
        <f t="shared" si="3904"/>
        <v>0.319578351973261</v>
      </c>
      <c r="EP470" s="1437">
        <f t="shared" si="3904"/>
        <v>1.25454545454545</v>
      </c>
      <c r="EQ470" s="1437">
        <f t="shared" si="3904"/>
        <v>1.54588513913558</v>
      </c>
      <c r="ER470" s="1437">
        <f t="shared" si="3904"/>
        <v>0.733633042989604</v>
      </c>
      <c r="ES470" s="1437">
        <f t="shared" si="3904"/>
        <v>1.27822990844354</v>
      </c>
      <c r="ET470" s="1437">
        <f t="shared" si="3904"/>
        <v>0.454841628959276</v>
      </c>
      <c r="EU470" s="1435">
        <f t="shared" si="3904"/>
        <v>1.44170771756979</v>
      </c>
      <c r="EV470" s="1435">
        <f t="shared" si="3904"/>
        <v>0.694437121012391</v>
      </c>
      <c r="EW470" s="1436">
        <f t="shared" si="3904"/>
        <v>0.358269858541893</v>
      </c>
      <c r="EX470" s="1438">
        <f t="shared" si="3904"/>
        <v>1.41605426794799</v>
      </c>
      <c r="EY470" s="1438">
        <f t="shared" ref="EY470:FP470" si="3905">EY459/EY392</f>
        <v>1.67884057971014</v>
      </c>
      <c r="EZ470" s="1438">
        <f t="shared" si="3905"/>
        <v>0.828849456210647</v>
      </c>
      <c r="FA470" s="1438">
        <f t="shared" si="3905"/>
        <v>1.2450611476952</v>
      </c>
      <c r="FB470" s="1438">
        <f t="shared" si="3905"/>
        <v>0.470996441281139</v>
      </c>
      <c r="FC470" s="1438">
        <f t="shared" si="3905"/>
        <v>1.26998491704374</v>
      </c>
      <c r="FD470" s="1438">
        <f t="shared" si="3905"/>
        <v>0.613851761846902</v>
      </c>
      <c r="FE470" s="1439">
        <f t="shared" si="3905"/>
        <v>0.331975292416875</v>
      </c>
      <c r="FF470" s="1438">
        <f t="shared" si="3905"/>
        <v>1.22361445783133</v>
      </c>
      <c r="FG470" s="1438">
        <f t="shared" si="3905"/>
        <v>1.45044598612488</v>
      </c>
      <c r="FH470" s="1438">
        <f t="shared" si="3905"/>
        <v>0.715123381382849</v>
      </c>
      <c r="FI470" s="1438">
        <f t="shared" si="3905"/>
        <v>1.09987770077456</v>
      </c>
      <c r="FJ470" s="1438">
        <f t="shared" si="3905"/>
        <v>0.41216009776963</v>
      </c>
      <c r="FK470" s="1438">
        <f t="shared" si="3905"/>
        <v>1.41435711040436</v>
      </c>
      <c r="FL470" s="1438">
        <f t="shared" si="3905"/>
        <v>0.668886978942845</v>
      </c>
      <c r="FM470" s="1439">
        <f t="shared" si="3905"/>
        <v>0.355893449182577</v>
      </c>
      <c r="FN470" s="1438">
        <f t="shared" si="3905"/>
        <v>1.21899626710908</v>
      </c>
      <c r="FO470" s="1435">
        <f t="shared" si="3905"/>
        <v>1.55212014134276</v>
      </c>
      <c r="FP470" s="1435">
        <f t="shared" si="3905"/>
        <v>0.751657754010695</v>
      </c>
      <c r="FQ470" s="1435"/>
      <c r="FR470" s="1435"/>
      <c r="FS470" s="1435"/>
      <c r="FT470" s="1435"/>
      <c r="FU470" s="1435"/>
      <c r="FV470" s="1440">
        <f>FV459/FV392</f>
        <v>1.3152332361516</v>
      </c>
      <c r="FW470" s="1435">
        <f>FW459/FW392</f>
        <v>1.45005968961401</v>
      </c>
      <c r="FX470" s="1435">
        <f>FX459/FX392</f>
        <v>0.693171010081796</v>
      </c>
      <c r="FY470" s="1435">
        <f>FY459/FY392</f>
        <v>1.2228144989339</v>
      </c>
      <c r="FZ470" s="1435">
        <f>FZ459/FZ392</f>
        <v>0.426341221657787</v>
      </c>
      <c r="GA470" s="1435"/>
      <c r="GB470" s="1435"/>
      <c r="GC470" s="1436"/>
      <c r="GD470" s="1435"/>
      <c r="GE470" s="1435"/>
      <c r="GF470" s="1435"/>
      <c r="GG470" s="1435"/>
      <c r="GH470" s="1435"/>
      <c r="GI470" s="1435"/>
      <c r="GJ470" s="1435"/>
      <c r="GK470" s="1436"/>
      <c r="GL470" s="1435"/>
      <c r="GM470" s="1435"/>
      <c r="GN470" s="1435"/>
      <c r="GO470" s="1435"/>
      <c r="GP470" s="1435"/>
      <c r="GQ470" s="1435"/>
      <c r="GR470" s="1435"/>
      <c r="GS470" s="1436"/>
      <c r="GT470" s="1435"/>
      <c r="GU470" s="1435"/>
      <c r="GV470" s="1435"/>
      <c r="GW470" s="1435"/>
      <c r="GX470" s="1435"/>
      <c r="GY470" s="1435"/>
      <c r="GZ470" s="1435"/>
      <c r="HA470" s="1436"/>
      <c r="HB470" s="1435"/>
      <c r="HC470" s="1435"/>
      <c r="HD470" s="1435"/>
      <c r="HE470" s="1435"/>
      <c r="HF470" s="1435"/>
      <c r="HG470" s="1435"/>
      <c r="HH470" s="1435"/>
      <c r="HI470" s="1436"/>
      <c r="HJ470" s="1435"/>
      <c r="HK470" s="1435"/>
      <c r="HL470" s="1435"/>
      <c r="HM470" s="1435"/>
      <c r="HN470" s="1435"/>
      <c r="HO470" s="1435"/>
      <c r="HP470" s="1435"/>
      <c r="HQ470" s="1436"/>
      <c r="HR470" s="1435"/>
      <c r="HS470" s="1435"/>
      <c r="HT470" s="1435"/>
      <c r="HU470" s="1435"/>
      <c r="HV470" s="1435"/>
      <c r="HW470" s="1435"/>
      <c r="HX470" s="1435"/>
      <c r="HY470" s="1435"/>
      <c r="HZ470" s="1435"/>
      <c r="IA470" s="1435"/>
      <c r="IB470" s="1435"/>
      <c r="IC470" s="1435"/>
      <c r="ID470" s="1435"/>
      <c r="IE470" s="1435"/>
      <c r="IF470" s="1435"/>
      <c r="IG470" s="1436"/>
      <c r="IH470" s="1435"/>
      <c r="II470" s="1435"/>
      <c r="IJ470" s="1435"/>
      <c r="IK470" s="1435"/>
      <c r="IL470" s="1435"/>
      <c r="IM470" s="1435"/>
      <c r="IN470" s="1435"/>
      <c r="IO470" s="1436"/>
      <c r="IP470" s="1435"/>
      <c r="IQ470" s="1435"/>
      <c r="IR470" s="1435"/>
      <c r="IS470" s="1435"/>
      <c r="IT470" s="1435"/>
      <c r="IU470" s="1435"/>
      <c r="IV470" s="1435"/>
      <c r="IW470" s="1435"/>
      <c r="IX470" s="1049"/>
      <c r="IY470" s="1049"/>
      <c r="IZ470" s="1049"/>
      <c r="JA470" s="1049"/>
      <c r="JB470" s="1049"/>
      <c r="JC470" s="1049"/>
      <c r="JD470" s="1041"/>
      <c r="JE470" s="1037"/>
      <c r="JF470" s="1037"/>
      <c r="JG470" s="1037"/>
      <c r="JH470" s="1037"/>
      <c r="JI470" s="1035"/>
      <c r="JJ470" s="1035"/>
      <c r="JK470" s="1035"/>
      <c r="JL470" s="1035"/>
      <c r="JM470" s="1035"/>
      <c r="JN470" s="1035"/>
      <c r="JO470" s="1035"/>
      <c r="JP470" s="1035"/>
      <c r="JQ470" s="1035"/>
      <c r="JR470" s="1035"/>
      <c r="JS470" s="1035"/>
      <c r="JT470" s="1035"/>
      <c r="JU470" s="1035"/>
      <c r="JV470" s="1035"/>
      <c r="JW470" s="1035"/>
      <c r="JX470" s="1035"/>
      <c r="JY470" s="1035"/>
    </row>
    <row r="471" spans="1:285">
      <c r="A471" s="1339" t="s">
        <v>610</v>
      </c>
      <c r="B471" s="1405"/>
      <c r="C471" s="1405"/>
      <c r="D471" s="1405"/>
      <c r="E471" s="1405"/>
      <c r="F471" s="1405"/>
      <c r="G471" s="1405"/>
      <c r="H471" s="1405"/>
      <c r="I471" s="1405"/>
      <c r="J471" s="1405"/>
      <c r="K471" s="1405"/>
      <c r="L471" s="1405"/>
      <c r="M471" s="1405"/>
      <c r="N471" s="1405"/>
      <c r="O471" s="1405"/>
      <c r="P471" s="1405"/>
      <c r="Q471" s="1405"/>
      <c r="R471" s="1405"/>
      <c r="S471" s="1405"/>
      <c r="T471" s="1405"/>
      <c r="U471" s="1405"/>
      <c r="V471" s="1405"/>
      <c r="W471" s="1405"/>
      <c r="X471" s="1405"/>
      <c r="Y471" s="1405"/>
      <c r="Z471" s="1405"/>
      <c r="AA471" s="1405"/>
      <c r="AB471" s="1405"/>
      <c r="AC471" s="1405"/>
      <c r="AD471" s="1405"/>
      <c r="AE471" s="1405"/>
      <c r="AF471" s="1405"/>
      <c r="AG471" s="1405"/>
      <c r="AH471" s="1405"/>
      <c r="AI471" s="1405"/>
      <c r="AJ471" s="1405"/>
      <c r="AK471" s="1405"/>
      <c r="AL471" s="1405"/>
      <c r="AM471" s="1405"/>
      <c r="AN471" s="1405"/>
      <c r="AO471" s="1405"/>
      <c r="AP471" s="1405"/>
      <c r="AQ471" s="1405"/>
      <c r="AR471" s="1405"/>
      <c r="AS471" s="1405"/>
      <c r="AT471" s="1405"/>
      <c r="AU471" s="1405"/>
      <c r="AV471" s="1405"/>
      <c r="AW471" s="1405"/>
      <c r="AX471" s="1406"/>
      <c r="AY471" s="1405"/>
      <c r="AZ471" s="1405"/>
      <c r="BA471" s="1405"/>
      <c r="BB471" s="1405"/>
      <c r="BC471" s="1405"/>
      <c r="BD471" s="1405"/>
      <c r="BE471" s="1407"/>
      <c r="BF471" s="1405"/>
      <c r="BG471" s="1405"/>
      <c r="BH471" s="1405"/>
      <c r="BI471" s="1405"/>
      <c r="BJ471" s="1405"/>
      <c r="BK471" s="1405"/>
      <c r="BL471" s="1405"/>
      <c r="BM471" s="1405"/>
      <c r="BN471" s="1406"/>
      <c r="BO471" s="1405"/>
      <c r="BP471" s="1405"/>
      <c r="BQ471" s="1405"/>
      <c r="BR471" s="1405"/>
      <c r="BS471" s="1405"/>
      <c r="BT471" s="1405"/>
      <c r="BU471" s="1407"/>
      <c r="BV471" s="1303"/>
      <c r="BW471" s="1302"/>
      <c r="BX471" s="1302"/>
      <c r="BY471" s="1302"/>
      <c r="BZ471" s="1302"/>
      <c r="CA471" s="1302"/>
      <c r="CB471" s="1302"/>
      <c r="CC471" s="1304"/>
      <c r="CD471" s="1303"/>
      <c r="CE471" s="1302"/>
      <c r="CF471" s="1302"/>
      <c r="CG471" s="1302"/>
      <c r="CH471" s="1302"/>
      <c r="CI471" s="1302"/>
      <c r="CJ471" s="1302"/>
      <c r="CK471" s="1304"/>
      <c r="CL471" s="1303"/>
      <c r="CM471" s="1302"/>
      <c r="CN471" s="1302"/>
      <c r="CO471" s="1302"/>
      <c r="CP471" s="1302"/>
      <c r="CQ471" s="1302"/>
      <c r="CR471" s="1302"/>
      <c r="CS471" s="1304"/>
      <c r="CT471" s="1087">
        <f>CT459/(CM$388+CO$388+CQ$388+CT$388)</f>
        <v>0.151136475450162</v>
      </c>
      <c r="CU471" s="1087">
        <f>CU459/(CO$388+CQ$388+CT$388+CU$388)</f>
        <v>0.169314257523434</v>
      </c>
      <c r="CV471" s="1087">
        <f>CV459/(CO$388+CQ$388+CT$388+CU$388)</f>
        <v>0.169314257523434</v>
      </c>
      <c r="CW471" s="1087">
        <f>CW459/(CQ$388+CT$388+CU$388+CW$388)</f>
        <v>0.157598499061914</v>
      </c>
      <c r="CX471" s="1087">
        <f>CX459/(CQ$388+CT$388+CU$388+CW$388)</f>
        <v>0.157598499061914</v>
      </c>
      <c r="CY471" s="1087">
        <f>CY459/(CT$388+CU$388+CW$388+CY$388)</f>
        <v>0.158186055544766</v>
      </c>
      <c r="CZ471" s="1087">
        <f>CZ459/(CT$388+CU$388+CW$388+CY$388)</f>
        <v>0.158186055544766</v>
      </c>
      <c r="DA471" s="1088">
        <f>DA459/(CT$388+CU$388+CW$388+CY$388)</f>
        <v>0.158186055544766</v>
      </c>
      <c r="DB471" s="1087">
        <f>DB459/(CU$388+CW$388+CY$388+DB$388)</f>
        <v>0.15212571098043</v>
      </c>
      <c r="DC471" s="1087">
        <f>DC459/(CW$388+CY$388+DB$388+DC$388)</f>
        <v>0.172213216363116</v>
      </c>
      <c r="DD471" s="1087">
        <f>DD459/(CW$388+CY$388+DB$388+DC$388)</f>
        <v>0.172213216363116</v>
      </c>
      <c r="DE471" s="1087">
        <f>DE459/(CY$388+DB$388+DC$388+DE$388)</f>
        <v>0.170541176470588</v>
      </c>
      <c r="DF471" s="1087">
        <f>DF459/(CY$388+DB$388+DC$388+DE$388)</f>
        <v>0.170541176470588</v>
      </c>
      <c r="DG471" s="1087">
        <f>DG459/(DB$388+DC$388+DE$388+DG$388)</f>
        <v>0.1850306065665</v>
      </c>
      <c r="DH471" s="1087">
        <f>DH459/(DB$388+DC$388+DE$388+DG$388)</f>
        <v>0.1850306065665</v>
      </c>
      <c r="DI471" s="1088">
        <f>DI459/(DB$388+DC$388+DE$388+DG$388)</f>
        <v>0.1850306065665</v>
      </c>
      <c r="DJ471" s="1087">
        <f>DJ459/(DC$388+DE$388+DG$388+DJ$388)</f>
        <v>0.187604690117253</v>
      </c>
      <c r="DK471" s="1087">
        <f>DK459/(DE$388+DG$388+DJ$388+DK$388)</f>
        <v>0.190943961081486</v>
      </c>
      <c r="DL471" s="1087">
        <f>DL459/(DE$388+DG$388+DJ$388+DK$388)</f>
        <v>0.190943961081486</v>
      </c>
      <c r="DM471" s="1087">
        <f>DM459/(DG$388+DJ$388+DK$388+DM$388)</f>
        <v>0.157363307296628</v>
      </c>
      <c r="DN471" s="1087">
        <f>DN459/(DG$388+DJ$388+DK$388+DM$388)</f>
        <v>0.157363307296628</v>
      </c>
      <c r="DO471" s="1087">
        <f>DO459/(DJ$388+DK$388+DM$388+DO$388)</f>
        <v>0.141714836223507</v>
      </c>
      <c r="DP471" s="1087">
        <f>DP459/(DJ$388+DK$388+DM$388+DO$388)</f>
        <v>0.141714836223507</v>
      </c>
      <c r="DQ471" s="1088">
        <f>DQ459/(DJ$388+DK$388+DM$388+DO$388)</f>
        <v>0.141714836223507</v>
      </c>
      <c r="DR471" s="1087">
        <f>DR459/(DK$388+DM$388+DO$388+DR$388)</f>
        <v>0.160351245585568</v>
      </c>
      <c r="DS471" s="1087">
        <f>DS459/(DM$388+DO$388+DR$388+DS$388)</f>
        <v>0.187345707232331</v>
      </c>
      <c r="DT471" s="1087">
        <f>DT459/(DM$388+DO$388+DR$388+DS$388)</f>
        <v>0.187345707232331</v>
      </c>
      <c r="DU471" s="1087">
        <f>DU459/(DO$388+DR$388+DS$388+DU$388)</f>
        <v>0.16723104975254</v>
      </c>
      <c r="DV471" s="1087">
        <f>DV459/(DO$388+DR$388+DS$388+DU$388)</f>
        <v>0.16723104975254</v>
      </c>
      <c r="DW471" s="1087">
        <f>DW459/(DR$388+DS$388+DU$388+DW$388)</f>
        <v>0.178050204319907</v>
      </c>
      <c r="DX471" s="1087">
        <f>DX459/(DR$388+DS$388+DU$388+DW$388)</f>
        <v>0.178050204319907</v>
      </c>
      <c r="DY471" s="1088">
        <f>DY459/(DR$388+DS$388+DU$388+DW$388)</f>
        <v>0.178050204319907</v>
      </c>
      <c r="DZ471" s="1087">
        <f>DZ459/(DS$388+DU$388+DW$388+DZ$388)</f>
        <v>0.161477362986497</v>
      </c>
      <c r="EA471" s="1087">
        <f>EA459/(DU$388+DW$388+DZ$388+EA$388)</f>
        <v>0.186543142027165</v>
      </c>
      <c r="EB471" s="1087">
        <f>EB459/(DU$388+DW$388+DZ$388+EA$388)</f>
        <v>0.186543142027165</v>
      </c>
      <c r="EC471" s="1087">
        <f>EC459/(DW$388+DZ$388+EA$388+EC$388)</f>
        <v>0.176900023053869</v>
      </c>
      <c r="ED471" s="1087">
        <f>ED459/(DW$388+DZ$388+EA$388+EC$388)</f>
        <v>0.176900023053869</v>
      </c>
      <c r="EE471" s="1087">
        <f>EE459/(DZ$388+EA$388+EC$388+EE$388)</f>
        <v>0.187809638192464</v>
      </c>
      <c r="EF471" s="1087">
        <f>EF459/(DZ$388+EA$388+EC$388+EE$388)</f>
        <v>0.187809638192464</v>
      </c>
      <c r="EG471" s="1088">
        <f>EG459/(DZ$388+EA$388+EC$388+EE$388)</f>
        <v>0.187809638192464</v>
      </c>
      <c r="EH471" s="1087">
        <f>EH459/(EA$388+EC$388+EE$388+EH$388)</f>
        <v>0.172637497296908</v>
      </c>
      <c r="EI471" s="1087">
        <f>EI459/(EC$388+EE$388+EH$388+EI$388)</f>
        <v>0.188608125087254</v>
      </c>
      <c r="EJ471" s="1087">
        <f>EJ459/(EC$388+EE$388+EH$388+EI$388)</f>
        <v>0.188608125087254</v>
      </c>
      <c r="EK471" s="1087">
        <f>EK459/(EE$388+EH$388+EI$388+EK$388)</f>
        <v>0.159064723822433</v>
      </c>
      <c r="EL471" s="1087">
        <f>EL459/(EE$388+EH$388+EI$388+EK$388)</f>
        <v>0.159064723822433</v>
      </c>
      <c r="EM471" s="1087">
        <f>EM459/(EH$388+EI$388+EK$388+EM$388)</f>
        <v>0.167036215816704</v>
      </c>
      <c r="EN471" s="1087">
        <f>EN459/(EH$388+EI$388+EK$388+EM$388)</f>
        <v>0.167036215816704</v>
      </c>
      <c r="EO471" s="1088">
        <f>EO459/(EH$388+EI$388+EK$388+EM$388)</f>
        <v>0.167036215816704</v>
      </c>
      <c r="EP471" s="1087">
        <f>EP459/(EI$388+EK$388+EM$388+EP$388)</f>
        <v>0.158406482106685</v>
      </c>
      <c r="EQ471" s="1087">
        <f>EQ459/(EK$388+EM$388+EP$388+EQ$388)</f>
        <v>0.177909512128645</v>
      </c>
      <c r="ER471" s="1087">
        <f>ER459/(EK$388+EM$388+EP$388+EQ$388)</f>
        <v>0.177909512128645</v>
      </c>
      <c r="ES471" s="1087">
        <f>ES459/(EM$388+EP$388+EQ$388+ES$388)</f>
        <v>0.174732304269225</v>
      </c>
      <c r="ET471" s="1087">
        <f>ET459/(EM$388+EP$388+EQ$388+ES$388)</f>
        <v>0.174732304269225</v>
      </c>
      <c r="EU471" s="1087">
        <f>EU459/(EP$388+EQ$388+ES$388+EU$388)</f>
        <v>0.181755451283467</v>
      </c>
      <c r="EV471" s="1087">
        <f>EV459/(EP$388+EQ$388+ES$388+EU$388)</f>
        <v>0.181755451283467</v>
      </c>
      <c r="EW471" s="1088">
        <f>EW459/(EP$388+EQ$388+ES$388+EU$388)</f>
        <v>0.181755451283467</v>
      </c>
      <c r="EX471" s="1087">
        <f>EX459/(EQ$388+ES$388+EU$388+EX$388)</f>
        <v>0.176135564618197</v>
      </c>
      <c r="EY471" s="1087">
        <f>EY459/(ES$388+EU$388+EX$388+EY$388)</f>
        <v>0.203413640514153</v>
      </c>
      <c r="EZ471" s="1087">
        <f>EZ459/(ES$388+EU$388+EX$388+EY$388)</f>
        <v>0.203413640514153</v>
      </c>
      <c r="FA471" s="1087">
        <f>FA459/(EU$388+EX$388+EY$388+FA$388)</f>
        <v>0.183793917511457</v>
      </c>
      <c r="FB471" s="1087">
        <f>FB459/(EU$388+EX$388+EY$388+FA$388)</f>
        <v>0.183793917511457</v>
      </c>
      <c r="FC471" s="1087">
        <f>FC459/(EX$388+EY$388+FA$388+FC$388)</f>
        <v>0.173811325947843</v>
      </c>
      <c r="FD471" s="1087">
        <f>FD459/(EX$388+EY$388+FA$388+FC$388)</f>
        <v>0.173811325947843</v>
      </c>
      <c r="FE471" s="1088">
        <f>FE459/(EX$388+EY$388+FA$388+FC$388)</f>
        <v>0.173811325947843</v>
      </c>
      <c r="FF471" s="1087">
        <f>FF459/(EY$388+FA$388+FC$388+FF$388)</f>
        <v>0.167756854971919</v>
      </c>
      <c r="FG471" s="1087">
        <f>FG459/(FA$388+FC$388+FF$388+FG$388)</f>
        <v>0.187100485809256</v>
      </c>
      <c r="FH471" s="1087">
        <f>FH459/(FA$388+FC$388+FF$388+FG$388)</f>
        <v>0.187100485809256</v>
      </c>
      <c r="FI471" s="1087">
        <f>FI459/(FC$388+FF$388+FG$388+FI$388)</f>
        <v>0.164944672005869</v>
      </c>
      <c r="FJ471" s="1087">
        <f>FJ459/(FC$388+FF$388+FG$388+FI$388)</f>
        <v>0.164944672005869</v>
      </c>
      <c r="FK471" s="1087">
        <f>FK459/(FF$388+FG$388+FI$388+FK$388)</f>
        <v>0.184037836240024</v>
      </c>
      <c r="FL471" s="1087">
        <f>FL459/(FF$388+FG$388+FI$388+FK$388)</f>
        <v>0.184037836240024</v>
      </c>
      <c r="FM471" s="1088">
        <f>FM459/(FF$388+FG$388+FI$388+FK$388)</f>
        <v>0.184037836240024</v>
      </c>
      <c r="FN471" s="1087">
        <f>FN459/(FG$388+FI$388+FK$388+FN$388)</f>
        <v>0.166979148911994</v>
      </c>
      <c r="FO471" s="1087">
        <f>FO459/(FI$388+FK$388+FN$388+FO$388)</f>
        <v>0.193961472649997</v>
      </c>
      <c r="FP471" s="1087">
        <f>FP459/(FI$388+FK$388+FN$388+FO$388)</f>
        <v>0.193961472649997</v>
      </c>
      <c r="FQ471" s="1087">
        <f>FQ459/(FK$388+FN$388+FO$388+FQ$388)</f>
        <v>0.170626464947795</v>
      </c>
      <c r="FR471" s="1087">
        <f>FR459/(FK$388+FN$388+FO$388+FQ$388)</f>
        <v>0.170626464947795</v>
      </c>
      <c r="FS471" s="1087">
        <f>FS459/(FN$388+FO$388+FQ$388+FS$388)</f>
        <v>0.195075168481078</v>
      </c>
      <c r="FT471" s="1087">
        <f>FT459/(FN$388+FO$388+FQ$388+FS$388)</f>
        <v>0.195075168481078</v>
      </c>
      <c r="FU471" s="1087">
        <f>FU459/(FN$388+FO$388+FQ$388+FS$388)</f>
        <v>0.195075168481078</v>
      </c>
      <c r="FV471" s="1086">
        <f>FV459/(FO$388+FQ$388+FS$388+FV$388)</f>
        <v>0.180748234587069</v>
      </c>
      <c r="FW471" s="1087">
        <f>FW459/(FP$388+FR$388+FT$388+FW$388)</f>
        <v>0.0935990958594472</v>
      </c>
      <c r="FX471" s="1087">
        <f>FX459/(FQ$388+FS$388+FU$388+FX$388)</f>
        <v>0.091392455858748</v>
      </c>
      <c r="FY471" s="1087">
        <f>FY459/(FS$388+FV$388+FW$388+FY$388)</f>
        <v>0.165051803530315</v>
      </c>
      <c r="FZ471" s="1087">
        <f>FZ459/(FS$388+FV$388+FW$388+FY$388)</f>
        <v>0.165051803530315</v>
      </c>
      <c r="GA471" s="1087">
        <f>GA459/(FV$388+FW$388+FY$388+GA$388)</f>
        <v>0.174003204826091</v>
      </c>
      <c r="GB471" s="1087">
        <f>GB459/(FV$388+FW$388+FY$388+GA$388)</f>
        <v>0.174003204826091</v>
      </c>
      <c r="GC471" s="1088">
        <f>GC459/(FV$388+FW$388+FY$388+GA$388)</f>
        <v>0.174003204826091</v>
      </c>
      <c r="GD471" s="1087"/>
      <c r="GE471" s="1087"/>
      <c r="GF471" s="1087"/>
      <c r="GG471" s="1087"/>
      <c r="GH471" s="1087"/>
      <c r="GI471" s="1087"/>
      <c r="GJ471" s="1087"/>
      <c r="GK471" s="1088"/>
      <c r="GL471" s="1087"/>
      <c r="GM471" s="1087"/>
      <c r="GN471" s="1087"/>
      <c r="GO471" s="1087"/>
      <c r="GP471" s="1087"/>
      <c r="GQ471" s="1087"/>
      <c r="GR471" s="1087"/>
      <c r="GS471" s="1088"/>
      <c r="GT471" s="1087"/>
      <c r="GU471" s="1087"/>
      <c r="GV471" s="1087"/>
      <c r="GW471" s="1087"/>
      <c r="GX471" s="1087"/>
      <c r="GY471" s="1087"/>
      <c r="GZ471" s="1087"/>
      <c r="HA471" s="1088"/>
      <c r="HB471" s="1087"/>
      <c r="HC471" s="1087"/>
      <c r="HD471" s="1087"/>
      <c r="HE471" s="1087"/>
      <c r="HF471" s="1087"/>
      <c r="HG471" s="1087"/>
      <c r="HH471" s="1087"/>
      <c r="HI471" s="1088"/>
      <c r="HJ471" s="1087"/>
      <c r="HK471" s="1087"/>
      <c r="HL471" s="1087"/>
      <c r="HM471" s="1087"/>
      <c r="HN471" s="1087"/>
      <c r="HO471" s="1087"/>
      <c r="HP471" s="1087"/>
      <c r="HQ471" s="1088"/>
      <c r="HR471" s="1087"/>
      <c r="HS471" s="1087"/>
      <c r="HT471" s="1087"/>
      <c r="HU471" s="1087"/>
      <c r="HV471" s="1087"/>
      <c r="HW471" s="1087"/>
      <c r="HX471" s="1087"/>
      <c r="HY471" s="1087"/>
      <c r="HZ471" s="1087"/>
      <c r="IA471" s="1087"/>
      <c r="IB471" s="1087"/>
      <c r="IC471" s="1087"/>
      <c r="ID471" s="1087"/>
      <c r="IE471" s="1087"/>
      <c r="IF471" s="1087"/>
      <c r="IG471" s="1088"/>
      <c r="IH471" s="1087"/>
      <c r="II471" s="1087"/>
      <c r="IJ471" s="1087"/>
      <c r="IK471" s="1087"/>
      <c r="IL471" s="1087"/>
      <c r="IM471" s="1087"/>
      <c r="IN471" s="1087"/>
      <c r="IO471" s="1088"/>
      <c r="IP471" s="1087"/>
      <c r="IQ471" s="1087"/>
      <c r="IR471" s="1087"/>
      <c r="IS471" s="1087"/>
      <c r="IT471" s="1087"/>
      <c r="IU471" s="1087"/>
      <c r="IV471" s="1087"/>
      <c r="IW471" s="1087"/>
      <c r="IX471" s="1049"/>
      <c r="IY471" s="1049"/>
      <c r="IZ471" s="1049"/>
      <c r="JA471" s="1049"/>
      <c r="JB471" s="1049"/>
      <c r="JC471" s="1049"/>
      <c r="JD471" s="1041"/>
      <c r="JE471" s="1037"/>
      <c r="JF471" s="1037"/>
      <c r="JG471" s="1037"/>
      <c r="JH471" s="1037"/>
      <c r="JI471" s="1035"/>
      <c r="JJ471" s="1035"/>
      <c r="JK471" s="1035"/>
      <c r="JL471" s="1035"/>
      <c r="JM471" s="1035"/>
      <c r="JN471" s="1035"/>
      <c r="JO471" s="1035"/>
      <c r="JP471" s="1035"/>
      <c r="JQ471" s="1035"/>
      <c r="JR471" s="1035"/>
      <c r="JS471" s="1035"/>
      <c r="JT471" s="1035"/>
      <c r="JU471" s="1035"/>
      <c r="JV471" s="1035"/>
      <c r="JW471" s="1035"/>
      <c r="JX471" s="1035"/>
      <c r="JY471" s="1035"/>
    </row>
    <row r="472" spans="1:285">
      <c r="A472" s="1339" t="s">
        <v>611</v>
      </c>
      <c r="B472" s="1405"/>
      <c r="C472" s="1405"/>
      <c r="D472" s="1405"/>
      <c r="E472" s="1405"/>
      <c r="F472" s="1405"/>
      <c r="G472" s="1405"/>
      <c r="H472" s="1405"/>
      <c r="I472" s="1405"/>
      <c r="J472" s="1405"/>
      <c r="K472" s="1405"/>
      <c r="L472" s="1405"/>
      <c r="M472" s="1405"/>
      <c r="N472" s="1405"/>
      <c r="O472" s="1405"/>
      <c r="P472" s="1405"/>
      <c r="Q472" s="1405"/>
      <c r="R472" s="1405"/>
      <c r="S472" s="1405"/>
      <c r="T472" s="1405"/>
      <c r="U472" s="1405"/>
      <c r="V472" s="1405"/>
      <c r="W472" s="1405"/>
      <c r="X472" s="1405"/>
      <c r="Y472" s="1405"/>
      <c r="Z472" s="1405"/>
      <c r="AA472" s="1405"/>
      <c r="AB472" s="1405"/>
      <c r="AC472" s="1405"/>
      <c r="AD472" s="1405"/>
      <c r="AE472" s="1405"/>
      <c r="AF472" s="1405"/>
      <c r="AG472" s="1405"/>
      <c r="AH472" s="1405"/>
      <c r="AI472" s="1405"/>
      <c r="AJ472" s="1405"/>
      <c r="AK472" s="1405"/>
      <c r="AL472" s="1405"/>
      <c r="AM472" s="1405"/>
      <c r="AN472" s="1405"/>
      <c r="AO472" s="1405"/>
      <c r="AP472" s="1405"/>
      <c r="AQ472" s="1405"/>
      <c r="AR472" s="1405"/>
      <c r="AS472" s="1405"/>
      <c r="AT472" s="1405"/>
      <c r="AU472" s="1405"/>
      <c r="AV472" s="1405"/>
      <c r="AW472" s="1405"/>
      <c r="AX472" s="1406"/>
      <c r="AY472" s="1405"/>
      <c r="AZ472" s="1405"/>
      <c r="BA472" s="1405"/>
      <c r="BB472" s="1405"/>
      <c r="BC472" s="1405"/>
      <c r="BD472" s="1405"/>
      <c r="BE472" s="1407"/>
      <c r="BF472" s="1405"/>
      <c r="BG472" s="1405"/>
      <c r="BH472" s="1405"/>
      <c r="BI472" s="1405"/>
      <c r="BJ472" s="1405"/>
      <c r="BK472" s="1405"/>
      <c r="BL472" s="1405"/>
      <c r="BM472" s="1405"/>
      <c r="BN472" s="1406"/>
      <c r="BO472" s="1405"/>
      <c r="BP472" s="1405"/>
      <c r="BQ472" s="1405"/>
      <c r="BR472" s="1405"/>
      <c r="BS472" s="1405"/>
      <c r="BT472" s="1405"/>
      <c r="BU472" s="1407"/>
      <c r="BV472" s="1303"/>
      <c r="BW472" s="1302"/>
      <c r="BX472" s="1302"/>
      <c r="BY472" s="1302"/>
      <c r="BZ472" s="1302"/>
      <c r="CA472" s="1302"/>
      <c r="CB472" s="1302"/>
      <c r="CC472" s="1304"/>
      <c r="CD472" s="1303"/>
      <c r="CE472" s="1302"/>
      <c r="CF472" s="1302"/>
      <c r="CG472" s="1302"/>
      <c r="CH472" s="1302"/>
      <c r="CI472" s="1302"/>
      <c r="CJ472" s="1302"/>
      <c r="CK472" s="1304"/>
      <c r="CL472" s="1303"/>
      <c r="CM472" s="1302"/>
      <c r="CN472" s="1302"/>
      <c r="CO472" s="1302"/>
      <c r="CP472" s="1302"/>
      <c r="CQ472" s="1302"/>
      <c r="CR472" s="1302"/>
      <c r="CS472" s="1304"/>
      <c r="CT472" s="1087" t="e">
        <f>CT459/(CM$10+CO$10+CQ$10+CT$10)</f>
        <v>#DIV/0!</v>
      </c>
      <c r="CU472" s="1087" t="e">
        <f>CU459/(CO$10+CQ$10+CT$10+CU$10)</f>
        <v>#DIV/0!</v>
      </c>
      <c r="CV472" s="1087" t="e">
        <f>CV459/(CO$10+CQ$10+CT$10+CU$10)</f>
        <v>#DIV/0!</v>
      </c>
      <c r="CW472" s="1087" t="e">
        <f>CW459/(CQ$10+CT$10+CU$10+CW$10)</f>
        <v>#DIV/0!</v>
      </c>
      <c r="CX472" s="1087" t="e">
        <f>CX459/(CQ$10+CT$10+CU$10+CW$10)</f>
        <v>#DIV/0!</v>
      </c>
      <c r="CY472" s="1087" t="e">
        <f>CY459/(CT$10+CU$10+CW$10+CY$10)</f>
        <v>#DIV/0!</v>
      </c>
      <c r="CZ472" s="1087" t="e">
        <f>CZ459/(CT$10+CU$10+CW$10+CY$10)</f>
        <v>#DIV/0!</v>
      </c>
      <c r="DA472" s="1088" t="e">
        <f>DA459/(CT$10+CU$10+CW$10+CY$10)</f>
        <v>#DIV/0!</v>
      </c>
      <c r="DB472" s="1087">
        <f>DB459/(CU$10+CW$10+CY$10+DB$10)</f>
        <v>4.38333333333333</v>
      </c>
      <c r="DC472" s="1087">
        <f>DC459/(CW$10+CY$10+DB$10+DC$10)</f>
        <v>2.30651340996169</v>
      </c>
      <c r="DD472" s="1087">
        <f>DD459/(CW$10+CY$10+DB$10+DC$10)</f>
        <v>2.30651340996169</v>
      </c>
      <c r="DE472" s="1087">
        <f>DE459/(CY$10+DB$10+DC$10+DE$10)</f>
        <v>1.42229199372057</v>
      </c>
      <c r="DF472" s="1087">
        <f>DF459/(CY$10+DB$10+DC$10+DE$10)</f>
        <v>1.42229199372057</v>
      </c>
      <c r="DG472" s="1087">
        <f>DG459/(DB$10+DC$10+DE$10+DG$10)</f>
        <v>1.14787111622555</v>
      </c>
      <c r="DH472" s="1087">
        <f>DH459/(DB$10+DC$10+DE$10+DG$10)</f>
        <v>1.14787111622555</v>
      </c>
      <c r="DI472" s="1088">
        <f>DI459/(DB$10+DC$10+DE$10+DG$10)</f>
        <v>1.14787111622555</v>
      </c>
      <c r="DJ472" s="1087">
        <f>DJ459/(DC$10+DE$10+DG$10+DJ$10)</f>
        <v>1.13385826771654</v>
      </c>
      <c r="DK472" s="1087">
        <f>DK459/(DE$10+DG$10+DJ$10+DK$10)</f>
        <v>1.10863661053775</v>
      </c>
      <c r="DL472" s="1087">
        <f>DL459/(DE$10+DG$10+DJ$10+DK$10)</f>
        <v>1.10863661053775</v>
      </c>
      <c r="DM472" s="1087">
        <f>DM459/(DG$10+DJ$10+DK$10+DM$10)</f>
        <v>0.88153681963714</v>
      </c>
      <c r="DN472" s="1087">
        <f>DN459/(DG$10+DJ$10+DK$10+DM$10)</f>
        <v>0.88153681963714</v>
      </c>
      <c r="DO472" s="1087">
        <f>DO459/(DJ$10+DK$10+DM$10+DO$10)</f>
        <v>0.771368641845831</v>
      </c>
      <c r="DP472" s="1087">
        <f>DP459/(DJ$10+DK$10+DM$10+DO$10)</f>
        <v>0.771368641845831</v>
      </c>
      <c r="DQ472" s="1088">
        <f>DQ459/(DJ$10+DK$10+DM$10+DO$10)</f>
        <v>0.771368641845831</v>
      </c>
      <c r="DR472" s="1087">
        <f>DR459/(DK$10+DM$10+DO$10+DR$10)</f>
        <v>0.854526958290946</v>
      </c>
      <c r="DS472" s="1087">
        <f>DS459/(DM$10+DO$10+DR$10+DS$10)</f>
        <v>0.984149855907781</v>
      </c>
      <c r="DT472" s="1087">
        <f>DT459/(DM$10+DO$10+DR$10+DS$10)</f>
        <v>0.984149855907781</v>
      </c>
      <c r="DU472" s="1087">
        <f>DU459/(DO$10+DR$10+DS$10+DU$10)</f>
        <v>0.866396761133603</v>
      </c>
      <c r="DV472" s="1087">
        <f>DV459/(DO$10+DR$10+DS$10+DU$10)</f>
        <v>0.866396761133603</v>
      </c>
      <c r="DW472" s="1087">
        <f>DW459/(DR$10+DS$10+DU$10+DW$10)</f>
        <v>0.893679363750523</v>
      </c>
      <c r="DX472" s="1087">
        <f>DX459/(DR$10+DS$10+DU$10+DW$10)</f>
        <v>0.893679363750523</v>
      </c>
      <c r="DY472" s="1088">
        <f>DY459/(DR$10+DS$10+DU$10+DW$10)</f>
        <v>0.893679363750523</v>
      </c>
      <c r="DZ472" s="1087">
        <f>DZ459/(DS$10+DU$10+DW$10+DZ$10)</f>
        <v>0.810929397686478</v>
      </c>
      <c r="EA472" s="1087">
        <f>EA459/(DU$10+DW$10+DZ$10+EA$10)</f>
        <v>0.918793503480278</v>
      </c>
      <c r="EB472" s="1087">
        <f>EB459/(DU$10+DW$10+DZ$10+EA$10)</f>
        <v>0.918793503480278</v>
      </c>
      <c r="EC472" s="1087">
        <f>EC459/(DW$10+DZ$10+EA$10+EC$10)</f>
        <v>0.859596713965646</v>
      </c>
      <c r="ED472" s="1087">
        <f>ED459/(DW$10+DZ$10+EA$10+EC$10)</f>
        <v>0.859596713965646</v>
      </c>
      <c r="EE472" s="1087">
        <f>EE459/(DZ$10+EA$10+EC$10+EE$10)</f>
        <v>0.895810955961332</v>
      </c>
      <c r="EF472" s="1087">
        <f>EF459/(DZ$10+EA$10+EC$10+EE$10)</f>
        <v>0.895810955961332</v>
      </c>
      <c r="EG472" s="1088">
        <f>EG459/(DZ$10+EA$10+EC$10+EE$10)</f>
        <v>0.895810955961332</v>
      </c>
      <c r="EH472" s="1087">
        <f>EH459/(EA$10+EC$10+EE$10+EH$10)</f>
        <v>0.823306978343073</v>
      </c>
      <c r="EI472" s="1087">
        <f>EI459/(EC$10+EE$10+EH$10+EI$10)</f>
        <v>0.876703439325114</v>
      </c>
      <c r="EJ472" s="1087">
        <f>EJ459/(EC$10+EE$10+EH$10+EI$10)</f>
        <v>0.876703439325114</v>
      </c>
      <c r="EK472" s="1087">
        <f>EK459/(EE$10+EH$10+EI$10+EK$10)</f>
        <v>0.717956561639645</v>
      </c>
      <c r="EL472" s="1087">
        <f>EL459/(EE$10+EH$10+EI$10+EK$10)</f>
        <v>0.717956561639645</v>
      </c>
      <c r="EM472" s="1087">
        <f>EM459/(EH$10+EI$10+EK$10+EM$10)</f>
        <v>0.737029350726356</v>
      </c>
      <c r="EN472" s="1087">
        <f>EN459/(EH$10+EI$10+EK$10+EM$10)</f>
        <v>0.737029350726356</v>
      </c>
      <c r="EO472" s="1088">
        <f>EO459/(EH$10+EI$10+EK$10+EM$10)</f>
        <v>0.737029350726356</v>
      </c>
      <c r="EP472" s="1087">
        <f>EP459/(EI$10+EK$10+EM$10+EP$10)</f>
        <v>0.689594356261023</v>
      </c>
      <c r="EQ472" s="1087">
        <f>EQ459/(EK$10+EM$10+EP$10+EQ$10)</f>
        <v>0.764568081991215</v>
      </c>
      <c r="ER472" s="1087">
        <f>ER459/(EK$10+EM$10+EP$10+EQ$10)</f>
        <v>0.764568081991215</v>
      </c>
      <c r="ES472" s="1087">
        <f>ES459/(EM$10+EP$10+EQ$10+ES$10)</f>
        <v>0.74042427813789</v>
      </c>
      <c r="ET472" s="1087">
        <f>ET459/(EM$10+EP$10+EQ$10+ES$10)</f>
        <v>0.74042427813789</v>
      </c>
      <c r="EU472" s="1087">
        <f>EU459/(EP$10+EQ$10+ES$10+EU$10)</f>
        <v>0.764364480557168</v>
      </c>
      <c r="EV472" s="1087">
        <f>EV459/(EP$10+EQ$10+ES$10+EU$10)</f>
        <v>0.764364480557168</v>
      </c>
      <c r="EW472" s="1088">
        <f>EW459/(EP$10+EQ$10+ES$10+EU$10)</f>
        <v>0.764364480557168</v>
      </c>
      <c r="EX472" s="1087">
        <f>EX459/(EQ$10+ES$10+EU$10+EX$10)</f>
        <v>0.712052302444571</v>
      </c>
      <c r="EY472" s="1087">
        <f>EY459/(ES$10+EU$10+EX$10+EY$10)</f>
        <v>0.802438348573012</v>
      </c>
      <c r="EZ472" s="1087">
        <f>EZ459/(ES$10+EU$10+EX$10+EY$10)</f>
        <v>0.802438348573012</v>
      </c>
      <c r="FA472" s="1087">
        <f>FA459/(EU$10+EX$10+EY$10+FA$10)</f>
        <v>0.709081167961425</v>
      </c>
      <c r="FB472" s="1087">
        <f>FB459/(EU$10+EX$10+EY$10+FA$10)</f>
        <v>0.709081167961425</v>
      </c>
      <c r="FC472" s="1087">
        <f>FC459/(EX$10+EY$10+FA$10+FC$10)</f>
        <v>0.661158721999139</v>
      </c>
      <c r="FD472" s="1087">
        <f>FD459/(EX$10+EY$10+FA$10+FC$10)</f>
        <v>0.661158721999139</v>
      </c>
      <c r="FE472" s="1088">
        <f>FE459/(EX$10+EY$10+FA$10+FC$10)</f>
        <v>0.661158721999139</v>
      </c>
      <c r="FF472" s="1087">
        <f>FF459/(EY$10+FA$10+FC$10+FF$10)</f>
        <v>0.647445567102593</v>
      </c>
      <c r="FG472" s="1087">
        <f>FG459/(FA$10+FC$10+FF$10+FG$10)</f>
        <v>0.728007098466282</v>
      </c>
      <c r="FH472" s="1087">
        <f>FH459/(FA$10+FC$10+FF$10+FG$10)</f>
        <v>0.728007098466282</v>
      </c>
      <c r="FI472" s="1087">
        <f>FI459/(FC$10+FF$10+FG$10+FI$10)</f>
        <v>0.661669371945348</v>
      </c>
      <c r="FJ472" s="1087">
        <f>FJ459/(FC$10+FF$10+FG$10+FI$10)</f>
        <v>0.661669371945348</v>
      </c>
      <c r="FK472" s="1087">
        <f>FK459/(FF$10+FG$10+FI$10+FK$10)</f>
        <v>0.737502961383558</v>
      </c>
      <c r="FL472" s="1087">
        <f>FL459/(FF$10+FG$10+FI$10+FK$10)</f>
        <v>0.737502961383558</v>
      </c>
      <c r="FM472" s="1088">
        <f>FM459/(FF$10+FG$10+FI$10+FK$10)</f>
        <v>0.737502961383558</v>
      </c>
      <c r="FN472" s="1087">
        <f>FN459/(FG$10+FI$10+FK$10+FN$10)</f>
        <v>0.674082568807339</v>
      </c>
      <c r="FO472" s="1087">
        <f>FO459/(FI$10+FK$10+FN$10+FO$10)</f>
        <v>0.784375</v>
      </c>
      <c r="FP472" s="1087">
        <f>FP459/(FI$10+FK$10+FN$10+FO$10)</f>
        <v>0.784375</v>
      </c>
      <c r="FQ472" s="1087">
        <f>FQ459/(FK$10+FN$10+FO$10+FQ$10)</f>
        <v>0.680620484487888</v>
      </c>
      <c r="FR472" s="1087">
        <f>FR459/(FK$10+FN$10+FO$10+FQ$10)</f>
        <v>0.680620484487888</v>
      </c>
      <c r="FS472" s="1087">
        <f>FS459/(FN$10+FO$10+FQ$10+FS$10)</f>
        <v>0.752148710773536</v>
      </c>
      <c r="FT472" s="1087">
        <f>FT459/(FN$10+FO$10+FQ$10+FS$10)</f>
        <v>0.752148710773536</v>
      </c>
      <c r="FU472" s="1087">
        <f>FU459/(FN$10+FO$10+FQ$10+FS$10)</f>
        <v>0.752148710773536</v>
      </c>
      <c r="FV472" s="1086">
        <f>FV459/(FO$10+FQ$10+FS$10+FV$10)</f>
        <v>0.68625213918996</v>
      </c>
      <c r="FW472" s="1087">
        <f>FW459/(FP$10+FR$10+FT$10+FW$10)</f>
        <v>0.363999600439517</v>
      </c>
      <c r="FX472" s="1087">
        <f>FX459/(FQ$10+FS$10+FU$10+FX$10)</f>
        <v>0.345337376800606</v>
      </c>
      <c r="FY472" s="1087">
        <f>FY459/(FS$10+FV$10+FW$10+FY$10)</f>
        <v>0.610539389638041</v>
      </c>
      <c r="FZ472" s="1087">
        <f>FZ459/(FS$10+FV$10+FW$10+FY$10)</f>
        <v>0.610539389638041</v>
      </c>
      <c r="GA472" s="1087">
        <f>GA459/(FV$10+FW$10+FY$10+GA$10)</f>
        <v>0.630034129692833</v>
      </c>
      <c r="GB472" s="1087">
        <f>GB459/(FV$10+FW$10+FY$10+GA$10)</f>
        <v>0.630034129692833</v>
      </c>
      <c r="GC472" s="1088">
        <f>GC459/(FV$10+FW$10+FY$10+GA$10)</f>
        <v>0.630034129692833</v>
      </c>
      <c r="GD472" s="1087"/>
      <c r="GE472" s="1087"/>
      <c r="GF472" s="1087"/>
      <c r="GG472" s="1087"/>
      <c r="GH472" s="1087"/>
      <c r="GI472" s="1087"/>
      <c r="GJ472" s="1087"/>
      <c r="GK472" s="1088"/>
      <c r="GL472" s="1087"/>
      <c r="GM472" s="1087"/>
      <c r="GN472" s="1087"/>
      <c r="GO472" s="1087"/>
      <c r="GP472" s="1087"/>
      <c r="GQ472" s="1087"/>
      <c r="GR472" s="1087"/>
      <c r="GS472" s="1088"/>
      <c r="GT472" s="1087"/>
      <c r="GU472" s="1087"/>
      <c r="GV472" s="1087"/>
      <c r="GW472" s="1087"/>
      <c r="GX472" s="1087"/>
      <c r="GY472" s="1087"/>
      <c r="GZ472" s="1087"/>
      <c r="HA472" s="1088"/>
      <c r="HB472" s="1087"/>
      <c r="HC472" s="1087"/>
      <c r="HD472" s="1087"/>
      <c r="HE472" s="1087"/>
      <c r="HF472" s="1087"/>
      <c r="HG472" s="1087"/>
      <c r="HH472" s="1087"/>
      <c r="HI472" s="1088"/>
      <c r="HJ472" s="1087"/>
      <c r="HK472" s="1087"/>
      <c r="HL472" s="1087"/>
      <c r="HM472" s="1087"/>
      <c r="HN472" s="1087"/>
      <c r="HO472" s="1087"/>
      <c r="HP472" s="1087"/>
      <c r="HQ472" s="1088"/>
      <c r="HR472" s="1087"/>
      <c r="HS472" s="1087"/>
      <c r="HT472" s="1087"/>
      <c r="HU472" s="1087"/>
      <c r="HV472" s="1087"/>
      <c r="HW472" s="1087"/>
      <c r="HX472" s="1087"/>
      <c r="HY472" s="1087"/>
      <c r="HZ472" s="1087"/>
      <c r="IA472" s="1087"/>
      <c r="IB472" s="1087"/>
      <c r="IC472" s="1087"/>
      <c r="ID472" s="1087"/>
      <c r="IE472" s="1087"/>
      <c r="IF472" s="1087"/>
      <c r="IG472" s="1088"/>
      <c r="IH472" s="1087"/>
      <c r="II472" s="1087"/>
      <c r="IJ472" s="1087"/>
      <c r="IK472" s="1087"/>
      <c r="IL472" s="1087"/>
      <c r="IM472" s="1087"/>
      <c r="IN472" s="1087"/>
      <c r="IO472" s="1088"/>
      <c r="IP472" s="1087"/>
      <c r="IQ472" s="1087"/>
      <c r="IR472" s="1087"/>
      <c r="IS472" s="1087"/>
      <c r="IT472" s="1087"/>
      <c r="IU472" s="1087"/>
      <c r="IV472" s="1087"/>
      <c r="IW472" s="1087"/>
      <c r="IX472" s="1049"/>
      <c r="IY472" s="1049"/>
      <c r="IZ472" s="1049"/>
      <c r="JA472" s="1049"/>
      <c r="JB472" s="1049"/>
      <c r="JC472" s="1049"/>
      <c r="JD472" s="1041"/>
      <c r="JE472" s="1037"/>
      <c r="JF472" s="1037"/>
      <c r="JG472" s="1037"/>
      <c r="JH472" s="1037"/>
      <c r="JI472" s="1035"/>
      <c r="JJ472" s="1035"/>
      <c r="JK472" s="1035"/>
      <c r="JL472" s="1035"/>
      <c r="JM472" s="1035"/>
      <c r="JN472" s="1035"/>
      <c r="JO472" s="1035"/>
      <c r="JP472" s="1035"/>
      <c r="JQ472" s="1035"/>
      <c r="JR472" s="1035"/>
      <c r="JS472" s="1035"/>
      <c r="JT472" s="1035"/>
      <c r="JU472" s="1035"/>
      <c r="JV472" s="1035"/>
      <c r="JW472" s="1035"/>
      <c r="JX472" s="1035"/>
      <c r="JY472" s="1035"/>
    </row>
    <row r="473" spans="1:285">
      <c r="A473" s="1339" t="s">
        <v>612</v>
      </c>
      <c r="B473" s="1405"/>
      <c r="C473" s="1405"/>
      <c r="D473" s="1405"/>
      <c r="E473" s="1405"/>
      <c r="F473" s="1405"/>
      <c r="G473" s="1405"/>
      <c r="H473" s="1405"/>
      <c r="I473" s="1405"/>
      <c r="J473" s="1405"/>
      <c r="K473" s="1405"/>
      <c r="L473" s="1405"/>
      <c r="M473" s="1405"/>
      <c r="N473" s="1405"/>
      <c r="O473" s="1405"/>
      <c r="P473" s="1405"/>
      <c r="Q473" s="1405"/>
      <c r="R473" s="1405"/>
      <c r="S473" s="1405"/>
      <c r="T473" s="1405"/>
      <c r="U473" s="1405"/>
      <c r="V473" s="1405"/>
      <c r="W473" s="1405"/>
      <c r="X473" s="1405"/>
      <c r="Y473" s="1405"/>
      <c r="Z473" s="1405"/>
      <c r="AA473" s="1405"/>
      <c r="AB473" s="1405"/>
      <c r="AC473" s="1405"/>
      <c r="AD473" s="1405"/>
      <c r="AE473" s="1405"/>
      <c r="AF473" s="1405"/>
      <c r="AG473" s="1405"/>
      <c r="AH473" s="1405"/>
      <c r="AI473" s="1405"/>
      <c r="AJ473" s="1405"/>
      <c r="AK473" s="1405"/>
      <c r="AL473" s="1405"/>
      <c r="AM473" s="1405"/>
      <c r="AN473" s="1405"/>
      <c r="AO473" s="1405"/>
      <c r="AP473" s="1405"/>
      <c r="AQ473" s="1405"/>
      <c r="AR473" s="1405"/>
      <c r="AS473" s="1405"/>
      <c r="AT473" s="1405"/>
      <c r="AU473" s="1405"/>
      <c r="AV473" s="1405"/>
      <c r="AW473" s="1405"/>
      <c r="AX473" s="1406"/>
      <c r="AY473" s="1405"/>
      <c r="AZ473" s="1405"/>
      <c r="BA473" s="1405"/>
      <c r="BB473" s="1405"/>
      <c r="BC473" s="1405"/>
      <c r="BD473" s="1405"/>
      <c r="BE473" s="1407"/>
      <c r="BF473" s="1405"/>
      <c r="BG473" s="1405"/>
      <c r="BH473" s="1405"/>
      <c r="BI473" s="1405"/>
      <c r="BJ473" s="1405"/>
      <c r="BK473" s="1405"/>
      <c r="BL473" s="1405"/>
      <c r="BM473" s="1405"/>
      <c r="BN473" s="1406"/>
      <c r="BO473" s="1405"/>
      <c r="BP473" s="1405"/>
      <c r="BQ473" s="1405"/>
      <c r="BR473" s="1405"/>
      <c r="BS473" s="1405"/>
      <c r="BT473" s="1405"/>
      <c r="BU473" s="1407"/>
      <c r="BV473" s="1303"/>
      <c r="BW473" s="1302"/>
      <c r="BX473" s="1302"/>
      <c r="BY473" s="1302"/>
      <c r="BZ473" s="1302"/>
      <c r="CA473" s="1302"/>
      <c r="CB473" s="1302"/>
      <c r="CC473" s="1304"/>
      <c r="CD473" s="1303"/>
      <c r="CE473" s="1302"/>
      <c r="CF473" s="1302"/>
      <c r="CG473" s="1302"/>
      <c r="CH473" s="1302"/>
      <c r="CI473" s="1302"/>
      <c r="CJ473" s="1302"/>
      <c r="CK473" s="1304"/>
      <c r="CL473" s="1303"/>
      <c r="CM473" s="1302"/>
      <c r="CN473" s="1302"/>
      <c r="CO473" s="1302"/>
      <c r="CP473" s="1302"/>
      <c r="CQ473" s="1302"/>
      <c r="CR473" s="1302"/>
      <c r="CS473" s="1304"/>
      <c r="CT473" s="1087">
        <f>CT460/(CM$388+CO$388+CQ$388+CT$388)</f>
        <v>0.174849945882121</v>
      </c>
      <c r="CU473" s="1087">
        <f>CU460/(CO$388+CQ$388+CT$388+CU$388)</f>
        <v>0.16665022200296</v>
      </c>
      <c r="CV473" s="1087">
        <f>CV460/(CO$388+CQ$388+CT$388+CU$388)</f>
        <v>0.16665022200296</v>
      </c>
      <c r="CW473" s="1087">
        <f>CW460/(CQ$388+CT$388+CU$388+CW$388)</f>
        <v>0.189394687469142</v>
      </c>
      <c r="CX473" s="1087">
        <f>CX460/(CQ$388+CT$388+CU$388+CW$388)</f>
        <v>0.189394687469142</v>
      </c>
      <c r="CY473" s="1087">
        <f>CY460/(CT$388+CU$388+CW$388+CY$388)</f>
        <v>0.150029131870266</v>
      </c>
      <c r="CZ473" s="1087">
        <f>CZ460/(CT$388+CU$388+CW$388+CY$388)</f>
        <v>0.150029131870266</v>
      </c>
      <c r="DA473" s="1088">
        <f>DA460/(CT$388+CU$388+CW$388+CY$388)</f>
        <v>0.150029131870266</v>
      </c>
      <c r="DB473" s="1087">
        <f>DB460/(CU$388+CW$388+CY$388+DB$388)</f>
        <v>0.158584787428902</v>
      </c>
      <c r="DC473" s="1087">
        <f>DC460/(CW$388+CY$388+DB$388+DC$388)</f>
        <v>0.156479450748546</v>
      </c>
      <c r="DD473" s="1087">
        <f>DD460/(CW$388+CY$388+DB$388+DC$388)</f>
        <v>0.156479450748546</v>
      </c>
      <c r="DE473" s="1087">
        <f>DE460/(CY$388+DB$388+DC$388+DE$388)</f>
        <v>0.193411764705882</v>
      </c>
      <c r="DF473" s="1087">
        <f>DF460/(CY$388+DB$388+DC$388+DE$388)</f>
        <v>0.193411764705882</v>
      </c>
      <c r="DG473" s="1087">
        <f>DG460/(DB$388+DC$388+DE$388+DG$388)</f>
        <v>0.163698757187906</v>
      </c>
      <c r="DH473" s="1087">
        <f>DH460/(DB$388+DC$388+DE$388+DG$388)</f>
        <v>0.163698757187906</v>
      </c>
      <c r="DI473" s="1088">
        <f>DI460/(DB$388+DC$388+DE$388+DG$388)</f>
        <v>0.163698757187906</v>
      </c>
      <c r="DJ473" s="1087">
        <f>DJ460/(DC$388+DE$388+DG$388+DJ$388)</f>
        <v>0.175321049692909</v>
      </c>
      <c r="DK473" s="1087">
        <f>DK460/(DE$388+DG$388+DJ$388+DK$388)</f>
        <v>0.161755075311067</v>
      </c>
      <c r="DL473" s="1087">
        <f>DL460/(DE$388+DG$388+DJ$388+DK$388)</f>
        <v>0.161755075311067</v>
      </c>
      <c r="DM473" s="1087">
        <f>DM460/(DG$388+DJ$388+DK$388+DM$388)</f>
        <v>0.177748142503334</v>
      </c>
      <c r="DN473" s="1087">
        <f>DN460/(DG$388+DJ$388+DK$388+DM$388)</f>
        <v>0.177748142503334</v>
      </c>
      <c r="DO473" s="1087">
        <f>DO460/(DJ$388+DK$388+DM$388+DO$388)</f>
        <v>0.144894026974952</v>
      </c>
      <c r="DP473" s="1087">
        <f>DP460/(DJ$388+DK$388+DM$388+DO$388)</f>
        <v>0.13766859344894</v>
      </c>
      <c r="DQ473" s="1088">
        <f>DQ460/(DJ$388+DK$388+DM$388+DO$388)</f>
        <v>0.144894026974952</v>
      </c>
      <c r="DR473" s="1087">
        <f>DR460/(DK$388+DM$388+DO$388+DR$388)</f>
        <v>0.189653526772931</v>
      </c>
      <c r="DS473" s="1087">
        <f>DS460/(DM$388+DO$388+DR$388+DS$388)</f>
        <v>0.182774069671756</v>
      </c>
      <c r="DT473" s="1087">
        <f>DT460/(DM$388+DO$388+DR$388+DS$388)</f>
        <v>0.182774069671756</v>
      </c>
      <c r="DU473" s="1087">
        <f>DU460/(DO$388+DR$388+DS$388+DU$388)</f>
        <v>0.188069809846314</v>
      </c>
      <c r="DV473" s="1087">
        <f>DV460/(DO$388+DR$388+DS$388+DU$388)</f>
        <v>0.188069809846314</v>
      </c>
      <c r="DW473" s="1087">
        <f>DW460/(DR$388+DS$388+DU$388+DW$388)</f>
        <v>0.139020932365941</v>
      </c>
      <c r="DX473" s="1087">
        <f>DX460/(DR$388+DS$388+DU$388+DW$388)</f>
        <v>0.139020932365941</v>
      </c>
      <c r="DY473" s="1088">
        <f>DY460/(DR$388+DS$388+DU$388+DW$388)</f>
        <v>0.139020932365941</v>
      </c>
      <c r="DZ473" s="1087">
        <f>DZ460/(DS$388+DU$388+DW$388+DZ$388)</f>
        <v>0.171167593328038</v>
      </c>
      <c r="EA473" s="1087">
        <f>EA460/(DU$388+DW$388+DZ$388+EA$388)</f>
        <v>0.158828609562691</v>
      </c>
      <c r="EB473" s="1087">
        <f>EB460/(DU$388+DW$388+DZ$388+EA$388)</f>
        <v>0.158828609562691</v>
      </c>
      <c r="EC473" s="1087">
        <f>EC460/(DW$388+DZ$388+EA$388+EC$388)</f>
        <v>0.172980865288558</v>
      </c>
      <c r="ED473" s="1087">
        <f>ED460/(DW$388+DZ$388+EA$388+EC$388)</f>
        <v>0.172980865288558</v>
      </c>
      <c r="EE473" s="1087">
        <f>EE460/(DZ$388+EA$388+EC$388+EE$388)</f>
        <v>0.128133913826753</v>
      </c>
      <c r="EF473" s="1087">
        <f>EF460/(DZ$388+EA$388+EC$388+EE$388)</f>
        <v>0.128133913826753</v>
      </c>
      <c r="EG473" s="1088">
        <f>EG460/(DZ$388+EA$388+EC$388+EE$388)</f>
        <v>0.128133913826753</v>
      </c>
      <c r="EH473" s="1087">
        <f>EH460/(EA$388+EC$388+EE$388+EH$388)</f>
        <v>0.162401787645066</v>
      </c>
      <c r="EI473" s="1087">
        <f>EI460/(EC$388+EE$388+EH$388+EI$388)</f>
        <v>0.156708083205361</v>
      </c>
      <c r="EJ473" s="1087">
        <f>EJ460/(EC$388+EE$388+EH$388+EI$388)</f>
        <v>0.156708083205361</v>
      </c>
      <c r="EK473" s="1087">
        <f>EK460/(EE$388+EH$388+EI$388+EK$388)</f>
        <v>0.161775669264656</v>
      </c>
      <c r="EL473" s="1087">
        <f>EL460/(EE$388+EH$388+EI$388+EK$388)</f>
        <v>0.161775669264656</v>
      </c>
      <c r="EM473" s="1087">
        <f>EM460/(EH$388+EI$388+EK$388+EM$388)</f>
        <v>0.113417993684069</v>
      </c>
      <c r="EN473" s="1087">
        <f>EN460/(EH$388+EI$388+EK$388+EM$388)</f>
        <v>0.113417993684069</v>
      </c>
      <c r="EO473" s="1088">
        <f>EO460/(EH$388+EI$388+EK$388+EM$388)</f>
        <v>0.113417993684069</v>
      </c>
      <c r="EP473" s="1087">
        <f>EP460/(EI$388+EK$388+EM$388+EP$388)</f>
        <v>0.157191087103309</v>
      </c>
      <c r="EQ473" s="1087">
        <f>EQ460/(EK$388+EM$388+EP$388+EQ$388)</f>
        <v>0.138252929953666</v>
      </c>
      <c r="ER473" s="1087">
        <f>ER460/(EK$388+EM$388+EP$388+EQ$388)</f>
        <v>0.138252929953666</v>
      </c>
      <c r="ES473" s="1087">
        <f>ES460/(EM$388+EP$388+EQ$388+ES$388)</f>
        <v>0.149909609233764</v>
      </c>
      <c r="ET473" s="1087">
        <f>ET460/(EM$388+EP$388+EQ$388+ES$388)</f>
        <v>0.149909609233764</v>
      </c>
      <c r="EU473" s="1087">
        <f>EU460/(EP$388+EQ$388+ES$388+EU$388)</f>
        <v>0.124827491029534</v>
      </c>
      <c r="EV473" s="1087">
        <f>EV460/(EP$388+EQ$388+ES$388+EU$388)</f>
        <v>0.124827491029534</v>
      </c>
      <c r="EW473" s="1088">
        <f>EW460/(EP$388+EQ$388+ES$388+EU$388)</f>
        <v>0.124827491029534</v>
      </c>
      <c r="EX473" s="1087">
        <f>EX460/(EQ$388+ES$388+EU$388+EX$388)</f>
        <v>0.153002390662354</v>
      </c>
      <c r="EY473" s="1087">
        <f>EY460/(ES$388+EU$388+EX$388+EY$388)</f>
        <v>0.145395799676898</v>
      </c>
      <c r="EZ473" s="1087">
        <f>EZ460/(ES$388+EU$388+EX$388+EY$388)</f>
        <v>0.145395799676898</v>
      </c>
      <c r="FA473" s="1087">
        <f>FA460/(EU$388+EX$388+EY$388+FA$388)</f>
        <v>0.161227607276767</v>
      </c>
      <c r="FB473" s="1087">
        <f>FB460/(EU$388+EX$388+EY$388+FA$388)</f>
        <v>0.161227607276767</v>
      </c>
      <c r="FC473" s="1087">
        <f>FC460/(EX$388+EY$388+FA$388+FC$388)</f>
        <v>0.134246198307301</v>
      </c>
      <c r="FD473" s="1087">
        <f>FD460/(EX$388+EY$388+FA$388+FC$388)</f>
        <v>0.134246198307301</v>
      </c>
      <c r="FE473" s="1088">
        <f>FE460/(EX$388+EY$388+FA$388+FC$388)</f>
        <v>0.134246198307301</v>
      </c>
      <c r="FF473" s="1087">
        <f>FF460/(EY$388+FA$388+FC$388+FF$388)</f>
        <v>0.162272877436406</v>
      </c>
      <c r="FG473" s="1087">
        <f>FG460/(FA$388+FC$388+FF$388+FG$388)</f>
        <v>0.14516747634876</v>
      </c>
      <c r="FH473" s="1087">
        <f>FH460/(FA$388+FC$388+FF$388+FG$388)</f>
        <v>0.14516747634876</v>
      </c>
      <c r="FI473" s="1087">
        <f>FI460/(FC$388+FF$388+FG$388+FI$388)</f>
        <v>0.152962034602922</v>
      </c>
      <c r="FJ473" s="1087">
        <f>FJ460/(FC$388+FF$388+FG$388+FI$388)</f>
        <v>0.152962034602922</v>
      </c>
      <c r="FK473" s="1087">
        <f>FK460/(FF$388+FG$388+FI$388+FK$388)</f>
        <v>0.121430682825894</v>
      </c>
      <c r="FL473" s="1087">
        <f>FL460/(FF$388+FG$388+FI$388+FK$388)</f>
        <v>0.121430682825894</v>
      </c>
      <c r="FM473" s="1088">
        <f>FM460/(FF$388+FG$388+FI$388+FK$388)</f>
        <v>0.121430682825894</v>
      </c>
      <c r="FN473" s="1087">
        <f>FN460/(FG$388+FI$388+FK$388+FN$388)</f>
        <v>0.143003238452361</v>
      </c>
      <c r="FO473" s="1087">
        <f>FO460/(FI$388+FK$388+FN$388+FO$388)</f>
        <v>0.130043605453442</v>
      </c>
      <c r="FP473" s="1087">
        <f>FP460/(FI$388+FK$388+FN$388+FO$388)</f>
        <v>0.130043605453442</v>
      </c>
      <c r="FQ473" s="1087">
        <f>FQ460/(FK$388+FN$388+FO$388+FQ$388)</f>
        <v>0.144630300447475</v>
      </c>
      <c r="FR473" s="1087">
        <f>FR460/(FK$388+FN$388+FO$388+FQ$388)</f>
        <v>0.144630300447475</v>
      </c>
      <c r="FS473" s="1087">
        <f>FS460/(FN$388+FO$388+FQ$388+FS$388)</f>
        <v>0.11435977190254</v>
      </c>
      <c r="FT473" s="1087">
        <f>FT460/(FN$388+FO$388+FQ$388+FS$388)</f>
        <v>0.11435977190254</v>
      </c>
      <c r="FU473" s="1087">
        <f>FU460/(FN$388+FO$388+FQ$388+FS$388)</f>
        <v>0.11435977190254</v>
      </c>
      <c r="FV473" s="1086">
        <f t="shared" ref="FV473:FX474" si="3906">FV460/(FO$388+FQ$388+FS$388+FV$388)</f>
        <v>0.144037662142535</v>
      </c>
      <c r="FW473" s="1087">
        <f t="shared" si="3906"/>
        <v>0.0906709133874448</v>
      </c>
      <c r="FX473" s="1087">
        <f t="shared" si="3906"/>
        <v>0.0885333065810594</v>
      </c>
      <c r="FY473" s="1087">
        <f>FY460/(FS$388+FV$388+FW$388+FY$388)</f>
        <v>0.134689178818112</v>
      </c>
      <c r="FZ473" s="1087">
        <f>FZ460/(FS$388+FV$388+FW$388+FY$388)</f>
        <v>0.134689178818112</v>
      </c>
      <c r="GA473" s="1087">
        <f>GA460/(FV$388+FW$388+FY$388+GA$388)</f>
        <v>0.109341125459516</v>
      </c>
      <c r="GB473" s="1087">
        <f>GB460/(FV$388+FW$388+FY$388+GA$388)</f>
        <v>0.109341125459516</v>
      </c>
      <c r="GC473" s="1088">
        <f>GC460/(FV$388+FW$388+FY$388+GA$388)</f>
        <v>0.109341125459516</v>
      </c>
      <c r="GD473" s="1087"/>
      <c r="GE473" s="1087"/>
      <c r="GF473" s="1087"/>
      <c r="GG473" s="1087"/>
      <c r="GH473" s="1087"/>
      <c r="GI473" s="1087"/>
      <c r="GJ473" s="1087"/>
      <c r="GK473" s="1088"/>
      <c r="GL473" s="1087"/>
      <c r="GM473" s="1087"/>
      <c r="GN473" s="1087"/>
      <c r="GO473" s="1087"/>
      <c r="GP473" s="1087"/>
      <c r="GQ473" s="1087"/>
      <c r="GR473" s="1087"/>
      <c r="GS473" s="1088"/>
      <c r="GT473" s="1087"/>
      <c r="GU473" s="1087"/>
      <c r="GV473" s="1087"/>
      <c r="GW473" s="1087"/>
      <c r="GX473" s="1087"/>
      <c r="GY473" s="1087"/>
      <c r="GZ473" s="1087"/>
      <c r="HA473" s="1088"/>
      <c r="HB473" s="1087"/>
      <c r="HC473" s="1087"/>
      <c r="HD473" s="1087"/>
      <c r="HE473" s="1087"/>
      <c r="HF473" s="1087"/>
      <c r="HG473" s="1087"/>
      <c r="HH473" s="1087"/>
      <c r="HI473" s="1088"/>
      <c r="HJ473" s="1087"/>
      <c r="HK473" s="1087"/>
      <c r="HL473" s="1087"/>
      <c r="HM473" s="1087"/>
      <c r="HN473" s="1087"/>
      <c r="HO473" s="1087"/>
      <c r="HP473" s="1087"/>
      <c r="HQ473" s="1088"/>
      <c r="HR473" s="1087"/>
      <c r="HS473" s="1087"/>
      <c r="HT473" s="1087"/>
      <c r="HU473" s="1087"/>
      <c r="HV473" s="1087"/>
      <c r="HW473" s="1087"/>
      <c r="HX473" s="1087"/>
      <c r="HY473" s="1087"/>
      <c r="HZ473" s="1087"/>
      <c r="IA473" s="1087"/>
      <c r="IB473" s="1087"/>
      <c r="IC473" s="1087"/>
      <c r="ID473" s="1087"/>
      <c r="IE473" s="1087"/>
      <c r="IF473" s="1087"/>
      <c r="IG473" s="1088"/>
      <c r="IH473" s="1087"/>
      <c r="II473" s="1087"/>
      <c r="IJ473" s="1087"/>
      <c r="IK473" s="1087"/>
      <c r="IL473" s="1087"/>
      <c r="IM473" s="1087"/>
      <c r="IN473" s="1087"/>
      <c r="IO473" s="1088"/>
      <c r="IP473" s="1087"/>
      <c r="IQ473" s="1087"/>
      <c r="IR473" s="1087"/>
      <c r="IS473" s="1087"/>
      <c r="IT473" s="1087"/>
      <c r="IU473" s="1087"/>
      <c r="IV473" s="1087"/>
      <c r="IW473" s="1087"/>
      <c r="IX473" s="1049"/>
      <c r="IY473" s="1049"/>
      <c r="IZ473" s="1049"/>
      <c r="JA473" s="1049"/>
      <c r="JB473" s="1049"/>
      <c r="JC473" s="1049"/>
      <c r="JD473" s="1041"/>
      <c r="JE473" s="1037"/>
      <c r="JF473" s="1037"/>
      <c r="JG473" s="1037"/>
      <c r="JH473" s="1037"/>
      <c r="JI473" s="1035"/>
      <c r="JJ473" s="1035"/>
      <c r="JK473" s="1035"/>
      <c r="JL473" s="1035"/>
      <c r="JM473" s="1035"/>
      <c r="JN473" s="1035"/>
      <c r="JO473" s="1035"/>
      <c r="JP473" s="1035"/>
      <c r="JQ473" s="1035"/>
      <c r="JR473" s="1035"/>
      <c r="JS473" s="1035"/>
      <c r="JT473" s="1035"/>
      <c r="JU473" s="1035"/>
      <c r="JV473" s="1035"/>
      <c r="JW473" s="1035"/>
      <c r="JX473" s="1035"/>
      <c r="JY473" s="1035"/>
    </row>
    <row r="474" s="969" customFormat="1" spans="1:285">
      <c r="A474" s="1306" t="s">
        <v>613</v>
      </c>
      <c r="B474" s="1417"/>
      <c r="C474" s="1417"/>
      <c r="D474" s="1417"/>
      <c r="E474" s="1417"/>
      <c r="F474" s="1417"/>
      <c r="G474" s="1417"/>
      <c r="H474" s="1417"/>
      <c r="I474" s="1417"/>
      <c r="J474" s="1417"/>
      <c r="K474" s="1417"/>
      <c r="L474" s="1417"/>
      <c r="M474" s="1417"/>
      <c r="N474" s="1417"/>
      <c r="O474" s="1417"/>
      <c r="P474" s="1417"/>
      <c r="Q474" s="1417"/>
      <c r="R474" s="1417"/>
      <c r="S474" s="1417"/>
      <c r="T474" s="1417"/>
      <c r="U474" s="1417"/>
      <c r="V474" s="1417"/>
      <c r="W474" s="1417"/>
      <c r="X474" s="1417"/>
      <c r="Y474" s="1417"/>
      <c r="Z474" s="1417"/>
      <c r="AA474" s="1417"/>
      <c r="AB474" s="1417"/>
      <c r="AC474" s="1417"/>
      <c r="AD474" s="1417"/>
      <c r="AE474" s="1417"/>
      <c r="AF474" s="1417"/>
      <c r="AG474" s="1417"/>
      <c r="AH474" s="1417"/>
      <c r="AI474" s="1417"/>
      <c r="AJ474" s="1417"/>
      <c r="AK474" s="1417"/>
      <c r="AL474" s="1417"/>
      <c r="AM474" s="1417"/>
      <c r="AN474" s="1417"/>
      <c r="AO474" s="1417"/>
      <c r="AP474" s="1417"/>
      <c r="AQ474" s="1417"/>
      <c r="AR474" s="1417"/>
      <c r="AS474" s="1417"/>
      <c r="AT474" s="1417"/>
      <c r="AU474" s="1417"/>
      <c r="AV474" s="1417"/>
      <c r="AW474" s="1417"/>
      <c r="AX474" s="1418"/>
      <c r="AY474" s="1417"/>
      <c r="AZ474" s="1417"/>
      <c r="BA474" s="1417"/>
      <c r="BB474" s="1417"/>
      <c r="BC474" s="1417"/>
      <c r="BD474" s="1417"/>
      <c r="BE474" s="1419"/>
      <c r="BF474" s="1417"/>
      <c r="BG474" s="1417"/>
      <c r="BH474" s="1417"/>
      <c r="BI474" s="1417"/>
      <c r="BJ474" s="1417"/>
      <c r="BK474" s="1417"/>
      <c r="BL474" s="1417"/>
      <c r="BM474" s="1417"/>
      <c r="BN474" s="1418"/>
      <c r="BO474" s="1417"/>
      <c r="BP474" s="1417"/>
      <c r="BQ474" s="1417"/>
      <c r="BR474" s="1417"/>
      <c r="BS474" s="1417"/>
      <c r="BT474" s="1417"/>
      <c r="BU474" s="1419"/>
      <c r="BV474" s="1420"/>
      <c r="BW474" s="1421"/>
      <c r="BX474" s="1421"/>
      <c r="BY474" s="1421"/>
      <c r="BZ474" s="1421"/>
      <c r="CA474" s="1421"/>
      <c r="CB474" s="1421"/>
      <c r="CC474" s="1422"/>
      <c r="CD474" s="1420"/>
      <c r="CE474" s="1421"/>
      <c r="CF474" s="1421"/>
      <c r="CG474" s="1421"/>
      <c r="CH474" s="1421"/>
      <c r="CI474" s="1421"/>
      <c r="CJ474" s="1421"/>
      <c r="CK474" s="1422"/>
      <c r="CL474" s="1420"/>
      <c r="CM474" s="1421"/>
      <c r="CN474" s="1421"/>
      <c r="CO474" s="1421"/>
      <c r="CP474" s="1421"/>
      <c r="CQ474" s="1421"/>
      <c r="CR474" s="1421"/>
      <c r="CS474" s="1422"/>
      <c r="CT474" s="1159">
        <f>CT461/(CM$388+CO$388+CQ$388+CT$388)</f>
        <v>0.263406474466201</v>
      </c>
      <c r="CU474" s="1159">
        <f>CU461/(CO$388+CQ$388+CT$388+CU$388)</f>
        <v>0.258707449432659</v>
      </c>
      <c r="CV474" s="1159">
        <f>CV461/(CO$388+CQ$388+CT$388+CU$388)</f>
        <v>0.335964479526394</v>
      </c>
      <c r="CW474" s="1159">
        <f>CW461/(CQ$388+CT$388+CU$388+CW$388)</f>
        <v>0.278858497086995</v>
      </c>
      <c r="CX474" s="1159">
        <f>CX461/(CQ$388+CT$388+CU$388+CW$388)</f>
        <v>0.346993186531056</v>
      </c>
      <c r="CY474" s="1159">
        <f>CY461/(CT$388+CU$388+CW$388+CY$388)</f>
        <v>0.225771994562051</v>
      </c>
      <c r="CZ474" s="1159">
        <f>CZ461/(CT$388+CU$388+CW$388+CY$388)</f>
        <v>0.308215187415032</v>
      </c>
      <c r="DA474" s="1441">
        <f>DA461/(CT$388+CU$388+CW$388+CY$388)</f>
        <v>0.308215187415032</v>
      </c>
      <c r="DB474" s="1159">
        <f>DB461/(CU$388+CW$388+CY$388+DB$388)</f>
        <v>0.247469391689964</v>
      </c>
      <c r="DC474" s="1159">
        <f>DC461/(CW$388+CY$388+DB$388+DC$388)</f>
        <v>0.240202155049108</v>
      </c>
      <c r="DD474" s="1159">
        <f>DD461/(CW$388+CY$388+DB$388+DC$388)</f>
        <v>0.328692667111662</v>
      </c>
      <c r="DE474" s="1159">
        <f>DE461/(CY$388+DB$388+DC$388+DE$388)</f>
        <v>0.291011764705882</v>
      </c>
      <c r="DF474" s="1159">
        <f>DF461/(CY$388+DB$388+DC$388+DE$388)</f>
        <v>0.363952941176471</v>
      </c>
      <c r="DG474" s="1159">
        <f>DG461/(DB$388+DC$388+DE$388+DG$388)</f>
        <v>0.235763309219069</v>
      </c>
      <c r="DH474" s="1159">
        <f>DH461/(DB$388+DC$388+DE$388+DG$388)</f>
        <v>0.348729363754405</v>
      </c>
      <c r="DI474" s="1441">
        <f>DI461/(DB$388+DC$388+DE$388+DG$388)</f>
        <v>0.235763309219069</v>
      </c>
      <c r="DJ474" s="1159">
        <f>DJ461/(DC$388+DE$388+DG$388+DJ$388)</f>
        <v>0.281034803647869</v>
      </c>
      <c r="DK474" s="1159">
        <f>DK461/(DE$388+DG$388+DJ$388+DK$388)</f>
        <v>0.253531668069978</v>
      </c>
      <c r="DL474" s="1159">
        <f>DL461/(DE$388+DG$388+DJ$388+DK$388)</f>
        <v>0.352699036392553</v>
      </c>
      <c r="DM474" s="1159">
        <f>DM461/(DG$388+DJ$388+DK$388+DM$388)</f>
        <v>0.250142884358926</v>
      </c>
      <c r="DN474" s="1159">
        <f>DN461/(DG$388+DJ$388+DK$388+DM$388)</f>
        <v>0.335111449799962</v>
      </c>
      <c r="DO474" s="1159">
        <f>DO461/(DJ$388+DK$388+DM$388+DO$388)</f>
        <v>0.174277456647399</v>
      </c>
      <c r="DP474" s="1159">
        <f>DP461/(DJ$388+DK$388+DM$388+DO$388)</f>
        <v>0.279383429672447</v>
      </c>
      <c r="DQ474" s="1441">
        <f>DQ461/(DJ$388+DK$388+DM$388+DO$388)</f>
        <v>0.174277456647399</v>
      </c>
      <c r="DR474" s="1159">
        <f>DR461/(DK$388+DM$388+DO$388+DR$388)</f>
        <v>0.241863128758232</v>
      </c>
      <c r="DS474" s="1159">
        <f>DS461/(DM$388+DO$388+DR$388+DS$388)</f>
        <v>0.236262229130475</v>
      </c>
      <c r="DT474" s="1159">
        <f>DT461/(DM$388+DO$388+DR$388+DS$388)</f>
        <v>0.236262229130475</v>
      </c>
      <c r="DU474" s="1159">
        <f>DU461/(DO$388+DR$388+DS$388+DU$388)</f>
        <v>0.241295476252496</v>
      </c>
      <c r="DV474" s="1159">
        <f>DV461/(DO$388+DR$388+DS$388+DU$388)</f>
        <v>0.355300859598854</v>
      </c>
      <c r="DW474" s="1159">
        <f>DW461/(DR$388+DS$388+DU$388+DW$388)</f>
        <v>0.175548327912601</v>
      </c>
      <c r="DX474" s="1159">
        <f>DX461/(DR$388+DS$388+DU$388+DW$388)</f>
        <v>0.175548327912601</v>
      </c>
      <c r="DY474" s="1441">
        <f>DY461/(DR$388+DS$388+DU$388+DW$388)</f>
        <v>0.175548327912601</v>
      </c>
      <c r="DZ474" s="1159">
        <f>DZ461/(DS$388+DU$388+DW$388+DZ$388)</f>
        <v>0.228117553613979</v>
      </c>
      <c r="EA474" s="1159">
        <f>EA461/(DU$388+DW$388+DZ$388+EA$388)</f>
        <v>0.219360917013425</v>
      </c>
      <c r="EB474" s="1159">
        <f>EB461/(DU$388+DW$388+DZ$388+EA$388)</f>
        <v>0.219360917013425</v>
      </c>
      <c r="EC474" s="1159">
        <f>EC461/(DW$388+DZ$388+EA$388+EC$388)</f>
        <v>0.240682394528548</v>
      </c>
      <c r="ED474" s="1159">
        <f>ED461/(DW$388+DZ$388+EA$388+EC$388)</f>
        <v>0.240682394528548</v>
      </c>
      <c r="EE474" s="1159">
        <f>EE461/(DZ$388+EA$388+EC$388+EE$388)</f>
        <v>0.174373217234649</v>
      </c>
      <c r="EF474" s="1159">
        <f>EF461/(DZ$388+EA$388+EC$388+EE$388)</f>
        <v>0.174373217234649</v>
      </c>
      <c r="EG474" s="1441">
        <f>EG461/(DZ$388+EA$388+EC$388+EE$388)</f>
        <v>0.174373217234649</v>
      </c>
      <c r="EH474" s="1159">
        <f>EH461/(EA$388+EC$388+EE$388+EH$388)</f>
        <v>0.23073596194046</v>
      </c>
      <c r="EI474" s="1159">
        <f>EI461/(EC$388+EE$388+EH$388+EI$388)</f>
        <v>0.214574898785425</v>
      </c>
      <c r="EJ474" s="1159">
        <f>EJ461/(EC$388+EE$388+EH$388+EI$388)</f>
        <v>0.214574898785425</v>
      </c>
      <c r="EK474" s="1159">
        <f>EK461/(EE$388+EH$388+EI$388+EK$388)</f>
        <v>0.23368349711962</v>
      </c>
      <c r="EL474" s="1159">
        <f>EL461/(EE$388+EH$388+EI$388+EK$388)</f>
        <v>0.23368349711962</v>
      </c>
      <c r="EM474" s="1159">
        <f>EM461/(EH$388+EI$388+EK$388+EM$388)</f>
        <v>0.160182758852382</v>
      </c>
      <c r="EN474" s="1159">
        <f>EN461/(EH$388+EI$388+EK$388+EM$388)</f>
        <v>0.160182758852382</v>
      </c>
      <c r="EO474" s="1441">
        <f>EO461/(EH$388+EI$388+EK$388+EM$388)</f>
        <v>0.160182758852382</v>
      </c>
      <c r="EP474" s="1159">
        <f>EP461/(EI$388+EK$388+EM$388+EP$388)</f>
        <v>0.224375422012154</v>
      </c>
      <c r="EQ474" s="1159">
        <f>EQ461/(EK$388+EM$388+EP$388+EQ$388)</f>
        <v>0.197192695557373</v>
      </c>
      <c r="ER474" s="1159">
        <f>ER461/(EK$388+EM$388+EP$388+EQ$388)</f>
        <v>0.197192695557373</v>
      </c>
      <c r="ES474" s="1159">
        <f>ES461/(EM$388+EP$388+EQ$388+ES$388)</f>
        <v>0.227576136837714</v>
      </c>
      <c r="ET474" s="1159">
        <f>ET461/(EM$388+EP$388+EQ$388+ES$388)</f>
        <v>0.227576136837714</v>
      </c>
      <c r="EU474" s="1159">
        <f>EU461/(EP$388+EQ$388+ES$388+EU$388)</f>
        <v>0.180651393872481</v>
      </c>
      <c r="EV474" s="1159">
        <f>EV461/(EP$388+EQ$388+ES$388+EU$388)</f>
        <v>0.180651393872481</v>
      </c>
      <c r="EW474" s="1441">
        <f>EW461/(EP$388+EQ$388+ES$388+EU$388)</f>
        <v>0.180651393872481</v>
      </c>
      <c r="EX474" s="1159">
        <f>EX461/(EQ$388+ES$388+EU$388+EX$388)</f>
        <v>0.230628603571931</v>
      </c>
      <c r="EY474" s="1159">
        <f>EY461/(ES$388+EU$388+EX$388+EY$388)</f>
        <v>0.225749806841329</v>
      </c>
      <c r="EZ474" s="1159">
        <f>EZ461/(ES$388+EU$388+EX$388+EY$388)</f>
        <v>0.225749806841329</v>
      </c>
      <c r="FA474" s="1159">
        <f>FA461/(EU$388+EX$388+EY$388+FA$388)</f>
        <v>0.256075545063186</v>
      </c>
      <c r="FB474" s="1159">
        <f>FB461/(EU$388+EX$388+EY$388+FA$388)</f>
        <v>0.256075545063186</v>
      </c>
      <c r="FC474" s="1159">
        <f>FC461/(EX$388+EY$388+FA$388+FC$388)</f>
        <v>0.194385192320925</v>
      </c>
      <c r="FD474" s="1159">
        <f>FD461/(EX$388+EY$388+FA$388+FC$388)</f>
        <v>0.194385192320925</v>
      </c>
      <c r="FE474" s="1441">
        <f>FE461/(EX$388+EY$388+FA$388+FC$388)</f>
        <v>0.194385192320925</v>
      </c>
      <c r="FF474" s="1159">
        <f>FF461/(EY$388+FA$388+FC$388+FF$388)</f>
        <v>0.232573505120581</v>
      </c>
      <c r="FG474" s="1159">
        <f>FG461/(FA$388+FC$388+FF$388+FG$388)</f>
        <v>0.222833035029404</v>
      </c>
      <c r="FH474" s="1159">
        <f>FH461/(FA$388+FC$388+FF$388+FG$388)</f>
        <v>0.222833035029404</v>
      </c>
      <c r="FI474" s="1159">
        <f>FI461/(FC$388+FF$388+FG$388+FI$388)</f>
        <v>0.227670110655988</v>
      </c>
      <c r="FJ474" s="1159">
        <f>FJ461/(FC$388+FF$388+FG$388+FI$388)</f>
        <v>0.227670110655988</v>
      </c>
      <c r="FK474" s="1159">
        <f>FK461/(FF$388+FG$388+FI$388+FK$388)</f>
        <v>0.185811409991132</v>
      </c>
      <c r="FL474" s="1159">
        <f>FL461/(FF$388+FG$388+FI$388+FK$388)</f>
        <v>0.185811409991132</v>
      </c>
      <c r="FM474" s="1441">
        <f>FM461/(FF$388+FG$388+FI$388+FK$388)</f>
        <v>0.185811409991132</v>
      </c>
      <c r="FN474" s="1159">
        <f>FN461/(FG$388+FI$388+FK$388+FN$388)</f>
        <v>0.220612465200841</v>
      </c>
      <c r="FO474" s="1159">
        <f>FO461/(FI$388+FK$388+FN$388+FO$388)</f>
        <v>0.221504664127615</v>
      </c>
      <c r="FP474" s="1159">
        <f>FP461/(FI$388+FK$388+FN$388+FO$388)</f>
        <v>0.221504664127615</v>
      </c>
      <c r="FQ474" s="1159">
        <f>FQ461/(FK$388+FN$388+FO$388+FQ$388)</f>
        <v>0.225282335393139</v>
      </c>
      <c r="FR474" s="1159">
        <f>FR461/(FK$388+FN$388+FO$388+FQ$388)</f>
        <v>0.225282335393139</v>
      </c>
      <c r="FS474" s="1159">
        <f>FS461/(FN$388+FO$388+FQ$388+FS$388)</f>
        <v>0.180041472265422</v>
      </c>
      <c r="FT474" s="1159">
        <f>FT461/(FN$388+FO$388+FQ$388+FS$388)</f>
        <v>0.180041472265422</v>
      </c>
      <c r="FU474" s="1159">
        <f>FU461/(FN$388+FO$388+FQ$388+FS$388)</f>
        <v>0.180041472265422</v>
      </c>
      <c r="FV474" s="1442">
        <f t="shared" si="3906"/>
        <v>0.228076325937797</v>
      </c>
      <c r="FW474" s="1159">
        <f t="shared" si="3906"/>
        <v>0.136443028870852</v>
      </c>
      <c r="FX474" s="1159">
        <f t="shared" si="3906"/>
        <v>0.13322632423756</v>
      </c>
      <c r="FY474" s="1159">
        <f>FY461/(FS$388+FV$388+FW$388+FY$388)</f>
        <v>0.215943975441289</v>
      </c>
      <c r="FZ474" s="1159">
        <f>FZ461/(FS$388+FV$388+FW$388+FY$388)</f>
        <v>0.215943975441289</v>
      </c>
      <c r="GA474" s="1159">
        <f>GA461/(FV$388+FW$388+FY$388+GA$388)</f>
        <v>0.190262984258648</v>
      </c>
      <c r="GB474" s="1159">
        <f>GB461/(FV$388+FW$388+FY$388+GA$388)</f>
        <v>0.190262984258648</v>
      </c>
      <c r="GC474" s="1441">
        <f>GC461/(FV$388+FW$388+FY$388+GA$388)</f>
        <v>0.190262984258648</v>
      </c>
      <c r="GD474" s="1159"/>
      <c r="GE474" s="1159"/>
      <c r="GF474" s="1159"/>
      <c r="GG474" s="1159"/>
      <c r="GH474" s="1159"/>
      <c r="GI474" s="1159"/>
      <c r="GJ474" s="1159"/>
      <c r="GK474" s="1441"/>
      <c r="GL474" s="1159"/>
      <c r="GM474" s="1159"/>
      <c r="GN474" s="1159"/>
      <c r="GO474" s="1159"/>
      <c r="GP474" s="1159"/>
      <c r="GQ474" s="1159"/>
      <c r="GR474" s="1159"/>
      <c r="GS474" s="1441"/>
      <c r="GT474" s="1159"/>
      <c r="GU474" s="1159"/>
      <c r="GV474" s="1159"/>
      <c r="GW474" s="1159"/>
      <c r="GX474" s="1159"/>
      <c r="GY474" s="1159"/>
      <c r="GZ474" s="1159"/>
      <c r="HA474" s="1441"/>
      <c r="HB474" s="1159"/>
      <c r="HC474" s="1159"/>
      <c r="HD474" s="1159"/>
      <c r="HE474" s="1159"/>
      <c r="HF474" s="1159"/>
      <c r="HG474" s="1159"/>
      <c r="HH474" s="1159"/>
      <c r="HI474" s="1441"/>
      <c r="HJ474" s="1159"/>
      <c r="HK474" s="1159"/>
      <c r="HL474" s="1159"/>
      <c r="HM474" s="1159"/>
      <c r="HN474" s="1159"/>
      <c r="HO474" s="1159"/>
      <c r="HP474" s="1159"/>
      <c r="HQ474" s="1441"/>
      <c r="HR474" s="1159"/>
      <c r="HS474" s="1159"/>
      <c r="HT474" s="1159"/>
      <c r="HU474" s="1159"/>
      <c r="HV474" s="1159"/>
      <c r="HW474" s="1159"/>
      <c r="HX474" s="1159"/>
      <c r="HY474" s="1159"/>
      <c r="HZ474" s="1159"/>
      <c r="IA474" s="1159"/>
      <c r="IB474" s="1159"/>
      <c r="IC474" s="1159"/>
      <c r="ID474" s="1159"/>
      <c r="IE474" s="1159"/>
      <c r="IF474" s="1159"/>
      <c r="IG474" s="1441"/>
      <c r="IH474" s="1159"/>
      <c r="II474" s="1159"/>
      <c r="IJ474" s="1159"/>
      <c r="IK474" s="1159"/>
      <c r="IL474" s="1159"/>
      <c r="IM474" s="1159"/>
      <c r="IN474" s="1159"/>
      <c r="IO474" s="1441"/>
      <c r="IP474" s="1159"/>
      <c r="IQ474" s="1159"/>
      <c r="IR474" s="1159"/>
      <c r="IS474" s="1159"/>
      <c r="IT474" s="1159"/>
      <c r="IU474" s="1159"/>
      <c r="IV474" s="1159"/>
      <c r="IW474" s="1159"/>
      <c r="IX474" s="1049"/>
      <c r="IY474" s="1049"/>
      <c r="IZ474" s="1049"/>
      <c r="JA474" s="1049"/>
      <c r="JB474" s="1049"/>
      <c r="JC474" s="1049"/>
      <c r="JD474" s="1103"/>
      <c r="JE474" s="1079"/>
      <c r="JF474" s="1079"/>
      <c r="JG474" s="1079"/>
      <c r="JH474" s="1079"/>
    </row>
    <row r="475" spans="1:285">
      <c r="A475" s="1339" t="s">
        <v>614</v>
      </c>
      <c r="B475" s="1405"/>
      <c r="C475" s="1405"/>
      <c r="D475" s="1405"/>
      <c r="E475" s="1405"/>
      <c r="F475" s="1405"/>
      <c r="G475" s="1405"/>
      <c r="H475" s="1405"/>
      <c r="I475" s="1405"/>
      <c r="J475" s="1405"/>
      <c r="K475" s="1405"/>
      <c r="L475" s="1405"/>
      <c r="M475" s="1405"/>
      <c r="N475" s="1405"/>
      <c r="O475" s="1405"/>
      <c r="P475" s="1405"/>
      <c r="Q475" s="1405"/>
      <c r="R475" s="1405"/>
      <c r="S475" s="1405"/>
      <c r="T475" s="1405"/>
      <c r="U475" s="1405"/>
      <c r="V475" s="1405"/>
      <c r="W475" s="1405"/>
      <c r="X475" s="1405"/>
      <c r="Y475" s="1405"/>
      <c r="Z475" s="1405"/>
      <c r="AA475" s="1405"/>
      <c r="AB475" s="1405"/>
      <c r="AC475" s="1405"/>
      <c r="AD475" s="1405"/>
      <c r="AE475" s="1405"/>
      <c r="AF475" s="1405"/>
      <c r="AG475" s="1405"/>
      <c r="AH475" s="1405"/>
      <c r="AI475" s="1405"/>
      <c r="AJ475" s="1405"/>
      <c r="AK475" s="1405"/>
      <c r="AL475" s="1405"/>
      <c r="AM475" s="1405"/>
      <c r="AN475" s="1405"/>
      <c r="AO475" s="1405"/>
      <c r="AP475" s="1405"/>
      <c r="AQ475" s="1405"/>
      <c r="AR475" s="1405"/>
      <c r="AS475" s="1405"/>
      <c r="AT475" s="1405"/>
      <c r="AU475" s="1405"/>
      <c r="AV475" s="1405"/>
      <c r="AW475" s="1405"/>
      <c r="AX475" s="1406"/>
      <c r="AY475" s="1405"/>
      <c r="AZ475" s="1405"/>
      <c r="BA475" s="1405"/>
      <c r="BB475" s="1405"/>
      <c r="BC475" s="1405"/>
      <c r="BD475" s="1405"/>
      <c r="BE475" s="1407"/>
      <c r="BF475" s="1405"/>
      <c r="BG475" s="1405"/>
      <c r="BH475" s="1405"/>
      <c r="BI475" s="1405"/>
      <c r="BJ475" s="1405"/>
      <c r="BK475" s="1405"/>
      <c r="BL475" s="1405"/>
      <c r="BM475" s="1405"/>
      <c r="BN475" s="1406"/>
      <c r="BO475" s="1405"/>
      <c r="BP475" s="1405"/>
      <c r="BQ475" s="1405"/>
      <c r="BR475" s="1405"/>
      <c r="BS475" s="1405"/>
      <c r="BT475" s="1405"/>
      <c r="BU475" s="1407"/>
      <c r="BV475" s="1303"/>
      <c r="BW475" s="1302"/>
      <c r="BX475" s="1302"/>
      <c r="BY475" s="1302"/>
      <c r="BZ475" s="1302"/>
      <c r="CA475" s="1302"/>
      <c r="CB475" s="1302"/>
      <c r="CC475" s="1304"/>
      <c r="CD475" s="1303"/>
      <c r="CE475" s="1302"/>
      <c r="CF475" s="1302"/>
      <c r="CG475" s="1302"/>
      <c r="CH475" s="1302"/>
      <c r="CI475" s="1302"/>
      <c r="CJ475" s="1302"/>
      <c r="CK475" s="1304"/>
      <c r="CL475" s="1303"/>
      <c r="CM475" s="1302"/>
      <c r="CN475" s="1302"/>
      <c r="CO475" s="1302"/>
      <c r="CP475" s="1302"/>
      <c r="CQ475" s="1302"/>
      <c r="CR475" s="1302"/>
      <c r="CS475" s="1304"/>
      <c r="CT475" s="1406">
        <f t="shared" ref="CT475:DW475" si="3907">CT468/CT388</f>
        <v>0.0137903861308117</v>
      </c>
      <c r="CU475" s="1405">
        <f t="shared" si="3907"/>
        <v>0.0383333333333333</v>
      </c>
      <c r="CV475" s="1405">
        <f t="shared" si="3907"/>
        <v>0.0186310247063588</v>
      </c>
      <c r="CW475" s="1405">
        <f t="shared" si="3907"/>
        <v>0.0523631417885073</v>
      </c>
      <c r="CX475" s="1405">
        <f t="shared" si="3907"/>
        <v>-0.019545627617718</v>
      </c>
      <c r="CY475" s="1405">
        <f t="shared" si="3907"/>
        <v>0.117817279867714</v>
      </c>
      <c r="CZ475" s="1405">
        <f t="shared" si="3907"/>
        <v>0.0531716417910448</v>
      </c>
      <c r="DA475" s="1407">
        <f t="shared" si="3907"/>
        <v>0.0276752767527675</v>
      </c>
      <c r="DB475" s="1443">
        <f t="shared" si="3907"/>
        <v>0.0206659012629162</v>
      </c>
      <c r="DC475" s="1426">
        <f t="shared" si="3907"/>
        <v>0.0513126491646778</v>
      </c>
      <c r="DD475" s="1426">
        <f t="shared" si="3907"/>
        <v>0.0251609128145114</v>
      </c>
      <c r="DE475" s="1426">
        <f t="shared" si="3907"/>
        <v>0.077297823968821</v>
      </c>
      <c r="DF475" s="1426">
        <f t="shared" si="3907"/>
        <v>0.0290031684133561</v>
      </c>
      <c r="DG475" s="1426">
        <f t="shared" si="3907"/>
        <v>0.145962732919255</v>
      </c>
      <c r="DH475" s="1426">
        <f t="shared" si="3907"/>
        <v>0.0664898320070734</v>
      </c>
      <c r="DI475" s="1444">
        <f t="shared" si="3907"/>
        <v>0.0395290290149404</v>
      </c>
      <c r="DJ475" s="1426">
        <f t="shared" si="3907"/>
        <v>0.0217306946061312</v>
      </c>
      <c r="DK475" s="1426">
        <f t="shared" si="3907"/>
        <v>0.0244200244200244</v>
      </c>
      <c r="DL475" s="1426">
        <f t="shared" si="3907"/>
        <v>0.0230433055224474</v>
      </c>
      <c r="DM475" s="1426">
        <f t="shared" si="3907"/>
        <v>0.0138504155124654</v>
      </c>
      <c r="DN475" s="1426">
        <f t="shared" si="3907"/>
        <v>0.0196895115486558</v>
      </c>
      <c r="DO475" s="1426">
        <f t="shared" si="3907"/>
        <v>0.0345809601301871</v>
      </c>
      <c r="DP475" s="1426">
        <f t="shared" si="3907"/>
        <v>0.0234038569556263</v>
      </c>
      <c r="DQ475" s="1444">
        <f t="shared" si="3907"/>
        <v>0.0232154898372026</v>
      </c>
      <c r="DR475" s="1426">
        <f t="shared" si="3907"/>
        <v>0.00972326103216156</v>
      </c>
      <c r="DS475" s="1426">
        <f t="shared" si="3907"/>
        <v>0.0181693520740487</v>
      </c>
      <c r="DT475" s="1426">
        <f t="shared" si="3907"/>
        <v>0.0143112701252236</v>
      </c>
      <c r="DU475" s="1426">
        <f t="shared" si="3907"/>
        <v>0.0149942329873126</v>
      </c>
      <c r="DV475" s="1426">
        <f t="shared" si="3907"/>
        <v>0.0146831530139104</v>
      </c>
      <c r="DW475" s="1426">
        <f t="shared" si="3907"/>
        <v>0.0463847203274216</v>
      </c>
      <c r="DX475" s="1412"/>
      <c r="DY475" s="1444">
        <f t="shared" ref="DY475:FP475" si="3908">DY468/DY388</f>
        <v>0.0224353628023353</v>
      </c>
      <c r="DZ475" s="1426">
        <f t="shared" si="3908"/>
        <v>0.0152765047357165</v>
      </c>
      <c r="EA475" s="1426">
        <f t="shared" si="3908"/>
        <v>0.0241514360313316</v>
      </c>
      <c r="EB475" s="1426">
        <f t="shared" si="3908"/>
        <v>0.0195676187470412</v>
      </c>
      <c r="EC475" s="1426">
        <f t="shared" si="3908"/>
        <v>0.0208333333333333</v>
      </c>
      <c r="ED475" s="1426">
        <f t="shared" si="3908"/>
        <v>0.0200376946731475</v>
      </c>
      <c r="EE475" s="1426">
        <f t="shared" si="3908"/>
        <v>0.0536871336007405</v>
      </c>
      <c r="EF475" s="1426">
        <f t="shared" si="3908"/>
        <v>0.0360773085182534</v>
      </c>
      <c r="EG475" s="1444">
        <f t="shared" si="3908"/>
        <v>0.0282239903918331</v>
      </c>
      <c r="EH475" s="1426">
        <f t="shared" si="3908"/>
        <v>0.0162133891213389</v>
      </c>
      <c r="EI475" s="1426">
        <f t="shared" si="3908"/>
        <v>0.0247369917543361</v>
      </c>
      <c r="EJ475" s="1426">
        <f t="shared" si="3908"/>
        <v>0.0202969622667212</v>
      </c>
      <c r="EK475" s="1426">
        <f t="shared" si="3908"/>
        <v>0.0246824826264079</v>
      </c>
      <c r="EL475" s="1426">
        <f t="shared" si="3908"/>
        <v>0.0218863991662324</v>
      </c>
      <c r="EM475" s="1426">
        <f t="shared" si="3908"/>
        <v>0.12882160878599</v>
      </c>
      <c r="EN475" s="1426">
        <f t="shared" si="3908"/>
        <v>0.0575444179262795</v>
      </c>
      <c r="EO475" s="1444">
        <f t="shared" si="3908"/>
        <v>0.0291607874756434</v>
      </c>
      <c r="EP475" s="1426">
        <f t="shared" si="3908"/>
        <v>0.0191948813649693</v>
      </c>
      <c r="EQ475" s="1426">
        <f t="shared" si="3908"/>
        <v>0.0357670706473544</v>
      </c>
      <c r="ER475" s="1426">
        <f t="shared" si="3908"/>
        <v>0.0270535463975329</v>
      </c>
      <c r="ES475" s="1426">
        <f t="shared" si="3908"/>
        <v>0.0275844289765403</v>
      </c>
      <c r="ET475" s="1426">
        <f t="shared" si="3908"/>
        <v>0.0272405339144647</v>
      </c>
      <c r="EU475" s="1426">
        <f t="shared" si="3908"/>
        <v>0.0514515665421098</v>
      </c>
      <c r="EV475" s="1426">
        <f t="shared" si="3908"/>
        <v>0.03886925795053</v>
      </c>
      <c r="EW475" s="1444">
        <f t="shared" si="3908"/>
        <v>0.0330527187413746</v>
      </c>
      <c r="EX475" s="1445">
        <f t="shared" si="3908"/>
        <v>0.0453892559609308</v>
      </c>
      <c r="EY475" s="1445">
        <f t="shared" si="3908"/>
        <v>0.0367863449087699</v>
      </c>
      <c r="EZ475" s="1445">
        <f t="shared" si="3908"/>
        <v>0.0411397005378689</v>
      </c>
      <c r="FA475" s="1445">
        <f t="shared" si="3908"/>
        <v>0.0294263105835806</v>
      </c>
      <c r="FB475" s="1445">
        <f t="shared" si="3908"/>
        <v>0.0368030760780005</v>
      </c>
      <c r="FC475" s="1445">
        <f t="shared" si="3908"/>
        <v>0.0404432132963989</v>
      </c>
      <c r="FD475" s="1445">
        <f t="shared" si="3908"/>
        <v>0.0346224196498563</v>
      </c>
      <c r="FE475" s="1446">
        <f t="shared" si="3908"/>
        <v>0.0377072868643776</v>
      </c>
      <c r="FF475" s="1445">
        <f t="shared" si="3908"/>
        <v>0.0156747489590987</v>
      </c>
      <c r="FG475" s="1445">
        <f t="shared" si="3908"/>
        <v>0.0207320194522652</v>
      </c>
      <c r="FH475" s="1445">
        <f t="shared" si="3908"/>
        <v>0.0181476846057572</v>
      </c>
      <c r="FI475" s="1445">
        <f t="shared" si="3908"/>
        <v>0.0437250367878915</v>
      </c>
      <c r="FJ475" s="1445">
        <f t="shared" si="3908"/>
        <v>0.0276927904605005</v>
      </c>
      <c r="FK475" s="1445">
        <f t="shared" si="3908"/>
        <v>0.0383877159309021</v>
      </c>
      <c r="FL475" s="1445">
        <f t="shared" si="3908"/>
        <v>0.0412324929971989</v>
      </c>
      <c r="FM475" s="1446">
        <f t="shared" si="3908"/>
        <v>0.0303281111439551</v>
      </c>
      <c r="FN475" s="1445">
        <f t="shared" si="3908"/>
        <v>0.0142587544558608</v>
      </c>
      <c r="FO475" s="1445">
        <f t="shared" si="3908"/>
        <v>0.0300700881754465</v>
      </c>
      <c r="FP475" s="1445">
        <f t="shared" si="3908"/>
        <v>0.0218668407310705</v>
      </c>
      <c r="FQ475" s="1426"/>
      <c r="FR475" s="1426"/>
      <c r="FS475" s="1426"/>
      <c r="FT475" s="1426"/>
      <c r="FU475" s="1426"/>
      <c r="FV475" s="1447">
        <f>FV468/FV388</f>
        <v>0.0213000367242012</v>
      </c>
      <c r="FW475" s="1445">
        <f>FW468/FW388</f>
        <v>0.0297737197300516</v>
      </c>
      <c r="FX475" s="1445">
        <f>FX468/FX388</f>
        <v>0.0253719954215948</v>
      </c>
      <c r="FY475" s="1426"/>
      <c r="FZ475" s="1426"/>
      <c r="GA475" s="1426"/>
      <c r="GB475" s="1426"/>
      <c r="GC475" s="1444"/>
      <c r="GD475" s="1426"/>
      <c r="GE475" s="1426"/>
      <c r="GF475" s="1426"/>
      <c r="GG475" s="1426"/>
      <c r="GH475" s="1426"/>
      <c r="GI475" s="1426"/>
      <c r="GJ475" s="1426"/>
      <c r="GK475" s="1444"/>
      <c r="GL475" s="1426"/>
      <c r="GM475" s="1426"/>
      <c r="GN475" s="1426"/>
      <c r="GO475" s="1426"/>
      <c r="GP475" s="1426"/>
      <c r="GQ475" s="1426"/>
      <c r="GR475" s="1426"/>
      <c r="GS475" s="1444"/>
      <c r="GT475" s="1426"/>
      <c r="GU475" s="1426"/>
      <c r="GV475" s="1426"/>
      <c r="GW475" s="1426"/>
      <c r="GX475" s="1426"/>
      <c r="GY475" s="1426"/>
      <c r="GZ475" s="1426"/>
      <c r="HA475" s="1444"/>
      <c r="HB475" s="1426"/>
      <c r="HC475" s="1426"/>
      <c r="HD475" s="1426"/>
      <c r="HE475" s="1426"/>
      <c r="HF475" s="1426"/>
      <c r="HG475" s="1426"/>
      <c r="HH475" s="1426"/>
      <c r="HI475" s="1444"/>
      <c r="HJ475" s="1426"/>
      <c r="HK475" s="1426"/>
      <c r="HL475" s="1426"/>
      <c r="HM475" s="1426"/>
      <c r="HN475" s="1426"/>
      <c r="HO475" s="1426"/>
      <c r="HP475" s="1426"/>
      <c r="HQ475" s="1444"/>
      <c r="HR475" s="1426"/>
      <c r="HS475" s="1426"/>
      <c r="HT475" s="1426"/>
      <c r="HU475" s="1426"/>
      <c r="HV475" s="1426"/>
      <c r="HW475" s="1426"/>
      <c r="HX475" s="1426"/>
      <c r="HY475" s="1426"/>
      <c r="HZ475" s="1426"/>
      <c r="IA475" s="1426"/>
      <c r="IB475" s="1426"/>
      <c r="IC475" s="1426"/>
      <c r="ID475" s="1426"/>
      <c r="IE475" s="1426"/>
      <c r="IF475" s="1426"/>
      <c r="IG475" s="1444"/>
      <c r="IH475" s="1426"/>
      <c r="II475" s="1426"/>
      <c r="IJ475" s="1426"/>
      <c r="IK475" s="1426"/>
      <c r="IL475" s="1426"/>
      <c r="IM475" s="1426"/>
      <c r="IN475" s="1426"/>
      <c r="IO475" s="1444"/>
      <c r="IP475" s="1426"/>
      <c r="IQ475" s="1426"/>
      <c r="IR475" s="1426"/>
      <c r="IS475" s="1426"/>
      <c r="IT475" s="1426"/>
      <c r="IU475" s="1426"/>
      <c r="IV475" s="1426"/>
      <c r="IW475" s="1426"/>
      <c r="IX475" s="1049"/>
      <c r="IY475" s="1049"/>
      <c r="IZ475" s="1049"/>
      <c r="JA475" s="1049"/>
      <c r="JB475" s="1049"/>
      <c r="JC475" s="1049"/>
      <c r="JD475" s="1041"/>
      <c r="JE475" s="1037"/>
      <c r="JF475" s="1037"/>
      <c r="JG475" s="1037"/>
      <c r="JH475" s="1037"/>
      <c r="JI475" s="1035"/>
      <c r="JJ475" s="1035"/>
      <c r="JK475" s="1035"/>
      <c r="JL475" s="1035"/>
      <c r="JM475" s="1035"/>
      <c r="JN475" s="1035"/>
      <c r="JO475" s="1035"/>
      <c r="JP475" s="1035"/>
      <c r="JQ475" s="1035"/>
      <c r="JR475" s="1035"/>
      <c r="JS475" s="1035"/>
      <c r="JT475" s="1035"/>
      <c r="JU475" s="1035"/>
      <c r="JV475" s="1035"/>
      <c r="JW475" s="1035"/>
      <c r="JX475" s="1035"/>
      <c r="JY475" s="1035"/>
    </row>
    <row r="476" spans="1:285">
      <c r="A476" s="1448"/>
      <c r="B476" s="1405"/>
      <c r="C476" s="1405"/>
      <c r="D476" s="1405"/>
      <c r="E476" s="1405"/>
      <c r="F476" s="1405"/>
      <c r="G476" s="1405"/>
      <c r="H476" s="1405"/>
      <c r="I476" s="1405"/>
      <c r="J476" s="1405"/>
      <c r="K476" s="1405"/>
      <c r="L476" s="1405"/>
      <c r="M476" s="1405"/>
      <c r="N476" s="1405"/>
      <c r="O476" s="1405"/>
      <c r="P476" s="1405"/>
      <c r="Q476" s="1405"/>
      <c r="R476" s="1405"/>
      <c r="S476" s="1405"/>
      <c r="T476" s="1405"/>
      <c r="U476" s="1405"/>
      <c r="V476" s="1405"/>
      <c r="W476" s="1405"/>
      <c r="X476" s="1405"/>
      <c r="Y476" s="1405"/>
      <c r="Z476" s="1405"/>
      <c r="AA476" s="1405"/>
      <c r="AB476" s="1405"/>
      <c r="AC476" s="1405"/>
      <c r="AD476" s="1405"/>
      <c r="AE476" s="1405"/>
      <c r="AF476" s="1405"/>
      <c r="AG476" s="1405"/>
      <c r="AH476" s="1405"/>
      <c r="AI476" s="1405"/>
      <c r="AJ476" s="1405"/>
      <c r="AK476" s="1405"/>
      <c r="AL476" s="1405"/>
      <c r="AM476" s="1405"/>
      <c r="AN476" s="1405"/>
      <c r="AO476" s="1405"/>
      <c r="AP476" s="1405"/>
      <c r="AQ476" s="1405"/>
      <c r="AR476" s="1405"/>
      <c r="AS476" s="1405"/>
      <c r="AT476" s="1405"/>
      <c r="AU476" s="1405"/>
      <c r="AV476" s="1405"/>
      <c r="AW476" s="1405"/>
      <c r="AX476" s="1406"/>
      <c r="AY476" s="1405"/>
      <c r="AZ476" s="1405"/>
      <c r="BA476" s="1405"/>
      <c r="BB476" s="1405"/>
      <c r="BC476" s="1405"/>
      <c r="BD476" s="1405"/>
      <c r="BE476" s="1407"/>
      <c r="BF476" s="1405"/>
      <c r="BG476" s="1405"/>
      <c r="BH476" s="1405"/>
      <c r="BI476" s="1405"/>
      <c r="BJ476" s="1405"/>
      <c r="BK476" s="1405"/>
      <c r="BL476" s="1405"/>
      <c r="BM476" s="1405"/>
      <c r="BN476" s="1406"/>
      <c r="BO476" s="1405"/>
      <c r="BP476" s="1405"/>
      <c r="BQ476" s="1405"/>
      <c r="BR476" s="1405"/>
      <c r="BS476" s="1405"/>
      <c r="BT476" s="1405"/>
      <c r="BU476" s="1407"/>
      <c r="BV476" s="1303"/>
      <c r="BW476" s="1302"/>
      <c r="BX476" s="1302"/>
      <c r="BY476" s="1302"/>
      <c r="BZ476" s="1302"/>
      <c r="CA476" s="1302"/>
      <c r="CB476" s="1302"/>
      <c r="CC476" s="1304"/>
      <c r="CD476" s="1303"/>
      <c r="CE476" s="1302"/>
      <c r="CF476" s="1302"/>
      <c r="CG476" s="1302"/>
      <c r="CH476" s="1302"/>
      <c r="CI476" s="1302"/>
      <c r="CJ476" s="1302"/>
      <c r="CK476" s="1304"/>
      <c r="CL476" s="1303"/>
      <c r="CM476" s="1302"/>
      <c r="CN476" s="1302"/>
      <c r="CO476" s="1302"/>
      <c r="CP476" s="1302"/>
      <c r="CQ476" s="1302"/>
      <c r="CR476" s="1302"/>
      <c r="CS476" s="1304"/>
      <c r="CT476" s="1408"/>
      <c r="CU476" s="1409"/>
      <c r="CV476" s="1409"/>
      <c r="CW476" s="1409"/>
      <c r="CX476" s="1409"/>
      <c r="CY476" s="1409"/>
      <c r="CZ476" s="1409"/>
      <c r="DA476" s="1410"/>
      <c r="DB476" s="1411"/>
      <c r="DC476" s="1412"/>
      <c r="DD476" s="1412"/>
      <c r="DE476" s="1412"/>
      <c r="DF476" s="1412"/>
      <c r="DG476" s="1412"/>
      <c r="DH476" s="1412"/>
      <c r="DI476" s="1413"/>
      <c r="DJ476" s="1412"/>
      <c r="DK476" s="1412"/>
      <c r="DL476" s="1412"/>
      <c r="DM476" s="1412"/>
      <c r="DN476" s="1412"/>
      <c r="DO476" s="1412"/>
      <c r="DP476" s="1412"/>
      <c r="DQ476" s="1413"/>
      <c r="DR476" s="1412"/>
      <c r="DS476" s="1412"/>
      <c r="DT476" s="1412"/>
      <c r="DU476" s="1412"/>
      <c r="DV476" s="1412"/>
      <c r="DW476" s="1412"/>
      <c r="DX476" s="1412"/>
      <c r="DY476" s="1413"/>
      <c r="DZ476" s="1412"/>
      <c r="EA476" s="1412"/>
      <c r="EB476" s="1412"/>
      <c r="EC476" s="1412"/>
      <c r="ED476" s="1412"/>
      <c r="EE476" s="1412"/>
      <c r="EF476" s="1412"/>
      <c r="EG476" s="1413"/>
      <c r="EH476" s="1412"/>
      <c r="EI476" s="1412"/>
      <c r="EJ476" s="1412"/>
      <c r="EK476" s="1412"/>
      <c r="EL476" s="1412"/>
      <c r="EM476" s="1412"/>
      <c r="EN476" s="1412"/>
      <c r="EO476" s="1413"/>
      <c r="EP476" s="1412"/>
      <c r="EQ476" s="1412"/>
      <c r="ER476" s="1412"/>
      <c r="ES476" s="1412"/>
      <c r="ET476" s="1412"/>
      <c r="EU476" s="1412"/>
      <c r="EV476" s="1412"/>
      <c r="EW476" s="1413"/>
      <c r="EX476" s="1412"/>
      <c r="EY476" s="1427"/>
      <c r="EZ476" s="1427"/>
      <c r="FA476" s="1427"/>
      <c r="FB476" s="1427"/>
      <c r="FC476" s="1427"/>
      <c r="FD476" s="1427"/>
      <c r="FE476" s="1428"/>
      <c r="FF476" s="1427"/>
      <c r="FG476" s="1427"/>
      <c r="FH476" s="1412"/>
      <c r="FI476" s="1412"/>
      <c r="FJ476" s="1412"/>
      <c r="FK476" s="1412"/>
      <c r="FL476" s="1412"/>
      <c r="FM476" s="1413"/>
      <c r="FN476" s="1412"/>
      <c r="FO476" s="1412"/>
      <c r="FP476" s="1412"/>
      <c r="FQ476" s="1412"/>
      <c r="FR476" s="1412"/>
      <c r="FS476" s="1412"/>
      <c r="FT476" s="1412"/>
      <c r="FU476" s="1412"/>
      <c r="FV476" s="1411"/>
      <c r="FW476" s="1412"/>
      <c r="FX476" s="1412"/>
      <c r="FY476" s="1412"/>
      <c r="FZ476" s="1412"/>
      <c r="GA476" s="1412"/>
      <c r="GB476" s="1412"/>
      <c r="GC476" s="1413"/>
      <c r="GD476" s="1412"/>
      <c r="GE476" s="1412"/>
      <c r="GF476" s="1412"/>
      <c r="GG476" s="1412"/>
      <c r="GH476" s="1412"/>
      <c r="GI476" s="1412"/>
      <c r="GJ476" s="1412"/>
      <c r="GK476" s="1413"/>
      <c r="GL476" s="1412"/>
      <c r="GM476" s="1412"/>
      <c r="GN476" s="1412"/>
      <c r="GO476" s="1412"/>
      <c r="GP476" s="1412"/>
      <c r="GQ476" s="1412"/>
      <c r="GR476" s="1412"/>
      <c r="GS476" s="1413"/>
      <c r="GT476" s="1412"/>
      <c r="GU476" s="1412"/>
      <c r="GV476" s="1412"/>
      <c r="GW476" s="1412"/>
      <c r="GX476" s="1412"/>
      <c r="GY476" s="1412"/>
      <c r="GZ476" s="1412"/>
      <c r="HA476" s="1413"/>
      <c r="HB476" s="1412"/>
      <c r="HC476" s="1412"/>
      <c r="HD476" s="1412"/>
      <c r="HE476" s="1412"/>
      <c r="HF476" s="1412"/>
      <c r="HG476" s="1412"/>
      <c r="HH476" s="1412"/>
      <c r="HI476" s="1413"/>
      <c r="HJ476" s="1412"/>
      <c r="HK476" s="1412"/>
      <c r="HL476" s="1412"/>
      <c r="HM476" s="1412"/>
      <c r="HN476" s="1412"/>
      <c r="HO476" s="1412"/>
      <c r="HP476" s="1412"/>
      <c r="HQ476" s="1413"/>
      <c r="HR476" s="1412"/>
      <c r="HS476" s="1412"/>
      <c r="HT476" s="1412"/>
      <c r="HU476" s="1412"/>
      <c r="HV476" s="1412"/>
      <c r="HW476" s="1412"/>
      <c r="HX476" s="1412"/>
      <c r="HY476" s="1412"/>
      <c r="HZ476" s="1412"/>
      <c r="IA476" s="1412"/>
      <c r="IB476" s="1412"/>
      <c r="IC476" s="1412"/>
      <c r="ID476" s="1412"/>
      <c r="IE476" s="1412"/>
      <c r="IF476" s="1412"/>
      <c r="IG476" s="1413"/>
      <c r="IH476" s="1412"/>
      <c r="II476" s="1412"/>
      <c r="IJ476" s="1412"/>
      <c r="IK476" s="1412"/>
      <c r="IL476" s="1412"/>
      <c r="IM476" s="1412"/>
      <c r="IN476" s="1412"/>
      <c r="IO476" s="1413"/>
      <c r="IP476" s="1412"/>
      <c r="IQ476" s="1412"/>
      <c r="IR476" s="1412"/>
      <c r="IS476" s="1412"/>
      <c r="IT476" s="1412"/>
      <c r="IU476" s="1412"/>
      <c r="IV476" s="1412"/>
      <c r="IW476" s="1412"/>
      <c r="IX476" s="1049"/>
      <c r="IY476" s="1049"/>
      <c r="IZ476" s="1049"/>
      <c r="JA476" s="1049"/>
      <c r="JB476" s="1049"/>
      <c r="JC476" s="1049"/>
      <c r="JD476" s="1041"/>
      <c r="JE476" s="1037"/>
      <c r="JF476" s="1037"/>
      <c r="JG476" s="1037"/>
      <c r="JH476" s="1037"/>
      <c r="JI476" s="1035"/>
      <c r="JJ476" s="1035"/>
      <c r="JK476" s="1035"/>
      <c r="JL476" s="1035"/>
      <c r="JM476" s="1035"/>
      <c r="JN476" s="1035"/>
      <c r="JO476" s="1035"/>
      <c r="JP476" s="1035"/>
      <c r="JQ476" s="1035"/>
      <c r="JR476" s="1035"/>
      <c r="JS476" s="1035"/>
      <c r="JT476" s="1035"/>
      <c r="JU476" s="1035"/>
      <c r="JV476" s="1035"/>
      <c r="JW476" s="1035"/>
      <c r="JX476" s="1035"/>
      <c r="JY476" s="1035"/>
    </row>
    <row r="477" spans="1:285">
      <c r="A477" s="1448" t="s">
        <v>615</v>
      </c>
      <c r="B477" s="1405"/>
      <c r="C477" s="1405"/>
      <c r="D477" s="1405"/>
      <c r="E477" s="1405"/>
      <c r="F477" s="1405"/>
      <c r="G477" s="1405"/>
      <c r="H477" s="1405"/>
      <c r="I477" s="1405"/>
      <c r="J477" s="1405"/>
      <c r="K477" s="1405"/>
      <c r="L477" s="1405"/>
      <c r="M477" s="1405"/>
      <c r="N477" s="1405"/>
      <c r="O477" s="1405"/>
      <c r="P477" s="1405"/>
      <c r="Q477" s="1405"/>
      <c r="R477" s="1405"/>
      <c r="S477" s="1405"/>
      <c r="T477" s="1405"/>
      <c r="U477" s="1405"/>
      <c r="V477" s="1405"/>
      <c r="W477" s="1405"/>
      <c r="X477" s="1405"/>
      <c r="Y477" s="1405"/>
      <c r="Z477" s="1405"/>
      <c r="AA477" s="1405"/>
      <c r="AB477" s="1405"/>
      <c r="AC477" s="1405"/>
      <c r="AD477" s="1405"/>
      <c r="AE477" s="1405"/>
      <c r="AF477" s="1405"/>
      <c r="AG477" s="1405"/>
      <c r="AH477" s="1405"/>
      <c r="AI477" s="1405"/>
      <c r="AJ477" s="1405"/>
      <c r="AK477" s="1405"/>
      <c r="AL477" s="1405"/>
      <c r="AM477" s="1405"/>
      <c r="AN477" s="1405"/>
      <c r="AO477" s="1405"/>
      <c r="AP477" s="1405"/>
      <c r="AQ477" s="1405"/>
      <c r="AR477" s="1405"/>
      <c r="AS477" s="1405"/>
      <c r="AT477" s="1405"/>
      <c r="AU477" s="1405"/>
      <c r="AV477" s="1405"/>
      <c r="AW477" s="1405"/>
      <c r="AX477" s="1406"/>
      <c r="AY477" s="1405"/>
      <c r="AZ477" s="1405"/>
      <c r="BA477" s="1405"/>
      <c r="BB477" s="1405"/>
      <c r="BC477" s="1405"/>
      <c r="BD477" s="1405"/>
      <c r="BE477" s="1407"/>
      <c r="BF477" s="1405"/>
      <c r="BG477" s="1405"/>
      <c r="BH477" s="1405"/>
      <c r="BI477" s="1405"/>
      <c r="BJ477" s="1405"/>
      <c r="BK477" s="1405"/>
      <c r="BL477" s="1405"/>
      <c r="BM477" s="1405"/>
      <c r="BN477" s="1406"/>
      <c r="BO477" s="1405"/>
      <c r="BP477" s="1405"/>
      <c r="BQ477" s="1405"/>
      <c r="BR477" s="1405"/>
      <c r="BS477" s="1405"/>
      <c r="BT477" s="1405"/>
      <c r="BU477" s="1407"/>
      <c r="BV477" s="1303"/>
      <c r="BW477" s="1302"/>
      <c r="BX477" s="1302"/>
      <c r="BY477" s="1302"/>
      <c r="BZ477" s="1302"/>
      <c r="CA477" s="1302"/>
      <c r="CB477" s="1302"/>
      <c r="CC477" s="1304"/>
      <c r="CD477" s="1303"/>
      <c r="CE477" s="1302"/>
      <c r="CF477" s="1302"/>
      <c r="CG477" s="1302"/>
      <c r="CH477" s="1302"/>
      <c r="CI477" s="1302"/>
      <c r="CJ477" s="1302"/>
      <c r="CK477" s="1304"/>
      <c r="CL477" s="1303"/>
      <c r="CM477" s="1302"/>
      <c r="CN477" s="1302"/>
      <c r="CO477" s="1302"/>
      <c r="CP477" s="1302"/>
      <c r="CQ477" s="1302"/>
      <c r="CR477" s="1302"/>
      <c r="CS477" s="1304"/>
      <c r="CT477" s="1406">
        <f>CT464/CT465</f>
        <v>0.291990263127391</v>
      </c>
      <c r="CU477" s="1405">
        <f t="shared" ref="CU477:DI477" si="3909">CU464/CU465</f>
        <v>0.273370619792261</v>
      </c>
      <c r="CV477" s="1405">
        <f t="shared" si="3909"/>
        <v>0.273370619792261</v>
      </c>
      <c r="CW477" s="1405">
        <f t="shared" si="3909"/>
        <v>0.251888303959716</v>
      </c>
      <c r="CX477" s="1405">
        <f t="shared" si="3909"/>
        <v>0.251888303959716</v>
      </c>
      <c r="CY477" s="1405">
        <f t="shared" si="3909"/>
        <v>0.222342342342342</v>
      </c>
      <c r="CZ477" s="1405">
        <f t="shared" si="3909"/>
        <v>0.222342342342342</v>
      </c>
      <c r="DA477" s="1407">
        <f t="shared" si="3909"/>
        <v>0.222342342342342</v>
      </c>
      <c r="DB477" s="1443">
        <f t="shared" si="3909"/>
        <v>0.246609564596717</v>
      </c>
      <c r="DC477" s="1426">
        <f t="shared" si="3909"/>
        <v>0.260398663440489</v>
      </c>
      <c r="DD477" s="1426">
        <f t="shared" si="3909"/>
        <v>0.260398663440489</v>
      </c>
      <c r="DE477" s="1426">
        <f t="shared" si="3909"/>
        <v>0.274217428087986</v>
      </c>
      <c r="DF477" s="1426">
        <f t="shared" si="3909"/>
        <v>0.274217428087986</v>
      </c>
      <c r="DG477" s="1426">
        <f t="shared" si="3909"/>
        <v>0.244309241581874</v>
      </c>
      <c r="DH477" s="1426">
        <f t="shared" si="3909"/>
        <v>0.244309241581874</v>
      </c>
      <c r="DI477" s="1444">
        <f t="shared" si="3909"/>
        <v>0.244309241581874</v>
      </c>
      <c r="DJ477" s="1426">
        <f t="shared" ref="DJ477:DQ477" si="3910">DJ464/DJ465</f>
        <v>0.29109450726979</v>
      </c>
      <c r="DK477" s="1426">
        <f t="shared" si="3910"/>
        <v>0.290422026150739</v>
      </c>
      <c r="DL477" s="1426">
        <f t="shared" si="3910"/>
        <v>0.290422026150739</v>
      </c>
      <c r="DM477" s="1426">
        <f t="shared" si="3910"/>
        <v>0.251949478308622</v>
      </c>
      <c r="DN477" s="1426">
        <f t="shared" si="3910"/>
        <v>0.251949478308622</v>
      </c>
      <c r="DO477" s="1426">
        <f t="shared" si="3910"/>
        <v>0.111774647887324</v>
      </c>
      <c r="DP477" s="1426">
        <f t="shared" si="3910"/>
        <v>0.111774647887324</v>
      </c>
      <c r="DQ477" s="1444">
        <f t="shared" si="3910"/>
        <v>0.111774647887324</v>
      </c>
      <c r="DR477" s="1426">
        <f t="shared" ref="DR477:DW477" si="3911">DR464/DR465</f>
        <v>0.142587346553352</v>
      </c>
      <c r="DS477" s="1426">
        <f t="shared" si="3911"/>
        <v>0.102752639517345</v>
      </c>
      <c r="DT477" s="1426">
        <f t="shared" si="3911"/>
        <v>0.102752639517345</v>
      </c>
      <c r="DU477" s="1426">
        <f t="shared" si="3911"/>
        <v>0.0893617021276596</v>
      </c>
      <c r="DV477" s="1426">
        <f t="shared" si="3911"/>
        <v>0.0893617021276596</v>
      </c>
      <c r="DW477" s="1426">
        <f t="shared" si="3911"/>
        <v>0.0447378419452888</v>
      </c>
      <c r="DX477" s="1412"/>
      <c r="DY477" s="1444">
        <f t="shared" ref="DY477:ED477" si="3912">DY464/DY465</f>
        <v>0.0447378419452888</v>
      </c>
      <c r="DZ477" s="1426">
        <f t="shared" si="3912"/>
        <v>0.0910630666533825</v>
      </c>
      <c r="EA477" s="1426">
        <f t="shared" si="3912"/>
        <v>0.0840720896249391</v>
      </c>
      <c r="EB477" s="1426">
        <f t="shared" si="3912"/>
        <v>0.0840720896249391</v>
      </c>
      <c r="EC477" s="1426">
        <f t="shared" si="3912"/>
        <v>0.0686310395314788</v>
      </c>
      <c r="ED477" s="1426">
        <f t="shared" si="3912"/>
        <v>0.0686310395314788</v>
      </c>
      <c r="EE477" s="1426">
        <f t="shared" ref="EE477:EO477" si="3913">EE464/EE465</f>
        <v>0.0332829046898638</v>
      </c>
      <c r="EF477" s="1426">
        <f t="shared" si="3913"/>
        <v>0.0332829046898638</v>
      </c>
      <c r="EG477" s="1444">
        <f t="shared" si="3913"/>
        <v>0.0332829046898638</v>
      </c>
      <c r="EH477" s="1426">
        <f t="shared" si="3913"/>
        <v>0.0565970993986558</v>
      </c>
      <c r="EI477" s="1426">
        <f t="shared" si="3913"/>
        <v>0.0259867614611424</v>
      </c>
      <c r="EJ477" s="1426">
        <f t="shared" si="3913"/>
        <v>0.0259867614611424</v>
      </c>
      <c r="EK477" s="1426">
        <f t="shared" si="3913"/>
        <v>0.0283455294810329</v>
      </c>
      <c r="EL477" s="1426">
        <f t="shared" si="3913"/>
        <v>0.0283455294810329</v>
      </c>
      <c r="EM477" s="1426">
        <f t="shared" si="3913"/>
        <v>-0.0157068062827225</v>
      </c>
      <c r="EN477" s="1426">
        <f t="shared" si="3913"/>
        <v>-0.0157068062827225</v>
      </c>
      <c r="EO477" s="1444">
        <f t="shared" si="3913"/>
        <v>-0.0157068062827225</v>
      </c>
      <c r="EP477" s="1426">
        <f t="shared" ref="EP477:EX477" si="3914">EP464/EP465</f>
        <v>0.0155695874059337</v>
      </c>
      <c r="EQ477" s="1426">
        <f t="shared" si="3914"/>
        <v>0.00815618221258134</v>
      </c>
      <c r="ER477" s="1426">
        <f t="shared" si="3914"/>
        <v>0.00815618221258134</v>
      </c>
      <c r="ES477" s="1426">
        <f t="shared" si="3914"/>
        <v>0.0158047238563526</v>
      </c>
      <c r="ET477" s="1426">
        <f t="shared" si="3914"/>
        <v>0.0158047238563526</v>
      </c>
      <c r="EU477" s="1426">
        <f t="shared" si="3914"/>
        <v>-0.0254332270023278</v>
      </c>
      <c r="EV477" s="1426">
        <f t="shared" si="3914"/>
        <v>0.0221100278551532</v>
      </c>
      <c r="EW477" s="1444">
        <f t="shared" si="3914"/>
        <v>-0.0254332270023278</v>
      </c>
      <c r="EX477" s="1426">
        <f t="shared" si="3914"/>
        <v>0.0221100278551532</v>
      </c>
      <c r="EY477" s="1449"/>
      <c r="EZ477" s="1449"/>
      <c r="FA477" s="1449"/>
      <c r="FB477" s="1449"/>
      <c r="FC477" s="1449"/>
      <c r="FD477" s="1449"/>
      <c r="FE477" s="1450"/>
      <c r="FF477" s="1449"/>
      <c r="FG477" s="1449"/>
      <c r="FH477" s="1426"/>
      <c r="FI477" s="1426"/>
      <c r="FJ477" s="1426"/>
      <c r="FK477" s="1426"/>
      <c r="FL477" s="1426"/>
      <c r="FM477" s="1444"/>
      <c r="FN477" s="1426"/>
      <c r="FO477" s="1426"/>
      <c r="FP477" s="1426"/>
      <c r="FQ477" s="1426"/>
      <c r="FR477" s="1426"/>
      <c r="FS477" s="1426"/>
      <c r="FT477" s="1426"/>
      <c r="FU477" s="1426"/>
      <c r="FV477" s="1443"/>
      <c r="FW477" s="1426"/>
      <c r="FX477" s="1426"/>
      <c r="FY477" s="1426"/>
      <c r="FZ477" s="1426"/>
      <c r="GA477" s="1426"/>
      <c r="GB477" s="1426"/>
      <c r="GC477" s="1444"/>
      <c r="GD477" s="1426"/>
      <c r="GE477" s="1426"/>
      <c r="GF477" s="1426"/>
      <c r="GG477" s="1426"/>
      <c r="GH477" s="1426"/>
      <c r="GI477" s="1426"/>
      <c r="GJ477" s="1426"/>
      <c r="GK477" s="1444"/>
      <c r="GL477" s="1426"/>
      <c r="GM477" s="1426"/>
      <c r="GN477" s="1426"/>
      <c r="GO477" s="1426"/>
      <c r="GP477" s="1426"/>
      <c r="GQ477" s="1426"/>
      <c r="GR477" s="1426"/>
      <c r="GS477" s="1444"/>
      <c r="GT477" s="1426"/>
      <c r="GU477" s="1426"/>
      <c r="GV477" s="1426"/>
      <c r="GW477" s="1426"/>
      <c r="GX477" s="1426"/>
      <c r="GY477" s="1426"/>
      <c r="GZ477" s="1426"/>
      <c r="HA477" s="1444"/>
      <c r="HB477" s="1426"/>
      <c r="HC477" s="1426"/>
      <c r="HD477" s="1426"/>
      <c r="HE477" s="1426"/>
      <c r="HF477" s="1426"/>
      <c r="HG477" s="1426"/>
      <c r="HH477" s="1426"/>
      <c r="HI477" s="1444"/>
      <c r="HJ477" s="1426"/>
      <c r="HK477" s="1426"/>
      <c r="HL477" s="1426"/>
      <c r="HM477" s="1426"/>
      <c r="HN477" s="1426"/>
      <c r="HO477" s="1426"/>
      <c r="HP477" s="1426"/>
      <c r="HQ477" s="1444"/>
      <c r="HR477" s="1426"/>
      <c r="HS477" s="1426"/>
      <c r="HT477" s="1426"/>
      <c r="HU477" s="1426"/>
      <c r="HV477" s="1426"/>
      <c r="HW477" s="1426"/>
      <c r="HX477" s="1426"/>
      <c r="HY477" s="1426"/>
      <c r="HZ477" s="1426"/>
      <c r="IA477" s="1426"/>
      <c r="IB477" s="1426"/>
      <c r="IC477" s="1426"/>
      <c r="ID477" s="1426"/>
      <c r="IE477" s="1426"/>
      <c r="IF477" s="1426"/>
      <c r="IG477" s="1444"/>
      <c r="IH477" s="1426"/>
      <c r="II477" s="1426"/>
      <c r="IJ477" s="1426"/>
      <c r="IK477" s="1426"/>
      <c r="IL477" s="1426"/>
      <c r="IM477" s="1426"/>
      <c r="IN477" s="1426"/>
      <c r="IO477" s="1444"/>
      <c r="IP477" s="1426"/>
      <c r="IQ477" s="1426"/>
      <c r="IR477" s="1426"/>
      <c r="IS477" s="1426"/>
      <c r="IT477" s="1426"/>
      <c r="IU477" s="1426"/>
      <c r="IV477" s="1426"/>
      <c r="IW477" s="1426"/>
      <c r="IX477" s="1049"/>
      <c r="IY477" s="1049"/>
      <c r="IZ477" s="1049"/>
      <c r="JA477" s="1049"/>
      <c r="JB477" s="1049"/>
      <c r="JC477" s="1049"/>
      <c r="JD477" s="1041"/>
      <c r="JE477" s="1037"/>
      <c r="JF477" s="1037"/>
      <c r="JG477" s="1037"/>
      <c r="JH477" s="1037"/>
      <c r="JI477" s="1035"/>
      <c r="JJ477" s="1035"/>
      <c r="JK477" s="1035"/>
      <c r="JL477" s="1035"/>
      <c r="JM477" s="1035"/>
      <c r="JN477" s="1035"/>
      <c r="JO477" s="1035"/>
      <c r="JP477" s="1035"/>
      <c r="JQ477" s="1035"/>
      <c r="JR477" s="1035"/>
      <c r="JS477" s="1035"/>
      <c r="JT477" s="1035"/>
      <c r="JU477" s="1035"/>
      <c r="JV477" s="1035"/>
      <c r="JW477" s="1035"/>
      <c r="JX477" s="1035"/>
      <c r="JY477" s="1035"/>
    </row>
    <row r="478" spans="1:285">
      <c r="A478" s="1448" t="s">
        <v>616</v>
      </c>
      <c r="B478" s="1405"/>
      <c r="C478" s="1405"/>
      <c r="D478" s="1405"/>
      <c r="E478" s="1405"/>
      <c r="F478" s="1405"/>
      <c r="G478" s="1405"/>
      <c r="H478" s="1405"/>
      <c r="I478" s="1405"/>
      <c r="J478" s="1405"/>
      <c r="K478" s="1405"/>
      <c r="L478" s="1405"/>
      <c r="M478" s="1405"/>
      <c r="N478" s="1405"/>
      <c r="O478" s="1405"/>
      <c r="P478" s="1405"/>
      <c r="Q478" s="1405"/>
      <c r="R478" s="1405"/>
      <c r="S478" s="1405"/>
      <c r="T478" s="1405"/>
      <c r="U478" s="1405"/>
      <c r="V478" s="1405"/>
      <c r="W478" s="1405"/>
      <c r="X478" s="1405"/>
      <c r="Y478" s="1405"/>
      <c r="Z478" s="1405"/>
      <c r="AA478" s="1405"/>
      <c r="AB478" s="1405"/>
      <c r="AC478" s="1405"/>
      <c r="AD478" s="1405"/>
      <c r="AE478" s="1405"/>
      <c r="AF478" s="1405"/>
      <c r="AG478" s="1405"/>
      <c r="AH478" s="1405"/>
      <c r="AI478" s="1405"/>
      <c r="AJ478" s="1405"/>
      <c r="AK478" s="1405"/>
      <c r="AL478" s="1405"/>
      <c r="AM478" s="1405"/>
      <c r="AN478" s="1405"/>
      <c r="AO478" s="1405"/>
      <c r="AP478" s="1405"/>
      <c r="AQ478" s="1405"/>
      <c r="AR478" s="1405"/>
      <c r="AS478" s="1405"/>
      <c r="AT478" s="1405"/>
      <c r="AU478" s="1405"/>
      <c r="AV478" s="1405"/>
      <c r="AW478" s="1405"/>
      <c r="AX478" s="1406"/>
      <c r="AY478" s="1405"/>
      <c r="AZ478" s="1405"/>
      <c r="BA478" s="1405"/>
      <c r="BB478" s="1405"/>
      <c r="BC478" s="1405"/>
      <c r="BD478" s="1405"/>
      <c r="BE478" s="1407"/>
      <c r="BF478" s="1405"/>
      <c r="BG478" s="1405"/>
      <c r="BH478" s="1405"/>
      <c r="BI478" s="1405"/>
      <c r="BJ478" s="1405"/>
      <c r="BK478" s="1405"/>
      <c r="BL478" s="1405"/>
      <c r="BM478" s="1405"/>
      <c r="BN478" s="1406"/>
      <c r="BO478" s="1405"/>
      <c r="BP478" s="1405"/>
      <c r="BQ478" s="1405"/>
      <c r="BR478" s="1405"/>
      <c r="BS478" s="1405"/>
      <c r="BT478" s="1405"/>
      <c r="BU478" s="1407"/>
      <c r="BV478" s="1303"/>
      <c r="BW478" s="1302"/>
      <c r="BX478" s="1302"/>
      <c r="BY478" s="1302"/>
      <c r="BZ478" s="1302"/>
      <c r="CA478" s="1302"/>
      <c r="CB478" s="1302"/>
      <c r="CC478" s="1304"/>
      <c r="CD478" s="1303"/>
      <c r="CE478" s="1302"/>
      <c r="CF478" s="1302"/>
      <c r="CG478" s="1302"/>
      <c r="CH478" s="1302"/>
      <c r="CI478" s="1302"/>
      <c r="CJ478" s="1302"/>
      <c r="CK478" s="1304"/>
      <c r="CL478" s="1303"/>
      <c r="CM478" s="1302"/>
      <c r="CN478" s="1302"/>
      <c r="CO478" s="1302"/>
      <c r="CP478" s="1302"/>
      <c r="CQ478" s="1302"/>
      <c r="CR478" s="1302"/>
      <c r="CS478" s="1304"/>
      <c r="CT478" s="1406">
        <f t="shared" ref="CT478:DI478" si="3915">CT464/CT466</f>
        <v>0.859433640395769</v>
      </c>
      <c r="CU478" s="1405">
        <f t="shared" si="3915"/>
        <v>0.812415196743555</v>
      </c>
      <c r="CV478" s="1405">
        <f t="shared" si="3915"/>
        <v>0.812415196743555</v>
      </c>
      <c r="CW478" s="1405">
        <f t="shared" si="3915"/>
        <v>0.710917312661499</v>
      </c>
      <c r="CX478" s="1405">
        <f t="shared" si="3915"/>
        <v>0.710917312661499</v>
      </c>
      <c r="CY478" s="1405">
        <f t="shared" si="3915"/>
        <v>0.612305656632484</v>
      </c>
      <c r="CZ478" s="1405">
        <f t="shared" si="3915"/>
        <v>0.612305656632484</v>
      </c>
      <c r="DA478" s="1407">
        <f t="shared" si="3915"/>
        <v>0.612305656632484</v>
      </c>
      <c r="DB478" s="1443">
        <f t="shared" si="3915"/>
        <v>0.729159338726697</v>
      </c>
      <c r="DC478" s="1426">
        <f t="shared" si="3915"/>
        <v>0.823015294974508</v>
      </c>
      <c r="DD478" s="1426">
        <f t="shared" si="3915"/>
        <v>0.823015294974508</v>
      </c>
      <c r="DE478" s="1426">
        <f t="shared" si="3915"/>
        <v>0.784331518451301</v>
      </c>
      <c r="DF478" s="1426">
        <f t="shared" si="3915"/>
        <v>0.784331518451301</v>
      </c>
      <c r="DG478" s="1426">
        <f t="shared" si="3915"/>
        <v>0.687832250443001</v>
      </c>
      <c r="DH478" s="1426">
        <f t="shared" si="3915"/>
        <v>0.687832250443001</v>
      </c>
      <c r="DI478" s="1444">
        <f t="shared" si="3915"/>
        <v>0.687832250443001</v>
      </c>
      <c r="DJ478" s="1426">
        <f t="shared" ref="DJ478:DQ478" si="3916">DJ464/DJ466</f>
        <v>0.817872340425532</v>
      </c>
      <c r="DK478" s="1426">
        <f t="shared" si="3916"/>
        <v>0.856694888679837</v>
      </c>
      <c r="DL478" s="1426">
        <f t="shared" si="3916"/>
        <v>0.856694888679837</v>
      </c>
      <c r="DM478" s="1426">
        <f t="shared" si="3916"/>
        <v>0.701958384332925</v>
      </c>
      <c r="DN478" s="1426">
        <f t="shared" si="3916"/>
        <v>0.701958384332925</v>
      </c>
      <c r="DO478" s="1426">
        <f t="shared" si="3916"/>
        <v>0.263060196234421</v>
      </c>
      <c r="DP478" s="1426">
        <f t="shared" si="3916"/>
        <v>0.263060196234421</v>
      </c>
      <c r="DQ478" s="1444">
        <f t="shared" si="3916"/>
        <v>0.263060196234421</v>
      </c>
      <c r="DR478" s="1426">
        <f t="shared" ref="DR478:DW478" si="3917">DR464/DR466</f>
        <v>0.319464033850494</v>
      </c>
      <c r="DS478" s="1426">
        <f t="shared" si="3917"/>
        <v>0.230492704588708</v>
      </c>
      <c r="DT478" s="1426">
        <f t="shared" si="3917"/>
        <v>0.230492704588708</v>
      </c>
      <c r="DU478" s="1426">
        <f t="shared" si="3917"/>
        <v>0.200934579439252</v>
      </c>
      <c r="DV478" s="1426">
        <f t="shared" si="3917"/>
        <v>0.200934579439252</v>
      </c>
      <c r="DW478" s="1426">
        <f t="shared" si="3917"/>
        <v>0.105534393905445</v>
      </c>
      <c r="DX478" s="1412"/>
      <c r="DY478" s="1444">
        <f t="shared" ref="DY478:ED478" si="3918">DY464/DY466</f>
        <v>0.105534393905445</v>
      </c>
      <c r="DZ478" s="1426">
        <f t="shared" si="3918"/>
        <v>0.201232937032144</v>
      </c>
      <c r="EA478" s="1426">
        <f t="shared" si="3918"/>
        <v>0.193194537721066</v>
      </c>
      <c r="EB478" s="1426">
        <f t="shared" si="3918"/>
        <v>0.193194537721066</v>
      </c>
      <c r="EC478" s="1426">
        <f t="shared" si="3918"/>
        <v>0.146512990818519</v>
      </c>
      <c r="ED478" s="1426">
        <f t="shared" si="3918"/>
        <v>0.146512990818519</v>
      </c>
      <c r="EE478" s="1426">
        <f t="shared" ref="EE478:EO478" si="3919">EE464/EE466</f>
        <v>0.0729329173166927</v>
      </c>
      <c r="EF478" s="1426">
        <f t="shared" si="3919"/>
        <v>0.0729329173166927</v>
      </c>
      <c r="EG478" s="1444">
        <f t="shared" si="3919"/>
        <v>0.0729329173166927</v>
      </c>
      <c r="EH478" s="1426">
        <f t="shared" si="3919"/>
        <v>0.120368628926086</v>
      </c>
      <c r="EI478" s="1426">
        <f t="shared" si="3919"/>
        <v>0.0559071729957806</v>
      </c>
      <c r="EJ478" s="1426">
        <f t="shared" si="3919"/>
        <v>0.0559071729957806</v>
      </c>
      <c r="EK478" s="1426">
        <f t="shared" si="3919"/>
        <v>0.057167090754877</v>
      </c>
      <c r="EL478" s="1426">
        <f t="shared" si="3919"/>
        <v>0.057167090754877</v>
      </c>
      <c r="EM478" s="1426">
        <f t="shared" si="3919"/>
        <v>-0.0345870345870346</v>
      </c>
      <c r="EN478" s="1426">
        <f t="shared" si="3919"/>
        <v>-0.0345870345870346</v>
      </c>
      <c r="EO478" s="1444">
        <f t="shared" si="3919"/>
        <v>-0.0345870345870346</v>
      </c>
      <c r="EP478" s="1426">
        <f t="shared" ref="EP478:EX478" si="3920">EP464/EP466</f>
        <v>0.031342503917813</v>
      </c>
      <c r="EQ478" s="1426">
        <f t="shared" si="3920"/>
        <v>0.0171658144631118</v>
      </c>
      <c r="ER478" s="1426">
        <f t="shared" si="3920"/>
        <v>0.0171658144631118</v>
      </c>
      <c r="ES478" s="1426">
        <f t="shared" si="3920"/>
        <v>0.0320341697810998</v>
      </c>
      <c r="ET478" s="1426">
        <f t="shared" si="3920"/>
        <v>0.0320341697810998</v>
      </c>
      <c r="EU478" s="1426">
        <f t="shared" si="3920"/>
        <v>-0.0537438513390417</v>
      </c>
      <c r="EV478" s="1426">
        <f t="shared" si="3920"/>
        <v>0.0452762923351159</v>
      </c>
      <c r="EW478" s="1444">
        <f t="shared" si="3920"/>
        <v>-0.0537438513390417</v>
      </c>
      <c r="EX478" s="1426">
        <f t="shared" si="3920"/>
        <v>0.0452762923351159</v>
      </c>
      <c r="EY478" s="1449"/>
      <c r="EZ478" s="1449"/>
      <c r="FA478" s="1449"/>
      <c r="FB478" s="1449"/>
      <c r="FC478" s="1449"/>
      <c r="FD478" s="1449"/>
      <c r="FE478" s="1450"/>
      <c r="FF478" s="1449"/>
      <c r="FG478" s="1449"/>
      <c r="FH478" s="1426"/>
      <c r="FI478" s="1426"/>
      <c r="FJ478" s="1426"/>
      <c r="FK478" s="1426"/>
      <c r="FL478" s="1426"/>
      <c r="FM478" s="1444"/>
      <c r="FN478" s="1426"/>
      <c r="FO478" s="1426"/>
      <c r="FP478" s="1426"/>
      <c r="FQ478" s="1426"/>
      <c r="FR478" s="1426"/>
      <c r="FS478" s="1426"/>
      <c r="FT478" s="1426"/>
      <c r="FU478" s="1426"/>
      <c r="FV478" s="1443"/>
      <c r="FW478" s="1426"/>
      <c r="FX478" s="1426"/>
      <c r="FY478" s="1426"/>
      <c r="FZ478" s="1426"/>
      <c r="GA478" s="1426"/>
      <c r="GB478" s="1426"/>
      <c r="GC478" s="1444"/>
      <c r="GD478" s="1426"/>
      <c r="GE478" s="1426"/>
      <c r="GF478" s="1426"/>
      <c r="GG478" s="1426"/>
      <c r="GH478" s="1426"/>
      <c r="GI478" s="1426"/>
      <c r="GJ478" s="1426"/>
      <c r="GK478" s="1444"/>
      <c r="GL478" s="1426"/>
      <c r="GM478" s="1426"/>
      <c r="GN478" s="1426"/>
      <c r="GO478" s="1426"/>
      <c r="GP478" s="1426"/>
      <c r="GQ478" s="1426"/>
      <c r="GR478" s="1426"/>
      <c r="GS478" s="1444"/>
      <c r="GT478" s="1426"/>
      <c r="GU478" s="1426"/>
      <c r="GV478" s="1426"/>
      <c r="GW478" s="1426"/>
      <c r="GX478" s="1426"/>
      <c r="GY478" s="1426"/>
      <c r="GZ478" s="1426"/>
      <c r="HA478" s="1444"/>
      <c r="HB478" s="1426"/>
      <c r="HC478" s="1426"/>
      <c r="HD478" s="1426"/>
      <c r="HE478" s="1426"/>
      <c r="HF478" s="1426"/>
      <c r="HG478" s="1426"/>
      <c r="HH478" s="1426"/>
      <c r="HI478" s="1444"/>
      <c r="HJ478" s="1426"/>
      <c r="HK478" s="1426"/>
      <c r="HL478" s="1426"/>
      <c r="HM478" s="1426"/>
      <c r="HN478" s="1426"/>
      <c r="HO478" s="1426"/>
      <c r="HP478" s="1426"/>
      <c r="HQ478" s="1444"/>
      <c r="HR478" s="1426"/>
      <c r="HS478" s="1426"/>
      <c r="HT478" s="1426"/>
      <c r="HU478" s="1426"/>
      <c r="HV478" s="1426"/>
      <c r="HW478" s="1426"/>
      <c r="HX478" s="1426"/>
      <c r="HY478" s="1426"/>
      <c r="HZ478" s="1426"/>
      <c r="IA478" s="1426"/>
      <c r="IB478" s="1426"/>
      <c r="IC478" s="1426"/>
      <c r="ID478" s="1426"/>
      <c r="IE478" s="1426"/>
      <c r="IF478" s="1426"/>
      <c r="IG478" s="1444"/>
      <c r="IH478" s="1426"/>
      <c r="II478" s="1426"/>
      <c r="IJ478" s="1426"/>
      <c r="IK478" s="1426"/>
      <c r="IL478" s="1426"/>
      <c r="IM478" s="1426"/>
      <c r="IN478" s="1426"/>
      <c r="IO478" s="1444"/>
      <c r="IP478" s="1426"/>
      <c r="IQ478" s="1426"/>
      <c r="IR478" s="1426"/>
      <c r="IS478" s="1426"/>
      <c r="IT478" s="1426"/>
      <c r="IU478" s="1426"/>
      <c r="IV478" s="1426"/>
      <c r="IW478" s="1426"/>
      <c r="IX478" s="1049"/>
      <c r="IY478" s="1049"/>
      <c r="IZ478" s="1049"/>
      <c r="JA478" s="1049"/>
      <c r="JB478" s="1049"/>
      <c r="JC478" s="1049"/>
      <c r="JD478" s="1041"/>
      <c r="JE478" s="1037"/>
      <c r="JF478" s="1037"/>
      <c r="JG478" s="1037"/>
      <c r="JH478" s="1037"/>
      <c r="JI478" s="1035"/>
      <c r="JJ478" s="1035"/>
      <c r="JK478" s="1035"/>
      <c r="JL478" s="1035"/>
      <c r="JM478" s="1035"/>
      <c r="JN478" s="1035"/>
      <c r="JO478" s="1035"/>
      <c r="JP478" s="1035"/>
      <c r="JQ478" s="1035"/>
      <c r="JR478" s="1035"/>
      <c r="JS478" s="1035"/>
      <c r="JT478" s="1035"/>
      <c r="JU478" s="1035"/>
      <c r="JV478" s="1035"/>
      <c r="JW478" s="1035"/>
      <c r="JX478" s="1035"/>
      <c r="JY478" s="1035"/>
    </row>
    <row r="479" spans="1:285">
      <c r="A479" s="1448" t="s">
        <v>617</v>
      </c>
      <c r="B479" s="1405"/>
      <c r="C479" s="1405"/>
      <c r="D479" s="1405"/>
      <c r="E479" s="1405"/>
      <c r="F479" s="1405"/>
      <c r="G479" s="1405"/>
      <c r="H479" s="1405"/>
      <c r="I479" s="1405"/>
      <c r="J479" s="1405"/>
      <c r="K479" s="1405"/>
      <c r="L479" s="1405"/>
      <c r="M479" s="1405"/>
      <c r="N479" s="1405"/>
      <c r="O479" s="1405"/>
      <c r="P479" s="1405"/>
      <c r="Q479" s="1405"/>
      <c r="R479" s="1405"/>
      <c r="S479" s="1405"/>
      <c r="T479" s="1405"/>
      <c r="U479" s="1405"/>
      <c r="V479" s="1405"/>
      <c r="W479" s="1405"/>
      <c r="X479" s="1405"/>
      <c r="Y479" s="1405"/>
      <c r="Z479" s="1405"/>
      <c r="AA479" s="1405"/>
      <c r="AB479" s="1405"/>
      <c r="AC479" s="1405"/>
      <c r="AD479" s="1405"/>
      <c r="AE479" s="1405"/>
      <c r="AF479" s="1405"/>
      <c r="AG479" s="1405"/>
      <c r="AH479" s="1405"/>
      <c r="AI479" s="1405"/>
      <c r="AJ479" s="1405"/>
      <c r="AK479" s="1405"/>
      <c r="AL479" s="1405"/>
      <c r="AM479" s="1405"/>
      <c r="AN479" s="1405"/>
      <c r="AO479" s="1405"/>
      <c r="AP479" s="1405"/>
      <c r="AQ479" s="1405"/>
      <c r="AR479" s="1405"/>
      <c r="AS479" s="1405"/>
      <c r="AT479" s="1405"/>
      <c r="AU479" s="1405"/>
      <c r="AV479" s="1405"/>
      <c r="AW479" s="1405"/>
      <c r="AX479" s="1406"/>
      <c r="AY479" s="1405"/>
      <c r="AZ479" s="1405"/>
      <c r="BA479" s="1405"/>
      <c r="BB479" s="1405"/>
      <c r="BC479" s="1405"/>
      <c r="BD479" s="1405"/>
      <c r="BE479" s="1407"/>
      <c r="BF479" s="1405"/>
      <c r="BG479" s="1405"/>
      <c r="BH479" s="1405"/>
      <c r="BI479" s="1405"/>
      <c r="BJ479" s="1405"/>
      <c r="BK479" s="1405"/>
      <c r="BL479" s="1405"/>
      <c r="BM479" s="1405"/>
      <c r="BN479" s="1406"/>
      <c r="BO479" s="1405"/>
      <c r="BP479" s="1405"/>
      <c r="BQ479" s="1405"/>
      <c r="BR479" s="1405"/>
      <c r="BS479" s="1405"/>
      <c r="BT479" s="1405"/>
      <c r="BU479" s="1407"/>
      <c r="BV479" s="1303"/>
      <c r="BW479" s="1302"/>
      <c r="BX479" s="1302"/>
      <c r="BY479" s="1302"/>
      <c r="BZ479" s="1302"/>
      <c r="CA479" s="1302"/>
      <c r="CB479" s="1302"/>
      <c r="CC479" s="1304"/>
      <c r="CD479" s="1303"/>
      <c r="CE479" s="1302"/>
      <c r="CF479" s="1302"/>
      <c r="CG479" s="1302"/>
      <c r="CH479" s="1302"/>
      <c r="CI479" s="1302"/>
      <c r="CJ479" s="1302"/>
      <c r="CK479" s="1304"/>
      <c r="CL479" s="1303"/>
      <c r="CM479" s="1302"/>
      <c r="CN479" s="1302"/>
      <c r="CO479" s="1302"/>
      <c r="CP479" s="1302"/>
      <c r="CQ479" s="1302"/>
      <c r="CR479" s="1302"/>
      <c r="CS479" s="1304"/>
      <c r="CT479" s="1406">
        <f t="shared" ref="CT479:DW479" si="3921">CT426/CT465</f>
        <v>0.0265445693752173</v>
      </c>
      <c r="CU479" s="1405">
        <f t="shared" si="3921"/>
        <v>0.0214587375870334</v>
      </c>
      <c r="CV479" s="1405">
        <f t="shared" si="3921"/>
        <v>0.0475973062435795</v>
      </c>
      <c r="CW479" s="1405">
        <f t="shared" si="3921"/>
        <v>0.0540169375143053</v>
      </c>
      <c r="CX479" s="1405">
        <f t="shared" si="3921"/>
        <v>-0.101739528496223</v>
      </c>
      <c r="CY479" s="1405">
        <f t="shared" si="3921"/>
        <v>0.00720720720720721</v>
      </c>
      <c r="CZ479" s="1405">
        <f t="shared" si="3921"/>
        <v>0.0639039039039039</v>
      </c>
      <c r="DA479" s="1407">
        <f t="shared" si="3921"/>
        <v>0.113993993993994</v>
      </c>
      <c r="DB479" s="1443">
        <f t="shared" si="3921"/>
        <v>0.033547466095646</v>
      </c>
      <c r="DC479" s="1426">
        <f t="shared" si="3921"/>
        <v>0.0132503744671045</v>
      </c>
      <c r="DD479" s="1426">
        <f t="shared" si="3921"/>
        <v>0.0385989169259131</v>
      </c>
      <c r="DE479" s="1426">
        <f t="shared" si="3921"/>
        <v>0.0500211505922166</v>
      </c>
      <c r="DF479" s="1426">
        <f t="shared" si="3921"/>
        <v>0.101840101522843</v>
      </c>
      <c r="DG479" s="1426">
        <f t="shared" si="3921"/>
        <v>0.0112241686772265</v>
      </c>
      <c r="DH479" s="1426">
        <f t="shared" si="3921"/>
        <v>0.0771005979230043</v>
      </c>
      <c r="DI479" s="1444">
        <f t="shared" si="3921"/>
        <v>0.112241686772265</v>
      </c>
      <c r="DJ479" s="1426">
        <f t="shared" si="3921"/>
        <v>0.0058562197092084</v>
      </c>
      <c r="DK479" s="1426">
        <f t="shared" si="3921"/>
        <v>0.00765387477410439</v>
      </c>
      <c r="DL479" s="1426">
        <f t="shared" si="3921"/>
        <v>0.0138194961199107</v>
      </c>
      <c r="DM479" s="1426">
        <f t="shared" si="3921"/>
        <v>0.0369028006589786</v>
      </c>
      <c r="DN479" s="1426">
        <f t="shared" si="3921"/>
        <v>0.0511806699615596</v>
      </c>
      <c r="DO479" s="1426">
        <f t="shared" si="3921"/>
        <v>0.00473239436619718</v>
      </c>
      <c r="DP479" s="1426">
        <f t="shared" si="3921"/>
        <v>0.0367810704207617</v>
      </c>
      <c r="DQ479" s="1444">
        <f t="shared" si="3921"/>
        <v>0.0572394366197183</v>
      </c>
      <c r="DR479" s="1426">
        <f t="shared" si="3921"/>
        <v>0.0272794040499423</v>
      </c>
      <c r="DS479" s="1426">
        <f t="shared" si="3921"/>
        <v>0.0183823529411765</v>
      </c>
      <c r="DT479" s="1426">
        <f t="shared" si="3921"/>
        <v>0.0428921568627451</v>
      </c>
      <c r="DU479" s="1426">
        <f t="shared" si="3921"/>
        <v>0.0406729341909946</v>
      </c>
      <c r="DV479" s="1426">
        <f t="shared" si="3921"/>
        <v>0.0857001484413657</v>
      </c>
      <c r="DW479" s="1426">
        <f t="shared" si="3921"/>
        <v>0.00265957446808511</v>
      </c>
      <c r="DX479" s="1426"/>
      <c r="DY479" s="1444">
        <f t="shared" ref="DY479:EO479" si="3922">DY426/DY465</f>
        <v>0.0849164133738602</v>
      </c>
      <c r="DZ479" s="1426">
        <f t="shared" si="3922"/>
        <v>0.0311846169174056</v>
      </c>
      <c r="EA479" s="1426">
        <f t="shared" si="3922"/>
        <v>0.0213346322454944</v>
      </c>
      <c r="EB479" s="1426">
        <f t="shared" si="3922"/>
        <v>0.0518265952264978</v>
      </c>
      <c r="EC479" s="1426">
        <f t="shared" si="3922"/>
        <v>0.0403550512445095</v>
      </c>
      <c r="ED479" s="1426">
        <f t="shared" si="3922"/>
        <v>0.0890373352855051</v>
      </c>
      <c r="EE479" s="1426">
        <f t="shared" si="3922"/>
        <v>-0.00177983447539379</v>
      </c>
      <c r="EF479" s="1426">
        <f t="shared" si="3922"/>
        <v>0.0374655157070392</v>
      </c>
      <c r="EG479" s="1444">
        <f t="shared" si="3922"/>
        <v>0.084809112752514</v>
      </c>
      <c r="EH479" s="1426">
        <f t="shared" si="3922"/>
        <v>0.0361690838344535</v>
      </c>
      <c r="EI479" s="1426">
        <f t="shared" si="3922"/>
        <v>0.0209201601699763</v>
      </c>
      <c r="EJ479" s="1426">
        <f t="shared" si="3922"/>
        <v>0.05434338481654</v>
      </c>
      <c r="EK479" s="1426">
        <f t="shared" si="3922"/>
        <v>0.0415510135419295</v>
      </c>
      <c r="EL479" s="1426">
        <f t="shared" si="3922"/>
        <v>0.0974850702329885</v>
      </c>
      <c r="EM479" s="1426">
        <f t="shared" si="3922"/>
        <v>-0.0205132606643207</v>
      </c>
      <c r="EN479" s="1426">
        <f t="shared" si="3922"/>
        <v>0.0218865333447773</v>
      </c>
      <c r="EO479" s="1444">
        <f t="shared" si="3922"/>
        <v>0.0789631791262553</v>
      </c>
      <c r="EP479" s="1426">
        <f t="shared" ref="EP479:EX479" si="3923">EP426/EP465</f>
        <v>0.0382319868523484</v>
      </c>
      <c r="EQ479" s="1426">
        <f t="shared" si="3923"/>
        <v>0.0218655097613883</v>
      </c>
      <c r="ER479" s="1426">
        <f t="shared" si="3923"/>
        <v>0.0602169197396963</v>
      </c>
      <c r="ES479" s="1426">
        <f t="shared" si="3923"/>
        <v>0.0406532619193959</v>
      </c>
      <c r="ET479" s="1426">
        <f t="shared" si="3923"/>
        <v>0.101589252787778</v>
      </c>
      <c r="EU479" s="1426">
        <f t="shared" si="3923"/>
        <v>0.00387964479696526</v>
      </c>
      <c r="EV479" s="1426">
        <f t="shared" si="3923"/>
        <v>0.0442200557103064</v>
      </c>
      <c r="EW479" s="1444">
        <f t="shared" si="3923"/>
        <v>0.103629623243383</v>
      </c>
      <c r="EX479" s="1426">
        <f t="shared" si="3923"/>
        <v>0.0267235376044568</v>
      </c>
      <c r="EY479" s="1449"/>
      <c r="EZ479" s="1449"/>
      <c r="FA479" s="1449"/>
      <c r="FB479" s="1449"/>
      <c r="FC479" s="1449"/>
      <c r="FD479" s="1449"/>
      <c r="FE479" s="1450"/>
      <c r="FF479" s="1449"/>
      <c r="FG479" s="1449"/>
      <c r="FH479" s="1426"/>
      <c r="FI479" s="1426"/>
      <c r="FJ479" s="1426"/>
      <c r="FK479" s="1426"/>
      <c r="FL479" s="1426"/>
      <c r="FM479" s="1444"/>
      <c r="FN479" s="1426"/>
      <c r="FO479" s="1426"/>
      <c r="FP479" s="1426"/>
      <c r="FQ479" s="1426"/>
      <c r="FR479" s="1426"/>
      <c r="FS479" s="1426"/>
      <c r="FT479" s="1426"/>
      <c r="FU479" s="1426"/>
      <c r="FV479" s="1443"/>
      <c r="FW479" s="1426"/>
      <c r="FX479" s="1426"/>
      <c r="FY479" s="1426"/>
      <c r="FZ479" s="1426"/>
      <c r="GA479" s="1426"/>
      <c r="GB479" s="1426"/>
      <c r="GC479" s="1444"/>
      <c r="GD479" s="1426"/>
      <c r="GE479" s="1426"/>
      <c r="GF479" s="1426"/>
      <c r="GG479" s="1426"/>
      <c r="GH479" s="1426"/>
      <c r="GI479" s="1426"/>
      <c r="GJ479" s="1426"/>
      <c r="GK479" s="1444"/>
      <c r="GL479" s="1426"/>
      <c r="GM479" s="1426"/>
      <c r="GN479" s="1426"/>
      <c r="GO479" s="1426"/>
      <c r="GP479" s="1426"/>
      <c r="GQ479" s="1426"/>
      <c r="GR479" s="1426"/>
      <c r="GS479" s="1444"/>
      <c r="GT479" s="1426"/>
      <c r="GU479" s="1426"/>
      <c r="GV479" s="1426"/>
      <c r="GW479" s="1426"/>
      <c r="GX479" s="1426"/>
      <c r="GY479" s="1426"/>
      <c r="GZ479" s="1426"/>
      <c r="HA479" s="1444"/>
      <c r="HB479" s="1426"/>
      <c r="HC479" s="1426"/>
      <c r="HD479" s="1426"/>
      <c r="HE479" s="1426"/>
      <c r="HF479" s="1426"/>
      <c r="HG479" s="1426"/>
      <c r="HH479" s="1426"/>
      <c r="HI479" s="1444"/>
      <c r="HJ479" s="1426"/>
      <c r="HK479" s="1426"/>
      <c r="HL479" s="1426"/>
      <c r="HM479" s="1426"/>
      <c r="HN479" s="1426"/>
      <c r="HO479" s="1426"/>
      <c r="HP479" s="1426"/>
      <c r="HQ479" s="1444"/>
      <c r="HR479" s="1426"/>
      <c r="HS479" s="1426"/>
      <c r="HT479" s="1426"/>
      <c r="HU479" s="1426"/>
      <c r="HV479" s="1426"/>
      <c r="HW479" s="1426"/>
      <c r="HX479" s="1426"/>
      <c r="HY479" s="1426"/>
      <c r="HZ479" s="1426"/>
      <c r="IA479" s="1426"/>
      <c r="IB479" s="1426"/>
      <c r="IC479" s="1426"/>
      <c r="ID479" s="1426"/>
      <c r="IE479" s="1426"/>
      <c r="IF479" s="1426"/>
      <c r="IG479" s="1444"/>
      <c r="IH479" s="1426"/>
      <c r="II479" s="1426"/>
      <c r="IJ479" s="1426"/>
      <c r="IK479" s="1426"/>
      <c r="IL479" s="1426"/>
      <c r="IM479" s="1426"/>
      <c r="IN479" s="1426"/>
      <c r="IO479" s="1444"/>
      <c r="IP479" s="1426"/>
      <c r="IQ479" s="1426"/>
      <c r="IR479" s="1426"/>
      <c r="IS479" s="1426"/>
      <c r="IT479" s="1426"/>
      <c r="IU479" s="1426"/>
      <c r="IV479" s="1426"/>
      <c r="IW479" s="1426"/>
      <c r="IX479" s="1049"/>
      <c r="IY479" s="1049"/>
      <c r="IZ479" s="1049"/>
      <c r="JA479" s="1049"/>
      <c r="JB479" s="1049"/>
      <c r="JC479" s="1049"/>
      <c r="JD479" s="1041"/>
      <c r="JE479" s="1037"/>
      <c r="JF479" s="1037"/>
      <c r="JG479" s="1037"/>
      <c r="JH479" s="1037"/>
      <c r="JI479" s="1035"/>
      <c r="JJ479" s="1035"/>
      <c r="JK479" s="1035"/>
      <c r="JL479" s="1035"/>
      <c r="JM479" s="1035"/>
      <c r="JN479" s="1035"/>
      <c r="JO479" s="1035"/>
      <c r="JP479" s="1035"/>
      <c r="JQ479" s="1035"/>
      <c r="JR479" s="1035"/>
      <c r="JS479" s="1035"/>
      <c r="JT479" s="1035"/>
      <c r="JU479" s="1035"/>
      <c r="JV479" s="1035"/>
      <c r="JW479" s="1035"/>
      <c r="JX479" s="1035"/>
      <c r="JY479" s="1035"/>
    </row>
    <row r="480" spans="1:285">
      <c r="A480" s="1448" t="s">
        <v>618</v>
      </c>
      <c r="B480" s="1405"/>
      <c r="C480" s="1405"/>
      <c r="D480" s="1405"/>
      <c r="E480" s="1405"/>
      <c r="F480" s="1405"/>
      <c r="G480" s="1405"/>
      <c r="H480" s="1405"/>
      <c r="I480" s="1405"/>
      <c r="J480" s="1405"/>
      <c r="K480" s="1405"/>
      <c r="L480" s="1405"/>
      <c r="M480" s="1405"/>
      <c r="N480" s="1405"/>
      <c r="O480" s="1405"/>
      <c r="P480" s="1405"/>
      <c r="Q480" s="1405"/>
      <c r="R480" s="1405"/>
      <c r="S480" s="1405"/>
      <c r="T480" s="1405"/>
      <c r="U480" s="1405"/>
      <c r="V480" s="1405"/>
      <c r="W480" s="1405"/>
      <c r="X480" s="1405"/>
      <c r="Y480" s="1405"/>
      <c r="Z480" s="1405"/>
      <c r="AA480" s="1405"/>
      <c r="AB480" s="1405"/>
      <c r="AC480" s="1405"/>
      <c r="AD480" s="1405"/>
      <c r="AE480" s="1405"/>
      <c r="AF480" s="1405"/>
      <c r="AG480" s="1405"/>
      <c r="AH480" s="1405"/>
      <c r="AI480" s="1405"/>
      <c r="AJ480" s="1405"/>
      <c r="AK480" s="1405"/>
      <c r="AL480" s="1405"/>
      <c r="AM480" s="1405"/>
      <c r="AN480" s="1405"/>
      <c r="AO480" s="1405"/>
      <c r="AP480" s="1405"/>
      <c r="AQ480" s="1405"/>
      <c r="AR480" s="1405"/>
      <c r="AS480" s="1405"/>
      <c r="AT480" s="1405"/>
      <c r="AU480" s="1405"/>
      <c r="AV480" s="1405"/>
      <c r="AW480" s="1405"/>
      <c r="AX480" s="1406"/>
      <c r="AY480" s="1405"/>
      <c r="AZ480" s="1405"/>
      <c r="BA480" s="1405"/>
      <c r="BB480" s="1405"/>
      <c r="BC480" s="1405"/>
      <c r="BD480" s="1405"/>
      <c r="BE480" s="1407"/>
      <c r="BF480" s="1405"/>
      <c r="BG480" s="1405"/>
      <c r="BH480" s="1405"/>
      <c r="BI480" s="1405"/>
      <c r="BJ480" s="1405"/>
      <c r="BK480" s="1405"/>
      <c r="BL480" s="1405"/>
      <c r="BM480" s="1405"/>
      <c r="BN480" s="1406"/>
      <c r="BO480" s="1405"/>
      <c r="BP480" s="1405"/>
      <c r="BQ480" s="1405"/>
      <c r="BR480" s="1405"/>
      <c r="BS480" s="1405"/>
      <c r="BT480" s="1405"/>
      <c r="BU480" s="1407"/>
      <c r="BV480" s="1303"/>
      <c r="BW480" s="1302"/>
      <c r="BX480" s="1302"/>
      <c r="BY480" s="1302"/>
      <c r="BZ480" s="1302"/>
      <c r="CA480" s="1302"/>
      <c r="CB480" s="1302"/>
      <c r="CC480" s="1304"/>
      <c r="CD480" s="1303"/>
      <c r="CE480" s="1302"/>
      <c r="CF480" s="1302"/>
      <c r="CG480" s="1302"/>
      <c r="CH480" s="1302"/>
      <c r="CI480" s="1302"/>
      <c r="CJ480" s="1302"/>
      <c r="CK480" s="1304"/>
      <c r="CL480" s="1303"/>
      <c r="CM480" s="1302"/>
      <c r="CN480" s="1302"/>
      <c r="CO480" s="1302"/>
      <c r="CP480" s="1302"/>
      <c r="CQ480" s="1302"/>
      <c r="CR480" s="1302"/>
      <c r="CS480" s="1304"/>
      <c r="CT480" s="1431">
        <f t="shared" ref="CT480:DW480" si="3924">CT426/CT468</f>
        <v>6.54285714285714</v>
      </c>
      <c r="CU480" s="1432">
        <f t="shared" si="3924"/>
        <v>2.04347826086957</v>
      </c>
      <c r="CV480" s="1432">
        <f t="shared" si="3924"/>
        <v>4.53260869565217</v>
      </c>
      <c r="CW480" s="1432">
        <f t="shared" si="3924"/>
        <v>3.06493506493506</v>
      </c>
      <c r="CX480" s="1432">
        <f t="shared" si="3924"/>
        <v>-5.77272727272727</v>
      </c>
      <c r="CY480" s="1432">
        <f t="shared" si="3924"/>
        <v>0.210526315789474</v>
      </c>
      <c r="CZ480" s="1432">
        <f t="shared" si="3924"/>
        <v>1.86666666666667</v>
      </c>
      <c r="DA480" s="1433">
        <f t="shared" si="3924"/>
        <v>3.32982456140351</v>
      </c>
      <c r="DB480" s="1434">
        <f t="shared" si="3924"/>
        <v>5.22222222222222</v>
      </c>
      <c r="DC480" s="1435">
        <f t="shared" si="3924"/>
        <v>0.891472868217054</v>
      </c>
      <c r="DD480" s="1435">
        <f t="shared" si="3924"/>
        <v>2.5968992248062</v>
      </c>
      <c r="DE480" s="1435">
        <f t="shared" si="3924"/>
        <v>1.98739495798319</v>
      </c>
      <c r="DF480" s="1435">
        <f t="shared" si="3924"/>
        <v>4.04621848739496</v>
      </c>
      <c r="DG480" s="1435">
        <f t="shared" si="3924"/>
        <v>0.284574468085106</v>
      </c>
      <c r="DH480" s="1435">
        <f t="shared" si="3924"/>
        <v>1.95478723404255</v>
      </c>
      <c r="DI480" s="1436">
        <f t="shared" si="3924"/>
        <v>2.84574468085106</v>
      </c>
      <c r="DJ480" s="1435">
        <f t="shared" si="3924"/>
        <v>1.03571428571429</v>
      </c>
      <c r="DK480" s="1435">
        <f t="shared" si="3924"/>
        <v>1.2</v>
      </c>
      <c r="DL480" s="1435">
        <f t="shared" si="3924"/>
        <v>1.12068965517241</v>
      </c>
      <c r="DM480" s="1435">
        <f t="shared" si="3924"/>
        <v>8.4</v>
      </c>
      <c r="DN480" s="1435">
        <f t="shared" si="3924"/>
        <v>2.98717948717949</v>
      </c>
      <c r="DO480" s="1435">
        <f t="shared" si="3924"/>
        <v>0.494117647058824</v>
      </c>
      <c r="DP480" s="1435">
        <f t="shared" si="3924"/>
        <v>2.61145599987408</v>
      </c>
      <c r="DQ480" s="1436">
        <f t="shared" si="3924"/>
        <v>2.10788381742739</v>
      </c>
      <c r="DR480" s="1435">
        <f t="shared" si="3924"/>
        <v>10</v>
      </c>
      <c r="DS480" s="1435">
        <f t="shared" si="3924"/>
        <v>3.67924528301887</v>
      </c>
      <c r="DT480" s="1435">
        <f t="shared" si="3924"/>
        <v>5.6875</v>
      </c>
      <c r="DU480" s="1435">
        <f t="shared" si="3924"/>
        <v>7.90384615384615</v>
      </c>
      <c r="DV480" s="1435">
        <f t="shared" si="3924"/>
        <v>6.51127819548872</v>
      </c>
      <c r="DW480" s="1435">
        <f t="shared" si="3924"/>
        <v>0.205882352941176</v>
      </c>
      <c r="DX480" s="1412"/>
      <c r="DY480" s="1436">
        <f t="shared" ref="DY480:EO480" si="3925">DY426/DY468</f>
        <v>3.32342007434944</v>
      </c>
      <c r="DZ480" s="1435">
        <f t="shared" si="3925"/>
        <v>6.26</v>
      </c>
      <c r="EA480" s="1435">
        <f t="shared" si="3925"/>
        <v>2.95945945945946</v>
      </c>
      <c r="EB480" s="1435">
        <f t="shared" si="3925"/>
        <v>4.29032258064516</v>
      </c>
      <c r="EC480" s="1435">
        <f t="shared" si="3925"/>
        <v>5.65384615384615</v>
      </c>
      <c r="ED480" s="1435">
        <f t="shared" si="3925"/>
        <v>4.81683168316832</v>
      </c>
      <c r="EE480" s="1435">
        <f t="shared" si="3925"/>
        <v>-0.114942528735632</v>
      </c>
      <c r="EF480" s="1435">
        <f t="shared" si="3925"/>
        <v>1.67063492063492</v>
      </c>
      <c r="EG480" s="1436">
        <f t="shared" si="3925"/>
        <v>2.53457446808511</v>
      </c>
      <c r="EH480" s="1435">
        <f t="shared" si="3925"/>
        <v>6.59677419354839</v>
      </c>
      <c r="EI480" s="1435">
        <f t="shared" si="3925"/>
        <v>2.94252873563218</v>
      </c>
      <c r="EJ480" s="1435">
        <f t="shared" si="3925"/>
        <v>4.46308724832215</v>
      </c>
      <c r="EK480" s="1435">
        <f t="shared" si="3925"/>
        <v>4.79611650485437</v>
      </c>
      <c r="EL480" s="1435">
        <f t="shared" si="3925"/>
        <v>4.59920634920635</v>
      </c>
      <c r="EM480" s="1435">
        <f t="shared" si="3925"/>
        <v>-0.550691244239631</v>
      </c>
      <c r="EN480" s="1435">
        <f t="shared" si="3925"/>
        <v>0.587557603686636</v>
      </c>
      <c r="EO480" s="1436">
        <f t="shared" si="3925"/>
        <v>2.11981566820277</v>
      </c>
      <c r="EP480" s="1435">
        <f t="shared" ref="EP480:EX480" si="3926">EP426/EP468</f>
        <v>6.13888888888889</v>
      </c>
      <c r="EQ480" s="1435">
        <f t="shared" si="3926"/>
        <v>2.08264462809917</v>
      </c>
      <c r="ER480" s="1435">
        <f t="shared" si="3926"/>
        <v>3.59585492227979</v>
      </c>
      <c r="ES480" s="1435">
        <f t="shared" si="3926"/>
        <v>4.32710280373832</v>
      </c>
      <c r="ET480" s="1435">
        <f t="shared" si="3926"/>
        <v>3.85666666666667</v>
      </c>
      <c r="EU480" s="1435">
        <f t="shared" si="3926"/>
        <v>0.251396648044693</v>
      </c>
      <c r="EV480" s="1435">
        <f t="shared" si="3926"/>
        <v>1.77622377622378</v>
      </c>
      <c r="EW480" s="1436">
        <f t="shared" si="3926"/>
        <v>2.50939457202505</v>
      </c>
      <c r="EX480" s="1435">
        <f t="shared" si="3926"/>
        <v>1.94303797468354</v>
      </c>
      <c r="EY480" s="1451"/>
      <c r="EZ480" s="1451"/>
      <c r="FA480" s="1451"/>
      <c r="FB480" s="1451"/>
      <c r="FC480" s="1451"/>
      <c r="FD480" s="1451"/>
      <c r="FE480" s="1452"/>
      <c r="FF480" s="1451"/>
      <c r="FG480" s="1451"/>
      <c r="FH480" s="1435"/>
      <c r="FI480" s="1435"/>
      <c r="FJ480" s="1435"/>
      <c r="FK480" s="1435"/>
      <c r="FL480" s="1435"/>
      <c r="FM480" s="1436"/>
      <c r="FN480" s="1435"/>
      <c r="FO480" s="1435"/>
      <c r="FP480" s="1435"/>
      <c r="FQ480" s="1435"/>
      <c r="FR480" s="1435"/>
      <c r="FS480" s="1435"/>
      <c r="FT480" s="1435"/>
      <c r="FU480" s="1435"/>
      <c r="FV480" s="1434"/>
      <c r="FW480" s="1435"/>
      <c r="FX480" s="1435"/>
      <c r="FY480" s="1435"/>
      <c r="FZ480" s="1435"/>
      <c r="GA480" s="1435"/>
      <c r="GB480" s="1435"/>
      <c r="GC480" s="1436"/>
      <c r="GD480" s="1435"/>
      <c r="GE480" s="1435"/>
      <c r="GF480" s="1435"/>
      <c r="GG480" s="1435"/>
      <c r="GH480" s="1435"/>
      <c r="GI480" s="1435"/>
      <c r="GJ480" s="1435"/>
      <c r="GK480" s="1436"/>
      <c r="GL480" s="1435"/>
      <c r="GM480" s="1435"/>
      <c r="GN480" s="1435"/>
      <c r="GO480" s="1435"/>
      <c r="GP480" s="1435"/>
      <c r="GQ480" s="1435"/>
      <c r="GR480" s="1435"/>
      <c r="GS480" s="1436"/>
      <c r="GT480" s="1435"/>
      <c r="GU480" s="1435"/>
      <c r="GV480" s="1435"/>
      <c r="GW480" s="1435"/>
      <c r="GX480" s="1435"/>
      <c r="GY480" s="1435"/>
      <c r="GZ480" s="1435"/>
      <c r="HA480" s="1436"/>
      <c r="HB480" s="1435"/>
      <c r="HC480" s="1435"/>
      <c r="HD480" s="1435"/>
      <c r="HE480" s="1435"/>
      <c r="HF480" s="1435"/>
      <c r="HG480" s="1435"/>
      <c r="HH480" s="1435"/>
      <c r="HI480" s="1436"/>
      <c r="HJ480" s="1435"/>
      <c r="HK480" s="1435"/>
      <c r="HL480" s="1435"/>
      <c r="HM480" s="1435"/>
      <c r="HN480" s="1435"/>
      <c r="HO480" s="1435"/>
      <c r="HP480" s="1435"/>
      <c r="HQ480" s="1436"/>
      <c r="HR480" s="1435"/>
      <c r="HS480" s="1435"/>
      <c r="HT480" s="1435"/>
      <c r="HU480" s="1435"/>
      <c r="HV480" s="1435"/>
      <c r="HW480" s="1435"/>
      <c r="HX480" s="1435"/>
      <c r="HY480" s="1435"/>
      <c r="HZ480" s="1435"/>
      <c r="IA480" s="1435"/>
      <c r="IB480" s="1435"/>
      <c r="IC480" s="1435"/>
      <c r="ID480" s="1435"/>
      <c r="IE480" s="1435"/>
      <c r="IF480" s="1435"/>
      <c r="IG480" s="1436"/>
      <c r="IH480" s="1435"/>
      <c r="II480" s="1435"/>
      <c r="IJ480" s="1435"/>
      <c r="IK480" s="1435"/>
      <c r="IL480" s="1435"/>
      <c r="IM480" s="1435"/>
      <c r="IN480" s="1435"/>
      <c r="IO480" s="1436"/>
      <c r="IP480" s="1435"/>
      <c r="IQ480" s="1435"/>
      <c r="IR480" s="1435"/>
      <c r="IS480" s="1435"/>
      <c r="IT480" s="1435"/>
      <c r="IU480" s="1435"/>
      <c r="IV480" s="1435"/>
      <c r="IW480" s="1435"/>
      <c r="IX480" s="1049"/>
      <c r="IY480" s="1049"/>
      <c r="IZ480" s="1049"/>
      <c r="JA480" s="1049"/>
      <c r="JB480" s="1049"/>
      <c r="JC480" s="1049"/>
      <c r="JD480" s="1041"/>
      <c r="JE480" s="1037"/>
      <c r="JF480" s="1037"/>
      <c r="JG480" s="1037"/>
      <c r="JH480" s="1037"/>
      <c r="JI480" s="1035"/>
      <c r="JJ480" s="1035"/>
      <c r="JK480" s="1035"/>
      <c r="JL480" s="1035"/>
      <c r="JM480" s="1035"/>
      <c r="JN480" s="1035"/>
      <c r="JO480" s="1035"/>
      <c r="JP480" s="1035"/>
      <c r="JQ480" s="1035"/>
      <c r="JR480" s="1035"/>
      <c r="JS480" s="1035"/>
      <c r="JT480" s="1035"/>
      <c r="JU480" s="1035"/>
      <c r="JV480" s="1035"/>
      <c r="JW480" s="1035"/>
      <c r="JX480" s="1035"/>
      <c r="JY480" s="1035"/>
    </row>
    <row r="481" spans="1:285">
      <c r="A481" s="1448"/>
      <c r="B481" s="1405"/>
      <c r="C481" s="1405"/>
      <c r="D481" s="1405"/>
      <c r="E481" s="1405"/>
      <c r="F481" s="1405"/>
      <c r="G481" s="1405"/>
      <c r="H481" s="1405"/>
      <c r="I481" s="1405"/>
      <c r="J481" s="1405"/>
      <c r="K481" s="1405"/>
      <c r="L481" s="1405"/>
      <c r="M481" s="1405"/>
      <c r="N481" s="1405"/>
      <c r="O481" s="1405"/>
      <c r="P481" s="1405"/>
      <c r="Q481" s="1405"/>
      <c r="R481" s="1405"/>
      <c r="S481" s="1405"/>
      <c r="T481" s="1405"/>
      <c r="U481" s="1405"/>
      <c r="V481" s="1405"/>
      <c r="W481" s="1405"/>
      <c r="X481" s="1405"/>
      <c r="Y481" s="1405"/>
      <c r="Z481" s="1405"/>
      <c r="AA481" s="1405"/>
      <c r="AB481" s="1405"/>
      <c r="AC481" s="1405"/>
      <c r="AD481" s="1405"/>
      <c r="AE481" s="1405"/>
      <c r="AF481" s="1405"/>
      <c r="AG481" s="1405"/>
      <c r="AH481" s="1405"/>
      <c r="AI481" s="1405"/>
      <c r="AJ481" s="1405"/>
      <c r="AK481" s="1405"/>
      <c r="AL481" s="1405"/>
      <c r="AM481" s="1405"/>
      <c r="AN481" s="1405"/>
      <c r="AO481" s="1405"/>
      <c r="AP481" s="1405"/>
      <c r="AQ481" s="1405"/>
      <c r="AR481" s="1405"/>
      <c r="AS481" s="1405"/>
      <c r="AT481" s="1405"/>
      <c r="AU481" s="1405"/>
      <c r="AV481" s="1405"/>
      <c r="AW481" s="1405"/>
      <c r="AX481" s="1406"/>
      <c r="AY481" s="1405"/>
      <c r="AZ481" s="1405"/>
      <c r="BA481" s="1405"/>
      <c r="BB481" s="1405"/>
      <c r="BC481" s="1405"/>
      <c r="BD481" s="1405"/>
      <c r="BE481" s="1407"/>
      <c r="BF481" s="1405"/>
      <c r="BG481" s="1405"/>
      <c r="BH481" s="1405"/>
      <c r="BI481" s="1405"/>
      <c r="BJ481" s="1405"/>
      <c r="BK481" s="1405"/>
      <c r="BL481" s="1405"/>
      <c r="BM481" s="1405"/>
      <c r="BN481" s="1406"/>
      <c r="BO481" s="1405"/>
      <c r="BP481" s="1405"/>
      <c r="BQ481" s="1405"/>
      <c r="BR481" s="1405"/>
      <c r="BS481" s="1405"/>
      <c r="BT481" s="1405"/>
      <c r="BU481" s="1407"/>
      <c r="BV481" s="1303"/>
      <c r="BW481" s="1302"/>
      <c r="BX481" s="1302"/>
      <c r="BY481" s="1302"/>
      <c r="BZ481" s="1302"/>
      <c r="CA481" s="1302"/>
      <c r="CB481" s="1302"/>
      <c r="CC481" s="1304"/>
      <c r="CD481" s="1303"/>
      <c r="CE481" s="1302"/>
      <c r="CF481" s="1302"/>
      <c r="CG481" s="1302"/>
      <c r="CH481" s="1302"/>
      <c r="CI481" s="1302"/>
      <c r="CJ481" s="1302"/>
      <c r="CK481" s="1304"/>
      <c r="CL481" s="1303"/>
      <c r="CM481" s="1302"/>
      <c r="CN481" s="1302"/>
      <c r="CO481" s="1302"/>
      <c r="CP481" s="1302"/>
      <c r="CQ481" s="1302"/>
      <c r="CR481" s="1302"/>
      <c r="CS481" s="1304"/>
      <c r="CT481" s="1303"/>
      <c r="CU481" s="1302"/>
      <c r="CV481" s="1302"/>
      <c r="CW481" s="1302"/>
      <c r="CX481" s="1302"/>
      <c r="CY481" s="1302"/>
      <c r="CZ481" s="1302"/>
      <c r="DA481" s="1304"/>
      <c r="DB481" s="1109"/>
      <c r="DC481" s="1082"/>
      <c r="DD481" s="1082"/>
      <c r="DE481" s="1082"/>
      <c r="DF481" s="1082"/>
      <c r="DG481" s="1082"/>
      <c r="DH481" s="1082"/>
      <c r="DI481" s="1085"/>
      <c r="DJ481" s="1082"/>
      <c r="DK481" s="1082"/>
      <c r="DL481" s="1082"/>
      <c r="DM481" s="1082"/>
      <c r="DN481" s="1082"/>
      <c r="DO481" s="1082"/>
      <c r="DP481" s="1082"/>
      <c r="DQ481" s="1085"/>
      <c r="DR481" s="1082"/>
      <c r="DS481" s="1082"/>
      <c r="DT481" s="1082"/>
      <c r="DU481" s="1082"/>
      <c r="DV481" s="1082"/>
      <c r="DW481" s="1082"/>
      <c r="DX481" s="1082"/>
      <c r="DY481" s="1453"/>
      <c r="DZ481" s="1082"/>
      <c r="EA481" s="1082"/>
      <c r="EB481" s="1082"/>
      <c r="EC481" s="1082"/>
      <c r="ED481" s="1082"/>
      <c r="EE481" s="1082"/>
      <c r="EF481" s="1082"/>
      <c r="EG481" s="1085"/>
      <c r="EH481" s="1082"/>
      <c r="EI481" s="1082"/>
      <c r="EJ481" s="1082"/>
      <c r="EK481" s="1082"/>
      <c r="EL481" s="1082"/>
      <c r="EM481" s="1082"/>
      <c r="EN481" s="1082"/>
      <c r="EO481" s="1085"/>
      <c r="EP481" s="1082"/>
      <c r="EQ481" s="1082"/>
      <c r="ER481" s="1082"/>
      <c r="ES481" s="1082"/>
      <c r="ET481" s="1082"/>
      <c r="EU481" s="1082"/>
      <c r="EV481" s="1082"/>
      <c r="EW481" s="1085"/>
      <c r="EX481" s="1082"/>
      <c r="EY481" s="1082"/>
      <c r="EZ481" s="1082"/>
      <c r="FA481" s="1082"/>
      <c r="FB481" s="1082"/>
      <c r="FC481" s="1082"/>
      <c r="FD481" s="1082"/>
      <c r="FE481" s="1085"/>
      <c r="FF481" s="1082"/>
      <c r="FG481" s="1082"/>
      <c r="FH481" s="1082"/>
      <c r="FI481" s="1082"/>
      <c r="FJ481" s="1082"/>
      <c r="FK481" s="1082"/>
      <c r="FL481" s="1082"/>
      <c r="FM481" s="1085"/>
      <c r="FN481" s="1082"/>
      <c r="FO481" s="1082"/>
      <c r="FP481" s="1082"/>
      <c r="FQ481" s="1082"/>
      <c r="FR481" s="1082"/>
      <c r="FS481" s="1082"/>
      <c r="FT481" s="1082"/>
      <c r="FU481" s="1082"/>
      <c r="FV481" s="1109"/>
      <c r="FW481" s="1082"/>
      <c r="FX481" s="1082"/>
      <c r="FY481" s="1082"/>
      <c r="FZ481" s="1082"/>
      <c r="GA481" s="1082"/>
      <c r="GB481" s="1082"/>
      <c r="GC481" s="1085"/>
      <c r="GD481" s="1082"/>
      <c r="GE481" s="1082"/>
      <c r="GF481" s="1082"/>
      <c r="GG481" s="1082"/>
      <c r="GH481" s="1082"/>
      <c r="GI481" s="1082"/>
      <c r="GJ481" s="1082"/>
      <c r="GK481" s="1085"/>
      <c r="GL481" s="1082"/>
      <c r="GM481" s="1082"/>
      <c r="GN481" s="1082"/>
      <c r="GO481" s="1082"/>
      <c r="GP481" s="1082"/>
      <c r="GQ481" s="1082"/>
      <c r="GR481" s="1082"/>
      <c r="GS481" s="1085"/>
      <c r="GT481" s="1082"/>
      <c r="GU481" s="1082"/>
      <c r="GV481" s="1082"/>
      <c r="GW481" s="1082"/>
      <c r="GX481" s="1082"/>
      <c r="GY481" s="1082"/>
      <c r="GZ481" s="1082"/>
      <c r="HA481" s="1085"/>
      <c r="HB481" s="1082"/>
      <c r="HC481" s="1082"/>
      <c r="HD481" s="1082"/>
      <c r="HE481" s="1082"/>
      <c r="HF481" s="1082"/>
      <c r="HG481" s="1082"/>
      <c r="HH481" s="1082"/>
      <c r="HI481" s="1085"/>
      <c r="HJ481" s="1082"/>
      <c r="HK481" s="1082"/>
      <c r="HL481" s="1082"/>
      <c r="HM481" s="1082"/>
      <c r="HN481" s="1082"/>
      <c r="HO481" s="1082"/>
      <c r="HP481" s="1082"/>
      <c r="HQ481" s="1085"/>
      <c r="HR481" s="1082"/>
      <c r="HS481" s="1082"/>
      <c r="HT481" s="1082"/>
      <c r="HU481" s="1082"/>
      <c r="HV481" s="1082"/>
      <c r="HW481" s="1082"/>
      <c r="HX481" s="1082"/>
      <c r="HY481" s="1082"/>
      <c r="HZ481" s="1082"/>
      <c r="IA481" s="1082"/>
      <c r="IB481" s="1082"/>
      <c r="IC481" s="1082"/>
      <c r="ID481" s="1082"/>
      <c r="IE481" s="1082"/>
      <c r="IF481" s="1082"/>
      <c r="IG481" s="1085"/>
      <c r="IH481" s="1082"/>
      <c r="II481" s="1082"/>
      <c r="IJ481" s="1082"/>
      <c r="IK481" s="1082"/>
      <c r="IL481" s="1082"/>
      <c r="IM481" s="1082"/>
      <c r="IN481" s="1082"/>
      <c r="IO481" s="1085"/>
      <c r="IP481" s="1082"/>
      <c r="IQ481" s="1082"/>
      <c r="IR481" s="1082"/>
      <c r="IS481" s="1082"/>
      <c r="IT481" s="1082"/>
      <c r="IU481" s="1082"/>
      <c r="IV481" s="1082"/>
      <c r="IW481" s="1082"/>
      <c r="IX481" s="1049"/>
      <c r="IY481" s="1049"/>
      <c r="IZ481" s="1049"/>
      <c r="JA481" s="1049"/>
      <c r="JB481" s="1049"/>
      <c r="JC481" s="1049"/>
      <c r="JD481" s="1041"/>
      <c r="JE481" s="1037"/>
      <c r="JF481" s="1037"/>
      <c r="JG481" s="1037"/>
      <c r="JH481" s="1037"/>
      <c r="JI481" s="1035"/>
      <c r="JJ481" s="1035"/>
      <c r="JK481" s="1035"/>
      <c r="JL481" s="1035"/>
      <c r="JM481" s="1035"/>
      <c r="JN481" s="1035"/>
      <c r="JO481" s="1035"/>
      <c r="JP481" s="1035"/>
      <c r="JQ481" s="1035"/>
      <c r="JR481" s="1035"/>
      <c r="JS481" s="1035"/>
      <c r="JT481" s="1035"/>
      <c r="JU481" s="1035"/>
      <c r="JV481" s="1035"/>
      <c r="JW481" s="1035"/>
      <c r="JX481" s="1035"/>
      <c r="JY481" s="1035"/>
    </row>
    <row r="482" spans="1:285">
      <c r="A482" s="1454" t="s">
        <v>619</v>
      </c>
      <c r="B482" s="1197"/>
      <c r="C482" s="1197"/>
      <c r="D482" s="1197"/>
      <c r="E482" s="1197"/>
      <c r="F482" s="1197"/>
      <c r="G482" s="1197"/>
      <c r="H482" s="1197"/>
      <c r="I482" s="1197"/>
      <c r="J482" s="1197"/>
      <c r="K482" s="1197"/>
      <c r="L482" s="1197"/>
      <c r="M482" s="1197"/>
      <c r="N482" s="1197"/>
      <c r="O482" s="1197"/>
      <c r="P482" s="1197"/>
      <c r="Q482" s="1197"/>
      <c r="R482" s="1197"/>
      <c r="S482" s="1197"/>
      <c r="T482" s="1197"/>
      <c r="U482" s="1197"/>
      <c r="V482" s="1197"/>
      <c r="W482" s="1197"/>
      <c r="X482" s="1197"/>
      <c r="Y482" s="1197"/>
      <c r="Z482" s="1197"/>
      <c r="AA482" s="1197"/>
      <c r="AB482" s="1197"/>
      <c r="AC482" s="1197"/>
      <c r="AD482" s="1197"/>
      <c r="AE482" s="1197"/>
      <c r="AF482" s="1197"/>
      <c r="AG482" s="1197"/>
      <c r="AH482" s="1197"/>
      <c r="AI482" s="1197"/>
      <c r="AJ482" s="1197"/>
      <c r="AK482" s="1197"/>
      <c r="AL482" s="1197"/>
      <c r="AM482" s="1197"/>
      <c r="AN482" s="1197"/>
      <c r="AO482" s="1197"/>
      <c r="AP482" s="1197"/>
      <c r="AQ482" s="1197"/>
      <c r="AR482" s="1197"/>
      <c r="AS482" s="1197"/>
      <c r="AT482" s="1197"/>
      <c r="AU482" s="1197"/>
      <c r="AV482" s="1197"/>
      <c r="AW482" s="1197"/>
      <c r="AX482" s="1198"/>
      <c r="AY482" s="1197"/>
      <c r="AZ482" s="1197"/>
      <c r="BA482" s="1197"/>
      <c r="BB482" s="1197"/>
      <c r="BC482" s="1197"/>
      <c r="BD482" s="1197"/>
      <c r="BE482" s="1199"/>
      <c r="BF482" s="1197"/>
      <c r="BG482" s="1197"/>
      <c r="BH482" s="1197"/>
      <c r="BI482" s="1197"/>
      <c r="BJ482" s="1197"/>
      <c r="BK482" s="1197"/>
      <c r="BL482" s="1197"/>
      <c r="BM482" s="1197"/>
      <c r="BN482" s="1198"/>
      <c r="BO482" s="1197"/>
      <c r="BP482" s="1197"/>
      <c r="BQ482" s="1197"/>
      <c r="BR482" s="1197"/>
      <c r="BS482" s="1197"/>
      <c r="BT482" s="1197"/>
      <c r="BU482" s="1199"/>
      <c r="BV482" s="1198" t="s">
        <v>321</v>
      </c>
      <c r="BW482" s="1197" t="s">
        <v>322</v>
      </c>
      <c r="BX482" s="1197" t="s">
        <v>323</v>
      </c>
      <c r="BY482" s="1197" t="s">
        <v>324</v>
      </c>
      <c r="BZ482" s="1197" t="s">
        <v>325</v>
      </c>
      <c r="CA482" s="1197" t="s">
        <v>326</v>
      </c>
      <c r="CB482" s="1197" t="s">
        <v>327</v>
      </c>
      <c r="CC482" s="1199" t="s">
        <v>23</v>
      </c>
      <c r="CD482" s="1198" t="s">
        <v>328</v>
      </c>
      <c r="CE482" s="1197" t="s">
        <v>329</v>
      </c>
      <c r="CF482" s="1197" t="s">
        <v>330</v>
      </c>
      <c r="CG482" s="1197" t="s">
        <v>331</v>
      </c>
      <c r="CH482" s="1197" t="s">
        <v>332</v>
      </c>
      <c r="CI482" s="1197" t="s">
        <v>333</v>
      </c>
      <c r="CJ482" s="1197" t="s">
        <v>334</v>
      </c>
      <c r="CK482" s="1199" t="s">
        <v>24</v>
      </c>
      <c r="CL482" s="1198" t="str">
        <f t="shared" ref="CL482:DQ482" si="3927">CL2</f>
        <v>Q1 06</v>
      </c>
      <c r="CM482" s="1197" t="str">
        <f t="shared" si="3927"/>
        <v>Q2 06</v>
      </c>
      <c r="CN482" s="1197" t="str">
        <f t="shared" si="3927"/>
        <v>H1 06</v>
      </c>
      <c r="CO482" s="1197" t="str">
        <f t="shared" si="3927"/>
        <v>Q3 06</v>
      </c>
      <c r="CP482" s="1197" t="str">
        <f t="shared" si="3927"/>
        <v>9M 06</v>
      </c>
      <c r="CQ482" s="1197" t="str">
        <f t="shared" si="3927"/>
        <v>Q4 06</v>
      </c>
      <c r="CR482" s="1197" t="str">
        <f t="shared" si="3927"/>
        <v>H2 06</v>
      </c>
      <c r="CS482" s="1199" t="str">
        <f t="shared" si="3927"/>
        <v>FY 06</v>
      </c>
      <c r="CT482" s="1198" t="str">
        <f t="shared" si="3927"/>
        <v>Q1 07</v>
      </c>
      <c r="CU482" s="1197" t="str">
        <f t="shared" si="3927"/>
        <v>Q2 07</v>
      </c>
      <c r="CV482" s="1197" t="str">
        <f t="shared" si="3927"/>
        <v>H1 07</v>
      </c>
      <c r="CW482" s="1197" t="str">
        <f t="shared" si="3927"/>
        <v>Q3 07</v>
      </c>
      <c r="CX482" s="1197" t="str">
        <f t="shared" si="3927"/>
        <v>9M 07</v>
      </c>
      <c r="CY482" s="1197" t="str">
        <f t="shared" si="3927"/>
        <v>Q4 07</v>
      </c>
      <c r="CZ482" s="1197" t="str">
        <f t="shared" si="3927"/>
        <v>H2 07</v>
      </c>
      <c r="DA482" s="1199" t="str">
        <f t="shared" si="3927"/>
        <v>FY 07</v>
      </c>
      <c r="DB482" s="1200" t="str">
        <f t="shared" si="3927"/>
        <v>Q1 08</v>
      </c>
      <c r="DC482" s="1201" t="str">
        <f t="shared" si="3927"/>
        <v>Q2 08</v>
      </c>
      <c r="DD482" s="1201" t="str">
        <f t="shared" si="3927"/>
        <v>H1 08</v>
      </c>
      <c r="DE482" s="1201" t="str">
        <f t="shared" si="3927"/>
        <v>Q3 08</v>
      </c>
      <c r="DF482" s="1201" t="str">
        <f t="shared" si="3927"/>
        <v>9M 08</v>
      </c>
      <c r="DG482" s="1201" t="str">
        <f t="shared" si="3927"/>
        <v>Q4 08</v>
      </c>
      <c r="DH482" s="1201" t="str">
        <f t="shared" si="3927"/>
        <v>H2 08</v>
      </c>
      <c r="DI482" s="1202" t="str">
        <f t="shared" si="3927"/>
        <v>FY 08</v>
      </c>
      <c r="DJ482" s="1201" t="str">
        <f t="shared" si="3927"/>
        <v>Q1 09</v>
      </c>
      <c r="DK482" s="1201" t="str">
        <f t="shared" si="3927"/>
        <v>Q2 09</v>
      </c>
      <c r="DL482" s="1201" t="str">
        <f t="shared" si="3927"/>
        <v>H1 09</v>
      </c>
      <c r="DM482" s="1201" t="str">
        <f t="shared" si="3927"/>
        <v>Q3 09</v>
      </c>
      <c r="DN482" s="1201" t="str">
        <f t="shared" si="3927"/>
        <v>9M 09</v>
      </c>
      <c r="DO482" s="1201" t="str">
        <f t="shared" si="3927"/>
        <v>Q4 09</v>
      </c>
      <c r="DP482" s="1201" t="str">
        <f t="shared" si="3927"/>
        <v>H2 09</v>
      </c>
      <c r="DQ482" s="1202" t="str">
        <f t="shared" si="3927"/>
        <v>FY 09</v>
      </c>
      <c r="DR482" s="1201" t="str">
        <f t="shared" ref="DR482:EW482" si="3928">DR2</f>
        <v>Q1 10</v>
      </c>
      <c r="DS482" s="1201" t="str">
        <f t="shared" si="3928"/>
        <v>Q2 10</v>
      </c>
      <c r="DT482" s="1201" t="str">
        <f t="shared" si="3928"/>
        <v>H1 10</v>
      </c>
      <c r="DU482" s="1201" t="str">
        <f t="shared" si="3928"/>
        <v>Q3 10</v>
      </c>
      <c r="DV482" s="1201" t="str">
        <f t="shared" si="3928"/>
        <v>9M 10</v>
      </c>
      <c r="DW482" s="1201" t="str">
        <f t="shared" si="3928"/>
        <v>Q4 10</v>
      </c>
      <c r="DX482" s="1201" t="str">
        <f t="shared" si="3928"/>
        <v>H2 10</v>
      </c>
      <c r="DY482" s="1202" t="str">
        <f t="shared" si="3928"/>
        <v>FY 10</v>
      </c>
      <c r="DZ482" s="1201" t="str">
        <f t="shared" si="3928"/>
        <v>Q1 11</v>
      </c>
      <c r="EA482" s="1201" t="str">
        <f t="shared" si="3928"/>
        <v>Q2 11</v>
      </c>
      <c r="EB482" s="1201" t="str">
        <f t="shared" si="3928"/>
        <v>H1 11</v>
      </c>
      <c r="EC482" s="1201" t="str">
        <f t="shared" si="3928"/>
        <v>Q3 11</v>
      </c>
      <c r="ED482" s="1201" t="str">
        <f t="shared" si="3928"/>
        <v>9M 11</v>
      </c>
      <c r="EE482" s="1201" t="str">
        <f t="shared" si="3928"/>
        <v>Q4 11</v>
      </c>
      <c r="EF482" s="1201" t="str">
        <f t="shared" si="3928"/>
        <v>H2 11</v>
      </c>
      <c r="EG482" s="1202" t="str">
        <f t="shared" si="3928"/>
        <v>FY 11</v>
      </c>
      <c r="EH482" s="1201" t="str">
        <f t="shared" si="3928"/>
        <v>Q1 12</v>
      </c>
      <c r="EI482" s="1201" t="str">
        <f t="shared" si="3928"/>
        <v>Q2 12</v>
      </c>
      <c r="EJ482" s="1201" t="str">
        <f t="shared" si="3928"/>
        <v>H1 12</v>
      </c>
      <c r="EK482" s="1201" t="str">
        <f t="shared" si="3928"/>
        <v>Q3 12</v>
      </c>
      <c r="EL482" s="1201" t="str">
        <f t="shared" si="3928"/>
        <v>9M 12</v>
      </c>
      <c r="EM482" s="1201" t="str">
        <f t="shared" si="3928"/>
        <v>Q4 12</v>
      </c>
      <c r="EN482" s="1201" t="str">
        <f t="shared" si="3928"/>
        <v>H2 12</v>
      </c>
      <c r="EO482" s="1202" t="str">
        <f t="shared" si="3928"/>
        <v>FY 12</v>
      </c>
      <c r="EP482" s="1201" t="str">
        <f t="shared" si="3928"/>
        <v>1Q13</v>
      </c>
      <c r="EQ482" s="1201" t="str">
        <f t="shared" si="3928"/>
        <v>2Q13</v>
      </c>
      <c r="ER482" s="1201" t="str">
        <f t="shared" si="3928"/>
        <v>1H13</v>
      </c>
      <c r="ES482" s="1201" t="str">
        <f t="shared" si="3928"/>
        <v>3Q13</v>
      </c>
      <c r="ET482" s="1201" t="str">
        <f t="shared" si="3928"/>
        <v>9M13</v>
      </c>
      <c r="EU482" s="1201" t="str">
        <f t="shared" si="3928"/>
        <v>4Q13</v>
      </c>
      <c r="EV482" s="1201" t="str">
        <f t="shared" si="3928"/>
        <v>2H13</v>
      </c>
      <c r="EW482" s="1202" t="str">
        <f t="shared" si="3928"/>
        <v>FY13</v>
      </c>
      <c r="EX482" s="1201" t="str">
        <f t="shared" ref="EX482:GC482" si="3929">EX2</f>
        <v>1Q14</v>
      </c>
      <c r="EY482" s="1201" t="str">
        <f t="shared" si="3929"/>
        <v>2Q14</v>
      </c>
      <c r="EZ482" s="1201" t="str">
        <f t="shared" si="3929"/>
        <v>1H14</v>
      </c>
      <c r="FA482" s="1201" t="str">
        <f t="shared" si="3929"/>
        <v>3Q14</v>
      </c>
      <c r="FB482" s="1201" t="str">
        <f t="shared" si="3929"/>
        <v>9M14</v>
      </c>
      <c r="FC482" s="1201" t="str">
        <f t="shared" si="3929"/>
        <v>4Q14</v>
      </c>
      <c r="FD482" s="1201" t="str">
        <f t="shared" si="3929"/>
        <v>2H14</v>
      </c>
      <c r="FE482" s="1202" t="str">
        <f t="shared" si="3929"/>
        <v>FY14</v>
      </c>
      <c r="FF482" s="1201" t="str">
        <f t="shared" si="3929"/>
        <v>1Q15</v>
      </c>
      <c r="FG482" s="1201" t="str">
        <f t="shared" si="3929"/>
        <v>2Q15</v>
      </c>
      <c r="FH482" s="1201" t="str">
        <f t="shared" si="3929"/>
        <v>1H15</v>
      </c>
      <c r="FI482" s="1201" t="str">
        <f t="shared" si="3929"/>
        <v>3Q15</v>
      </c>
      <c r="FJ482" s="1201" t="str">
        <f t="shared" si="3929"/>
        <v>9M15</v>
      </c>
      <c r="FK482" s="1201" t="str">
        <f t="shared" si="3929"/>
        <v>4Q15</v>
      </c>
      <c r="FL482" s="1201" t="str">
        <f t="shared" si="3929"/>
        <v>2H15</v>
      </c>
      <c r="FM482" s="1202" t="str">
        <f t="shared" si="3929"/>
        <v>FY15</v>
      </c>
      <c r="FN482" s="1201" t="str">
        <f t="shared" si="3929"/>
        <v>1Q16</v>
      </c>
      <c r="FO482" s="1201" t="str">
        <f t="shared" si="3929"/>
        <v>2Q16</v>
      </c>
      <c r="FP482" s="1201" t="str">
        <f t="shared" si="3929"/>
        <v>1H16</v>
      </c>
      <c r="FQ482" s="1201" t="str">
        <f t="shared" si="3929"/>
        <v>3Q16</v>
      </c>
      <c r="FR482" s="1201" t="str">
        <f t="shared" si="3929"/>
        <v>9M16</v>
      </c>
      <c r="FS482" s="1201" t="str">
        <f t="shared" si="3929"/>
        <v>4Q16</v>
      </c>
      <c r="FT482" s="1201" t="str">
        <f t="shared" si="3929"/>
        <v>2H16</v>
      </c>
      <c r="FU482" s="1201" t="str">
        <f t="shared" si="3929"/>
        <v>FY16</v>
      </c>
      <c r="FV482" s="1200" t="str">
        <f t="shared" si="3929"/>
        <v>1Q17</v>
      </c>
      <c r="FW482" s="1201" t="str">
        <f t="shared" si="3929"/>
        <v>2Q17</v>
      </c>
      <c r="FX482" s="1201" t="str">
        <f t="shared" si="3929"/>
        <v>1H17</v>
      </c>
      <c r="FY482" s="1201" t="str">
        <f t="shared" si="3929"/>
        <v>3Q17</v>
      </c>
      <c r="FZ482" s="1201" t="str">
        <f t="shared" si="3929"/>
        <v>9M17</v>
      </c>
      <c r="GA482" s="1201" t="str">
        <f t="shared" si="3929"/>
        <v>4Q17</v>
      </c>
      <c r="GB482" s="1201" t="str">
        <f t="shared" si="3929"/>
        <v>2H17</v>
      </c>
      <c r="GC482" s="1202" t="str">
        <f t="shared" si="3929"/>
        <v>FY17</v>
      </c>
      <c r="GD482" s="1201" t="str">
        <f t="shared" ref="GD482:HC482" si="3930">GD2</f>
        <v>1Q18</v>
      </c>
      <c r="GE482" s="1201" t="str">
        <f t="shared" si="3930"/>
        <v>2Q18</v>
      </c>
      <c r="GF482" s="1201" t="str">
        <f t="shared" si="3930"/>
        <v>1H18</v>
      </c>
      <c r="GG482" s="1201" t="str">
        <f t="shared" si="3930"/>
        <v>3Q18</v>
      </c>
      <c r="GH482" s="1201" t="str">
        <f t="shared" si="3930"/>
        <v>9M18</v>
      </c>
      <c r="GI482" s="1201" t="str">
        <f t="shared" si="3930"/>
        <v>4Q18</v>
      </c>
      <c r="GJ482" s="1201" t="str">
        <f t="shared" si="3930"/>
        <v>2H18</v>
      </c>
      <c r="GK482" s="1202" t="str">
        <f t="shared" si="3930"/>
        <v>FY18</v>
      </c>
      <c r="GL482" s="1201" t="str">
        <f t="shared" si="3930"/>
        <v>1Q19</v>
      </c>
      <c r="GM482" s="1201" t="str">
        <f t="shared" si="3930"/>
        <v>2Q19</v>
      </c>
      <c r="GN482" s="1201" t="str">
        <f t="shared" si="3930"/>
        <v>1H19</v>
      </c>
      <c r="GO482" s="1201" t="str">
        <f t="shared" si="3930"/>
        <v>3Q19</v>
      </c>
      <c r="GP482" s="1201" t="str">
        <f t="shared" si="3930"/>
        <v>9M19</v>
      </c>
      <c r="GQ482" s="1201" t="str">
        <f t="shared" si="3930"/>
        <v>4Q19</v>
      </c>
      <c r="GR482" s="1201" t="str">
        <f t="shared" si="3930"/>
        <v>2H19</v>
      </c>
      <c r="GS482" s="1202" t="str">
        <f t="shared" si="3930"/>
        <v>FY19</v>
      </c>
      <c r="GT482" s="1201" t="str">
        <f t="shared" si="3930"/>
        <v>1Q20</v>
      </c>
      <c r="GU482" s="1201" t="str">
        <f t="shared" si="3930"/>
        <v>2Q20</v>
      </c>
      <c r="GV482" s="1201" t="str">
        <f t="shared" si="3930"/>
        <v>1H20</v>
      </c>
      <c r="GW482" s="1201" t="str">
        <f t="shared" si="3930"/>
        <v>3Q20</v>
      </c>
      <c r="GX482" s="1201" t="str">
        <f t="shared" si="3930"/>
        <v>9M20</v>
      </c>
      <c r="GY482" s="1201" t="str">
        <f t="shared" si="3930"/>
        <v>4Q20</v>
      </c>
      <c r="GZ482" s="1201" t="str">
        <f t="shared" si="3930"/>
        <v>2H20</v>
      </c>
      <c r="HA482" s="1202" t="str">
        <f t="shared" si="3930"/>
        <v>FY20</v>
      </c>
      <c r="HB482" s="1201" t="str">
        <f t="shared" si="3930"/>
        <v>1Q21</v>
      </c>
      <c r="HC482" s="1201" t="str">
        <f t="shared" si="3930"/>
        <v>2Q21</v>
      </c>
      <c r="HD482" s="1047" t="s">
        <v>450</v>
      </c>
      <c r="HE482" s="1047" t="s">
        <v>451</v>
      </c>
      <c r="HF482" s="1047" t="s">
        <v>452</v>
      </c>
      <c r="HG482" s="1047" t="s">
        <v>453</v>
      </c>
      <c r="HH482" s="1047" t="s">
        <v>446</v>
      </c>
      <c r="HI482" s="1048" t="s">
        <v>455</v>
      </c>
      <c r="HJ482" s="1047" t="s">
        <v>456</v>
      </c>
      <c r="HK482" s="1047" t="s">
        <v>457</v>
      </c>
      <c r="HL482" s="1047" t="s">
        <v>458</v>
      </c>
      <c r="HM482" s="1047" t="s">
        <v>459</v>
      </c>
      <c r="HN482" s="1047" t="s">
        <v>460</v>
      </c>
      <c r="HO482" s="1047" t="s">
        <v>461</v>
      </c>
      <c r="HP482" s="1047" t="s">
        <v>462</v>
      </c>
      <c r="HQ482" s="1048" t="s">
        <v>463</v>
      </c>
      <c r="HR482" s="1047" t="str">
        <f>HR387</f>
        <v>1Q23</v>
      </c>
      <c r="HS482" s="1047" t="s">
        <v>465</v>
      </c>
      <c r="HT482" s="1047" t="s">
        <v>458</v>
      </c>
      <c r="HU482" s="1047" t="s">
        <v>467</v>
      </c>
      <c r="HV482" s="1047" t="s">
        <v>460</v>
      </c>
      <c r="HW482" s="1047" t="s">
        <v>469</v>
      </c>
      <c r="HX482" s="1047" t="s">
        <v>470</v>
      </c>
      <c r="HY482" s="1048" t="s">
        <v>471</v>
      </c>
      <c r="HZ482" s="1047" t="str">
        <f t="shared" ref="HZ482:IH482" si="3931">HZ2</f>
        <v>1Q24</v>
      </c>
      <c r="IA482" s="1047" t="str">
        <f t="shared" si="3931"/>
        <v>2Q24</v>
      </c>
      <c r="IB482" s="1047" t="str">
        <f t="shared" si="3931"/>
        <v>1H24</v>
      </c>
      <c r="IC482" s="1047" t="str">
        <f t="shared" si="3931"/>
        <v>3Q24</v>
      </c>
      <c r="ID482" s="1047" t="str">
        <f t="shared" si="3931"/>
        <v>9M24E</v>
      </c>
      <c r="IE482" s="1047" t="str">
        <f t="shared" si="3931"/>
        <v>4Q24</v>
      </c>
      <c r="IF482" s="1047" t="str">
        <f t="shared" si="3931"/>
        <v>2H24E</v>
      </c>
      <c r="IG482" s="1048" t="str">
        <f t="shared" si="3931"/>
        <v>FY24</v>
      </c>
      <c r="IH482" s="1047" t="str">
        <f t="shared" si="3931"/>
        <v>1Q25</v>
      </c>
      <c r="II482" s="1047" t="str">
        <f t="shared" ref="II482:IP482" si="3932">II2</f>
        <v>2Q25</v>
      </c>
      <c r="IJ482" s="1047" t="str">
        <f t="shared" si="3932"/>
        <v>1H25</v>
      </c>
      <c r="IK482" s="1047" t="str">
        <f t="shared" si="3932"/>
        <v>3Q25</v>
      </c>
      <c r="IL482" s="1047" t="str">
        <f t="shared" si="3932"/>
        <v>9M25E</v>
      </c>
      <c r="IM482" s="1047" t="str">
        <f t="shared" si="3932"/>
        <v>4Q25</v>
      </c>
      <c r="IN482" s="1047" t="str">
        <f t="shared" si="3932"/>
        <v>2H25E</v>
      </c>
      <c r="IO482" s="1048" t="str">
        <f t="shared" si="3932"/>
        <v>FY25</v>
      </c>
      <c r="IP482" s="1047" t="str">
        <f t="shared" si="3932"/>
        <v>1Q26</v>
      </c>
      <c r="IQ482" s="1047" t="str">
        <f t="shared" ref="IQ482:IW482" si="3933">IQ2</f>
        <v>2Q26</v>
      </c>
      <c r="IR482" s="1047" t="str">
        <f t="shared" si="3933"/>
        <v>1H25E</v>
      </c>
      <c r="IS482" s="1047" t="str">
        <f t="shared" si="3933"/>
        <v>3Q26E</v>
      </c>
      <c r="IT482" s="1047" t="str">
        <f t="shared" si="3933"/>
        <v>9M25E</v>
      </c>
      <c r="IU482" s="1047" t="str">
        <f t="shared" si="3933"/>
        <v>4Q26E</v>
      </c>
      <c r="IV482" s="1047" t="str">
        <f t="shared" si="3933"/>
        <v>2H25E</v>
      </c>
      <c r="IW482" s="1048" t="str">
        <f t="shared" si="3933"/>
        <v>FY26E</v>
      </c>
      <c r="IX482" s="1049"/>
      <c r="IY482" s="1049"/>
      <c r="IZ482" s="1049"/>
      <c r="JA482" s="1049"/>
      <c r="JB482" s="1049"/>
      <c r="JC482" s="1049"/>
      <c r="JD482" s="1041"/>
      <c r="JE482" s="1037"/>
      <c r="JF482" s="1037"/>
      <c r="JG482" s="1037"/>
      <c r="JH482" s="1037"/>
      <c r="JI482" s="1035"/>
      <c r="JJ482" s="1035"/>
      <c r="JK482" s="1035"/>
      <c r="JL482" s="1035"/>
      <c r="JM482" s="1035"/>
      <c r="JN482" s="1035"/>
      <c r="JO482" s="1035"/>
      <c r="JP482" s="1035"/>
      <c r="JQ482" s="1035"/>
      <c r="JR482" s="1035"/>
      <c r="JS482" s="1035"/>
      <c r="JT482" s="1035"/>
      <c r="JU482" s="1035"/>
      <c r="JV482" s="1035"/>
      <c r="JW482" s="1035"/>
      <c r="JX482" s="1035"/>
      <c r="JY482" s="1035"/>
    </row>
    <row r="483" spans="1:285">
      <c r="A483" s="1035" t="s">
        <v>197</v>
      </c>
      <c r="AX483" s="1059"/>
      <c r="BE483" s="1060"/>
      <c r="BN483" s="1059"/>
      <c r="BU483" s="1060"/>
      <c r="BV483" s="1059"/>
      <c r="CC483" s="1060"/>
      <c r="CD483" s="1059"/>
      <c r="CK483" s="1060"/>
      <c r="CL483" s="1406" t="e">
        <f>#REF!</f>
        <v>#REF!</v>
      </c>
      <c r="CM483" s="1405">
        <v>-0.000915346909145631</v>
      </c>
      <c r="CN483" s="1405" t="e">
        <f>AVERAGE(CL483:CM483)</f>
        <v>#REF!</v>
      </c>
      <c r="CO483" s="1405">
        <v>0.0447814587425934</v>
      </c>
      <c r="CP483" s="1405" t="e">
        <f>AVERAGE(CO483,CM483,CL483)</f>
        <v>#REF!</v>
      </c>
      <c r="CQ483" s="1405">
        <v>0.0851730728282489</v>
      </c>
      <c r="CR483" s="1405">
        <f>AVERAGE(CQ483,CO483)</f>
        <v>0.0649772657854212</v>
      </c>
      <c r="CS483" s="1407" t="e">
        <f>AVERAGE(CQ483,CO483,CM483,CL483)</f>
        <v>#REF!</v>
      </c>
      <c r="CT483" s="1406">
        <v>0.0898748039413855</v>
      </c>
      <c r="CU483" s="1405">
        <v>0.0722141354339954</v>
      </c>
      <c r="CV483" s="1405">
        <f>AVERAGE(CT483:CU483)</f>
        <v>0.0810444696876904</v>
      </c>
      <c r="CW483" s="1405">
        <v>0.0785354093250612</v>
      </c>
      <c r="CX483" s="1405">
        <f>AVERAGE(CW483,CU483,CT483)</f>
        <v>0.0802081162334807</v>
      </c>
      <c r="CY483" s="1405">
        <v>0.122681293215473</v>
      </c>
      <c r="CZ483" s="1405">
        <f>AVERAGE(CY483,CW483)</f>
        <v>0.100608351270267</v>
      </c>
      <c r="DA483" s="1407">
        <f>AVERAGE(CY483,CW483,CU483,CT483)</f>
        <v>0.0908264104789787</v>
      </c>
      <c r="DB483" s="1443">
        <v>0.143446158902695</v>
      </c>
      <c r="DC483" s="1426">
        <v>0.158522011986677</v>
      </c>
      <c r="DD483" s="1426"/>
      <c r="DE483" s="1426">
        <v>0.0948918044936173</v>
      </c>
      <c r="DF483" s="1426"/>
      <c r="DG483" s="1426">
        <v>-0.0881476141097292</v>
      </c>
      <c r="DH483" s="1426"/>
      <c r="DI483" s="1444"/>
      <c r="DJ483" s="1426">
        <f>'[137]Master FX'!$W$43</f>
        <v>-0.129613157107916</v>
      </c>
      <c r="DK483" s="1426">
        <f>'[137]Master FX'!$X$43</f>
        <v>-0.128107551870489</v>
      </c>
      <c r="DL483" s="1426"/>
      <c r="DM483" s="1426">
        <f>'[137]Master FX'!$Y$43</f>
        <v>-0.0496227575133485</v>
      </c>
      <c r="DN483" s="1426"/>
      <c r="DO483" s="1455">
        <f>'[137]Master FX'!$Z$43</f>
        <v>0.118417217479115</v>
      </c>
      <c r="DP483" s="1426"/>
      <c r="DQ483" s="1444">
        <f>'[137]Master FX'!$W$104</f>
        <v>-0.0531259711874599</v>
      </c>
      <c r="DR483" s="1426">
        <f>-'[137]Master FX'!AA43</f>
        <v>-0.0606972993142716</v>
      </c>
      <c r="DS483" s="1426">
        <f>-'[137]Master FX'!AB43</f>
        <v>0.0649709003145983</v>
      </c>
      <c r="DT483" s="1426">
        <f t="shared" ref="DT483:DT490" si="3934">AVERAGE(DR483:DS483)</f>
        <v>0.00213680050016335</v>
      </c>
      <c r="DU483" s="1426">
        <f>-'[137]Master FX'!AC43</f>
        <v>0.0960173955880679</v>
      </c>
      <c r="DV483" s="1426">
        <f t="shared" ref="DV483:DV490" si="3935">AVERAGE(DR483,DS483,DU483)</f>
        <v>0.0334303321961315</v>
      </c>
      <c r="DW483" s="1426">
        <f>-'[137]Master FX'!AD43</f>
        <v>0.0807000785423444</v>
      </c>
      <c r="DX483" s="1426">
        <f t="shared" ref="DX483:DX490" si="3936">AVERAGE(DU483,DW483)</f>
        <v>0.0883587370652061</v>
      </c>
      <c r="DY483" s="1444">
        <f>-'[137]Master FX'!AA104</f>
        <v>0.0476943438291936</v>
      </c>
      <c r="DZ483" s="1426">
        <f>-'[137]Master FX'!AE43</f>
        <v>0.0104203722965135</v>
      </c>
      <c r="EA483" s="1426">
        <f>-'[137]Master FX'!AF43</f>
        <v>-0.130238725976947</v>
      </c>
      <c r="EB483" s="1426">
        <f t="shared" ref="EB483:EB490" si="3937">AVERAGE(DZ483:EA483)</f>
        <v>-0.0599091768402168</v>
      </c>
      <c r="EC483" s="1426">
        <f>-'[137]Master FX'!AG43</f>
        <v>-0.0922370603022444</v>
      </c>
      <c r="ED483" s="1426">
        <f t="shared" ref="ED483:ED490" si="3938">AVERAGE(DZ483,EA483,EC483)</f>
        <v>-0.070685137994226</v>
      </c>
      <c r="EE483" s="1426">
        <f>-'[137]Master FX'!AH43</f>
        <v>0.00759689438639444</v>
      </c>
      <c r="EF483" s="1426">
        <f t="shared" ref="EF483:EF490" si="3939">AVERAGE(EC483,EE483)</f>
        <v>-0.042320082957925</v>
      </c>
      <c r="EG483" s="1444">
        <f>-'[137]Master FX'!AE104</f>
        <v>-0.049061547802945</v>
      </c>
      <c r="EH483" s="1426">
        <f>-'[137]Master FX'!$AI$43</f>
        <v>0.0424920179962689</v>
      </c>
      <c r="EI483" s="1426">
        <f>-'[137]Master FX'!$AJ$43</f>
        <v>0.108797841217255</v>
      </c>
      <c r="EJ483" s="1426">
        <f t="shared" ref="EJ483:EJ491" si="3940">AVERAGE(EH483:EI483)</f>
        <v>0.0756449296067617</v>
      </c>
      <c r="EK483" s="1426">
        <f>-'[137]Master FX'!$AK$43</f>
        <v>0.114207485087629</v>
      </c>
      <c r="EL483" s="1426">
        <f t="shared" ref="EL483:EL491" si="3941">AVERAGE(EH483,EI483,EK483)</f>
        <v>0.088499114767051</v>
      </c>
      <c r="EM483" s="1426">
        <f>-'[137]Master FX'!$AL$43</f>
        <v>0.0369892023708993</v>
      </c>
      <c r="EN483" s="1426">
        <f t="shared" ref="EN483:EN491" si="3942">AVERAGE(EK483,EM483)</f>
        <v>0.0755983437292644</v>
      </c>
      <c r="EO483" s="1444">
        <f>-'[137]Master FX'!$AI$104</f>
        <v>0.0764909451437824</v>
      </c>
      <c r="EP483" s="1426">
        <f>-'[137]Master FX'!AM$43</f>
        <v>-0.00693744601737278</v>
      </c>
      <c r="EQ483" s="1426">
        <f>-'[137]Master FX'!AN$43</f>
        <v>-0.0178430740044782</v>
      </c>
      <c r="ER483" s="1082">
        <f>AVERAGE(EP483:EQ483)</f>
        <v>-0.0123902600109255</v>
      </c>
      <c r="ES483" s="1426">
        <f>-'[137]Master FX'!AO$43</f>
        <v>-0.0588343731444756</v>
      </c>
      <c r="ET483" s="1082">
        <f>AVERAGE(EP483:EQ483,ES483)</f>
        <v>-0.0278716310554422</v>
      </c>
      <c r="EU483" s="1426">
        <f>-'[137]Master FX'!AP$43</f>
        <v>-0.0493743898052514</v>
      </c>
      <c r="EV483" s="1426">
        <f t="shared" ref="EV483:EV491" si="3943">AVERAGE(ES483,EU483)</f>
        <v>-0.0541043814748635</v>
      </c>
      <c r="EW483" s="1444">
        <f t="shared" ref="EW483:EW491" si="3944">AVERAGE(EP483:EQ483,ES483,EU483)</f>
        <v>-0.0332473207428945</v>
      </c>
      <c r="EX483" s="1426">
        <f>-'[137]Master FX'!AQ$43</f>
        <v>-0.0381274731101977</v>
      </c>
      <c r="EY483" s="1426">
        <f>-'[137]Master FX'!AR$43</f>
        <v>-0.0503164215820548</v>
      </c>
      <c r="EZ483" s="1082">
        <f t="shared" ref="EZ483:EZ491" si="3945">AVERAGE(EX483:EY483)</f>
        <v>-0.0442219473461263</v>
      </c>
      <c r="FA483" s="1426">
        <f>-'[137]Master FX'!AS$43</f>
        <v>-0.000784217269939935</v>
      </c>
      <c r="FB483" s="1082">
        <f t="shared" ref="FB483:FB491" si="3946">AVERAGE(EX483:EY483,FA483)</f>
        <v>-0.0297427039873975</v>
      </c>
      <c r="FC483" s="1426">
        <f>-'[137]Master FX'!AT$43</f>
        <v>0.0826592474090557</v>
      </c>
      <c r="FD483" s="1426">
        <f t="shared" ref="FD483:FD491" si="3947">AVERAGE(FA483,FC483)</f>
        <v>0.0409375150695579</v>
      </c>
      <c r="FE483" s="1444">
        <f t="shared" ref="FE483:FE491" si="3948">AVERAGE(EX483:EY483,FA483,FC483)</f>
        <v>-0.00164221613828419</v>
      </c>
      <c r="FF483" s="1426">
        <f>-'[137]Master FX'!AU$43</f>
        <v>0.177753567790151</v>
      </c>
      <c r="FG483" s="1426">
        <f>-'[137]Master FX'!AV$43</f>
        <v>0.193326614294055</v>
      </c>
      <c r="FH483" s="1082">
        <f>AVERAGE(FF483:FG483)</f>
        <v>0.185540091042103</v>
      </c>
      <c r="FI483" s="1426">
        <f>-'[137]Master FX'!AW$43</f>
        <v>0.161271276872402</v>
      </c>
      <c r="FJ483" s="1082">
        <f>AVERAGE(FF483:FG483,FI483)</f>
        <v>0.177450486318869</v>
      </c>
      <c r="FK483" s="1426">
        <f>-'[137]Master FX'!AX$43</f>
        <v>0.123185100353275</v>
      </c>
      <c r="FL483" s="1426">
        <f t="shared" ref="FL483:FL491" si="3949">AVERAGE(FI483,FK483)</f>
        <v>0.142228188612838</v>
      </c>
      <c r="FM483" s="1444">
        <f t="shared" ref="FM483:FM491" si="3950">AVERAGE(FF483:FG483,FI483,FK483)</f>
        <v>0.163884139827471</v>
      </c>
      <c r="FN483" s="1426">
        <f>-'[137]Master FX'!AY$43</f>
        <v>0.0213620765977417</v>
      </c>
      <c r="FO483" s="1426">
        <f>-'[137]Master FX'!AZ$43</f>
        <v>-0.0206807653238945</v>
      </c>
      <c r="FP483" s="1082">
        <f>AVERAGE(FN483:FO483)</f>
        <v>0.000340655636923592</v>
      </c>
      <c r="FQ483" s="1426">
        <f>-'[137]Master FX'!BA$43</f>
        <v>-0.00402535284020122</v>
      </c>
      <c r="FR483" s="1082">
        <f>AVERAGE(FN483:FO483,FQ483)</f>
        <v>-0.00111468052211801</v>
      </c>
      <c r="FS483" s="1426">
        <f>-'[137]Master FX'!BB$43</f>
        <v>0.01585391397193</v>
      </c>
      <c r="FT483" s="1426">
        <f t="shared" ref="FT483:FT491" si="3951">AVERAGE(FQ483,FS483)</f>
        <v>0.0059142805658644</v>
      </c>
      <c r="FU483" s="1426">
        <f t="shared" ref="FU483:FU491" si="3952">AVERAGE(FN483:FO483,FQ483,FS483)</f>
        <v>0.003127468101394</v>
      </c>
      <c r="FV483" s="1443">
        <f>-'[137]Master FX'!BC$43</f>
        <v>0.0335448371309145</v>
      </c>
      <c r="FW483" s="1426">
        <f>-'[137]Master FX'!BD$43</f>
        <v>0.024771157149883</v>
      </c>
      <c r="FX483" s="1082">
        <f>AVERAGE(FV483:FW483)</f>
        <v>0.0291579971403987</v>
      </c>
      <c r="FY483" s="1426">
        <f>-'[137]Master FX'!BE$43</f>
        <v>-0.0527132092155069</v>
      </c>
      <c r="FZ483" s="1082">
        <f>AVERAGE(FV483:FW483,FY483)</f>
        <v>0.00186759502176352</v>
      </c>
      <c r="GA483" s="1426">
        <f>-'[137]Master FX'!BF$43</f>
        <v>-0.0927350277887207</v>
      </c>
      <c r="GB483" s="1426">
        <f t="shared" ref="GB483:GB491" si="3953">AVERAGE(FY483,GA483)</f>
        <v>-0.0727241185021138</v>
      </c>
      <c r="GC483" s="1444">
        <f t="shared" ref="GC483:GC491" si="3954">AVERAGE(FV483:FW483,FY483,GA483)</f>
        <v>-0.0217830606808575</v>
      </c>
      <c r="GD483" s="1456">
        <f t="shared" ref="GD483:GS484" si="3955">-(GD493/FV493-1)</f>
        <v>-0.153194327355037</v>
      </c>
      <c r="GE483" s="1456">
        <f t="shared" si="3955"/>
        <v>-0.0832780949281013</v>
      </c>
      <c r="GF483" s="1456">
        <f t="shared" si="3955"/>
        <v>-0.117662698442279</v>
      </c>
      <c r="GG483" s="1456">
        <f t="shared" si="3955"/>
        <v>0.0103965837458209</v>
      </c>
      <c r="GH483" s="1456">
        <f t="shared" si="3955"/>
        <v>-0.0726387626160909</v>
      </c>
      <c r="GI483" s="1456">
        <f t="shared" si="3955"/>
        <v>0.0124290140479496</v>
      </c>
      <c r="GJ483" s="1456">
        <f t="shared" si="3955"/>
        <v>0.0114082193274814</v>
      </c>
      <c r="GK483" s="1457">
        <f t="shared" si="3955"/>
        <v>-0.0506574260562438</v>
      </c>
      <c r="GL483" s="1456">
        <f t="shared" si="3955"/>
        <v>0.0805532953620831</v>
      </c>
      <c r="GM483" s="1456">
        <f t="shared" si="3955"/>
        <v>0.0611902766135791</v>
      </c>
      <c r="GN483" s="1456">
        <f t="shared" si="3955"/>
        <v>0.0710156895127994</v>
      </c>
      <c r="GO483" s="1456">
        <f t="shared" si="3955"/>
        <v>0.0402476780185758</v>
      </c>
      <c r="GP483" s="1456">
        <f t="shared" si="3955"/>
        <v>0.0610354831510823</v>
      </c>
      <c r="GQ483" s="1456">
        <f t="shared" si="3955"/>
        <v>0.0295652173913041</v>
      </c>
      <c r="GR483" s="1456">
        <f t="shared" si="3955"/>
        <v>0.0349360083016257</v>
      </c>
      <c r="GS483" s="1457">
        <f t="shared" si="3955"/>
        <v>0.0533919067331249</v>
      </c>
      <c r="GT483" s="1456">
        <f t="shared" ref="GT483:GT484" si="3956">-(GT493/GL493-1)</f>
        <v>0.0221238938053097</v>
      </c>
      <c r="GU483" s="1456">
        <f t="shared" ref="GU483:GU484" si="3957">-(GU493/GM493-1)</f>
        <v>-0.00892857142857117</v>
      </c>
      <c r="GV483" s="1456">
        <f t="shared" ref="GV483:GV484" si="3958">-(GV493/GN493-1)</f>
        <v>0.00666666666666671</v>
      </c>
      <c r="GW483" s="1456">
        <f t="shared" ref="GW483:GW484" si="3959">-(GW493/GO493-1)</f>
        <v>-0.0474910394265233</v>
      </c>
      <c r="GX483" s="1456">
        <f t="shared" ref="GX483:GX484" si="3960">-(GX493/GP493-1)</f>
        <v>-0.0112893642305407</v>
      </c>
      <c r="GY483" s="1456">
        <f t="shared" ref="GY483:GY484" si="3961">-(GY493/GQ493-1)</f>
        <v>-0.0546594982078852</v>
      </c>
      <c r="GZ483" s="1456">
        <f t="shared" ref="GZ483:GZ484" si="3962">-(GZ493/GR493-1)</f>
        <v>-0.0510752688172043</v>
      </c>
      <c r="HA483" s="1457">
        <f t="shared" ref="HA483:HA484" si="3963">-(HA493/GS493-1)</f>
        <v>-0.0220883534136544</v>
      </c>
      <c r="HB483" s="1456">
        <f t="shared" ref="HB483:HB484" si="3964">-(HB493/GT493-1)</f>
        <v>-0.0900452488687782</v>
      </c>
      <c r="HC483" s="1456">
        <f t="shared" ref="HC483:HC484" si="3965">-(HC493/GU493-1)</f>
        <v>-0.0681415929203542</v>
      </c>
      <c r="HD483" s="1456">
        <f t="shared" ref="HD483:HD484" si="3966">-(HD493/GV493-1)</f>
        <v>-0.078970917225951</v>
      </c>
      <c r="HE483" s="1456">
        <f t="shared" ref="HE483:HE484" si="3967">-(HE493/GW493-1)</f>
        <v>-0.0325064157399486</v>
      </c>
      <c r="HF483" s="1456">
        <f t="shared" ref="HF483:HF484" si="3968">-(HF493/GX493-1)</f>
        <v>-0.0630141010575793</v>
      </c>
      <c r="HG483" s="1456">
        <f t="shared" ref="HG483:HG484" si="3969">-(HG493/GY493-1)</f>
        <v>-0.0254885301614274</v>
      </c>
      <c r="HH483" s="1456">
        <f t="shared" ref="HH483:HH484" si="3970">-(HH493/GZ493-1)</f>
        <v>-0.0289855072463769</v>
      </c>
      <c r="HI483" s="1457">
        <f t="shared" ref="HI483:HQ484" si="3971">-(HI493/HA493-1)</f>
        <v>-0.0533726260641783</v>
      </c>
      <c r="HJ483" s="1456">
        <f t="shared" si="3971"/>
        <v>0.0701535907015357</v>
      </c>
      <c r="HK483" s="1456">
        <f t="shared" si="3971"/>
        <v>0.11764705882353</v>
      </c>
      <c r="HL483" s="1456">
        <f t="shared" si="3971"/>
        <v>0.0939249429815469</v>
      </c>
      <c r="HM483" s="1456">
        <f t="shared" si="3971"/>
        <v>0.179784589892295</v>
      </c>
      <c r="HN483" s="1456">
        <f t="shared" si="3971"/>
        <v>0.122564598590576</v>
      </c>
      <c r="HO483" s="1456">
        <f t="shared" si="3971"/>
        <v>0.154929577464789</v>
      </c>
      <c r="HP483" s="1456">
        <f t="shared" si="3971"/>
        <v>0.167357083678542</v>
      </c>
      <c r="HQ483" s="1457">
        <f t="shared" si="3971"/>
        <v>0.13066003522951</v>
      </c>
      <c r="HR483" s="1456">
        <f t="shared" ref="HR483:HR484" si="3972">-(HR493/HJ493-1)</f>
        <v>0.0446428571428572</v>
      </c>
      <c r="HS483" s="1456">
        <f t="shared" ref="HS483:HS484" si="3973">-(HS493/HK493-1)</f>
        <v>-0.0328638497652582</v>
      </c>
      <c r="HT483" s="1456">
        <f t="shared" ref="HT483:HT484" si="3974">-(HT493/HL493-1)</f>
        <v>0.00686498855835249</v>
      </c>
      <c r="HU483" s="1456">
        <f t="shared" ref="HU483:HU484" si="3975">-(HU493/HM493-1)</f>
        <v>-0.0989898989898992</v>
      </c>
      <c r="HV483" s="1456">
        <f t="shared" ref="HV483:HV484" si="3976">-(HV493/HN493-1)</f>
        <v>-0.0261417322834647</v>
      </c>
      <c r="HW483" s="1456">
        <f t="shared" ref="HW483:HW484" si="3977">-(HW493/HO493-1)</f>
        <v>-0.0549019607843138</v>
      </c>
      <c r="HX483" s="1456">
        <f t="shared" ref="HX483:HX484" si="3978">-(HX493/HP493-1)</f>
        <v>-0.0766169154228857</v>
      </c>
      <c r="HY483" s="1457">
        <f t="shared" ref="HY483:HY484" si="3979">-(HY493/HQ493-1)</f>
        <v>-0.0331346841477949</v>
      </c>
      <c r="HZ483" s="1456">
        <f t="shared" ref="HZ483:HZ484" si="3980">-(HZ493/HR493-1)</f>
        <v>-0.0186915887850467</v>
      </c>
      <c r="IA483" s="1456">
        <f t="shared" ref="IA483:IA484" si="3981">-(IA493/HS493-1)</f>
        <v>0.0181818181818182</v>
      </c>
      <c r="IB483" s="1456">
        <f t="shared" ref="IB483:IB484" si="3982">-(IB493/HT493-1)</f>
        <v>1</v>
      </c>
      <c r="IC483" s="1456">
        <f t="shared" ref="IC483:IC484" si="3983">-(IC493/HU493-1)</f>
        <v>0.00735294117647056</v>
      </c>
      <c r="ID483" s="1456">
        <f t="shared" ref="ID483:ID484" si="3984">-(ID493/HV493-1)</f>
        <v>1</v>
      </c>
      <c r="IE483" s="1456">
        <f t="shared" ref="IE483:IE484" si="3985">-(IE493/HW493-1)</f>
        <v>0.00929368029739774</v>
      </c>
      <c r="IF483" s="1456">
        <f t="shared" ref="IF483:IF484" si="3986">-(IF493/HX493-1)</f>
        <v>1</v>
      </c>
      <c r="IG483" s="1457">
        <f t="shared" ref="IG483:IG484" si="3987">-(IG493/HY493-1)</f>
        <v>0.00415320719889245</v>
      </c>
      <c r="IH483" s="1456">
        <f t="shared" ref="IH483:IO484" si="3988">-(IH493/HZ493-1)</f>
        <v>0.0391743119266057</v>
      </c>
      <c r="II483" s="1456">
        <f t="shared" si="3988"/>
        <v>-0.0506481481481482</v>
      </c>
      <c r="IJ483" s="1456" t="e">
        <f t="shared" si="3988"/>
        <v>#DIV/0!</v>
      </c>
      <c r="IK483" s="1456">
        <f t="shared" si="3988"/>
        <v>-0.0824074074074073</v>
      </c>
      <c r="IL483" s="1456" t="e">
        <f t="shared" si="3988"/>
        <v>#DIV/0!</v>
      </c>
      <c r="IM483" s="1456">
        <f t="shared" si="3988"/>
        <v>-0.0919324577861163</v>
      </c>
      <c r="IN483" s="1456" t="e">
        <f t="shared" si="3988"/>
        <v>#DIV/0!</v>
      </c>
      <c r="IO483" s="1457">
        <f t="shared" si="3988"/>
        <v>-0.0461075069508805</v>
      </c>
      <c r="IP483" s="1456">
        <f t="shared" ref="IP483:IP484" si="3989">-(IP493/IH493-1)</f>
        <v>-0.118113243578726</v>
      </c>
      <c r="IQ483" s="1456">
        <f t="shared" ref="IQ483:IQ484" si="3990">-(IQ493/II493-1)</f>
        <v>-0.0243236097646955</v>
      </c>
      <c r="IR483" s="1456" t="e">
        <f t="shared" ref="IR483:IR484" si="3991">-(IR493/IJ493-1)</f>
        <v>#DIV/0!</v>
      </c>
      <c r="IS483" s="1456">
        <f t="shared" ref="IS483:IS484" si="3992">-(IS493/IK493-1)</f>
        <v>0.0205303678357571</v>
      </c>
      <c r="IT483" s="1456" t="e">
        <f t="shared" ref="IT483:IT484" si="3993">-(IT493/IL493-1)</f>
        <v>#DIV/0!</v>
      </c>
      <c r="IU483" s="1456">
        <f t="shared" ref="IU483:IU484" si="3994">-(IU493/IM493-1)</f>
        <v>0.0163230240549828</v>
      </c>
      <c r="IV483" s="1456" t="e">
        <f t="shared" ref="IV483:IV484" si="3995">-(IV493/IN493-1)</f>
        <v>#DIV/0!</v>
      </c>
      <c r="IW483" s="1457">
        <f t="shared" ref="IW483:IW484" si="3996">-(IW493/IO493-1)</f>
        <v>-0.0239867109634553</v>
      </c>
      <c r="IX483" s="1049"/>
      <c r="IY483" s="1049"/>
      <c r="IZ483" s="1049"/>
      <c r="JA483" s="1049"/>
      <c r="JB483" s="1049"/>
      <c r="JC483" s="1049"/>
      <c r="JD483" s="1458"/>
      <c r="JE483" s="1037"/>
      <c r="JF483" s="1037"/>
      <c r="JG483" s="1037"/>
      <c r="JH483" s="1037"/>
      <c r="JI483" s="1035"/>
      <c r="JJ483" s="1035"/>
      <c r="JK483" s="1035"/>
      <c r="JL483" s="1035"/>
      <c r="JM483" s="1035"/>
      <c r="JN483" s="1035"/>
      <c r="JO483" s="1035"/>
      <c r="JP483" s="1035"/>
      <c r="JQ483" s="1035"/>
      <c r="JR483" s="1035"/>
      <c r="JS483" s="1035"/>
      <c r="JT483" s="1035"/>
      <c r="JU483" s="1035"/>
      <c r="JV483" s="1035"/>
      <c r="JW483" s="1035"/>
      <c r="JX483" s="1035"/>
      <c r="JY483" s="1035"/>
    </row>
    <row r="484" spans="1:285">
      <c r="A484" s="1035" t="s">
        <v>200</v>
      </c>
      <c r="DB484" s="1443">
        <v>0.0535047451487789</v>
      </c>
      <c r="DC484" s="1426">
        <v>0.0588647168058645</v>
      </c>
      <c r="DD484" s="1426"/>
      <c r="DE484" s="1426">
        <v>0.0412512979734436</v>
      </c>
      <c r="DF484" s="1426"/>
      <c r="DG484" s="1426">
        <v>0.0121425415911738</v>
      </c>
      <c r="DH484" s="1426"/>
      <c r="DI484" s="1444"/>
      <c r="DJ484" s="1426">
        <v>0.220601841638704</v>
      </c>
      <c r="DK484" s="1426">
        <v>0.186513672835545</v>
      </c>
      <c r="DL484" s="1426"/>
      <c r="DM484" s="1426">
        <v>0.227040673775694</v>
      </c>
      <c r="DN484" s="1426"/>
      <c r="DO484" s="1455">
        <f>'[137]Master FX'!$Z$60</f>
        <v>0.205485417914422</v>
      </c>
      <c r="DQ484" s="1444">
        <f>'[137]Master FX'!$W$120</f>
        <v>0.209840295596379</v>
      </c>
      <c r="DR484" s="1426">
        <f>-'[137]Master FX'!AA60</f>
        <v>0.0682773830879926</v>
      </c>
      <c r="DS484" s="1426">
        <f>-'[137]Master FX'!AB60</f>
        <v>0.119730129391813</v>
      </c>
      <c r="DT484" s="1426">
        <f t="shared" si="3934"/>
        <v>0.0940037562399026</v>
      </c>
      <c r="DU484" s="1426">
        <f>-'[137]Master FX'!AC60</f>
        <v>0.116457528083651</v>
      </c>
      <c r="DV484" s="1426">
        <f t="shared" si="3935"/>
        <v>0.101488346854485</v>
      </c>
      <c r="DW484" s="1426">
        <f>-'[137]Master FX'!AD60</f>
        <v>0.042486601406263</v>
      </c>
      <c r="DX484" s="1426">
        <f t="shared" si="3936"/>
        <v>0.0794720647449571</v>
      </c>
      <c r="DY484" s="1444">
        <f>-'[137]Master FX'!AA120</f>
        <v>0.0869091716436353</v>
      </c>
      <c r="DZ484" s="1426">
        <f>-'[137]Master FX'!AE60</f>
        <v>0.0311445982911684</v>
      </c>
      <c r="EA484" s="1426">
        <f>-'[137]Master FX'!AF60</f>
        <v>-0.0448486777103911</v>
      </c>
      <c r="EB484" s="1426">
        <f t="shared" si="3937"/>
        <v>-0.00685203970961135</v>
      </c>
      <c r="EC484" s="1426">
        <f>-'[137]Master FX'!AG60</f>
        <v>-0.0406716457216294</v>
      </c>
      <c r="ED484" s="1426">
        <f t="shared" si="3938"/>
        <v>-0.0181252417136174</v>
      </c>
      <c r="EE484" s="1426">
        <f>-'[137]Master FX'!AH60</f>
        <v>-0.00807393169698134</v>
      </c>
      <c r="EF484" s="1426">
        <f t="shared" si="3939"/>
        <v>-0.0243727887093054</v>
      </c>
      <c r="EG484" s="1444">
        <f>-'[137]Master FX'!AE120</f>
        <v>-0.0148237326687197</v>
      </c>
      <c r="EH484" s="1426">
        <f>-'[137]Master FX'!$AI$60</f>
        <v>0.0121838879544273</v>
      </c>
      <c r="EI484" s="1426">
        <f>-'[137]Master FX'!$AJ$60</f>
        <v>0.0115606296216844</v>
      </c>
      <c r="EJ484" s="1426">
        <f t="shared" si="3940"/>
        <v>0.0118722587880558</v>
      </c>
      <c r="EK484" s="1426">
        <f>-'[137]Master FX'!$AK$60</f>
        <v>0.0290664831160417</v>
      </c>
      <c r="EL484" s="1426">
        <f t="shared" si="3941"/>
        <v>0.0176036668973844</v>
      </c>
      <c r="EM484" s="1426">
        <f>-'[137]Master FX'!$AL$60</f>
        <v>0.0409667457154882</v>
      </c>
      <c r="EN484" s="1426">
        <f t="shared" si="3942"/>
        <v>0.0350166144157649</v>
      </c>
      <c r="EO484" s="1444">
        <f>-'[137]Master FX'!$AI$120</f>
        <v>0.0236806311370277</v>
      </c>
      <c r="EP484" s="1426">
        <f>-'[137]Master FX'!AM$60</f>
        <v>-0.0158605169809549</v>
      </c>
      <c r="EQ484" s="1426">
        <f>-'[137]Master FX'!AN$60</f>
        <v>-0.0380427023534375</v>
      </c>
      <c r="ER484" s="1082">
        <f t="shared" ref="ER484:ER491" si="3997">AVERAGE(EP484:EQ484)</f>
        <v>-0.0269516096671962</v>
      </c>
      <c r="ES484" s="1426">
        <f>-'[137]Master FX'!AO$60</f>
        <v>-0.0865533913028762</v>
      </c>
      <c r="ET484" s="1082">
        <f t="shared" ref="ET484:ET491" si="3998">AVERAGE(EP484:EQ484,ES484)</f>
        <v>-0.0468188702124229</v>
      </c>
      <c r="EU484" s="1426">
        <f>-'[137]Master FX'!AP$60</f>
        <v>-0.0991217371007247</v>
      </c>
      <c r="EV484" s="1426">
        <f t="shared" si="3943"/>
        <v>-0.0928375642018004</v>
      </c>
      <c r="EW484" s="1444">
        <f t="shared" si="3944"/>
        <v>-0.0598945869344983</v>
      </c>
      <c r="EX484" s="1426">
        <f>-'[137]Master FX'!AQ$60</f>
        <v>-0.195843606684538</v>
      </c>
      <c r="EY484" s="1426">
        <f>-'[137]Master FX'!AR$60</f>
        <v>-0.160685169578886</v>
      </c>
      <c r="EZ484" s="1082">
        <f t="shared" si="3945"/>
        <v>-0.178264388131712</v>
      </c>
      <c r="FA484" s="1426">
        <f>-'[137]Master FX'!AS$60</f>
        <v>-0.106903943178461</v>
      </c>
      <c r="FB484" s="1082">
        <f t="shared" si="3946"/>
        <v>-0.154477573147295</v>
      </c>
      <c r="FC484" s="1426">
        <f>-'[137]Master FX'!AT$60</f>
        <v>-0.353323243018761</v>
      </c>
      <c r="FD484" s="1426">
        <f t="shared" si="3947"/>
        <v>-0.230113593098611</v>
      </c>
      <c r="FE484" s="1444">
        <f t="shared" si="3948"/>
        <v>-0.204188990615161</v>
      </c>
      <c r="FF484" s="1426">
        <f>-'[137]Master FX'!AU$60</f>
        <v>-0.476572456379016</v>
      </c>
      <c r="FG484" s="1426">
        <f>-'[137]Master FX'!AV$60</f>
        <v>-0.217157453975562</v>
      </c>
      <c r="FH484" s="1082">
        <f t="shared" ref="FH484:FH491" si="3999">AVERAGE(FF484:FG484)</f>
        <v>-0.346864955177289</v>
      </c>
      <c r="FI484" s="1426">
        <f>-'[137]Master FX'!AW$60</f>
        <v>-0.461952128721216</v>
      </c>
      <c r="FJ484" s="1082">
        <f t="shared" ref="FJ484:FJ491" si="4000">AVERAGE(FF484:FG484,FI484)</f>
        <v>-0.385227346358598</v>
      </c>
      <c r="FK484" s="1426">
        <f>-'[137]Master FX'!AX$60</f>
        <v>-0.207658324595849</v>
      </c>
      <c r="FL484" s="1426">
        <f t="shared" si="3949"/>
        <v>-0.334805226658533</v>
      </c>
      <c r="FM484" s="1444">
        <f t="shared" si="3950"/>
        <v>-0.340835090917911</v>
      </c>
      <c r="FN484" s="1426">
        <f>-'[137]Master FX'!AY$60</f>
        <v>-0.160127333179825</v>
      </c>
      <c r="FO484" s="1426">
        <f>-'[137]Master FX'!AZ$60</f>
        <v>-0.273092375085982</v>
      </c>
      <c r="FP484" s="1082">
        <f t="shared" ref="FP484:FP491" si="4001">AVERAGE(FN484:FO484)</f>
        <v>-0.216609854132903</v>
      </c>
      <c r="FQ484" s="1426">
        <f>-'[137]Master FX'!BA$60</f>
        <v>-0.0258062885865589</v>
      </c>
      <c r="FR484" s="1082">
        <f t="shared" ref="FR484:FR491" si="4002">AVERAGE(FN484:FO484,FQ484)</f>
        <v>-0.153008665617455</v>
      </c>
      <c r="FS484" s="1426">
        <f>-'[137]Master FX'!BB$60</f>
        <v>0.0619009390850906</v>
      </c>
      <c r="FT484" s="1426">
        <f t="shared" si="3951"/>
        <v>0.0180473252492659</v>
      </c>
      <c r="FU484" s="1426">
        <f t="shared" si="3952"/>
        <v>-0.0992812644418187</v>
      </c>
      <c r="FV484" s="1443">
        <f>-'[137]Master FX'!BC$60</f>
        <v>0.239266674473446</v>
      </c>
      <c r="FW484" s="1426">
        <f>-'[137]Master FX'!BD$60</f>
        <v>0.152181637882194</v>
      </c>
      <c r="FX484" s="1082">
        <f t="shared" ref="FX484:FX491" si="4003">AVERAGE(FV484:FW484)</f>
        <v>0.19572415617782</v>
      </c>
      <c r="FY484" s="1426">
        <f>-'[137]Master FX'!BE$60</f>
        <v>0.0391542643587846</v>
      </c>
      <c r="FZ484" s="1082">
        <f t="shared" ref="FZ484:FZ491" si="4004">AVERAGE(FV484:FW484,FY484)</f>
        <v>0.143534192238141</v>
      </c>
      <c r="GA484" s="1426">
        <f>-'[137]Master FX'!BF$60</f>
        <v>0.00420259296958225</v>
      </c>
      <c r="GB484" s="1426">
        <f t="shared" si="3953"/>
        <v>0.0216784286641834</v>
      </c>
      <c r="GC484" s="1444">
        <f t="shared" si="3954"/>
        <v>0.108701292421002</v>
      </c>
      <c r="GD484" s="1456">
        <f t="shared" si="3955"/>
        <v>-0.128249294659796</v>
      </c>
      <c r="GE484" s="1456">
        <f t="shared" si="3955"/>
        <v>-0.170171509856524</v>
      </c>
      <c r="GF484" s="1456">
        <f t="shared" si="3955"/>
        <v>-0.149285522957587</v>
      </c>
      <c r="GG484" s="1456">
        <f t="shared" si="3955"/>
        <v>-0.100846171726228</v>
      </c>
      <c r="GH484" s="1456">
        <f t="shared" si="3955"/>
        <v>-0.132067692863648</v>
      </c>
      <c r="GI484" s="1456">
        <f t="shared" si="3955"/>
        <v>-0.104319195980116</v>
      </c>
      <c r="GJ484" s="1456">
        <f t="shared" si="3955"/>
        <v>-0.102572515793057</v>
      </c>
      <c r="GK484" s="1457">
        <f t="shared" si="3955"/>
        <v>-0.124853668386303</v>
      </c>
      <c r="GL484" s="1456">
        <f t="shared" si="3955"/>
        <v>-0.0703966005665722</v>
      </c>
      <c r="GM484" s="1456">
        <f t="shared" si="3955"/>
        <v>0.0200338983050848</v>
      </c>
      <c r="GN484" s="1456">
        <f t="shared" si="3955"/>
        <v>-0.0241946657429857</v>
      </c>
      <c r="GO484" s="1456">
        <f t="shared" si="3955"/>
        <v>0.0570491803278688</v>
      </c>
      <c r="GP484" s="1456">
        <f t="shared" si="3955"/>
        <v>0.00388712601994556</v>
      </c>
      <c r="GQ484" s="1456">
        <f t="shared" si="3955"/>
        <v>0.0489417989417988</v>
      </c>
      <c r="GR484" s="1456">
        <f t="shared" si="3955"/>
        <v>0.0530128416200196</v>
      </c>
      <c r="GS484" s="1457">
        <f t="shared" si="3955"/>
        <v>0.0153865631330182</v>
      </c>
      <c r="GT484" s="1456">
        <f t="shared" si="3956"/>
        <v>0.0617970093952626</v>
      </c>
      <c r="GU484" s="1456">
        <f t="shared" si="3957"/>
        <v>-0.122141893527967</v>
      </c>
      <c r="GV484" s="1456">
        <f t="shared" si="3958"/>
        <v>-0.0281211424319803</v>
      </c>
      <c r="GW484" s="1456">
        <f t="shared" si="3959"/>
        <v>-0.199443671766342</v>
      </c>
      <c r="GX484" s="1456">
        <f t="shared" si="3960"/>
        <v>-0.0841780720616174</v>
      </c>
      <c r="GY484" s="1456">
        <f t="shared" si="3961"/>
        <v>-0.279554937413074</v>
      </c>
      <c r="GZ484" s="1456">
        <f t="shared" si="3962"/>
        <v>-0.239499304589708</v>
      </c>
      <c r="HA484" s="1457">
        <f t="shared" si="3963"/>
        <v>-0.132345251463693</v>
      </c>
      <c r="HB484" s="1456">
        <f t="shared" si="3964"/>
        <v>-0.26558533145275</v>
      </c>
      <c r="HC484" s="1456">
        <f t="shared" si="3965"/>
        <v>-0.103760789149199</v>
      </c>
      <c r="HD484" s="1456">
        <f t="shared" si="3966"/>
        <v>-0.179243421052632</v>
      </c>
      <c r="HE484" s="1456">
        <f t="shared" si="3967"/>
        <v>-0.0379754174397031</v>
      </c>
      <c r="HF484" s="1456">
        <f t="shared" si="3968"/>
        <v>-0.128106111484218</v>
      </c>
      <c r="HG484" s="1456">
        <f t="shared" si="3969"/>
        <v>0.0270108695652174</v>
      </c>
      <c r="HH484" s="1456">
        <f t="shared" si="3970"/>
        <v>-0.00443222621184924</v>
      </c>
      <c r="HI484" s="1457">
        <f t="shared" si="3971"/>
        <v>-0.0848928052325579</v>
      </c>
      <c r="HJ484" s="1456">
        <f t="shared" si="3971"/>
        <v>-0.0921653850440209</v>
      </c>
      <c r="HK484" s="1456">
        <f t="shared" si="3971"/>
        <v>0.195665530916606</v>
      </c>
      <c r="HL484" s="1456">
        <f t="shared" si="3971"/>
        <v>0.0515774498591314</v>
      </c>
      <c r="HM484" s="1456">
        <f t="shared" si="3971"/>
        <v>0.309612914036754</v>
      </c>
      <c r="HN484" s="1456">
        <f t="shared" si="3971"/>
        <v>0.137520464354815</v>
      </c>
      <c r="HO484" s="1456">
        <f t="shared" si="3971"/>
        <v>0.309612914036754</v>
      </c>
      <c r="HP484" s="1456">
        <f t="shared" si="3971"/>
        <v>0.309612914036754</v>
      </c>
      <c r="HQ484" s="1457">
        <f t="shared" si="3971"/>
        <v>0.180517758704905</v>
      </c>
      <c r="HR484" s="1456">
        <f t="shared" si="3972"/>
        <v>0.197959183673469</v>
      </c>
      <c r="HS484" s="1456">
        <f t="shared" si="3973"/>
        <v>-0.25</v>
      </c>
      <c r="HT484" s="1456">
        <f t="shared" si="3974"/>
        <v>0.00823529411764712</v>
      </c>
      <c r="HU484" s="1456">
        <f t="shared" si="3975"/>
        <v>-0.658576051779935</v>
      </c>
      <c r="HV484" s="1456">
        <f t="shared" si="3976"/>
        <v>-0.169542709232097</v>
      </c>
      <c r="HW484" s="1456">
        <f t="shared" si="3977"/>
        <v>-0.616504854368932</v>
      </c>
      <c r="HX484" s="1456">
        <f t="shared" si="3978"/>
        <v>-0.637540453074434</v>
      </c>
      <c r="HY484" s="1457">
        <f t="shared" si="3979"/>
        <v>-0.263623978201635</v>
      </c>
      <c r="HZ484" s="1456">
        <f t="shared" si="3980"/>
        <v>-0.23027989821883</v>
      </c>
      <c r="IA484" s="1456">
        <f t="shared" si="3981"/>
        <v>-0.0744444444444445</v>
      </c>
      <c r="IB484" s="1456">
        <f t="shared" si="3982"/>
        <v>1</v>
      </c>
      <c r="IC484" s="1456">
        <f t="shared" si="3983"/>
        <v>0.0565853658536585</v>
      </c>
      <c r="ID484" s="1456">
        <f t="shared" si="3984"/>
        <v>1</v>
      </c>
      <c r="IE484" s="1456">
        <f t="shared" si="3985"/>
        <v>-0.07007007007007</v>
      </c>
      <c r="IF484" s="1456">
        <f t="shared" si="3986"/>
        <v>1</v>
      </c>
      <c r="IG484" s="1457">
        <f t="shared" si="3987"/>
        <v>-0.0700808625336926</v>
      </c>
      <c r="IH484" s="1456">
        <f t="shared" si="3988"/>
        <v>0.0508790072388832</v>
      </c>
      <c r="II484" s="1456">
        <f t="shared" si="3988"/>
        <v>0.0508790072388832</v>
      </c>
      <c r="IJ484" s="1456" t="e">
        <f t="shared" si="3988"/>
        <v>#DIV/0!</v>
      </c>
      <c r="IK484" s="1456">
        <f t="shared" si="3988"/>
        <v>0.025398138572906</v>
      </c>
      <c r="IL484" s="1456" t="e">
        <f t="shared" si="3988"/>
        <v>#DIV/0!</v>
      </c>
      <c r="IM484" s="1456">
        <f t="shared" si="3988"/>
        <v>0.130682881197381</v>
      </c>
      <c r="IN484" s="1456" t="e">
        <f t="shared" si="3988"/>
        <v>#DIV/0!</v>
      </c>
      <c r="IO484" s="1457">
        <f t="shared" si="3988"/>
        <v>0.0661612090680102</v>
      </c>
      <c r="IP484" s="1456">
        <f t="shared" si="3989"/>
        <v>0.0106777075615603</v>
      </c>
      <c r="IQ484" s="1456">
        <f t="shared" si="3990"/>
        <v>0.0564393113968186</v>
      </c>
      <c r="IR484" s="1456" t="e">
        <f t="shared" si="3991"/>
        <v>#DIV/0!</v>
      </c>
      <c r="IS484" s="1456">
        <f t="shared" si="3992"/>
        <v>0.0301769873944229</v>
      </c>
      <c r="IT484" s="1456" t="e">
        <f t="shared" si="3993"/>
        <v>#DIV/0!</v>
      </c>
      <c r="IU484" s="1456">
        <f t="shared" si="3994"/>
        <v>0.0164640051651781</v>
      </c>
      <c r="IV484" s="1456" t="e">
        <f t="shared" si="3995"/>
        <v>#DIV/0!</v>
      </c>
      <c r="IW484" s="1457">
        <f t="shared" si="3996"/>
        <v>0.0284139032298091</v>
      </c>
      <c r="IX484" s="1049"/>
      <c r="IY484" s="1049"/>
      <c r="IZ484" s="1049"/>
      <c r="JA484" s="1049"/>
      <c r="JB484" s="1049"/>
      <c r="JC484" s="1049"/>
      <c r="JD484" s="1041"/>
      <c r="JE484" s="1037"/>
      <c r="JF484" s="1037"/>
      <c r="JG484" s="1037"/>
      <c r="JH484" s="1037"/>
      <c r="JI484" s="1035"/>
      <c r="JJ484" s="1035"/>
      <c r="JK484" s="1035"/>
      <c r="JL484" s="1035"/>
      <c r="JM484" s="1035"/>
      <c r="JN484" s="1035"/>
      <c r="JO484" s="1035"/>
      <c r="JP484" s="1035"/>
      <c r="JQ484" s="1035"/>
      <c r="JR484" s="1035"/>
      <c r="JS484" s="1035"/>
      <c r="JT484" s="1035"/>
      <c r="JU484" s="1035"/>
      <c r="JV484" s="1035"/>
      <c r="JW484" s="1035"/>
      <c r="JX484" s="1035"/>
      <c r="JY484" s="1035"/>
    </row>
    <row r="485" spans="1:285">
      <c r="A485" s="1035" t="s">
        <v>201</v>
      </c>
      <c r="DB485" s="1443"/>
      <c r="DC485" s="1426"/>
      <c r="DD485" s="1426"/>
      <c r="DE485" s="1426"/>
      <c r="DF485" s="1426"/>
      <c r="DG485" s="1426"/>
      <c r="DH485" s="1426"/>
      <c r="DI485" s="1444"/>
      <c r="DJ485" s="1426"/>
      <c r="DK485" s="1426"/>
      <c r="DL485" s="1426"/>
      <c r="DM485" s="1426"/>
      <c r="DN485" s="1426"/>
      <c r="DO485" s="1455"/>
      <c r="DQ485" s="1444"/>
      <c r="DR485" s="1426">
        <f>-'[137]Master FX'!AA$61</f>
        <v>0.123308371003993</v>
      </c>
      <c r="DS485" s="1426">
        <f>-'[137]Master FX'!AB$61</f>
        <v>0.055722225053197</v>
      </c>
      <c r="DT485" s="1426">
        <f t="shared" si="3934"/>
        <v>0.0895152980285948</v>
      </c>
      <c r="DU485" s="1426">
        <f>-'[137]Master FX'!AC$61</f>
        <v>0.0239378902035874</v>
      </c>
      <c r="DV485" s="1426">
        <f t="shared" si="3935"/>
        <v>0.0676561620869256</v>
      </c>
      <c r="DW485" s="1426">
        <f>-'[137]Master FX'!AD$61</f>
        <v>-0.0421186420537594</v>
      </c>
      <c r="DX485" s="1426">
        <f t="shared" si="3936"/>
        <v>-0.00909037592508599</v>
      </c>
      <c r="DY485" s="1444">
        <f>-'[137]Master FX'!AA121</f>
        <v>0.0432750203892566</v>
      </c>
      <c r="DZ485" s="1426">
        <f>-'[137]Master FX'!AE$61</f>
        <v>0.0198354340079436</v>
      </c>
      <c r="EA485" s="1426">
        <f>-'[137]Master FX'!AF$61</f>
        <v>0.0790911546741541</v>
      </c>
      <c r="EB485" s="1426">
        <f t="shared" si="3937"/>
        <v>0.0494632943410488</v>
      </c>
      <c r="EC485" s="1426">
        <f>-'[137]Master FX'!AG$61</f>
        <v>0.0454616745255835</v>
      </c>
      <c r="ED485" s="1426">
        <f t="shared" si="3938"/>
        <v>0.0481294210692271</v>
      </c>
      <c r="EE485" s="1426">
        <f>-'[137]Master FX'!AH$61</f>
        <v>-0.0153569560187174</v>
      </c>
      <c r="EF485" s="1426">
        <f t="shared" si="3939"/>
        <v>0.015052359253433</v>
      </c>
      <c r="EG485" s="1444">
        <f>-'[137]Master FX'!AE121</f>
        <v>0.032196886580385</v>
      </c>
      <c r="EH485" s="1426">
        <f>-'[137]Master FX'!AI$61</f>
        <v>-0.0315099436539719</v>
      </c>
      <c r="EI485" s="1426">
        <f>-'[137]Master FX'!AJ$61</f>
        <v>-0.110200793336419</v>
      </c>
      <c r="EJ485" s="1426">
        <f t="shared" si="3940"/>
        <v>-0.0708553684951952</v>
      </c>
      <c r="EK485" s="1426">
        <f>-'[137]Master FX'!AK$61</f>
        <v>-0.0956467029498096</v>
      </c>
      <c r="EL485" s="1426">
        <f t="shared" si="3941"/>
        <v>-0.0791191466467334</v>
      </c>
      <c r="EM485" s="1426">
        <f>-'[137]Master FX'!AL$61</f>
        <v>0.00436950989602791</v>
      </c>
      <c r="EN485" s="1426">
        <f t="shared" si="3942"/>
        <v>-0.0456385965268908</v>
      </c>
      <c r="EO485" s="1444">
        <f>-'[137]Master FX'!$AI$121</f>
        <v>-0.0566222474320537</v>
      </c>
      <c r="EP485" s="1082">
        <f>-'[137]Master FX'!AM$61</f>
        <v>-0.008597074324878</v>
      </c>
      <c r="EQ485" s="1426">
        <f>-'[137]Master FX'!AN$61</f>
        <v>-0.0186653706293438</v>
      </c>
      <c r="ER485" s="1082">
        <f t="shared" si="3997"/>
        <v>-0.0136312224771109</v>
      </c>
      <c r="ES485" s="1426">
        <f>-'[137]Master FX'!AO$61</f>
        <v>-0.0259184640522534</v>
      </c>
      <c r="ET485" s="1082">
        <f t="shared" si="3998"/>
        <v>-0.0177269696688251</v>
      </c>
      <c r="EU485" s="1426">
        <f>-'[137]Master FX'!AP$61</f>
        <v>-0.0473152588266279</v>
      </c>
      <c r="EV485" s="1426">
        <f t="shared" si="3943"/>
        <v>-0.0366168614394407</v>
      </c>
      <c r="EW485" s="1444">
        <f t="shared" si="3944"/>
        <v>-0.0251240419582758</v>
      </c>
      <c r="EX485" s="1426">
        <f>-'[137]Master FX'!AQ$61</f>
        <v>-0.151527779337061</v>
      </c>
      <c r="EY485" s="1426">
        <f>-'[137]Master FX'!AR$61</f>
        <v>-0.105009736409974</v>
      </c>
      <c r="EZ485" s="1082">
        <f t="shared" si="3945"/>
        <v>-0.128268757873517</v>
      </c>
      <c r="FA485" s="1426">
        <f>-'[137]Master FX'!AS$61</f>
        <v>-0.106887545033816</v>
      </c>
      <c r="FB485" s="1082">
        <f t="shared" si="3946"/>
        <v>-0.12114168692695</v>
      </c>
      <c r="FC485" s="1426">
        <f>-'[137]Master FX'!AT$61</f>
        <v>-0.477541904586051</v>
      </c>
      <c r="FD485" s="1426">
        <f t="shared" si="3947"/>
        <v>-0.292214724809933</v>
      </c>
      <c r="FE485" s="1444">
        <f t="shared" si="3948"/>
        <v>-0.210241741341725</v>
      </c>
      <c r="FF485" s="1426">
        <f>-'[137]Master FX'!AU$61</f>
        <v>-0.795071212152784</v>
      </c>
      <c r="FG485" s="1426">
        <f>-'[137]Master FX'!AV$61</f>
        <v>-0.509067278492475</v>
      </c>
      <c r="FH485" s="1082">
        <f t="shared" si="3999"/>
        <v>-0.652069245322629</v>
      </c>
      <c r="FI485" s="1426">
        <f>-'[137]Master FX'!AW$61</f>
        <v>-0.740421945094917</v>
      </c>
      <c r="FJ485" s="1082">
        <f t="shared" si="4000"/>
        <v>-0.681520145246725</v>
      </c>
      <c r="FK485" s="1426">
        <f>-'[137]Master FX'!AX$61</f>
        <v>-0.375754303973228</v>
      </c>
      <c r="FL485" s="1426">
        <f t="shared" si="3949"/>
        <v>-0.558088124534073</v>
      </c>
      <c r="FM485" s="1444">
        <f t="shared" si="3950"/>
        <v>-0.605078684928351</v>
      </c>
      <c r="FN485" s="1426">
        <f>-'[137]Master FX'!AY$61</f>
        <v>-0.18656046565244</v>
      </c>
      <c r="FO485" s="1426">
        <f>-'[137]Master FX'!AZ$61</f>
        <v>-0.24725024702282</v>
      </c>
      <c r="FP485" s="1082">
        <f t="shared" si="4001"/>
        <v>-0.21690535633763</v>
      </c>
      <c r="FQ485" s="1426">
        <f>-'[137]Master FX'!BA$61</f>
        <v>-0.0223839626025522</v>
      </c>
      <c r="FR485" s="1082">
        <f t="shared" si="4002"/>
        <v>-0.152064891759271</v>
      </c>
      <c r="FS485" s="1426">
        <f>-'[137]Master FX'!BB$61</f>
        <v>0.0472847591739967</v>
      </c>
      <c r="FT485" s="1426">
        <f t="shared" si="3951"/>
        <v>0.0124503982857223</v>
      </c>
      <c r="FU485" s="1426">
        <f t="shared" si="3952"/>
        <v>-0.102227479025954</v>
      </c>
      <c r="FV485" s="1443">
        <f>-'[137]Master FX'!BC$61</f>
        <v>0.213101437972877</v>
      </c>
      <c r="FW485" s="1426">
        <f>-'[137]Master FX'!BD$61</f>
        <v>0.130770613678813</v>
      </c>
      <c r="FX485" s="1082">
        <f t="shared" si="4003"/>
        <v>0.171936025825845</v>
      </c>
      <c r="FY485" s="1426">
        <f>-'[137]Master FX'!BE$61</f>
        <v>0.0871019933289947</v>
      </c>
      <c r="FZ485" s="1082">
        <f t="shared" si="4004"/>
        <v>0.143658014993562</v>
      </c>
      <c r="GA485" s="1426">
        <f>-'[137]Master FX'!BF$61</f>
        <v>0.0886326429791915</v>
      </c>
      <c r="GB485" s="1426">
        <f t="shared" si="3953"/>
        <v>0.0878673181540931</v>
      </c>
      <c r="GC485" s="1444">
        <f t="shared" si="3954"/>
        <v>0.129901671989969</v>
      </c>
      <c r="GD485" s="1426"/>
      <c r="GE485" s="1426"/>
      <c r="GF485" s="1426"/>
      <c r="GG485" s="1426"/>
      <c r="GH485" s="1426"/>
      <c r="GI485" s="1426"/>
      <c r="GJ485" s="1426"/>
      <c r="GK485" s="1444"/>
      <c r="GL485" s="1426"/>
      <c r="GM485" s="1426"/>
      <c r="GN485" s="1426"/>
      <c r="GO485" s="1426"/>
      <c r="GP485" s="1426"/>
      <c r="GQ485" s="1426"/>
      <c r="GR485" s="1426"/>
      <c r="GS485" s="1444"/>
      <c r="GT485" s="1426"/>
      <c r="GU485" s="1426"/>
      <c r="GV485" s="1426"/>
      <c r="GW485" s="1426"/>
      <c r="GX485" s="1426"/>
      <c r="GY485" s="1426"/>
      <c r="GZ485" s="1426"/>
      <c r="HA485" s="1444"/>
      <c r="HB485" s="1426"/>
      <c r="HC485" s="1426"/>
      <c r="HD485" s="1426"/>
      <c r="HE485" s="1426"/>
      <c r="HF485" s="1426"/>
      <c r="HG485" s="1426"/>
      <c r="HH485" s="1426"/>
      <c r="HI485" s="1444"/>
      <c r="HJ485" s="1426"/>
      <c r="HK485" s="1426"/>
      <c r="HL485" s="1426"/>
      <c r="HM485" s="1426"/>
      <c r="HN485" s="1426"/>
      <c r="HO485" s="1426"/>
      <c r="HP485" s="1426"/>
      <c r="HQ485" s="1444"/>
      <c r="HR485" s="1426"/>
      <c r="HS485" s="1426"/>
      <c r="HT485" s="1426"/>
      <c r="HU485" s="1426"/>
      <c r="HV485" s="1426"/>
      <c r="HW485" s="1426"/>
      <c r="HX485" s="1426"/>
      <c r="HY485" s="1444"/>
      <c r="HZ485" s="1426"/>
      <c r="IA485" s="1426"/>
      <c r="IB485" s="1426"/>
      <c r="IC485" s="1426"/>
      <c r="ID485" s="1426"/>
      <c r="IE485" s="1426"/>
      <c r="IF485" s="1426"/>
      <c r="IG485" s="1444"/>
      <c r="IH485" s="1426"/>
      <c r="II485" s="1426"/>
      <c r="IJ485" s="1426"/>
      <c r="IK485" s="1426"/>
      <c r="IL485" s="1426"/>
      <c r="IM485" s="1426"/>
      <c r="IN485" s="1426"/>
      <c r="IO485" s="1444"/>
      <c r="IP485" s="1426"/>
      <c r="IQ485" s="1426"/>
      <c r="IR485" s="1426"/>
      <c r="IS485" s="1426"/>
      <c r="IT485" s="1426"/>
      <c r="IU485" s="1426"/>
      <c r="IV485" s="1426"/>
      <c r="IW485" s="1444"/>
      <c r="IX485" s="1049"/>
      <c r="IY485" s="1049"/>
      <c r="IZ485" s="1049"/>
      <c r="JA485" s="1049"/>
      <c r="JB485" s="1049"/>
      <c r="JC485" s="1049"/>
      <c r="JD485" s="1041"/>
      <c r="JE485" s="1037"/>
      <c r="JF485" s="1037"/>
      <c r="JG485" s="1037"/>
      <c r="JH485" s="1037"/>
      <c r="JI485" s="1035"/>
      <c r="JJ485" s="1035"/>
      <c r="JK485" s="1035"/>
      <c r="JL485" s="1035"/>
      <c r="JM485" s="1035"/>
      <c r="JN485" s="1035"/>
      <c r="JO485" s="1035"/>
      <c r="JP485" s="1035"/>
      <c r="JQ485" s="1035"/>
      <c r="JR485" s="1035"/>
      <c r="JS485" s="1035"/>
      <c r="JT485" s="1035"/>
      <c r="JU485" s="1035"/>
      <c r="JV485" s="1035"/>
      <c r="JW485" s="1035"/>
      <c r="JX485" s="1035"/>
      <c r="JY485" s="1035"/>
    </row>
    <row r="486" spans="1:285">
      <c r="A486" s="1459" t="s">
        <v>198</v>
      </c>
      <c r="DB486" s="1443">
        <v>0.0102057972467944</v>
      </c>
      <c r="DC486" s="1426">
        <v>0.00389515501696192</v>
      </c>
      <c r="DD486" s="1426"/>
      <c r="DE486" s="1426">
        <v>0.000529768240217221</v>
      </c>
      <c r="DF486" s="1426"/>
      <c r="DG486" s="1426">
        <v>-0.225185920691096</v>
      </c>
      <c r="DH486" s="1426"/>
      <c r="DI486" s="1444"/>
      <c r="DJ486" s="1426">
        <v>-0.226354848269841</v>
      </c>
      <c r="DK486" s="1426">
        <v>-0.189112721753654</v>
      </c>
      <c r="DL486" s="1426"/>
      <c r="DM486" s="1426">
        <v>-0.174658940553527</v>
      </c>
      <c r="DN486" s="1426"/>
      <c r="DO486" s="1455" t="e">
        <f>#REF!</f>
        <v>#REF!</v>
      </c>
      <c r="DQ486" s="1444" t="e">
        <f>#REF!</f>
        <v>#REF!</v>
      </c>
      <c r="DR486" s="1426">
        <f>-'[137]Master FX'!AA42</f>
        <v>-0.0275933620561883</v>
      </c>
      <c r="DS486" s="1426">
        <f>-'[137]Master FX'!AB42</f>
        <v>0.112409941422011</v>
      </c>
      <c r="DT486" s="1426">
        <f t="shared" si="3934"/>
        <v>0.0424082896829115</v>
      </c>
      <c r="DU486" s="1426">
        <f>-'[137]Master FX'!AC42</f>
        <v>0.171655029293557</v>
      </c>
      <c r="DV486" s="1426">
        <f t="shared" si="3935"/>
        <v>0.0854905362197932</v>
      </c>
      <c r="DW486" s="1426">
        <f>-'[137]Master FX'!AD42</f>
        <v>0.153991361382179</v>
      </c>
      <c r="DX486" s="1426">
        <f t="shared" si="3936"/>
        <v>0.162823195337868</v>
      </c>
      <c r="DY486" s="1444">
        <f>-'[137]Master FX'!AA103</f>
        <v>0.105342809430253</v>
      </c>
      <c r="DZ486" s="1426">
        <f>-'[137]Master FX'!AE42</f>
        <v>0.104232773970218</v>
      </c>
      <c r="EA486" s="1426">
        <f>-'[137]Master FX'!AF42</f>
        <v>0.000173331196672399</v>
      </c>
      <c r="EB486" s="1426">
        <f t="shared" si="3937"/>
        <v>0.0522030525834453</v>
      </c>
      <c r="EC486" s="1426">
        <f>-'[137]Master FX'!AG42</f>
        <v>0.00634253808189489</v>
      </c>
      <c r="ED486" s="1426">
        <f t="shared" si="3938"/>
        <v>0.0369162144162618</v>
      </c>
      <c r="EE486" s="1426">
        <f>-'[137]Master FX'!AH42</f>
        <v>0.070422554527388</v>
      </c>
      <c r="EF486" s="1426">
        <f t="shared" si="3939"/>
        <v>0.0383825463046414</v>
      </c>
      <c r="EG486" s="1444">
        <f>-'[137]Master FX'!AE103</f>
        <v>0.046587883733793</v>
      </c>
      <c r="EH486" s="1426">
        <f>-'[137]Master FX'!$AI$42</f>
        <v>0.0757611035543734</v>
      </c>
      <c r="EI486" s="1426">
        <f>-'[137]Master FX'!$AJ$42</f>
        <v>0.124014130576998</v>
      </c>
      <c r="EJ486" s="1426">
        <f t="shared" si="3940"/>
        <v>0.0998876170656858</v>
      </c>
      <c r="EK486" s="1426">
        <f>-'[137]Master FX'!$AK$42</f>
        <v>0.107217820885995</v>
      </c>
      <c r="EL486" s="1426">
        <f t="shared" si="3941"/>
        <v>0.102331018339122</v>
      </c>
      <c r="EM486" s="1426">
        <f>-'[137]Master FX'!$AL$42</f>
        <v>-0.00961612185644389</v>
      </c>
      <c r="EN486" s="1426">
        <f t="shared" si="3942"/>
        <v>0.0488008495147753</v>
      </c>
      <c r="EO486" s="1444">
        <f>-'[137]Master FX'!$AI$103</f>
        <v>0.0762874922760021</v>
      </c>
      <c r="EP486" s="1426">
        <f>-'[137]Master FX'!AM$42</f>
        <v>-0.170150282516787</v>
      </c>
      <c r="EQ486" s="1426">
        <f>-'[137]Master FX'!AN$42</f>
        <v>-0.251699735331194</v>
      </c>
      <c r="ER486" s="1082">
        <f t="shared" si="3997"/>
        <v>-0.210925008923991</v>
      </c>
      <c r="ES486" s="1426">
        <f>-'[137]Master FX'!AO$42</f>
        <v>-0.333360725018783</v>
      </c>
      <c r="ET486" s="1082">
        <f t="shared" si="3998"/>
        <v>-0.251736914288922</v>
      </c>
      <c r="EU486" s="1426">
        <f>-'[137]Master FX'!AP$42</f>
        <v>-0.298354332918378</v>
      </c>
      <c r="EV486" s="1426">
        <f t="shared" si="3943"/>
        <v>-0.315857528968581</v>
      </c>
      <c r="EW486" s="1444">
        <f t="shared" si="3944"/>
        <v>-0.263391268946286</v>
      </c>
      <c r="EX486" s="1426">
        <f>-'[137]Master FX'!AQ$42</f>
        <v>-0.158398063486033</v>
      </c>
      <c r="EY486" s="1426">
        <f>-'[137]Master FX'!AR$42</f>
        <v>-0.0870061202840464</v>
      </c>
      <c r="EZ486" s="1082">
        <f t="shared" si="3945"/>
        <v>-0.12270209188504</v>
      </c>
      <c r="FA486" s="1426">
        <f>-'[137]Master FX'!AS$42</f>
        <v>-0.0513582661917329</v>
      </c>
      <c r="FB486" s="1082">
        <f t="shared" si="3946"/>
        <v>-0.0989208166539375</v>
      </c>
      <c r="FC486" s="1426">
        <f>-'[137]Master FX'!AT$42</f>
        <v>-0.045360731039009</v>
      </c>
      <c r="FD486" s="1426">
        <f t="shared" si="3947"/>
        <v>-0.0483594986153709</v>
      </c>
      <c r="FE486" s="1444">
        <f t="shared" si="3948"/>
        <v>-0.0855307952502053</v>
      </c>
      <c r="FF486" s="1426">
        <f>-'[137]Master FX'!AU$42</f>
        <v>0.0461993584807405</v>
      </c>
      <c r="FG486" s="1426">
        <f>-'[137]Master FX'!AV$42</f>
        <v>0.0429146810956073</v>
      </c>
      <c r="FH486" s="1082">
        <f t="shared" si="3999"/>
        <v>0.0445570197881739</v>
      </c>
      <c r="FI486" s="1426">
        <f>-'[137]Master FX'!AW$42</f>
        <v>0.0128625248244418</v>
      </c>
      <c r="FJ486" s="1082">
        <f t="shared" si="4000"/>
        <v>0.0339921881335965</v>
      </c>
      <c r="FK486" s="1426">
        <f>-'[137]Master FX'!AX$42</f>
        <v>0.0693771862948538</v>
      </c>
      <c r="FL486" s="1426">
        <f t="shared" si="3949"/>
        <v>0.0411198555596478</v>
      </c>
      <c r="FM486" s="1444">
        <f t="shared" si="3950"/>
        <v>0.0428384376739109</v>
      </c>
      <c r="FN486" s="1426">
        <f>-'[137]Master FX'!AY$42</f>
        <v>0.053896622864896</v>
      </c>
      <c r="FO486" s="1426">
        <f>-'[137]Master FX'!AZ$42</f>
        <v>0.0909980340745125</v>
      </c>
      <c r="FP486" s="1082">
        <f t="shared" si="4001"/>
        <v>0.0724473284697043</v>
      </c>
      <c r="FQ486" s="1426">
        <f>-'[137]Master FX'!BA$42</f>
        <v>0.159750203021314</v>
      </c>
      <c r="FR486" s="1082">
        <f t="shared" si="4002"/>
        <v>0.101548286653574</v>
      </c>
      <c r="FS486" s="1426">
        <f>-'[137]Master FX'!BB$42</f>
        <v>0.113825981370435</v>
      </c>
      <c r="FT486" s="1426">
        <f t="shared" si="3951"/>
        <v>0.136788092195875</v>
      </c>
      <c r="FU486" s="1426">
        <f t="shared" si="3952"/>
        <v>0.104617710332789</v>
      </c>
      <c r="FV486" s="1443">
        <f>-'[137]Master FX'!BC$42</f>
        <v>0.0480525933385478</v>
      </c>
      <c r="FW486" s="1426">
        <f>-'[137]Master FX'!BD$42</f>
        <v>-0.00268637770546243</v>
      </c>
      <c r="FX486" s="1082">
        <f t="shared" si="4003"/>
        <v>0.0226831078165427</v>
      </c>
      <c r="FY486" s="1426">
        <f>-'[137]Master FX'!BE$42</f>
        <v>-0.14058948900938</v>
      </c>
      <c r="FZ486" s="1082">
        <f t="shared" si="4004"/>
        <v>-0.0317410911254314</v>
      </c>
      <c r="GA486" s="1426">
        <f>-'[137]Master FX'!BF$42</f>
        <v>-0.13114492993915</v>
      </c>
      <c r="GB486" s="1426">
        <f t="shared" si="3953"/>
        <v>-0.135867209474265</v>
      </c>
      <c r="GC486" s="1444">
        <f t="shared" si="3954"/>
        <v>-0.056592050828861</v>
      </c>
      <c r="GD486" s="1456">
        <f t="shared" ref="GD486:GS491" si="4005">-(GD496/FV496-1)</f>
        <v>-0.0992800620754377</v>
      </c>
      <c r="GE486" s="1456">
        <f t="shared" si="4005"/>
        <v>-0.0723642980647983</v>
      </c>
      <c r="GF486" s="1456">
        <f t="shared" si="4005"/>
        <v>-0.0857607888374443</v>
      </c>
      <c r="GG486" s="1456">
        <f t="shared" si="4005"/>
        <v>0.0053133984505932</v>
      </c>
      <c r="GH486" s="1456">
        <f t="shared" si="4005"/>
        <v>-0.0539967818777483</v>
      </c>
      <c r="GI486" s="1456">
        <f t="shared" si="4005"/>
        <v>0.0249697829017713</v>
      </c>
      <c r="GJ486" s="1456">
        <f t="shared" si="4005"/>
        <v>0.0152172589141621</v>
      </c>
      <c r="GK486" s="1457">
        <f t="shared" si="4005"/>
        <v>-0.0333432933907671</v>
      </c>
      <c r="GL486" s="1456">
        <f t="shared" si="4005"/>
        <v>0.0617256138769993</v>
      </c>
      <c r="GM486" s="1456">
        <f t="shared" si="4005"/>
        <v>0.0575896262395118</v>
      </c>
      <c r="GN486" s="1456">
        <f t="shared" si="4005"/>
        <v>0.0596738184432587</v>
      </c>
      <c r="GO486" s="1456">
        <f t="shared" si="4005"/>
        <v>0.0745025451180009</v>
      </c>
      <c r="GP486" s="1456">
        <f t="shared" si="4005"/>
        <v>0.0645546163023886</v>
      </c>
      <c r="GQ486" s="1456">
        <f t="shared" si="4005"/>
        <v>0.0780196792438211</v>
      </c>
      <c r="GR486" s="1456">
        <f t="shared" si="4005"/>
        <v>0.0762571019982221</v>
      </c>
      <c r="GS486" s="1457">
        <f t="shared" si="4005"/>
        <v>0.0678776290630975</v>
      </c>
      <c r="GT486" s="1456">
        <f t="shared" ref="GT486:GT491" si="4006">-(GT496/GL496-1)</f>
        <v>0.0356142456982793</v>
      </c>
      <c r="GU486" s="1456">
        <f t="shared" ref="GU486:GU491" si="4007">-(GU496/GM496-1)</f>
        <v>0.0368271954674221</v>
      </c>
      <c r="GV486" s="1456">
        <f t="shared" ref="GV486:GV491" si="4008">-(GV496/GN496-1)</f>
        <v>0.0362173038229376</v>
      </c>
      <c r="GW486" s="1456">
        <f t="shared" ref="GW486:GW491" si="4009">-(GW496/GO496-1)</f>
        <v>-0.0341666666666667</v>
      </c>
      <c r="GX486" s="1456">
        <f t="shared" ref="GX486:GX491" si="4010">-(GX496/GP496-1)</f>
        <v>0.0132971506105833</v>
      </c>
      <c r="GY486" s="1456">
        <f t="shared" ref="GY486:GY491" si="4011">-(GY496/GQ496-1)</f>
        <v>-0.0478991596638656</v>
      </c>
      <c r="GZ486" s="1456">
        <f t="shared" ref="GZ486:GZ491" si="4012">-(GZ496/GR496-1)</f>
        <v>-0.0410041841004185</v>
      </c>
      <c r="HA486" s="1457">
        <f t="shared" ref="HA486:HA491" si="4013">-(HA496/GS496-1)</f>
        <v>-0.00164102564102575</v>
      </c>
      <c r="HB486" s="1456">
        <f t="shared" ref="HB486:HB491" si="4014">-(HB496/GT496-1)</f>
        <v>-0.0602489626556018</v>
      </c>
      <c r="HC486" s="1456">
        <f t="shared" ref="HC486:HC491" si="4015">-(HC496/GU496-1)</f>
        <v>-0.107478991596639</v>
      </c>
      <c r="HD486" s="1456">
        <f t="shared" ref="HD486:HD491" si="4016">-(HD496/GV496-1)</f>
        <v>-0.0837160751565762</v>
      </c>
      <c r="HE486" s="1456">
        <f t="shared" ref="HE486:HE491" si="4017">-(HE496/GW496-1)</f>
        <v>-0.0619661563255438</v>
      </c>
      <c r="HF486" s="1456">
        <f t="shared" ref="HF486:HF491" si="4018">-(HF496/GX496-1)</f>
        <v>-0.0762926292629262</v>
      </c>
      <c r="HG486" s="1456">
        <f t="shared" ref="HG486:HG491" si="4019">-(HG496/GY496-1)</f>
        <v>-0.0568564554931836</v>
      </c>
      <c r="HH486" s="1456">
        <f t="shared" ref="HH486:HH491" si="4020">-(HH496/GZ496-1)</f>
        <v>-0.0594051446945336</v>
      </c>
      <c r="HI486" s="1457">
        <f t="shared" ref="HI486:HQ491" si="4021">-(HI496/HA496-1)</f>
        <v>-0.071329100962523</v>
      </c>
      <c r="HJ486" s="1456">
        <f t="shared" si="4021"/>
        <v>-0.0253600500939262</v>
      </c>
      <c r="HK486" s="1456">
        <f t="shared" si="4021"/>
        <v>-0.0486379846725851</v>
      </c>
      <c r="HL486" s="1456">
        <f t="shared" si="4021"/>
        <v>-0.0371797341552687</v>
      </c>
      <c r="HM486" s="1456">
        <f t="shared" si="4021"/>
        <v>-0.0558464223385691</v>
      </c>
      <c r="HN486" s="1456">
        <f t="shared" si="4021"/>
        <v>-0.043466039760822</v>
      </c>
      <c r="HO486" s="1456">
        <f t="shared" si="4021"/>
        <v>-0.0941649594051142</v>
      </c>
      <c r="HP486" s="1456">
        <f t="shared" si="4021"/>
        <v>-0.0750056908718417</v>
      </c>
      <c r="HQ486" s="1457">
        <f t="shared" si="4021"/>
        <v>-0.0562384111024028</v>
      </c>
      <c r="HR486" s="1456">
        <f t="shared" ref="HR486:HR491" si="4022">-(HR496/HJ496-1)</f>
        <v>-0.083969465648855</v>
      </c>
      <c r="HS486" s="1456">
        <f t="shared" ref="HS486:HS491" si="4023">-(HS496/HK496-1)</f>
        <v>-0.0781476121562954</v>
      </c>
      <c r="HT486" s="1456">
        <f t="shared" ref="HT486:HT491" si="4024">-(HT496/HL496-1)</f>
        <v>-0.0809806835066866</v>
      </c>
      <c r="HU486" s="1456">
        <f t="shared" ref="HU486:HU491" si="4025">-(HU496/HM496-1)</f>
        <v>-0.130434782608696</v>
      </c>
      <c r="HV486" s="1456">
        <f t="shared" ref="HV486:HV491" si="4026">-(HV496/HN496-1)</f>
        <v>-0.0978327415207543</v>
      </c>
      <c r="HW486" s="1456">
        <f t="shared" ref="HW486:HW491" si="4027">-(HW496/HO496-1)</f>
        <v>-0.102635228848821</v>
      </c>
      <c r="HX486" s="1456">
        <f t="shared" ref="HX486:HX491" si="4028">-(HX496/HP496-1)</f>
        <v>-0.116287277218987</v>
      </c>
      <c r="HY486" s="1457">
        <f t="shared" ref="HY486:HY491" si="4029">-(HY496/HQ496-1)</f>
        <v>-0.0990860555605828</v>
      </c>
      <c r="HZ486" s="1456">
        <f t="shared" ref="HZ486:HZ491" si="4030">-(HZ496/HR496-1)</f>
        <v>-0.129225352112676</v>
      </c>
      <c r="IA486" s="1456">
        <f t="shared" ref="IA486:IA491" si="4031">-(IA496/HS496-1)</f>
        <v>-0.0604026845637584</v>
      </c>
      <c r="IB486" s="1456">
        <f t="shared" ref="IB486:IB491" si="4032">-(IB496/HT496-1)</f>
        <v>1</v>
      </c>
      <c r="IC486" s="1456">
        <f t="shared" ref="IC486:IC491" si="4033">-(IC496/HU496-1)</f>
        <v>-0.00445009535918617</v>
      </c>
      <c r="ID486" s="1456">
        <f t="shared" ref="ID486:ID491" si="4034">-(ID496/HV496-1)</f>
        <v>1</v>
      </c>
      <c r="IE486" s="1456">
        <f t="shared" ref="IE486:IE491" si="4035">-(IE496/HW496-1)</f>
        <v>-0.0220125786163523</v>
      </c>
      <c r="IF486" s="1456">
        <f t="shared" ref="IF486:IF491" si="4036">-(IF496/HX496-1)</f>
        <v>1</v>
      </c>
      <c r="IG486" s="1457">
        <f t="shared" ref="IG486:IG491" si="4037">-(IG496/HY496-1)</f>
        <v>-0.0519512596739669</v>
      </c>
      <c r="IH486" s="1456">
        <f t="shared" ref="IH486:IO491" si="4038">-(IH496/HZ496-1)</f>
        <v>0.00261927034611775</v>
      </c>
      <c r="II486" s="1456">
        <f t="shared" si="4038"/>
        <v>-0.0371518987341772</v>
      </c>
      <c r="IJ486" s="1456" t="e">
        <f t="shared" si="4038"/>
        <v>#DIV/0!</v>
      </c>
      <c r="IK486" s="1456">
        <f t="shared" si="4038"/>
        <v>-0.0905063291139241</v>
      </c>
      <c r="IL486" s="1456" t="e">
        <f t="shared" si="4038"/>
        <v>#DIV/0!</v>
      </c>
      <c r="IM486" s="1456">
        <f t="shared" si="4038"/>
        <v>-0.103076923076923</v>
      </c>
      <c r="IN486" s="1456" t="e">
        <f t="shared" si="4038"/>
        <v>#DIV/0!</v>
      </c>
      <c r="IO486" s="1457">
        <f t="shared" si="4038"/>
        <v>-0.0571339124990218</v>
      </c>
      <c r="IP486" s="1456">
        <f t="shared" ref="IP486:IP491" si="4039">-(IP496/IH496-1)</f>
        <v>-0.146126430313262</v>
      </c>
      <c r="IQ486" s="1456">
        <f t="shared" ref="IQ486:IQ491" si="4040">-(IQ496/II496-1)</f>
        <v>-0.120400317324709</v>
      </c>
      <c r="IR486" s="1456" t="e">
        <f t="shared" ref="IR486:IR491" si="4041">-(IR496/IJ496-1)</f>
        <v>#DIV/0!</v>
      </c>
      <c r="IS486" s="1456">
        <f t="shared" ref="IS486:IS491" si="4042">-(IS496/IK496-1)</f>
        <v>-0.0870574579222287</v>
      </c>
      <c r="IT486" s="1456" t="e">
        <f t="shared" ref="IT486:IT491" si="4043">-(IT496/IL496-1)</f>
        <v>#DIV/0!</v>
      </c>
      <c r="IU486" s="1456">
        <f t="shared" ref="IU486:IU491" si="4044">-(IU496/IM496-1)</f>
        <v>-0.0449093444909345</v>
      </c>
      <c r="IV486" s="1456" t="e">
        <f t="shared" ref="IV486:IV491" si="4045">-(IV496/IN496-1)</f>
        <v>#DIV/0!</v>
      </c>
      <c r="IW486" s="1457">
        <f t="shared" ref="IW486:IW491" si="4046">-(IW496/IO496-1)</f>
        <v>-0.0979492115199525</v>
      </c>
      <c r="IX486" s="1049"/>
      <c r="IY486" s="1049"/>
      <c r="IZ486" s="1049"/>
      <c r="JA486" s="1049"/>
      <c r="JB486" s="1049"/>
      <c r="JC486" s="1049"/>
      <c r="JD486" s="1041"/>
      <c r="JE486" s="1037"/>
      <c r="JF486" s="1037"/>
      <c r="JG486" s="1037"/>
      <c r="JH486" s="1037"/>
      <c r="JI486" s="1035"/>
      <c r="JJ486" s="1035"/>
      <c r="JK486" s="1035"/>
      <c r="JL486" s="1035"/>
      <c r="JM486" s="1035"/>
      <c r="JN486" s="1035"/>
      <c r="JO486" s="1035"/>
      <c r="JP486" s="1035"/>
      <c r="JQ486" s="1035"/>
      <c r="JR486" s="1035"/>
      <c r="JS486" s="1035"/>
      <c r="JT486" s="1035"/>
      <c r="JU486" s="1035"/>
      <c r="JV486" s="1035"/>
      <c r="JW486" s="1035"/>
      <c r="JX486" s="1035"/>
      <c r="JY486" s="1035"/>
    </row>
    <row r="487" spans="1:285">
      <c r="A487" s="1035" t="s">
        <v>202</v>
      </c>
      <c r="B487" s="1057"/>
      <c r="J487" s="1057"/>
      <c r="R487" s="1057"/>
      <c r="Z487" s="1057"/>
      <c r="AH487" s="1057"/>
      <c r="AP487" s="1057"/>
      <c r="AX487" s="1057"/>
      <c r="BF487" s="1057"/>
      <c r="BN487" s="1057"/>
      <c r="BV487" s="1057"/>
      <c r="CD487" s="1057"/>
      <c r="CL487" s="1057"/>
      <c r="DB487" s="1443">
        <v>-0.0568693682718939</v>
      </c>
      <c r="DC487" s="1426">
        <v>-0.0325621263394967</v>
      </c>
      <c r="DD487" s="1426"/>
      <c r="DE487" s="1426">
        <v>-0.0510104270628163</v>
      </c>
      <c r="DF487" s="1426"/>
      <c r="DG487" s="1426">
        <v>0.164822884616005</v>
      </c>
      <c r="DH487" s="1426"/>
      <c r="DI487" s="1444"/>
      <c r="DJ487" s="1426">
        <v>0.159138883943703</v>
      </c>
      <c r="DK487" s="1426">
        <v>0.0926104097663651</v>
      </c>
      <c r="DL487" s="1426"/>
      <c r="DM487" s="1426">
        <v>0.0681391100252491</v>
      </c>
      <c r="DN487" s="1426"/>
      <c r="DO487" s="1455">
        <f>'[137]Master FX'!$Z$56</f>
        <v>-0.146514751213692</v>
      </c>
      <c r="DQ487" s="1444" t="e">
        <f>#REF!</f>
        <v>#REF!</v>
      </c>
      <c r="DR487" s="1426">
        <f>-'[137]Master FX'!AA56</f>
        <v>0.174760473635933</v>
      </c>
      <c r="DS487" s="1426">
        <f>-'[137]Master FX'!AB56</f>
        <v>0.193146862883905</v>
      </c>
      <c r="DT487" s="1426">
        <f t="shared" si="3934"/>
        <v>0.183953668259919</v>
      </c>
      <c r="DU487" s="1426">
        <f>-'[137]Master FX'!AC56</f>
        <v>0.153123747254066</v>
      </c>
      <c r="DV487" s="1426">
        <f t="shared" si="3935"/>
        <v>0.173677027924635</v>
      </c>
      <c r="DW487" s="1426">
        <f>-'[137]Master FX'!AD56</f>
        <v>0.10301258976891</v>
      </c>
      <c r="DX487" s="1426">
        <f t="shared" si="3936"/>
        <v>0.128068168511488</v>
      </c>
      <c r="DY487" s="1444">
        <f>-'[137]Master FX'!AA117</f>
        <v>0.157613769088759</v>
      </c>
      <c r="DZ487" s="1426">
        <f>-'[137]Master FX'!AE56</f>
        <v>0.0846051295650737</v>
      </c>
      <c r="EA487" s="1426">
        <f>-'[137]Master FX'!AF56</f>
        <v>-0.00664450291857266</v>
      </c>
      <c r="EB487" s="1426">
        <f t="shared" si="3937"/>
        <v>0.0389803133232505</v>
      </c>
      <c r="EC487" s="1426">
        <f>-'[137]Master FX'!AG56</f>
        <v>-0.020539471422929</v>
      </c>
      <c r="ED487" s="1426">
        <f t="shared" si="3938"/>
        <v>0.019140385074524</v>
      </c>
      <c r="EE487" s="1426">
        <f>-'[137]Master FX'!AH56</f>
        <v>-0.0521580389903293</v>
      </c>
      <c r="EF487" s="1426">
        <f t="shared" si="3939"/>
        <v>-0.0363487552066292</v>
      </c>
      <c r="EG487" s="1444">
        <f>-'[137]Master FX'!AE117</f>
        <v>0.00311559734289624</v>
      </c>
      <c r="EH487" s="1426">
        <f>-'[137]Master FX'!$AI$56</f>
        <v>-0.0159266520427894</v>
      </c>
      <c r="EI487" s="1426">
        <f>-'[137]Master FX'!$AJ$56</f>
        <v>-0.0953334202186626</v>
      </c>
      <c r="EJ487" s="1426">
        <f t="shared" si="3940"/>
        <v>-0.055630036130726</v>
      </c>
      <c r="EK487" s="1426">
        <f>-'[137]Master FX'!$AK$56</f>
        <v>-0.0996346894708997</v>
      </c>
      <c r="EL487" s="1426">
        <f t="shared" si="3941"/>
        <v>-0.0702982539107839</v>
      </c>
      <c r="EM487" s="1426">
        <f>-'[137]Master FX'!$AL$56</f>
        <v>-0.101284823659754</v>
      </c>
      <c r="EN487" s="1426">
        <f t="shared" si="3942"/>
        <v>-0.100459756565327</v>
      </c>
      <c r="EO487" s="1444">
        <f>-'[137]Master FX'!$AI$117</f>
        <v>-0.0784889933144906</v>
      </c>
      <c r="EP487" s="1426">
        <f>-'[137]Master FX'!AM$56</f>
        <v>-0.137514466872366</v>
      </c>
      <c r="EQ487" s="1426">
        <f>-'[137]Master FX'!AN$56</f>
        <v>-0.0737950268648644</v>
      </c>
      <c r="ER487" s="1082">
        <f t="shared" si="3997"/>
        <v>-0.105654746868615</v>
      </c>
      <c r="ES487" s="1426">
        <f>-'[137]Master FX'!AO$56</f>
        <v>-0.194089122107588</v>
      </c>
      <c r="ET487" s="1082">
        <f t="shared" si="3998"/>
        <v>-0.135132871948273</v>
      </c>
      <c r="EU487" s="1426">
        <f>-'[137]Master FX'!AP$56</f>
        <v>-0.161521074400687</v>
      </c>
      <c r="EV487" s="1426">
        <f t="shared" si="3943"/>
        <v>-0.177805098254137</v>
      </c>
      <c r="EW487" s="1444">
        <f t="shared" si="3944"/>
        <v>-0.141729922561376</v>
      </c>
      <c r="EX487" s="1426">
        <f>-'[137]Master FX'!AQ$56</f>
        <v>-0.228524872783282</v>
      </c>
      <c r="EY487" s="1426">
        <f>-'[137]Master FX'!AR$56</f>
        <v>-0.132863573204018</v>
      </c>
      <c r="EZ487" s="1082">
        <f t="shared" si="3945"/>
        <v>-0.18069422299365</v>
      </c>
      <c r="FA487" s="1426">
        <f>-'[137]Master FX'!AS$56</f>
        <v>0.00538569883586104</v>
      </c>
      <c r="FB487" s="1082">
        <f t="shared" si="3946"/>
        <v>-0.118667582383813</v>
      </c>
      <c r="FC487" s="1426">
        <f>-'[137]Master FX'!AT$56</f>
        <v>-0.025902291157311</v>
      </c>
      <c r="FD487" s="1426">
        <f t="shared" si="3947"/>
        <v>-0.010258296160725</v>
      </c>
      <c r="FE487" s="1444">
        <f t="shared" si="3948"/>
        <v>-0.0954762595771877</v>
      </c>
      <c r="FF487" s="1426">
        <f>-'[137]Master FX'!AU$56</f>
        <v>0.00507818680703764</v>
      </c>
      <c r="FG487" s="1426">
        <f>-'[137]Master FX'!AV$56</f>
        <v>-0.111782580654083</v>
      </c>
      <c r="FH487" s="1082">
        <f t="shared" si="3999"/>
        <v>-0.0533521969235227</v>
      </c>
      <c r="FI487" s="1426">
        <f>-'[137]Master FX'!AW$56</f>
        <v>-0.308681046476117</v>
      </c>
      <c r="FJ487" s="1082">
        <f t="shared" si="4000"/>
        <v>-0.138461813441054</v>
      </c>
      <c r="FK487" s="1426">
        <f>-'[137]Master FX'!AX$56</f>
        <v>-0.324791647564964</v>
      </c>
      <c r="FL487" s="1426">
        <f t="shared" si="3949"/>
        <v>-0.316736347020541</v>
      </c>
      <c r="FM487" s="1444">
        <f t="shared" si="3950"/>
        <v>-0.185044271972032</v>
      </c>
      <c r="FN487" s="1426">
        <f>-'[137]Master FX'!AY$56</f>
        <v>-0.333992611724754</v>
      </c>
      <c r="FO487" s="1426">
        <f>-'[137]Master FX'!AZ$56</f>
        <v>-0.165438296209315</v>
      </c>
      <c r="FP487" s="1082">
        <f t="shared" si="4001"/>
        <v>-0.249715453967034</v>
      </c>
      <c r="FQ487" s="1426">
        <f>-'[137]Master FX'!BA$56</f>
        <v>0.0815594725214108</v>
      </c>
      <c r="FR487" s="1082">
        <f t="shared" si="4002"/>
        <v>-0.139290478470886</v>
      </c>
      <c r="FS487" s="1426">
        <f>-'[137]Master FX'!BB$56</f>
        <v>0.156915465952106</v>
      </c>
      <c r="FT487" s="1426">
        <f t="shared" si="3951"/>
        <v>0.119237469236758</v>
      </c>
      <c r="FU487" s="1426">
        <f t="shared" si="3952"/>
        <v>-0.065238992365138</v>
      </c>
      <c r="FV487" s="1443">
        <f>-'[137]Master FX'!BC$56</f>
        <v>0.220410433199256</v>
      </c>
      <c r="FW487" s="1426">
        <f>-'[137]Master FX'!BD$56</f>
        <v>0.106568428864013</v>
      </c>
      <c r="FX487" s="1082">
        <f t="shared" si="4003"/>
        <v>0.163489431031635</v>
      </c>
      <c r="FY487" s="1426">
        <f>-'[137]Master FX'!BE$56</f>
        <v>-0.025794254031861</v>
      </c>
      <c r="FZ487" s="1082">
        <f t="shared" si="4004"/>
        <v>0.100394869343803</v>
      </c>
      <c r="GA487" s="1426">
        <f>-'[137]Master FX'!BF$56</f>
        <v>-0.0495948357909342</v>
      </c>
      <c r="GB487" s="1426">
        <f t="shared" si="3953"/>
        <v>-0.0376945449113976</v>
      </c>
      <c r="GC487" s="1444">
        <f t="shared" si="3954"/>
        <v>0.0628974430601186</v>
      </c>
      <c r="GD487" s="1456">
        <f t="shared" si="4005"/>
        <v>-0.189358889699116</v>
      </c>
      <c r="GE487" s="1456">
        <f t="shared" si="4005"/>
        <v>-0.21418296021281</v>
      </c>
      <c r="GF487" s="1456">
        <f t="shared" si="4005"/>
        <v>-0.202113223044576</v>
      </c>
      <c r="GG487" s="1456">
        <f t="shared" si="4005"/>
        <v>-0.235158485095816</v>
      </c>
      <c r="GH487" s="1456">
        <f t="shared" si="4005"/>
        <v>-0.213688340629157</v>
      </c>
      <c r="GI487" s="1456">
        <f t="shared" si="4005"/>
        <v>-0.128105115441331</v>
      </c>
      <c r="GJ487" s="1456">
        <f t="shared" si="4005"/>
        <v>-0.181202282199851</v>
      </c>
      <c r="GK487" s="1457">
        <f t="shared" si="4005"/>
        <v>-0.191222020709706</v>
      </c>
      <c r="GL487" s="1456">
        <f t="shared" si="4005"/>
        <v>-0.0720020070245859</v>
      </c>
      <c r="GM487" s="1456">
        <f t="shared" si="4005"/>
        <v>0</v>
      </c>
      <c r="GN487" s="1456">
        <f t="shared" si="4005"/>
        <v>-0.034636736664253</v>
      </c>
      <c r="GO487" s="1456">
        <f t="shared" si="4005"/>
        <v>0.0507625272331154</v>
      </c>
      <c r="GP487" s="1456">
        <f t="shared" si="4005"/>
        <v>-0.00419384902143527</v>
      </c>
      <c r="GQ487" s="1456">
        <f t="shared" si="4005"/>
        <v>-0.0438967136150235</v>
      </c>
      <c r="GR487" s="1456">
        <f t="shared" si="4005"/>
        <v>0.00519774011299423</v>
      </c>
      <c r="GS487" s="1457">
        <f t="shared" si="4005"/>
        <v>-0.0140639589169</v>
      </c>
      <c r="GT487" s="1456">
        <f t="shared" si="4006"/>
        <v>-0.109290896325767</v>
      </c>
      <c r="GU487" s="1456">
        <f t="shared" si="4007"/>
        <v>-0.218604651162791</v>
      </c>
      <c r="GV487" s="1456">
        <f t="shared" si="4008"/>
        <v>-0.164119911349586</v>
      </c>
      <c r="GW487" s="1456">
        <f t="shared" si="4009"/>
        <v>-0.443653890291485</v>
      </c>
      <c r="GX487" s="1456">
        <f t="shared" si="4010"/>
        <v>-0.25831399845321</v>
      </c>
      <c r="GY487" s="1456">
        <f t="shared" si="4011"/>
        <v>-0.481897908702496</v>
      </c>
      <c r="GZ487" s="1456">
        <f t="shared" si="4012"/>
        <v>-0.462971376646979</v>
      </c>
      <c r="HA487" s="1457">
        <f t="shared" si="4013"/>
        <v>-0.315532025090637</v>
      </c>
      <c r="HB487" s="1456">
        <f t="shared" si="4014"/>
        <v>-0.392405063291139</v>
      </c>
      <c r="HC487" s="1456">
        <f t="shared" si="4015"/>
        <v>-0.21469465648855</v>
      </c>
      <c r="HD487" s="1456">
        <f t="shared" si="4016"/>
        <v>-0.299098196392785</v>
      </c>
      <c r="HE487" s="1456">
        <f t="shared" si="4017"/>
        <v>-0.0119236883942766</v>
      </c>
      <c r="HF487" s="1456">
        <f t="shared" si="4018"/>
        <v>-0.188076213890596</v>
      </c>
      <c r="HG487" s="1456">
        <f t="shared" si="4019"/>
        <v>0.0341426403641881</v>
      </c>
      <c r="HH487" s="1456">
        <f t="shared" si="4020"/>
        <v>0.0116459627329192</v>
      </c>
      <c r="HI487" s="1457">
        <f t="shared" si="4021"/>
        <v>-0.124015748031496</v>
      </c>
      <c r="HJ487" s="1456">
        <f t="shared" si="4021"/>
        <v>0.121212121212121</v>
      </c>
      <c r="HK487" s="1456">
        <f t="shared" si="4021"/>
        <v>0.175176747839749</v>
      </c>
      <c r="HL487" s="1456">
        <f t="shared" si="4021"/>
        <v>0.147705360586194</v>
      </c>
      <c r="HM487" s="1456">
        <f t="shared" si="4021"/>
        <v>0.168892380204242</v>
      </c>
      <c r="HN487" s="1456">
        <f t="shared" si="4021"/>
        <v>0.154681841696844</v>
      </c>
      <c r="HO487" s="1456">
        <f t="shared" si="4021"/>
        <v>0.154752553024352</v>
      </c>
      <c r="HP487" s="1456">
        <f t="shared" si="4021"/>
        <v>0.161822466614297</v>
      </c>
      <c r="HQ487" s="1457">
        <f t="shared" si="4021"/>
        <v>0.154699357851722</v>
      </c>
      <c r="HR487" s="1456">
        <f t="shared" si="4022"/>
        <v>0.039655172413793</v>
      </c>
      <c r="HS487" s="1456">
        <f t="shared" si="4023"/>
        <v>-0.0457142857142858</v>
      </c>
      <c r="HT487" s="1456">
        <f t="shared" si="4024"/>
        <v>-0.000904977375565608</v>
      </c>
      <c r="HU487" s="1456">
        <f t="shared" si="4025"/>
        <v>-0.00472589792060507</v>
      </c>
      <c r="HV487" s="1456">
        <f t="shared" si="4026"/>
        <v>-0.00214198286413714</v>
      </c>
      <c r="HW487" s="1456">
        <f t="shared" si="4027"/>
        <v>0.00929368029739774</v>
      </c>
      <c r="HX487" s="1456">
        <f t="shared" si="4028"/>
        <v>0.00234301780693535</v>
      </c>
      <c r="HY487" s="1457">
        <f t="shared" si="4029"/>
        <v>0.00069060773480667</v>
      </c>
      <c r="HZ487" s="1456">
        <f t="shared" si="4030"/>
        <v>0.0377019748653501</v>
      </c>
      <c r="IA487" s="1456">
        <f t="shared" si="4031"/>
        <v>0.02367941712204</v>
      </c>
      <c r="IB487" s="1456">
        <f t="shared" si="4032"/>
        <v>1</v>
      </c>
      <c r="IC487" s="1456">
        <f t="shared" si="4033"/>
        <v>-0.0084666039510819</v>
      </c>
      <c r="ID487" s="1456">
        <f t="shared" si="4034"/>
        <v>1</v>
      </c>
      <c r="IE487" s="1456">
        <f t="shared" si="4035"/>
        <v>-0.168480300187617</v>
      </c>
      <c r="IF487" s="1456">
        <f t="shared" si="4036"/>
        <v>1</v>
      </c>
      <c r="IG487" s="1457">
        <f t="shared" si="4037"/>
        <v>-0.0277816171389083</v>
      </c>
      <c r="IH487" s="1456">
        <f t="shared" si="4038"/>
        <v>-0.141791044776119</v>
      </c>
      <c r="II487" s="1456">
        <f t="shared" si="4038"/>
        <v>-0.197761194029851</v>
      </c>
      <c r="IJ487" s="1456" t="e">
        <f t="shared" si="4038"/>
        <v>#DIV/0!</v>
      </c>
      <c r="IK487" s="1456">
        <f t="shared" si="4038"/>
        <v>-0.188432835820896</v>
      </c>
      <c r="IL487" s="1456" t="e">
        <f t="shared" si="4038"/>
        <v>#DIV/0!</v>
      </c>
      <c r="IM487" s="1456">
        <f t="shared" si="4038"/>
        <v>-0.00915221579961467</v>
      </c>
      <c r="IN487" s="1456" t="e">
        <f t="shared" si="4038"/>
        <v>#DIV/0!</v>
      </c>
      <c r="IO487" s="1457">
        <f t="shared" si="4038"/>
        <v>-0.129415456338533</v>
      </c>
      <c r="IP487" s="1456">
        <f t="shared" si="4039"/>
        <v>-0.00816993464052285</v>
      </c>
      <c r="IQ487" s="1456">
        <f t="shared" si="4040"/>
        <v>0.0856697819314641</v>
      </c>
      <c r="IR487" s="1456" t="e">
        <f t="shared" si="4041"/>
        <v>#DIV/0!</v>
      </c>
      <c r="IS487" s="1456">
        <f t="shared" si="4042"/>
        <v>0.0784929356357927</v>
      </c>
      <c r="IT487" s="1456" t="e">
        <f t="shared" si="4043"/>
        <v>#DIV/0!</v>
      </c>
      <c r="IU487" s="1456">
        <f t="shared" si="4044"/>
        <v>0.066030230708035</v>
      </c>
      <c r="IV487" s="1456" t="e">
        <f t="shared" si="4045"/>
        <v>#DIV/0!</v>
      </c>
      <c r="IW487" s="1457">
        <f t="shared" si="4046"/>
        <v>0.0561619368922405</v>
      </c>
      <c r="IX487" s="1049"/>
      <c r="IY487" s="1049"/>
      <c r="IZ487" s="1049"/>
      <c r="JA487" s="1049"/>
      <c r="JB487" s="1049"/>
      <c r="JC487" s="1049"/>
      <c r="JD487" s="1041"/>
      <c r="JE487" s="1037"/>
      <c r="JF487" s="1037"/>
      <c r="JG487" s="1037"/>
      <c r="JH487" s="1037"/>
      <c r="JI487" s="1035"/>
      <c r="JJ487" s="1035"/>
      <c r="JK487" s="1035"/>
      <c r="JL487" s="1035"/>
      <c r="JM487" s="1035"/>
      <c r="JN487" s="1035"/>
      <c r="JO487" s="1035"/>
      <c r="JP487" s="1035"/>
      <c r="JQ487" s="1035"/>
      <c r="JR487" s="1035"/>
      <c r="JS487" s="1035"/>
      <c r="JT487" s="1035"/>
      <c r="JU487" s="1035"/>
      <c r="JV487" s="1035"/>
      <c r="JW487" s="1035"/>
      <c r="JX487" s="1035"/>
      <c r="JY487" s="1035"/>
    </row>
    <row r="488" spans="1:285">
      <c r="A488" s="1035" t="s">
        <v>205</v>
      </c>
      <c r="B488" s="1057"/>
      <c r="J488" s="1057"/>
      <c r="R488" s="1057"/>
      <c r="Z488" s="1057"/>
      <c r="AH488" s="1057"/>
      <c r="AP488" s="1057"/>
      <c r="AX488" s="1057"/>
      <c r="BF488" s="1057"/>
      <c r="BN488" s="1057"/>
      <c r="BV488" s="1057"/>
      <c r="CD488" s="1057"/>
      <c r="CL488" s="1057"/>
      <c r="DB488" s="1426"/>
      <c r="DC488" s="1426"/>
      <c r="DD488" s="1426"/>
      <c r="DE488" s="1426"/>
      <c r="DF488" s="1426"/>
      <c r="DG488" s="1426"/>
      <c r="DH488" s="1426"/>
      <c r="DI488" s="1444"/>
      <c r="DJ488" s="1426"/>
      <c r="DK488" s="1426"/>
      <c r="DL488" s="1426"/>
      <c r="DM488" s="1426"/>
      <c r="DN488" s="1426"/>
      <c r="DO488" s="1455"/>
      <c r="DQ488" s="1426"/>
      <c r="DR488" s="1426">
        <f>-'[137]Master FX'!AA$57</f>
        <v>-0.148642005175663</v>
      </c>
      <c r="DS488" s="1426">
        <f>-'[137]Master FX'!AB$57</f>
        <v>0.0221414976300807</v>
      </c>
      <c r="DT488" s="1426">
        <f t="shared" si="3934"/>
        <v>-0.0632502537727909</v>
      </c>
      <c r="DU488" s="1426">
        <f>-'[137]Master FX'!AC$57</f>
        <v>0.0697077302643865</v>
      </c>
      <c r="DV488" s="1426">
        <f t="shared" si="3935"/>
        <v>-0.0189309257603985</v>
      </c>
      <c r="DW488" s="1426">
        <f>-'[137]Master FX'!AD$57</f>
        <v>0.0440371762080125</v>
      </c>
      <c r="DX488" s="1426">
        <f t="shared" si="3936"/>
        <v>0.0568724532361995</v>
      </c>
      <c r="DY488" s="1444">
        <f>AVERAGE(DW488,DU488,DS488,DR488,)</f>
        <v>-0.00255112021463657</v>
      </c>
      <c r="DZ488" s="1426">
        <f>-'[137]Master FX'!AE$57</f>
        <v>-0.0345144717896071</v>
      </c>
      <c r="EA488" s="1426">
        <f>-'[137]Master FX'!AF$57</f>
        <v>-0.182895914763116</v>
      </c>
      <c r="EB488" s="1426">
        <f t="shared" si="3937"/>
        <v>-0.108705193276361</v>
      </c>
      <c r="EC488" s="1426">
        <f>-'[137]Master FX'!AG$57</f>
        <v>-0.15391322886876</v>
      </c>
      <c r="ED488" s="1426">
        <f t="shared" si="3938"/>
        <v>-0.123774538473828</v>
      </c>
      <c r="EE488" s="1426">
        <f>-'[137]Master FX'!AH$57</f>
        <v>-0.0648786977412159</v>
      </c>
      <c r="EF488" s="1426">
        <f t="shared" si="3939"/>
        <v>-0.109395963304988</v>
      </c>
      <c r="EG488" s="1444">
        <f>AVERAGE(EE488,EC488,EA488,DZ488,)</f>
        <v>-0.0872404626325398</v>
      </c>
      <c r="EH488" s="1426">
        <f>-'[137]Master FX'!AI$57</f>
        <v>-0.0356633107368456</v>
      </c>
      <c r="EI488" s="1426">
        <f>-'[137]Master FX'!AJ$57</f>
        <v>0.0293827935006417</v>
      </c>
      <c r="EJ488" s="1426">
        <f t="shared" si="3940"/>
        <v>-0.00314025861810197</v>
      </c>
      <c r="EK488" s="1426">
        <f>-'[137]Master FX'!AK$57</f>
        <v>0.0196666408483818</v>
      </c>
      <c r="EL488" s="1426">
        <f t="shared" si="3941"/>
        <v>0.00446204120405928</v>
      </c>
      <c r="EM488" s="1426">
        <f>-'[137]Master FX'!AL$57</f>
        <v>-0.0859373154932974</v>
      </c>
      <c r="EN488" s="1426">
        <f t="shared" si="3942"/>
        <v>-0.0331353373224578</v>
      </c>
      <c r="EO488" s="1444">
        <f>AVERAGE(EM488,EK488,EI488,EH488,)</f>
        <v>-0.0145102383762239</v>
      </c>
      <c r="EP488" s="1426">
        <f>-'[137]Master FX'!AM$57</f>
        <v>-0.16268254642947</v>
      </c>
      <c r="EQ488" s="1426">
        <f>-'[137]Master FX'!AN$57</f>
        <v>-0.199219231565025</v>
      </c>
      <c r="ER488" s="1082">
        <f t="shared" si="3997"/>
        <v>-0.180950888997247</v>
      </c>
      <c r="ES488" s="1426">
        <f>-'[137]Master FX'!AO$57</f>
        <v>-0.282661959847563</v>
      </c>
      <c r="ET488" s="1082">
        <f t="shared" si="3998"/>
        <v>-0.214854579280686</v>
      </c>
      <c r="EU488" s="1426">
        <f>-'[137]Master FX'!AP$57</f>
        <v>-0.326153141312213</v>
      </c>
      <c r="EV488" s="1426">
        <f t="shared" si="3943"/>
        <v>-0.304407550579888</v>
      </c>
      <c r="EW488" s="1444">
        <f>AVERAGE(EU488,ES488,EQ488,EP488,)</f>
        <v>-0.194143375830854</v>
      </c>
      <c r="EX488" s="1426">
        <f>-'[137]Master FX'!AQ$57</f>
        <v>-0.572782425597561</v>
      </c>
      <c r="EY488" s="1426">
        <f>-'[137]Master FX'!AR$57</f>
        <v>-0.615146240827085</v>
      </c>
      <c r="EZ488" s="1082">
        <f t="shared" si="3945"/>
        <v>-0.593964333212323</v>
      </c>
      <c r="FA488" s="1426">
        <f>-'[137]Master FX'!AS$57</f>
        <v>-0.486647791866649</v>
      </c>
      <c r="FB488" s="1082">
        <f t="shared" si="3946"/>
        <v>-0.558192152763765</v>
      </c>
      <c r="FC488" s="1426">
        <f>-'[137]Master FX'!AT$57</f>
        <v>-0.287339250856957</v>
      </c>
      <c r="FD488" s="1426">
        <f t="shared" si="3947"/>
        <v>-0.386993521361803</v>
      </c>
      <c r="FE488" s="1444">
        <f t="shared" si="3948"/>
        <v>-0.490478927287063</v>
      </c>
      <c r="FF488" s="1426">
        <f>-'[137]Master FX'!AU$57</f>
        <v>0.0598785358450331</v>
      </c>
      <c r="FG488" s="1426">
        <f>-'[137]Master FX'!AV$57</f>
        <v>0.103487121142326</v>
      </c>
      <c r="FH488" s="1082">
        <f t="shared" si="3999"/>
        <v>0.0816828284936797</v>
      </c>
      <c r="FI488" s="1426">
        <f>-'[137]Master FX'!AW$57</f>
        <v>0.0645989264711745</v>
      </c>
      <c r="FJ488" s="1082">
        <f t="shared" si="4000"/>
        <v>0.075988194486178</v>
      </c>
      <c r="FK488" s="1426">
        <f>-'[137]Master FX'!AX$57</f>
        <v>-0.0470608850017107</v>
      </c>
      <c r="FL488" s="1426">
        <f t="shared" si="3949"/>
        <v>0.0087690207347319</v>
      </c>
      <c r="FM488" s="1444">
        <f t="shared" si="3950"/>
        <v>0.0452259246142058</v>
      </c>
      <c r="FN488" s="1426">
        <f>-'[137]Master FX'!AY$57</f>
        <v>-0.629934641538577</v>
      </c>
      <c r="FO488" s="1426">
        <f>-'[137]Master FX'!AZ$57</f>
        <v>-0.620335601419933</v>
      </c>
      <c r="FP488" s="1082">
        <f t="shared" si="4001"/>
        <v>-0.625135121479255</v>
      </c>
      <c r="FQ488" s="1426">
        <f>-'[137]Master FX'!BA$57</f>
        <v>-0.62277113257794</v>
      </c>
      <c r="FR488" s="1082">
        <f t="shared" si="4002"/>
        <v>-0.624347125178817</v>
      </c>
      <c r="FS488" s="1426">
        <f>-'[137]Master FX'!BB$57</f>
        <v>-0.496247325421636</v>
      </c>
      <c r="FT488" s="1426">
        <f t="shared" si="3951"/>
        <v>-0.559509228999788</v>
      </c>
      <c r="FU488" s="1426">
        <f t="shared" si="3952"/>
        <v>-0.592322175239521</v>
      </c>
      <c r="FV488" s="1443">
        <f>-'[137]Master FX'!BC$57</f>
        <v>-0.0471039004637333</v>
      </c>
      <c r="FW488" s="1426">
        <f>-'[137]Master FX'!BD$57</f>
        <v>-0.0801532125729527</v>
      </c>
      <c r="FX488" s="1082">
        <f t="shared" si="4003"/>
        <v>-0.063628556518343</v>
      </c>
      <c r="FY488" s="1426">
        <f>-'[137]Master FX'!BE$57</f>
        <v>-0.216975101813721</v>
      </c>
      <c r="FZ488" s="1082">
        <f t="shared" si="4004"/>
        <v>-0.114744071616802</v>
      </c>
      <c r="GA488" s="1426">
        <f>-'[137]Master FX'!BF$57</f>
        <v>-0.226201065561203</v>
      </c>
      <c r="GB488" s="1426">
        <f t="shared" si="3953"/>
        <v>-0.221588083687462</v>
      </c>
      <c r="GC488" s="1444">
        <f t="shared" si="3954"/>
        <v>-0.142608320102902</v>
      </c>
      <c r="GD488" s="1456">
        <f t="shared" si="4005"/>
        <v>-0.448658936708203</v>
      </c>
      <c r="GE488" s="1456">
        <f t="shared" si="4005"/>
        <v>-0.413516360313513</v>
      </c>
      <c r="GF488" s="1456">
        <f t="shared" si="4005"/>
        <v>-0.430760055944149</v>
      </c>
      <c r="GG488" s="1456">
        <f t="shared" si="4005"/>
        <v>-0.83357661685077</v>
      </c>
      <c r="GH488" s="1456">
        <f t="shared" si="4005"/>
        <v>-0.581288332697289</v>
      </c>
      <c r="GI488" s="1456">
        <f t="shared" si="4005"/>
        <v>-1.05583057498102</v>
      </c>
      <c r="GJ488" s="1456">
        <f t="shared" si="4005"/>
        <v>-0.945044937262684</v>
      </c>
      <c r="GK488" s="1457">
        <f t="shared" si="4005"/>
        <v>-0.710957789738354</v>
      </c>
      <c r="GL488" s="1456">
        <f t="shared" si="4005"/>
        <v>-0.792476229847044</v>
      </c>
      <c r="GM488" s="1456">
        <f t="shared" si="4005"/>
        <v>-1.01330612244898</v>
      </c>
      <c r="GN488" s="1456">
        <f t="shared" si="4005"/>
        <v>-0.903594167180119</v>
      </c>
      <c r="GO488" s="1456">
        <f t="shared" si="4005"/>
        <v>-0.332930432446952</v>
      </c>
      <c r="GP488" s="1456">
        <f t="shared" si="4005"/>
        <v>-0.656319832402235</v>
      </c>
      <c r="GQ488" s="1456">
        <f t="shared" si="4005"/>
        <v>-0.216666666666667</v>
      </c>
      <c r="GR488" s="1456">
        <f t="shared" si="4005"/>
        <v>-0.271298750473306</v>
      </c>
      <c r="GS488" s="1457">
        <f t="shared" si="4005"/>
        <v>-0.511968417761101</v>
      </c>
      <c r="GT488" s="1456">
        <f t="shared" si="4006"/>
        <v>-0.55119926199262</v>
      </c>
      <c r="GU488" s="1456">
        <f t="shared" si="4007"/>
        <v>-0.436159429104326</v>
      </c>
      <c r="GV488" s="1456">
        <f t="shared" si="4008"/>
        <v>-0.489976911291889</v>
      </c>
      <c r="GW488" s="1456">
        <f t="shared" si="4009"/>
        <v>-0.727899244332494</v>
      </c>
      <c r="GX488" s="1456">
        <f t="shared" si="4010"/>
        <v>-0.57294235863707</v>
      </c>
      <c r="GY488" s="1456">
        <f t="shared" si="4011"/>
        <v>-0.776027397260274</v>
      </c>
      <c r="GZ488" s="1456">
        <f t="shared" si="4012"/>
        <v>-0.752315711094565</v>
      </c>
      <c r="HA488" s="1457">
        <f t="shared" si="4013"/>
        <v>-0.626598280345999</v>
      </c>
      <c r="HB488" s="1456">
        <f t="shared" si="4014"/>
        <v>-0.365893547427892</v>
      </c>
      <c r="HC488" s="1456">
        <f t="shared" si="4015"/>
        <v>-0.596132128740824</v>
      </c>
      <c r="HD488" s="1456">
        <f t="shared" si="4016"/>
        <v>-0.483997103548153</v>
      </c>
      <c r="HE488" s="1456">
        <f t="shared" si="4017"/>
        <v>-0.318646716503201</v>
      </c>
      <c r="HF488" s="1456">
        <f t="shared" si="4018"/>
        <v>-0.420657860056199</v>
      </c>
      <c r="HG488" s="1456">
        <f t="shared" si="4019"/>
        <v>-0.245881769599471</v>
      </c>
      <c r="HH488" s="1456">
        <f t="shared" si="4020"/>
        <v>-0.281231940714553</v>
      </c>
      <c r="HI488" s="1457">
        <f t="shared" si="4021"/>
        <v>-0.370239222891145</v>
      </c>
      <c r="HJ488" s="1456">
        <f t="shared" si="4021"/>
        <v>-0.304016545118102</v>
      </c>
      <c r="HK488" s="1456">
        <f t="shared" si="4021"/>
        <v>-0.111346953214823</v>
      </c>
      <c r="HL488" s="1456">
        <f t="shared" si="4021"/>
        <v>-0.197716404801405</v>
      </c>
      <c r="HM488" s="1456">
        <f t="shared" si="4021"/>
        <v>-0.203413814451225</v>
      </c>
      <c r="HN488" s="1456">
        <f t="shared" si="4021"/>
        <v>-0.199742146473382</v>
      </c>
      <c r="HO488" s="1456">
        <f t="shared" si="4021"/>
        <v>-0.469885911382329</v>
      </c>
      <c r="HP488" s="1456">
        <f t="shared" si="4021"/>
        <v>-0.336649862916777</v>
      </c>
      <c r="HQ488" s="1457">
        <f t="shared" si="4021"/>
        <v>-0.270599424700752</v>
      </c>
      <c r="HR488" s="1456">
        <f t="shared" si="4022"/>
        <v>-6.4991652754591</v>
      </c>
      <c r="HS488" s="1456">
        <f t="shared" si="4023"/>
        <v>-6.14945089925195</v>
      </c>
      <c r="HT488" s="1456">
        <f t="shared" si="4024"/>
        <v>-6.32013362666015</v>
      </c>
      <c r="HU488" s="1456">
        <f t="shared" si="4025"/>
        <v>-5.60248401558022</v>
      </c>
      <c r="HV488" s="1456">
        <f t="shared" si="4026"/>
        <v>-6.06418892354468</v>
      </c>
      <c r="HW488" s="1456">
        <f t="shared" si="4027"/>
        <v>-4.40553549939832</v>
      </c>
      <c r="HX488" s="1456">
        <f t="shared" si="4028"/>
        <v>-4.94435438515235</v>
      </c>
      <c r="HY488" s="1457">
        <f t="shared" si="4029"/>
        <v>-5.56089679221514</v>
      </c>
      <c r="HZ488" s="1456">
        <f t="shared" si="4030"/>
        <v>0</v>
      </c>
      <c r="IA488" s="1456">
        <f t="shared" si="4031"/>
        <v>-0.0284951024042743</v>
      </c>
      <c r="IB488" s="1456">
        <f t="shared" si="4032"/>
        <v>1</v>
      </c>
      <c r="IC488" s="1456">
        <f t="shared" si="4033"/>
        <v>-0.0284951024042743</v>
      </c>
      <c r="ID488" s="1456">
        <f t="shared" si="4034"/>
        <v>1</v>
      </c>
      <c r="IE488" s="1456">
        <f t="shared" si="4035"/>
        <v>-0.186553873552983</v>
      </c>
      <c r="IF488" s="1456">
        <f t="shared" si="4036"/>
        <v>1</v>
      </c>
      <c r="IG488" s="1457">
        <f t="shared" si="4037"/>
        <v>-0.0608860195903829</v>
      </c>
      <c r="IH488" s="1456">
        <f t="shared" si="4038"/>
        <v>-0.218833481745325</v>
      </c>
      <c r="II488" s="1456">
        <f t="shared" si="4038"/>
        <v>-0.414502164502164</v>
      </c>
      <c r="IJ488" s="1456" t="e">
        <f t="shared" si="4038"/>
        <v>#DIV/0!</v>
      </c>
      <c r="IK488" s="1456">
        <f t="shared" si="4038"/>
        <v>-0.686147186147186</v>
      </c>
      <c r="IL488" s="1456" t="e">
        <f t="shared" si="4038"/>
        <v>#DIV/0!</v>
      </c>
      <c r="IM488" s="1456">
        <f t="shared" si="4038"/>
        <v>-0.571294559099437</v>
      </c>
      <c r="IN488" s="1456" t="e">
        <f t="shared" si="4038"/>
        <v>#DIV/0!</v>
      </c>
      <c r="IO488" s="1457">
        <f t="shared" si="4038"/>
        <v>-0.478071555975239</v>
      </c>
      <c r="IP488" s="1456">
        <f t="shared" si="4039"/>
        <v>-0.522374429223744</v>
      </c>
      <c r="IQ488" s="1456">
        <f t="shared" si="4040"/>
        <v>-0.255547054322877</v>
      </c>
      <c r="IR488" s="1456" t="e">
        <f t="shared" si="4041"/>
        <v>#DIV/0!</v>
      </c>
      <c r="IS488" s="1456">
        <f t="shared" si="4042"/>
        <v>-0.0937098844672657</v>
      </c>
      <c r="IT488" s="1456" t="e">
        <f t="shared" si="4043"/>
        <v>#DIV/0!</v>
      </c>
      <c r="IU488" s="1456">
        <f t="shared" si="4044"/>
        <v>-0.0173134328358209</v>
      </c>
      <c r="IV488" s="1456" t="e">
        <f t="shared" si="4045"/>
        <v>#DIV/0!</v>
      </c>
      <c r="IW488" s="1457">
        <f t="shared" si="4046"/>
        <v>-0.191836734693878</v>
      </c>
      <c r="IX488" s="1049"/>
      <c r="IY488" s="1049"/>
      <c r="IZ488" s="1049"/>
      <c r="JA488" s="1049"/>
      <c r="JB488" s="1049"/>
      <c r="JC488" s="1049"/>
      <c r="JD488" s="1041"/>
      <c r="JE488" s="1037"/>
      <c r="JF488" s="1037"/>
      <c r="JG488" s="1037"/>
      <c r="JH488" s="1037"/>
      <c r="JI488" s="1035"/>
      <c r="JJ488" s="1035"/>
      <c r="JK488" s="1035"/>
      <c r="JL488" s="1035"/>
      <c r="JM488" s="1035"/>
      <c r="JN488" s="1035"/>
      <c r="JO488" s="1035"/>
      <c r="JP488" s="1035"/>
      <c r="JQ488" s="1035"/>
      <c r="JR488" s="1035"/>
      <c r="JS488" s="1035"/>
      <c r="JT488" s="1035"/>
      <c r="JU488" s="1035"/>
      <c r="JV488" s="1035"/>
      <c r="JW488" s="1035"/>
      <c r="JX488" s="1035"/>
      <c r="JY488" s="1035"/>
    </row>
    <row r="489" spans="1:285">
      <c r="A489" s="1035" t="s">
        <v>203</v>
      </c>
      <c r="B489" s="1057"/>
      <c r="J489" s="1057"/>
      <c r="R489" s="1057"/>
      <c r="Z489" s="1057"/>
      <c r="AH489" s="1057"/>
      <c r="AP489" s="1057"/>
      <c r="AX489" s="1057"/>
      <c r="BF489" s="1057"/>
      <c r="BN489" s="1057"/>
      <c r="BV489" s="1057"/>
      <c r="CD489" s="1057"/>
      <c r="CL489" s="1057"/>
      <c r="DB489" s="1426"/>
      <c r="DC489" s="1426"/>
      <c r="DD489" s="1426"/>
      <c r="DE489" s="1426"/>
      <c r="DF489" s="1426"/>
      <c r="DG489" s="1426"/>
      <c r="DH489" s="1426"/>
      <c r="DI489" s="1444"/>
      <c r="DJ489" s="1426"/>
      <c r="DK489" s="1426"/>
      <c r="DL489" s="1426"/>
      <c r="DM489" s="1426"/>
      <c r="DN489" s="1426"/>
      <c r="DO489" s="1455"/>
      <c r="DQ489" s="1426"/>
      <c r="DR489" s="1426">
        <f>-'[137]Master FX'!AA49</f>
        <v>-0.0593576188683012</v>
      </c>
      <c r="DS489" s="1426">
        <f>-'[137]Master FX'!AB49</f>
        <v>0.0657017726278663</v>
      </c>
      <c r="DT489" s="1426">
        <f t="shared" si="3934"/>
        <v>0.00317207687978255</v>
      </c>
      <c r="DU489" s="1426">
        <f>-'[137]Master FX'!AC49</f>
        <v>0.104245227565922</v>
      </c>
      <c r="DV489" s="1426">
        <f t="shared" si="3935"/>
        <v>0.0368631271084959</v>
      </c>
      <c r="DW489" s="1426">
        <f>-'[137]Master FX'!AD49</f>
        <v>0.103812905983214</v>
      </c>
      <c r="DX489" s="1426">
        <f t="shared" si="3936"/>
        <v>0.104029066774568</v>
      </c>
      <c r="DY489" s="1444">
        <f>-'[137]Master FX'!AA110</f>
        <v>0.0563943773956583</v>
      </c>
      <c r="DZ489" s="1426">
        <f>-'[137]Master FX'!AE49</f>
        <v>0.0459140050493416</v>
      </c>
      <c r="EA489" s="1426">
        <f>-'[137]Master FX'!AF49</f>
        <v>-0.0763924902683073</v>
      </c>
      <c r="EB489" s="1426">
        <f t="shared" si="3937"/>
        <v>-0.0152392426094828</v>
      </c>
      <c r="EC489" s="1426">
        <f>-'[137]Master FX'!AG49</f>
        <v>-0.0354501948711909</v>
      </c>
      <c r="ED489" s="1426">
        <f t="shared" si="3938"/>
        <v>-0.0219762266967189</v>
      </c>
      <c r="EE489" s="1426">
        <f>-'[137]Master FX'!AH49</f>
        <v>0.0518349410671728</v>
      </c>
      <c r="EF489" s="1426">
        <f t="shared" si="3939"/>
        <v>0.00819237309799092</v>
      </c>
      <c r="EG489" s="1444">
        <f>-'[137]Master FX'!AE110</f>
        <v>-0.00200985534504361</v>
      </c>
      <c r="EH489" s="1426">
        <f>-'[137]Master FX'!$AI$49</f>
        <v>0.0820496834786102</v>
      </c>
      <c r="EI489" s="1426">
        <f>-'[137]Master FX'!$AJ$49</f>
        <v>0.131894017950431</v>
      </c>
      <c r="EJ489" s="1426">
        <f t="shared" si="3940"/>
        <v>0.106971850714521</v>
      </c>
      <c r="EK489" s="1426">
        <f>-'[137]Master FX'!$AK$49</f>
        <v>0.123257803726636</v>
      </c>
      <c r="EL489" s="1426">
        <f t="shared" si="3941"/>
        <v>0.112400501718559</v>
      </c>
      <c r="EM489" s="1426">
        <f>-'[137]Master FX'!$AL$49</f>
        <v>0.0543451648140633</v>
      </c>
      <c r="EN489" s="1426">
        <f t="shared" si="3942"/>
        <v>0.0888014842703494</v>
      </c>
      <c r="EO489" s="1444">
        <f>-'[137]Master FX'!$AI$110</f>
        <v>0.0987847771053239</v>
      </c>
      <c r="EP489" s="1426">
        <f>-'[137]Master FX'!AM$49</f>
        <v>0.00696029465762116</v>
      </c>
      <c r="EQ489" s="1426">
        <f>-'[137]Master FX'!AN$49</f>
        <v>0.0105895277149056</v>
      </c>
      <c r="ER489" s="1082">
        <f t="shared" si="3997"/>
        <v>0.00877491118626339</v>
      </c>
      <c r="ES489" s="1426">
        <f>-'[137]Master FX'!AO$49</f>
        <v>-0.0212255782699906</v>
      </c>
      <c r="ET489" s="1082">
        <f t="shared" si="3998"/>
        <v>-0.00122525196582128</v>
      </c>
      <c r="EU489" s="1426">
        <f>-'[137]Master FX'!AP$49</f>
        <v>-0.0235257010698193</v>
      </c>
      <c r="EV489" s="1426">
        <f t="shared" si="3943"/>
        <v>-0.022375639669905</v>
      </c>
      <c r="EW489" s="1444">
        <f t="shared" si="3944"/>
        <v>-0.00680036424182079</v>
      </c>
      <c r="EX489" s="1426">
        <f>-'[137]Master FX'!AQ$49</f>
        <v>-0.0176871607396434</v>
      </c>
      <c r="EY489" s="1426">
        <f>-'[137]Master FX'!AR$49</f>
        <v>-0.0635018083783248</v>
      </c>
      <c r="EZ489" s="1082">
        <f t="shared" si="3945"/>
        <v>-0.0405944845589841</v>
      </c>
      <c r="FA489" s="1426">
        <f>-'[137]Master FX'!AS$49</f>
        <v>-0.00730513454843718</v>
      </c>
      <c r="FB489" s="1082">
        <f t="shared" si="3946"/>
        <v>-0.0294980345554684</v>
      </c>
      <c r="FC489" s="1426">
        <f>-'[137]Master FX'!AT$49</f>
        <v>0.0739559718514252</v>
      </c>
      <c r="FD489" s="1426">
        <f t="shared" si="3947"/>
        <v>0.033325418651494</v>
      </c>
      <c r="FE489" s="1444">
        <f t="shared" si="3948"/>
        <v>-0.00363453295374502</v>
      </c>
      <c r="FF489" s="1426">
        <f>-'[137]Master FX'!AU$49</f>
        <v>0.1595702551931</v>
      </c>
      <c r="FG489" s="1426">
        <f>-'[137]Master FX'!AV$49</f>
        <v>0.196903207620326</v>
      </c>
      <c r="FH489" s="1082">
        <f t="shared" si="3999"/>
        <v>0.178236731406713</v>
      </c>
      <c r="FI489" s="1426">
        <f>-'[137]Master FX'!AW$49</f>
        <v>0.142391673744451</v>
      </c>
      <c r="FJ489" s="1082">
        <f t="shared" si="4000"/>
        <v>0.166288378852625</v>
      </c>
      <c r="FK489" s="1426">
        <f>-'[137]Master FX'!AX$49</f>
        <v>0.0883297871112465</v>
      </c>
      <c r="FL489" s="1426">
        <f t="shared" si="3949"/>
        <v>0.115360730427849</v>
      </c>
      <c r="FM489" s="1444">
        <f t="shared" si="3950"/>
        <v>0.146798730917281</v>
      </c>
      <c r="FN489" s="1426">
        <f>-'[137]Master FX'!AY$49</f>
        <v>-0.0264424737747528</v>
      </c>
      <c r="FO489" s="1426">
        <f>-'[137]Master FX'!AZ$49</f>
        <v>-0.0750039700145941</v>
      </c>
      <c r="FP489" s="1082">
        <f t="shared" si="4001"/>
        <v>-0.0507232218946735</v>
      </c>
      <c r="FQ489" s="1426">
        <f>-'[137]Master FX'!BA$49</f>
        <v>-0.0616536824837619</v>
      </c>
      <c r="FR489" s="1082">
        <f t="shared" si="4002"/>
        <v>-0.054366708757703</v>
      </c>
      <c r="FS489" s="1426">
        <f>-'[137]Master FX'!BB$49</f>
        <v>-0.0515539486822549</v>
      </c>
      <c r="FT489" s="1426">
        <f t="shared" si="3951"/>
        <v>-0.0566038155830084</v>
      </c>
      <c r="FU489" s="1426">
        <f t="shared" si="3952"/>
        <v>-0.053663518738841</v>
      </c>
      <c r="FV489" s="1443">
        <f>-'[137]Master FX'!BC$49</f>
        <v>-0.0179865848259497</v>
      </c>
      <c r="FW489" s="1426">
        <f>-'[137]Master FX'!BD$49</f>
        <v>-0.0239720729259758</v>
      </c>
      <c r="FX489" s="1082">
        <f t="shared" si="4003"/>
        <v>-0.0209793288759628</v>
      </c>
      <c r="FY489" s="1426">
        <f>-'[137]Master FX'!BE$49</f>
        <v>-0.0532355314044302</v>
      </c>
      <c r="FZ489" s="1082">
        <f t="shared" si="4004"/>
        <v>-0.0317313963854519</v>
      </c>
      <c r="GA489" s="1426">
        <f>-'[137]Master FX'!BF$49</f>
        <v>-0.0589960110704442</v>
      </c>
      <c r="GB489" s="1426">
        <f t="shared" si="3953"/>
        <v>-0.0561157712374372</v>
      </c>
      <c r="GC489" s="1444">
        <f t="shared" si="3954"/>
        <v>-0.0385475500567</v>
      </c>
      <c r="GD489" s="1456">
        <f t="shared" si="4005"/>
        <v>-0.0637269122908808</v>
      </c>
      <c r="GE489" s="1456">
        <f t="shared" si="4005"/>
        <v>-0.02836771847749</v>
      </c>
      <c r="GF489" s="1456">
        <f t="shared" si="4005"/>
        <v>-0.0457938860764164</v>
      </c>
      <c r="GG489" s="1456">
        <f t="shared" si="4005"/>
        <v>-0.0109440205423077</v>
      </c>
      <c r="GH489" s="1456">
        <f t="shared" si="4005"/>
        <v>-0.0337809077762503</v>
      </c>
      <c r="GI489" s="1456">
        <f t="shared" si="4005"/>
        <v>-0.0337677245191912</v>
      </c>
      <c r="GJ489" s="1456">
        <f t="shared" si="4005"/>
        <v>-0.0222840312164503</v>
      </c>
      <c r="GK489" s="1457">
        <f t="shared" si="4005"/>
        <v>-0.0337775598813248</v>
      </c>
      <c r="GL489" s="1456">
        <f t="shared" si="4005"/>
        <v>0.0192061459667093</v>
      </c>
      <c r="GM489" s="1456">
        <f t="shared" si="4005"/>
        <v>0.0118404118404118</v>
      </c>
      <c r="GN489" s="1456">
        <f t="shared" si="4005"/>
        <v>0.015532734274711</v>
      </c>
      <c r="GO489" s="1456">
        <f t="shared" si="4005"/>
        <v>0.0116756074471442</v>
      </c>
      <c r="GP489" s="1456">
        <f t="shared" si="4005"/>
        <v>0.0142325284544197</v>
      </c>
      <c r="GQ489" s="1456">
        <f t="shared" si="4005"/>
        <v>0.00875000000000004</v>
      </c>
      <c r="GR489" s="1456">
        <f t="shared" si="4005"/>
        <v>0.0102056837808133</v>
      </c>
      <c r="GS489" s="1457">
        <f t="shared" si="4005"/>
        <v>0.0128402507737481</v>
      </c>
      <c r="GT489" s="1456">
        <f t="shared" si="4006"/>
        <v>-0.00522193211488253</v>
      </c>
      <c r="GU489" s="1456">
        <f t="shared" si="4007"/>
        <v>-0.028913779630112</v>
      </c>
      <c r="GV489" s="1456">
        <f t="shared" si="4008"/>
        <v>-0.0170817577259095</v>
      </c>
      <c r="GW489" s="1456">
        <f t="shared" si="4009"/>
        <v>-0.0319284802043422</v>
      </c>
      <c r="GX489" s="1456">
        <f t="shared" si="4010"/>
        <v>-0.0220994475138123</v>
      </c>
      <c r="GY489" s="1456">
        <f t="shared" si="4011"/>
        <v>0.000756620428751464</v>
      </c>
      <c r="GZ489" s="1456">
        <f t="shared" si="4012"/>
        <v>-0.0154822335025382</v>
      </c>
      <c r="HA489" s="1457">
        <f t="shared" si="4013"/>
        <v>-0.0162711428387678</v>
      </c>
      <c r="HB489" s="1456">
        <f t="shared" si="4014"/>
        <v>-0.0142857142857142</v>
      </c>
      <c r="HC489" s="1456">
        <f t="shared" si="4015"/>
        <v>0.0130379746835444</v>
      </c>
      <c r="HD489" s="1456">
        <f t="shared" si="4016"/>
        <v>-0.000448717948717814</v>
      </c>
      <c r="HE489" s="1456">
        <f t="shared" si="4017"/>
        <v>0.0350247524752476</v>
      </c>
      <c r="HF489" s="1456">
        <f t="shared" si="4018"/>
        <v>0.0116554054054054</v>
      </c>
      <c r="HG489" s="1456">
        <f t="shared" si="4019"/>
        <v>0.0160272589601212</v>
      </c>
      <c r="HH489" s="1456">
        <f t="shared" si="4020"/>
        <v>0.0256185953511623</v>
      </c>
      <c r="HI489" s="1457">
        <f t="shared" si="4021"/>
        <v>0.0127515504366535</v>
      </c>
      <c r="HJ489" s="1456">
        <f t="shared" si="4021"/>
        <v>0.0909090909090909</v>
      </c>
      <c r="HK489" s="1456">
        <f t="shared" si="4021"/>
        <v>0.0958060792612543</v>
      </c>
      <c r="HL489" s="1456">
        <f t="shared" si="4021"/>
        <v>0.093355545588518</v>
      </c>
      <c r="HM489" s="1456">
        <f t="shared" si="4021"/>
        <v>0.115044247787611</v>
      </c>
      <c r="HN489" s="1456">
        <f t="shared" si="4021"/>
        <v>0.100581097248334</v>
      </c>
      <c r="HO489" s="1456">
        <f t="shared" si="4021"/>
        <v>0.0675900987559318</v>
      </c>
      <c r="HP489" s="1456">
        <f t="shared" si="4021"/>
        <v>0.0913171732717711</v>
      </c>
      <c r="HQ489" s="1457">
        <f t="shared" si="4021"/>
        <v>0.0923367840774335</v>
      </c>
      <c r="HR489" s="1456">
        <f t="shared" si="4022"/>
        <v>-0.0309859154929579</v>
      </c>
      <c r="HS489" s="1456">
        <f t="shared" si="4023"/>
        <v>-0.0822695035460994</v>
      </c>
      <c r="HT489" s="1456">
        <f t="shared" si="4024"/>
        <v>-0.0565371024734982</v>
      </c>
      <c r="HU489" s="1456">
        <f t="shared" si="4025"/>
        <v>-0.143478260869565</v>
      </c>
      <c r="HV489" s="1456">
        <f t="shared" si="4026"/>
        <v>-0.0850356294536818</v>
      </c>
      <c r="HW489" s="1456">
        <f t="shared" si="4027"/>
        <v>-0.0701513067400277</v>
      </c>
      <c r="HX489" s="1456">
        <f t="shared" si="4028"/>
        <v>-0.105857445306986</v>
      </c>
      <c r="HY489" s="1457">
        <f t="shared" si="4029"/>
        <v>-0.081214689265537</v>
      </c>
      <c r="HZ489" s="1456">
        <f t="shared" si="4030"/>
        <v>-0.0655737704918031</v>
      </c>
      <c r="IA489" s="1456">
        <f t="shared" si="4031"/>
        <v>-0.0144167758846658</v>
      </c>
      <c r="IB489" s="1456">
        <f t="shared" si="4032"/>
        <v>1</v>
      </c>
      <c r="IC489" s="1456">
        <f t="shared" si="4033"/>
        <v>0.0190114068441064</v>
      </c>
      <c r="ID489" s="1456">
        <f t="shared" si="4034"/>
        <v>1</v>
      </c>
      <c r="IE489" s="1456">
        <f t="shared" si="4035"/>
        <v>0.012853470437018</v>
      </c>
      <c r="IF489" s="1456">
        <f t="shared" si="4036"/>
        <v>1</v>
      </c>
      <c r="IG489" s="1457">
        <f t="shared" si="4037"/>
        <v>-0.0111038536903985</v>
      </c>
      <c r="IH489" s="1456">
        <f t="shared" si="4038"/>
        <v>0.00111111111111106</v>
      </c>
      <c r="II489" s="1456">
        <f t="shared" si="4038"/>
        <v>-0.0594315245478034</v>
      </c>
      <c r="IJ489" s="1456" t="e">
        <f t="shared" si="4038"/>
        <v>#DIV/0!</v>
      </c>
      <c r="IK489" s="1456">
        <f t="shared" si="4038"/>
        <v>-0.080749354005168</v>
      </c>
      <c r="IL489" s="1456" t="e">
        <f t="shared" si="4038"/>
        <v>#DIV/0!</v>
      </c>
      <c r="IM489" s="1456">
        <f t="shared" si="4038"/>
        <v>-0.0746093750000001</v>
      </c>
      <c r="IN489" s="1456" t="e">
        <f t="shared" si="4038"/>
        <v>#DIV/0!</v>
      </c>
      <c r="IO489" s="1457">
        <f t="shared" si="4038"/>
        <v>-0.0532730404823427</v>
      </c>
      <c r="IP489" s="1456">
        <f t="shared" si="4039"/>
        <v>-0.0409001454607683</v>
      </c>
      <c r="IQ489" s="1456">
        <f t="shared" si="4040"/>
        <v>0.0353658536585365</v>
      </c>
      <c r="IR489" s="1456" t="e">
        <f t="shared" si="4041"/>
        <v>#DIV/0!</v>
      </c>
      <c r="IS489" s="1456">
        <f t="shared" si="4042"/>
        <v>0.0747160789001793</v>
      </c>
      <c r="IT489" s="1456" t="e">
        <f t="shared" si="4043"/>
        <v>#DIV/0!</v>
      </c>
      <c r="IU489" s="1456">
        <f t="shared" si="4044"/>
        <v>0.0621592148309705</v>
      </c>
      <c r="IV489" s="1456" t="e">
        <f t="shared" si="4045"/>
        <v>#DIV/0!</v>
      </c>
      <c r="IW489" s="1457">
        <f t="shared" si="4046"/>
        <v>0.0340188902972564</v>
      </c>
      <c r="IX489" s="1049"/>
      <c r="IY489" s="1049"/>
      <c r="IZ489" s="1049"/>
      <c r="JA489" s="1049"/>
      <c r="JB489" s="1049"/>
      <c r="JC489" s="1049"/>
      <c r="JD489" s="1041"/>
      <c r="JE489" s="1037"/>
      <c r="JF489" s="1037"/>
      <c r="JG489" s="1037"/>
      <c r="JH489" s="1037"/>
      <c r="JI489" s="1035"/>
      <c r="JJ489" s="1035"/>
      <c r="JK489" s="1035"/>
      <c r="JL489" s="1035"/>
      <c r="JM489" s="1035"/>
      <c r="JN489" s="1035"/>
      <c r="JO489" s="1035"/>
      <c r="JP489" s="1035"/>
      <c r="JQ489" s="1035"/>
      <c r="JR489" s="1035"/>
      <c r="JS489" s="1035"/>
      <c r="JT489" s="1035"/>
      <c r="JU489" s="1035"/>
      <c r="JV489" s="1035"/>
      <c r="JW489" s="1035"/>
      <c r="JX489" s="1035"/>
      <c r="JY489" s="1035"/>
    </row>
    <row r="490" spans="1:285">
      <c r="A490" s="1035" t="s">
        <v>204</v>
      </c>
      <c r="B490" s="1057"/>
      <c r="J490" s="1057"/>
      <c r="R490" s="1057"/>
      <c r="Z490" s="1057"/>
      <c r="AH490" s="1057"/>
      <c r="AP490" s="1057"/>
      <c r="AX490" s="1057"/>
      <c r="BF490" s="1057"/>
      <c r="BN490" s="1057"/>
      <c r="BV490" s="1057"/>
      <c r="CD490" s="1057"/>
      <c r="CL490" s="1057"/>
      <c r="DB490" s="1426"/>
      <c r="DC490" s="1426"/>
      <c r="DD490" s="1426"/>
      <c r="DE490" s="1426"/>
      <c r="DF490" s="1426"/>
      <c r="DG490" s="1426"/>
      <c r="DH490" s="1426"/>
      <c r="DI490" s="1444"/>
      <c r="DJ490" s="1426"/>
      <c r="DK490" s="1426"/>
      <c r="DL490" s="1426"/>
      <c r="DM490" s="1426"/>
      <c r="DN490" s="1426"/>
      <c r="DO490" s="1455"/>
      <c r="DQ490" s="1426"/>
      <c r="DR490" s="1426">
        <f>-'[137]Master FX'!AA44</f>
        <v>0.0242501485789665</v>
      </c>
      <c r="DS490" s="1426">
        <f>-'[137]Master FX'!AB44</f>
        <v>0.0294916590710489</v>
      </c>
      <c r="DT490" s="1426">
        <f t="shared" si="3934"/>
        <v>0.0268709038250077</v>
      </c>
      <c r="DU490" s="1426">
        <f>-'[137]Master FX'!AC44</f>
        <v>0.0440362987128636</v>
      </c>
      <c r="DV490" s="1426">
        <f t="shared" si="3935"/>
        <v>0.0325927021209597</v>
      </c>
      <c r="DW490" s="1426">
        <f>-'[137]Master FX'!AD44</f>
        <v>0.0498614007031744</v>
      </c>
      <c r="DX490" s="1426">
        <f t="shared" si="3936"/>
        <v>0.046948849708019</v>
      </c>
      <c r="DY490" s="1444">
        <f>-'[137]Master FX'!AA105</f>
        <v>0.036878213773585</v>
      </c>
      <c r="DZ490" s="1426">
        <f>-'[137]Master FX'!AE44</f>
        <v>0.0375186598693108</v>
      </c>
      <c r="EA490" s="1426">
        <f>-'[137]Master FX'!AF44</f>
        <v>-0.0342977585312261</v>
      </c>
      <c r="EB490" s="1426">
        <f t="shared" si="3937"/>
        <v>0.00161045066904236</v>
      </c>
      <c r="EC490" s="1426">
        <f>-'[137]Master FX'!AG44</f>
        <v>-0.0524602410755424</v>
      </c>
      <c r="ED490" s="1426">
        <f t="shared" si="3938"/>
        <v>-0.0164131132458192</v>
      </c>
      <c r="EE490" s="1426">
        <f>-'[137]Master FX'!AH44</f>
        <v>0.00256129929770099</v>
      </c>
      <c r="EF490" s="1426">
        <f t="shared" si="3939"/>
        <v>-0.0249494708889207</v>
      </c>
      <c r="EG490" s="1444">
        <f>-'[137]Master FX'!AE105</f>
        <v>-0.0109202238780146</v>
      </c>
      <c r="EH490" s="1426">
        <f>-'[137]Master FX'!$AI$44</f>
        <v>0.02326602617448</v>
      </c>
      <c r="EI490" s="1426">
        <f>-'[137]Master FX'!$AJ$44</f>
        <v>0.0816720274046849</v>
      </c>
      <c r="EJ490" s="1426">
        <f t="shared" si="3940"/>
        <v>0.0524690267895825</v>
      </c>
      <c r="EK490" s="1426">
        <f>-'[137]Master FX'!$AK$44</f>
        <v>0.0975934312466145</v>
      </c>
      <c r="EL490" s="1426">
        <f t="shared" si="3941"/>
        <v>0.0675104949419265</v>
      </c>
      <c r="EM490" s="1426">
        <f>-'[137]Master FX'!$AL$44</f>
        <v>0.0574425741798166</v>
      </c>
      <c r="EN490" s="1426">
        <f t="shared" si="3942"/>
        <v>0.0775180027132155</v>
      </c>
      <c r="EO490" s="1444">
        <f>-'[137]Master FX'!$AI$105</f>
        <v>0.0653401587879365</v>
      </c>
      <c r="EP490" s="1426">
        <f>-'[137]Master FX'!AM$44</f>
        <v>-0.0194403267484002</v>
      </c>
      <c r="EQ490" s="1426">
        <f>-'[137]Master FX'!AN$44</f>
        <v>-0.0491536022789494</v>
      </c>
      <c r="ER490" s="1082">
        <f t="shared" si="3997"/>
        <v>-0.0342969645136748</v>
      </c>
      <c r="ES490" s="1426">
        <f>-'[137]Master FX'!AO$44</f>
        <v>-0.0791630013135058</v>
      </c>
      <c r="ET490" s="1082">
        <f t="shared" si="3998"/>
        <v>-0.0492523101136185</v>
      </c>
      <c r="EU490" s="1426">
        <f>-'[137]Master FX'!AP$44</f>
        <v>-0.0409136861611639</v>
      </c>
      <c r="EV490" s="1426">
        <f t="shared" si="3943"/>
        <v>-0.0600383437373349</v>
      </c>
      <c r="EW490" s="1444">
        <f t="shared" si="3944"/>
        <v>-0.0471676541255048</v>
      </c>
      <c r="EX490" s="1426">
        <f>-'[137]Master FX'!AQ$44</f>
        <v>0.0266535271081462</v>
      </c>
      <c r="EY490" s="1426">
        <f>-'[137]Master FX'!AR$44</f>
        <v>0.0418725093115353</v>
      </c>
      <c r="EZ490" s="1082">
        <f t="shared" si="3945"/>
        <v>0.0342630182098407</v>
      </c>
      <c r="FA490" s="1426">
        <f>-'[137]Master FX'!AS$44</f>
        <v>0.0708950194723664</v>
      </c>
      <c r="FB490" s="1082">
        <f t="shared" si="3946"/>
        <v>0.0464736852973493</v>
      </c>
      <c r="FC490" s="1426">
        <f>-'[137]Master FX'!AT$44</f>
        <v>0.0616535053538689</v>
      </c>
      <c r="FD490" s="1426">
        <f t="shared" si="3947"/>
        <v>0.0662742624131177</v>
      </c>
      <c r="FE490" s="1444">
        <f t="shared" si="3948"/>
        <v>0.0502686403114792</v>
      </c>
      <c r="FF490" s="1426">
        <f>-'[137]Master FX'!AU$44</f>
        <v>0.101562271478756</v>
      </c>
      <c r="FG490" s="1426">
        <f>-'[137]Master FX'!AV$44</f>
        <v>0.113997336034429</v>
      </c>
      <c r="FH490" s="1082">
        <f t="shared" si="3999"/>
        <v>0.107779803756592</v>
      </c>
      <c r="FI490" s="1426">
        <f>-'[137]Master FX'!AW$44</f>
        <v>0.0955812177896544</v>
      </c>
      <c r="FJ490" s="1082">
        <f t="shared" si="4000"/>
        <v>0.10371360843428</v>
      </c>
      <c r="FK490" s="1426">
        <f>-'[137]Master FX'!AX$44</f>
        <v>0.0847891480951272</v>
      </c>
      <c r="FL490" s="1426">
        <f t="shared" si="3949"/>
        <v>0.0901851829423908</v>
      </c>
      <c r="FM490" s="1444">
        <f t="shared" si="3950"/>
        <v>0.0989824933494916</v>
      </c>
      <c r="FN490" s="1426">
        <f>-'[137]Master FX'!AY$44</f>
        <v>-0.0360256293114711</v>
      </c>
      <c r="FO490" s="1426">
        <f>-'[137]Master FX'!AZ$44</f>
        <v>-0.0904339932428622</v>
      </c>
      <c r="FP490" s="1082">
        <f t="shared" si="4001"/>
        <v>-0.0632298112771666</v>
      </c>
      <c r="FQ490" s="1426">
        <f>-'[137]Master FX'!BA$44</f>
        <v>-0.184444678942648</v>
      </c>
      <c r="FR490" s="1082">
        <f t="shared" si="4002"/>
        <v>-0.10363476716566</v>
      </c>
      <c r="FS490" s="1426">
        <f>-'[137]Master FX'!BB$44</f>
        <v>-0.202715473287985</v>
      </c>
      <c r="FT490" s="1426">
        <f t="shared" si="3951"/>
        <v>-0.193580076115316</v>
      </c>
      <c r="FU490" s="1426">
        <f t="shared" si="3952"/>
        <v>-0.128404943696241</v>
      </c>
      <c r="FV490" s="1443">
        <f>-'[137]Master FX'!BC$44</f>
        <v>-0.115965636706083</v>
      </c>
      <c r="FW490" s="1426">
        <f>-'[137]Master FX'!BD$44</f>
        <v>-0.0927684155706088</v>
      </c>
      <c r="FX490" s="1082">
        <f t="shared" si="4003"/>
        <v>-0.104367026138346</v>
      </c>
      <c r="FY490" s="1426">
        <f>-'[137]Master FX'!BE$44</f>
        <v>-0.0561134759627504</v>
      </c>
      <c r="FZ490" s="1082">
        <f t="shared" si="4004"/>
        <v>-0.0882825094131473</v>
      </c>
      <c r="GA490" s="1426">
        <f>-'[137]Master FX'!BF$44</f>
        <v>-0.0322065287765165</v>
      </c>
      <c r="GB490" s="1426">
        <f t="shared" si="3953"/>
        <v>-0.0441600023696335</v>
      </c>
      <c r="GC490" s="1444">
        <f t="shared" si="3954"/>
        <v>-0.0742635142539896</v>
      </c>
      <c r="GD490" s="1456">
        <f t="shared" si="4005"/>
        <v>-0.0266826585526627</v>
      </c>
      <c r="GE490" s="1456">
        <f t="shared" si="4005"/>
        <v>-0.017789954076596</v>
      </c>
      <c r="GF490" s="1456">
        <f t="shared" si="4005"/>
        <v>-0.022235676077857</v>
      </c>
      <c r="GG490" s="1456">
        <f t="shared" si="4005"/>
        <v>0.00628885565440251</v>
      </c>
      <c r="GH490" s="1456">
        <f t="shared" si="4005"/>
        <v>-0.012452433420008</v>
      </c>
      <c r="GI490" s="1456">
        <f t="shared" si="4005"/>
        <v>0.00840412177976235</v>
      </c>
      <c r="GJ490" s="1456">
        <f t="shared" si="4005"/>
        <v>0.00734021616281344</v>
      </c>
      <c r="GK490" s="1457">
        <f t="shared" si="4005"/>
        <v>-0.0071728841668024</v>
      </c>
      <c r="GL490" s="1456">
        <f t="shared" si="4005"/>
        <v>0.00158550396375989</v>
      </c>
      <c r="GM490" s="1456">
        <f t="shared" si="4005"/>
        <v>0.00125628140703515</v>
      </c>
      <c r="GN490" s="1456">
        <f t="shared" si="4005"/>
        <v>0.00142158535198456</v>
      </c>
      <c r="GO490" s="1456">
        <f t="shared" si="4005"/>
        <v>-0.0208426714477814</v>
      </c>
      <c r="GP490" s="1456">
        <f t="shared" si="4005"/>
        <v>-0.00607317993210121</v>
      </c>
      <c r="GQ490" s="1456">
        <f t="shared" si="4005"/>
        <v>-0.0477272727272728</v>
      </c>
      <c r="GR490" s="1456">
        <f t="shared" si="4005"/>
        <v>-0.0341909275558565</v>
      </c>
      <c r="GS490" s="1457">
        <f t="shared" si="4005"/>
        <v>-0.016454262248655</v>
      </c>
      <c r="GT490" s="1456">
        <f t="shared" si="4006"/>
        <v>0.0386796733212341</v>
      </c>
      <c r="GU490" s="1456">
        <f t="shared" si="4007"/>
        <v>-0.00365923384791311</v>
      </c>
      <c r="GV490" s="1456">
        <f t="shared" si="4008"/>
        <v>0.0175958088947098</v>
      </c>
      <c r="GW490" s="1456">
        <f t="shared" si="4009"/>
        <v>0.00658616904500553</v>
      </c>
      <c r="GX490" s="1456">
        <f t="shared" si="4010"/>
        <v>0.013835251771587</v>
      </c>
      <c r="GY490" s="1456">
        <f t="shared" si="4011"/>
        <v>0.00867678958785245</v>
      </c>
      <c r="GZ490" s="1456">
        <f t="shared" si="4012"/>
        <v>0.00763775231860353</v>
      </c>
      <c r="HA490" s="1457">
        <f t="shared" si="4013"/>
        <v>0.0125101000250758</v>
      </c>
      <c r="HB490" s="1456">
        <f t="shared" si="4014"/>
        <v>-0.0307964601769912</v>
      </c>
      <c r="HC490" s="1456">
        <f t="shared" si="4015"/>
        <v>0.0119402985074627</v>
      </c>
      <c r="HD490" s="1456">
        <f t="shared" si="4016"/>
        <v>-0.00905402272200329</v>
      </c>
      <c r="HE490" s="1456">
        <f t="shared" si="4017"/>
        <v>0.0417458563535912</v>
      </c>
      <c r="HF490" s="1456">
        <f t="shared" si="4018"/>
        <v>0.00842521481256198</v>
      </c>
      <c r="HG490" s="1456">
        <f t="shared" si="4019"/>
        <v>0.0511816192560175</v>
      </c>
      <c r="HH490" s="1456">
        <f t="shared" si="4020"/>
        <v>0.0464870808136338</v>
      </c>
      <c r="HI490" s="1457">
        <f t="shared" si="4021"/>
        <v>0.0194514982224481</v>
      </c>
      <c r="HJ490" s="1456">
        <f t="shared" si="4021"/>
        <v>0.0423534798534799</v>
      </c>
      <c r="HK490" s="1456">
        <f t="shared" si="4021"/>
        <v>0.0222780839925278</v>
      </c>
      <c r="HL490" s="1456">
        <f t="shared" si="4021"/>
        <v>0.0323525694787514</v>
      </c>
      <c r="HM490" s="1456">
        <f t="shared" si="4021"/>
        <v>0.0163972233112705</v>
      </c>
      <c r="HN490" s="1456">
        <f t="shared" si="4021"/>
        <v>0.0270471311789697</v>
      </c>
      <c r="HO490" s="1456">
        <f t="shared" si="4021"/>
        <v>-0.00320564562625392</v>
      </c>
      <c r="HP490" s="1456">
        <f t="shared" si="4021"/>
        <v>0.00659578884250833</v>
      </c>
      <c r="HQ490" s="1457">
        <f t="shared" si="4021"/>
        <v>0.0194978217457112</v>
      </c>
      <c r="HR490" s="1456">
        <f t="shared" si="4022"/>
        <v>-0.0551039923499881</v>
      </c>
      <c r="HS490" s="1456">
        <f t="shared" si="4023"/>
        <v>-0.0260643943861305</v>
      </c>
      <c r="HT490" s="1456">
        <f t="shared" si="4024"/>
        <v>-0.0404867913327398</v>
      </c>
      <c r="HU490" s="1456">
        <f t="shared" si="4025"/>
        <v>-0.00750293083235642</v>
      </c>
      <c r="HV490" s="1456">
        <f t="shared" si="4026"/>
        <v>-0.0293990147783252</v>
      </c>
      <c r="HW490" s="1456">
        <f t="shared" si="4027"/>
        <v>0.00379310344827588</v>
      </c>
      <c r="HX490" s="1456">
        <f t="shared" si="4028"/>
        <v>-0.0017991874637262</v>
      </c>
      <c r="HY490" s="1457">
        <f t="shared" si="4029"/>
        <v>-0.0209244314013206</v>
      </c>
      <c r="HZ490" s="1456">
        <f t="shared" si="4030"/>
        <v>0.0305879687322986</v>
      </c>
      <c r="IA490" s="1456">
        <f t="shared" si="4031"/>
        <v>0.0229885057471264</v>
      </c>
      <c r="IB490" s="1456">
        <f t="shared" si="4032"/>
        <v>1</v>
      </c>
      <c r="IC490" s="1456">
        <f t="shared" si="4033"/>
        <v>0.0109378636257855</v>
      </c>
      <c r="ID490" s="1456">
        <f t="shared" si="4034"/>
        <v>1</v>
      </c>
      <c r="IE490" s="1456">
        <f t="shared" si="4035"/>
        <v>0.0400369216568595</v>
      </c>
      <c r="IF490" s="1456">
        <f t="shared" si="4036"/>
        <v>1</v>
      </c>
      <c r="IG490" s="1457">
        <f t="shared" si="4037"/>
        <v>0.0261871909853972</v>
      </c>
      <c r="IH490" s="1456">
        <f t="shared" si="4038"/>
        <v>0.0195161855790581</v>
      </c>
      <c r="II490" s="1456">
        <f t="shared" si="4038"/>
        <v>0.00117647058823533</v>
      </c>
      <c r="IJ490" s="1456" t="e">
        <f t="shared" si="4038"/>
        <v>#DIV/0!</v>
      </c>
      <c r="IK490" s="1456">
        <f t="shared" si="4038"/>
        <v>-0.019529411764706</v>
      </c>
      <c r="IL490" s="1456" t="e">
        <f t="shared" si="4038"/>
        <v>#DIV/0!</v>
      </c>
      <c r="IM490" s="1456">
        <f t="shared" si="4038"/>
        <v>-0.0516826923076923</v>
      </c>
      <c r="IN490" s="1456" t="e">
        <f t="shared" si="4038"/>
        <v>#DIV/0!</v>
      </c>
      <c r="IO490" s="1457">
        <f t="shared" si="4038"/>
        <v>-0.0123682734598696</v>
      </c>
      <c r="IP490" s="1456">
        <f t="shared" si="4039"/>
        <v>-0.035756853396901</v>
      </c>
      <c r="IQ490" s="1456">
        <f t="shared" si="4040"/>
        <v>-0.0200235571260305</v>
      </c>
      <c r="IR490" s="1456" t="e">
        <f t="shared" si="4041"/>
        <v>#DIV/0!</v>
      </c>
      <c r="IS490" s="1456">
        <f t="shared" si="4042"/>
        <v>0.00992384029540738</v>
      </c>
      <c r="IT490" s="1456" t="e">
        <f t="shared" si="4043"/>
        <v>#DIV/0!</v>
      </c>
      <c r="IU490" s="1456">
        <f t="shared" si="4044"/>
        <v>0.0194285714285715</v>
      </c>
      <c r="IV490" s="1456" t="e">
        <f t="shared" si="4045"/>
        <v>#DIV/0!</v>
      </c>
      <c r="IW490" s="1457">
        <f t="shared" si="4046"/>
        <v>-0.0062397947282482</v>
      </c>
      <c r="IX490" s="1049"/>
      <c r="IY490" s="1049"/>
      <c r="IZ490" s="1049"/>
      <c r="JA490" s="1049"/>
      <c r="JB490" s="1049"/>
      <c r="JC490" s="1049"/>
      <c r="JD490" s="1041"/>
      <c r="JE490" s="1037"/>
      <c r="JF490" s="1037"/>
      <c r="JG490" s="1037"/>
      <c r="JH490" s="1037"/>
      <c r="JI490" s="1035"/>
      <c r="JJ490" s="1035"/>
      <c r="JK490" s="1035"/>
      <c r="JL490" s="1035"/>
      <c r="JM490" s="1035"/>
      <c r="JN490" s="1035"/>
      <c r="JO490" s="1035"/>
      <c r="JP490" s="1035"/>
      <c r="JQ490" s="1035"/>
      <c r="JR490" s="1035"/>
      <c r="JS490" s="1035"/>
      <c r="JT490" s="1035"/>
      <c r="JU490" s="1035"/>
      <c r="JV490" s="1035"/>
      <c r="JW490" s="1035"/>
      <c r="JX490" s="1035"/>
      <c r="JY490" s="1035"/>
    </row>
    <row r="491" spans="1:285">
      <c r="A491" s="1035" t="s">
        <v>206</v>
      </c>
      <c r="B491" s="1057"/>
      <c r="J491" s="1057"/>
      <c r="R491" s="1057"/>
      <c r="Z491" s="1057"/>
      <c r="AH491" s="1057"/>
      <c r="AP491" s="1057"/>
      <c r="AX491" s="1057"/>
      <c r="BF491" s="1057"/>
      <c r="BN491" s="1057"/>
      <c r="BV491" s="1057"/>
      <c r="CD491" s="1057"/>
      <c r="CL491" s="1057"/>
      <c r="DB491" s="1426"/>
      <c r="DC491" s="1426"/>
      <c r="DD491" s="1426"/>
      <c r="DE491" s="1426"/>
      <c r="DF491" s="1426"/>
      <c r="DG491" s="1426"/>
      <c r="DH491" s="1426"/>
      <c r="DI491" s="1444"/>
      <c r="DJ491" s="1426"/>
      <c r="DK491" s="1426"/>
      <c r="DL491" s="1426"/>
      <c r="DM491" s="1426"/>
      <c r="DN491" s="1426"/>
      <c r="DO491" s="1455"/>
      <c r="DQ491" s="1426"/>
      <c r="DR491" s="1426"/>
      <c r="DS491" s="1426"/>
      <c r="DT491" s="1426"/>
      <c r="DU491" s="1426"/>
      <c r="DV491" s="1426"/>
      <c r="DW491" s="1426"/>
      <c r="DX491" s="1426"/>
      <c r="DY491" s="1444"/>
      <c r="DZ491" s="1426"/>
      <c r="EA491" s="1426"/>
      <c r="EB491" s="1426"/>
      <c r="EC491" s="1426"/>
      <c r="ED491" s="1426"/>
      <c r="EE491" s="1426"/>
      <c r="EF491" s="1426"/>
      <c r="EG491" s="1444"/>
      <c r="EH491" s="1426">
        <f>-'[137]Master FX'!$AI$58</f>
        <v>-0.0308581316919407</v>
      </c>
      <c r="EI491" s="1426">
        <f>-'[137]Master FX'!$AJ$58</f>
        <v>-0.0280972987238641</v>
      </c>
      <c r="EJ491" s="1426">
        <f t="shared" si="3940"/>
        <v>-0.0294777152079024</v>
      </c>
      <c r="EK491" s="1426">
        <f>-'[137]Master FX'!$AK$58</f>
        <v>0.0525545680486911</v>
      </c>
      <c r="EL491" s="1426">
        <f t="shared" si="3941"/>
        <v>-0.00213362078903793</v>
      </c>
      <c r="EM491" s="1426">
        <f>-'[137]Master FX'!$AL$58</f>
        <v>0.0860067832596213</v>
      </c>
      <c r="EN491" s="1426">
        <f t="shared" si="3942"/>
        <v>0.0692806756541562</v>
      </c>
      <c r="EO491" s="1444">
        <f>-'[137]Master FX'!$AI$118</f>
        <v>0.0218374645483351</v>
      </c>
      <c r="EP491" s="1426">
        <f>-'[137]Master FX'!AM$58</f>
        <v>0.0191011886534949</v>
      </c>
      <c r="EQ491" s="1426">
        <f>-'[137]Master FX'!AN$58</f>
        <v>0.0610227789642702</v>
      </c>
      <c r="ER491" s="1082">
        <f t="shared" si="3997"/>
        <v>0.0400619838088825</v>
      </c>
      <c r="ES491" s="1426">
        <f>-'[137]Master FX'!AO$58</f>
        <v>-0.0380493234966759</v>
      </c>
      <c r="ET491" s="1082">
        <f t="shared" si="3998"/>
        <v>0.0140248813736964</v>
      </c>
      <c r="EU491" s="1426">
        <f>-'[137]Master FX'!AP$58</f>
        <v>-0.0562090508753865</v>
      </c>
      <c r="EV491" s="1426">
        <f t="shared" si="3943"/>
        <v>-0.0471291871860312</v>
      </c>
      <c r="EW491" s="1444">
        <f t="shared" si="3944"/>
        <v>-0.00353360168857433</v>
      </c>
      <c r="EX491" s="1426">
        <f>-'[137]Master FX'!AQ$58</f>
        <v>-0.0861734677790162</v>
      </c>
      <c r="EY491" s="1426">
        <f>-'[137]Master FX'!AR$58</f>
        <v>-0.0942562174705122</v>
      </c>
      <c r="EZ491" s="1082">
        <f t="shared" si="3945"/>
        <v>-0.0902148426247642</v>
      </c>
      <c r="FA491" s="1426">
        <f>-'[137]Master FX'!AS$58</f>
        <v>-0.016884378762283</v>
      </c>
      <c r="FB491" s="1082">
        <f t="shared" si="3946"/>
        <v>-0.0657713546706038</v>
      </c>
      <c r="FC491" s="1426">
        <f>-'[137]Master FX'!AT$58</f>
        <v>0.022341514347285</v>
      </c>
      <c r="FD491" s="1426">
        <f t="shared" si="3947"/>
        <v>0.00272856779250102</v>
      </c>
      <c r="FE491" s="1444">
        <f t="shared" si="3948"/>
        <v>-0.0437431374161316</v>
      </c>
      <c r="FF491" s="1426">
        <f>-'[137]Master FX'!AU$58</f>
        <v>0.0715874665507042</v>
      </c>
      <c r="FG491" s="1426">
        <f>-'[137]Master FX'!AV$58</f>
        <v>0.0489008694226756</v>
      </c>
      <c r="FH491" s="1082">
        <f t="shared" si="3999"/>
        <v>0.0602441679866899</v>
      </c>
      <c r="FI491" s="1426">
        <f>-'[137]Master FX'!AW$58</f>
        <v>-0.0508972256845244</v>
      </c>
      <c r="FJ491" s="1082">
        <f t="shared" si="4000"/>
        <v>0.0231970367629518</v>
      </c>
      <c r="FK491" s="1426">
        <f>-'[137]Master FX'!AX$58</f>
        <v>-0.0586012778702838</v>
      </c>
      <c r="FL491" s="1426">
        <f t="shared" si="3949"/>
        <v>-0.0547492517774041</v>
      </c>
      <c r="FM491" s="1444">
        <f t="shared" si="3950"/>
        <v>0.00274745810464291</v>
      </c>
      <c r="FN491" s="1426">
        <f>-'[137]Master FX'!AY$58</f>
        <v>-0.181062988720726</v>
      </c>
      <c r="FO491" s="1426">
        <f>-'[137]Master FX'!AZ$58</f>
        <v>-0.205818576932631</v>
      </c>
      <c r="FP491" s="1082">
        <f t="shared" si="4001"/>
        <v>-0.193440782826678</v>
      </c>
      <c r="FQ491" s="1426">
        <f>-'[137]Master FX'!BA$58</f>
        <v>-0.146200367600516</v>
      </c>
      <c r="FR491" s="1082">
        <f t="shared" si="4002"/>
        <v>-0.177693977751291</v>
      </c>
      <c r="FS491" s="1426">
        <f>-'[137]Master FX'!BB$58</f>
        <v>-0.165326035725583</v>
      </c>
      <c r="FT491" s="1426">
        <f t="shared" si="3951"/>
        <v>-0.155763201663049</v>
      </c>
      <c r="FU491" s="1426">
        <f t="shared" si="3952"/>
        <v>-0.174601992244864</v>
      </c>
      <c r="FV491" s="1443">
        <f>-'[137]Master FX'!BC$58</f>
        <v>-0.0882718275120609</v>
      </c>
      <c r="FW491" s="1426">
        <f>-'[137]Master FX'!BD$58</f>
        <v>0.00145505917899014</v>
      </c>
      <c r="FX491" s="1082">
        <f t="shared" si="4003"/>
        <v>-0.0434083841665354</v>
      </c>
      <c r="FY491" s="1426">
        <f>-'[137]Master FX'!BE$58</f>
        <v>-0.00019762765466913</v>
      </c>
      <c r="FZ491" s="1082">
        <f t="shared" si="4004"/>
        <v>-0.02900479866258</v>
      </c>
      <c r="GA491" s="1426">
        <f>-'[137]Master FX'!BF$58</f>
        <v>-0.0358066914675692</v>
      </c>
      <c r="GB491" s="1426">
        <f t="shared" si="3953"/>
        <v>-0.0180021595611192</v>
      </c>
      <c r="GC491" s="1444">
        <f t="shared" si="3954"/>
        <v>-0.0307052718638273</v>
      </c>
      <c r="GD491" s="1456">
        <f t="shared" si="4005"/>
        <v>-0.0607798165137616</v>
      </c>
      <c r="GE491" s="1456">
        <f t="shared" si="4005"/>
        <v>-0.13275030009064</v>
      </c>
      <c r="GF491" s="1456">
        <f t="shared" si="4005"/>
        <v>-0.0957248650564635</v>
      </c>
      <c r="GG491" s="1456">
        <f t="shared" si="4005"/>
        <v>-0.0533959478891473</v>
      </c>
      <c r="GH491" s="1456">
        <f t="shared" si="4005"/>
        <v>-0.0816536548490989</v>
      </c>
      <c r="GI491" s="1456">
        <f t="shared" si="4005"/>
        <v>0.0153647849690959</v>
      </c>
      <c r="GJ491" s="1456">
        <f t="shared" si="4005"/>
        <v>-0.0178946103577997</v>
      </c>
      <c r="GK491" s="1457">
        <f t="shared" si="4005"/>
        <v>-0.0562443369432328</v>
      </c>
      <c r="GL491" s="1456">
        <f t="shared" si="4005"/>
        <v>0.0409764603312991</v>
      </c>
      <c r="GM491" s="1456">
        <f t="shared" si="4005"/>
        <v>0.0700692041522492</v>
      </c>
      <c r="GN491" s="1456">
        <f t="shared" si="4005"/>
        <v>0.0555796786799827</v>
      </c>
      <c r="GO491" s="1456">
        <f t="shared" si="4005"/>
        <v>0.0158730158730159</v>
      </c>
      <c r="GP491" s="1456">
        <f t="shared" si="4005"/>
        <v>0.0427250036705329</v>
      </c>
      <c r="GQ491" s="1456">
        <f t="shared" si="4005"/>
        <v>0</v>
      </c>
      <c r="GR491" s="1456">
        <f t="shared" si="4005"/>
        <v>0.00794551645856967</v>
      </c>
      <c r="GS491" s="1457">
        <f t="shared" si="4005"/>
        <v>0.0322938630562646</v>
      </c>
      <c r="GT491" s="1456">
        <f t="shared" si="4006"/>
        <v>0.0454545454545454</v>
      </c>
      <c r="GU491" s="1456">
        <f t="shared" si="4007"/>
        <v>-0.105581395348837</v>
      </c>
      <c r="GV491" s="1456">
        <f t="shared" si="4008"/>
        <v>-0.0291954022988505</v>
      </c>
      <c r="GW491" s="1456">
        <f t="shared" si="4009"/>
        <v>-0.189677419354839</v>
      </c>
      <c r="GX491" s="1456">
        <f t="shared" si="4010"/>
        <v>-0.0826073619631902</v>
      </c>
      <c r="GY491" s="1456">
        <f t="shared" si="4011"/>
        <v>-0.147727272727273</v>
      </c>
      <c r="GZ491" s="1456">
        <f t="shared" si="4012"/>
        <v>-0.168558352402746</v>
      </c>
      <c r="HA491" s="1457">
        <f t="shared" si="4013"/>
        <v>-0.0990366972477064</v>
      </c>
      <c r="HB491" s="1456">
        <f t="shared" si="4014"/>
        <v>-0.167142857142857</v>
      </c>
      <c r="HC491" s="1456">
        <f t="shared" si="4015"/>
        <v>-0.0210349179638198</v>
      </c>
      <c r="HD491" s="1456">
        <f t="shared" si="4016"/>
        <v>-0.089568907750726</v>
      </c>
      <c r="HE491" s="1456">
        <f t="shared" si="4017"/>
        <v>0.0598853424233033</v>
      </c>
      <c r="HF491" s="1456">
        <f t="shared" si="4018"/>
        <v>-0.0349077720794491</v>
      </c>
      <c r="HG491" s="1456">
        <f t="shared" si="4019"/>
        <v>0.0388118811881188</v>
      </c>
      <c r="HH491" s="1456">
        <f t="shared" si="4020"/>
        <v>0.049465397720597</v>
      </c>
      <c r="HI491" s="1457">
        <f t="shared" si="4021"/>
        <v>-0.0154847865102883</v>
      </c>
      <c r="HJ491" s="1456">
        <f t="shared" si="4021"/>
        <v>0.0534475724194208</v>
      </c>
      <c r="HK491" s="1456">
        <f t="shared" si="4021"/>
        <v>0.121137206427689</v>
      </c>
      <c r="HL491" s="1456">
        <f t="shared" si="4021"/>
        <v>0.0871258712587126</v>
      </c>
      <c r="HM491" s="1456">
        <f t="shared" si="4021"/>
        <v>0.158220024721879</v>
      </c>
      <c r="HN491" s="1456">
        <f t="shared" si="4021"/>
        <v>0.110746064339493</v>
      </c>
      <c r="HO491" s="1456">
        <f t="shared" si="4021"/>
        <v>0.171817058096415</v>
      </c>
      <c r="HP491" s="1456">
        <f t="shared" si="4021"/>
        <v>0.165018541409147</v>
      </c>
      <c r="HQ491" s="1457">
        <f t="shared" si="4021"/>
        <v>0.125976161117961</v>
      </c>
      <c r="HR491" s="1456">
        <f t="shared" si="4022"/>
        <v>0.137931034482759</v>
      </c>
      <c r="HS491" s="1456">
        <f t="shared" si="4023"/>
        <v>0.097515236755743</v>
      </c>
      <c r="HT491" s="1456">
        <f t="shared" si="4024"/>
        <v>0.118571749382439</v>
      </c>
      <c r="HU491" s="1456">
        <f t="shared" si="4025"/>
        <v>0.0906510034263338</v>
      </c>
      <c r="HV491" s="1456">
        <f t="shared" si="4026"/>
        <v>0.109790640394089</v>
      </c>
      <c r="HW491" s="1456">
        <f t="shared" si="4027"/>
        <v>0.0606965174129355</v>
      </c>
      <c r="HX491" s="1456">
        <f t="shared" si="4028"/>
        <v>0.0757957068837899</v>
      </c>
      <c r="HY491" s="1457">
        <f t="shared" si="4029"/>
        <v>0.0981895132847402</v>
      </c>
      <c r="HZ491" s="1456">
        <f t="shared" si="4030"/>
        <v>0.0619999999999999</v>
      </c>
      <c r="IA491" s="1456">
        <f t="shared" si="4031"/>
        <v>0.0353246753246753</v>
      </c>
      <c r="IB491" s="1456">
        <f t="shared" si="4032"/>
        <v>1</v>
      </c>
      <c r="IC491" s="1456">
        <f t="shared" si="4033"/>
        <v>-0.120142103563355</v>
      </c>
      <c r="ID491" s="1456">
        <f t="shared" si="4034"/>
        <v>1</v>
      </c>
      <c r="IE491" s="1456">
        <f t="shared" si="4035"/>
        <v>-0.133474576271186</v>
      </c>
      <c r="IF491" s="1456">
        <f t="shared" si="4036"/>
        <v>1</v>
      </c>
      <c r="IG491" s="1457">
        <f t="shared" si="4037"/>
        <v>-0.0369192261563329</v>
      </c>
      <c r="IH491" s="1456">
        <f t="shared" si="4038"/>
        <v>-0.150675195451315</v>
      </c>
      <c r="II491" s="1456">
        <f t="shared" si="4038"/>
        <v>-0.1900915455035</v>
      </c>
      <c r="IJ491" s="1456" t="e">
        <f t="shared" si="4038"/>
        <v>#DIV/0!</v>
      </c>
      <c r="IK491" s="1456">
        <f t="shared" si="4038"/>
        <v>-0.0461316674675638</v>
      </c>
      <c r="IL491" s="1456" t="e">
        <f t="shared" si="4038"/>
        <v>#DIV/0!</v>
      </c>
      <c r="IM491" s="1456">
        <f t="shared" si="4038"/>
        <v>0.00467289719626163</v>
      </c>
      <c r="IN491" s="1456" t="e">
        <f t="shared" si="4038"/>
        <v>#DIV/0!</v>
      </c>
      <c r="IO491" s="1457">
        <f t="shared" si="4038"/>
        <v>-0.0907300310116503</v>
      </c>
      <c r="IP491" s="1456">
        <f t="shared" si="4039"/>
        <v>0.0494132180358244</v>
      </c>
      <c r="IQ491" s="1456">
        <f t="shared" si="4040"/>
        <v>0.0574660633484164</v>
      </c>
      <c r="IR491" s="1456" t="e">
        <f t="shared" si="4041"/>
        <v>#DIV/0!</v>
      </c>
      <c r="IS491" s="1456">
        <f t="shared" si="4042"/>
        <v>0.0813045475424896</v>
      </c>
      <c r="IT491" s="1456" t="e">
        <f t="shared" si="4043"/>
        <v>#DIV/0!</v>
      </c>
      <c r="IU491" s="1456">
        <f t="shared" si="4044"/>
        <v>0.0610328638497653</v>
      </c>
      <c r="IV491" s="1456" t="e">
        <f t="shared" si="4045"/>
        <v>#DIV/0!</v>
      </c>
      <c r="IW491" s="1457">
        <f t="shared" si="4046"/>
        <v>0.0623198985668728</v>
      </c>
      <c r="IX491" s="1049"/>
      <c r="IY491" s="1049"/>
      <c r="IZ491" s="1049"/>
      <c r="JA491" s="1049"/>
      <c r="JB491" s="1049"/>
      <c r="JC491" s="1049"/>
      <c r="JD491" s="1041"/>
      <c r="JE491" s="1037"/>
      <c r="JF491" s="1037"/>
      <c r="JG491" s="1037"/>
      <c r="JH491" s="1037"/>
      <c r="JI491" s="1035"/>
      <c r="JJ491" s="1035"/>
      <c r="JK491" s="1035"/>
      <c r="JL491" s="1035"/>
      <c r="JM491" s="1035"/>
      <c r="JN491" s="1035"/>
      <c r="JO491" s="1035"/>
      <c r="JP491" s="1035"/>
      <c r="JQ491" s="1035"/>
      <c r="JR491" s="1035"/>
      <c r="JS491" s="1035"/>
      <c r="JT491" s="1035"/>
      <c r="JU491" s="1035"/>
      <c r="JV491" s="1035"/>
      <c r="JW491" s="1035"/>
      <c r="JX491" s="1035"/>
      <c r="JY491" s="1035"/>
    </row>
    <row r="492" spans="1:285">
      <c r="B492" s="1057"/>
      <c r="J492" s="1057"/>
      <c r="R492" s="1057"/>
      <c r="Z492" s="1057"/>
      <c r="AH492" s="1057"/>
      <c r="AP492" s="1057"/>
      <c r="AX492" s="1057"/>
      <c r="BF492" s="1057"/>
      <c r="BN492" s="1057"/>
      <c r="BV492" s="1057"/>
      <c r="CD492" s="1057"/>
      <c r="CL492" s="1057"/>
      <c r="DJ492" s="1082">
        <f t="shared" ref="DJ492:DY492" si="4047">AVERAGE(DJ107,DJ112)</f>
        <v>0.139839647088782</v>
      </c>
      <c r="DK492" s="1082">
        <f t="shared" si="4047"/>
        <v>0.124593999768331</v>
      </c>
      <c r="DL492" s="1082">
        <f t="shared" si="4047"/>
        <v>0.124595015727863</v>
      </c>
      <c r="DM492" s="1082">
        <f t="shared" si="4047"/>
        <v>0.0425971560432744</v>
      </c>
      <c r="DN492" s="1082">
        <f t="shared" si="4047"/>
        <v>0.094426933078955</v>
      </c>
      <c r="DO492" s="1082">
        <f t="shared" si="4047"/>
        <v>-0.0822337188664157</v>
      </c>
      <c r="DP492" s="1082">
        <f t="shared" si="4047"/>
        <v>-0.0273475199935324</v>
      </c>
      <c r="DQ492" s="1082">
        <f t="shared" si="4047"/>
        <v>0.0467219348277844</v>
      </c>
      <c r="DR492" s="1082">
        <f t="shared" si="4047"/>
        <v>-0.0443782533256217</v>
      </c>
      <c r="DS492" s="1082">
        <f t="shared" si="4047"/>
        <v>0.0610750685373327</v>
      </c>
      <c r="DT492" s="1082">
        <f t="shared" si="4047"/>
        <v>0.0105627545353573</v>
      </c>
      <c r="DU492" s="1082">
        <f t="shared" si="4047"/>
        <v>0.128684161899533</v>
      </c>
      <c r="DV492" s="1082">
        <f t="shared" si="4047"/>
        <v>0.0490579759593062</v>
      </c>
      <c r="DW492" s="1082">
        <f t="shared" si="4047"/>
        <v>0.123338858195212</v>
      </c>
      <c r="DX492" s="1082">
        <f t="shared" si="4047"/>
        <v>0.126304280253235</v>
      </c>
      <c r="DY492" s="1085">
        <f t="shared" si="4047"/>
        <v>0.064</v>
      </c>
      <c r="DZ492" s="1460">
        <f>(DZ99*0.4*DZ490)+((DZ109+DZ119*0.3)*DZ483)+(DZ124*DZ487)+(DZ114*DZ489)+(DZ119*0.7*DZ486)+(DZ104*DZ484)</f>
        <v>0.0337589808430667</v>
      </c>
      <c r="EA492" s="1082">
        <f>(EA99*0.4*EA490)+((EA109+EA119*0.3)*EA483)+(EA124*EA487)+(EA114*EA489)+(EA119*0.7*EA486)+(EA104*EA484)</f>
        <v>-0.0531100985546138</v>
      </c>
      <c r="EB492" s="1082">
        <f>+AVERAGE(DZ492:EA492)</f>
        <v>-0.00967555885577355</v>
      </c>
      <c r="EC492" s="1082">
        <f>(EC99*0.4*EC490)+((EC109+EC119*0.3)*EC483)+(EC124*EC487)+(EC114*EC489)+(EC119*0.7*EC486)+(EC104*EC484)</f>
        <v>-0.0411663500116164</v>
      </c>
      <c r="ED492" s="1082">
        <f>+AVERAGE(EC492,EA492,DZ492)</f>
        <v>-0.0201724892410545</v>
      </c>
      <c r="EE492" s="1082">
        <f>(EE99*0.4*EE490)+((EE109+EE119*0.3)*EE483)+(EE124*EE487)+(EE114*EE489)+(EE119*0.7*EE486)+(EE104*EE484)</f>
        <v>0.010790995957458</v>
      </c>
      <c r="EF492" s="1082">
        <f>+AVERAGE(EE492,EC492)</f>
        <v>-0.0151876770270792</v>
      </c>
      <c r="EG492" s="1085">
        <f>+AVERAGE(EC492,EE492,DZ492,EA492)</f>
        <v>-0.0124316179414264</v>
      </c>
      <c r="EH492" s="1082">
        <f>(EH99*0.4*EH490)+((EH109+EH119)*EH483)+(EH124*EH487)+(EH114*EH489)+(EH119*0.7*EH486)+(EH104*EH484)</f>
        <v>0.0354331852713747</v>
      </c>
      <c r="EI492" s="1083">
        <f>(EH99*0.4*EI490)+((EH109+EH119)*EI483)+(EH124*EI487)+(EH114*EI489)+(EH119*0.7*EI486)+(EH104*EI484)</f>
        <v>0.0704434457612179</v>
      </c>
      <c r="EJ492" s="1083">
        <f t="shared" ref="EJ492:EZ492" si="4048">(EB99*0.4*EJ490)+((EB109+EB119*0.3)*EJ483)+(EB124*EJ487)+(EB114*EJ489)+(EB119*0.7*EJ486)+(EB104*EJ484)</f>
        <v>0.0426491999376653</v>
      </c>
      <c r="EK492" s="1083">
        <f t="shared" si="4048"/>
        <v>0.0592537459004629</v>
      </c>
      <c r="EL492" s="1083">
        <f t="shared" si="4048"/>
        <v>0.0480959122300612</v>
      </c>
      <c r="EM492" s="1083">
        <f t="shared" si="4048"/>
        <v>0.0153492313022624</v>
      </c>
      <c r="EN492" s="1083">
        <f t="shared" si="4048"/>
        <v>0.0386667704852512</v>
      </c>
      <c r="EO492" s="1084">
        <f t="shared" si="4048"/>
        <v>0.0414407066542056</v>
      </c>
      <c r="EP492" s="1083">
        <f t="shared" si="4048"/>
        <v>-0.0372484960554572</v>
      </c>
      <c r="EQ492" s="1083">
        <f t="shared" si="4048"/>
        <v>-0.0500320800109124</v>
      </c>
      <c r="ER492" s="1083">
        <f t="shared" si="4048"/>
        <v>-0.0434205641859851</v>
      </c>
      <c r="ES492" s="1083">
        <f t="shared" si="4048"/>
        <v>-0.091208912912415</v>
      </c>
      <c r="ET492" s="1083">
        <f t="shared" si="4048"/>
        <v>-0.0595083868739334</v>
      </c>
      <c r="EU492" s="1083">
        <f t="shared" si="4048"/>
        <v>-0.0919890548451291</v>
      </c>
      <c r="EV492" s="1083">
        <f t="shared" si="4048"/>
        <v>-0.0910218182631634</v>
      </c>
      <c r="EW492" s="1084">
        <f t="shared" si="4048"/>
        <v>-0.0668771856653252</v>
      </c>
      <c r="EX492" s="1083">
        <f t="shared" si="4048"/>
        <v>-0.0716082314164818</v>
      </c>
      <c r="EY492" s="1083">
        <f t="shared" si="4048"/>
        <v>-0.0641385383106352</v>
      </c>
      <c r="EZ492" s="1083">
        <f t="shared" si="4048"/>
        <v>-0.068097109857265</v>
      </c>
      <c r="FA492" s="1083">
        <f>(ER99*0.4*FA490)+((ER109+ER119*0.3)*FA483)+(ER124*FA487)+(ER114*FA489)+(ER119*0.7*FA486)+(ER104*FA484)</f>
        <v>-0.0117289960850227</v>
      </c>
      <c r="FB492" s="1083">
        <f>(ET99*0.4*FB490)+((ET109+ET119*0.3)*FB483)+(ET124*FB487)+(ET114*FB489)+(ET119*0.7*FB486)+(ET104*FB484)</f>
        <v>-0.0489778887564614</v>
      </c>
      <c r="FC492" s="1083">
        <f>(ES99*0.4*FC490)+((ES109+ES119*0.3)*FC483)+(ES124*FC487)+(ES114*FC489)+(ES119*0.7*FC486)+(ES104*FC484)</f>
        <v>-0.0184795766833905</v>
      </c>
      <c r="FD492" s="1083">
        <f>(EV99*0.4*FD490)+((EV109+EV119*0.3)*FD483)+(EV124*FD487)+(EV114*FD489)+(EV119*0.7*FD486)+(EV104*FD484)</f>
        <v>-0.0155877901110869</v>
      </c>
      <c r="FE492" s="1084">
        <f>(EW99*0.4*FE490)+((EW109+EW119*0.3)*FE483)+(EW124*FE487)+(EW114*FE489)+(EW119*0.7*FE486)+(EW104*FE484)</f>
        <v>-0.0417699687477519</v>
      </c>
      <c r="FF492" s="1083"/>
      <c r="FG492" s="1083"/>
      <c r="FH492" s="1083"/>
      <c r="FI492" s="1083"/>
      <c r="FJ492" s="1083"/>
      <c r="FK492" s="1083"/>
      <c r="FL492" s="1083"/>
      <c r="FM492" s="1084"/>
      <c r="FN492" s="1083"/>
      <c r="FO492" s="1083"/>
      <c r="FP492" s="1083"/>
      <c r="FQ492" s="1083"/>
      <c r="FR492" s="1083"/>
      <c r="FS492" s="1083"/>
      <c r="FT492" s="1083"/>
      <c r="FU492" s="1083"/>
      <c r="FV492" s="1115"/>
      <c r="FW492" s="1083"/>
      <c r="FX492" s="1083"/>
      <c r="FY492" s="1083"/>
      <c r="FZ492" s="1083"/>
      <c r="GA492" s="1083"/>
      <c r="GB492" s="1083"/>
      <c r="GC492" s="1084"/>
      <c r="GD492" s="1083"/>
      <c r="GE492" s="1083"/>
      <c r="GF492" s="1083"/>
      <c r="GG492" s="1083"/>
      <c r="GH492" s="1083"/>
      <c r="GI492" s="1083"/>
      <c r="GJ492" s="1083"/>
      <c r="GK492" s="1084"/>
      <c r="GL492" s="1083"/>
      <c r="GM492" s="1083"/>
      <c r="GN492" s="1083"/>
      <c r="GO492" s="1083"/>
      <c r="GP492" s="1083"/>
      <c r="GQ492" s="1083"/>
      <c r="GR492" s="1083"/>
      <c r="GS492" s="1084"/>
      <c r="GT492" s="1083"/>
      <c r="GU492" s="1083"/>
      <c r="GV492" s="1083"/>
      <c r="GW492" s="1083"/>
      <c r="GX492" s="1083"/>
      <c r="GY492" s="1083"/>
      <c r="GZ492" s="1083"/>
      <c r="HA492" s="1084"/>
      <c r="HB492" s="1083"/>
      <c r="HC492" s="1083"/>
      <c r="HD492" s="1083"/>
      <c r="HE492" s="1083"/>
      <c r="HF492" s="1083"/>
      <c r="HG492" s="1083"/>
      <c r="HH492" s="1083"/>
      <c r="HI492" s="1084"/>
      <c r="HJ492" s="1083"/>
      <c r="HK492" s="1083"/>
      <c r="HL492" s="1083"/>
      <c r="HM492" s="1083"/>
      <c r="HN492" s="1083"/>
      <c r="HO492" s="1083"/>
      <c r="HP492" s="1083"/>
      <c r="HQ492" s="1084"/>
      <c r="HR492" s="1083"/>
      <c r="HS492" s="1083"/>
      <c r="HT492" s="1083"/>
      <c r="HU492" s="1083"/>
      <c r="HV492" s="1083"/>
      <c r="HW492" s="1083"/>
      <c r="HX492" s="1083"/>
      <c r="HY492" s="1084"/>
      <c r="HZ492" s="1083"/>
      <c r="IA492" s="1083"/>
      <c r="IB492" s="1083"/>
      <c r="IC492" s="1083"/>
      <c r="ID492" s="1083"/>
      <c r="IE492" s="1083"/>
      <c r="IF492" s="1083"/>
      <c r="IG492" s="1084"/>
      <c r="IH492" s="1083"/>
      <c r="II492" s="1083"/>
      <c r="IJ492" s="1083"/>
      <c r="IK492" s="1083"/>
      <c r="IL492" s="1083"/>
      <c r="IM492" s="1083"/>
      <c r="IN492" s="1083"/>
      <c r="IO492" s="1084"/>
      <c r="IP492" s="1083"/>
      <c r="IQ492" s="1083"/>
      <c r="IR492" s="1083"/>
      <c r="IS492" s="1083"/>
      <c r="IT492" s="1083"/>
      <c r="IU492" s="1083"/>
      <c r="IV492" s="1083"/>
      <c r="IW492" s="1084"/>
      <c r="IX492" s="1049"/>
      <c r="IY492" s="1049"/>
      <c r="IZ492" s="1049"/>
      <c r="JA492" s="1049"/>
      <c r="JB492" s="1049"/>
      <c r="JC492" s="1049"/>
      <c r="JD492" s="1041"/>
      <c r="JE492" s="1037"/>
      <c r="JF492" s="1037"/>
      <c r="JG492" s="1037"/>
      <c r="JH492" s="1037"/>
      <c r="JI492" s="1035"/>
      <c r="JJ492" s="1035"/>
      <c r="JK492" s="1035"/>
      <c r="JL492" s="1035"/>
      <c r="JM492" s="1035"/>
      <c r="JN492" s="1035"/>
      <c r="JO492" s="1035"/>
      <c r="JP492" s="1035"/>
      <c r="JQ492" s="1035"/>
      <c r="JR492" s="1035"/>
      <c r="JS492" s="1035"/>
      <c r="JT492" s="1035"/>
      <c r="JU492" s="1035"/>
      <c r="JV492" s="1035"/>
      <c r="JW492" s="1035"/>
      <c r="JX492" s="1035"/>
      <c r="JY492" s="1035"/>
    </row>
    <row r="493" spans="1:285">
      <c r="A493" s="1035" t="s">
        <v>197</v>
      </c>
      <c r="B493" s="1057"/>
      <c r="J493" s="1057"/>
      <c r="R493" s="1057"/>
      <c r="Z493" s="1057"/>
      <c r="AH493" s="1057"/>
      <c r="AP493" s="1057"/>
      <c r="AX493" s="1057"/>
      <c r="BF493" s="1057"/>
      <c r="BN493" s="1057"/>
      <c r="BV493" s="1057"/>
      <c r="CD493" s="1057"/>
      <c r="CL493" s="1057"/>
      <c r="DJ493" s="1082"/>
      <c r="DK493" s="1082"/>
      <c r="DL493" s="1082"/>
      <c r="DM493" s="1082"/>
      <c r="DN493" s="1082"/>
      <c r="DO493" s="1082"/>
      <c r="DP493" s="1082"/>
      <c r="DQ493" s="1082"/>
      <c r="DR493" s="1082"/>
      <c r="DS493" s="1082"/>
      <c r="DT493" s="1082"/>
      <c r="DU493" s="1082"/>
      <c r="DV493" s="1082"/>
      <c r="DW493" s="1082"/>
      <c r="DX493" s="1082"/>
      <c r="DY493" s="1085"/>
      <c r="DZ493" s="1460"/>
      <c r="EA493" s="1082"/>
      <c r="EB493" s="1082"/>
      <c r="EC493" s="1082"/>
      <c r="ED493" s="1082"/>
      <c r="EE493" s="1082"/>
      <c r="EF493" s="1082"/>
      <c r="EG493" s="1085"/>
      <c r="EH493" s="1082"/>
      <c r="EI493" s="1083"/>
      <c r="EJ493" s="1083"/>
      <c r="EK493" s="1083"/>
      <c r="EL493" s="1083"/>
      <c r="EM493" s="1083"/>
      <c r="EN493" s="1083"/>
      <c r="EO493" s="1084"/>
      <c r="EP493" s="1083"/>
      <c r="EQ493" s="1083"/>
      <c r="ER493" s="1083"/>
      <c r="ES493" s="1083"/>
      <c r="ET493" s="1083"/>
      <c r="EU493" s="1083"/>
      <c r="EV493" s="1083"/>
      <c r="EW493" s="1084"/>
      <c r="EX493" s="1083"/>
      <c r="EY493" s="1083"/>
      <c r="EZ493" s="1083"/>
      <c r="FA493" s="1083"/>
      <c r="FB493" s="1083"/>
      <c r="FC493" s="1083"/>
      <c r="FD493" s="1083"/>
      <c r="FE493" s="1084"/>
      <c r="FF493" s="1083"/>
      <c r="FG493" s="1083"/>
      <c r="FH493" s="1083"/>
      <c r="FI493" s="1083"/>
      <c r="FJ493" s="1083"/>
      <c r="FK493" s="1083"/>
      <c r="FL493" s="1083"/>
      <c r="FM493" s="1084"/>
      <c r="FN493" s="1083"/>
      <c r="FO493" s="1083"/>
      <c r="FP493" s="1083"/>
      <c r="FQ493" s="1083"/>
      <c r="FR493" s="1083"/>
      <c r="FS493" s="1083"/>
      <c r="FT493" s="1083"/>
      <c r="FU493" s="1083"/>
      <c r="FV493" s="1461">
        <v>1.06573538461538</v>
      </c>
      <c r="FW493" s="1461">
        <v>1.10128692307692</v>
      </c>
      <c r="FX493" s="1461">
        <v>1.08351115384615</v>
      </c>
      <c r="FY493" s="1461">
        <v>1.17501615384615</v>
      </c>
      <c r="FZ493" s="1461">
        <v>1.11401282051282</v>
      </c>
      <c r="GA493" s="1461">
        <v>1.16447325443787</v>
      </c>
      <c r="GB493" s="1461">
        <v>1.16974470414201</v>
      </c>
      <c r="GC493" s="1462">
        <v>1.12662792899408</v>
      </c>
      <c r="GD493" s="1461">
        <v>1.229</v>
      </c>
      <c r="GE493" s="1461">
        <v>1.193</v>
      </c>
      <c r="GF493" s="1461">
        <f>AVERAGE(GD493:GE493)</f>
        <v>1.211</v>
      </c>
      <c r="GG493" s="1461">
        <v>1.1628</v>
      </c>
      <c r="GH493" s="1461">
        <f>AVERAGE(GD493,GE493,GG493)</f>
        <v>1.19493333333333</v>
      </c>
      <c r="GI493" s="1461">
        <v>1.15</v>
      </c>
      <c r="GJ493" s="1461">
        <f>AVERAGE(GI493,GG493)</f>
        <v>1.1564</v>
      </c>
      <c r="GK493" s="1463">
        <f>AVERAGE(GD493,GE493,GG493,GI493)</f>
        <v>1.1837</v>
      </c>
      <c r="GL493" s="1461">
        <v>1.13</v>
      </c>
      <c r="GM493" s="1461">
        <v>1.12</v>
      </c>
      <c r="GN493" s="1461">
        <f t="shared" ref="GN493:GN494" si="4049">AVERAGE(GL493:GM493)</f>
        <v>1.125</v>
      </c>
      <c r="GO493" s="1461">
        <v>1.116</v>
      </c>
      <c r="GP493" s="1461">
        <f t="shared" ref="GP493:GP494" si="4050">AVERAGE(GO493,GM493,GL493)</f>
        <v>1.122</v>
      </c>
      <c r="GQ493" s="1461">
        <f>GO493</f>
        <v>1.116</v>
      </c>
      <c r="GR493" s="1461">
        <f>AVERAGE(GO493,GQ493)</f>
        <v>1.116</v>
      </c>
      <c r="GS493" s="1463">
        <f>AVERAGE(GL493,GM493,GO493,GQ493)</f>
        <v>1.1205</v>
      </c>
      <c r="GT493" s="1461">
        <v>1.105</v>
      </c>
      <c r="GU493" s="1461">
        <v>1.13</v>
      </c>
      <c r="GV493" s="1461">
        <f t="shared" ref="GV493" si="4051">AVERAGE(GT493:GU493)</f>
        <v>1.1175</v>
      </c>
      <c r="GW493" s="1461">
        <v>1.169</v>
      </c>
      <c r="GX493" s="1461">
        <f t="shared" ref="GX493" si="4052">AVERAGE(GW493,GU493,GT493)</f>
        <v>1.13466666666667</v>
      </c>
      <c r="GY493" s="1461">
        <v>1.177</v>
      </c>
      <c r="GZ493" s="1461">
        <f>AVERAGE(GW493,GY493)</f>
        <v>1.173</v>
      </c>
      <c r="HA493" s="1463">
        <f>AVERAGE(GT493,GU493,GW493,GY493)</f>
        <v>1.14525</v>
      </c>
      <c r="HB493" s="1461">
        <v>1.2045</v>
      </c>
      <c r="HC493" s="1461">
        <v>1.207</v>
      </c>
      <c r="HD493" s="1461">
        <f t="shared" ref="HD493:HD494" si="4053">AVERAGE(HB493:HC493)</f>
        <v>1.20575</v>
      </c>
      <c r="HE493" s="1461">
        <f>HC493</f>
        <v>1.207</v>
      </c>
      <c r="HF493" s="1461">
        <f t="shared" ref="HF493:HF494" si="4054">AVERAGE(HE493,HC493,HB493)</f>
        <v>1.20616666666667</v>
      </c>
      <c r="HG493" s="1461">
        <f>HE493</f>
        <v>1.207</v>
      </c>
      <c r="HH493" s="1461">
        <f>AVERAGE(HE493,HG493)</f>
        <v>1.207</v>
      </c>
      <c r="HI493" s="1463">
        <f>AVERAGE(HB493,HC493,HE493,HG493)</f>
        <v>1.206375</v>
      </c>
      <c r="HJ493" s="1461">
        <v>1.12</v>
      </c>
      <c r="HK493" s="1461">
        <v>1.065</v>
      </c>
      <c r="HL493" s="1461">
        <f t="shared" ref="HL493:HL494" si="4055">AVERAGE(HJ493:HK493)</f>
        <v>1.0925</v>
      </c>
      <c r="HM493" s="1461">
        <v>0.99</v>
      </c>
      <c r="HN493" s="1461">
        <f t="shared" ref="HN493:HN494" si="4056">AVERAGE(HM493,HK493,HJ493)</f>
        <v>1.05833333333333</v>
      </c>
      <c r="HO493" s="1461">
        <v>1.02</v>
      </c>
      <c r="HP493" s="1461">
        <f t="shared" ref="HP493:HP494" si="4057">AVERAGE(HM493,HO493)</f>
        <v>1.005</v>
      </c>
      <c r="HQ493" s="1462">
        <f t="shared" ref="HQ493:HQ494" si="4058">AVERAGE(HJ493,HK493,HM493,HO493)</f>
        <v>1.04875</v>
      </c>
      <c r="HR493" s="1461">
        <v>1.07</v>
      </c>
      <c r="HS493" s="1461">
        <v>1.1</v>
      </c>
      <c r="HT493" s="1461">
        <f t="shared" ref="HT493" si="4059">AVERAGE(HR493:HS493)</f>
        <v>1.085</v>
      </c>
      <c r="HU493" s="1461">
        <v>1.088</v>
      </c>
      <c r="HV493" s="1461">
        <f t="shared" ref="HV493" si="4060">AVERAGE(HU493,HS493,HR493)</f>
        <v>1.086</v>
      </c>
      <c r="HW493" s="1461">
        <v>1.076</v>
      </c>
      <c r="HX493" s="1461">
        <f t="shared" ref="HX493" si="4061">AVERAGE(HU493,HW493)</f>
        <v>1.082</v>
      </c>
      <c r="HY493" s="1462">
        <f t="shared" ref="HY493" si="4062">AVERAGE(HR493,HS493,HU493,HW493)</f>
        <v>1.0835</v>
      </c>
      <c r="HZ493" s="1464">
        <v>1.09</v>
      </c>
      <c r="IA493" s="1461">
        <v>1.08</v>
      </c>
      <c r="IB493" s="1461"/>
      <c r="IC493" s="1461">
        <f>IA493</f>
        <v>1.08</v>
      </c>
      <c r="ID493" s="1461"/>
      <c r="IE493" s="1461">
        <v>1.066</v>
      </c>
      <c r="IF493" s="1461"/>
      <c r="IG493" s="1462">
        <f t="shared" ref="IG493:IG494" si="4063">AVERAGE(HZ493,IA493,IC493,IE493)</f>
        <v>1.079</v>
      </c>
      <c r="IH493" s="1464">
        <v>1.0473</v>
      </c>
      <c r="II493" s="1461">
        <v>1.1347</v>
      </c>
      <c r="IJ493" s="1461"/>
      <c r="IK493" s="1461">
        <v>1.169</v>
      </c>
      <c r="IL493" s="1461"/>
      <c r="IM493" s="1465">
        <v>1.164</v>
      </c>
      <c r="IN493" s="1461"/>
      <c r="IO493" s="1462">
        <f t="shared" ref="IO493:IO494" si="4064">AVERAGE(IH493,II493,IK493,IM493)</f>
        <v>1.12875</v>
      </c>
      <c r="IP493" s="1464">
        <v>1.171</v>
      </c>
      <c r="IQ493" s="1461">
        <v>1.1623</v>
      </c>
      <c r="IR493" s="1461"/>
      <c r="IS493" s="1461">
        <v>1.145</v>
      </c>
      <c r="IT493" s="1461"/>
      <c r="IU493" s="1461">
        <f t="shared" ref="IU493:IU501" si="4065">IS493</f>
        <v>1.145</v>
      </c>
      <c r="IV493" s="1461"/>
      <c r="IW493" s="1462">
        <f t="shared" ref="IW493:IW494" si="4066">AVERAGE(IP493,IQ493,IS493,IU493)</f>
        <v>1.155825</v>
      </c>
      <c r="IX493" s="1049"/>
      <c r="IY493" s="1049"/>
      <c r="IZ493" s="1049"/>
      <c r="JA493" s="1049"/>
      <c r="JB493" s="1049"/>
      <c r="JC493" s="1049"/>
      <c r="JD493" s="1041"/>
      <c r="JE493" s="1037"/>
      <c r="JF493" s="1037"/>
      <c r="JG493" s="1037"/>
      <c r="JH493" s="1037"/>
      <c r="JI493" s="1035"/>
      <c r="JJ493" s="1035"/>
      <c r="JK493" s="1035"/>
      <c r="JL493" s="1035"/>
      <c r="JM493" s="1035"/>
      <c r="JN493" s="1035"/>
      <c r="JO493" s="1035"/>
      <c r="JP493" s="1035"/>
      <c r="JQ493" s="1035"/>
      <c r="JR493" s="1035"/>
      <c r="JS493" s="1035"/>
      <c r="JT493" s="1035"/>
      <c r="JU493" s="1035"/>
      <c r="JV493" s="1035"/>
      <c r="JW493" s="1035"/>
      <c r="JX493" s="1035"/>
      <c r="JY493" s="1035"/>
    </row>
    <row r="494" spans="1:285">
      <c r="A494" s="1035" t="s">
        <v>200</v>
      </c>
      <c r="B494" s="1057"/>
      <c r="J494" s="1057"/>
      <c r="R494" s="1057"/>
      <c r="Z494" s="1057"/>
      <c r="AH494" s="1057"/>
      <c r="AP494" s="1057"/>
      <c r="AX494" s="1057"/>
      <c r="BF494" s="1057"/>
      <c r="BN494" s="1057"/>
      <c r="BV494" s="1057"/>
      <c r="CD494" s="1057"/>
      <c r="CL494" s="1057"/>
      <c r="DJ494" s="1082"/>
      <c r="DK494" s="1082"/>
      <c r="DL494" s="1082"/>
      <c r="DM494" s="1082"/>
      <c r="DN494" s="1082"/>
      <c r="DO494" s="1082"/>
      <c r="DP494" s="1082"/>
      <c r="DQ494" s="1082"/>
      <c r="DR494" s="1082"/>
      <c r="DS494" s="1082"/>
      <c r="DT494" s="1082"/>
      <c r="DU494" s="1082"/>
      <c r="DV494" s="1082"/>
      <c r="DW494" s="1082"/>
      <c r="DX494" s="1082"/>
      <c r="DY494" s="1085"/>
      <c r="DZ494" s="1460"/>
      <c r="EA494" s="1082"/>
      <c r="EB494" s="1082"/>
      <c r="EC494" s="1082"/>
      <c r="ED494" s="1082"/>
      <c r="EE494" s="1082"/>
      <c r="EF494" s="1082"/>
      <c r="EG494" s="1085"/>
      <c r="EH494" s="1082"/>
      <c r="EI494" s="1083"/>
      <c r="EJ494" s="1083"/>
      <c r="EK494" s="1083"/>
      <c r="EL494" s="1083"/>
      <c r="EM494" s="1083"/>
      <c r="EN494" s="1083"/>
      <c r="EO494" s="1084"/>
      <c r="EP494" s="1083"/>
      <c r="EQ494" s="1083"/>
      <c r="ER494" s="1083"/>
      <c r="ES494" s="1083"/>
      <c r="ET494" s="1083"/>
      <c r="EU494" s="1083"/>
      <c r="EV494" s="1083"/>
      <c r="EW494" s="1084"/>
      <c r="EX494" s="1083"/>
      <c r="EY494" s="1083"/>
      <c r="EZ494" s="1083"/>
      <c r="FA494" s="1083"/>
      <c r="FB494" s="1083"/>
      <c r="FC494" s="1083"/>
      <c r="FD494" s="1083"/>
      <c r="FE494" s="1084"/>
      <c r="FF494" s="1083"/>
      <c r="FG494" s="1083"/>
      <c r="FH494" s="1083"/>
      <c r="FI494" s="1083"/>
      <c r="FJ494" s="1083"/>
      <c r="FK494" s="1083"/>
      <c r="FL494" s="1083"/>
      <c r="FM494" s="1084"/>
      <c r="FN494" s="1083"/>
      <c r="FO494" s="1083"/>
      <c r="FP494" s="1083"/>
      <c r="FQ494" s="1083"/>
      <c r="FR494" s="1083"/>
      <c r="FS494" s="1083"/>
      <c r="FT494" s="1083"/>
      <c r="FU494" s="1083"/>
      <c r="FV494" s="1461">
        <v>62.5748230769231</v>
      </c>
      <c r="FW494" s="1461">
        <v>63.0249492307692</v>
      </c>
      <c r="FX494" s="1461">
        <v>62.7998861538462</v>
      </c>
      <c r="FY494" s="1461">
        <v>69.2649</v>
      </c>
      <c r="FZ494" s="1461">
        <v>64.9548907692308</v>
      </c>
      <c r="GA494" s="1461">
        <v>68.4584676923077</v>
      </c>
      <c r="GB494" s="1461">
        <v>68.8616838461539</v>
      </c>
      <c r="GC494" s="1462">
        <v>65.830785</v>
      </c>
      <c r="GD494" s="1461">
        <v>70.6</v>
      </c>
      <c r="GE494" s="1461">
        <v>73.75</v>
      </c>
      <c r="GF494" s="1461">
        <f>AVERAGE(GD494:GE494)</f>
        <v>72.175</v>
      </c>
      <c r="GG494" s="1461">
        <v>76.25</v>
      </c>
      <c r="GH494" s="1461">
        <f>AVERAGE(GD494,GE494,GG494)</f>
        <v>73.5333333333333</v>
      </c>
      <c r="GI494" s="1461">
        <v>75.6</v>
      </c>
      <c r="GJ494" s="1461">
        <f>AVERAGE(GI494,GG494)</f>
        <v>75.925</v>
      </c>
      <c r="GK494" s="1463">
        <f>AVERAGE(GD494,GE494,GG494,GI494)</f>
        <v>74.05</v>
      </c>
      <c r="GL494" s="1461">
        <v>75.57</v>
      </c>
      <c r="GM494" s="1461">
        <v>72.2725</v>
      </c>
      <c r="GN494" s="1461">
        <f t="shared" si="4049"/>
        <v>73.92125</v>
      </c>
      <c r="GO494" s="1461">
        <v>71.9</v>
      </c>
      <c r="GP494" s="1461">
        <f t="shared" si="4050"/>
        <v>73.2475</v>
      </c>
      <c r="GQ494" s="1461">
        <f t="shared" ref="GQ494" si="4067">GO494</f>
        <v>71.9</v>
      </c>
      <c r="GR494" s="1461">
        <f t="shared" ref="GR494" si="4068">AVERAGE(GO494,GQ494)</f>
        <v>71.9</v>
      </c>
      <c r="GS494" s="1463">
        <f t="shared" ref="GS494" si="4069">AVERAGE(GL494,GM494,GO494,GQ494)</f>
        <v>72.910625</v>
      </c>
      <c r="GT494" s="1461">
        <v>70.9</v>
      </c>
      <c r="GU494" s="1461">
        <v>81.1</v>
      </c>
      <c r="GV494" s="1461">
        <f t="shared" ref="GV494" si="4070">AVERAGE(GT494:GU494)</f>
        <v>76</v>
      </c>
      <c r="GW494" s="1461">
        <v>86.24</v>
      </c>
      <c r="GX494" s="1461">
        <f t="shared" ref="GX494" si="4071">AVERAGE(GW494,GU494,GT494)</f>
        <v>79.4133333333333</v>
      </c>
      <c r="GY494" s="1461">
        <v>92</v>
      </c>
      <c r="GZ494" s="1461">
        <f>AVERAGE(GW494,GY494)</f>
        <v>89.12</v>
      </c>
      <c r="HA494" s="1463">
        <f>AVERAGE(GT494,GU494,GW494,GY494)</f>
        <v>82.56</v>
      </c>
      <c r="HB494" s="1461">
        <v>89.73</v>
      </c>
      <c r="HC494" s="1461">
        <v>89.515</v>
      </c>
      <c r="HD494" s="1461">
        <f t="shared" si="4053"/>
        <v>89.6225</v>
      </c>
      <c r="HE494" s="1461">
        <f>HC494</f>
        <v>89.515</v>
      </c>
      <c r="HF494" s="1461">
        <f t="shared" si="4054"/>
        <v>89.5866666666667</v>
      </c>
      <c r="HG494" s="1461">
        <f>HE494</f>
        <v>89.515</v>
      </c>
      <c r="HH494" s="1461">
        <f>AVERAGE(HE494,HG494)</f>
        <v>89.515</v>
      </c>
      <c r="HI494" s="1463">
        <f>AVERAGE(HB494,HC494,HE494,HG494)</f>
        <v>89.56875</v>
      </c>
      <c r="HJ494" s="1461">
        <v>98</v>
      </c>
      <c r="HK494" s="1461">
        <v>72</v>
      </c>
      <c r="HL494" s="1461">
        <f t="shared" si="4055"/>
        <v>85</v>
      </c>
      <c r="HM494" s="1461">
        <v>61.8</v>
      </c>
      <c r="HN494" s="1461">
        <f t="shared" si="4056"/>
        <v>77.2666666666667</v>
      </c>
      <c r="HO494" s="1461">
        <v>61.8</v>
      </c>
      <c r="HP494" s="1461">
        <f t="shared" si="4057"/>
        <v>61.8</v>
      </c>
      <c r="HQ494" s="1463">
        <f t="shared" si="4058"/>
        <v>73.4</v>
      </c>
      <c r="HR494" s="1461">
        <v>78.6</v>
      </c>
      <c r="HS494" s="1461">
        <v>90</v>
      </c>
      <c r="HT494" s="1461">
        <f t="shared" ref="HT494" si="4072">AVERAGE(HR494:HS494)</f>
        <v>84.3</v>
      </c>
      <c r="HU494" s="1461">
        <v>102.5</v>
      </c>
      <c r="HV494" s="1461">
        <f t="shared" ref="HV494" si="4073">AVERAGE(HU494,HS494,HR494)</f>
        <v>90.3666666666667</v>
      </c>
      <c r="HW494" s="1461">
        <v>99.9</v>
      </c>
      <c r="HX494" s="1461">
        <f t="shared" ref="HX494" si="4074">AVERAGE(HU494,HW494)</f>
        <v>101.2</v>
      </c>
      <c r="HY494" s="1462">
        <f t="shared" ref="HY494" si="4075">AVERAGE(HR494,HS494,HU494,HW494)</f>
        <v>92.75</v>
      </c>
      <c r="HZ494" s="1464">
        <v>96.7</v>
      </c>
      <c r="IA494" s="1461">
        <f>HZ494</f>
        <v>96.7</v>
      </c>
      <c r="IB494" s="1461"/>
      <c r="IC494" s="1461">
        <f>IA494</f>
        <v>96.7</v>
      </c>
      <c r="ID494" s="1461"/>
      <c r="IE494" s="1461">
        <v>106.9</v>
      </c>
      <c r="IF494" s="1461"/>
      <c r="IG494" s="1462">
        <f t="shared" si="4063"/>
        <v>99.25</v>
      </c>
      <c r="IH494" s="1464">
        <f>II494</f>
        <v>91.78</v>
      </c>
      <c r="II494" s="1461">
        <v>91.78</v>
      </c>
      <c r="IJ494" s="1461"/>
      <c r="IK494" s="1461">
        <v>94.244</v>
      </c>
      <c r="IL494" s="1461"/>
      <c r="IM494" s="1461">
        <v>92.93</v>
      </c>
      <c r="IN494" s="1461"/>
      <c r="IO494" s="1462">
        <f t="shared" si="4064"/>
        <v>92.6835</v>
      </c>
      <c r="IP494" s="1464">
        <v>90.8</v>
      </c>
      <c r="IQ494" s="1461">
        <v>86.6</v>
      </c>
      <c r="IR494" s="1461"/>
      <c r="IS494" s="1461">
        <v>91.4</v>
      </c>
      <c r="IT494" s="1461"/>
      <c r="IU494" s="1461">
        <f t="shared" si="4065"/>
        <v>91.4</v>
      </c>
      <c r="IV494" s="1461"/>
      <c r="IW494" s="1462">
        <f t="shared" si="4066"/>
        <v>90.05</v>
      </c>
      <c r="IX494" s="1049"/>
      <c r="IY494" s="1049"/>
      <c r="IZ494" s="1049"/>
      <c r="JA494" s="1049"/>
      <c r="JB494" s="1049"/>
      <c r="JC494" s="1049"/>
      <c r="JD494" s="1041"/>
      <c r="JE494" s="1037"/>
      <c r="JF494" s="1037"/>
      <c r="JG494" s="1037"/>
      <c r="JH494" s="1037"/>
      <c r="JI494" s="1035"/>
      <c r="JJ494" s="1035"/>
      <c r="JK494" s="1035"/>
      <c r="JL494" s="1035"/>
      <c r="JM494" s="1035"/>
      <c r="JN494" s="1035"/>
      <c r="JO494" s="1035"/>
      <c r="JP494" s="1035"/>
      <c r="JQ494" s="1035"/>
      <c r="JR494" s="1035"/>
      <c r="JS494" s="1035"/>
      <c r="JT494" s="1035"/>
      <c r="JU494" s="1035"/>
      <c r="JV494" s="1035"/>
      <c r="JW494" s="1035"/>
      <c r="JX494" s="1035"/>
      <c r="JY494" s="1035"/>
    </row>
    <row r="495" spans="1:285">
      <c r="B495" s="1057"/>
      <c r="J495" s="1057"/>
      <c r="R495" s="1057"/>
      <c r="Z495" s="1057"/>
      <c r="AH495" s="1057"/>
      <c r="AP495" s="1057"/>
      <c r="AX495" s="1057"/>
      <c r="BF495" s="1057"/>
      <c r="BN495" s="1057"/>
      <c r="BV495" s="1057"/>
      <c r="CD495" s="1057"/>
      <c r="CL495" s="1057"/>
      <c r="DJ495" s="1082"/>
      <c r="DK495" s="1082"/>
      <c r="DL495" s="1082"/>
      <c r="DM495" s="1082"/>
      <c r="DN495" s="1082"/>
      <c r="DO495" s="1082"/>
      <c r="DP495" s="1082"/>
      <c r="DQ495" s="1082"/>
      <c r="DR495" s="1082"/>
      <c r="DS495" s="1082"/>
      <c r="DT495" s="1082"/>
      <c r="DU495" s="1082"/>
      <c r="DV495" s="1082"/>
      <c r="DW495" s="1082"/>
      <c r="DX495" s="1082"/>
      <c r="DY495" s="1085"/>
      <c r="DZ495" s="1460"/>
      <c r="EA495" s="1082"/>
      <c r="EB495" s="1082"/>
      <c r="EC495" s="1082"/>
      <c r="ED495" s="1082"/>
      <c r="EE495" s="1082"/>
      <c r="EF495" s="1082"/>
      <c r="EG495" s="1085"/>
      <c r="EH495" s="1082"/>
      <c r="EI495" s="1083"/>
      <c r="EJ495" s="1083"/>
      <c r="EK495" s="1083"/>
      <c r="EL495" s="1083"/>
      <c r="EM495" s="1083"/>
      <c r="EN495" s="1083"/>
      <c r="EO495" s="1084"/>
      <c r="EP495" s="1083"/>
      <c r="EQ495" s="1083"/>
      <c r="ER495" s="1083"/>
      <c r="ES495" s="1083"/>
      <c r="ET495" s="1083"/>
      <c r="EU495" s="1083"/>
      <c r="EV495" s="1083"/>
      <c r="EW495" s="1084"/>
      <c r="EX495" s="1083"/>
      <c r="EY495" s="1083"/>
      <c r="EZ495" s="1083"/>
      <c r="FA495" s="1083"/>
      <c r="FB495" s="1083"/>
      <c r="FC495" s="1083"/>
      <c r="FD495" s="1083"/>
      <c r="FE495" s="1084"/>
      <c r="FF495" s="1083"/>
      <c r="FG495" s="1083"/>
      <c r="FH495" s="1083"/>
      <c r="FI495" s="1083"/>
      <c r="FJ495" s="1083"/>
      <c r="FK495" s="1083"/>
      <c r="FL495" s="1083"/>
      <c r="FM495" s="1084"/>
      <c r="FN495" s="1083"/>
      <c r="FO495" s="1083"/>
      <c r="FP495" s="1083"/>
      <c r="FQ495" s="1083"/>
      <c r="FR495" s="1083"/>
      <c r="FS495" s="1083"/>
      <c r="FT495" s="1083"/>
      <c r="FU495" s="1083"/>
      <c r="FV495" s="1461"/>
      <c r="FW495" s="1461"/>
      <c r="FX495" s="1461"/>
      <c r="FY495" s="1461"/>
      <c r="FZ495" s="1461"/>
      <c r="GA495" s="1461"/>
      <c r="GB495" s="1461"/>
      <c r="GC495" s="1462"/>
      <c r="GD495" s="1461"/>
      <c r="GE495" s="1461"/>
      <c r="GF495" s="1461"/>
      <c r="GG495" s="1461"/>
      <c r="GH495" s="1461"/>
      <c r="GI495" s="1461"/>
      <c r="GJ495" s="1461"/>
      <c r="GK495" s="1463"/>
      <c r="GL495" s="1461"/>
      <c r="GM495" s="1461"/>
      <c r="GN495" s="1461"/>
      <c r="GO495" s="1461"/>
      <c r="GP495" s="1461"/>
      <c r="GQ495" s="1461"/>
      <c r="GR495" s="1461"/>
      <c r="GS495" s="1463"/>
      <c r="GT495" s="1461"/>
      <c r="GU495" s="1461"/>
      <c r="GV495" s="1461"/>
      <c r="GW495" s="1461"/>
      <c r="GX495" s="1461"/>
      <c r="GY495" s="1461"/>
      <c r="GZ495" s="1461"/>
      <c r="HA495" s="1463"/>
      <c r="HB495" s="1461"/>
      <c r="HC495" s="1461"/>
      <c r="HD495" s="1461"/>
      <c r="HE495" s="1461"/>
      <c r="HF495" s="1461"/>
      <c r="HG495" s="1461"/>
      <c r="HH495" s="1461"/>
      <c r="HI495" s="1463"/>
      <c r="HJ495" s="1461"/>
      <c r="HK495" s="1461"/>
      <c r="HL495" s="1461"/>
      <c r="HM495" s="1461"/>
      <c r="HN495" s="1461"/>
      <c r="HO495" s="1461"/>
      <c r="HP495" s="1461"/>
      <c r="HQ495" s="1463"/>
      <c r="HR495" s="1461"/>
      <c r="HS495" s="1461"/>
      <c r="HT495" s="1461"/>
      <c r="HU495" s="1461"/>
      <c r="HV495" s="1461"/>
      <c r="HW495" s="1461"/>
      <c r="HX495" s="1461"/>
      <c r="HY495" s="1463"/>
      <c r="HZ495" s="1466"/>
      <c r="IA495" s="1466"/>
      <c r="IB495" s="1466"/>
      <c r="IC495" s="1466"/>
      <c r="ID495" s="1466"/>
      <c r="IE495" s="1466"/>
      <c r="IF495" s="1466"/>
      <c r="IG495" s="1463"/>
      <c r="IH495" s="1466"/>
      <c r="II495" s="1466"/>
      <c r="IJ495" s="1466"/>
      <c r="IK495" s="1466"/>
      <c r="IL495" s="1466"/>
      <c r="IM495" s="1466"/>
      <c r="IN495" s="1466"/>
      <c r="IO495" s="1463"/>
      <c r="IP495" s="1466"/>
      <c r="IQ495" s="1461"/>
      <c r="IR495" s="1466"/>
      <c r="IS495" s="1461"/>
      <c r="IT495" s="1466"/>
      <c r="IU495" s="1461"/>
      <c r="IV495" s="1466"/>
      <c r="IW495" s="1463"/>
      <c r="IX495" s="1049"/>
      <c r="IY495" s="1049"/>
      <c r="IZ495" s="1049"/>
      <c r="JA495" s="1049"/>
      <c r="JB495" s="1049"/>
      <c r="JC495" s="1049"/>
      <c r="JD495" s="1041"/>
      <c r="JE495" s="1037"/>
      <c r="JF495" s="1037"/>
      <c r="JG495" s="1037"/>
      <c r="JH495" s="1037"/>
      <c r="JI495" s="1035"/>
      <c r="JJ495" s="1035"/>
      <c r="JK495" s="1035"/>
      <c r="JL495" s="1035"/>
      <c r="JM495" s="1035"/>
      <c r="JN495" s="1035"/>
      <c r="JO495" s="1035"/>
      <c r="JP495" s="1035"/>
      <c r="JQ495" s="1035"/>
      <c r="JR495" s="1035"/>
      <c r="JS495" s="1035"/>
      <c r="JT495" s="1035"/>
      <c r="JU495" s="1035"/>
      <c r="JV495" s="1035"/>
      <c r="JW495" s="1035"/>
      <c r="JX495" s="1035"/>
      <c r="JY495" s="1035"/>
    </row>
    <row r="496" spans="1:285">
      <c r="A496" s="1459" t="s">
        <v>198</v>
      </c>
      <c r="B496" s="1057"/>
      <c r="J496" s="1057"/>
      <c r="R496" s="1057"/>
      <c r="Z496" s="1057"/>
      <c r="AH496" s="1057"/>
      <c r="AP496" s="1057"/>
      <c r="AX496" s="1057"/>
      <c r="BF496" s="1057"/>
      <c r="BN496" s="1057"/>
      <c r="BV496" s="1057"/>
      <c r="CD496" s="1057"/>
      <c r="CL496" s="1057"/>
      <c r="DJ496" s="1082"/>
      <c r="DK496" s="1082"/>
      <c r="DL496" s="1082"/>
      <c r="DM496" s="1082"/>
      <c r="DN496" s="1082"/>
      <c r="DO496" s="1082"/>
      <c r="DP496" s="1082"/>
      <c r="DQ496" s="1082"/>
      <c r="DR496" s="1082"/>
      <c r="DS496" s="1082"/>
      <c r="DT496" s="1082"/>
      <c r="DU496" s="1082"/>
      <c r="DV496" s="1082"/>
      <c r="DW496" s="1082"/>
      <c r="DX496" s="1082"/>
      <c r="DY496" s="1085"/>
      <c r="DZ496" s="1460"/>
      <c r="EA496" s="1082"/>
      <c r="EB496" s="1082"/>
      <c r="EC496" s="1082"/>
      <c r="ED496" s="1082"/>
      <c r="EE496" s="1082"/>
      <c r="EF496" s="1082"/>
      <c r="EG496" s="1085"/>
      <c r="EH496" s="1082"/>
      <c r="EI496" s="1083"/>
      <c r="EJ496" s="1083"/>
      <c r="EK496" s="1083"/>
      <c r="EL496" s="1083"/>
      <c r="EM496" s="1083"/>
      <c r="EN496" s="1083"/>
      <c r="EO496" s="1084"/>
      <c r="EP496" s="1083"/>
      <c r="EQ496" s="1083"/>
      <c r="ER496" s="1083"/>
      <c r="ES496" s="1083"/>
      <c r="ET496" s="1083"/>
      <c r="EU496" s="1083"/>
      <c r="EV496" s="1083"/>
      <c r="EW496" s="1084"/>
      <c r="EX496" s="1083"/>
      <c r="EY496" s="1083"/>
      <c r="EZ496" s="1083"/>
      <c r="FA496" s="1083"/>
      <c r="FB496" s="1083"/>
      <c r="FC496" s="1083"/>
      <c r="FD496" s="1083"/>
      <c r="FE496" s="1084"/>
      <c r="FF496" s="1083"/>
      <c r="FG496" s="1083"/>
      <c r="FH496" s="1083"/>
      <c r="FI496" s="1083"/>
      <c r="FJ496" s="1083"/>
      <c r="FK496" s="1083"/>
      <c r="FL496" s="1083"/>
      <c r="FM496" s="1084"/>
      <c r="FN496" s="1083"/>
      <c r="FO496" s="1083"/>
      <c r="FP496" s="1083"/>
      <c r="FQ496" s="1083"/>
      <c r="FR496" s="1083"/>
      <c r="FS496" s="1083"/>
      <c r="FT496" s="1083"/>
      <c r="FU496" s="1083"/>
      <c r="FV496" s="1461">
        <v>121.142923076923</v>
      </c>
      <c r="FW496" s="1461">
        <v>122.253230769231</v>
      </c>
      <c r="FX496" s="1461">
        <v>121.698076923077</v>
      </c>
      <c r="FY496" s="1461">
        <v>130.352615384615</v>
      </c>
      <c r="FZ496" s="1461">
        <v>124.582923076923</v>
      </c>
      <c r="GA496" s="1461">
        <v>132.375384615385</v>
      </c>
      <c r="GB496" s="1461">
        <v>131.364</v>
      </c>
      <c r="GC496" s="1462">
        <v>126.531038461538</v>
      </c>
      <c r="GD496" s="1461">
        <v>133.17</v>
      </c>
      <c r="GE496" s="1461">
        <v>131.1</v>
      </c>
      <c r="GF496" s="1461">
        <f t="shared" ref="GF496:GF501" si="4076">AVERAGE(GD496:GE496)</f>
        <v>132.135</v>
      </c>
      <c r="GG496" s="1461">
        <v>129.66</v>
      </c>
      <c r="GH496" s="1461">
        <f t="shared" ref="GH496:GH501" si="4077">AVERAGE(GD496,GE496,GG496)</f>
        <v>131.31</v>
      </c>
      <c r="GI496" s="1461">
        <v>129.07</v>
      </c>
      <c r="GJ496" s="1461">
        <f t="shared" ref="GJ496:GJ501" si="4078">AVERAGE(GI496,GG496)</f>
        <v>129.365</v>
      </c>
      <c r="GK496" s="1463">
        <f t="shared" ref="GK496:GK501" si="4079">AVERAGE(GD496,GE496,GG496,GI496)</f>
        <v>130.75</v>
      </c>
      <c r="GL496" s="1461">
        <v>124.95</v>
      </c>
      <c r="GM496" s="1461">
        <v>123.55</v>
      </c>
      <c r="GN496" s="1461">
        <f t="shared" ref="GN496:GN501" si="4080">AVERAGE(GL496:GM496)</f>
        <v>124.25</v>
      </c>
      <c r="GO496" s="1461">
        <v>120</v>
      </c>
      <c r="GP496" s="1461">
        <f t="shared" ref="GP496:GP500" si="4081">AVERAGE(GO496,GM496,GL496)</f>
        <v>122.833333333333</v>
      </c>
      <c r="GQ496" s="1461">
        <v>119</v>
      </c>
      <c r="GR496" s="1461">
        <f t="shared" ref="GR496:GR500" si="4082">AVERAGE(GO496,GQ496)</f>
        <v>119.5</v>
      </c>
      <c r="GS496" s="1463">
        <f t="shared" ref="GS496:GS501" si="4083">AVERAGE(GL496,GM496,GO496,GQ496)</f>
        <v>121.875</v>
      </c>
      <c r="GT496" s="1461">
        <v>120.5</v>
      </c>
      <c r="GU496" s="1461">
        <v>119</v>
      </c>
      <c r="GV496" s="1461">
        <f t="shared" ref="GV496" si="4084">AVERAGE(GT496:GU496)</f>
        <v>119.75</v>
      </c>
      <c r="GW496" s="1461">
        <v>124.1</v>
      </c>
      <c r="GX496" s="1461">
        <f t="shared" ref="GX496" si="4085">AVERAGE(GW496,GU496,GT496)</f>
        <v>121.2</v>
      </c>
      <c r="GY496" s="1461">
        <v>124.7</v>
      </c>
      <c r="GZ496" s="1461">
        <f t="shared" ref="GZ496:GZ501" si="4086">AVERAGE(GW496,GY496)</f>
        <v>124.4</v>
      </c>
      <c r="HA496" s="1463">
        <f t="shared" ref="HA496:HA501" si="4087">AVERAGE(GT496,GU496,GW496,GY496)</f>
        <v>122.075</v>
      </c>
      <c r="HB496" s="1461">
        <v>127.76</v>
      </c>
      <c r="HC496" s="1461">
        <v>131.79</v>
      </c>
      <c r="HD496" s="1461">
        <f t="shared" ref="HD496:HD501" si="4088">AVERAGE(HB496:HC496)</f>
        <v>129.775</v>
      </c>
      <c r="HE496" s="1461">
        <f t="shared" ref="HE496:HE501" si="4089">HC496</f>
        <v>131.79</v>
      </c>
      <c r="HF496" s="1461">
        <f t="shared" ref="HF496:HF501" si="4090">AVERAGE(HE496,HC496,HB496)</f>
        <v>130.446666666667</v>
      </c>
      <c r="HG496" s="1461">
        <f t="shared" ref="HG496:HG501" si="4091">HE496</f>
        <v>131.79</v>
      </c>
      <c r="HH496" s="1461">
        <f t="shared" ref="HH496:HH501" si="4092">AVERAGE(HE496,HG496)</f>
        <v>131.79</v>
      </c>
      <c r="HI496" s="1463">
        <f t="shared" ref="HI496:HI501" si="4093">AVERAGE(HB496,HC496,HE496,HG496)</f>
        <v>130.7825</v>
      </c>
      <c r="HJ496" s="1461">
        <v>131</v>
      </c>
      <c r="HK496" s="1461">
        <v>138.2</v>
      </c>
      <c r="HL496" s="1461">
        <f t="shared" ref="HL496:HL501" si="4094">AVERAGE(HJ496:HK496)</f>
        <v>134.6</v>
      </c>
      <c r="HM496" s="1461">
        <v>139.15</v>
      </c>
      <c r="HN496" s="1461">
        <f t="shared" ref="HN496:HN501" si="4095">AVERAGE(HM496,HK496,HJ496)</f>
        <v>136.116666666667</v>
      </c>
      <c r="HO496" s="1461">
        <v>144.2</v>
      </c>
      <c r="HP496" s="1461">
        <f t="shared" ref="HP496:HP501" si="4096">AVERAGE(HM496,HO496)</f>
        <v>141.675</v>
      </c>
      <c r="HQ496" s="1462">
        <f t="shared" ref="HQ496:HQ501" si="4097">AVERAGE(HJ496,HK496,HM496,HO496)</f>
        <v>138.1375</v>
      </c>
      <c r="HR496" s="1461">
        <v>142</v>
      </c>
      <c r="HS496" s="1461">
        <v>149</v>
      </c>
      <c r="HT496" s="1461">
        <f t="shared" ref="HT496:HT501" si="4098">AVERAGE(HR496:HS496)</f>
        <v>145.5</v>
      </c>
      <c r="HU496" s="1461">
        <v>157.3</v>
      </c>
      <c r="HV496" s="1461">
        <f t="shared" ref="HV496:HV501" si="4099">AVERAGE(HU496,HS496,HR496)</f>
        <v>149.433333333333</v>
      </c>
      <c r="HW496" s="1461">
        <v>159</v>
      </c>
      <c r="HX496" s="1461">
        <f t="shared" ref="HX496:HX500" si="4100">AVERAGE(HU496,HW496)</f>
        <v>158.15</v>
      </c>
      <c r="HY496" s="1462">
        <f t="shared" ref="HY496:HY500" si="4101">AVERAGE(HR496,HS496,HU496,HW496)</f>
        <v>151.825</v>
      </c>
      <c r="HZ496" s="1464">
        <v>160.35</v>
      </c>
      <c r="IA496" s="1461">
        <v>158</v>
      </c>
      <c r="IB496" s="1461"/>
      <c r="IC496" s="1461">
        <f t="shared" ref="IC496:IC500" si="4102">IA496</f>
        <v>158</v>
      </c>
      <c r="ID496" s="1461"/>
      <c r="IE496" s="1461">
        <v>162.5</v>
      </c>
      <c r="IF496" s="1461"/>
      <c r="IG496" s="1462">
        <f t="shared" ref="IG496:IG501" si="4103">AVERAGE(HZ496,IA496,IC496,IE496)</f>
        <v>159.7125</v>
      </c>
      <c r="IH496" s="1464">
        <v>159.93</v>
      </c>
      <c r="II496" s="1461">
        <v>163.87</v>
      </c>
      <c r="IJ496" s="1461"/>
      <c r="IK496" s="1461">
        <v>172.3</v>
      </c>
      <c r="IL496" s="1461"/>
      <c r="IM496" s="1461">
        <v>179.25</v>
      </c>
      <c r="IN496" s="1461"/>
      <c r="IO496" s="1462">
        <f t="shared" ref="IO496:IO501" si="4104">AVERAGE(IH496,II496,IK496,IM496)</f>
        <v>168.8375</v>
      </c>
      <c r="IP496" s="1464">
        <v>183.3</v>
      </c>
      <c r="IQ496" s="1461">
        <f>[138]Quarterly!$IZ$386</f>
        <v>183.6</v>
      </c>
      <c r="IR496" s="1461"/>
      <c r="IS496" s="1461">
        <v>187.3</v>
      </c>
      <c r="IT496" s="1461"/>
      <c r="IU496" s="1461">
        <f t="shared" si="4065"/>
        <v>187.3</v>
      </c>
      <c r="IV496" s="1461"/>
      <c r="IW496" s="1462">
        <f t="shared" ref="IW496:IW501" si="4105">AVERAGE(IP496,IQ496,IS496,IU496)</f>
        <v>185.375</v>
      </c>
      <c r="IX496" s="1049"/>
      <c r="IY496" s="1049"/>
      <c r="IZ496" s="1049"/>
      <c r="JA496" s="1049"/>
      <c r="JB496" s="1049"/>
      <c r="JC496" s="1049"/>
      <c r="JD496" s="1041"/>
      <c r="JE496" s="1037"/>
      <c r="JF496" s="1037"/>
      <c r="JG496" s="1037"/>
      <c r="JH496" s="1037"/>
      <c r="JI496" s="1035"/>
      <c r="JJ496" s="1035"/>
      <c r="JK496" s="1035"/>
      <c r="JL496" s="1035"/>
      <c r="JM496" s="1035"/>
      <c r="JN496" s="1035"/>
      <c r="JO496" s="1035"/>
      <c r="JP496" s="1035"/>
      <c r="JQ496" s="1035"/>
      <c r="JR496" s="1035"/>
      <c r="JS496" s="1035"/>
      <c r="JT496" s="1035"/>
      <c r="JU496" s="1035"/>
      <c r="JV496" s="1035"/>
      <c r="JW496" s="1035"/>
      <c r="JX496" s="1035"/>
      <c r="JY496" s="1035"/>
    </row>
    <row r="497" spans="1:285">
      <c r="A497" s="1035" t="s">
        <v>202</v>
      </c>
      <c r="B497" s="1057"/>
      <c r="J497" s="1057"/>
      <c r="R497" s="1057"/>
      <c r="Z497" s="1057"/>
      <c r="AH497" s="1057"/>
      <c r="AP497" s="1057"/>
      <c r="AX497" s="1057"/>
      <c r="BF497" s="1057"/>
      <c r="BN497" s="1057"/>
      <c r="BV497" s="1057"/>
      <c r="CD497" s="1057"/>
      <c r="CL497" s="1057"/>
      <c r="DJ497" s="1082"/>
      <c r="DK497" s="1082"/>
      <c r="DL497" s="1082"/>
      <c r="DM497" s="1082"/>
      <c r="DN497" s="1082"/>
      <c r="DO497" s="1082"/>
      <c r="DP497" s="1082"/>
      <c r="DQ497" s="1082"/>
      <c r="DR497" s="1082"/>
      <c r="DS497" s="1082"/>
      <c r="DT497" s="1082"/>
      <c r="DU497" s="1082"/>
      <c r="DV497" s="1082"/>
      <c r="DW497" s="1082"/>
      <c r="DX497" s="1082"/>
      <c r="DY497" s="1085"/>
      <c r="DZ497" s="1460"/>
      <c r="EA497" s="1082"/>
      <c r="EB497" s="1082"/>
      <c r="EC497" s="1082"/>
      <c r="ED497" s="1082"/>
      <c r="EE497" s="1082"/>
      <c r="EF497" s="1082"/>
      <c r="EG497" s="1085"/>
      <c r="EH497" s="1082"/>
      <c r="EI497" s="1083"/>
      <c r="EJ497" s="1083"/>
      <c r="EK497" s="1083"/>
      <c r="EL497" s="1083"/>
      <c r="EM497" s="1083"/>
      <c r="EN497" s="1083"/>
      <c r="EO497" s="1084"/>
      <c r="EP497" s="1083"/>
      <c r="EQ497" s="1083"/>
      <c r="ER497" s="1083"/>
      <c r="ES497" s="1083"/>
      <c r="ET497" s="1083"/>
      <c r="EU497" s="1083"/>
      <c r="EV497" s="1083"/>
      <c r="EW497" s="1084"/>
      <c r="EX497" s="1083"/>
      <c r="EY497" s="1083"/>
      <c r="EZ497" s="1083"/>
      <c r="FA497" s="1083"/>
      <c r="FB497" s="1083"/>
      <c r="FC497" s="1083"/>
      <c r="FD497" s="1083"/>
      <c r="FE497" s="1084"/>
      <c r="FF497" s="1083"/>
      <c r="FG497" s="1083"/>
      <c r="FH497" s="1083"/>
      <c r="FI497" s="1083"/>
      <c r="FJ497" s="1083"/>
      <c r="FK497" s="1083"/>
      <c r="FL497" s="1083"/>
      <c r="FM497" s="1084"/>
      <c r="FN497" s="1083"/>
      <c r="FO497" s="1083"/>
      <c r="FP497" s="1083"/>
      <c r="FQ497" s="1083"/>
      <c r="FR497" s="1083"/>
      <c r="FS497" s="1083"/>
      <c r="FT497" s="1083"/>
      <c r="FU497" s="1083"/>
      <c r="FV497" s="1461">
        <v>3.35138538461538</v>
      </c>
      <c r="FW497" s="1461">
        <v>3.54147615384616</v>
      </c>
      <c r="FX497" s="1461">
        <v>3.44643076923077</v>
      </c>
      <c r="FY497" s="1461">
        <v>3.71612230769231</v>
      </c>
      <c r="FZ497" s="1461">
        <v>3.53632794871795</v>
      </c>
      <c r="GA497" s="1461">
        <v>3.77624384615385</v>
      </c>
      <c r="GB497" s="1461">
        <v>3.74618307692308</v>
      </c>
      <c r="GC497" s="1462">
        <v>3.59630692307692</v>
      </c>
      <c r="GD497" s="1461">
        <v>3.986</v>
      </c>
      <c r="GE497" s="1461">
        <v>4.3</v>
      </c>
      <c r="GF497" s="1461">
        <f t="shared" si="4076"/>
        <v>4.143</v>
      </c>
      <c r="GG497" s="1461">
        <v>4.59</v>
      </c>
      <c r="GH497" s="1461">
        <f t="shared" si="4077"/>
        <v>4.292</v>
      </c>
      <c r="GI497" s="1461">
        <v>4.26</v>
      </c>
      <c r="GJ497" s="1461">
        <f t="shared" si="4078"/>
        <v>4.425</v>
      </c>
      <c r="GK497" s="1463">
        <f t="shared" si="4079"/>
        <v>4.284</v>
      </c>
      <c r="GL497" s="1461">
        <v>4.273</v>
      </c>
      <c r="GM497" s="1461">
        <v>4.3</v>
      </c>
      <c r="GN497" s="1461">
        <f t="shared" si="4080"/>
        <v>4.2865</v>
      </c>
      <c r="GO497" s="1461">
        <v>4.357</v>
      </c>
      <c r="GP497" s="1461">
        <f t="shared" si="4081"/>
        <v>4.31</v>
      </c>
      <c r="GQ497" s="1461">
        <v>4.447</v>
      </c>
      <c r="GR497" s="1461">
        <f t="shared" si="4082"/>
        <v>4.402</v>
      </c>
      <c r="GS497" s="1463">
        <f t="shared" si="4083"/>
        <v>4.34425</v>
      </c>
      <c r="GT497" s="1461">
        <v>4.74</v>
      </c>
      <c r="GU497" s="1461">
        <v>5.24</v>
      </c>
      <c r="GV497" s="1461">
        <f t="shared" ref="GV497" si="4106">AVERAGE(GT497:GU497)</f>
        <v>4.99</v>
      </c>
      <c r="GW497" s="1461">
        <v>6.29</v>
      </c>
      <c r="GX497" s="1461">
        <f t="shared" ref="GX497" si="4107">AVERAGE(GW497,GU497,GT497)</f>
        <v>5.42333333333333</v>
      </c>
      <c r="GY497" s="1461">
        <v>6.59</v>
      </c>
      <c r="GZ497" s="1461">
        <f t="shared" si="4086"/>
        <v>6.44</v>
      </c>
      <c r="HA497" s="1463">
        <f t="shared" si="4087"/>
        <v>5.715</v>
      </c>
      <c r="HB497" s="1461">
        <v>6.6</v>
      </c>
      <c r="HC497" s="1461">
        <v>6.365</v>
      </c>
      <c r="HD497" s="1461">
        <f t="shared" si="4088"/>
        <v>6.4825</v>
      </c>
      <c r="HE497" s="1461">
        <f t="shared" si="4089"/>
        <v>6.365</v>
      </c>
      <c r="HF497" s="1461">
        <f t="shared" si="4090"/>
        <v>6.44333333333333</v>
      </c>
      <c r="HG497" s="1461">
        <f t="shared" si="4091"/>
        <v>6.365</v>
      </c>
      <c r="HH497" s="1461">
        <f t="shared" si="4092"/>
        <v>6.365</v>
      </c>
      <c r="HI497" s="1463">
        <f t="shared" si="4093"/>
        <v>6.42375</v>
      </c>
      <c r="HJ497" s="1461">
        <v>5.8</v>
      </c>
      <c r="HK497" s="1461">
        <v>5.25</v>
      </c>
      <c r="HL497" s="1461">
        <f t="shared" si="4094"/>
        <v>5.525</v>
      </c>
      <c r="HM497" s="1461">
        <v>5.29</v>
      </c>
      <c r="HN497" s="1461">
        <f t="shared" si="4095"/>
        <v>5.44666666666667</v>
      </c>
      <c r="HO497" s="1461">
        <v>5.38</v>
      </c>
      <c r="HP497" s="1461">
        <f t="shared" si="4096"/>
        <v>5.335</v>
      </c>
      <c r="HQ497" s="1463">
        <f t="shared" si="4097"/>
        <v>5.43</v>
      </c>
      <c r="HR497" s="1461">
        <v>5.57</v>
      </c>
      <c r="HS497" s="1461">
        <v>5.49</v>
      </c>
      <c r="HT497" s="1461">
        <f t="shared" si="4098"/>
        <v>5.53</v>
      </c>
      <c r="HU497" s="1461">
        <v>5.315</v>
      </c>
      <c r="HV497" s="1461">
        <f t="shared" si="4099"/>
        <v>5.45833333333333</v>
      </c>
      <c r="HW497" s="1461">
        <v>5.33</v>
      </c>
      <c r="HX497" s="1461">
        <f t="shared" si="4100"/>
        <v>5.3225</v>
      </c>
      <c r="HY497" s="1462">
        <f t="shared" si="4101"/>
        <v>5.42625</v>
      </c>
      <c r="HZ497" s="1464">
        <v>5.36</v>
      </c>
      <c r="IA497" s="1461">
        <f t="shared" ref="IA497" si="4108">HZ497</f>
        <v>5.36</v>
      </c>
      <c r="IB497" s="1461"/>
      <c r="IC497" s="1461">
        <f t="shared" si="4102"/>
        <v>5.36</v>
      </c>
      <c r="ID497" s="1461"/>
      <c r="IE497" s="1461">
        <v>6.228</v>
      </c>
      <c r="IF497" s="1461"/>
      <c r="IG497" s="1462">
        <f t="shared" si="4103"/>
        <v>5.577</v>
      </c>
      <c r="IH497" s="1464">
        <v>6.12</v>
      </c>
      <c r="II497" s="1461">
        <v>6.42</v>
      </c>
      <c r="IJ497" s="1461"/>
      <c r="IK497" s="1461">
        <v>6.37</v>
      </c>
      <c r="IL497" s="1461"/>
      <c r="IM497" s="1461">
        <v>6.285</v>
      </c>
      <c r="IN497" s="1461"/>
      <c r="IO497" s="1462">
        <f t="shared" si="4104"/>
        <v>6.29875</v>
      </c>
      <c r="IP497" s="1464">
        <v>6.17</v>
      </c>
      <c r="IQ497" s="1461">
        <v>5.87</v>
      </c>
      <c r="IR497" s="1461"/>
      <c r="IS497" s="1461">
        <v>5.87</v>
      </c>
      <c r="IT497" s="1461"/>
      <c r="IU497" s="1461">
        <f t="shared" si="4065"/>
        <v>5.87</v>
      </c>
      <c r="IV497" s="1461"/>
      <c r="IW497" s="1462">
        <f t="shared" si="4105"/>
        <v>5.945</v>
      </c>
      <c r="IX497" s="1049"/>
      <c r="IY497" s="1049"/>
      <c r="IZ497" s="1049"/>
      <c r="JA497" s="1049"/>
      <c r="JB497" s="1049"/>
      <c r="JC497" s="1049"/>
      <c r="JD497" s="1041"/>
      <c r="JE497" s="1037"/>
      <c r="JF497" s="1037"/>
      <c r="JG497" s="1037"/>
      <c r="JH497" s="1037"/>
      <c r="JI497" s="1035"/>
      <c r="JJ497" s="1035"/>
      <c r="JK497" s="1035"/>
      <c r="JL497" s="1035"/>
      <c r="JM497" s="1035"/>
      <c r="JN497" s="1035"/>
      <c r="JO497" s="1035"/>
      <c r="JP497" s="1035"/>
      <c r="JQ497" s="1035"/>
      <c r="JR497" s="1035"/>
      <c r="JS497" s="1035"/>
      <c r="JT497" s="1035"/>
      <c r="JU497" s="1035"/>
      <c r="JV497" s="1035"/>
      <c r="JW497" s="1035"/>
      <c r="JX497" s="1035"/>
      <c r="JY497" s="1035"/>
    </row>
    <row r="498" spans="1:285">
      <c r="A498" s="1035" t="s">
        <v>205</v>
      </c>
      <c r="B498" s="1057"/>
      <c r="J498" s="1057"/>
      <c r="R498" s="1057"/>
      <c r="Z498" s="1057"/>
      <c r="AH498" s="1057"/>
      <c r="AP498" s="1057"/>
      <c r="AX498" s="1057"/>
      <c r="BF498" s="1057"/>
      <c r="BN498" s="1057"/>
      <c r="BV498" s="1057"/>
      <c r="CD498" s="1057"/>
      <c r="CL498" s="1057"/>
      <c r="DJ498" s="1082"/>
      <c r="DK498" s="1082"/>
      <c r="DL498" s="1082"/>
      <c r="DM498" s="1082"/>
      <c r="DN498" s="1082"/>
      <c r="DO498" s="1082"/>
      <c r="DP498" s="1082"/>
      <c r="DQ498" s="1082"/>
      <c r="DR498" s="1082"/>
      <c r="DS498" s="1082"/>
      <c r="DT498" s="1082"/>
      <c r="DU498" s="1082"/>
      <c r="DV498" s="1082"/>
      <c r="DW498" s="1082"/>
      <c r="DX498" s="1082"/>
      <c r="DY498" s="1085"/>
      <c r="DZ498" s="1460"/>
      <c r="EA498" s="1082"/>
      <c r="EB498" s="1082"/>
      <c r="EC498" s="1082"/>
      <c r="ED498" s="1082"/>
      <c r="EE498" s="1082"/>
      <c r="EF498" s="1082"/>
      <c r="EG498" s="1085"/>
      <c r="EH498" s="1082"/>
      <c r="EI498" s="1083"/>
      <c r="EJ498" s="1083"/>
      <c r="EK498" s="1083"/>
      <c r="EL498" s="1083"/>
      <c r="EM498" s="1083"/>
      <c r="EN498" s="1083"/>
      <c r="EO498" s="1084"/>
      <c r="EP498" s="1083"/>
      <c r="EQ498" s="1083"/>
      <c r="ER498" s="1083"/>
      <c r="ES498" s="1083"/>
      <c r="ET498" s="1083"/>
      <c r="EU498" s="1083"/>
      <c r="EV498" s="1083"/>
      <c r="EW498" s="1084"/>
      <c r="EX498" s="1083"/>
      <c r="EY498" s="1083"/>
      <c r="EZ498" s="1083"/>
      <c r="FA498" s="1083"/>
      <c r="FB498" s="1083"/>
      <c r="FC498" s="1083"/>
      <c r="FD498" s="1083"/>
      <c r="FE498" s="1084"/>
      <c r="FF498" s="1083"/>
      <c r="FG498" s="1083"/>
      <c r="FH498" s="1083"/>
      <c r="FI498" s="1083"/>
      <c r="FJ498" s="1083"/>
      <c r="FK498" s="1083"/>
      <c r="FL498" s="1083"/>
      <c r="FM498" s="1084"/>
      <c r="FN498" s="1083"/>
      <c r="FO498" s="1083"/>
      <c r="FP498" s="1083"/>
      <c r="FQ498" s="1083"/>
      <c r="FR498" s="1083"/>
      <c r="FS498" s="1083"/>
      <c r="FT498" s="1083"/>
      <c r="FU498" s="1083"/>
      <c r="FV498" s="1461">
        <v>16.6982023076923</v>
      </c>
      <c r="FW498" s="1461">
        <v>17.3326610769231</v>
      </c>
      <c r="FX498" s="1461">
        <v>17.0154316923077</v>
      </c>
      <c r="FY498" s="1461">
        <v>20.3045783076923</v>
      </c>
      <c r="FZ498" s="1461">
        <v>18.1118138974359</v>
      </c>
      <c r="GA498" s="1461">
        <v>20.4296990769231</v>
      </c>
      <c r="GB498" s="1461">
        <v>20.3671386923077</v>
      </c>
      <c r="GC498" s="1462">
        <v>18.6912851923077</v>
      </c>
      <c r="GD498" s="1461">
        <v>24.19</v>
      </c>
      <c r="GE498" s="1461">
        <v>24.5</v>
      </c>
      <c r="GF498" s="1461">
        <f t="shared" si="4076"/>
        <v>24.345</v>
      </c>
      <c r="GG498" s="1461">
        <v>37.23</v>
      </c>
      <c r="GH498" s="1461">
        <f t="shared" si="4077"/>
        <v>28.64</v>
      </c>
      <c r="GI498" s="1461">
        <v>42</v>
      </c>
      <c r="GJ498" s="1461">
        <f t="shared" si="4078"/>
        <v>39.615</v>
      </c>
      <c r="GK498" s="1463">
        <f t="shared" si="4079"/>
        <v>31.98</v>
      </c>
      <c r="GL498" s="1461">
        <v>43.36</v>
      </c>
      <c r="GM498" s="1461">
        <v>49.326</v>
      </c>
      <c r="GN498" s="1461">
        <f t="shared" si="4080"/>
        <v>46.343</v>
      </c>
      <c r="GO498" s="1461">
        <v>49.625</v>
      </c>
      <c r="GP498" s="1461">
        <f t="shared" si="4081"/>
        <v>47.437</v>
      </c>
      <c r="GQ498" s="1461">
        <v>51.1</v>
      </c>
      <c r="GR498" s="1461">
        <f t="shared" si="4082"/>
        <v>50.3625</v>
      </c>
      <c r="GS498" s="1463">
        <f t="shared" si="4083"/>
        <v>48.35275</v>
      </c>
      <c r="GT498" s="1461">
        <v>67.26</v>
      </c>
      <c r="GU498" s="1461">
        <v>70.84</v>
      </c>
      <c r="GV498" s="1461">
        <f t="shared" ref="GV498" si="4109">AVERAGE(GT498:GU498)</f>
        <v>69.05</v>
      </c>
      <c r="GW498" s="1461">
        <v>85.747</v>
      </c>
      <c r="GX498" s="1461">
        <f t="shared" ref="GX498" si="4110">AVERAGE(GW498,GU498,GT498)</f>
        <v>74.6156666666667</v>
      </c>
      <c r="GY498" s="1461">
        <v>90.755</v>
      </c>
      <c r="GZ498" s="1461">
        <f t="shared" si="4086"/>
        <v>88.251</v>
      </c>
      <c r="HA498" s="1463">
        <f t="shared" si="4087"/>
        <v>78.6505</v>
      </c>
      <c r="HB498" s="1461">
        <v>91.87</v>
      </c>
      <c r="HC498" s="1461">
        <v>113.07</v>
      </c>
      <c r="HD498" s="1461">
        <f t="shared" si="4088"/>
        <v>102.47</v>
      </c>
      <c r="HE498" s="1461">
        <f t="shared" si="4089"/>
        <v>113.07</v>
      </c>
      <c r="HF498" s="1461">
        <f t="shared" si="4090"/>
        <v>106.003333333333</v>
      </c>
      <c r="HG498" s="1461">
        <f t="shared" si="4091"/>
        <v>113.07</v>
      </c>
      <c r="HH498" s="1461">
        <f t="shared" si="4092"/>
        <v>113.07</v>
      </c>
      <c r="HI498" s="1463">
        <f t="shared" si="4093"/>
        <v>107.77</v>
      </c>
      <c r="HJ498" s="1461">
        <v>119.8</v>
      </c>
      <c r="HK498" s="1461">
        <v>125.66</v>
      </c>
      <c r="HL498" s="1461">
        <f t="shared" si="4094"/>
        <v>122.73</v>
      </c>
      <c r="HM498" s="1461">
        <v>136.07</v>
      </c>
      <c r="HN498" s="1461">
        <f t="shared" si="4095"/>
        <v>127.176666666667</v>
      </c>
      <c r="HO498" s="1461">
        <v>166.2</v>
      </c>
      <c r="HP498" s="1461">
        <f t="shared" si="4096"/>
        <v>151.135</v>
      </c>
      <c r="HQ498" s="1463">
        <f t="shared" si="4097"/>
        <v>136.9325</v>
      </c>
      <c r="HR498" s="1464">
        <v>898.4</v>
      </c>
      <c r="HS498" s="1464">
        <v>898.4</v>
      </c>
      <c r="HT498" s="1461">
        <f t="shared" si="4098"/>
        <v>898.4</v>
      </c>
      <c r="HU498" s="1464">
        <v>898.4</v>
      </c>
      <c r="HV498" s="1461">
        <f t="shared" si="4099"/>
        <v>898.4</v>
      </c>
      <c r="HW498" s="1464">
        <v>898.4</v>
      </c>
      <c r="HX498" s="1461">
        <f t="shared" si="4100"/>
        <v>898.4</v>
      </c>
      <c r="HY498" s="1462">
        <f t="shared" si="4101"/>
        <v>898.4</v>
      </c>
      <c r="HZ498" s="1464">
        <v>898.4</v>
      </c>
      <c r="IA498" s="1461">
        <v>924</v>
      </c>
      <c r="IB498" s="1461"/>
      <c r="IC498" s="1461">
        <f t="shared" si="4102"/>
        <v>924</v>
      </c>
      <c r="ID498" s="1461"/>
      <c r="IE498" s="1467">
        <v>1066</v>
      </c>
      <c r="IF498" s="1461"/>
      <c r="IG498" s="1462">
        <f t="shared" si="4103"/>
        <v>953.1</v>
      </c>
      <c r="IH498" s="1464">
        <v>1095</v>
      </c>
      <c r="II498" s="1461">
        <v>1307</v>
      </c>
      <c r="IJ498" s="1461"/>
      <c r="IK498" s="1461">
        <v>1558</v>
      </c>
      <c r="IL498" s="1461"/>
      <c r="IM498" s="1467">
        <v>1675</v>
      </c>
      <c r="IN498" s="1461"/>
      <c r="IO498" s="1462">
        <f t="shared" si="4104"/>
        <v>1408.75</v>
      </c>
      <c r="IP498" s="1464">
        <v>1667</v>
      </c>
      <c r="IQ498" s="1461">
        <v>1641</v>
      </c>
      <c r="IR498" s="1461"/>
      <c r="IS498" s="1461">
        <v>1704</v>
      </c>
      <c r="IT498" s="1461"/>
      <c r="IU498" s="1461">
        <f t="shared" si="4065"/>
        <v>1704</v>
      </c>
      <c r="IV498" s="1461"/>
      <c r="IW498" s="1462">
        <f t="shared" si="4105"/>
        <v>1679</v>
      </c>
      <c r="IX498" s="1049"/>
      <c r="IY498" s="1049"/>
      <c r="IZ498" s="1049"/>
      <c r="JA498" s="1049"/>
      <c r="JB498" s="1049"/>
      <c r="JC498" s="1049"/>
      <c r="JD498" s="1041"/>
      <c r="JE498" s="1037"/>
      <c r="JF498" s="1037"/>
      <c r="JG498" s="1037"/>
      <c r="JH498" s="1037"/>
      <c r="JI498" s="1035"/>
      <c r="JJ498" s="1035"/>
      <c r="JK498" s="1035"/>
      <c r="JL498" s="1035"/>
      <c r="JM498" s="1035"/>
      <c r="JN498" s="1035"/>
      <c r="JO498" s="1035"/>
      <c r="JP498" s="1035"/>
      <c r="JQ498" s="1035"/>
      <c r="JR498" s="1035"/>
      <c r="JS498" s="1035"/>
      <c r="JT498" s="1035"/>
      <c r="JU498" s="1035"/>
      <c r="JV498" s="1035"/>
      <c r="JW498" s="1035"/>
      <c r="JX498" s="1035"/>
      <c r="JY498" s="1035"/>
    </row>
    <row r="499" spans="1:285">
      <c r="A499" s="1035" t="s">
        <v>203</v>
      </c>
      <c r="B499" s="1057"/>
      <c r="J499" s="1057"/>
      <c r="R499" s="1057"/>
      <c r="Z499" s="1057"/>
      <c r="AH499" s="1057"/>
      <c r="AP499" s="1057"/>
      <c r="AX499" s="1057"/>
      <c r="BF499" s="1057"/>
      <c r="BN499" s="1057"/>
      <c r="BV499" s="1057"/>
      <c r="CD499" s="1057"/>
      <c r="CL499" s="1057"/>
      <c r="DJ499" s="1082"/>
      <c r="DK499" s="1082"/>
      <c r="DL499" s="1082"/>
      <c r="DM499" s="1082"/>
      <c r="DN499" s="1082"/>
      <c r="DO499" s="1082"/>
      <c r="DP499" s="1082"/>
      <c r="DQ499" s="1082"/>
      <c r="DR499" s="1082"/>
      <c r="DS499" s="1082"/>
      <c r="DT499" s="1082"/>
      <c r="DU499" s="1082"/>
      <c r="DV499" s="1082"/>
      <c r="DW499" s="1082"/>
      <c r="DX499" s="1082"/>
      <c r="DY499" s="1085"/>
      <c r="DZ499" s="1460"/>
      <c r="EA499" s="1082"/>
      <c r="EB499" s="1082"/>
      <c r="EC499" s="1082"/>
      <c r="ED499" s="1082"/>
      <c r="EE499" s="1082"/>
      <c r="EF499" s="1082"/>
      <c r="EG499" s="1085"/>
      <c r="EH499" s="1082"/>
      <c r="EI499" s="1083"/>
      <c r="EJ499" s="1083"/>
      <c r="EK499" s="1083"/>
      <c r="EL499" s="1083"/>
      <c r="EM499" s="1083"/>
      <c r="EN499" s="1083"/>
      <c r="EO499" s="1084"/>
      <c r="EP499" s="1083"/>
      <c r="EQ499" s="1083"/>
      <c r="ER499" s="1083"/>
      <c r="ES499" s="1083"/>
      <c r="ET499" s="1083"/>
      <c r="EU499" s="1083"/>
      <c r="EV499" s="1083"/>
      <c r="EW499" s="1084"/>
      <c r="EX499" s="1083"/>
      <c r="EY499" s="1083"/>
      <c r="EZ499" s="1083"/>
      <c r="FA499" s="1083"/>
      <c r="FB499" s="1083"/>
      <c r="FC499" s="1083"/>
      <c r="FD499" s="1083"/>
      <c r="FE499" s="1084"/>
      <c r="FF499" s="1083"/>
      <c r="FG499" s="1083"/>
      <c r="FH499" s="1083"/>
      <c r="FI499" s="1083"/>
      <c r="FJ499" s="1083"/>
      <c r="FK499" s="1083"/>
      <c r="FL499" s="1083"/>
      <c r="FM499" s="1084"/>
      <c r="FN499" s="1083"/>
      <c r="FO499" s="1083"/>
      <c r="FP499" s="1083"/>
      <c r="FQ499" s="1083"/>
      <c r="FR499" s="1083"/>
      <c r="FS499" s="1083"/>
      <c r="FT499" s="1083"/>
      <c r="FU499" s="1083"/>
      <c r="FV499" s="1461">
        <v>7.34211</v>
      </c>
      <c r="FW499" s="1461">
        <v>7.55566307692308</v>
      </c>
      <c r="FX499" s="1461">
        <v>7.44888653846154</v>
      </c>
      <c r="FY499" s="1461">
        <v>7.83673461538462</v>
      </c>
      <c r="FZ499" s="1461">
        <v>7.57816923076923</v>
      </c>
      <c r="GA499" s="1461">
        <v>7.73868230769231</v>
      </c>
      <c r="GB499" s="1461">
        <v>7.78770846153846</v>
      </c>
      <c r="GC499" s="1462">
        <v>7.6182975</v>
      </c>
      <c r="GD499" s="1461">
        <v>7.81</v>
      </c>
      <c r="GE499" s="1461">
        <v>7.77</v>
      </c>
      <c r="GF499" s="1461">
        <f t="shared" si="4076"/>
        <v>7.79</v>
      </c>
      <c r="GG499" s="1461">
        <v>7.9225</v>
      </c>
      <c r="GH499" s="1461">
        <f t="shared" si="4077"/>
        <v>7.83416666666667</v>
      </c>
      <c r="GI499" s="1461">
        <v>8</v>
      </c>
      <c r="GJ499" s="1461">
        <f t="shared" si="4078"/>
        <v>7.96125</v>
      </c>
      <c r="GK499" s="1463">
        <f t="shared" si="4079"/>
        <v>7.875625</v>
      </c>
      <c r="GL499" s="1461">
        <v>7.66</v>
      </c>
      <c r="GM499" s="1461">
        <v>7.678</v>
      </c>
      <c r="GN499" s="1461">
        <f t="shared" si="4080"/>
        <v>7.669</v>
      </c>
      <c r="GO499" s="1461">
        <v>7.83</v>
      </c>
      <c r="GP499" s="1461">
        <f t="shared" si="4081"/>
        <v>7.72266666666667</v>
      </c>
      <c r="GQ499" s="1461">
        <v>7.93</v>
      </c>
      <c r="GR499" s="1461">
        <f t="shared" si="4082"/>
        <v>7.88</v>
      </c>
      <c r="GS499" s="1463">
        <f t="shared" si="4083"/>
        <v>7.7745</v>
      </c>
      <c r="GT499" s="1461">
        <v>7.7</v>
      </c>
      <c r="GU499" s="1461">
        <v>7.9</v>
      </c>
      <c r="GV499" s="1461">
        <f t="shared" ref="GV499" si="4111">AVERAGE(GT499:GU499)</f>
        <v>7.8</v>
      </c>
      <c r="GW499" s="1461">
        <v>8.08</v>
      </c>
      <c r="GX499" s="1461">
        <f t="shared" ref="GX499" si="4112">AVERAGE(GW499,GU499,GT499)</f>
        <v>7.89333333333333</v>
      </c>
      <c r="GY499" s="1461">
        <v>7.924</v>
      </c>
      <c r="GZ499" s="1461">
        <f t="shared" si="4086"/>
        <v>8.002</v>
      </c>
      <c r="HA499" s="1463">
        <f t="shared" si="4087"/>
        <v>7.901</v>
      </c>
      <c r="HB499" s="1461">
        <v>7.81</v>
      </c>
      <c r="HC499" s="1461">
        <v>7.797</v>
      </c>
      <c r="HD499" s="1461">
        <f t="shared" si="4088"/>
        <v>7.8035</v>
      </c>
      <c r="HE499" s="1461">
        <f t="shared" si="4089"/>
        <v>7.797</v>
      </c>
      <c r="HF499" s="1461">
        <f t="shared" si="4090"/>
        <v>7.80133333333333</v>
      </c>
      <c r="HG499" s="1461">
        <f t="shared" si="4091"/>
        <v>7.797</v>
      </c>
      <c r="HH499" s="1461">
        <f t="shared" si="4092"/>
        <v>7.797</v>
      </c>
      <c r="HI499" s="1463">
        <f t="shared" si="4093"/>
        <v>7.80025</v>
      </c>
      <c r="HJ499" s="1461">
        <v>7.1</v>
      </c>
      <c r="HK499" s="1461">
        <v>7.05</v>
      </c>
      <c r="HL499" s="1461">
        <f t="shared" si="4094"/>
        <v>7.075</v>
      </c>
      <c r="HM499" s="1461">
        <v>6.9</v>
      </c>
      <c r="HN499" s="1461">
        <f t="shared" si="4095"/>
        <v>7.01666666666667</v>
      </c>
      <c r="HO499" s="1461">
        <v>7.27</v>
      </c>
      <c r="HP499" s="1461">
        <f t="shared" si="4096"/>
        <v>7.085</v>
      </c>
      <c r="HQ499" s="1463">
        <f t="shared" si="4097"/>
        <v>7.08</v>
      </c>
      <c r="HR499" s="1461">
        <v>7.32</v>
      </c>
      <c r="HS499" s="1461">
        <v>7.63</v>
      </c>
      <c r="HT499" s="1461">
        <f t="shared" si="4098"/>
        <v>7.475</v>
      </c>
      <c r="HU499" s="1461">
        <v>7.89</v>
      </c>
      <c r="HV499" s="1461">
        <f t="shared" si="4099"/>
        <v>7.61333333333333</v>
      </c>
      <c r="HW499" s="1461">
        <v>7.78</v>
      </c>
      <c r="HX499" s="1461">
        <f t="shared" si="4100"/>
        <v>7.835</v>
      </c>
      <c r="HY499" s="1462">
        <f t="shared" si="4101"/>
        <v>7.655</v>
      </c>
      <c r="HZ499" s="1464">
        <v>7.8</v>
      </c>
      <c r="IA499" s="1461">
        <v>7.74</v>
      </c>
      <c r="IB499" s="1461"/>
      <c r="IC499" s="1461">
        <f t="shared" si="4102"/>
        <v>7.74</v>
      </c>
      <c r="ID499" s="1461"/>
      <c r="IE499" s="1461">
        <v>7.68</v>
      </c>
      <c r="IF499" s="1461"/>
      <c r="IG499" s="1462">
        <f t="shared" si="4103"/>
        <v>7.74</v>
      </c>
      <c r="IH499" s="1464">
        <f>((7.587*2)+II499)/3</f>
        <v>7.79133333333333</v>
      </c>
      <c r="II499" s="1461">
        <v>8.2</v>
      </c>
      <c r="IJ499" s="1461"/>
      <c r="IK499" s="1461">
        <v>8.365</v>
      </c>
      <c r="IL499" s="1461"/>
      <c r="IM499" s="1461">
        <v>8.253</v>
      </c>
      <c r="IN499" s="1461"/>
      <c r="IO499" s="1462">
        <f t="shared" si="4104"/>
        <v>8.15233333333333</v>
      </c>
      <c r="IP499" s="1464">
        <v>8.11</v>
      </c>
      <c r="IQ499" s="1461">
        <v>7.91</v>
      </c>
      <c r="IR499" s="1461"/>
      <c r="IS499" s="1461">
        <v>7.74</v>
      </c>
      <c r="IT499" s="1461"/>
      <c r="IU499" s="1461">
        <f t="shared" si="4065"/>
        <v>7.74</v>
      </c>
      <c r="IV499" s="1461"/>
      <c r="IW499" s="1462">
        <f t="shared" si="4105"/>
        <v>7.875</v>
      </c>
      <c r="IX499" s="1049"/>
      <c r="IY499" s="1049"/>
      <c r="IZ499" s="1049"/>
      <c r="JA499" s="1049"/>
      <c r="JB499" s="1049"/>
      <c r="JC499" s="1049"/>
      <c r="JD499" s="1041"/>
      <c r="JE499" s="1037"/>
      <c r="JF499" s="1037"/>
      <c r="JG499" s="1037"/>
      <c r="JH499" s="1037"/>
      <c r="JI499" s="1035"/>
      <c r="JJ499" s="1035"/>
      <c r="JK499" s="1035"/>
      <c r="JL499" s="1035"/>
      <c r="JM499" s="1035"/>
      <c r="JN499" s="1035"/>
      <c r="JO499" s="1035"/>
      <c r="JP499" s="1035"/>
      <c r="JQ499" s="1035"/>
      <c r="JR499" s="1035"/>
      <c r="JS499" s="1035"/>
      <c r="JT499" s="1035"/>
      <c r="JU499" s="1035"/>
      <c r="JV499" s="1035"/>
      <c r="JW499" s="1035"/>
      <c r="JX499" s="1035"/>
      <c r="JY499" s="1035"/>
    </row>
    <row r="500" spans="1:285">
      <c r="A500" s="1035" t="s">
        <v>204</v>
      </c>
      <c r="B500" s="1057"/>
      <c r="J500" s="1057"/>
      <c r="R500" s="1057"/>
      <c r="Z500" s="1057"/>
      <c r="AH500" s="1057"/>
      <c r="AP500" s="1057"/>
      <c r="AX500" s="1057"/>
      <c r="BF500" s="1057"/>
      <c r="BN500" s="1057"/>
      <c r="BV500" s="1057"/>
      <c r="CD500" s="1057"/>
      <c r="CL500" s="1057"/>
      <c r="DJ500" s="1082"/>
      <c r="DK500" s="1082"/>
      <c r="DL500" s="1082"/>
      <c r="DM500" s="1082"/>
      <c r="DN500" s="1082"/>
      <c r="DO500" s="1082"/>
      <c r="DP500" s="1082"/>
      <c r="DQ500" s="1082"/>
      <c r="DR500" s="1082"/>
      <c r="DS500" s="1082"/>
      <c r="DT500" s="1082"/>
      <c r="DU500" s="1082"/>
      <c r="DV500" s="1082"/>
      <c r="DW500" s="1082"/>
      <c r="DX500" s="1082"/>
      <c r="DY500" s="1085"/>
      <c r="DZ500" s="1460"/>
      <c r="EA500" s="1082"/>
      <c r="EB500" s="1082"/>
      <c r="EC500" s="1082"/>
      <c r="ED500" s="1082"/>
      <c r="EE500" s="1082"/>
      <c r="EF500" s="1082"/>
      <c r="EG500" s="1085"/>
      <c r="EH500" s="1082"/>
      <c r="EI500" s="1083"/>
      <c r="EJ500" s="1083"/>
      <c r="EK500" s="1083"/>
      <c r="EL500" s="1083"/>
      <c r="EM500" s="1083"/>
      <c r="EN500" s="1083"/>
      <c r="EO500" s="1084"/>
      <c r="EP500" s="1083"/>
      <c r="EQ500" s="1083"/>
      <c r="ER500" s="1083"/>
      <c r="ES500" s="1083"/>
      <c r="ET500" s="1083"/>
      <c r="EU500" s="1083"/>
      <c r="EV500" s="1083"/>
      <c r="EW500" s="1084"/>
      <c r="EX500" s="1083"/>
      <c r="EY500" s="1083"/>
      <c r="EZ500" s="1083"/>
      <c r="FA500" s="1083"/>
      <c r="FB500" s="1083"/>
      <c r="FC500" s="1083"/>
      <c r="FD500" s="1083"/>
      <c r="FE500" s="1084"/>
      <c r="FF500" s="1083"/>
      <c r="FG500" s="1083"/>
      <c r="FH500" s="1083"/>
      <c r="FI500" s="1083"/>
      <c r="FJ500" s="1083"/>
      <c r="FK500" s="1083"/>
      <c r="FL500" s="1083"/>
      <c r="FM500" s="1084"/>
      <c r="FN500" s="1083"/>
      <c r="FO500" s="1083"/>
      <c r="FP500" s="1083"/>
      <c r="FQ500" s="1083"/>
      <c r="FR500" s="1083"/>
      <c r="FS500" s="1083"/>
      <c r="FT500" s="1083"/>
      <c r="FU500" s="1083"/>
      <c r="FV500" s="1461">
        <v>0.860051538461539</v>
      </c>
      <c r="FW500" s="1461">
        <v>0.860295384615385</v>
      </c>
      <c r="FX500" s="1461">
        <v>0.860173461538462</v>
      </c>
      <c r="FY500" s="1461">
        <v>0.898047692307692</v>
      </c>
      <c r="FZ500" s="1461">
        <v>0.872798205128205</v>
      </c>
      <c r="GA500" s="1461">
        <v>0.887458307692308</v>
      </c>
      <c r="GB500" s="1461">
        <v>0.892753</v>
      </c>
      <c r="GC500" s="1462">
        <v>0.876463230769231</v>
      </c>
      <c r="GD500" s="1461">
        <v>0.883</v>
      </c>
      <c r="GE500" s="1461">
        <v>0.8756</v>
      </c>
      <c r="GF500" s="1461">
        <f t="shared" si="4076"/>
        <v>0.8793</v>
      </c>
      <c r="GG500" s="1461">
        <v>0.8924</v>
      </c>
      <c r="GH500" s="1461">
        <f t="shared" si="4077"/>
        <v>0.883666666666667</v>
      </c>
      <c r="GI500" s="1461">
        <v>0.88</v>
      </c>
      <c r="GJ500" s="1461">
        <f t="shared" si="4078"/>
        <v>0.8862</v>
      </c>
      <c r="GK500" s="1463">
        <f t="shared" si="4079"/>
        <v>0.88275</v>
      </c>
      <c r="GL500" s="1461">
        <v>0.8816</v>
      </c>
      <c r="GM500" s="1461">
        <v>0.8745</v>
      </c>
      <c r="GN500" s="1461">
        <f t="shared" si="4080"/>
        <v>0.87805</v>
      </c>
      <c r="GO500" s="1461">
        <v>0.911</v>
      </c>
      <c r="GP500" s="1461">
        <f t="shared" si="4081"/>
        <v>0.889033333333333</v>
      </c>
      <c r="GQ500" s="1461">
        <v>0.922</v>
      </c>
      <c r="GR500" s="1461">
        <f t="shared" si="4082"/>
        <v>0.9165</v>
      </c>
      <c r="GS500" s="1463">
        <f t="shared" si="4083"/>
        <v>0.897275</v>
      </c>
      <c r="GT500" s="1461">
        <v>0.8475</v>
      </c>
      <c r="GU500" s="1461">
        <v>0.8777</v>
      </c>
      <c r="GV500" s="1461">
        <f t="shared" ref="GV500" si="4113">AVERAGE(GT500:GU500)</f>
        <v>0.8626</v>
      </c>
      <c r="GW500" s="1461">
        <v>0.905</v>
      </c>
      <c r="GX500" s="1461">
        <f t="shared" ref="GX500" si="4114">AVERAGE(GW500,GU500,GT500)</f>
        <v>0.876733333333333</v>
      </c>
      <c r="GY500" s="1461">
        <v>0.914</v>
      </c>
      <c r="GZ500" s="1461">
        <f t="shared" si="4086"/>
        <v>0.9095</v>
      </c>
      <c r="HA500" s="1463">
        <f t="shared" si="4087"/>
        <v>0.88605</v>
      </c>
      <c r="HB500" s="1461">
        <v>0.8736</v>
      </c>
      <c r="HC500" s="1461">
        <v>0.86722</v>
      </c>
      <c r="HD500" s="1461">
        <f t="shared" si="4088"/>
        <v>0.87041</v>
      </c>
      <c r="HE500" s="1461">
        <f t="shared" si="4089"/>
        <v>0.86722</v>
      </c>
      <c r="HF500" s="1461">
        <f t="shared" si="4090"/>
        <v>0.869346666666667</v>
      </c>
      <c r="HG500" s="1461">
        <f t="shared" si="4091"/>
        <v>0.86722</v>
      </c>
      <c r="HH500" s="1461">
        <f t="shared" si="4092"/>
        <v>0.86722</v>
      </c>
      <c r="HI500" s="1463">
        <f t="shared" si="4093"/>
        <v>0.868815</v>
      </c>
      <c r="HJ500" s="1461">
        <v>0.8366</v>
      </c>
      <c r="HK500" s="1461">
        <v>0.8479</v>
      </c>
      <c r="HL500" s="1461">
        <f t="shared" si="4094"/>
        <v>0.84225</v>
      </c>
      <c r="HM500" s="1461">
        <v>0.853</v>
      </c>
      <c r="HN500" s="1461">
        <f t="shared" si="4095"/>
        <v>0.845833333333333</v>
      </c>
      <c r="HO500" s="1461">
        <v>0.87</v>
      </c>
      <c r="HP500" s="1461">
        <f t="shared" si="4096"/>
        <v>0.8615</v>
      </c>
      <c r="HQ500" s="1463">
        <f t="shared" si="4097"/>
        <v>0.851875</v>
      </c>
      <c r="HR500" s="1461">
        <v>0.8827</v>
      </c>
      <c r="HS500" s="1461">
        <v>0.87</v>
      </c>
      <c r="HT500" s="1461">
        <f t="shared" si="4098"/>
        <v>0.87635</v>
      </c>
      <c r="HU500" s="1461">
        <v>0.8594</v>
      </c>
      <c r="HV500" s="1461">
        <f t="shared" si="4099"/>
        <v>0.8707</v>
      </c>
      <c r="HW500" s="1461">
        <v>0.8667</v>
      </c>
      <c r="HX500" s="1461">
        <f t="shared" si="4100"/>
        <v>0.86305</v>
      </c>
      <c r="HY500" s="1462">
        <f t="shared" si="4101"/>
        <v>0.8697</v>
      </c>
      <c r="HZ500" s="1461">
        <v>0.8557</v>
      </c>
      <c r="IA500" s="1461">
        <v>0.85</v>
      </c>
      <c r="IB500" s="1461"/>
      <c r="IC500" s="1461">
        <f t="shared" si="4102"/>
        <v>0.85</v>
      </c>
      <c r="ID500" s="1461"/>
      <c r="IE500" s="1461">
        <v>0.832</v>
      </c>
      <c r="IF500" s="1461"/>
      <c r="IG500" s="1462">
        <f t="shared" si="4103"/>
        <v>0.846925</v>
      </c>
      <c r="IH500" s="1464">
        <f>((0.834*2)+II500)/3</f>
        <v>0.839</v>
      </c>
      <c r="II500" s="1461">
        <v>0.849</v>
      </c>
      <c r="IJ500" s="1461"/>
      <c r="IK500" s="1461">
        <v>0.8666</v>
      </c>
      <c r="IL500" s="1461"/>
      <c r="IM500" s="1461">
        <v>0.875</v>
      </c>
      <c r="IN500" s="1461"/>
      <c r="IO500" s="1462">
        <f t="shared" si="4104"/>
        <v>0.8574</v>
      </c>
      <c r="IP500" s="1464">
        <v>0.869</v>
      </c>
      <c r="IQ500" s="1461">
        <v>0.866</v>
      </c>
      <c r="IR500" s="1461"/>
      <c r="IS500" s="1461">
        <v>0.858</v>
      </c>
      <c r="IT500" s="1461"/>
      <c r="IU500" s="1461">
        <f t="shared" si="4065"/>
        <v>0.858</v>
      </c>
      <c r="IV500" s="1461"/>
      <c r="IW500" s="1462">
        <f t="shared" si="4105"/>
        <v>0.86275</v>
      </c>
      <c r="IX500" s="1049"/>
      <c r="IY500" s="1049"/>
      <c r="IZ500" s="1049"/>
      <c r="JA500" s="1049"/>
      <c r="JB500" s="1049"/>
      <c r="JC500" s="1049"/>
      <c r="JD500" s="1041"/>
      <c r="JE500" s="1037"/>
      <c r="JF500" s="1037"/>
      <c r="JG500" s="1037"/>
      <c r="JH500" s="1037"/>
      <c r="JI500" s="1035"/>
      <c r="JJ500" s="1035"/>
      <c r="JK500" s="1035"/>
      <c r="JL500" s="1035"/>
      <c r="JM500" s="1035"/>
      <c r="JN500" s="1035"/>
      <c r="JO500" s="1035"/>
      <c r="JP500" s="1035"/>
      <c r="JQ500" s="1035"/>
      <c r="JR500" s="1035"/>
      <c r="JS500" s="1035"/>
      <c r="JT500" s="1035"/>
      <c r="JU500" s="1035"/>
      <c r="JV500" s="1035"/>
      <c r="JW500" s="1035"/>
      <c r="JX500" s="1035"/>
      <c r="JY500" s="1035"/>
    </row>
    <row r="501" spans="1:285">
      <c r="A501" s="1035" t="s">
        <v>206</v>
      </c>
      <c r="B501" s="1057"/>
      <c r="J501" s="1057"/>
      <c r="R501" s="1057"/>
      <c r="Z501" s="1057"/>
      <c r="AH501" s="1057"/>
      <c r="AP501" s="1057"/>
      <c r="AX501" s="1057"/>
      <c r="BF501" s="1057"/>
      <c r="BN501" s="1057"/>
      <c r="BV501" s="1057"/>
      <c r="CD501" s="1057"/>
      <c r="CL501" s="1057"/>
      <c r="DJ501" s="1082"/>
      <c r="DK501" s="1082"/>
      <c r="DL501" s="1082"/>
      <c r="DM501" s="1082"/>
      <c r="DN501" s="1082"/>
      <c r="DO501" s="1082"/>
      <c r="DP501" s="1082"/>
      <c r="DQ501" s="1082"/>
      <c r="DR501" s="1082"/>
      <c r="DS501" s="1082"/>
      <c r="DT501" s="1082"/>
      <c r="DU501" s="1082"/>
      <c r="DV501" s="1082"/>
      <c r="DW501" s="1082"/>
      <c r="DX501" s="1082"/>
      <c r="DY501" s="1085"/>
      <c r="DZ501" s="1460"/>
      <c r="EA501" s="1082"/>
      <c r="EB501" s="1082"/>
      <c r="EC501" s="1082"/>
      <c r="ED501" s="1082"/>
      <c r="EE501" s="1082"/>
      <c r="EF501" s="1082"/>
      <c r="EG501" s="1085"/>
      <c r="EH501" s="1082"/>
      <c r="EI501" s="1083"/>
      <c r="EJ501" s="1083"/>
      <c r="EK501" s="1083"/>
      <c r="EL501" s="1083"/>
      <c r="EM501" s="1083"/>
      <c r="EN501" s="1083"/>
      <c r="EO501" s="1084"/>
      <c r="EP501" s="1083"/>
      <c r="EQ501" s="1083"/>
      <c r="ER501" s="1083"/>
      <c r="ES501" s="1083"/>
      <c r="ET501" s="1083"/>
      <c r="EU501" s="1083"/>
      <c r="EV501" s="1083"/>
      <c r="EW501" s="1084"/>
      <c r="EX501" s="1083"/>
      <c r="EY501" s="1083"/>
      <c r="EZ501" s="1083"/>
      <c r="FA501" s="1083"/>
      <c r="FB501" s="1083"/>
      <c r="FC501" s="1083"/>
      <c r="FD501" s="1083"/>
      <c r="FE501" s="1084"/>
      <c r="FF501" s="1083"/>
      <c r="FG501" s="1083"/>
      <c r="FH501" s="1083"/>
      <c r="FI501" s="1083"/>
      <c r="FJ501" s="1083"/>
      <c r="FK501" s="1083"/>
      <c r="FL501" s="1083"/>
      <c r="FM501" s="1084"/>
      <c r="FN501" s="1083"/>
      <c r="FO501" s="1083"/>
      <c r="FP501" s="1083"/>
      <c r="FQ501" s="1083"/>
      <c r="FR501" s="1083"/>
      <c r="FS501" s="1083"/>
      <c r="FT501" s="1083"/>
      <c r="FU501" s="1083"/>
      <c r="FV501" s="1461">
        <v>21.6256</v>
      </c>
      <c r="FW501" s="1461">
        <v>20.4105</v>
      </c>
      <c r="FX501" s="1461">
        <f>AVERAGE(FV501:FW501)</f>
        <v>21.01805</v>
      </c>
      <c r="FY501" s="1461">
        <v>20.9323</v>
      </c>
      <c r="FZ501" s="1461">
        <f>AVERAGE(FY501,FW501,FV501)</f>
        <v>20.9894666666667</v>
      </c>
      <c r="GA501" s="1461">
        <v>22.3433</v>
      </c>
      <c r="GB501" s="1461">
        <f>AVERAGE(GA501,FY501)</f>
        <v>21.6378</v>
      </c>
      <c r="GC501" s="1462">
        <f>AVERAGE(GB501,FX501)</f>
        <v>21.327925</v>
      </c>
      <c r="GD501" s="1461">
        <v>22.94</v>
      </c>
      <c r="GE501" s="1461">
        <v>23.12</v>
      </c>
      <c r="GF501" s="1461">
        <f t="shared" si="4076"/>
        <v>23.03</v>
      </c>
      <c r="GG501" s="1461">
        <v>22.05</v>
      </c>
      <c r="GH501" s="1461">
        <f t="shared" si="4077"/>
        <v>22.7033333333333</v>
      </c>
      <c r="GI501" s="1461">
        <v>22</v>
      </c>
      <c r="GJ501" s="1461">
        <f t="shared" si="4078"/>
        <v>22.025</v>
      </c>
      <c r="GK501" s="1463">
        <f t="shared" si="4079"/>
        <v>22.5275</v>
      </c>
      <c r="GL501" s="1461">
        <f>GI501</f>
        <v>22</v>
      </c>
      <c r="GM501" s="1461">
        <v>21.5</v>
      </c>
      <c r="GN501" s="1461">
        <f t="shared" si="4080"/>
        <v>21.75</v>
      </c>
      <c r="GO501" s="1461">
        <v>21.7</v>
      </c>
      <c r="GP501" s="1461">
        <f t="shared" ref="GP501" si="4115">AVERAGE(GL501,GM501,GO501)</f>
        <v>21.7333333333333</v>
      </c>
      <c r="GQ501" s="1461">
        <v>22</v>
      </c>
      <c r="GR501" s="1461">
        <f t="shared" ref="GR501" si="4116">AVERAGE(GQ501,GO501)</f>
        <v>21.85</v>
      </c>
      <c r="GS501" s="1463">
        <f t="shared" si="4083"/>
        <v>21.8</v>
      </c>
      <c r="GT501" s="1461">
        <v>21</v>
      </c>
      <c r="GU501" s="1461">
        <v>23.77</v>
      </c>
      <c r="GV501" s="1461">
        <f t="shared" ref="GV501" si="4117">AVERAGE(GT501:GU501)</f>
        <v>22.385</v>
      </c>
      <c r="GW501" s="1461">
        <v>25.816</v>
      </c>
      <c r="GX501" s="1461">
        <f t="shared" ref="GX501" si="4118">AVERAGE(GW501,GU501,GT501)</f>
        <v>23.5286666666667</v>
      </c>
      <c r="GY501" s="1461">
        <v>25.25</v>
      </c>
      <c r="GZ501" s="1461">
        <f t="shared" si="4086"/>
        <v>25.533</v>
      </c>
      <c r="HA501" s="1463">
        <f t="shared" si="4087"/>
        <v>23.959</v>
      </c>
      <c r="HB501" s="1461">
        <v>24.51</v>
      </c>
      <c r="HC501" s="1461">
        <v>24.27</v>
      </c>
      <c r="HD501" s="1461">
        <f t="shared" si="4088"/>
        <v>24.39</v>
      </c>
      <c r="HE501" s="1461">
        <f t="shared" si="4089"/>
        <v>24.27</v>
      </c>
      <c r="HF501" s="1461">
        <f t="shared" si="4090"/>
        <v>24.35</v>
      </c>
      <c r="HG501" s="1461">
        <f t="shared" si="4091"/>
        <v>24.27</v>
      </c>
      <c r="HH501" s="1461">
        <f t="shared" si="4092"/>
        <v>24.27</v>
      </c>
      <c r="HI501" s="1463">
        <f t="shared" si="4093"/>
        <v>24.33</v>
      </c>
      <c r="HJ501" s="1461">
        <v>23.2</v>
      </c>
      <c r="HK501" s="1461">
        <v>21.33</v>
      </c>
      <c r="HL501" s="1461">
        <f t="shared" si="4094"/>
        <v>22.265</v>
      </c>
      <c r="HM501" s="1461">
        <v>20.43</v>
      </c>
      <c r="HN501" s="1461">
        <f t="shared" si="4095"/>
        <v>21.6533333333333</v>
      </c>
      <c r="HO501" s="1461">
        <v>20.1</v>
      </c>
      <c r="HP501" s="1461">
        <f t="shared" si="4096"/>
        <v>20.265</v>
      </c>
      <c r="HQ501" s="1463">
        <f t="shared" si="4097"/>
        <v>21.265</v>
      </c>
      <c r="HR501" s="1461">
        <v>20</v>
      </c>
      <c r="HS501" s="1461">
        <v>19.25</v>
      </c>
      <c r="HT501" s="1461">
        <f t="shared" si="4098"/>
        <v>19.625</v>
      </c>
      <c r="HU501" s="1461">
        <v>18.578</v>
      </c>
      <c r="HV501" s="1461">
        <f t="shared" si="4099"/>
        <v>19.276</v>
      </c>
      <c r="HW501" s="1461">
        <v>18.88</v>
      </c>
      <c r="HX501" s="1461">
        <f t="shared" ref="HX501" si="4119">AVERAGE(HU501,HW501)</f>
        <v>18.729</v>
      </c>
      <c r="HY501" s="1462">
        <f t="shared" ref="HY501" si="4120">AVERAGE(HR501,HS501,HU501,HW501)</f>
        <v>19.177</v>
      </c>
      <c r="HZ501" s="1461">
        <v>18.76</v>
      </c>
      <c r="IA501" s="1461">
        <v>18.57</v>
      </c>
      <c r="IB501" s="1461"/>
      <c r="IC501" s="1461">
        <v>20.81</v>
      </c>
      <c r="ID501" s="1461"/>
      <c r="IE501" s="1461">
        <v>21.4</v>
      </c>
      <c r="IF501" s="1461"/>
      <c r="IG501" s="1462">
        <f t="shared" si="4103"/>
        <v>19.885</v>
      </c>
      <c r="IH501" s="1464">
        <f>((21.33*2)+II501)/3</f>
        <v>21.5866666666667</v>
      </c>
      <c r="II501" s="1461">
        <v>22.1</v>
      </c>
      <c r="IJ501" s="1461"/>
      <c r="IK501" s="1461">
        <v>21.77</v>
      </c>
      <c r="IL501" s="1461"/>
      <c r="IM501" s="1461">
        <v>21.3</v>
      </c>
      <c r="IN501" s="1461"/>
      <c r="IO501" s="1462">
        <f t="shared" si="4104"/>
        <v>21.6891666666667</v>
      </c>
      <c r="IP501" s="1464">
        <v>20.52</v>
      </c>
      <c r="IQ501" s="1461">
        <v>20.83</v>
      </c>
      <c r="IR501" s="1461"/>
      <c r="IS501" s="1461">
        <v>20</v>
      </c>
      <c r="IT501" s="1461"/>
      <c r="IU501" s="1461">
        <f t="shared" si="4065"/>
        <v>20</v>
      </c>
      <c r="IV501" s="1461"/>
      <c r="IW501" s="1462">
        <f t="shared" si="4105"/>
        <v>20.3375</v>
      </c>
      <c r="IX501" s="1049"/>
      <c r="IY501" s="1049"/>
      <c r="IZ501" s="1049"/>
      <c r="JA501" s="1049"/>
      <c r="JB501" s="1049"/>
      <c r="JC501" s="1049"/>
      <c r="JD501" s="1041"/>
      <c r="JE501" s="1037"/>
      <c r="JF501" s="1037"/>
      <c r="JG501" s="1037"/>
      <c r="JH501" s="1037"/>
      <c r="JI501" s="1035"/>
      <c r="JJ501" s="1035"/>
      <c r="JK501" s="1035"/>
      <c r="JL501" s="1035"/>
      <c r="JM501" s="1035"/>
      <c r="JN501" s="1035"/>
      <c r="JO501" s="1035"/>
      <c r="JP501" s="1035"/>
      <c r="JQ501" s="1035"/>
      <c r="JR501" s="1035"/>
      <c r="JS501" s="1035"/>
      <c r="JT501" s="1035"/>
      <c r="JU501" s="1035"/>
      <c r="JV501" s="1035"/>
      <c r="JW501" s="1035"/>
      <c r="JX501" s="1035"/>
      <c r="JY501" s="1035"/>
    </row>
    <row r="502" spans="1:285">
      <c r="B502" s="1057"/>
      <c r="J502" s="1057"/>
      <c r="R502" s="1057"/>
      <c r="Z502" s="1057"/>
      <c r="AH502" s="1057"/>
      <c r="AP502" s="1057"/>
      <c r="AX502" s="1057"/>
      <c r="BF502" s="1057"/>
      <c r="BN502" s="1057"/>
      <c r="BV502" s="1057"/>
      <c r="CD502" s="1057"/>
      <c r="CL502" s="1057"/>
      <c r="DJ502" s="1082"/>
      <c r="DK502" s="1082"/>
      <c r="DL502" s="1082"/>
      <c r="DM502" s="1082"/>
      <c r="DN502" s="1082"/>
      <c r="DO502" s="1082"/>
      <c r="DP502" s="1082"/>
      <c r="DQ502" s="1082"/>
      <c r="DR502" s="1082"/>
      <c r="DS502" s="1082"/>
      <c r="DT502" s="1082"/>
      <c r="DU502" s="1082"/>
      <c r="DV502" s="1082"/>
      <c r="DW502" s="1082"/>
      <c r="DX502" s="1082"/>
      <c r="DY502" s="1085"/>
      <c r="DZ502" s="1460"/>
      <c r="EA502" s="1082"/>
      <c r="EB502" s="1082"/>
      <c r="EC502" s="1082"/>
      <c r="ED502" s="1082"/>
      <c r="EE502" s="1082"/>
      <c r="EF502" s="1082"/>
      <c r="EG502" s="1085"/>
      <c r="EH502" s="1082"/>
      <c r="EI502" s="1083"/>
      <c r="EJ502" s="1083"/>
      <c r="EK502" s="1083"/>
      <c r="EL502" s="1083"/>
      <c r="EM502" s="1083"/>
      <c r="EN502" s="1083"/>
      <c r="EO502" s="1084"/>
      <c r="EP502" s="1083"/>
      <c r="EQ502" s="1083"/>
      <c r="ER502" s="1083"/>
      <c r="ES502" s="1083"/>
      <c r="ET502" s="1083"/>
      <c r="EU502" s="1083"/>
      <c r="EV502" s="1083"/>
      <c r="EW502" s="1084"/>
      <c r="EX502" s="1083"/>
      <c r="EY502" s="1083"/>
      <c r="EZ502" s="1083"/>
      <c r="FA502" s="1083"/>
      <c r="FB502" s="1083"/>
      <c r="FC502" s="1083"/>
      <c r="FD502" s="1083"/>
      <c r="FE502" s="1084"/>
      <c r="FF502" s="1083"/>
      <c r="FG502" s="1083"/>
      <c r="FH502" s="1083"/>
      <c r="FI502" s="1083"/>
      <c r="FJ502" s="1083"/>
      <c r="FK502" s="1083"/>
      <c r="FL502" s="1083"/>
      <c r="FM502" s="1084"/>
      <c r="FN502" s="1083"/>
      <c r="FO502" s="1083"/>
      <c r="FP502" s="1083"/>
      <c r="FQ502" s="1083"/>
      <c r="FR502" s="1083"/>
      <c r="FS502" s="1083"/>
      <c r="FT502" s="1083"/>
      <c r="FU502" s="1083"/>
      <c r="FV502" s="1461"/>
      <c r="FW502" s="1461"/>
      <c r="FX502" s="1461"/>
      <c r="FY502" s="1461"/>
      <c r="FZ502" s="1461"/>
      <c r="GA502" s="1461"/>
      <c r="GB502" s="1461"/>
      <c r="GC502" s="1462"/>
      <c r="GD502" s="1461"/>
      <c r="GE502" s="1461"/>
      <c r="GF502" s="1461"/>
      <c r="GG502" s="1083"/>
      <c r="GH502" s="1083"/>
      <c r="GI502" s="1083"/>
      <c r="GJ502" s="1083"/>
      <c r="GK502" s="1084"/>
      <c r="GL502" s="1083"/>
      <c r="GM502" s="1083"/>
      <c r="GN502" s="1083"/>
      <c r="GO502" s="1083"/>
      <c r="GP502" s="1083"/>
      <c r="GQ502" s="1083"/>
      <c r="GR502" s="1083"/>
      <c r="GS502" s="1084"/>
      <c r="GT502" s="1083"/>
      <c r="GU502" s="1083"/>
      <c r="GV502" s="1083"/>
      <c r="GW502" s="1083"/>
      <c r="GX502" s="1083"/>
      <c r="GY502" s="1083"/>
      <c r="GZ502" s="1083"/>
      <c r="HA502" s="1084"/>
      <c r="HB502" s="1083"/>
      <c r="HC502" s="1083"/>
      <c r="HD502" s="1083"/>
      <c r="HE502" s="1083"/>
      <c r="HF502" s="1083"/>
      <c r="HG502" s="1083"/>
      <c r="HH502" s="1083"/>
      <c r="HI502" s="1084"/>
      <c r="HJ502" s="1083"/>
      <c r="HK502" s="1083"/>
      <c r="HL502" s="1083"/>
      <c r="HM502" s="1083"/>
      <c r="HN502" s="1083"/>
      <c r="HO502" s="1083"/>
      <c r="HP502" s="1083"/>
      <c r="HQ502" s="1084"/>
      <c r="HR502" s="1083"/>
      <c r="HS502" s="1083"/>
      <c r="HT502" s="1083"/>
      <c r="HU502" s="1083"/>
      <c r="HV502" s="1083"/>
      <c r="HW502" s="1083"/>
      <c r="HX502" s="1083"/>
      <c r="HY502" s="1083"/>
      <c r="HZ502" s="1083"/>
      <c r="IA502" s="1083"/>
      <c r="IB502" s="1083"/>
      <c r="IC502" s="1083"/>
      <c r="ID502" s="1083"/>
      <c r="IE502" s="1083"/>
      <c r="IF502" s="1083"/>
      <c r="IG502" s="1084"/>
      <c r="IH502" s="1083"/>
      <c r="II502" s="1083"/>
      <c r="IJ502" s="1083"/>
      <c r="IK502" s="1083"/>
      <c r="IL502" s="1083"/>
      <c r="IM502" s="1083"/>
      <c r="IN502" s="1083"/>
      <c r="IO502" s="1084"/>
      <c r="IP502" s="1083"/>
      <c r="IQ502" s="1083"/>
      <c r="IR502" s="1083"/>
      <c r="IS502" s="1083"/>
      <c r="IT502" s="1083"/>
      <c r="IU502" s="1083"/>
      <c r="IV502" s="1083"/>
      <c r="IW502" s="1083"/>
      <c r="IX502" s="1049"/>
      <c r="IY502" s="1049"/>
      <c r="IZ502" s="1049"/>
      <c r="JA502" s="1049"/>
      <c r="JB502" s="1049"/>
      <c r="JC502" s="1049"/>
      <c r="JD502" s="1041"/>
      <c r="JE502" s="1037"/>
      <c r="JF502" s="1037"/>
      <c r="JG502" s="1037"/>
      <c r="JH502" s="1037"/>
      <c r="JI502" s="1035"/>
      <c r="JJ502" s="1035"/>
      <c r="JK502" s="1035"/>
      <c r="JL502" s="1035"/>
      <c r="JM502" s="1035"/>
      <c r="JN502" s="1035"/>
      <c r="JO502" s="1035"/>
      <c r="JP502" s="1035"/>
      <c r="JQ502" s="1035"/>
      <c r="JR502" s="1035"/>
      <c r="JS502" s="1035"/>
      <c r="JT502" s="1035"/>
      <c r="JU502" s="1035"/>
      <c r="JV502" s="1035"/>
      <c r="JW502" s="1035"/>
      <c r="JX502" s="1035"/>
      <c r="JY502" s="1035"/>
    </row>
    <row r="503" spans="1:285">
      <c r="B503" s="1057"/>
      <c r="J503" s="1057"/>
      <c r="R503" s="1057"/>
      <c r="Z503" s="1057"/>
      <c r="AH503" s="1057"/>
      <c r="AP503" s="1057"/>
      <c r="AX503" s="1057"/>
      <c r="BF503" s="1057"/>
      <c r="BN503" s="1057"/>
      <c r="BV503" s="1057"/>
      <c r="CD503" s="1057"/>
      <c r="CL503" s="1057"/>
      <c r="DJ503" s="1082"/>
      <c r="DK503" s="1082"/>
      <c r="DL503" s="1082"/>
      <c r="DM503" s="1082"/>
      <c r="DN503" s="1082"/>
      <c r="DO503" s="1082"/>
      <c r="DP503" s="1082"/>
      <c r="DQ503" s="1082"/>
      <c r="DR503" s="1082"/>
      <c r="DS503" s="1082"/>
      <c r="DT503" s="1082"/>
      <c r="DU503" s="1082"/>
      <c r="DV503" s="1082"/>
      <c r="DW503" s="1082"/>
      <c r="DX503" s="1082"/>
      <c r="DY503" s="1085"/>
      <c r="DZ503" s="1460"/>
      <c r="EA503" s="1082"/>
      <c r="EB503" s="1082"/>
      <c r="EC503" s="1082"/>
      <c r="ED503" s="1082"/>
      <c r="EE503" s="1082"/>
      <c r="EF503" s="1082"/>
      <c r="EG503" s="1085"/>
      <c r="EH503" s="1082"/>
      <c r="EI503" s="1083"/>
      <c r="EJ503" s="1083"/>
      <c r="EK503" s="1083"/>
      <c r="EL503" s="1083"/>
      <c r="EM503" s="1083"/>
      <c r="EN503" s="1083"/>
      <c r="EO503" s="1084"/>
      <c r="EP503" s="1083"/>
      <c r="EQ503" s="1083"/>
      <c r="ER503" s="1083"/>
      <c r="ES503" s="1083"/>
      <c r="ET503" s="1083"/>
      <c r="EU503" s="1083"/>
      <c r="EV503" s="1083"/>
      <c r="EW503" s="1084"/>
      <c r="EX503" s="1083"/>
      <c r="EY503" s="1083"/>
      <c r="EZ503" s="1083"/>
      <c r="FA503" s="1083"/>
      <c r="FB503" s="1083"/>
      <c r="FC503" s="1083"/>
      <c r="FD503" s="1083"/>
      <c r="FE503" s="1084"/>
      <c r="FF503" s="1083"/>
      <c r="FG503" s="1083"/>
      <c r="FH503" s="1083"/>
      <c r="FI503" s="1083"/>
      <c r="FJ503" s="1083"/>
      <c r="FK503" s="1083"/>
      <c r="FL503" s="1083"/>
      <c r="FM503" s="1084"/>
      <c r="FN503" s="1083"/>
      <c r="FO503" s="1083"/>
      <c r="FP503" s="1083"/>
      <c r="FQ503" s="1083"/>
      <c r="FR503" s="1083"/>
      <c r="FS503" s="1083"/>
      <c r="FT503" s="1083"/>
      <c r="FU503" s="1083"/>
      <c r="FV503" s="1115"/>
      <c r="FW503" s="1083"/>
      <c r="FX503" s="1083"/>
      <c r="FY503" s="1083"/>
      <c r="FZ503" s="1083"/>
      <c r="GA503" s="1083"/>
      <c r="GB503" s="1083"/>
      <c r="GC503" s="1084"/>
      <c r="GD503" s="1083"/>
      <c r="GE503" s="1083"/>
      <c r="GF503" s="1083"/>
      <c r="GG503" s="1083"/>
      <c r="GH503" s="1083"/>
      <c r="GI503" s="1083"/>
      <c r="GJ503" s="1083"/>
      <c r="GK503" s="1084"/>
      <c r="GL503" s="1083"/>
      <c r="GM503" s="1083"/>
      <c r="GN503" s="1083"/>
      <c r="GO503" s="1083"/>
      <c r="GP503" s="1083"/>
      <c r="GQ503" s="1083"/>
      <c r="GR503" s="1083"/>
      <c r="GS503" s="1084"/>
      <c r="GT503" s="1468"/>
      <c r="GU503" s="1083"/>
      <c r="GV503" s="1083"/>
      <c r="GW503" s="1083"/>
      <c r="GX503" s="1083"/>
      <c r="GY503" s="1083"/>
      <c r="GZ503" s="1083"/>
      <c r="HA503" s="1084"/>
      <c r="HB503" s="1083"/>
      <c r="HC503" s="1083"/>
      <c r="HD503" s="1083"/>
      <c r="HE503" s="1083"/>
      <c r="HF503" s="1083"/>
      <c r="HG503" s="1083"/>
      <c r="HH503" s="1083"/>
      <c r="HI503" s="1084"/>
      <c r="HJ503" s="1083"/>
      <c r="HK503" s="1083"/>
      <c r="HL503" s="1083"/>
      <c r="HM503" s="1083"/>
      <c r="HN503" s="1083"/>
      <c r="HO503" s="1083"/>
      <c r="HP503" s="1083"/>
      <c r="HQ503" s="1084"/>
      <c r="HR503" s="1083"/>
      <c r="HS503" s="1083"/>
      <c r="HT503" s="1083"/>
      <c r="HU503" s="1083"/>
      <c r="HV503" s="1083"/>
      <c r="HW503" s="1083"/>
      <c r="HX503" s="1083"/>
      <c r="HY503" s="1083"/>
      <c r="HZ503" s="1083"/>
      <c r="IA503" s="1083"/>
      <c r="IB503" s="1083"/>
      <c r="IC503" s="1083"/>
      <c r="ID503" s="1083"/>
      <c r="IE503" s="1083"/>
      <c r="IF503" s="1083"/>
      <c r="IG503" s="1084"/>
      <c r="IH503" s="1083"/>
      <c r="II503" s="1083"/>
      <c r="IJ503" s="1083"/>
      <c r="IK503" s="1083"/>
      <c r="IL503" s="1083"/>
      <c r="IM503" s="1083"/>
      <c r="IN503" s="1083"/>
      <c r="IO503" s="1084"/>
      <c r="IP503" s="1083"/>
      <c r="IQ503" s="1083"/>
      <c r="IR503" s="1083"/>
      <c r="IS503" s="1083"/>
      <c r="IT503" s="1083"/>
      <c r="IU503" s="1083"/>
      <c r="IV503" s="1083"/>
      <c r="IW503" s="1083"/>
      <c r="IX503" s="1049"/>
      <c r="IY503" s="1049"/>
      <c r="IZ503" s="1049"/>
      <c r="JA503" s="1049"/>
      <c r="JB503" s="1049"/>
      <c r="JC503" s="1049"/>
      <c r="JD503" s="1041"/>
      <c r="JE503" s="1037"/>
      <c r="JF503" s="1037"/>
      <c r="JG503" s="1037"/>
      <c r="JH503" s="1037"/>
      <c r="JI503" s="1035"/>
      <c r="JJ503" s="1035"/>
      <c r="JK503" s="1035"/>
      <c r="JL503" s="1035"/>
      <c r="JM503" s="1035"/>
      <c r="JN503" s="1035"/>
      <c r="JO503" s="1035"/>
      <c r="JP503" s="1035"/>
      <c r="JQ503" s="1035"/>
      <c r="JR503" s="1035"/>
      <c r="JS503" s="1035"/>
      <c r="JT503" s="1035"/>
      <c r="JU503" s="1035"/>
      <c r="JV503" s="1035"/>
      <c r="JW503" s="1035"/>
      <c r="JX503" s="1035"/>
      <c r="JY503" s="1035"/>
    </row>
    <row r="504" spans="1:285">
      <c r="B504" s="1057"/>
      <c r="J504" s="1057"/>
      <c r="R504" s="1057"/>
      <c r="Z504" s="1057"/>
      <c r="AH504" s="1057"/>
      <c r="AP504" s="1057"/>
      <c r="AX504" s="1057"/>
      <c r="BF504" s="1057"/>
      <c r="BN504" s="1057"/>
      <c r="BV504" s="1057"/>
      <c r="CD504" s="1057"/>
      <c r="CL504" s="1057"/>
      <c r="DJ504" s="1082"/>
      <c r="DK504" s="1082"/>
      <c r="DL504" s="1082"/>
      <c r="DM504" s="1082"/>
      <c r="DN504" s="1082"/>
      <c r="DO504" s="1082"/>
      <c r="DP504" s="1082"/>
      <c r="DQ504" s="1082"/>
      <c r="DR504" s="1082"/>
      <c r="DS504" s="1082"/>
      <c r="DT504" s="1082"/>
      <c r="DU504" s="1082"/>
      <c r="DV504" s="1082"/>
      <c r="DW504" s="1082"/>
      <c r="DX504" s="1082"/>
      <c r="DY504" s="1085"/>
      <c r="DZ504" s="1460"/>
      <c r="EA504" s="1082"/>
      <c r="EB504" s="1082"/>
      <c r="EC504" s="1082"/>
      <c r="ED504" s="1082"/>
      <c r="EE504" s="1082"/>
      <c r="EF504" s="1082"/>
      <c r="EG504" s="1085"/>
      <c r="EH504" s="1082"/>
      <c r="EI504" s="1083"/>
      <c r="EJ504" s="1083"/>
      <c r="EK504" s="1083"/>
      <c r="EL504" s="1083"/>
      <c r="EM504" s="1083"/>
      <c r="EN504" s="1083"/>
      <c r="EO504" s="1084"/>
      <c r="EP504" s="1083"/>
      <c r="EQ504" s="1083"/>
      <c r="ER504" s="1083"/>
      <c r="ES504" s="1083"/>
      <c r="ET504" s="1083"/>
      <c r="EU504" s="1083"/>
      <c r="EV504" s="1083"/>
      <c r="EW504" s="1084"/>
      <c r="EX504" s="1083"/>
      <c r="EY504" s="1083"/>
      <c r="EZ504" s="1083"/>
      <c r="FA504" s="1083"/>
      <c r="FB504" s="1083"/>
      <c r="FC504" s="1083"/>
      <c r="FD504" s="1083"/>
      <c r="FE504" s="1084"/>
      <c r="FF504" s="1083"/>
      <c r="FG504" s="1083"/>
      <c r="FH504" s="1083"/>
      <c r="FI504" s="1083"/>
      <c r="FJ504" s="1083"/>
      <c r="FK504" s="1083"/>
      <c r="FL504" s="1083"/>
      <c r="FM504" s="1084"/>
      <c r="FN504" s="1083"/>
      <c r="FO504" s="1083"/>
      <c r="FP504" s="1083"/>
      <c r="FQ504" s="1083"/>
      <c r="FR504" s="1083"/>
      <c r="FS504" s="1083"/>
      <c r="FT504" s="1083"/>
      <c r="FU504" s="1083"/>
      <c r="FV504" s="1115"/>
      <c r="FW504" s="1083"/>
      <c r="FX504" s="1083"/>
      <c r="FY504" s="1083"/>
      <c r="FZ504" s="1083"/>
      <c r="GA504" s="1083"/>
      <c r="GB504" s="1083"/>
      <c r="GC504" s="1084"/>
      <c r="GD504" s="1083"/>
      <c r="GE504" s="1083"/>
      <c r="GF504" s="1083"/>
      <c r="GG504" s="1083"/>
      <c r="GH504" s="1083"/>
      <c r="GI504" s="1083"/>
      <c r="GJ504" s="1083"/>
      <c r="GK504" s="1084"/>
      <c r="GL504" s="1083"/>
      <c r="GM504" s="1083"/>
      <c r="GN504" s="1083"/>
      <c r="GO504" s="1083"/>
      <c r="GP504" s="1083"/>
      <c r="GQ504" s="1083"/>
      <c r="GR504" s="1083"/>
      <c r="GS504" s="1084"/>
      <c r="GT504" s="1083"/>
      <c r="GU504" s="1083"/>
      <c r="GV504" s="1083"/>
      <c r="GW504" s="1083"/>
      <c r="GX504" s="1083"/>
      <c r="GY504" s="1083"/>
      <c r="GZ504" s="1083"/>
      <c r="HA504" s="1084"/>
      <c r="HB504" s="1083"/>
      <c r="HC504" s="1083"/>
      <c r="HD504" s="1083"/>
      <c r="HE504" s="1083"/>
      <c r="HF504" s="1083"/>
      <c r="HG504" s="1083"/>
      <c r="HH504" s="1083"/>
      <c r="HI504" s="1084"/>
      <c r="HJ504" s="1083"/>
      <c r="HK504" s="1083"/>
      <c r="HL504" s="1083"/>
      <c r="HM504" s="1083"/>
      <c r="HN504" s="1083"/>
      <c r="HO504" s="1083"/>
      <c r="HP504" s="1083"/>
      <c r="HQ504" s="1084"/>
      <c r="HR504" s="1083"/>
      <c r="HS504" s="1083"/>
      <c r="HT504" s="1083"/>
      <c r="HU504" s="1083"/>
      <c r="HV504" s="1083"/>
      <c r="HW504" s="1083"/>
      <c r="HX504" s="1083"/>
      <c r="HY504" s="1083"/>
      <c r="HZ504" s="1083"/>
      <c r="IA504" s="1083"/>
      <c r="IB504" s="1083"/>
      <c r="IC504" s="1083"/>
      <c r="ID504" s="1083"/>
      <c r="IE504" s="1083"/>
      <c r="IF504" s="1083"/>
      <c r="IG504" s="1084"/>
      <c r="IH504" s="1083"/>
      <c r="II504" s="1083"/>
      <c r="IJ504" s="1083"/>
      <c r="IK504" s="1083"/>
      <c r="IL504" s="1083"/>
      <c r="IM504" s="1083"/>
      <c r="IN504" s="1083"/>
      <c r="IO504" s="1084"/>
      <c r="IP504" s="1083"/>
      <c r="IQ504" s="1083"/>
      <c r="IR504" s="1083"/>
      <c r="IS504" s="1083"/>
      <c r="IT504" s="1083"/>
      <c r="IU504" s="1083"/>
      <c r="IV504" s="1083"/>
      <c r="IW504" s="1083"/>
      <c r="IX504" s="1049"/>
      <c r="IY504" s="1049"/>
      <c r="IZ504" s="1049"/>
      <c r="JA504" s="1049"/>
      <c r="JB504" s="1049"/>
      <c r="JC504" s="1049"/>
      <c r="JD504" s="1041"/>
      <c r="JE504" s="1037"/>
      <c r="JF504" s="1037"/>
      <c r="JG504" s="1037"/>
      <c r="JH504" s="1037"/>
      <c r="JI504" s="1035"/>
      <c r="JJ504" s="1035"/>
      <c r="JK504" s="1035"/>
      <c r="JL504" s="1035"/>
      <c r="JM504" s="1035"/>
      <c r="JN504" s="1035"/>
      <c r="JO504" s="1035"/>
      <c r="JP504" s="1035"/>
      <c r="JQ504" s="1035"/>
      <c r="JR504" s="1035"/>
      <c r="JS504" s="1035"/>
      <c r="JT504" s="1035"/>
      <c r="JU504" s="1035"/>
      <c r="JV504" s="1035"/>
      <c r="JW504" s="1035"/>
      <c r="JX504" s="1035"/>
      <c r="JY504" s="1035"/>
    </row>
    <row r="505" spans="1:285">
      <c r="B505" s="1057"/>
      <c r="J505" s="1057"/>
      <c r="R505" s="1057"/>
      <c r="Z505" s="1057"/>
      <c r="AH505" s="1057"/>
      <c r="AP505" s="1057"/>
      <c r="AX505" s="1057"/>
      <c r="BF505" s="1057"/>
      <c r="BN505" s="1057"/>
      <c r="BV505" s="1057"/>
      <c r="CD505" s="1057"/>
      <c r="CL505" s="1057"/>
      <c r="DJ505" s="1082"/>
      <c r="DK505" s="1082"/>
      <c r="DL505" s="1082"/>
      <c r="DM505" s="1082"/>
      <c r="DN505" s="1082"/>
      <c r="DO505" s="1082"/>
      <c r="DP505" s="1082"/>
      <c r="DQ505" s="1082"/>
      <c r="DR505" s="1082"/>
      <c r="DS505" s="1082"/>
      <c r="DT505" s="1082"/>
      <c r="DU505" s="1082"/>
      <c r="DV505" s="1082"/>
      <c r="DW505" s="1082"/>
      <c r="DX505" s="1082"/>
      <c r="DY505" s="1085"/>
      <c r="DZ505" s="1460"/>
      <c r="EA505" s="1082"/>
      <c r="EB505" s="1082"/>
      <c r="EC505" s="1082"/>
      <c r="ED505" s="1082"/>
      <c r="EE505" s="1082"/>
      <c r="EF505" s="1082"/>
      <c r="EG505" s="1085"/>
      <c r="EH505" s="1082"/>
      <c r="EI505" s="1083"/>
      <c r="EJ505" s="1083"/>
      <c r="EK505" s="1083"/>
      <c r="EL505" s="1083"/>
      <c r="EM505" s="1083"/>
      <c r="EN505" s="1083"/>
      <c r="EO505" s="1084"/>
      <c r="EP505" s="1083"/>
      <c r="EQ505" s="1083"/>
      <c r="ER505" s="1083"/>
      <c r="ES505" s="1083"/>
      <c r="ET505" s="1083"/>
      <c r="EU505" s="1083"/>
      <c r="EV505" s="1083"/>
      <c r="EW505" s="1084"/>
      <c r="EX505" s="1083"/>
      <c r="EY505" s="1083"/>
      <c r="EZ505" s="1083"/>
      <c r="FA505" s="1083"/>
      <c r="FB505" s="1083"/>
      <c r="FC505" s="1083"/>
      <c r="FD505" s="1083"/>
      <c r="FE505" s="1084"/>
      <c r="FF505" s="1083"/>
      <c r="FG505" s="1083"/>
      <c r="FH505" s="1083"/>
      <c r="FI505" s="1083"/>
      <c r="FJ505" s="1083"/>
      <c r="FK505" s="1083"/>
      <c r="FL505" s="1083"/>
      <c r="FM505" s="1084"/>
      <c r="FN505" s="1083"/>
      <c r="FO505" s="1083"/>
      <c r="FP505" s="1083"/>
      <c r="FQ505" s="1083"/>
      <c r="FR505" s="1083"/>
      <c r="FS505" s="1083"/>
      <c r="FT505" s="1083"/>
      <c r="FU505" s="1083"/>
      <c r="FV505" s="1115"/>
      <c r="FW505" s="1083"/>
      <c r="FX505" s="1083"/>
      <c r="FY505" s="1083"/>
      <c r="FZ505" s="1083"/>
      <c r="GA505" s="1083"/>
      <c r="GB505" s="1083"/>
      <c r="GC505" s="1084"/>
      <c r="GD505" s="1083"/>
      <c r="GE505" s="1083"/>
      <c r="GF505" s="1083"/>
      <c r="GG505" s="1083"/>
      <c r="GH505" s="1083"/>
      <c r="GI505" s="1083"/>
      <c r="GJ505" s="1083"/>
      <c r="GK505" s="1084"/>
      <c r="GL505" s="1083"/>
      <c r="GM505" s="1083"/>
      <c r="GN505" s="1083"/>
      <c r="GO505" s="1083"/>
      <c r="GP505" s="1083"/>
      <c r="GQ505" s="1083"/>
      <c r="GR505" s="1083"/>
      <c r="GS505" s="1084"/>
      <c r="GT505" s="1083"/>
      <c r="GU505" s="1083"/>
      <c r="GV505" s="1083"/>
      <c r="GW505" s="1083"/>
      <c r="GX505" s="1083"/>
      <c r="GY505" s="1083"/>
      <c r="GZ505" s="1083"/>
      <c r="HA505" s="1084"/>
      <c r="HB505" s="1083"/>
      <c r="HC505" s="1083"/>
      <c r="HD505" s="1083"/>
      <c r="HE505" s="1083"/>
      <c r="HF505" s="1083"/>
      <c r="HG505" s="1083"/>
      <c r="HH505" s="1083"/>
      <c r="HI505" s="1084"/>
      <c r="HJ505" s="1083"/>
      <c r="HK505" s="1083"/>
      <c r="HL505" s="1083"/>
      <c r="HM505" s="1083"/>
      <c r="HN505" s="1083"/>
      <c r="HO505" s="1083"/>
      <c r="HP505" s="1083"/>
      <c r="HQ505" s="1084"/>
      <c r="HR505" s="1083"/>
      <c r="HS505" s="1083"/>
      <c r="HT505" s="1083"/>
      <c r="HU505" s="1083"/>
      <c r="HV505" s="1083"/>
      <c r="HW505" s="1083"/>
      <c r="HX505" s="1083"/>
      <c r="HY505" s="1083"/>
      <c r="HZ505" s="1083"/>
      <c r="IA505" s="1083"/>
      <c r="IB505" s="1083"/>
      <c r="IC505" s="1083"/>
      <c r="ID505" s="1083"/>
      <c r="IE505" s="1083"/>
      <c r="IF505" s="1083"/>
      <c r="IG505" s="1084"/>
      <c r="IH505" s="1083"/>
      <c r="II505" s="1083"/>
      <c r="IJ505" s="1083"/>
      <c r="IK505" s="1083"/>
      <c r="IL505" s="1083"/>
      <c r="IM505" s="1083"/>
      <c r="IN505" s="1083"/>
      <c r="IO505" s="1084"/>
      <c r="IP505" s="1083"/>
      <c r="IQ505" s="1083"/>
      <c r="IR505" s="1083"/>
      <c r="IS505" s="1083"/>
      <c r="IT505" s="1083"/>
      <c r="IU505" s="1083"/>
      <c r="IV505" s="1083"/>
      <c r="IW505" s="1083"/>
      <c r="IX505" s="1049"/>
      <c r="IY505" s="1049"/>
      <c r="IZ505" s="1049"/>
      <c r="JA505" s="1049"/>
      <c r="JB505" s="1049"/>
      <c r="JC505" s="1049"/>
      <c r="JD505" s="1041"/>
      <c r="JE505" s="1037"/>
      <c r="JF505" s="1037"/>
      <c r="JG505" s="1037"/>
      <c r="JH505" s="1037"/>
      <c r="JI505" s="1035"/>
      <c r="JJ505" s="1035"/>
      <c r="JK505" s="1035"/>
      <c r="JL505" s="1035"/>
      <c r="JM505" s="1035"/>
      <c r="JN505" s="1035"/>
      <c r="JO505" s="1035"/>
      <c r="JP505" s="1035"/>
      <c r="JQ505" s="1035"/>
      <c r="JR505" s="1035"/>
      <c r="JS505" s="1035"/>
      <c r="JT505" s="1035"/>
      <c r="JU505" s="1035"/>
      <c r="JV505" s="1035"/>
      <c r="JW505" s="1035"/>
      <c r="JX505" s="1035"/>
      <c r="JY505" s="1035"/>
    </row>
    <row r="506" spans="1:285">
      <c r="A506" s="1306" t="s">
        <v>620</v>
      </c>
      <c r="B506" s="1307"/>
      <c r="C506" s="1307"/>
      <c r="D506" s="1307"/>
      <c r="E506" s="1307"/>
      <c r="F506" s="1307"/>
      <c r="G506" s="1307"/>
      <c r="H506" s="1307"/>
      <c r="I506" s="1307"/>
      <c r="J506" s="1307"/>
      <c r="K506" s="1307"/>
      <c r="L506" s="1307"/>
      <c r="M506" s="1307"/>
      <c r="N506" s="1307"/>
      <c r="O506" s="1307"/>
      <c r="P506" s="1307"/>
      <c r="Q506" s="1307"/>
      <c r="R506" s="1307"/>
      <c r="S506" s="1307"/>
      <c r="T506" s="1307"/>
      <c r="U506" s="1307"/>
      <c r="V506" s="1307"/>
      <c r="W506" s="1307"/>
      <c r="X506" s="1307"/>
      <c r="Y506" s="1307"/>
      <c r="Z506" s="1307"/>
      <c r="AA506" s="1307"/>
      <c r="AB506" s="1307"/>
      <c r="AC506" s="1307"/>
      <c r="AD506" s="1307"/>
      <c r="AE506" s="1307"/>
      <c r="AF506" s="1307"/>
      <c r="AG506" s="1307"/>
      <c r="AH506" s="1307"/>
      <c r="AI506" s="1307"/>
      <c r="AJ506" s="1307"/>
      <c r="AK506" s="1307"/>
      <c r="AL506" s="1307"/>
      <c r="AM506" s="1307"/>
      <c r="AN506" s="1307"/>
      <c r="AO506" s="1307"/>
      <c r="AP506" s="1307"/>
      <c r="AQ506" s="1307"/>
      <c r="AR506" s="1307"/>
      <c r="AS506" s="1307"/>
      <c r="AT506" s="1307"/>
      <c r="AU506" s="1307"/>
      <c r="AV506" s="1307"/>
      <c r="AW506" s="1307"/>
      <c r="AX506" s="1308"/>
      <c r="AY506" s="1307"/>
      <c r="AZ506" s="1307"/>
      <c r="BA506" s="1307"/>
      <c r="BB506" s="1307"/>
      <c r="BC506" s="1307"/>
      <c r="BD506" s="1307"/>
      <c r="BE506" s="1309"/>
      <c r="BF506" s="1307"/>
      <c r="BG506" s="1307"/>
      <c r="BH506" s="1307"/>
      <c r="BI506" s="1307"/>
      <c r="BJ506" s="1307"/>
      <c r="BK506" s="1307"/>
      <c r="BL506" s="1307"/>
      <c r="BM506" s="1307"/>
      <c r="BN506" s="1308"/>
      <c r="BO506" s="1307"/>
      <c r="BP506" s="1307"/>
      <c r="BQ506" s="1307"/>
      <c r="BR506" s="1307"/>
      <c r="BS506" s="1307"/>
      <c r="BT506" s="1307"/>
      <c r="BU506" s="1309"/>
      <c r="BV506" s="1308">
        <v>112</v>
      </c>
      <c r="BW506" s="1307">
        <v>0</v>
      </c>
      <c r="BX506" s="1307">
        <f>BV506+BW506</f>
        <v>112</v>
      </c>
      <c r="BY506" s="1307">
        <v>0</v>
      </c>
      <c r="BZ506" s="1307">
        <f>BX506+BY506</f>
        <v>112</v>
      </c>
      <c r="CA506" s="1307">
        <v>0</v>
      </c>
      <c r="CB506" s="1307">
        <f>BV506+CA506</f>
        <v>112</v>
      </c>
      <c r="CC506" s="1309">
        <f>BZ506+CA506</f>
        <v>112</v>
      </c>
      <c r="CD506" s="1308">
        <v>112</v>
      </c>
      <c r="CE506" s="1307">
        <v>0</v>
      </c>
      <c r="CF506" s="1307">
        <f>CD506+CE506</f>
        <v>112</v>
      </c>
      <c r="CG506" s="1307">
        <v>0</v>
      </c>
      <c r="CH506" s="1307">
        <f>CF506+CG506</f>
        <v>112</v>
      </c>
      <c r="CI506" s="1307">
        <v>0</v>
      </c>
      <c r="CJ506" s="1307">
        <f>CD506+CI506</f>
        <v>112</v>
      </c>
      <c r="CK506" s="1309">
        <f>CH506+CI506</f>
        <v>112</v>
      </c>
      <c r="CL506" s="1308">
        <v>0</v>
      </c>
      <c r="CM506" s="1307">
        <v>0</v>
      </c>
      <c r="CN506" s="1307">
        <f>CL506+CM506</f>
        <v>0</v>
      </c>
      <c r="CO506" s="1307">
        <f>CP506-CN506</f>
        <v>0</v>
      </c>
      <c r="CP506" s="1307">
        <v>0</v>
      </c>
      <c r="CQ506" s="1307">
        <v>0</v>
      </c>
      <c r="CR506" s="1307">
        <f>CI506+CQ506</f>
        <v>0</v>
      </c>
      <c r="CS506" s="1309">
        <f>CM506+CQ506</f>
        <v>0</v>
      </c>
      <c r="CT506" s="1308"/>
      <c r="CU506" s="1307"/>
      <c r="CV506" s="1307"/>
      <c r="CW506" s="1307"/>
      <c r="CX506" s="1307"/>
      <c r="CY506" s="1307"/>
      <c r="CZ506" s="1307"/>
      <c r="DA506" s="1309"/>
      <c r="DB506" s="1332"/>
      <c r="DC506" s="1311"/>
      <c r="DD506" s="1311"/>
      <c r="DE506" s="1311"/>
      <c r="DF506" s="1311"/>
      <c r="DG506" s="1311"/>
      <c r="DH506" s="1311"/>
      <c r="DI506" s="1312"/>
      <c r="DJ506" s="1311"/>
      <c r="DK506" s="1311"/>
      <c r="DL506" s="1311"/>
      <c r="DM506" s="1311"/>
      <c r="DN506" s="1311"/>
      <c r="DO506" s="1311"/>
      <c r="DP506" s="1311"/>
      <c r="DQ506" s="1312"/>
      <c r="DR506" s="1311"/>
      <c r="DS506" s="1311"/>
      <c r="DT506" s="1311"/>
      <c r="DU506" s="1311"/>
      <c r="DV506" s="1311"/>
      <c r="DW506" s="1311"/>
      <c r="DX506" s="1311"/>
      <c r="DY506" s="1312"/>
      <c r="DZ506" s="1311"/>
      <c r="EA506" s="1311"/>
      <c r="EB506" s="1311"/>
      <c r="EC506" s="1311"/>
      <c r="ED506" s="1311"/>
      <c r="EE506" s="1311"/>
      <c r="EF506" s="1311"/>
      <c r="EG506" s="1312"/>
      <c r="EH506" s="1311"/>
      <c r="EI506" s="1311"/>
      <c r="EJ506" s="1311"/>
      <c r="EK506" s="1311"/>
      <c r="EL506" s="1311"/>
      <c r="EM506" s="1311"/>
      <c r="EN506" s="1311"/>
      <c r="EO506" s="1312"/>
      <c r="EP506" s="1311"/>
      <c r="EQ506" s="1311"/>
      <c r="ER506" s="1311"/>
      <c r="ES506" s="1311"/>
      <c r="ET506" s="1311"/>
      <c r="EU506" s="1311"/>
      <c r="EV506" s="1311"/>
      <c r="IX506" s="1049"/>
      <c r="IY506" s="1049"/>
      <c r="IZ506" s="1049"/>
      <c r="JA506" s="1049"/>
      <c r="JB506" s="1049"/>
      <c r="JC506" s="1049"/>
      <c r="JD506" s="1469"/>
      <c r="JE506" s="1037"/>
      <c r="JF506" s="1037"/>
      <c r="JG506" s="1037"/>
      <c r="JH506" s="1037"/>
      <c r="JI506" s="1035"/>
      <c r="JJ506" s="1035"/>
      <c r="JK506" s="1035"/>
      <c r="JL506" s="1035"/>
      <c r="JM506" s="1035"/>
      <c r="JN506" s="1035"/>
      <c r="JO506" s="1035"/>
      <c r="JP506" s="1035"/>
      <c r="JQ506" s="1035"/>
      <c r="JR506" s="1035"/>
      <c r="JS506" s="1035"/>
      <c r="JT506" s="1035"/>
      <c r="JU506" s="1035"/>
      <c r="JV506" s="1035"/>
      <c r="JW506" s="1035"/>
      <c r="JX506" s="1035"/>
      <c r="JY506" s="1035"/>
    </row>
    <row r="507" spans="1:285">
      <c r="A507" s="1035" t="s">
        <v>142</v>
      </c>
      <c r="B507" s="1302"/>
      <c r="C507" s="1302"/>
      <c r="D507" s="1302"/>
      <c r="E507" s="1302"/>
      <c r="F507" s="1302"/>
      <c r="G507" s="1302"/>
      <c r="H507" s="1302"/>
      <c r="I507" s="1302"/>
      <c r="J507" s="1302"/>
      <c r="K507" s="1302"/>
      <c r="L507" s="1302"/>
      <c r="M507" s="1302"/>
      <c r="N507" s="1302"/>
      <c r="O507" s="1302"/>
      <c r="P507" s="1302"/>
      <c r="Q507" s="1302"/>
      <c r="R507" s="1302"/>
      <c r="S507" s="1302"/>
      <c r="T507" s="1302"/>
      <c r="U507" s="1302"/>
      <c r="V507" s="1302"/>
      <c r="W507" s="1302"/>
      <c r="X507" s="1302"/>
      <c r="Y507" s="1302"/>
      <c r="Z507" s="1302"/>
      <c r="AA507" s="1302"/>
      <c r="AB507" s="1302"/>
      <c r="AC507" s="1302"/>
      <c r="AD507" s="1302"/>
      <c r="AE507" s="1302"/>
      <c r="AF507" s="1302"/>
      <c r="AG507" s="1302"/>
      <c r="AH507" s="1302"/>
      <c r="AI507" s="1302"/>
      <c r="AJ507" s="1302"/>
      <c r="AK507" s="1302"/>
      <c r="AL507" s="1302"/>
      <c r="AM507" s="1302"/>
      <c r="AN507" s="1302"/>
      <c r="AO507" s="1302"/>
      <c r="AP507" s="1302"/>
      <c r="AQ507" s="1302"/>
      <c r="AR507" s="1302"/>
      <c r="AS507" s="1302"/>
      <c r="AT507" s="1302"/>
      <c r="AU507" s="1302"/>
      <c r="AV507" s="1302"/>
      <c r="AW507" s="1302"/>
      <c r="AX507" s="1303"/>
      <c r="AY507" s="1302"/>
      <c r="AZ507" s="1302"/>
      <c r="BA507" s="1302"/>
      <c r="BB507" s="1302"/>
      <c r="BC507" s="1302"/>
      <c r="BD507" s="1302"/>
      <c r="BE507" s="1304"/>
      <c r="BF507" s="1302"/>
      <c r="BG507" s="1302"/>
      <c r="BH507" s="1302"/>
      <c r="BI507" s="1302"/>
      <c r="BJ507" s="1302"/>
      <c r="BK507" s="1302"/>
      <c r="BL507" s="1302"/>
      <c r="BM507" s="1302"/>
      <c r="BN507" s="1303"/>
      <c r="BO507" s="1302"/>
      <c r="BP507" s="1302"/>
      <c r="BQ507" s="1302"/>
      <c r="BR507" s="1302"/>
      <c r="BS507" s="1302"/>
      <c r="BT507" s="1302"/>
      <c r="BU507" s="1304"/>
      <c r="BV507" s="1303">
        <v>-0.0819672131147541</v>
      </c>
      <c r="BW507" s="1302">
        <v>-1</v>
      </c>
      <c r="BX507" s="1302" t="e">
        <f>BX506/BP506-1</f>
        <v>#DIV/0!</v>
      </c>
      <c r="BY507" s="1302">
        <v>-1</v>
      </c>
      <c r="BZ507" s="1302" t="e">
        <f>BZ506/BR506-1</f>
        <v>#DIV/0!</v>
      </c>
      <c r="CA507" s="1302">
        <v>-1</v>
      </c>
      <c r="CB507" s="1302" t="e">
        <f>CB506/BT506-1</f>
        <v>#DIV/0!</v>
      </c>
      <c r="CC507" s="1304" t="e">
        <f>CC506/BU506-1</f>
        <v>#DIV/0!</v>
      </c>
      <c r="CD507" s="1303">
        <v>-0.0819672131147541</v>
      </c>
      <c r="CE507" s="1302">
        <v>-1</v>
      </c>
      <c r="CF507" s="1302">
        <f>CF506/BX506-1</f>
        <v>0</v>
      </c>
      <c r="CG507" s="1302">
        <v>-1</v>
      </c>
      <c r="CH507" s="1302">
        <f>CH506/BZ506-1</f>
        <v>0</v>
      </c>
      <c r="CI507" s="1302">
        <v>-1</v>
      </c>
      <c r="CJ507" s="1302">
        <f>CJ506/CB506-1</f>
        <v>0</v>
      </c>
      <c r="CK507" s="1304">
        <f>CK506/CC506-1</f>
        <v>0</v>
      </c>
      <c r="CL507" s="1303">
        <v>-1</v>
      </c>
      <c r="CM507" s="1302" t="e">
        <f>CM506/CE506-1</f>
        <v>#DIV/0!</v>
      </c>
      <c r="CN507" s="1302">
        <f>CN506/CF506-1</f>
        <v>-1</v>
      </c>
      <c r="CO507" s="1302" t="e">
        <f>CO506/CG506-1</f>
        <v>#DIV/0!</v>
      </c>
      <c r="CP507" s="1302">
        <f>CP506/CH506-1</f>
        <v>-1</v>
      </c>
      <c r="CQ507" s="1302">
        <f>CQ506/CF506-1</f>
        <v>-1</v>
      </c>
      <c r="CR507" s="1302" t="e">
        <f>CR506/CG506-1</f>
        <v>#DIV/0!</v>
      </c>
      <c r="CS507" s="1304">
        <f>CS506/CH506-1</f>
        <v>-1</v>
      </c>
      <c r="CT507" s="1303"/>
      <c r="CU507" s="1302"/>
      <c r="CV507" s="1302"/>
      <c r="CW507" s="1302"/>
      <c r="CX507" s="1302"/>
      <c r="CY507" s="1302"/>
      <c r="CZ507" s="1302"/>
      <c r="DA507" s="1304"/>
      <c r="DB507" s="1109"/>
      <c r="DC507" s="1082"/>
      <c r="DD507" s="1082"/>
      <c r="DE507" s="1082"/>
      <c r="DF507" s="1082"/>
      <c r="DG507" s="1082"/>
      <c r="DH507" s="1082"/>
      <c r="DI507" s="1085"/>
      <c r="DJ507" s="1082"/>
      <c r="DK507" s="1082"/>
      <c r="DL507" s="1082"/>
      <c r="DM507" s="1082"/>
      <c r="DN507" s="1082"/>
      <c r="DO507" s="1082"/>
      <c r="DP507" s="1082"/>
      <c r="DQ507" s="1085"/>
      <c r="DR507" s="1082"/>
      <c r="DS507" s="1082"/>
      <c r="DT507" s="1082"/>
      <c r="DU507" s="1082"/>
      <c r="DV507" s="1082"/>
      <c r="DW507" s="1082"/>
      <c r="DX507" s="1082"/>
      <c r="DY507" s="1085"/>
      <c r="DZ507" s="1082"/>
      <c r="EA507" s="1082"/>
      <c r="EB507" s="1082"/>
      <c r="EC507" s="1082"/>
      <c r="ED507" s="1082"/>
      <c r="EE507" s="1082"/>
      <c r="EF507" s="1082"/>
      <c r="EG507" s="1085"/>
      <c r="EH507" s="1082"/>
      <c r="EI507" s="1082"/>
      <c r="EJ507" s="1082"/>
      <c r="EK507" s="1082"/>
      <c r="EL507" s="1082"/>
      <c r="EM507" s="1082"/>
      <c r="EN507" s="1082"/>
      <c r="EO507" s="1085"/>
      <c r="EP507" s="1082"/>
      <c r="EQ507" s="1082"/>
      <c r="ER507" s="1082"/>
      <c r="ES507" s="1082"/>
      <c r="ET507" s="1082"/>
      <c r="EU507" s="1082"/>
      <c r="EV507" s="1082"/>
      <c r="IX507" s="1049"/>
      <c r="IY507" s="1049"/>
      <c r="IZ507" s="1049"/>
      <c r="JA507" s="1049"/>
      <c r="JB507" s="1049"/>
      <c r="JC507" s="1049"/>
      <c r="JD507" s="1469"/>
      <c r="JE507" s="1037"/>
      <c r="JF507" s="1037"/>
      <c r="JG507" s="1037"/>
      <c r="JH507" s="1037"/>
      <c r="JI507" s="1035"/>
      <c r="JJ507" s="1035"/>
      <c r="JK507" s="1035"/>
      <c r="JL507" s="1035"/>
      <c r="JM507" s="1035"/>
      <c r="JN507" s="1035"/>
      <c r="JO507" s="1035"/>
      <c r="JP507" s="1035"/>
      <c r="JQ507" s="1035"/>
      <c r="JR507" s="1035"/>
      <c r="JS507" s="1035"/>
      <c r="JT507" s="1035"/>
      <c r="JU507" s="1035"/>
      <c r="JV507" s="1035"/>
      <c r="JW507" s="1035"/>
      <c r="JX507" s="1035"/>
      <c r="JY507" s="1035"/>
    </row>
    <row r="508" spans="1:285">
      <c r="A508" s="1035" t="s">
        <v>621</v>
      </c>
      <c r="B508" s="1302"/>
      <c r="C508" s="1302"/>
      <c r="D508" s="1302"/>
      <c r="E508" s="1302"/>
      <c r="F508" s="1302"/>
      <c r="G508" s="1302"/>
      <c r="H508" s="1302"/>
      <c r="I508" s="1302"/>
      <c r="J508" s="1302"/>
      <c r="K508" s="1302"/>
      <c r="L508" s="1302"/>
      <c r="M508" s="1302"/>
      <c r="N508" s="1302"/>
      <c r="O508" s="1302"/>
      <c r="P508" s="1302"/>
      <c r="Q508" s="1302"/>
      <c r="R508" s="1302"/>
      <c r="S508" s="1302"/>
      <c r="T508" s="1302"/>
      <c r="U508" s="1302"/>
      <c r="V508" s="1302"/>
      <c r="W508" s="1302"/>
      <c r="X508" s="1302"/>
      <c r="Y508" s="1302"/>
      <c r="Z508" s="1302"/>
      <c r="AA508" s="1302"/>
      <c r="AB508" s="1302"/>
      <c r="AC508" s="1302"/>
      <c r="AD508" s="1302"/>
      <c r="AE508" s="1302"/>
      <c r="AF508" s="1302"/>
      <c r="AG508" s="1302"/>
      <c r="AH508" s="1302"/>
      <c r="AI508" s="1302"/>
      <c r="AJ508" s="1302"/>
      <c r="AK508" s="1302"/>
      <c r="AL508" s="1302"/>
      <c r="AM508" s="1302"/>
      <c r="AN508" s="1302"/>
      <c r="AO508" s="1302"/>
      <c r="AP508" s="1302"/>
      <c r="AQ508" s="1302"/>
      <c r="AR508" s="1302"/>
      <c r="AS508" s="1302"/>
      <c r="AT508" s="1302"/>
      <c r="AU508" s="1302"/>
      <c r="AV508" s="1302"/>
      <c r="AW508" s="1302"/>
      <c r="AX508" s="1303"/>
      <c r="AY508" s="1302"/>
      <c r="AZ508" s="1302"/>
      <c r="BA508" s="1302"/>
      <c r="BB508" s="1302"/>
      <c r="BC508" s="1302"/>
      <c r="BD508" s="1302"/>
      <c r="BE508" s="1304"/>
      <c r="BF508" s="1302"/>
      <c r="BG508" s="1302"/>
      <c r="BH508" s="1302"/>
      <c r="BI508" s="1302"/>
      <c r="BJ508" s="1302"/>
      <c r="BK508" s="1302"/>
      <c r="BL508" s="1302"/>
      <c r="BM508" s="1302"/>
      <c r="BN508" s="1303"/>
      <c r="BO508" s="1302"/>
      <c r="BP508" s="1302"/>
      <c r="BQ508" s="1302"/>
      <c r="BR508" s="1302"/>
      <c r="BS508" s="1302"/>
      <c r="BT508" s="1302"/>
      <c r="BU508" s="1304"/>
      <c r="BV508" s="1303">
        <v>0.0669456066945607</v>
      </c>
      <c r="BW508" s="1302">
        <v>0</v>
      </c>
      <c r="BX508" s="1302">
        <f>BX506/BX$570</f>
        <v>0.0385409497591191</v>
      </c>
      <c r="BY508" s="1302">
        <v>0</v>
      </c>
      <c r="BZ508" s="1302">
        <f>BZ506/BZ$570</f>
        <v>0.0230452674897119</v>
      </c>
      <c r="CA508" s="1302">
        <v>0</v>
      </c>
      <c r="CB508" s="1302">
        <f>CB506/CB$570</f>
        <v>0.0365535248041775</v>
      </c>
      <c r="CC508" s="1304">
        <f>CC506/CC$570</f>
        <v>0.0185032215430365</v>
      </c>
      <c r="CD508" s="1303">
        <v>0.0669456066945607</v>
      </c>
      <c r="CE508" s="1302">
        <v>0</v>
      </c>
      <c r="CF508" s="1302">
        <f>CF506/CF$570</f>
        <v>0.0351207275007839</v>
      </c>
      <c r="CG508" s="1302">
        <v>0</v>
      </c>
      <c r="CH508" s="1302">
        <f>CH506/CH$570</f>
        <v>0.021904948171328</v>
      </c>
      <c r="CI508" s="1302">
        <v>0</v>
      </c>
      <c r="CJ508" s="1302">
        <f>CJ506/CJ$570</f>
        <v>0.032510885341074</v>
      </c>
      <c r="CK508" s="1304">
        <f>CK506/CK$570</f>
        <v>0.0168827253542358</v>
      </c>
      <c r="CL508" s="1303">
        <v>0</v>
      </c>
      <c r="CM508" s="1302">
        <f t="shared" ref="CM508:CS508" si="4121">CM506/CM$570</f>
        <v>0</v>
      </c>
      <c r="CN508" s="1302">
        <f t="shared" si="4121"/>
        <v>0</v>
      </c>
      <c r="CO508" s="1302">
        <f t="shared" si="4121"/>
        <v>0</v>
      </c>
      <c r="CP508" s="1302">
        <f t="shared" si="4121"/>
        <v>0</v>
      </c>
      <c r="CQ508" s="1302">
        <f t="shared" si="4121"/>
        <v>0</v>
      </c>
      <c r="CR508" s="1302">
        <f t="shared" si="4121"/>
        <v>0</v>
      </c>
      <c r="CS508" s="1304">
        <f t="shared" si="4121"/>
        <v>0</v>
      </c>
      <c r="CT508" s="1303"/>
      <c r="CU508" s="1302"/>
      <c r="CV508" s="1302"/>
      <c r="CW508" s="1302"/>
      <c r="CX508" s="1302"/>
      <c r="CY508" s="1302"/>
      <c r="CZ508" s="1302"/>
      <c r="DA508" s="1304"/>
      <c r="DB508" s="1109"/>
      <c r="DC508" s="1082"/>
      <c r="DD508" s="1082"/>
      <c r="DE508" s="1082"/>
      <c r="DF508" s="1082"/>
      <c r="DG508" s="1082"/>
      <c r="DH508" s="1082"/>
      <c r="DI508" s="1085"/>
      <c r="DJ508" s="1082"/>
      <c r="DK508" s="1082"/>
      <c r="DL508" s="1082"/>
      <c r="DM508" s="1082"/>
      <c r="DN508" s="1082"/>
      <c r="DO508" s="1082"/>
      <c r="DP508" s="1082"/>
      <c r="DQ508" s="1085"/>
      <c r="DR508" s="1082"/>
      <c r="DS508" s="1082"/>
      <c r="DT508" s="1082"/>
      <c r="DU508" s="1082"/>
      <c r="DV508" s="1082"/>
      <c r="DW508" s="1082"/>
      <c r="DX508" s="1082"/>
      <c r="DY508" s="1085"/>
      <c r="DZ508" s="1082"/>
      <c r="EA508" s="1082"/>
      <c r="EB508" s="1082"/>
      <c r="EC508" s="1082"/>
      <c r="ED508" s="1082"/>
      <c r="EE508" s="1082"/>
      <c r="EF508" s="1082"/>
      <c r="EG508" s="1085"/>
      <c r="EH508" s="1082"/>
      <c r="EI508" s="1082"/>
      <c r="EJ508" s="1082"/>
      <c r="EK508" s="1082"/>
      <c r="EL508" s="1082"/>
      <c r="EM508" s="1082"/>
      <c r="EN508" s="1082"/>
      <c r="EO508" s="1085"/>
      <c r="EP508" s="1082"/>
      <c r="EQ508" s="1082"/>
      <c r="ER508" s="1082"/>
      <c r="ES508" s="1082"/>
      <c r="ET508" s="1082"/>
      <c r="EU508" s="1082"/>
      <c r="EV508" s="1082"/>
      <c r="IX508" s="1049"/>
      <c r="IY508" s="1049"/>
      <c r="IZ508" s="1049"/>
      <c r="JA508" s="1049"/>
      <c r="JB508" s="1049"/>
      <c r="JC508" s="1049"/>
      <c r="JD508" s="1469"/>
      <c r="JE508" s="1037"/>
      <c r="JF508" s="1037"/>
      <c r="JG508" s="1037"/>
      <c r="JH508" s="1037"/>
      <c r="JI508" s="1035"/>
      <c r="JJ508" s="1035"/>
      <c r="JK508" s="1035"/>
      <c r="JL508" s="1035"/>
      <c r="JM508" s="1035"/>
      <c r="JN508" s="1035"/>
      <c r="JO508" s="1035"/>
      <c r="JP508" s="1035"/>
      <c r="JQ508" s="1035"/>
      <c r="JR508" s="1035"/>
      <c r="JS508" s="1035"/>
      <c r="JT508" s="1035"/>
      <c r="JU508" s="1035"/>
      <c r="JV508" s="1035"/>
      <c r="JW508" s="1035"/>
      <c r="JX508" s="1035"/>
      <c r="JY508" s="1035"/>
    </row>
    <row r="509" spans="1:285">
      <c r="A509" s="1306" t="s">
        <v>620</v>
      </c>
      <c r="B509" s="1307">
        <v>193.2714</v>
      </c>
      <c r="C509" s="1307">
        <v>155.4352</v>
      </c>
      <c r="D509" s="1307">
        <f>B509+C509</f>
        <v>348.7066</v>
      </c>
      <c r="E509" s="1307">
        <v>249.0031</v>
      </c>
      <c r="F509" s="1307">
        <f>D509+E509</f>
        <v>597.7097</v>
      </c>
      <c r="G509" s="1307">
        <v>183.5567</v>
      </c>
      <c r="H509" s="1307">
        <f>B509+G509</f>
        <v>376.8281</v>
      </c>
      <c r="I509" s="1307">
        <f>F509+G509</f>
        <v>781.2664</v>
      </c>
      <c r="J509" s="1307">
        <v>284.7941</v>
      </c>
      <c r="K509" s="1307">
        <v>238.2658</v>
      </c>
      <c r="L509" s="1307">
        <f>J509+K509</f>
        <v>523.0599</v>
      </c>
      <c r="M509" s="1307">
        <v>362.25605</v>
      </c>
      <c r="N509" s="1307">
        <f>L509+M509</f>
        <v>885.31595</v>
      </c>
      <c r="O509" s="1307">
        <v>297.83225</v>
      </c>
      <c r="P509" s="1307">
        <f>J509+O509</f>
        <v>582.62635</v>
      </c>
      <c r="Q509" s="1307">
        <f>N509+O509</f>
        <v>1183.1482</v>
      </c>
      <c r="R509" s="1307">
        <v>445.3423</v>
      </c>
      <c r="S509" s="1307">
        <v>364.5569</v>
      </c>
      <c r="T509" s="1307">
        <f>R509+S509</f>
        <v>809.8992</v>
      </c>
      <c r="U509" s="1307">
        <v>597.7097</v>
      </c>
      <c r="V509" s="1307">
        <f>T509+U509</f>
        <v>1407.6089</v>
      </c>
      <c r="W509" s="1307">
        <v>426.16855</v>
      </c>
      <c r="X509" s="1307">
        <f>R509+W509</f>
        <v>871.51085</v>
      </c>
      <c r="Y509" s="1307">
        <f>V509+W509</f>
        <v>1833.77745</v>
      </c>
      <c r="Z509" s="1307">
        <v>594.6419</v>
      </c>
      <c r="AA509" s="1307">
        <v>472.9525</v>
      </c>
      <c r="AB509" s="1307">
        <f>Z509+AA509</f>
        <v>1067.5944</v>
      </c>
      <c r="AC509" s="1307">
        <v>683.0968</v>
      </c>
      <c r="AD509" s="1307">
        <f>AB509+AC509</f>
        <v>1750.6912</v>
      </c>
      <c r="AE509" s="1307">
        <v>432.5598</v>
      </c>
      <c r="AF509" s="1307">
        <f>Z509+AE509</f>
        <v>1027.2017</v>
      </c>
      <c r="AG509" s="1307">
        <f>AD509+AE509</f>
        <v>2183.251</v>
      </c>
      <c r="AH509" s="1307">
        <v>80</v>
      </c>
      <c r="AI509" s="1307">
        <v>41</v>
      </c>
      <c r="AJ509" s="1307">
        <f>AH509+AI509</f>
        <v>121</v>
      </c>
      <c r="AK509" s="1307">
        <v>157</v>
      </c>
      <c r="AL509" s="1307">
        <f>AJ509+AK509</f>
        <v>278</v>
      </c>
      <c r="AM509" s="1307">
        <v>265</v>
      </c>
      <c r="AN509" s="1307">
        <f>AH509+AM509</f>
        <v>345</v>
      </c>
      <c r="AO509" s="1307">
        <f>AL509+AM509</f>
        <v>543</v>
      </c>
      <c r="AP509" s="1307">
        <v>98</v>
      </c>
      <c r="AQ509" s="1307">
        <v>56</v>
      </c>
      <c r="AR509" s="1307">
        <f>AP509+AQ509</f>
        <v>154</v>
      </c>
      <c r="AS509" s="1307">
        <v>179</v>
      </c>
      <c r="AT509" s="1307">
        <f>AR509+AS509</f>
        <v>333</v>
      </c>
      <c r="AU509" s="1307">
        <v>315</v>
      </c>
      <c r="AV509" s="1307">
        <f>AP509+AU509</f>
        <v>413</v>
      </c>
      <c r="AW509" s="1307">
        <f>AT509+AU509</f>
        <v>648</v>
      </c>
      <c r="AX509" s="1308">
        <v>105</v>
      </c>
      <c r="AY509" s="1307">
        <v>58</v>
      </c>
      <c r="AZ509" s="1307">
        <f>AX509+AY509</f>
        <v>163</v>
      </c>
      <c r="BA509" s="1307">
        <v>221</v>
      </c>
      <c r="BB509" s="1307">
        <f>AY509+BA509</f>
        <v>279</v>
      </c>
      <c r="BC509" s="1307">
        <v>272</v>
      </c>
      <c r="BD509" s="1307">
        <f>AX509+BC509</f>
        <v>377</v>
      </c>
      <c r="BE509" s="1309">
        <f>BB509+BC509</f>
        <v>551</v>
      </c>
      <c r="BF509" s="1307">
        <v>123</v>
      </c>
      <c r="BG509" s="1307">
        <v>71</v>
      </c>
      <c r="BH509" s="1307">
        <f>BF509+BG509</f>
        <v>194</v>
      </c>
      <c r="BI509" s="1307">
        <v>230</v>
      </c>
      <c r="BJ509" s="1307">
        <f>BH509+BI509</f>
        <v>424</v>
      </c>
      <c r="BK509" s="1307">
        <v>260</v>
      </c>
      <c r="BL509" s="1307">
        <f>BF509+BK509</f>
        <v>383</v>
      </c>
      <c r="BM509" s="1307">
        <f>BJ509+BK509</f>
        <v>684</v>
      </c>
      <c r="BN509" s="1308">
        <v>124</v>
      </c>
      <c r="BO509" s="1307">
        <v>67</v>
      </c>
      <c r="BP509" s="1307">
        <f>BN509+BO509</f>
        <v>191</v>
      </c>
      <c r="BQ509" s="1307">
        <v>199</v>
      </c>
      <c r="BR509" s="1307">
        <f>BP509+BQ509</f>
        <v>390</v>
      </c>
      <c r="BS509" s="1307">
        <v>268</v>
      </c>
      <c r="BT509" s="1307">
        <f>BN509+BS509</f>
        <v>392</v>
      </c>
      <c r="BU509" s="1309">
        <f>BR509+BS509</f>
        <v>658</v>
      </c>
      <c r="BV509" s="1308">
        <v>112</v>
      </c>
      <c r="BW509" s="1307">
        <v>0</v>
      </c>
      <c r="BX509" s="1307">
        <f>BV509+BW509</f>
        <v>112</v>
      </c>
      <c r="BY509" s="1307">
        <v>0</v>
      </c>
      <c r="BZ509" s="1307">
        <f>BX509+BY509</f>
        <v>112</v>
      </c>
      <c r="CA509" s="1307">
        <v>0</v>
      </c>
      <c r="CB509" s="1307">
        <f>BV509+CA509</f>
        <v>112</v>
      </c>
      <c r="CC509" s="1309">
        <f>BZ509+CA509</f>
        <v>112</v>
      </c>
      <c r="CD509" s="1308">
        <v>112</v>
      </c>
      <c r="CE509" s="1307">
        <v>0</v>
      </c>
      <c r="CF509" s="1307">
        <f>CD509+CE509</f>
        <v>112</v>
      </c>
      <c r="CG509" s="1307">
        <v>0</v>
      </c>
      <c r="CH509" s="1307">
        <f>CF509+CG509</f>
        <v>112</v>
      </c>
      <c r="CI509" s="1307">
        <v>0</v>
      </c>
      <c r="CJ509" s="1307">
        <f>CD509+CI509</f>
        <v>112</v>
      </c>
      <c r="CK509" s="1309">
        <f>CH509+CI509</f>
        <v>112</v>
      </c>
      <c r="CL509" s="1308">
        <v>0</v>
      </c>
      <c r="CM509" s="1307">
        <v>0</v>
      </c>
      <c r="CN509" s="1307">
        <f>CL509+CM509</f>
        <v>0</v>
      </c>
      <c r="CO509" s="1307">
        <f>CP509-CN509</f>
        <v>0</v>
      </c>
      <c r="CP509" s="1307">
        <v>0</v>
      </c>
      <c r="CQ509" s="1307">
        <v>0</v>
      </c>
      <c r="CR509" s="1307">
        <f>CI509+CQ509</f>
        <v>0</v>
      </c>
      <c r="CS509" s="1309">
        <f>CM509+CQ509</f>
        <v>0</v>
      </c>
      <c r="CT509" s="1308"/>
      <c r="CU509" s="1307"/>
      <c r="CV509" s="1307"/>
      <c r="CW509" s="1307"/>
      <c r="CX509" s="1307"/>
      <c r="CY509" s="1307"/>
      <c r="CZ509" s="1307"/>
      <c r="DA509" s="1309"/>
      <c r="DB509" s="1332"/>
      <c r="DC509" s="1311"/>
      <c r="DD509" s="1311"/>
      <c r="DE509" s="1311"/>
      <c r="DF509" s="1311"/>
      <c r="DG509" s="1311"/>
      <c r="DH509" s="1311"/>
      <c r="DI509" s="1312"/>
      <c r="DJ509" s="1311"/>
      <c r="DK509" s="1311"/>
      <c r="DL509" s="1311"/>
      <c r="DM509" s="1311"/>
      <c r="DN509" s="1311"/>
      <c r="DO509" s="1311"/>
      <c r="DP509" s="1311"/>
      <c r="DQ509" s="1312"/>
      <c r="DR509" s="1311"/>
      <c r="DS509" s="1311"/>
      <c r="DT509" s="1311"/>
      <c r="DU509" s="1311"/>
      <c r="DV509" s="1311"/>
      <c r="DW509" s="1311"/>
      <c r="DX509" s="1311"/>
      <c r="DY509" s="1312"/>
      <c r="DZ509" s="1311"/>
      <c r="EA509" s="1311"/>
      <c r="EB509" s="1311"/>
      <c r="EC509" s="1311"/>
      <c r="ED509" s="1311"/>
      <c r="EE509" s="1311"/>
      <c r="EF509" s="1311"/>
      <c r="EG509" s="1312"/>
      <c r="EH509" s="1311"/>
      <c r="EI509" s="1311"/>
      <c r="EJ509" s="1311"/>
      <c r="EK509" s="1311"/>
      <c r="EL509" s="1311"/>
      <c r="EM509" s="1311"/>
      <c r="EN509" s="1311"/>
      <c r="EO509" s="1312"/>
      <c r="EP509" s="1311"/>
      <c r="EQ509" s="1311"/>
      <c r="ER509" s="1311"/>
      <c r="ES509" s="1311"/>
      <c r="ET509" s="1311"/>
      <c r="EU509" s="1311"/>
      <c r="EV509" s="1311"/>
      <c r="IX509" s="1049"/>
      <c r="IY509" s="1049"/>
      <c r="IZ509" s="1049"/>
      <c r="JA509" s="1049"/>
      <c r="JB509" s="1049"/>
      <c r="JC509" s="1049"/>
      <c r="JD509" s="1469"/>
      <c r="JE509" s="1037"/>
      <c r="JF509" s="1037"/>
      <c r="JG509" s="1037"/>
      <c r="JH509" s="1037"/>
      <c r="JI509" s="1035"/>
      <c r="JJ509" s="1035"/>
      <c r="JK509" s="1035"/>
      <c r="JL509" s="1035"/>
      <c r="JM509" s="1035"/>
      <c r="JN509" s="1035"/>
      <c r="JO509" s="1035"/>
      <c r="JP509" s="1035"/>
      <c r="JQ509" s="1035"/>
      <c r="JR509" s="1035"/>
      <c r="JS509" s="1035"/>
      <c r="JT509" s="1035"/>
      <c r="JU509" s="1035"/>
      <c r="JV509" s="1035"/>
      <c r="JW509" s="1035"/>
      <c r="JX509" s="1035"/>
      <c r="JY509" s="1035"/>
    </row>
    <row r="510" spans="1:285">
      <c r="A510" s="1035" t="s">
        <v>142</v>
      </c>
      <c r="B510" s="1302" t="s">
        <v>173</v>
      </c>
      <c r="C510" s="1302" t="s">
        <v>173</v>
      </c>
      <c r="D510" s="1302" t="s">
        <v>173</v>
      </c>
      <c r="E510" s="1302" t="s">
        <v>173</v>
      </c>
      <c r="F510" s="1302" t="s">
        <v>173</v>
      </c>
      <c r="G510" s="1302" t="s">
        <v>173</v>
      </c>
      <c r="H510" s="1302" t="e">
        <f>H509/#REF!-1</f>
        <v>#REF!</v>
      </c>
      <c r="I510" s="1302" t="s">
        <v>173</v>
      </c>
      <c r="J510" s="1302">
        <v>0.473544973544974</v>
      </c>
      <c r="K510" s="1302">
        <v>0.532894736842105</v>
      </c>
      <c r="L510" s="1302">
        <f>L509/D509-1</f>
        <v>0.5</v>
      </c>
      <c r="M510" s="1302">
        <v>0.45482546201232</v>
      </c>
      <c r="N510" s="1302">
        <f>N509/F509-1</f>
        <v>0.481180496150556</v>
      </c>
      <c r="O510" s="1302">
        <v>0.622562674094708</v>
      </c>
      <c r="P510" s="1302">
        <f>P509/H509-1</f>
        <v>0.546132971506106</v>
      </c>
      <c r="Q510" s="1302">
        <f>Q509/I509-1</f>
        <v>0.514397905759162</v>
      </c>
      <c r="R510" s="1302">
        <v>0.563734290843806</v>
      </c>
      <c r="S510" s="1302">
        <v>0.530042918454936</v>
      </c>
      <c r="T510" s="1302">
        <f>T509/L509-1</f>
        <v>0.548387096774194</v>
      </c>
      <c r="U510" s="1302">
        <v>0.649964714184898</v>
      </c>
      <c r="V510" s="1302">
        <f>V509/N509-1</f>
        <v>0.58995090961594</v>
      </c>
      <c r="W510" s="1302">
        <v>0.430901287553648</v>
      </c>
      <c r="X510" s="1302">
        <f>X509/P509-1</f>
        <v>0.495831505046073</v>
      </c>
      <c r="Y510" s="1302">
        <f>Y509/Q509-1</f>
        <v>0.549913569576491</v>
      </c>
      <c r="Z510" s="1302">
        <v>0.335246842709529</v>
      </c>
      <c r="AA510" s="1302">
        <v>0.297335203366059</v>
      </c>
      <c r="AB510" s="1302">
        <f>AB509/T509-1</f>
        <v>0.318181818181818</v>
      </c>
      <c r="AC510" s="1302">
        <v>0.142857142857143</v>
      </c>
      <c r="AD510" s="1302">
        <f>AD509/V509-1</f>
        <v>0.24373410824555</v>
      </c>
      <c r="AE510" s="1302">
        <v>0.0149970005998801</v>
      </c>
      <c r="AF510" s="1302">
        <f>AF509/X509-1</f>
        <v>0.17864476386037</v>
      </c>
      <c r="AG510" s="1302">
        <f>AG509/Y509-1</f>
        <v>0.190575770249547</v>
      </c>
      <c r="AH510" s="1302">
        <v>-0.865465248917037</v>
      </c>
      <c r="AI510" s="1302">
        <v>-0.913310533298799</v>
      </c>
      <c r="AJ510" s="1302">
        <f>AJ509/AB509-1</f>
        <v>-0.886661076528689</v>
      </c>
      <c r="AK510" s="1302">
        <v>-0.77016434566814</v>
      </c>
      <c r="AL510" s="1302">
        <f>AL509/AD509-1</f>
        <v>-0.841205576403194</v>
      </c>
      <c r="AM510" s="1302">
        <v>-0.387367943114455</v>
      </c>
      <c r="AN510" s="1302">
        <f>AN509/AF509-1</f>
        <v>-0.664136069868264</v>
      </c>
      <c r="AO510" s="1302">
        <f>AO509/AG509-1</f>
        <v>-0.751288331025613</v>
      </c>
      <c r="AP510" s="1302">
        <v>0.225</v>
      </c>
      <c r="AQ510" s="1302">
        <v>0.365853658536585</v>
      </c>
      <c r="AR510" s="1302">
        <f>AR509/AJ509-1</f>
        <v>0.272727272727273</v>
      </c>
      <c r="AS510" s="1302">
        <v>0.140127388535032</v>
      </c>
      <c r="AT510" s="1302">
        <f>AT509/AL509-1</f>
        <v>0.197841726618705</v>
      </c>
      <c r="AU510" s="1302">
        <v>0.188679245283019</v>
      </c>
      <c r="AV510" s="1302">
        <f>AV509/AN509-1</f>
        <v>0.197101449275362</v>
      </c>
      <c r="AW510" s="1302">
        <f>AW509/AO509-1</f>
        <v>0.193370165745856</v>
      </c>
      <c r="AX510" s="1303">
        <v>0.0714285714285714</v>
      </c>
      <c r="AY510" s="1302">
        <v>0.0357142857142858</v>
      </c>
      <c r="AZ510" s="1302">
        <f>AZ509/AR509-1</f>
        <v>0.0584415584415585</v>
      </c>
      <c r="BA510" s="1302">
        <v>0.23463687150838</v>
      </c>
      <c r="BB510" s="1302">
        <f>BB509/AT509-1</f>
        <v>-0.162162162162162</v>
      </c>
      <c r="BC510" s="1302">
        <v>-0.136507936507936</v>
      </c>
      <c r="BD510" s="1302">
        <f>BD509/AV509-1</f>
        <v>-0.0871670702179177</v>
      </c>
      <c r="BE510" s="1304">
        <f>BE509/AW509-1</f>
        <v>-0.149691358024691</v>
      </c>
      <c r="BF510" s="1302">
        <v>0.171428571428571</v>
      </c>
      <c r="BG510" s="1302">
        <v>0.224137931034483</v>
      </c>
      <c r="BH510" s="1302">
        <f>BH509/AZ509-1</f>
        <v>0.190184049079755</v>
      </c>
      <c r="BI510" s="1302">
        <v>0.0407239819004526</v>
      </c>
      <c r="BJ510" s="1302">
        <f>BJ509/BB509-1</f>
        <v>0.519713261648745</v>
      </c>
      <c r="BK510" s="1302">
        <v>-0.0441176470588235</v>
      </c>
      <c r="BL510" s="1302">
        <f>BL509/BD509-1</f>
        <v>0.0159151193633953</v>
      </c>
      <c r="BM510" s="1302">
        <f>BM509/BE509-1</f>
        <v>0.241379310344828</v>
      </c>
      <c r="BN510" s="1303">
        <v>0.00813008130081294</v>
      </c>
      <c r="BO510" s="1302">
        <v>-0.0563380281690141</v>
      </c>
      <c r="BP510" s="1302">
        <f>BP509/BH509-1</f>
        <v>-0.0154639175257731</v>
      </c>
      <c r="BQ510" s="1302">
        <v>-0.134782608695652</v>
      </c>
      <c r="BR510" s="1302">
        <f>BR509/BJ509-1</f>
        <v>-0.0801886792452831</v>
      </c>
      <c r="BS510" s="1302">
        <v>0.0307692307692307</v>
      </c>
      <c r="BT510" s="1302">
        <f>BT509/BL509-1</f>
        <v>0.0234986945169713</v>
      </c>
      <c r="BU510" s="1304">
        <f>BU509/BM509-1</f>
        <v>-0.0380116959064327</v>
      </c>
      <c r="BV510" s="1303">
        <v>-0.0819672131147541</v>
      </c>
      <c r="BW510" s="1302">
        <v>-1</v>
      </c>
      <c r="BX510" s="1302">
        <f>BX509/BP509-1</f>
        <v>-0.413612565445026</v>
      </c>
      <c r="BY510" s="1302">
        <v>-1</v>
      </c>
      <c r="BZ510" s="1302">
        <f>BZ509/BR509-1</f>
        <v>-0.712820512820513</v>
      </c>
      <c r="CA510" s="1302">
        <v>-1</v>
      </c>
      <c r="CB510" s="1302">
        <f>CB509/BT509-1</f>
        <v>-0.714285714285714</v>
      </c>
      <c r="CC510" s="1304">
        <f>CC509/BU509-1</f>
        <v>-0.829787234042553</v>
      </c>
      <c r="CD510" s="1303">
        <v>-0.0819672131147541</v>
      </c>
      <c r="CE510" s="1302">
        <v>-1</v>
      </c>
      <c r="CF510" s="1302">
        <f>CF509/BX509-1</f>
        <v>0</v>
      </c>
      <c r="CG510" s="1302">
        <v>-1</v>
      </c>
      <c r="CH510" s="1302">
        <f>CH509/BZ509-1</f>
        <v>0</v>
      </c>
      <c r="CI510" s="1302">
        <v>-1</v>
      </c>
      <c r="CJ510" s="1302">
        <f>CJ509/CB509-1</f>
        <v>0</v>
      </c>
      <c r="CK510" s="1304">
        <f>CK509/CC509-1</f>
        <v>0</v>
      </c>
      <c r="CL510" s="1303">
        <v>-1</v>
      </c>
      <c r="CM510" s="1302" t="e">
        <f>CM509/CE509-1</f>
        <v>#DIV/0!</v>
      </c>
      <c r="CN510" s="1302">
        <f>CN509/CF509-1</f>
        <v>-1</v>
      </c>
      <c r="CO510" s="1302" t="e">
        <f>CO509/CG509-1</f>
        <v>#DIV/0!</v>
      </c>
      <c r="CP510" s="1302">
        <f>CP509/CH509-1</f>
        <v>-1</v>
      </c>
      <c r="CQ510" s="1302">
        <f>CQ509/CF509-1</f>
        <v>-1</v>
      </c>
      <c r="CR510" s="1302" t="e">
        <f>CR509/CG509-1</f>
        <v>#DIV/0!</v>
      </c>
      <c r="CS510" s="1304">
        <f>CS509/CH509-1</f>
        <v>-1</v>
      </c>
      <c r="CT510" s="1303"/>
      <c r="CU510" s="1302"/>
      <c r="CV510" s="1302"/>
      <c r="CW510" s="1302"/>
      <c r="CX510" s="1302"/>
      <c r="CY510" s="1302"/>
      <c r="CZ510" s="1302"/>
      <c r="DA510" s="1304"/>
      <c r="DB510" s="1109"/>
      <c r="DC510" s="1082"/>
      <c r="DD510" s="1082"/>
      <c r="DE510" s="1082"/>
      <c r="DF510" s="1082"/>
      <c r="DG510" s="1082"/>
      <c r="DH510" s="1082"/>
      <c r="DI510" s="1085"/>
      <c r="DJ510" s="1082"/>
      <c r="DK510" s="1082"/>
      <c r="DL510" s="1082"/>
      <c r="DM510" s="1082"/>
      <c r="DN510" s="1082"/>
      <c r="DO510" s="1082"/>
      <c r="DP510" s="1082"/>
      <c r="DQ510" s="1085"/>
      <c r="DR510" s="1082"/>
      <c r="DS510" s="1082"/>
      <c r="DT510" s="1082"/>
      <c r="DU510" s="1082"/>
      <c r="DV510" s="1082"/>
      <c r="DW510" s="1082"/>
      <c r="DX510" s="1082"/>
      <c r="DY510" s="1085"/>
      <c r="DZ510" s="1082"/>
      <c r="EA510" s="1082"/>
      <c r="EB510" s="1082"/>
      <c r="EC510" s="1082"/>
      <c r="ED510" s="1082"/>
      <c r="EE510" s="1082"/>
      <c r="EF510" s="1082"/>
      <c r="EG510" s="1085"/>
      <c r="EH510" s="1082"/>
      <c r="EI510" s="1082"/>
      <c r="EJ510" s="1082"/>
      <c r="EK510" s="1082"/>
      <c r="EL510" s="1082"/>
      <c r="EM510" s="1082"/>
      <c r="EN510" s="1082"/>
      <c r="EO510" s="1085"/>
      <c r="EP510" s="1082"/>
      <c r="EQ510" s="1082"/>
      <c r="ER510" s="1082"/>
      <c r="ES510" s="1082"/>
      <c r="ET510" s="1082"/>
      <c r="EU510" s="1082"/>
      <c r="EV510" s="1082"/>
      <c r="IX510" s="1049"/>
      <c r="IY510" s="1049"/>
      <c r="IZ510" s="1049"/>
      <c r="JA510" s="1049"/>
      <c r="JB510" s="1049"/>
      <c r="JC510" s="1049"/>
      <c r="JD510" s="1112"/>
      <c r="JE510" s="1037"/>
      <c r="JF510" s="1037"/>
      <c r="JG510" s="1037"/>
      <c r="JH510" s="1037"/>
      <c r="JI510" s="1035"/>
      <c r="JJ510" s="1035"/>
      <c r="JK510" s="1035"/>
      <c r="JL510" s="1035"/>
      <c r="JM510" s="1035"/>
      <c r="JN510" s="1035"/>
      <c r="JO510" s="1035"/>
      <c r="JP510" s="1035"/>
      <c r="JQ510" s="1035"/>
      <c r="JR510" s="1035"/>
      <c r="JS510" s="1035"/>
      <c r="JT510" s="1035"/>
      <c r="JU510" s="1035"/>
      <c r="JV510" s="1035"/>
      <c r="JW510" s="1035"/>
      <c r="JX510" s="1035"/>
      <c r="JY510" s="1035"/>
    </row>
    <row r="511" spans="1:285">
      <c r="A511" s="1035" t="s">
        <v>621</v>
      </c>
      <c r="B511" s="1302">
        <v>0.37875751503006</v>
      </c>
      <c r="C511" s="1302">
        <v>0.405874499332443</v>
      </c>
      <c r="D511" s="1302">
        <f>D509/D$570</f>
        <v>0.390383514596451</v>
      </c>
      <c r="E511" s="1302">
        <v>0.445155393053016</v>
      </c>
      <c r="F511" s="1302">
        <f>F509/F$570</f>
        <v>0.41147483280535</v>
      </c>
      <c r="G511" s="1302">
        <v>0.544599514563107</v>
      </c>
      <c r="H511" s="1302">
        <f>H509/H$570</f>
        <v>0.448242306288773</v>
      </c>
      <c r="I511" s="1302">
        <f>I509/I$570</f>
        <v>0.436546483058111</v>
      </c>
      <c r="J511" s="1302">
        <v>0.465329991645781</v>
      </c>
      <c r="K511" s="1302">
        <v>0.445933014354067</v>
      </c>
      <c r="L511" s="1302">
        <f>L509/L$570</f>
        <v>0.45628902765388</v>
      </c>
      <c r="M511" s="1302">
        <v>0.481317934782609</v>
      </c>
      <c r="N511" s="1302">
        <f>N509/N$570</f>
        <v>0.466208939149165</v>
      </c>
      <c r="O511" s="1302">
        <v>0.584839357429719</v>
      </c>
      <c r="P511" s="1302">
        <f>P509/P$570</f>
        <v>0.491905892510252</v>
      </c>
      <c r="Q511" s="1302">
        <f>Q509/Q$570</f>
        <v>0.491295116772824</v>
      </c>
      <c r="R511" s="1302">
        <v>0.508464681844717</v>
      </c>
      <c r="S511" s="1302">
        <v>0.499649614576034</v>
      </c>
      <c r="T511" s="1302">
        <f>T509/T$570</f>
        <v>0.504458598726115</v>
      </c>
      <c r="U511" s="1302">
        <v>0.545242537313433</v>
      </c>
      <c r="V511" s="1302">
        <f>V509/V$570</f>
        <v>0.521006813020439</v>
      </c>
      <c r="W511" s="1302">
        <v>0.589462517680339</v>
      </c>
      <c r="X511" s="1302">
        <f>X509/X$570</f>
        <v>0.522852760736196</v>
      </c>
      <c r="Y511" s="1302">
        <f>Y509/Y$570</f>
        <v>0.535458345774858</v>
      </c>
      <c r="Z511" s="1302">
        <v>0.380065359477124</v>
      </c>
      <c r="AA511" s="1302">
        <v>0.372233400402415</v>
      </c>
      <c r="AB511" s="1302">
        <f>AB509/AB$570</f>
        <v>0.376555455365194</v>
      </c>
      <c r="AC511" s="1302">
        <v>0.399402092675635</v>
      </c>
      <c r="AD511" s="1302">
        <f>AD509/AD$570</f>
        <v>0.385151856017998</v>
      </c>
      <c r="AE511" s="1302">
        <v>0.340511169249346</v>
      </c>
      <c r="AF511" s="1302">
        <f>AF509/AF$570</f>
        <v>0.355166622469725</v>
      </c>
      <c r="AG511" s="1302">
        <f>AG509/AG$570</f>
        <v>0.375401116532595</v>
      </c>
      <c r="AH511" s="1302">
        <v>0.0575953923686105</v>
      </c>
      <c r="AI511" s="1302">
        <v>0.0343268586738111</v>
      </c>
      <c r="AJ511" s="1302">
        <f>AJ509/AJ$570</f>
        <v>0.046837500967717</v>
      </c>
      <c r="AK511" s="1302">
        <v>0.0996825396825397</v>
      </c>
      <c r="AL511" s="1302">
        <f>AL509/AL$570</f>
        <v>0.0668526356290881</v>
      </c>
      <c r="AM511" s="1302">
        <v>0.221386800334169</v>
      </c>
      <c r="AN511" s="1302">
        <f>AN509/AN$570</f>
        <v>0.128014842300557</v>
      </c>
      <c r="AO511" s="1302">
        <f>AO509/AO$570</f>
        <v>0.101392986518281</v>
      </c>
      <c r="AP511" s="1302">
        <v>0.0646011865524061</v>
      </c>
      <c r="AQ511" s="1302">
        <v>0.0448717948717949</v>
      </c>
      <c r="AR511" s="1302">
        <f>AR509/AR$570</f>
        <v>0.0556962025316456</v>
      </c>
      <c r="AS511" s="1302">
        <v>0.106738223017293</v>
      </c>
      <c r="AT511" s="1302">
        <f>AT509/AT$570</f>
        <v>0.074966231427285</v>
      </c>
      <c r="AU511" s="1302">
        <v>0.226130653266332</v>
      </c>
      <c r="AV511" s="1302">
        <f>AV509/AV$570</f>
        <v>0.138173302107728</v>
      </c>
      <c r="AW511" s="1302">
        <f>AW509/AW$570</f>
        <v>0.111053984575835</v>
      </c>
      <c r="AX511" s="1303">
        <v>0.0673940949935815</v>
      </c>
      <c r="AY511" s="1302">
        <v>0.0423976608187134</v>
      </c>
      <c r="AZ511" s="1302">
        <f>AZ509/AZ$570</f>
        <v>0.0557074504442926</v>
      </c>
      <c r="BA511" s="1302">
        <v>0.123463687150838</v>
      </c>
      <c r="BB511" s="1302">
        <f>BB509/BB$570</f>
        <v>0.0883470550981634</v>
      </c>
      <c r="BC511" s="1302">
        <v>0.194982078853047</v>
      </c>
      <c r="BD511" s="1302">
        <f>BD509/BD$570</f>
        <v>0.122841316389703</v>
      </c>
      <c r="BE511" s="1304">
        <f>BE509/BE$570</f>
        <v>0.121019108280255</v>
      </c>
      <c r="BF511" s="1302">
        <v>0.0750915750915751</v>
      </c>
      <c r="BG511" s="1302">
        <v>0.0471134704711347</v>
      </c>
      <c r="BH511" s="1302">
        <f>BH509/BH$570</f>
        <v>0.0616852146263911</v>
      </c>
      <c r="BI511" s="1302">
        <v>0.123258306538049</v>
      </c>
      <c r="BJ511" s="1302">
        <f>BJ509/BJ$570</f>
        <v>0.0846138495310317</v>
      </c>
      <c r="BK511" s="1302">
        <v>0.172071475843812</v>
      </c>
      <c r="BL511" s="1302">
        <f>BL509/BL$570</f>
        <v>0.117125382262997</v>
      </c>
      <c r="BM511" s="1302">
        <f>BM509/BM$570</f>
        <v>0.104875804967801</v>
      </c>
      <c r="BN511" s="1303">
        <v>0.0742959856201318</v>
      </c>
      <c r="BO511" s="1302">
        <v>0.048132183908046</v>
      </c>
      <c r="BP511" s="1302">
        <f>BP509/BP$570</f>
        <v>0.0623979091800065</v>
      </c>
      <c r="BQ511" s="1302">
        <v>0.107393416082029</v>
      </c>
      <c r="BR511" s="1302">
        <f>BR509/BR$570</f>
        <v>0.0793650793650794</v>
      </c>
      <c r="BS511" s="1302">
        <v>0.197932053175775</v>
      </c>
      <c r="BT511" s="1302">
        <f>BT509/BT$570</f>
        <v>0.125159642401022</v>
      </c>
      <c r="BU511" s="1304">
        <f>BU509/BU$570</f>
        <v>0.104977664326739</v>
      </c>
      <c r="BV511" s="1303">
        <v>0.0669456066945607</v>
      </c>
      <c r="BW511" s="1302">
        <v>0</v>
      </c>
      <c r="BX511" s="1302">
        <f>BX509/BX$570</f>
        <v>0.0385409497591191</v>
      </c>
      <c r="BY511" s="1302">
        <v>0</v>
      </c>
      <c r="BZ511" s="1302">
        <f>BZ509/BZ$570</f>
        <v>0.0230452674897119</v>
      </c>
      <c r="CA511" s="1302">
        <v>0</v>
      </c>
      <c r="CB511" s="1302">
        <f>CB509/CB$570</f>
        <v>0.0365535248041775</v>
      </c>
      <c r="CC511" s="1304">
        <f>CC509/CC$570</f>
        <v>0.0185032215430365</v>
      </c>
      <c r="CD511" s="1303">
        <v>0.0669456066945607</v>
      </c>
      <c r="CE511" s="1302">
        <v>0</v>
      </c>
      <c r="CF511" s="1302">
        <f>CF509/CF$570</f>
        <v>0.0351207275007839</v>
      </c>
      <c r="CG511" s="1302">
        <v>0</v>
      </c>
      <c r="CH511" s="1302">
        <f>CH509/CH$570</f>
        <v>0.021904948171328</v>
      </c>
      <c r="CI511" s="1302">
        <v>0</v>
      </c>
      <c r="CJ511" s="1302">
        <f>CJ509/CJ$570</f>
        <v>0.032510885341074</v>
      </c>
      <c r="CK511" s="1304">
        <f>CK509/CK$570</f>
        <v>0.0168827253542358</v>
      </c>
      <c r="CL511" s="1303">
        <v>0</v>
      </c>
      <c r="CM511" s="1302">
        <f t="shared" ref="CM511:CS511" si="4122">CM509/CM$570</f>
        <v>0</v>
      </c>
      <c r="CN511" s="1302">
        <f t="shared" si="4122"/>
        <v>0</v>
      </c>
      <c r="CO511" s="1302">
        <f t="shared" si="4122"/>
        <v>0</v>
      </c>
      <c r="CP511" s="1302">
        <f t="shared" si="4122"/>
        <v>0</v>
      </c>
      <c r="CQ511" s="1302">
        <f t="shared" si="4122"/>
        <v>0</v>
      </c>
      <c r="CR511" s="1302">
        <f t="shared" si="4122"/>
        <v>0</v>
      </c>
      <c r="CS511" s="1304">
        <f t="shared" si="4122"/>
        <v>0</v>
      </c>
      <c r="CT511" s="1303"/>
      <c r="CU511" s="1302"/>
      <c r="CV511" s="1302"/>
      <c r="CW511" s="1302"/>
      <c r="CX511" s="1302"/>
      <c r="CY511" s="1302"/>
      <c r="CZ511" s="1302"/>
      <c r="DA511" s="1304"/>
      <c r="DB511" s="1109"/>
      <c r="DC511" s="1082"/>
      <c r="DD511" s="1082"/>
      <c r="DE511" s="1082"/>
      <c r="DF511" s="1082"/>
      <c r="DG511" s="1082"/>
      <c r="DH511" s="1082"/>
      <c r="DI511" s="1085"/>
      <c r="DJ511" s="1082"/>
      <c r="DK511" s="1082"/>
      <c r="DL511" s="1082"/>
      <c r="DM511" s="1082"/>
      <c r="DN511" s="1082"/>
      <c r="DO511" s="1082"/>
      <c r="DP511" s="1082"/>
      <c r="DQ511" s="1085"/>
      <c r="DR511" s="1082"/>
      <c r="DS511" s="1082"/>
      <c r="DT511" s="1082"/>
      <c r="DU511" s="1082"/>
      <c r="DV511" s="1082"/>
      <c r="DW511" s="1082"/>
      <c r="DX511" s="1082"/>
      <c r="DY511" s="1085"/>
      <c r="DZ511" s="1082"/>
      <c r="EA511" s="1082"/>
      <c r="EB511" s="1082"/>
      <c r="EC511" s="1082"/>
      <c r="ED511" s="1082"/>
      <c r="EE511" s="1082"/>
      <c r="EF511" s="1082"/>
      <c r="EG511" s="1085"/>
      <c r="EH511" s="1082"/>
      <c r="EI511" s="1082"/>
      <c r="EJ511" s="1082"/>
      <c r="EK511" s="1082"/>
      <c r="EL511" s="1082"/>
      <c r="EM511" s="1082"/>
      <c r="EN511" s="1082"/>
      <c r="EO511" s="1085"/>
      <c r="EP511" s="1082"/>
      <c r="EQ511" s="1082"/>
      <c r="ER511" s="1082"/>
      <c r="ES511" s="1082"/>
      <c r="ET511" s="1082"/>
      <c r="EU511" s="1082"/>
      <c r="EV511" s="1082"/>
      <c r="IX511" s="1049"/>
      <c r="IY511" s="1049"/>
      <c r="IZ511" s="1049"/>
      <c r="JA511" s="1049"/>
      <c r="JB511" s="1049"/>
      <c r="JC511" s="1049"/>
      <c r="JD511" s="1112"/>
      <c r="JE511" s="1037"/>
      <c r="JF511" s="1037"/>
      <c r="JG511" s="1037"/>
      <c r="JH511" s="1037"/>
      <c r="JI511" s="1035"/>
      <c r="JJ511" s="1035"/>
      <c r="JK511" s="1035"/>
      <c r="JL511" s="1035"/>
      <c r="JM511" s="1035"/>
      <c r="JN511" s="1035"/>
      <c r="JO511" s="1035"/>
      <c r="JP511" s="1035"/>
      <c r="JQ511" s="1035"/>
      <c r="JR511" s="1035"/>
      <c r="JS511" s="1035"/>
      <c r="JT511" s="1035"/>
      <c r="JU511" s="1035"/>
      <c r="JV511" s="1035"/>
      <c r="JW511" s="1035"/>
      <c r="JX511" s="1035"/>
      <c r="JY511" s="1035"/>
    </row>
    <row r="512" spans="1:285">
      <c r="B512" s="1470"/>
      <c r="C512" s="1470"/>
      <c r="D512" s="1470"/>
      <c r="E512" s="1470"/>
      <c r="F512" s="1470"/>
      <c r="G512" s="1470"/>
      <c r="H512" s="1470"/>
      <c r="I512" s="1470"/>
      <c r="J512" s="1470"/>
      <c r="K512" s="1470"/>
      <c r="L512" s="1470"/>
      <c r="M512" s="1470"/>
      <c r="N512" s="1470"/>
      <c r="O512" s="1470"/>
      <c r="P512" s="1470"/>
      <c r="Q512" s="1470"/>
      <c r="R512" s="1470"/>
      <c r="S512" s="1470"/>
      <c r="T512" s="1470"/>
      <c r="U512" s="1470"/>
      <c r="V512" s="1470"/>
      <c r="W512" s="1470"/>
      <c r="X512" s="1470"/>
      <c r="Y512" s="1470"/>
      <c r="Z512" s="1470"/>
      <c r="AA512" s="1470"/>
      <c r="AB512" s="1470"/>
      <c r="AC512" s="1470"/>
      <c r="AD512" s="1470"/>
      <c r="AE512" s="1470"/>
      <c r="AF512" s="1470"/>
      <c r="AG512" s="1470"/>
      <c r="AH512" s="1470"/>
      <c r="AI512" s="1470"/>
      <c r="AJ512" s="1470"/>
      <c r="AK512" s="1470"/>
      <c r="AL512" s="1470"/>
      <c r="AM512" s="1470"/>
      <c r="AN512" s="1470"/>
      <c r="AO512" s="1470"/>
      <c r="AP512" s="1470"/>
      <c r="AQ512" s="1470"/>
      <c r="AR512" s="1470"/>
      <c r="AS512" s="1470"/>
      <c r="AT512" s="1470"/>
      <c r="AU512" s="1470"/>
      <c r="AV512" s="1470"/>
      <c r="AW512" s="1470"/>
      <c r="AX512" s="1470"/>
      <c r="AY512" s="1470"/>
      <c r="AZ512" s="1470"/>
      <c r="BA512" s="1470"/>
      <c r="BB512" s="1470"/>
      <c r="BC512" s="1470"/>
      <c r="BD512" s="1470"/>
      <c r="BE512" s="1470"/>
      <c r="BF512" s="1470"/>
      <c r="BG512" s="1470"/>
      <c r="BH512" s="1470"/>
      <c r="BI512" s="1470"/>
      <c r="BJ512" s="1470"/>
      <c r="BK512" s="1470"/>
      <c r="BL512" s="1470"/>
      <c r="BM512" s="1470"/>
      <c r="BN512" s="1470"/>
      <c r="BO512" s="1470"/>
      <c r="BP512" s="1470"/>
      <c r="BQ512" s="1470"/>
      <c r="BR512" s="1470"/>
      <c r="BS512" s="1470"/>
      <c r="BT512" s="1470"/>
      <c r="BU512" s="1470"/>
      <c r="BV512" s="1470"/>
      <c r="BW512" s="1470"/>
      <c r="BX512" s="1470"/>
      <c r="BY512" s="1470"/>
      <c r="BZ512" s="1470"/>
      <c r="CA512" s="1470"/>
      <c r="CB512" s="1470"/>
      <c r="CC512" s="1470"/>
      <c r="CD512" s="1470"/>
      <c r="CE512" s="1470"/>
      <c r="CF512" s="1470"/>
      <c r="CG512" s="1470"/>
      <c r="CH512" s="1470"/>
      <c r="CI512" s="1470"/>
      <c r="CJ512" s="1470"/>
      <c r="CK512" s="1470"/>
      <c r="CL512" s="1470"/>
      <c r="CM512" s="1470"/>
      <c r="CN512" s="1470"/>
      <c r="CO512" s="1470"/>
      <c r="CP512" s="1470"/>
      <c r="CQ512" s="1470"/>
      <c r="CR512" s="1470"/>
      <c r="CS512" s="1470"/>
      <c r="CT512" s="1470"/>
      <c r="CU512" s="1470"/>
      <c r="CV512" s="1470"/>
      <c r="CW512" s="1470"/>
      <c r="CX512" s="1470"/>
      <c r="CY512" s="1470"/>
      <c r="CZ512" s="1470"/>
      <c r="DA512" s="1470"/>
      <c r="DB512" s="1471"/>
      <c r="DC512" s="1471"/>
      <c r="DD512" s="1471"/>
      <c r="DE512" s="1471"/>
      <c r="DF512" s="1471"/>
      <c r="DG512" s="1471"/>
      <c r="DH512" s="1471"/>
      <c r="DI512" s="1472"/>
      <c r="DJ512" s="1471"/>
      <c r="DK512" s="1471"/>
      <c r="DL512" s="1471"/>
      <c r="DM512" s="1471"/>
      <c r="DN512" s="1471"/>
      <c r="DO512" s="1471"/>
      <c r="DP512" s="1471"/>
      <c r="DQ512" s="1471"/>
      <c r="DR512" s="1471"/>
      <c r="DS512" s="1471"/>
      <c r="DT512" s="1471"/>
      <c r="DU512" s="1471"/>
      <c r="DV512" s="1471"/>
      <c r="DW512" s="1471"/>
      <c r="DX512" s="1471"/>
      <c r="DY512" s="1472"/>
      <c r="DZ512" s="1471"/>
      <c r="EA512" s="1471"/>
      <c r="EB512" s="1471"/>
      <c r="EC512" s="1471"/>
      <c r="ED512" s="1471"/>
      <c r="EE512" s="1471"/>
      <c r="EF512" s="1471"/>
      <c r="EG512" s="1472"/>
      <c r="EH512" s="1471"/>
      <c r="EI512" s="1471"/>
      <c r="EJ512" s="1471"/>
      <c r="EK512" s="1471"/>
      <c r="EL512" s="1471"/>
      <c r="EM512" s="1471"/>
      <c r="EN512" s="1471"/>
      <c r="EO512" s="1472"/>
      <c r="EP512" s="1471"/>
      <c r="EQ512" s="1471"/>
      <c r="ER512" s="1471"/>
      <c r="ES512" s="1471"/>
      <c r="ET512" s="1471"/>
      <c r="EU512" s="1471"/>
      <c r="EV512" s="1471"/>
      <c r="IX512" s="1049"/>
      <c r="IY512" s="1049"/>
      <c r="IZ512" s="1049"/>
      <c r="JA512" s="1049"/>
      <c r="JB512" s="1049"/>
      <c r="JC512" s="1049"/>
      <c r="JD512" s="1473"/>
      <c r="JE512" s="1037"/>
      <c r="JF512" s="1037"/>
      <c r="JG512" s="1037"/>
      <c r="JH512" s="1037"/>
      <c r="JI512" s="1035"/>
      <c r="JJ512" s="1035"/>
      <c r="JK512" s="1035"/>
      <c r="JL512" s="1035"/>
      <c r="JM512" s="1035"/>
      <c r="JN512" s="1035"/>
      <c r="JO512" s="1035"/>
      <c r="JP512" s="1035"/>
      <c r="JQ512" s="1035"/>
      <c r="JR512" s="1035"/>
      <c r="JS512" s="1035"/>
      <c r="JT512" s="1035"/>
      <c r="JU512" s="1035"/>
      <c r="JV512" s="1035"/>
      <c r="JW512" s="1035"/>
      <c r="JX512" s="1035"/>
      <c r="JY512" s="1035"/>
    </row>
    <row r="513" s="1029" customFormat="1" spans="1:334">
      <c r="A513" s="1029" t="s">
        <v>549</v>
      </c>
      <c r="B513" s="1474"/>
      <c r="C513" s="1474"/>
      <c r="D513" s="1474"/>
      <c r="E513" s="1474"/>
      <c r="F513" s="1474"/>
      <c r="G513" s="1474"/>
      <c r="H513" s="1474"/>
      <c r="I513" s="1474"/>
      <c r="J513" s="1474"/>
      <c r="K513" s="1474"/>
      <c r="L513" s="1474"/>
      <c r="M513" s="1474"/>
      <c r="N513" s="1474"/>
      <c r="O513" s="1474"/>
      <c r="P513" s="1474"/>
      <c r="Q513" s="1474"/>
      <c r="R513" s="1474"/>
      <c r="S513" s="1474"/>
      <c r="T513" s="1474"/>
      <c r="U513" s="1474"/>
      <c r="V513" s="1474"/>
      <c r="W513" s="1474"/>
      <c r="X513" s="1474"/>
      <c r="Y513" s="1474"/>
      <c r="Z513" s="1474"/>
      <c r="AA513" s="1474"/>
      <c r="AB513" s="1474"/>
      <c r="AC513" s="1474"/>
      <c r="AD513" s="1474"/>
      <c r="AE513" s="1474"/>
      <c r="AF513" s="1474"/>
      <c r="AG513" s="1474"/>
      <c r="AH513" s="1474"/>
      <c r="AI513" s="1474"/>
      <c r="AJ513" s="1474"/>
      <c r="AK513" s="1474"/>
      <c r="AL513" s="1474"/>
      <c r="AM513" s="1474"/>
      <c r="AN513" s="1474"/>
      <c r="AO513" s="1474"/>
      <c r="AP513" s="1474"/>
      <c r="AQ513" s="1474"/>
      <c r="AR513" s="1474"/>
      <c r="AS513" s="1474"/>
      <c r="AT513" s="1474"/>
      <c r="AU513" s="1474"/>
      <c r="AV513" s="1474"/>
      <c r="AW513" s="1474"/>
      <c r="AX513" s="1474"/>
      <c r="AY513" s="1474"/>
      <c r="AZ513" s="1474"/>
      <c r="BA513" s="1474"/>
      <c r="BB513" s="1474"/>
      <c r="BC513" s="1474"/>
      <c r="BD513" s="1474"/>
      <c r="BE513" s="1474"/>
      <c r="BF513" s="1474"/>
      <c r="BG513" s="1474"/>
      <c r="BH513" s="1474"/>
      <c r="BI513" s="1474"/>
      <c r="BJ513" s="1474"/>
      <c r="BK513" s="1474"/>
      <c r="BL513" s="1474"/>
      <c r="BM513" s="1474"/>
      <c r="BN513" s="1474"/>
      <c r="BO513" s="1474"/>
      <c r="BP513" s="1474"/>
      <c r="BQ513" s="1474"/>
      <c r="BR513" s="1474"/>
      <c r="BS513" s="1474"/>
      <c r="BT513" s="1474"/>
      <c r="BU513" s="1474"/>
      <c r="BV513" s="1474"/>
      <c r="BW513" s="1474"/>
      <c r="BX513" s="1474"/>
      <c r="BY513" s="1474"/>
      <c r="BZ513" s="1474"/>
      <c r="CA513" s="1474"/>
      <c r="CB513" s="1474"/>
      <c r="CC513" s="1474"/>
      <c r="CD513" s="1474"/>
      <c r="CE513" s="1474"/>
      <c r="CF513" s="1474"/>
      <c r="CG513" s="1474"/>
      <c r="CH513" s="1474"/>
      <c r="CI513" s="1474"/>
      <c r="CJ513" s="1474"/>
      <c r="CK513" s="1474"/>
      <c r="CL513" s="1474"/>
      <c r="CM513" s="1474"/>
      <c r="CN513" s="1474"/>
      <c r="CO513" s="1474"/>
      <c r="CP513" s="1474"/>
      <c r="CQ513" s="1474"/>
      <c r="CR513" s="1474"/>
      <c r="CS513" s="1474"/>
      <c r="CT513" s="1474"/>
      <c r="CU513" s="1474"/>
      <c r="CV513" s="1474"/>
      <c r="CW513" s="1474"/>
      <c r="CX513" s="1474"/>
      <c r="CY513" s="1474"/>
      <c r="CZ513" s="1474"/>
      <c r="DA513" s="1474"/>
      <c r="DB513" s="1475"/>
      <c r="DC513" s="1475"/>
      <c r="DD513" s="1475"/>
      <c r="DE513" s="1475"/>
      <c r="DF513" s="1475"/>
      <c r="DG513" s="1475"/>
      <c r="DH513" s="1475"/>
      <c r="DI513" s="1476"/>
      <c r="DJ513" s="1475"/>
      <c r="DK513" s="1475"/>
      <c r="DL513" s="1475"/>
      <c r="DM513" s="1475"/>
      <c r="DN513" s="1475"/>
      <c r="DO513" s="1475"/>
      <c r="DP513" s="1475"/>
      <c r="DQ513" s="1476"/>
      <c r="DR513" s="1477"/>
      <c r="DS513" s="1477"/>
      <c r="DT513" s="1477"/>
      <c r="DU513" s="1477"/>
      <c r="DV513" s="1477"/>
      <c r="DW513" s="1477"/>
      <c r="DX513" s="1477"/>
      <c r="DY513" s="1478"/>
      <c r="DZ513" s="1477"/>
      <c r="EA513" s="1477"/>
      <c r="EB513" s="1477"/>
      <c r="EC513" s="1477"/>
      <c r="ED513" s="1477"/>
      <c r="EE513" s="1477"/>
      <c r="EF513" s="1477"/>
      <c r="EG513" s="1478"/>
      <c r="EH513" s="1477"/>
      <c r="EI513" s="1477"/>
      <c r="EJ513" s="1477"/>
      <c r="EK513" s="1477"/>
      <c r="EL513" s="1477"/>
      <c r="EM513" s="1477"/>
      <c r="EN513" s="1477"/>
      <c r="EO513" s="1478"/>
      <c r="EP513" s="1477"/>
      <c r="EQ513" s="1477"/>
      <c r="ER513" s="1477"/>
      <c r="ES513" s="1477"/>
      <c r="ET513" s="1477"/>
      <c r="EU513" s="1477"/>
      <c r="EV513" s="1477"/>
      <c r="EW513" s="1039"/>
      <c r="EX513" s="891"/>
      <c r="EY513" s="891"/>
      <c r="EZ513" s="891"/>
      <c r="FA513" s="891"/>
      <c r="FB513" s="891"/>
      <c r="FC513" s="891"/>
      <c r="FD513" s="891"/>
      <c r="FE513" s="1039"/>
      <c r="FF513" s="891"/>
      <c r="FG513" s="891"/>
      <c r="FH513" s="891"/>
      <c r="FI513" s="891"/>
      <c r="FJ513" s="891"/>
      <c r="FK513" s="891"/>
      <c r="FL513" s="891"/>
      <c r="FM513" s="1039"/>
      <c r="FN513" s="891"/>
      <c r="FO513" s="891"/>
      <c r="FP513" s="891"/>
      <c r="FQ513" s="891"/>
      <c r="FR513" s="891"/>
      <c r="FS513" s="891"/>
      <c r="FT513" s="891"/>
      <c r="FU513" s="891"/>
      <c r="FV513" s="1040"/>
      <c r="FW513" s="891"/>
      <c r="FX513" s="891"/>
      <c r="FY513" s="891"/>
      <c r="FZ513" s="891"/>
      <c r="GA513" s="891"/>
      <c r="GB513" s="891"/>
      <c r="GC513" s="1039"/>
      <c r="GD513" s="891"/>
      <c r="GE513" s="891"/>
      <c r="GF513" s="891"/>
      <c r="GG513" s="891"/>
      <c r="GH513" s="891"/>
      <c r="GI513" s="891"/>
      <c r="GJ513" s="891"/>
      <c r="GK513" s="1039"/>
      <c r="GL513" s="891"/>
      <c r="GM513" s="891"/>
      <c r="GN513" s="891"/>
      <c r="GO513" s="891"/>
      <c r="GP513" s="891"/>
      <c r="GQ513" s="891"/>
      <c r="GR513" s="891"/>
      <c r="GS513" s="1039"/>
      <c r="GT513" s="891"/>
      <c r="GU513" s="891"/>
      <c r="GV513" s="891"/>
      <c r="GW513" s="891"/>
      <c r="GX513" s="891"/>
      <c r="GY513" s="891"/>
      <c r="GZ513" s="891"/>
      <c r="HA513" s="1039"/>
      <c r="HB513" s="891"/>
      <c r="HC513" s="891"/>
      <c r="HD513" s="891"/>
      <c r="HE513" s="891"/>
      <c r="HF513" s="891"/>
      <c r="HG513" s="891"/>
      <c r="HH513" s="891"/>
      <c r="HI513" s="1039"/>
      <c r="HJ513" s="891"/>
      <c r="HK513" s="891"/>
      <c r="HL513" s="891"/>
      <c r="HM513" s="891"/>
      <c r="HN513" s="891"/>
      <c r="HO513" s="891"/>
      <c r="HP513" s="891"/>
      <c r="HQ513" s="1039"/>
      <c r="HR513" s="891"/>
      <c r="HS513" s="891"/>
      <c r="HT513" s="891"/>
      <c r="HU513" s="891"/>
      <c r="HV513" s="891"/>
      <c r="HW513" s="891"/>
      <c r="HX513" s="891"/>
      <c r="HY513" s="891"/>
      <c r="HZ513" s="891"/>
      <c r="IA513" s="891"/>
      <c r="IB513" s="891"/>
      <c r="IC513" s="891"/>
      <c r="ID513" s="891"/>
      <c r="IE513" s="891"/>
      <c r="IF513" s="891"/>
      <c r="IG513" s="1039"/>
      <c r="IH513" s="891"/>
      <c r="II513" s="891"/>
      <c r="IJ513" s="891"/>
      <c r="IK513" s="891"/>
      <c r="IL513" s="891"/>
      <c r="IM513" s="891"/>
      <c r="IN513" s="891"/>
      <c r="IO513" s="1039"/>
      <c r="IP513" s="891"/>
      <c r="IQ513" s="891"/>
      <c r="IR513" s="891"/>
      <c r="IS513" s="891"/>
      <c r="IT513" s="891"/>
      <c r="IU513" s="891"/>
      <c r="IV513" s="891"/>
      <c r="IW513" s="891"/>
      <c r="IX513" s="1049"/>
      <c r="IY513" s="1049"/>
      <c r="IZ513" s="1049"/>
      <c r="JA513" s="1049"/>
      <c r="JB513" s="1049"/>
      <c r="JC513" s="1049"/>
      <c r="JD513" s="1479"/>
      <c r="JE513" s="1480"/>
      <c r="JF513" s="1480"/>
      <c r="JG513" s="1480"/>
      <c r="JH513" s="1480"/>
      <c r="JI513" s="1481"/>
      <c r="JJ513" s="1481"/>
      <c r="JK513" s="1481"/>
      <c r="JL513" s="1481"/>
      <c r="JM513" s="1481"/>
      <c r="JN513" s="1481"/>
      <c r="JO513" s="1481"/>
      <c r="JP513" s="1481"/>
      <c r="JQ513" s="1481"/>
      <c r="JR513" s="1481"/>
      <c r="JS513" s="1481"/>
      <c r="JT513" s="1481"/>
      <c r="JU513" s="1481"/>
      <c r="JV513" s="1481"/>
      <c r="JW513" s="1481"/>
      <c r="JX513" s="1481"/>
      <c r="JY513" s="1481"/>
      <c r="JZ513" s="1481"/>
      <c r="KA513" s="1481"/>
      <c r="KB513" s="1481"/>
      <c r="KC513" s="1481"/>
      <c r="KD513" s="1481"/>
      <c r="KE513" s="1481"/>
      <c r="KF513" s="1481"/>
      <c r="KG513" s="1481"/>
      <c r="KH513" s="1481"/>
      <c r="KI513" s="1481"/>
      <c r="KJ513" s="1481"/>
      <c r="KK513" s="1481"/>
      <c r="KL513" s="1481"/>
      <c r="KM513" s="1481"/>
      <c r="KN513" s="1481"/>
      <c r="KO513" s="1481"/>
      <c r="KP513" s="1481"/>
      <c r="KQ513" s="1481"/>
      <c r="KR513" s="1481"/>
      <c r="KS513" s="1481"/>
      <c r="KT513" s="1481"/>
      <c r="KU513" s="1481"/>
      <c r="KV513" s="1481"/>
      <c r="KW513" s="1481"/>
      <c r="KX513" s="1481"/>
      <c r="KY513" s="1481"/>
      <c r="KZ513" s="1481"/>
      <c r="LA513" s="1481"/>
      <c r="LB513" s="1481"/>
      <c r="LC513" s="1481"/>
      <c r="LD513" s="1481"/>
      <c r="LE513" s="1481"/>
      <c r="LF513" s="1481"/>
      <c r="LG513" s="1481"/>
      <c r="LH513" s="1481"/>
      <c r="LI513" s="1481"/>
      <c r="LJ513" s="1481"/>
      <c r="LK513" s="1481"/>
      <c r="LL513" s="1481"/>
      <c r="LM513" s="1481"/>
      <c r="LN513" s="1481"/>
      <c r="LO513" s="1481"/>
      <c r="LP513" s="1481"/>
      <c r="LQ513" s="1481"/>
      <c r="LR513" s="1481"/>
      <c r="LS513" s="1481"/>
      <c r="LT513" s="1481"/>
      <c r="LU513" s="1481"/>
      <c r="LV513" s="1481"/>
    </row>
    <row r="514" spans="1:334">
      <c r="A514" s="969"/>
      <c r="AX514" s="1059"/>
      <c r="BE514" s="1060"/>
      <c r="BN514" s="1059"/>
      <c r="BU514" s="1060"/>
      <c r="BV514" s="1059"/>
      <c r="CC514" s="1060"/>
      <c r="CD514" s="1059"/>
      <c r="CJ514" s="1061"/>
      <c r="CK514" s="1060"/>
      <c r="CL514" s="1059"/>
      <c r="CS514" s="1060"/>
      <c r="CT514" s="1059"/>
      <c r="CW514" s="1062"/>
      <c r="CX514" s="1062"/>
      <c r="DE514" s="1064"/>
      <c r="DF514" s="1064"/>
      <c r="DM514" s="1064"/>
      <c r="DN514" s="1064"/>
      <c r="DU514" s="1064"/>
      <c r="DV514" s="1064"/>
      <c r="EC514" s="1064"/>
      <c r="ED514" s="1064"/>
      <c r="EK514" s="1064"/>
      <c r="EL514" s="1064"/>
      <c r="IX514" s="1049"/>
      <c r="IY514" s="1049"/>
      <c r="IZ514" s="1049"/>
      <c r="JA514" s="1049"/>
      <c r="JB514" s="1049"/>
      <c r="JC514" s="1049"/>
      <c r="JD514" s="1041"/>
      <c r="JE514" s="1037"/>
      <c r="JF514" s="1037"/>
      <c r="JG514" s="1037"/>
      <c r="JH514" s="1037"/>
      <c r="JI514" s="1035"/>
      <c r="JJ514" s="1035"/>
      <c r="JK514" s="1035"/>
      <c r="JL514" s="1035"/>
      <c r="JM514" s="1035"/>
      <c r="JN514" s="1035"/>
      <c r="JO514" s="1035"/>
      <c r="JP514" s="1035"/>
      <c r="JQ514" s="1035"/>
      <c r="JR514" s="1035"/>
      <c r="JS514" s="1035"/>
      <c r="JT514" s="1035"/>
      <c r="JU514" s="1035"/>
      <c r="JV514" s="1035"/>
      <c r="JW514" s="1035"/>
      <c r="JX514" s="1035"/>
      <c r="JY514" s="1035"/>
      <c r="KP514" s="1117"/>
      <c r="LV514" s="967"/>
    </row>
    <row r="515" spans="1:334">
      <c r="A515" s="1051" t="s">
        <v>523</v>
      </c>
      <c r="B515" s="1482" t="str">
        <f t="shared" ref="B515:AG515" si="4123">B2</f>
        <v>Q1 95</v>
      </c>
      <c r="C515" s="1482" t="str">
        <f t="shared" si="4123"/>
        <v>Q2 95</v>
      </c>
      <c r="D515" s="1482" t="str">
        <f t="shared" si="4123"/>
        <v>H1 95</v>
      </c>
      <c r="E515" s="1482" t="str">
        <f t="shared" si="4123"/>
        <v>Q3 95</v>
      </c>
      <c r="F515" s="1482" t="str">
        <f t="shared" si="4123"/>
        <v>9M 95</v>
      </c>
      <c r="G515" s="1482" t="str">
        <f t="shared" si="4123"/>
        <v>Q4 95</v>
      </c>
      <c r="H515" s="1482" t="str">
        <f t="shared" si="4123"/>
        <v>H2 95</v>
      </c>
      <c r="I515" s="1482" t="str">
        <f t="shared" si="4123"/>
        <v>FY 95</v>
      </c>
      <c r="J515" s="1482" t="str">
        <f t="shared" si="4123"/>
        <v>Q1 96</v>
      </c>
      <c r="K515" s="1482" t="str">
        <f t="shared" si="4123"/>
        <v>Q2 96</v>
      </c>
      <c r="L515" s="1482" t="str">
        <f t="shared" si="4123"/>
        <v>H1 96</v>
      </c>
      <c r="M515" s="1482" t="str">
        <f t="shared" si="4123"/>
        <v>Q3 96</v>
      </c>
      <c r="N515" s="1482" t="str">
        <f t="shared" si="4123"/>
        <v>9M 96</v>
      </c>
      <c r="O515" s="1482" t="str">
        <f t="shared" si="4123"/>
        <v>Q4 96</v>
      </c>
      <c r="P515" s="1482" t="str">
        <f t="shared" si="4123"/>
        <v>H2 96</v>
      </c>
      <c r="Q515" s="1482" t="str">
        <f t="shared" si="4123"/>
        <v>FY 96</v>
      </c>
      <c r="R515" s="1482" t="str">
        <f t="shared" si="4123"/>
        <v>Q1 97</v>
      </c>
      <c r="S515" s="1482" t="str">
        <f t="shared" si="4123"/>
        <v>Q2 97</v>
      </c>
      <c r="T515" s="1482" t="str">
        <f t="shared" si="4123"/>
        <v>H1 97</v>
      </c>
      <c r="U515" s="1482" t="str">
        <f t="shared" si="4123"/>
        <v>Q3 97</v>
      </c>
      <c r="V515" s="1482" t="str">
        <f t="shared" si="4123"/>
        <v>9M 97</v>
      </c>
      <c r="W515" s="1482" t="str">
        <f t="shared" si="4123"/>
        <v>Q4 97</v>
      </c>
      <c r="X515" s="1482" t="str">
        <f t="shared" si="4123"/>
        <v>H2 97</v>
      </c>
      <c r="Y515" s="1482" t="str">
        <f t="shared" si="4123"/>
        <v>FY 97</v>
      </c>
      <c r="Z515" s="1482" t="str">
        <f t="shared" si="4123"/>
        <v>Q1 98</v>
      </c>
      <c r="AA515" s="1482" t="str">
        <f t="shared" si="4123"/>
        <v>Q2 98</v>
      </c>
      <c r="AB515" s="1482" t="str">
        <f t="shared" si="4123"/>
        <v>H1 98</v>
      </c>
      <c r="AC515" s="1482" t="str">
        <f t="shared" si="4123"/>
        <v>Q3 98</v>
      </c>
      <c r="AD515" s="1482" t="str">
        <f t="shared" si="4123"/>
        <v>9M 97</v>
      </c>
      <c r="AE515" s="1482" t="str">
        <f t="shared" si="4123"/>
        <v>Q4 98</v>
      </c>
      <c r="AF515" s="1482" t="str">
        <f t="shared" si="4123"/>
        <v>H2 98</v>
      </c>
      <c r="AG515" s="1482" t="str">
        <f t="shared" si="4123"/>
        <v>FY 98</v>
      </c>
      <c r="AH515" s="1482" t="str">
        <f t="shared" ref="AH515:BM515" si="4124">AH2</f>
        <v>Q1 99</v>
      </c>
      <c r="AI515" s="1482" t="str">
        <f t="shared" si="4124"/>
        <v>Q2 99</v>
      </c>
      <c r="AJ515" s="1482" t="str">
        <f t="shared" si="4124"/>
        <v>H1 99</v>
      </c>
      <c r="AK515" s="1482" t="str">
        <f t="shared" si="4124"/>
        <v>Q3 99</v>
      </c>
      <c r="AL515" s="1482" t="str">
        <f t="shared" si="4124"/>
        <v>9M 99</v>
      </c>
      <c r="AM515" s="1482" t="str">
        <f t="shared" si="4124"/>
        <v>Q4 99</v>
      </c>
      <c r="AN515" s="1482" t="str">
        <f t="shared" si="4124"/>
        <v>H2 99</v>
      </c>
      <c r="AO515" s="1482" t="str">
        <f t="shared" si="4124"/>
        <v>FY 99</v>
      </c>
      <c r="AP515" s="1482" t="str">
        <f t="shared" si="4124"/>
        <v>Q1 00</v>
      </c>
      <c r="AQ515" s="1482" t="str">
        <f t="shared" si="4124"/>
        <v>Q2 00</v>
      </c>
      <c r="AR515" s="1482" t="str">
        <f t="shared" si="4124"/>
        <v>H1 00</v>
      </c>
      <c r="AS515" s="1482" t="str">
        <f t="shared" si="4124"/>
        <v>Q3 00</v>
      </c>
      <c r="AT515" s="1482" t="str">
        <f t="shared" si="4124"/>
        <v>9M 00</v>
      </c>
      <c r="AU515" s="1482" t="str">
        <f t="shared" si="4124"/>
        <v>Q4 00</v>
      </c>
      <c r="AV515" s="1482" t="str">
        <f t="shared" si="4124"/>
        <v>H2 00</v>
      </c>
      <c r="AW515" s="1482" t="str">
        <f t="shared" si="4124"/>
        <v>FY 00</v>
      </c>
      <c r="AX515" s="1483" t="str">
        <f t="shared" si="4124"/>
        <v>Q1 01</v>
      </c>
      <c r="AY515" s="1482" t="str">
        <f t="shared" si="4124"/>
        <v>Q2 01</v>
      </c>
      <c r="AZ515" s="1482" t="str">
        <f t="shared" si="4124"/>
        <v>H1 01</v>
      </c>
      <c r="BA515" s="1482" t="str">
        <f t="shared" si="4124"/>
        <v>Q3 01</v>
      </c>
      <c r="BB515" s="1482" t="str">
        <f t="shared" si="4124"/>
        <v>9M 01</v>
      </c>
      <c r="BC515" s="1482" t="str">
        <f t="shared" si="4124"/>
        <v>Q4 01</v>
      </c>
      <c r="BD515" s="1482" t="str">
        <f t="shared" si="4124"/>
        <v>H2 01</v>
      </c>
      <c r="BE515" s="1484" t="str">
        <f t="shared" si="4124"/>
        <v>FY 01</v>
      </c>
      <c r="BF515" s="1482" t="str">
        <f t="shared" si="4124"/>
        <v>Q1 02</v>
      </c>
      <c r="BG515" s="1482" t="str">
        <f t="shared" si="4124"/>
        <v>Q2 02</v>
      </c>
      <c r="BH515" s="1482" t="str">
        <f t="shared" si="4124"/>
        <v>H1 02</v>
      </c>
      <c r="BI515" s="1482" t="str">
        <f t="shared" si="4124"/>
        <v>Q3 02</v>
      </c>
      <c r="BJ515" s="1482" t="str">
        <f t="shared" si="4124"/>
        <v>9M 02</v>
      </c>
      <c r="BK515" s="1482" t="str">
        <f t="shared" si="4124"/>
        <v>Q4 02</v>
      </c>
      <c r="BL515" s="1482" t="str">
        <f t="shared" si="4124"/>
        <v>H2 02</v>
      </c>
      <c r="BM515" s="1482" t="str">
        <f t="shared" si="4124"/>
        <v>FY 02</v>
      </c>
      <c r="BN515" s="1483" t="str">
        <f t="shared" ref="BN515:CS515" si="4125">BN2</f>
        <v>Q1 03</v>
      </c>
      <c r="BO515" s="1482" t="str">
        <f t="shared" si="4125"/>
        <v>Q2 03</v>
      </c>
      <c r="BP515" s="1482" t="str">
        <f t="shared" si="4125"/>
        <v>H1 03</v>
      </c>
      <c r="BQ515" s="1482" t="str">
        <f t="shared" si="4125"/>
        <v>Q3 03</v>
      </c>
      <c r="BR515" s="1482" t="str">
        <f t="shared" si="4125"/>
        <v>9M 03</v>
      </c>
      <c r="BS515" s="1482" t="str">
        <f t="shared" si="4125"/>
        <v>Q4 03</v>
      </c>
      <c r="BT515" s="1482" t="str">
        <f t="shared" si="4125"/>
        <v>H2 03</v>
      </c>
      <c r="BU515" s="1484" t="str">
        <f t="shared" si="4125"/>
        <v>FY 03</v>
      </c>
      <c r="BV515" s="1483" t="str">
        <f t="shared" si="4125"/>
        <v>Q1 04</v>
      </c>
      <c r="BW515" s="1482" t="str">
        <f t="shared" si="4125"/>
        <v>Q2 04</v>
      </c>
      <c r="BX515" s="1482" t="str">
        <f t="shared" si="4125"/>
        <v>H1 04</v>
      </c>
      <c r="BY515" s="1482" t="str">
        <f t="shared" si="4125"/>
        <v>Q3 04</v>
      </c>
      <c r="BZ515" s="1482" t="str">
        <f t="shared" si="4125"/>
        <v>9M 04</v>
      </c>
      <c r="CA515" s="1482" t="str">
        <f t="shared" si="4125"/>
        <v>Q4 04</v>
      </c>
      <c r="CB515" s="1482" t="str">
        <f t="shared" si="4125"/>
        <v>H2 04</v>
      </c>
      <c r="CC515" s="1484" t="str">
        <f t="shared" si="4125"/>
        <v>FY 04</v>
      </c>
      <c r="CD515" s="1483" t="str">
        <f t="shared" si="4125"/>
        <v>Q1 05</v>
      </c>
      <c r="CE515" s="1482" t="str">
        <f t="shared" si="4125"/>
        <v>Q2 05</v>
      </c>
      <c r="CF515" s="1482" t="str">
        <f t="shared" si="4125"/>
        <v>H1 05</v>
      </c>
      <c r="CG515" s="1482" t="str">
        <f t="shared" si="4125"/>
        <v>Q3 05</v>
      </c>
      <c r="CH515" s="1482" t="str">
        <f t="shared" si="4125"/>
        <v>9M 05</v>
      </c>
      <c r="CI515" s="1482" t="str">
        <f t="shared" si="4125"/>
        <v>Q4 05</v>
      </c>
      <c r="CJ515" s="1482" t="str">
        <f t="shared" si="4125"/>
        <v>H2 05</v>
      </c>
      <c r="CK515" s="1484" t="str">
        <f t="shared" si="4125"/>
        <v>FY 05</v>
      </c>
      <c r="CL515" s="1483" t="str">
        <f t="shared" si="4125"/>
        <v>Q1 06</v>
      </c>
      <c r="CM515" s="1482" t="str">
        <f t="shared" si="4125"/>
        <v>Q2 06</v>
      </c>
      <c r="CN515" s="1482" t="str">
        <f t="shared" si="4125"/>
        <v>H1 06</v>
      </c>
      <c r="CO515" s="1482" t="str">
        <f t="shared" si="4125"/>
        <v>Q3 06</v>
      </c>
      <c r="CP515" s="1482" t="str">
        <f t="shared" si="4125"/>
        <v>9M 06</v>
      </c>
      <c r="CQ515" s="1482" t="str">
        <f t="shared" si="4125"/>
        <v>Q4 06</v>
      </c>
      <c r="CR515" s="1482" t="str">
        <f t="shared" si="4125"/>
        <v>H2 06</v>
      </c>
      <c r="CS515" s="1484" t="str">
        <f t="shared" si="4125"/>
        <v>FY 06</v>
      </c>
      <c r="CT515" s="1483" t="str">
        <f t="shared" ref="CT515:DY515" si="4126">CT2</f>
        <v>Q1 07</v>
      </c>
      <c r="CU515" s="1482" t="str">
        <f t="shared" si="4126"/>
        <v>Q2 07</v>
      </c>
      <c r="CV515" s="1482" t="str">
        <f t="shared" si="4126"/>
        <v>H1 07</v>
      </c>
      <c r="CW515" s="1482" t="str">
        <f t="shared" si="4126"/>
        <v>Q3 07</v>
      </c>
      <c r="CX515" s="1482" t="str">
        <f t="shared" si="4126"/>
        <v>9M 07</v>
      </c>
      <c r="CY515" s="1482" t="str">
        <f t="shared" si="4126"/>
        <v>Q4 07</v>
      </c>
      <c r="CZ515" s="1482" t="str">
        <f t="shared" si="4126"/>
        <v>H2 07</v>
      </c>
      <c r="DA515" s="1484" t="str">
        <f t="shared" si="4126"/>
        <v>FY 07</v>
      </c>
      <c r="DB515" s="1485" t="str">
        <f t="shared" si="4126"/>
        <v>Q1 08</v>
      </c>
      <c r="DC515" s="1486" t="str">
        <f t="shared" si="4126"/>
        <v>Q2 08</v>
      </c>
      <c r="DD515" s="1486" t="str">
        <f t="shared" si="4126"/>
        <v>H1 08</v>
      </c>
      <c r="DE515" s="1486" t="str">
        <f t="shared" si="4126"/>
        <v>Q3 08</v>
      </c>
      <c r="DF515" s="1486" t="str">
        <f t="shared" si="4126"/>
        <v>9M 08</v>
      </c>
      <c r="DG515" s="1486" t="str">
        <f t="shared" si="4126"/>
        <v>Q4 08</v>
      </c>
      <c r="DH515" s="1486" t="str">
        <f t="shared" si="4126"/>
        <v>H2 08</v>
      </c>
      <c r="DI515" s="1487" t="str">
        <f t="shared" si="4126"/>
        <v>FY 08</v>
      </c>
      <c r="DJ515" s="1486" t="str">
        <f t="shared" si="4126"/>
        <v>Q1 09</v>
      </c>
      <c r="DK515" s="1486" t="str">
        <f t="shared" si="4126"/>
        <v>Q2 09</v>
      </c>
      <c r="DL515" s="1486" t="str">
        <f t="shared" si="4126"/>
        <v>H1 09</v>
      </c>
      <c r="DM515" s="1486" t="str">
        <f t="shared" si="4126"/>
        <v>Q3 09</v>
      </c>
      <c r="DN515" s="1486" t="str">
        <f t="shared" si="4126"/>
        <v>9M 09</v>
      </c>
      <c r="DO515" s="1486" t="str">
        <f t="shared" si="4126"/>
        <v>Q4 09</v>
      </c>
      <c r="DP515" s="1486" t="str">
        <f t="shared" si="4126"/>
        <v>H2 09</v>
      </c>
      <c r="DQ515" s="1487" t="str">
        <f t="shared" si="4126"/>
        <v>FY 09</v>
      </c>
      <c r="DR515" s="1486" t="str">
        <f t="shared" si="4126"/>
        <v>Q1 10</v>
      </c>
      <c r="DS515" s="1486" t="str">
        <f t="shared" si="4126"/>
        <v>Q2 10</v>
      </c>
      <c r="DT515" s="1486" t="str">
        <f t="shared" si="4126"/>
        <v>H1 10</v>
      </c>
      <c r="DU515" s="1486" t="str">
        <f t="shared" si="4126"/>
        <v>Q3 10</v>
      </c>
      <c r="DV515" s="1486" t="str">
        <f t="shared" si="4126"/>
        <v>9M 10</v>
      </c>
      <c r="DW515" s="1486" t="str">
        <f t="shared" si="4126"/>
        <v>Q4 10</v>
      </c>
      <c r="DX515" s="1486" t="str">
        <f t="shared" si="4126"/>
        <v>H2 10</v>
      </c>
      <c r="DY515" s="1487" t="str">
        <f t="shared" si="4126"/>
        <v>FY 10</v>
      </c>
      <c r="DZ515" s="1486" t="str">
        <f t="shared" ref="DZ515:EO515" si="4127">DZ2</f>
        <v>Q1 11</v>
      </c>
      <c r="EA515" s="1486" t="str">
        <f t="shared" si="4127"/>
        <v>Q2 11</v>
      </c>
      <c r="EB515" s="1486" t="str">
        <f t="shared" si="4127"/>
        <v>H1 11</v>
      </c>
      <c r="EC515" s="1486" t="str">
        <f t="shared" si="4127"/>
        <v>Q3 11</v>
      </c>
      <c r="ED515" s="1486" t="str">
        <f t="shared" si="4127"/>
        <v>9M 11</v>
      </c>
      <c r="EE515" s="1486" t="str">
        <f t="shared" si="4127"/>
        <v>Q4 11</v>
      </c>
      <c r="EF515" s="1486" t="str">
        <f t="shared" si="4127"/>
        <v>H2 11</v>
      </c>
      <c r="EG515" s="1487" t="str">
        <f t="shared" si="4127"/>
        <v>FY 11</v>
      </c>
      <c r="EH515" s="1486" t="str">
        <f t="shared" si="4127"/>
        <v>Q1 12</v>
      </c>
      <c r="EI515" s="1486" t="str">
        <f t="shared" si="4127"/>
        <v>Q2 12</v>
      </c>
      <c r="EJ515" s="1486" t="str">
        <f t="shared" si="4127"/>
        <v>H1 12</v>
      </c>
      <c r="EK515" s="1486" t="str">
        <f t="shared" si="4127"/>
        <v>Q3 12</v>
      </c>
      <c r="EL515" s="1486" t="str">
        <f t="shared" si="4127"/>
        <v>9M 12</v>
      </c>
      <c r="EM515" s="1486" t="str">
        <f t="shared" si="4127"/>
        <v>Q4 12</v>
      </c>
      <c r="EN515" s="1486" t="str">
        <f t="shared" si="4127"/>
        <v>H2 12</v>
      </c>
      <c r="EO515" s="1487" t="str">
        <f t="shared" si="4127"/>
        <v>FY 12</v>
      </c>
      <c r="EP515" s="1486"/>
      <c r="EQ515" s="1486"/>
      <c r="ER515" s="1486"/>
      <c r="ES515" s="1486"/>
      <c r="ET515" s="1486"/>
      <c r="EU515" s="1486"/>
      <c r="EV515" s="1486"/>
      <c r="IX515" s="1049"/>
      <c r="IY515" s="1049"/>
      <c r="IZ515" s="1049"/>
      <c r="JA515" s="1049"/>
      <c r="JB515" s="1049"/>
      <c r="JC515" s="1049"/>
      <c r="JD515" s="1404"/>
      <c r="JE515" s="1037"/>
      <c r="JF515" s="1037"/>
      <c r="JG515" s="1037"/>
      <c r="JH515" s="1037"/>
      <c r="JI515" s="1035"/>
      <c r="JJ515" s="1035"/>
      <c r="JK515" s="1035"/>
      <c r="JL515" s="1035"/>
      <c r="JM515" s="1035"/>
      <c r="JN515" s="1035"/>
      <c r="JO515" s="1035"/>
      <c r="JP515" s="1035"/>
      <c r="JQ515" s="1035"/>
      <c r="JR515" s="1035"/>
      <c r="JS515" s="1035"/>
      <c r="JT515" s="1035"/>
      <c r="JU515" s="1035"/>
      <c r="JV515" s="1035"/>
      <c r="JW515" s="1035"/>
      <c r="JX515" s="1035"/>
      <c r="JY515" s="1035"/>
      <c r="KP515" s="1117"/>
      <c r="LV515" s="1180"/>
    </row>
    <row r="516" spans="1:334">
      <c r="A516" s="1306" t="s">
        <v>622</v>
      </c>
      <c r="B516" s="1307">
        <v>342.0597</v>
      </c>
      <c r="C516" s="1307">
        <v>248.4918</v>
      </c>
      <c r="D516" s="1307">
        <f>B516+C516</f>
        <v>590.5515</v>
      </c>
      <c r="E516" s="1307">
        <v>385.5202</v>
      </c>
      <c r="F516" s="1307">
        <f>D516+E516</f>
        <v>976.0717</v>
      </c>
      <c r="G516" s="1307">
        <v>217.8138</v>
      </c>
      <c r="H516" s="1307">
        <f>E516+G516</f>
        <v>603.334</v>
      </c>
      <c r="I516" s="1307">
        <f>F516+G516</f>
        <v>1193.8855</v>
      </c>
      <c r="J516" s="1307">
        <v>437.6728</v>
      </c>
      <c r="K516" s="1307">
        <v>352.2857</v>
      </c>
      <c r="L516" s="1307">
        <f>J516+K516</f>
        <v>789.9585</v>
      </c>
      <c r="M516" s="1307">
        <v>516.9243</v>
      </c>
      <c r="N516" s="1307">
        <f>L516+M516</f>
        <v>1306.8828</v>
      </c>
      <c r="O516" s="1307">
        <v>295.0201</v>
      </c>
      <c r="P516" s="1307">
        <f>M516+O516</f>
        <v>811.9444</v>
      </c>
      <c r="Q516" s="1307">
        <f>N516+O516</f>
        <v>1601.9029</v>
      </c>
      <c r="R516" s="1307">
        <v>564.9865</v>
      </c>
      <c r="S516" s="1307">
        <v>450.9666</v>
      </c>
      <c r="T516" s="1307">
        <f>R516+S516</f>
        <v>1015.9531</v>
      </c>
      <c r="U516" s="1307">
        <v>701.5036</v>
      </c>
      <c r="V516" s="1307">
        <f>T516+U516</f>
        <v>1717.4567</v>
      </c>
      <c r="W516" s="1307">
        <v>392.6784</v>
      </c>
      <c r="X516" s="1307">
        <f>U516+W516</f>
        <v>1094.182</v>
      </c>
      <c r="Y516" s="1307">
        <f>V516+W516</f>
        <v>2110.1351</v>
      </c>
      <c r="Z516" s="1307">
        <v>807.854</v>
      </c>
      <c r="AA516" s="1307">
        <v>619.6956</v>
      </c>
      <c r="AB516" s="1307">
        <f>Z516+AA516</f>
        <v>1427.5496</v>
      </c>
      <c r="AC516" s="1307">
        <v>849.2693</v>
      </c>
      <c r="AD516" s="1307">
        <f>AB516+AC516</f>
        <v>2276.8189</v>
      </c>
      <c r="AE516" s="1307">
        <v>501.074</v>
      </c>
      <c r="AF516" s="1307">
        <f>AC516+AE516</f>
        <v>1350.3433</v>
      </c>
      <c r="AG516" s="1307">
        <f>AD516+AE516</f>
        <v>2777.8929</v>
      </c>
      <c r="AH516" s="1307">
        <v>751</v>
      </c>
      <c r="AI516" s="1307">
        <v>560</v>
      </c>
      <c r="AJ516" s="1307">
        <f>AH516+AI516</f>
        <v>1311</v>
      </c>
      <c r="AK516" s="1307">
        <v>853</v>
      </c>
      <c r="AL516" s="1307">
        <f>AJ516+AK516</f>
        <v>2164</v>
      </c>
      <c r="AM516" s="1307">
        <v>558</v>
      </c>
      <c r="AN516" s="1307">
        <f>AK516+AM516</f>
        <v>1411</v>
      </c>
      <c r="AO516" s="1307">
        <f>AL516+AM516</f>
        <v>2722</v>
      </c>
      <c r="AP516" s="1307">
        <v>815</v>
      </c>
      <c r="AQ516" s="1307">
        <v>589</v>
      </c>
      <c r="AR516" s="1307">
        <f>AP516+AQ516</f>
        <v>1404</v>
      </c>
      <c r="AS516" s="1307">
        <v>864</v>
      </c>
      <c r="AT516" s="1307">
        <f>AR516+AS516</f>
        <v>2268</v>
      </c>
      <c r="AU516" s="1307">
        <v>592</v>
      </c>
      <c r="AV516" s="1307">
        <f>AS516+AU516</f>
        <v>1456</v>
      </c>
      <c r="AW516" s="1307">
        <f>AT516+AU516</f>
        <v>2860</v>
      </c>
      <c r="AX516" s="1308">
        <v>852</v>
      </c>
      <c r="AY516" s="1307">
        <v>661</v>
      </c>
      <c r="AZ516" s="1307">
        <f>AX516+AY516</f>
        <v>1513</v>
      </c>
      <c r="BA516" s="1307">
        <v>933</v>
      </c>
      <c r="BB516" s="1307">
        <f>AY516+BA516</f>
        <v>1594</v>
      </c>
      <c r="BC516" s="1307">
        <v>620</v>
      </c>
      <c r="BD516" s="1307">
        <f>BA516+BC516</f>
        <v>1553</v>
      </c>
      <c r="BE516" s="1309">
        <f>BB516+BC516</f>
        <v>2214</v>
      </c>
      <c r="BF516" s="1307">
        <v>851</v>
      </c>
      <c r="BG516" s="1307">
        <v>702</v>
      </c>
      <c r="BH516" s="1307">
        <f>BF516+BG516</f>
        <v>1553</v>
      </c>
      <c r="BI516" s="1307">
        <v>988</v>
      </c>
      <c r="BJ516" s="1307">
        <f>BH516+BI516</f>
        <v>2541</v>
      </c>
      <c r="BK516" s="1307">
        <v>660</v>
      </c>
      <c r="BL516" s="1307">
        <f>BI516+BK516</f>
        <v>1648</v>
      </c>
      <c r="BM516" s="1307">
        <f>BJ516+BK516</f>
        <v>3201</v>
      </c>
      <c r="BN516" s="1308">
        <v>933</v>
      </c>
      <c r="BO516" s="1307">
        <v>724</v>
      </c>
      <c r="BP516" s="1307">
        <f>BN516+BO516</f>
        <v>1657</v>
      </c>
      <c r="BQ516" s="1307">
        <v>1020</v>
      </c>
      <c r="BR516" s="1307">
        <f>BP516+BQ516</f>
        <v>2677</v>
      </c>
      <c r="BS516" s="1307">
        <v>688</v>
      </c>
      <c r="BT516" s="1307">
        <f>BQ516+BS516</f>
        <v>1708</v>
      </c>
      <c r="BU516" s="1309">
        <f>BR516+BS516</f>
        <v>3365</v>
      </c>
      <c r="BV516" s="1308">
        <v>951</v>
      </c>
      <c r="BW516" s="1307">
        <v>740</v>
      </c>
      <c r="BX516" s="1307">
        <f>BV516+BW516</f>
        <v>1691</v>
      </c>
      <c r="BY516" s="1307">
        <v>1077</v>
      </c>
      <c r="BZ516" s="1307">
        <f>BX516+BY516</f>
        <v>2768</v>
      </c>
      <c r="CA516" s="1307">
        <v>703</v>
      </c>
      <c r="CB516" s="1307">
        <f>BY516+CA516</f>
        <v>1780</v>
      </c>
      <c r="CC516" s="1309">
        <f>BZ516+CA516</f>
        <v>3471</v>
      </c>
      <c r="CD516" s="1308">
        <v>881</v>
      </c>
      <c r="CE516" s="1307">
        <v>688</v>
      </c>
      <c r="CF516" s="1307">
        <f>CD516+CE516</f>
        <v>1569</v>
      </c>
      <c r="CG516" s="1307">
        <v>968</v>
      </c>
      <c r="CH516" s="1307">
        <f>CF516+CG516</f>
        <v>2537</v>
      </c>
      <c r="CI516" s="1307">
        <v>629</v>
      </c>
      <c r="CJ516" s="1307">
        <f>CG516+CI516</f>
        <v>1597</v>
      </c>
      <c r="CK516" s="1309">
        <f>CH516+CI516</f>
        <v>3166</v>
      </c>
      <c r="CL516" s="1308">
        <v>1067</v>
      </c>
      <c r="CM516" s="1307">
        <v>936</v>
      </c>
      <c r="CN516" s="1307">
        <f>CL516+CM516</f>
        <v>2003</v>
      </c>
      <c r="CO516" s="1307">
        <f>CP516-CN516</f>
        <v>1336</v>
      </c>
      <c r="CP516" s="1307">
        <v>3339</v>
      </c>
      <c r="CQ516" s="1307">
        <f>CS516-CP516</f>
        <v>823</v>
      </c>
      <c r="CR516" s="1307">
        <f>CQ516+CO516</f>
        <v>2159</v>
      </c>
      <c r="CS516" s="1309">
        <v>4162</v>
      </c>
      <c r="CT516" s="1308">
        <v>1149</v>
      </c>
      <c r="CU516" s="1307">
        <v>967</v>
      </c>
      <c r="CV516" s="1307">
        <f>+CU516+CT516</f>
        <v>2116</v>
      </c>
      <c r="CW516" s="1307">
        <f>CX516-CV516</f>
        <v>1339</v>
      </c>
      <c r="CX516" s="1307">
        <v>3455</v>
      </c>
      <c r="CY516" s="1307">
        <f>DA516-CX516</f>
        <v>914</v>
      </c>
      <c r="CZ516" s="1307">
        <f>CY516+CW516</f>
        <v>2253</v>
      </c>
      <c r="DA516" s="1309">
        <v>4369</v>
      </c>
      <c r="DB516" s="1332">
        <v>1249</v>
      </c>
      <c r="DC516" s="1311">
        <v>1103</v>
      </c>
      <c r="DD516" s="1311">
        <v>2352</v>
      </c>
      <c r="DE516" s="1311">
        <v>1423</v>
      </c>
      <c r="DF516" s="1311">
        <v>3776</v>
      </c>
      <c r="DG516" s="1311">
        <f>DI516-DF516</f>
        <v>889</v>
      </c>
      <c r="DH516" s="1311">
        <f>DI516-DD516</f>
        <v>2313</v>
      </c>
      <c r="DI516" s="1312">
        <v>4665</v>
      </c>
      <c r="DJ516" s="1311">
        <v>1175</v>
      </c>
      <c r="DK516" s="1311">
        <f>DC516*(1+DK517)</f>
        <v>968</v>
      </c>
      <c r="DL516" s="1311">
        <f>DK516+DJ516</f>
        <v>2143</v>
      </c>
      <c r="DM516" s="1311">
        <v>1299</v>
      </c>
      <c r="DN516" s="1311">
        <f>DM516+DL516</f>
        <v>3442</v>
      </c>
      <c r="DO516" s="1311">
        <f>DG516*(1+DO517)</f>
        <v>926.142938538963</v>
      </c>
      <c r="DP516" s="1311">
        <f>DO516+DM516</f>
        <v>2225.14293853896</v>
      </c>
      <c r="DQ516" s="1312">
        <f>DP516+DL516</f>
        <v>4368.14293853896</v>
      </c>
      <c r="DR516" s="1311"/>
      <c r="DS516" s="1311"/>
      <c r="DT516" s="1311"/>
      <c r="DU516" s="1311"/>
      <c r="DV516" s="1311"/>
      <c r="DW516" s="1311"/>
      <c r="DX516" s="1311"/>
      <c r="DY516" s="1312"/>
      <c r="DZ516" s="1311"/>
      <c r="EA516" s="1311"/>
      <c r="EB516" s="1311"/>
      <c r="EC516" s="1311"/>
      <c r="ED516" s="1311"/>
      <c r="EE516" s="1311"/>
      <c r="EF516" s="1311"/>
      <c r="EG516" s="1312"/>
      <c r="EH516" s="1311"/>
      <c r="EI516" s="1311"/>
      <c r="EJ516" s="1311"/>
      <c r="EK516" s="1311"/>
      <c r="EL516" s="1311"/>
      <c r="EM516" s="1311"/>
      <c r="EN516" s="1311"/>
      <c r="EO516" s="1312"/>
      <c r="EP516" s="1311"/>
      <c r="EQ516" s="1311"/>
      <c r="ER516" s="1311"/>
      <c r="ES516" s="1311"/>
      <c r="ET516" s="1311"/>
      <c r="EU516" s="1311"/>
      <c r="EV516" s="1311"/>
      <c r="IX516" s="1049"/>
      <c r="IY516" s="1049"/>
      <c r="IZ516" s="1049"/>
      <c r="JA516" s="1049"/>
      <c r="JB516" s="1049"/>
      <c r="JC516" s="1049"/>
      <c r="JD516" s="1469"/>
      <c r="JE516" s="1037"/>
      <c r="JF516" s="1037"/>
      <c r="JG516" s="1037"/>
      <c r="JH516" s="1037"/>
      <c r="JI516" s="1035"/>
      <c r="JJ516" s="1035"/>
      <c r="JK516" s="1035"/>
      <c r="JL516" s="1035"/>
      <c r="JM516" s="1035"/>
      <c r="JN516" s="1035"/>
      <c r="JO516" s="1035"/>
      <c r="JP516" s="1035"/>
      <c r="JQ516" s="1035"/>
      <c r="JR516" s="1035"/>
      <c r="JS516" s="1035"/>
      <c r="JT516" s="1035"/>
      <c r="JU516" s="1035"/>
      <c r="JV516" s="1035"/>
      <c r="JW516" s="1035"/>
      <c r="JX516" s="1035"/>
      <c r="JY516" s="1035"/>
      <c r="KP516" s="1110"/>
      <c r="LV516" s="967"/>
    </row>
    <row r="517" spans="1:334">
      <c r="A517" s="1035" t="s">
        <v>142</v>
      </c>
      <c r="B517" s="1302" t="s">
        <v>173</v>
      </c>
      <c r="C517" s="1302" t="s">
        <v>173</v>
      </c>
      <c r="D517" s="1302" t="s">
        <v>173</v>
      </c>
      <c r="E517" s="1302" t="s">
        <v>173</v>
      </c>
      <c r="F517" s="1302" t="s">
        <v>173</v>
      </c>
      <c r="G517" s="1302" t="s">
        <v>173</v>
      </c>
      <c r="H517" s="1302" t="s">
        <v>173</v>
      </c>
      <c r="I517" s="1302" t="s">
        <v>173</v>
      </c>
      <c r="J517" s="1302">
        <f t="shared" ref="J517:AO517" si="4128">J516/B516-1</f>
        <v>0.279521674140508</v>
      </c>
      <c r="K517" s="1302">
        <f t="shared" si="4128"/>
        <v>0.417695473251029</v>
      </c>
      <c r="L517" s="1302">
        <f t="shared" si="4128"/>
        <v>0.337662337662338</v>
      </c>
      <c r="M517" s="1302">
        <f t="shared" si="4128"/>
        <v>0.340848806366048</v>
      </c>
      <c r="N517" s="1302">
        <f t="shared" si="4128"/>
        <v>0.338920900995285</v>
      </c>
      <c r="O517" s="1302">
        <f t="shared" si="4128"/>
        <v>0.354460093896714</v>
      </c>
      <c r="P517" s="1302">
        <f t="shared" si="4128"/>
        <v>0.345762711864407</v>
      </c>
      <c r="Q517" s="1302">
        <f t="shared" si="4128"/>
        <v>0.341755888650964</v>
      </c>
      <c r="R517" s="1302">
        <f t="shared" si="4128"/>
        <v>0.29088785046729</v>
      </c>
      <c r="S517" s="1302">
        <f t="shared" si="4128"/>
        <v>0.28011611030479</v>
      </c>
      <c r="T517" s="1302">
        <f t="shared" si="4128"/>
        <v>0.286084142394822</v>
      </c>
      <c r="U517" s="1302">
        <f t="shared" si="4128"/>
        <v>0.357072205736894</v>
      </c>
      <c r="V517" s="1302">
        <f t="shared" si="4128"/>
        <v>0.314162754303599</v>
      </c>
      <c r="W517" s="1302">
        <f t="shared" si="4128"/>
        <v>0.331022530329289</v>
      </c>
      <c r="X517" s="1302">
        <f t="shared" si="4128"/>
        <v>0.347607052896725</v>
      </c>
      <c r="Y517" s="1302">
        <f t="shared" si="4128"/>
        <v>0.317267794446218</v>
      </c>
      <c r="Z517" s="1302">
        <f t="shared" si="4128"/>
        <v>0.429864253393665</v>
      </c>
      <c r="AA517" s="1302">
        <f t="shared" si="4128"/>
        <v>0.374149659863946</v>
      </c>
      <c r="AB517" s="1302">
        <f t="shared" si="4128"/>
        <v>0.405133366884751</v>
      </c>
      <c r="AC517" s="1302">
        <f t="shared" si="4128"/>
        <v>0.210641399416909</v>
      </c>
      <c r="AD517" s="1302">
        <f t="shared" si="4128"/>
        <v>0.325692170288776</v>
      </c>
      <c r="AE517" s="1302">
        <f t="shared" si="4128"/>
        <v>0.276041666666667</v>
      </c>
      <c r="AF517" s="1302">
        <f t="shared" si="4128"/>
        <v>0.23411214953271</v>
      </c>
      <c r="AG517" s="1302">
        <f t="shared" si="4128"/>
        <v>0.31645262902835</v>
      </c>
      <c r="AH517" s="1302">
        <f t="shared" si="4128"/>
        <v>-0.0703765779460148</v>
      </c>
      <c r="AI517" s="1302">
        <f t="shared" si="4128"/>
        <v>-0.096330520984819</v>
      </c>
      <c r="AJ517" s="1302">
        <f t="shared" si="4128"/>
        <v>-0.0816431176892206</v>
      </c>
      <c r="AK517" s="1302">
        <f t="shared" si="4128"/>
        <v>0.00439283511131272</v>
      </c>
      <c r="AL517" s="1302">
        <f t="shared" si="4128"/>
        <v>-0.0495511083468254</v>
      </c>
      <c r="AM517" s="1302">
        <f t="shared" si="4128"/>
        <v>0.113607970080268</v>
      </c>
      <c r="AN517" s="1302">
        <f t="shared" ref="AN517:BU517" si="4129">AN516/AF516-1</f>
        <v>0.0449194660350445</v>
      </c>
      <c r="AO517" s="1302">
        <f t="shared" si="4128"/>
        <v>-0.0201206101214341</v>
      </c>
      <c r="AP517" s="1302">
        <f t="shared" si="4129"/>
        <v>0.0852197070572569</v>
      </c>
      <c r="AQ517" s="1302">
        <f t="shared" si="4129"/>
        <v>0.0517857142857143</v>
      </c>
      <c r="AR517" s="1302">
        <f t="shared" si="4129"/>
        <v>0.0709382151029749</v>
      </c>
      <c r="AS517" s="1302">
        <f t="shared" si="4129"/>
        <v>0.0128956623681125</v>
      </c>
      <c r="AT517" s="1302">
        <f t="shared" si="4129"/>
        <v>0.0480591497227356</v>
      </c>
      <c r="AU517" s="1302">
        <f t="shared" si="4129"/>
        <v>0.0609318996415771</v>
      </c>
      <c r="AV517" s="1302">
        <f t="shared" si="4129"/>
        <v>0.0318922749822821</v>
      </c>
      <c r="AW517" s="1302">
        <f t="shared" si="4129"/>
        <v>0.0506980161645849</v>
      </c>
      <c r="AX517" s="1303">
        <f t="shared" si="4129"/>
        <v>0.0453987730061349</v>
      </c>
      <c r="AY517" s="1302">
        <f t="shared" si="4129"/>
        <v>0.122241086587436</v>
      </c>
      <c r="AZ517" s="1302">
        <f t="shared" si="4129"/>
        <v>0.0776353276353277</v>
      </c>
      <c r="BA517" s="1302">
        <f t="shared" si="4129"/>
        <v>0.0798611111111112</v>
      </c>
      <c r="BB517" s="1302">
        <f t="shared" si="4129"/>
        <v>-0.297178130511464</v>
      </c>
      <c r="BC517" s="1302">
        <f t="shared" si="4129"/>
        <v>0.0472972972972974</v>
      </c>
      <c r="BD517" s="1302">
        <f t="shared" si="4129"/>
        <v>0.0666208791208791</v>
      </c>
      <c r="BE517" s="1304">
        <f t="shared" si="4129"/>
        <v>-0.225874125874126</v>
      </c>
      <c r="BF517" s="1302">
        <f t="shared" si="4129"/>
        <v>-0.00117370892018775</v>
      </c>
      <c r="BG517" s="1302">
        <f t="shared" si="4129"/>
        <v>0.0620272314674735</v>
      </c>
      <c r="BH517" s="1302">
        <f t="shared" si="4129"/>
        <v>0.0264375413086584</v>
      </c>
      <c r="BI517" s="1302">
        <f t="shared" si="4129"/>
        <v>0.0589496248660235</v>
      </c>
      <c r="BJ517" s="1302">
        <f t="shared" si="4129"/>
        <v>0.594102885821832</v>
      </c>
      <c r="BK517" s="1302">
        <f t="shared" si="4129"/>
        <v>0.064516129032258</v>
      </c>
      <c r="BL517" s="1302">
        <f t="shared" si="4129"/>
        <v>0.0611719253058596</v>
      </c>
      <c r="BM517" s="1302">
        <f t="shared" si="4129"/>
        <v>0.44579945799458</v>
      </c>
      <c r="BN517" s="1303">
        <f t="shared" si="4129"/>
        <v>0.0963572267920094</v>
      </c>
      <c r="BO517" s="1302">
        <f t="shared" si="4129"/>
        <v>0.0313390313390314</v>
      </c>
      <c r="BP517" s="1302">
        <f t="shared" si="4129"/>
        <v>0.0669671603348359</v>
      </c>
      <c r="BQ517" s="1302">
        <f t="shared" si="4129"/>
        <v>0.0323886639676114</v>
      </c>
      <c r="BR517" s="1302">
        <f t="shared" si="4129"/>
        <v>0.0535222353404172</v>
      </c>
      <c r="BS517" s="1302">
        <f t="shared" si="4129"/>
        <v>0.0424242424242425</v>
      </c>
      <c r="BT517" s="1302">
        <f t="shared" si="4129"/>
        <v>0.0364077669902914</v>
      </c>
      <c r="BU517" s="1304">
        <f t="shared" si="4129"/>
        <v>0.0512339893783194</v>
      </c>
      <c r="BV517" s="1303">
        <f t="shared" ref="BV517:CN517" si="4130">BV516/BN516-1</f>
        <v>0.0192926045016077</v>
      </c>
      <c r="BW517" s="1302">
        <f t="shared" si="4130"/>
        <v>0.0220994475138121</v>
      </c>
      <c r="BX517" s="1302">
        <f t="shared" si="4130"/>
        <v>0.0205190102595052</v>
      </c>
      <c r="BY517" s="1302">
        <f t="shared" si="4130"/>
        <v>0.0558823529411765</v>
      </c>
      <c r="BZ517" s="1302">
        <f t="shared" si="4130"/>
        <v>0.0339932760552857</v>
      </c>
      <c r="CA517" s="1302">
        <f t="shared" si="4130"/>
        <v>0.0218023255813953</v>
      </c>
      <c r="CB517" s="1302">
        <f t="shared" si="4130"/>
        <v>0.0421545667447307</v>
      </c>
      <c r="CC517" s="1304">
        <f t="shared" si="4130"/>
        <v>0.0315007429420506</v>
      </c>
      <c r="CD517" s="1303">
        <f t="shared" si="4130"/>
        <v>-0.0736067297581493</v>
      </c>
      <c r="CE517" s="1302">
        <f t="shared" si="4130"/>
        <v>-0.0702702702702702</v>
      </c>
      <c r="CF517" s="1302">
        <f t="shared" si="4130"/>
        <v>-0.0721466587817859</v>
      </c>
      <c r="CG517" s="1302">
        <f t="shared" si="4130"/>
        <v>-0.101207056638811</v>
      </c>
      <c r="CH517" s="1302">
        <f t="shared" si="4130"/>
        <v>-0.0834537572254336</v>
      </c>
      <c r="CI517" s="1302">
        <f t="shared" si="4130"/>
        <v>-0.105263157894737</v>
      </c>
      <c r="CJ517" s="1302">
        <f t="shared" si="4130"/>
        <v>-0.102808988764045</v>
      </c>
      <c r="CK517" s="1304">
        <f t="shared" si="4130"/>
        <v>-0.0878709305675598</v>
      </c>
      <c r="CL517" s="1303">
        <v>0.211123723041998</v>
      </c>
      <c r="CM517" s="1302">
        <f t="shared" si="4130"/>
        <v>0.36046511627907</v>
      </c>
      <c r="CN517" s="1302">
        <f t="shared" si="4130"/>
        <v>0.276609305289994</v>
      </c>
      <c r="CO517" s="1302">
        <f t="shared" ref="CO517:CT517" si="4131">CO516/CG516-1</f>
        <v>0.380165289256198</v>
      </c>
      <c r="CP517" s="1302">
        <f t="shared" si="4131"/>
        <v>0.316121403232164</v>
      </c>
      <c r="CQ517" s="1302">
        <f t="shared" si="4131"/>
        <v>0.308426073131955</v>
      </c>
      <c r="CR517" s="1302">
        <f t="shared" si="4131"/>
        <v>0.351909830932999</v>
      </c>
      <c r="CS517" s="1304">
        <f t="shared" si="4131"/>
        <v>0.314592545799116</v>
      </c>
      <c r="CT517" s="1303">
        <f t="shared" si="4131"/>
        <v>0.0768509840674789</v>
      </c>
      <c r="CU517" s="1302">
        <f t="shared" ref="CU517:DA517" si="4132">CU516/CM516-1</f>
        <v>0.0331196581196582</v>
      </c>
      <c r="CV517" s="1302">
        <f t="shared" si="4132"/>
        <v>0.0564153769345981</v>
      </c>
      <c r="CW517" s="1302">
        <f t="shared" si="4132"/>
        <v>0.0022455089820359</v>
      </c>
      <c r="CX517" s="1302">
        <f t="shared" si="4132"/>
        <v>0.0347409404013177</v>
      </c>
      <c r="CY517" s="1302">
        <f t="shared" si="4132"/>
        <v>0.110571081409478</v>
      </c>
      <c r="CZ517" s="1302">
        <f t="shared" si="4132"/>
        <v>0.0435386753126448</v>
      </c>
      <c r="DA517" s="1304">
        <f t="shared" si="4132"/>
        <v>0.0497357039884672</v>
      </c>
      <c r="DB517" s="1109">
        <f t="shared" ref="DB517:DJ517" si="4133">DB516/CT516-1</f>
        <v>0.0870322019147085</v>
      </c>
      <c r="DC517" s="1082">
        <f t="shared" si="4133"/>
        <v>0.140641158221303</v>
      </c>
      <c r="DD517" s="1082">
        <f t="shared" si="4133"/>
        <v>0.111531190926276</v>
      </c>
      <c r="DE517" s="1082">
        <f t="shared" si="4133"/>
        <v>0.0627333831217327</v>
      </c>
      <c r="DF517" s="1082">
        <f t="shared" si="4133"/>
        <v>0.0929088277858177</v>
      </c>
      <c r="DG517" s="1082">
        <f t="shared" si="4133"/>
        <v>-0.0273522975929978</v>
      </c>
      <c r="DH517" s="1082">
        <f t="shared" si="4133"/>
        <v>0.0266311584553929</v>
      </c>
      <c r="DI517" s="1085">
        <f t="shared" si="4133"/>
        <v>0.0677500572213321</v>
      </c>
      <c r="DJ517" s="1082">
        <f t="shared" si="4133"/>
        <v>-0.0592473979183347</v>
      </c>
      <c r="DK517" s="1082">
        <f>SUM(DK518:DK519)</f>
        <v>-0.122393472348141</v>
      </c>
      <c r="DL517" s="1082">
        <f>DL516/DD516-1</f>
        <v>-0.0888605442176871</v>
      </c>
      <c r="DM517" s="1082">
        <f>DM516/DE516-1</f>
        <v>-0.0871398453970484</v>
      </c>
      <c r="DN517" s="1082">
        <f>DN516/DF516-1</f>
        <v>-0.0884533898305084</v>
      </c>
      <c r="DO517" s="1082">
        <f>SUM(DO518:DO519)</f>
        <v>0.0417805832834231</v>
      </c>
      <c r="DP517" s="1082">
        <f>DP516/DH516-1</f>
        <v>-0.0379840300307122</v>
      </c>
      <c r="DQ517" s="1085">
        <f>DQ516/DI516-1</f>
        <v>-0.0636349542253027</v>
      </c>
      <c r="DR517" s="1082"/>
      <c r="DS517" s="1082"/>
      <c r="DT517" s="1082"/>
      <c r="DU517" s="1082"/>
      <c r="DV517" s="1082"/>
      <c r="DW517" s="1082"/>
      <c r="DX517" s="1082"/>
      <c r="DY517" s="1085"/>
      <c r="DZ517" s="1082"/>
      <c r="EA517" s="1082"/>
      <c r="EB517" s="1082"/>
      <c r="EC517" s="1082"/>
      <c r="ED517" s="1082"/>
      <c r="EE517" s="1082"/>
      <c r="EF517" s="1082"/>
      <c r="EG517" s="1085"/>
      <c r="EH517" s="1082"/>
      <c r="EI517" s="1082"/>
      <c r="EJ517" s="1082"/>
      <c r="EK517" s="1082"/>
      <c r="EL517" s="1082"/>
      <c r="EM517" s="1082"/>
      <c r="EN517" s="1082"/>
      <c r="EO517" s="1085"/>
      <c r="EP517" s="1082"/>
      <c r="EQ517" s="1082"/>
      <c r="ER517" s="1082"/>
      <c r="ES517" s="1082"/>
      <c r="ET517" s="1082"/>
      <c r="EU517" s="1082"/>
      <c r="EV517" s="1082"/>
      <c r="IX517" s="1049"/>
      <c r="IY517" s="1049"/>
      <c r="IZ517" s="1049"/>
      <c r="JA517" s="1049"/>
      <c r="JB517" s="1049"/>
      <c r="JC517" s="1049"/>
      <c r="JD517" s="1112"/>
      <c r="JE517" s="1037"/>
      <c r="JF517" s="1037"/>
      <c r="JG517" s="1037"/>
      <c r="JH517" s="1037"/>
      <c r="JI517" s="1035"/>
      <c r="JJ517" s="1035"/>
      <c r="JK517" s="1035"/>
      <c r="JL517" s="1035"/>
      <c r="JM517" s="1035"/>
      <c r="JN517" s="1035"/>
      <c r="JO517" s="1035"/>
      <c r="JP517" s="1035"/>
      <c r="JQ517" s="1035"/>
      <c r="JR517" s="1035"/>
      <c r="JS517" s="1035"/>
      <c r="JT517" s="1035"/>
      <c r="JU517" s="1035"/>
      <c r="JV517" s="1035"/>
      <c r="JW517" s="1035"/>
      <c r="JX517" s="1035"/>
      <c r="JY517" s="1035"/>
      <c r="KP517" s="1025"/>
      <c r="LV517" s="967"/>
    </row>
    <row r="518" spans="1:334">
      <c r="A518" s="1035" t="s">
        <v>623</v>
      </c>
      <c r="B518" s="1302"/>
      <c r="C518" s="1302"/>
      <c r="D518" s="1302"/>
      <c r="E518" s="1302"/>
      <c r="F518" s="1302"/>
      <c r="G518" s="1302"/>
      <c r="H518" s="1302"/>
      <c r="I518" s="1302"/>
      <c r="J518" s="1302"/>
      <c r="K518" s="1302"/>
      <c r="L518" s="1302"/>
      <c r="M518" s="1302"/>
      <c r="N518" s="1302"/>
      <c r="O518" s="1302"/>
      <c r="P518" s="1302"/>
      <c r="Q518" s="1302"/>
      <c r="R518" s="1302"/>
      <c r="S518" s="1302"/>
      <c r="T518" s="1302"/>
      <c r="U518" s="1302"/>
      <c r="V518" s="1302"/>
      <c r="W518" s="1302"/>
      <c r="X518" s="1302"/>
      <c r="Y518" s="1302"/>
      <c r="Z518" s="1302"/>
      <c r="AA518" s="1302"/>
      <c r="AB518" s="1302"/>
      <c r="AC518" s="1302"/>
      <c r="AD518" s="1302"/>
      <c r="AE518" s="1302"/>
      <c r="AF518" s="1302"/>
      <c r="AG518" s="1302"/>
      <c r="AH518" s="1302"/>
      <c r="AI518" s="1302"/>
      <c r="AJ518" s="1302"/>
      <c r="AK518" s="1302"/>
      <c r="AL518" s="1302"/>
      <c r="AM518" s="1302"/>
      <c r="AN518" s="1302"/>
      <c r="AO518" s="1302"/>
      <c r="AP518" s="1302"/>
      <c r="AQ518" s="1302"/>
      <c r="AR518" s="1302"/>
      <c r="AS518" s="1302"/>
      <c r="AT518" s="1302"/>
      <c r="AU518" s="1302"/>
      <c r="AV518" s="1302"/>
      <c r="AW518" s="1302"/>
      <c r="AX518" s="1303"/>
      <c r="AY518" s="1302"/>
      <c r="AZ518" s="1302"/>
      <c r="BA518" s="1302"/>
      <c r="BB518" s="1302"/>
      <c r="BC518" s="1302"/>
      <c r="BD518" s="1302"/>
      <c r="BE518" s="1304"/>
      <c r="BF518" s="1302"/>
      <c r="BG518" s="1302"/>
      <c r="BH518" s="1302"/>
      <c r="BI518" s="1302"/>
      <c r="BJ518" s="1302"/>
      <c r="BK518" s="1302"/>
      <c r="BL518" s="1302"/>
      <c r="BM518" s="1302"/>
      <c r="BN518" s="1303"/>
      <c r="BO518" s="1302"/>
      <c r="BP518" s="1302"/>
      <c r="BQ518" s="1302"/>
      <c r="BR518" s="1302"/>
      <c r="BS518" s="1302"/>
      <c r="BT518" s="1302"/>
      <c r="BU518" s="1304"/>
      <c r="BV518" s="1303"/>
      <c r="BW518" s="1302"/>
      <c r="BX518" s="1302"/>
      <c r="BY518" s="1302"/>
      <c r="BZ518" s="1302"/>
      <c r="CA518" s="1302"/>
      <c r="CB518" s="1302"/>
      <c r="CC518" s="1304"/>
      <c r="CD518" s="1303"/>
      <c r="CE518" s="1302"/>
      <c r="CF518" s="1302"/>
      <c r="CG518" s="1302"/>
      <c r="CH518" s="1302"/>
      <c r="CI518" s="1302"/>
      <c r="CJ518" s="1302"/>
      <c r="CK518" s="1304"/>
      <c r="CL518" s="1303"/>
      <c r="CM518" s="1302"/>
      <c r="CN518" s="1302"/>
      <c r="CO518" s="1302"/>
      <c r="CP518" s="1302"/>
      <c r="CQ518" s="1302"/>
      <c r="CR518" s="1302"/>
      <c r="CS518" s="1304"/>
      <c r="CT518" s="1303">
        <f>CT517-CT519</f>
        <v>-0.0231490159325211</v>
      </c>
      <c r="CU518" s="1302">
        <f>+CU517-CU519</f>
        <v>-0.00188034188034178</v>
      </c>
      <c r="CV518" s="1302">
        <f>+CV517-CV519</f>
        <v>-0.0135846230654019</v>
      </c>
      <c r="CW518" s="1302">
        <f>+CW517-CW519</f>
        <v>-0.0187544910179641</v>
      </c>
      <c r="CX518" s="1302">
        <f>+CX517-CX519</f>
        <v>-0.0152590595986823</v>
      </c>
      <c r="CY518" s="1302">
        <f t="shared" ref="CY518:DI518" si="4134">CY517-CY519</f>
        <v>-0.0405710814094775</v>
      </c>
      <c r="CZ518" s="1302">
        <f t="shared" si="4134"/>
        <v>-0.0264613246873552</v>
      </c>
      <c r="DA518" s="1304">
        <f t="shared" si="4134"/>
        <v>-0.0202642960115328</v>
      </c>
      <c r="DB518" s="1109">
        <f t="shared" si="4134"/>
        <v>-0.0329677980852915</v>
      </c>
      <c r="DC518" s="1082">
        <f t="shared" si="4134"/>
        <v>-0.0668872802481903</v>
      </c>
      <c r="DD518" s="1082">
        <f t="shared" si="4134"/>
        <v>-0.0484688090737241</v>
      </c>
      <c r="DE518" s="1082">
        <f t="shared" si="4134"/>
        <v>-0.0198581030619865</v>
      </c>
      <c r="DF518" s="1082">
        <f t="shared" si="4134"/>
        <v>-0.0370911722141823</v>
      </c>
      <c r="DG518" s="1082">
        <f t="shared" si="4134"/>
        <v>-0.0617505470459518</v>
      </c>
      <c r="DH518" s="1082">
        <f t="shared" si="4134"/>
        <v>-0.0364092321349311</v>
      </c>
      <c r="DI518" s="1085">
        <f t="shared" si="4134"/>
        <v>-0.0422499427786679</v>
      </c>
      <c r="DJ518" s="1082">
        <f t="shared" ref="DJ518:DQ518" si="4135">DJ517-DJ519</f>
        <v>-0.00924739791833466</v>
      </c>
      <c r="DK518" s="1082">
        <v>-0.00842248413417955</v>
      </c>
      <c r="DL518" s="1082">
        <f t="shared" si="4135"/>
        <v>-0.00886054421768707</v>
      </c>
      <c r="DM518" s="1082">
        <f t="shared" si="4135"/>
        <v>-0.0131398453970484</v>
      </c>
      <c r="DN518" s="1082">
        <f t="shared" si="4135"/>
        <v>-0.0107356991525423</v>
      </c>
      <c r="DO518" s="1488">
        <f>DO484*-0.04</f>
        <v>-0.00821941671657687</v>
      </c>
      <c r="DP518" s="1082">
        <f t="shared" si="4135"/>
        <v>-0.011675340017742</v>
      </c>
      <c r="DQ518" s="1085">
        <f t="shared" si="4135"/>
        <v>-0.0102561760902545</v>
      </c>
      <c r="DR518" s="1488"/>
      <c r="DS518" s="1488"/>
      <c r="DT518" s="1082"/>
      <c r="DU518" s="1488"/>
      <c r="DV518" s="1082"/>
      <c r="DW518" s="1488"/>
      <c r="DX518" s="1082"/>
      <c r="DY518" s="1085"/>
      <c r="DZ518" s="1488"/>
      <c r="EA518" s="1488"/>
      <c r="EB518" s="1082"/>
      <c r="EC518" s="1488"/>
      <c r="ED518" s="1082"/>
      <c r="EE518" s="1488"/>
      <c r="EF518" s="1082"/>
      <c r="EG518" s="1085"/>
      <c r="EH518" s="1488"/>
      <c r="EI518" s="1488"/>
      <c r="EJ518" s="1082"/>
      <c r="EK518" s="1488"/>
      <c r="EL518" s="1082"/>
      <c r="EM518" s="1488"/>
      <c r="EN518" s="1082"/>
      <c r="EO518" s="1085"/>
      <c r="EP518" s="1082"/>
      <c r="EQ518" s="1082"/>
      <c r="ER518" s="1082"/>
      <c r="ES518" s="1082"/>
      <c r="ET518" s="1082"/>
      <c r="EU518" s="1082"/>
      <c r="EV518" s="1082"/>
      <c r="IX518" s="1049"/>
      <c r="IY518" s="1049"/>
      <c r="IZ518" s="1049"/>
      <c r="JA518" s="1049"/>
      <c r="JB518" s="1049"/>
      <c r="JC518" s="1049"/>
      <c r="JD518" s="1112"/>
      <c r="JE518" s="1037"/>
      <c r="JF518" s="1037"/>
      <c r="JG518" s="1037"/>
      <c r="JH518" s="1037"/>
      <c r="JI518" s="1035"/>
      <c r="JJ518" s="1035"/>
      <c r="JK518" s="1035"/>
      <c r="JL518" s="1035"/>
      <c r="JM518" s="1035"/>
      <c r="JN518" s="1035"/>
      <c r="JO518" s="1035"/>
      <c r="JP518" s="1035"/>
      <c r="JQ518" s="1035"/>
      <c r="JR518" s="1035"/>
      <c r="JS518" s="1035"/>
      <c r="JT518" s="1035"/>
      <c r="JU518" s="1035"/>
      <c r="JV518" s="1035"/>
      <c r="JW518" s="1035"/>
      <c r="JX518" s="1035"/>
      <c r="JY518" s="1035"/>
      <c r="KP518" s="1117"/>
      <c r="LV518" s="967"/>
    </row>
    <row r="519" spans="1:334">
      <c r="A519" s="1035" t="s">
        <v>624</v>
      </c>
      <c r="B519" s="1302"/>
      <c r="C519" s="1302"/>
      <c r="D519" s="1302"/>
      <c r="E519" s="1302"/>
      <c r="F519" s="1302"/>
      <c r="G519" s="1302"/>
      <c r="H519" s="1302"/>
      <c r="I519" s="1302"/>
      <c r="J519" s="1302"/>
      <c r="K519" s="1302"/>
      <c r="L519" s="1302"/>
      <c r="M519" s="1302"/>
      <c r="N519" s="1302"/>
      <c r="O519" s="1302"/>
      <c r="P519" s="1302"/>
      <c r="Q519" s="1302"/>
      <c r="R519" s="1302"/>
      <c r="S519" s="1302"/>
      <c r="T519" s="1302"/>
      <c r="U519" s="1302"/>
      <c r="V519" s="1302"/>
      <c r="W519" s="1302"/>
      <c r="X519" s="1302"/>
      <c r="Y519" s="1302"/>
      <c r="Z519" s="1302"/>
      <c r="AA519" s="1302"/>
      <c r="AB519" s="1302"/>
      <c r="AC519" s="1302"/>
      <c r="AD519" s="1302"/>
      <c r="AE519" s="1302"/>
      <c r="AF519" s="1302"/>
      <c r="AG519" s="1302"/>
      <c r="AH519" s="1302"/>
      <c r="AI519" s="1302"/>
      <c r="AJ519" s="1302"/>
      <c r="AK519" s="1302"/>
      <c r="AL519" s="1302"/>
      <c r="AM519" s="1302"/>
      <c r="AN519" s="1302"/>
      <c r="AO519" s="1302"/>
      <c r="AP519" s="1302"/>
      <c r="AQ519" s="1302"/>
      <c r="AR519" s="1302"/>
      <c r="AS519" s="1302"/>
      <c r="AT519" s="1302"/>
      <c r="AU519" s="1302"/>
      <c r="AV519" s="1302"/>
      <c r="AW519" s="1302"/>
      <c r="AX519" s="1303"/>
      <c r="AY519" s="1302"/>
      <c r="AZ519" s="1302"/>
      <c r="BA519" s="1302"/>
      <c r="BB519" s="1302"/>
      <c r="BC519" s="1302"/>
      <c r="BD519" s="1302"/>
      <c r="BE519" s="1304"/>
      <c r="BF519" s="1302"/>
      <c r="BG519" s="1302"/>
      <c r="BH519" s="1302"/>
      <c r="BI519" s="1302"/>
      <c r="BJ519" s="1302"/>
      <c r="BK519" s="1302"/>
      <c r="BL519" s="1302"/>
      <c r="BM519" s="1302"/>
      <c r="BN519" s="1303"/>
      <c r="BO519" s="1302"/>
      <c r="BP519" s="1302"/>
      <c r="BQ519" s="1302"/>
      <c r="BR519" s="1302"/>
      <c r="BS519" s="1302"/>
      <c r="BT519" s="1302"/>
      <c r="BU519" s="1304"/>
      <c r="BV519" s="1303"/>
      <c r="BW519" s="1302"/>
      <c r="BX519" s="1302"/>
      <c r="BY519" s="1302"/>
      <c r="BZ519" s="1302"/>
      <c r="CA519" s="1302"/>
      <c r="CB519" s="1302"/>
      <c r="CC519" s="1304"/>
      <c r="CD519" s="1303"/>
      <c r="CE519" s="1302"/>
      <c r="CF519" s="1302"/>
      <c r="CG519" s="1302"/>
      <c r="CH519" s="1302"/>
      <c r="CI519" s="1302"/>
      <c r="CJ519" s="1302"/>
      <c r="CK519" s="1304"/>
      <c r="CL519" s="1303"/>
      <c r="CM519" s="1302"/>
      <c r="CN519" s="1302"/>
      <c r="CO519" s="1302"/>
      <c r="CP519" s="1302"/>
      <c r="CQ519" s="1302"/>
      <c r="CR519" s="1302"/>
      <c r="CS519" s="1304"/>
      <c r="CT519" s="1303">
        <v>0.1</v>
      </c>
      <c r="CU519" s="1302">
        <v>0.035</v>
      </c>
      <c r="CV519" s="1302">
        <v>0.07</v>
      </c>
      <c r="CW519" s="1302">
        <v>0.021</v>
      </c>
      <c r="CX519" s="1302">
        <v>0.05</v>
      </c>
      <c r="CY519" s="1302">
        <f>(DA519*CS516-CX519*CP516)/CQ516</f>
        <v>0.151142162818955</v>
      </c>
      <c r="CZ519" s="1302">
        <f>(DA519*CS516-CV519*CN516)/CR516</f>
        <v>0.07</v>
      </c>
      <c r="DA519" s="1304">
        <v>0.07</v>
      </c>
      <c r="DB519" s="1109">
        <v>0.12</v>
      </c>
      <c r="DC519" s="1082">
        <f>(DD519*CV516-DB519*CT516)/CU516</f>
        <v>0.207528438469493</v>
      </c>
      <c r="DD519" s="1082">
        <v>0.16</v>
      </c>
      <c r="DE519" s="1082">
        <f>(DF519*CX516-DD519*CV516)/CW516</f>
        <v>0.0825914861837192</v>
      </c>
      <c r="DF519" s="1082">
        <v>0.13</v>
      </c>
      <c r="DG519" s="1082">
        <f>(DI519*DA516-DF519*CX516)/CY516</f>
        <v>0.034398249452954</v>
      </c>
      <c r="DH519" s="1082">
        <f>(DI519*DA516-DD519*CV516)/CZ516</f>
        <v>0.063040390590324</v>
      </c>
      <c r="DI519" s="1085">
        <v>0.11</v>
      </c>
      <c r="DJ519" s="1082">
        <v>-0.05</v>
      </c>
      <c r="DK519" s="1082">
        <v>-0.113970988213962</v>
      </c>
      <c r="DL519" s="1082">
        <f>(DK519*DC516+DJ519*DB516)/DD516</f>
        <v>-0.08</v>
      </c>
      <c r="DM519" s="1082">
        <v>-0.074</v>
      </c>
      <c r="DN519" s="1082">
        <f>(DM519*DE516+DL519*DD516)/DF516</f>
        <v>-0.0777176906779661</v>
      </c>
      <c r="DO519" s="1488">
        <v>0.05</v>
      </c>
      <c r="DP519" s="1082">
        <f>(DO519*DG516+DM519*DE516)/DH516</f>
        <v>-0.0263086900129702</v>
      </c>
      <c r="DQ519" s="1085">
        <f>(DP519*DH516+DL519*DD516)/DI516</f>
        <v>-0.0533787781350482</v>
      </c>
      <c r="DR519" s="1488"/>
      <c r="DS519" s="1488"/>
      <c r="DT519" s="1082"/>
      <c r="DU519" s="1488"/>
      <c r="DV519" s="1082"/>
      <c r="DW519" s="1488"/>
      <c r="DX519" s="1082"/>
      <c r="DY519" s="1085"/>
      <c r="DZ519" s="1488"/>
      <c r="EA519" s="1488"/>
      <c r="EB519" s="1082"/>
      <c r="EC519" s="1488"/>
      <c r="ED519" s="1082"/>
      <c r="EE519" s="1488"/>
      <c r="EF519" s="1082"/>
      <c r="EG519" s="1085"/>
      <c r="EH519" s="1488"/>
      <c r="EI519" s="1488"/>
      <c r="EJ519" s="1082"/>
      <c r="EK519" s="1488"/>
      <c r="EL519" s="1082"/>
      <c r="EM519" s="1488"/>
      <c r="EN519" s="1082"/>
      <c r="EO519" s="1085"/>
      <c r="EP519" s="1082"/>
      <c r="EQ519" s="1082"/>
      <c r="ER519" s="1082"/>
      <c r="ES519" s="1082"/>
      <c r="ET519" s="1082"/>
      <c r="EU519" s="1082"/>
      <c r="EV519" s="1082"/>
      <c r="IX519" s="1049"/>
      <c r="IY519" s="1049"/>
      <c r="IZ519" s="1049"/>
      <c r="JA519" s="1049"/>
      <c r="JB519" s="1049"/>
      <c r="JC519" s="1049"/>
      <c r="JD519" s="1112"/>
      <c r="JE519" s="1037"/>
      <c r="JF519" s="1037"/>
      <c r="JG519" s="1037"/>
      <c r="JH519" s="1037"/>
      <c r="JI519" s="1035"/>
      <c r="JJ519" s="1035"/>
      <c r="JK519" s="1035"/>
      <c r="JL519" s="1035"/>
      <c r="JM519" s="1035"/>
      <c r="JN519" s="1035"/>
      <c r="JO519" s="1035"/>
      <c r="JP519" s="1035"/>
      <c r="JQ519" s="1035"/>
      <c r="JR519" s="1035"/>
      <c r="JS519" s="1035"/>
      <c r="JT519" s="1035"/>
      <c r="JU519" s="1035"/>
      <c r="JV519" s="1035"/>
      <c r="JW519" s="1035"/>
      <c r="JX519" s="1035"/>
      <c r="JY519" s="1035"/>
      <c r="KP519" s="1025"/>
      <c r="LV519" s="967"/>
    </row>
    <row r="520" spans="1:334">
      <c r="A520" s="1035" t="s">
        <v>621</v>
      </c>
      <c r="B520" s="1302">
        <v>0.342745190380762</v>
      </c>
      <c r="C520" s="1302">
        <v>0.331764753004005</v>
      </c>
      <c r="D520" s="1302">
        <f>D516/D$543</f>
        <v>0.338037492844877</v>
      </c>
      <c r="E520" s="1302">
        <v>0.352395063985375</v>
      </c>
      <c r="F520" s="1302">
        <f>F516/F$543</f>
        <v>0.343566244280183</v>
      </c>
      <c r="G520" s="1302">
        <v>0.330521699544765</v>
      </c>
      <c r="H520" s="1302">
        <f>H516/H$543</f>
        <v>0.67313177410154</v>
      </c>
      <c r="I520" s="1302">
        <f>I516/I$543</f>
        <v>0.341110142857143</v>
      </c>
      <c r="J520" s="1302">
        <v>0.715001670564651</v>
      </c>
      <c r="K520" s="1302">
        <v>0.659203980099502</v>
      </c>
      <c r="L520" s="1302">
        <f>L516/L$543</f>
        <v>0.688993935069568</v>
      </c>
      <c r="M520" s="1302">
        <v>0.686820652173913</v>
      </c>
      <c r="N520" s="1302">
        <f>N516/N$543</f>
        <v>0.688132672840836</v>
      </c>
      <c r="O520" s="1302">
        <v>0.580191050779286</v>
      </c>
      <c r="P520" s="1302">
        <f>P516/P$543</f>
        <v>0.643696797730037</v>
      </c>
      <c r="Q520" s="1302">
        <f>Q516/Q$543</f>
        <v>0.665335853384017</v>
      </c>
      <c r="R520" s="1302">
        <v>0.645067133683596</v>
      </c>
      <c r="S520" s="1302">
        <v>0.618079887876664</v>
      </c>
      <c r="T520" s="1302">
        <f>T516/T$543</f>
        <v>0.632802547770701</v>
      </c>
      <c r="U520" s="1302">
        <v>0.639925373134328</v>
      </c>
      <c r="V520" s="1302">
        <f>V516/V$543</f>
        <v>0.635692657077971</v>
      </c>
      <c r="W520" s="1302">
        <v>0.543140028288543</v>
      </c>
      <c r="X520" s="1302">
        <f>X516/X$543</f>
        <v>0.601461495222035</v>
      </c>
      <c r="Y520" s="1302">
        <f>Y516/Y$543</f>
        <v>0.616154075843535</v>
      </c>
      <c r="Z520" s="1302">
        <v>0.583456425406204</v>
      </c>
      <c r="AA520" s="1302">
        <v>0.541071428571429</v>
      </c>
      <c r="AB520" s="1302">
        <f>AB516/AB$543</f>
        <v>0.5642683912692</v>
      </c>
      <c r="AC520" s="1302">
        <v>0.561528059499662</v>
      </c>
      <c r="AD520" s="1302">
        <f>AD516/AD$543</f>
        <v>0.563243106501391</v>
      </c>
      <c r="AE520" s="1302">
        <v>0.489755122438781</v>
      </c>
      <c r="AF520" s="1302">
        <f>AF516/AF$543</f>
        <v>0.532562302920701</v>
      </c>
      <c r="AG520" s="1302">
        <f>AG516/AG$543</f>
        <v>0.548400121126476</v>
      </c>
      <c r="AH520" s="1302">
        <v>0.540399193099815</v>
      </c>
      <c r="AI520" s="1302">
        <v>0.46885591120137</v>
      </c>
      <c r="AJ520" s="1302">
        <f>AJ516/AJ$543</f>
        <v>0.507331304988464</v>
      </c>
      <c r="AK520" s="1302">
        <v>0.541587301587302</v>
      </c>
      <c r="AL520" s="1302">
        <f>AL516/AL$543</f>
        <v>0.520303597630089</v>
      </c>
      <c r="AM520" s="1302">
        <v>0.466945606694561</v>
      </c>
      <c r="AN520" s="1302">
        <f>AN516/AN$543</f>
        <v>0.509018759018759</v>
      </c>
      <c r="AO520" s="1302">
        <f>AO516/AO$543</f>
        <v>0.508394466740711</v>
      </c>
      <c r="AP520" s="1302">
        <v>0.537244561634805</v>
      </c>
      <c r="AQ520" s="1302">
        <v>0.471955128205128</v>
      </c>
      <c r="AR520" s="1302">
        <f>AR516/AR$543</f>
        <v>0.507775768535262</v>
      </c>
      <c r="AS520" s="1302">
        <v>0.51520572450805</v>
      </c>
      <c r="AT520" s="1302">
        <f>AT516/AT$543</f>
        <v>0.510580819450698</v>
      </c>
      <c r="AU520" s="1302">
        <v>0.424982053122757</v>
      </c>
      <c r="AV520" s="1302">
        <f>AV516/AV$543</f>
        <v>0.474267100977199</v>
      </c>
      <c r="AW520" s="1302">
        <f>AW516/AW$543</f>
        <v>0.490145672664953</v>
      </c>
      <c r="AX520" s="1303">
        <v>0.546854942233633</v>
      </c>
      <c r="AY520" s="1302">
        <v>0.483187134502924</v>
      </c>
      <c r="AZ520" s="1302">
        <f>AZ516/AZ$543</f>
        <v>0.517088174982912</v>
      </c>
      <c r="BA520" s="1302">
        <v>0.52122905027933</v>
      </c>
      <c r="BB520" s="1302">
        <f>BB516/BB$543</f>
        <v>0.504749841671944</v>
      </c>
      <c r="BC520" s="1302">
        <v>0.444285202436403</v>
      </c>
      <c r="BD520" s="1302">
        <f>BD516/BD$543</f>
        <v>0.487598116169545</v>
      </c>
      <c r="BE520" s="1304">
        <f>BE516/BE$543</f>
        <v>0.486219391676732</v>
      </c>
      <c r="BF520" s="1302">
        <v>0.51953601953602</v>
      </c>
      <c r="BG520" s="1302">
        <v>0.465980750082974</v>
      </c>
      <c r="BH520" s="1302">
        <f>BH516/BH$543</f>
        <v>0.493878200031802</v>
      </c>
      <c r="BI520" s="1302">
        <v>0.529474812433012</v>
      </c>
      <c r="BJ520" s="1302">
        <f>BJ516/BJ$543</f>
        <v>0.507135016465423</v>
      </c>
      <c r="BK520" s="1302">
        <v>0.436796823295831</v>
      </c>
      <c r="BL520" s="1302">
        <f>BL516/BL$543</f>
        <v>0.488007106899615</v>
      </c>
      <c r="BM520" s="1302">
        <f>BM516/BM$543</f>
        <v>0.490837997393238</v>
      </c>
      <c r="BN520" s="1303">
        <v>0.559017375674056</v>
      </c>
      <c r="BO520" s="1302">
        <v>0.520114942528736</v>
      </c>
      <c r="BP520" s="1302">
        <f>BP516/BP$543</f>
        <v>0.541326363933355</v>
      </c>
      <c r="BQ520" s="1302">
        <v>0.55045871559633</v>
      </c>
      <c r="BR520" s="1302">
        <f>BR516/BR$543</f>
        <v>0.544770044770045</v>
      </c>
      <c r="BS520" s="1302">
        <v>0.508124076809453</v>
      </c>
      <c r="BT520" s="1302">
        <f>BT516/BT$543</f>
        <v>0.5325849703773</v>
      </c>
      <c r="BU520" s="1304">
        <f>BU516/BU$543</f>
        <v>0.536853860880664</v>
      </c>
      <c r="BV520" s="1303">
        <v>0.631893687707641</v>
      </c>
      <c r="BW520" s="1302">
        <v>0.52819414703783</v>
      </c>
      <c r="BX520" s="1302">
        <f>BX516/BX$543</f>
        <v>0.581899518238128</v>
      </c>
      <c r="BY520" s="1302">
        <v>0.612627986348123</v>
      </c>
      <c r="BZ520" s="1302">
        <f>BZ516/BZ$543</f>
        <v>0.593481989708405</v>
      </c>
      <c r="CA520" s="1302">
        <v>0.587792642140468</v>
      </c>
      <c r="CB520" s="1302">
        <f>CB516/CB$543</f>
        <v>0.525538824918807</v>
      </c>
      <c r="CC520" s="1304">
        <f>CC516/CC$543</f>
        <v>0.592320819112628</v>
      </c>
      <c r="CD520" s="1303">
        <v>0.526598924088464</v>
      </c>
      <c r="CE520" s="1302">
        <v>0.453825857519789</v>
      </c>
      <c r="CF520" s="1302">
        <f>CF516/CF$543</f>
        <v>0.492003762935089</v>
      </c>
      <c r="CG520" s="1302">
        <v>0.503118503118503</v>
      </c>
      <c r="CH520" s="1302">
        <f>CH516/CH$543</f>
        <v>0.496186192059456</v>
      </c>
      <c r="CI520" s="1302">
        <v>0.413543721236029</v>
      </c>
      <c r="CJ520" s="1302">
        <f>CJ516/CJ$543</f>
        <v>0.463570391872279</v>
      </c>
      <c r="CK520" s="1304">
        <f>CK516/CK$543</f>
        <v>0.477238468495629</v>
      </c>
      <c r="CL520" s="1303">
        <f t="shared" ref="CL520:DF520" si="4136">CL516/(CL$543-CL542)</f>
        <v>0.439818631492168</v>
      </c>
      <c r="CM520" s="1302">
        <f t="shared" si="4136"/>
        <v>0.394105263157895</v>
      </c>
      <c r="CN520" s="1302">
        <f t="shared" si="4136"/>
        <v>0.417204749010623</v>
      </c>
      <c r="CO520" s="1302">
        <f t="shared" si="4136"/>
        <v>0.461007591442374</v>
      </c>
      <c r="CP520" s="1302">
        <f t="shared" si="4136"/>
        <v>0.433636363636364</v>
      </c>
      <c r="CQ520" s="1302">
        <f t="shared" si="4136"/>
        <v>0.370854361932228</v>
      </c>
      <c r="CR520" s="1302">
        <f t="shared" si="4136"/>
        <v>0.421910419760807</v>
      </c>
      <c r="CS520" s="1304">
        <f t="shared" si="4136"/>
        <v>0.419674908240229</v>
      </c>
      <c r="CT520" s="1303">
        <f t="shared" si="4136"/>
        <v>0.458499600957702</v>
      </c>
      <c r="CU520" s="1302">
        <f t="shared" si="4136"/>
        <v>0.405620805369128</v>
      </c>
      <c r="CV520" s="1302">
        <f t="shared" si="4136"/>
        <v>0.432631363729299</v>
      </c>
      <c r="CW520" s="1302">
        <f t="shared" si="4136"/>
        <v>0.459821428571429</v>
      </c>
      <c r="CX520" s="1302">
        <f t="shared" si="4136"/>
        <v>0.442778418556965</v>
      </c>
      <c r="CY520" s="1302">
        <f t="shared" si="4136"/>
        <v>0.379883624272652</v>
      </c>
      <c r="CZ520" s="1302">
        <f t="shared" si="4136"/>
        <v>0.423655509590071</v>
      </c>
      <c r="DA520" s="1304">
        <f t="shared" si="4136"/>
        <v>0.427955725340386</v>
      </c>
      <c r="DB520" s="1109">
        <f t="shared" si="4136"/>
        <v>0.480754426481909</v>
      </c>
      <c r="DC520" s="1082">
        <f t="shared" si="4136"/>
        <v>0.439792663476874</v>
      </c>
      <c r="DD520" s="1082">
        <f t="shared" si="4136"/>
        <v>0.460544350890934</v>
      </c>
      <c r="DE520" s="1082">
        <f t="shared" si="4136"/>
        <v>0.464880757922248</v>
      </c>
      <c r="DF520" s="1082">
        <f t="shared" si="4136"/>
        <v>0.463142401569974</v>
      </c>
      <c r="DG520" s="1082">
        <f>DG516/DG$543</f>
        <v>0.342846124180486</v>
      </c>
      <c r="DH520" s="1082">
        <f t="shared" ref="DH520:DN520" si="4137">DH516/(DH$543-DH542)</f>
        <v>0.410616012781821</v>
      </c>
      <c r="DI520" s="1085">
        <f t="shared" si="4137"/>
        <v>0.434357541899441</v>
      </c>
      <c r="DJ520" s="1082">
        <f t="shared" si="4137"/>
        <v>0.45916373583431</v>
      </c>
      <c r="DK520" s="1082">
        <f t="shared" si="4137"/>
        <v>0.395910020449898</v>
      </c>
      <c r="DL520" s="1082">
        <f t="shared" si="4137"/>
        <v>0.428257394084732</v>
      </c>
      <c r="DM520" s="1082">
        <f t="shared" si="4137"/>
        <v>0.453086850366236</v>
      </c>
      <c r="DN520" s="1082">
        <f t="shared" si="4137"/>
        <v>0.437301486469318</v>
      </c>
      <c r="DO520" s="1082" t="e">
        <f>DO516/DO$543</f>
        <v>#REF!</v>
      </c>
      <c r="DP520" s="1082" t="e">
        <f>DP516/(DP$543-DP542)</f>
        <v>#REF!</v>
      </c>
      <c r="DQ520" s="1085" t="e">
        <f>DQ516/(DQ$543-DQ542)</f>
        <v>#REF!</v>
      </c>
      <c r="DR520" s="1082"/>
      <c r="DS520" s="1082"/>
      <c r="DT520" s="1082"/>
      <c r="DU520" s="1082"/>
      <c r="DV520" s="1082"/>
      <c r="DW520" s="1082"/>
      <c r="DX520" s="1082"/>
      <c r="DY520" s="1085"/>
      <c r="DZ520" s="1082"/>
      <c r="EA520" s="1082"/>
      <c r="EB520" s="1082"/>
      <c r="EC520" s="1082"/>
      <c r="ED520" s="1082"/>
      <c r="EE520" s="1082"/>
      <c r="EF520" s="1082"/>
      <c r="EG520" s="1085"/>
      <c r="EH520" s="1082"/>
      <c r="EI520" s="1082"/>
      <c r="EJ520" s="1082"/>
      <c r="EK520" s="1082"/>
      <c r="EL520" s="1082"/>
      <c r="EM520" s="1082"/>
      <c r="EN520" s="1082"/>
      <c r="EO520" s="1085"/>
      <c r="EP520" s="1082"/>
      <c r="EQ520" s="1082"/>
      <c r="ER520" s="1082"/>
      <c r="ES520" s="1082"/>
      <c r="ET520" s="1082"/>
      <c r="EU520" s="1082"/>
      <c r="EV520" s="1082"/>
      <c r="IX520" s="1049"/>
      <c r="IY520" s="1049"/>
      <c r="IZ520" s="1049"/>
      <c r="JA520" s="1049"/>
      <c r="JB520" s="1049"/>
      <c r="JC520" s="1049"/>
      <c r="JD520" s="1112"/>
      <c r="JE520" s="1037"/>
      <c r="JF520" s="1037"/>
      <c r="JG520" s="1037"/>
      <c r="JH520" s="1037"/>
      <c r="JI520" s="1035"/>
      <c r="JJ520" s="1035"/>
      <c r="JK520" s="1035"/>
      <c r="JL520" s="1035"/>
      <c r="JM520" s="1035"/>
      <c r="JN520" s="1035"/>
      <c r="JO520" s="1035"/>
      <c r="JP520" s="1035"/>
      <c r="JQ520" s="1035"/>
      <c r="JR520" s="1035"/>
      <c r="JS520" s="1035"/>
      <c r="JT520" s="1035"/>
      <c r="JU520" s="1035"/>
      <c r="JV520" s="1035"/>
      <c r="JW520" s="1035"/>
      <c r="JX520" s="1035"/>
      <c r="JY520" s="1035"/>
      <c r="KP520" s="1117"/>
      <c r="LV520" s="1180"/>
    </row>
    <row r="521" spans="1:334">
      <c r="A521" s="1306" t="s">
        <v>625</v>
      </c>
      <c r="B521" s="1307">
        <v>119.6442</v>
      </c>
      <c r="C521" s="1307">
        <v>89.9888</v>
      </c>
      <c r="D521" s="1307">
        <f>B521+C521</f>
        <v>209.633</v>
      </c>
      <c r="E521" s="1307">
        <v>111.4634</v>
      </c>
      <c r="F521" s="1307">
        <f>D521+E521</f>
        <v>321.0964</v>
      </c>
      <c r="G521" s="1307">
        <v>71.0707</v>
      </c>
      <c r="H521" s="1307">
        <f>E521+G521</f>
        <v>182.5341</v>
      </c>
      <c r="I521" s="1307">
        <f>F521+G521</f>
        <v>392.1671</v>
      </c>
      <c r="J521" s="1307">
        <v>115.5538</v>
      </c>
      <c r="K521" s="1307">
        <v>131.4041</v>
      </c>
      <c r="L521" s="1307">
        <f>J521+K521</f>
        <v>246.9579</v>
      </c>
      <c r="M521" s="1307">
        <v>160.5482</v>
      </c>
      <c r="N521" s="1307">
        <f>L521+M521</f>
        <v>407.5061</v>
      </c>
      <c r="O521" s="1307">
        <v>117.0877</v>
      </c>
      <c r="P521" s="1307">
        <f>M521+O521</f>
        <v>277.6359</v>
      </c>
      <c r="Q521" s="1307">
        <f>N521+O521</f>
        <v>524.5938</v>
      </c>
      <c r="R521" s="1307">
        <v>201.9635</v>
      </c>
      <c r="S521" s="1307">
        <v>169.7516</v>
      </c>
      <c r="T521" s="1307">
        <f>R521+S521</f>
        <v>371.7151</v>
      </c>
      <c r="U521" s="1307">
        <v>271.5003</v>
      </c>
      <c r="V521" s="1307">
        <f>T521+U521</f>
        <v>643.2154</v>
      </c>
      <c r="W521" s="1307">
        <v>225.4833</v>
      </c>
      <c r="X521" s="1307">
        <f>U521+W521</f>
        <v>496.9836</v>
      </c>
      <c r="Y521" s="1307">
        <f>V521+W521</f>
        <v>868.6987</v>
      </c>
      <c r="Z521" s="1307">
        <v>441.7632</v>
      </c>
      <c r="AA521" s="1307">
        <v>411.5965</v>
      </c>
      <c r="AB521" s="1307">
        <f>Z521+AA521</f>
        <v>853.3597</v>
      </c>
      <c r="AC521" s="1307">
        <v>543.5119</v>
      </c>
      <c r="AD521" s="1307">
        <f>AB521+AC521</f>
        <v>1396.8716</v>
      </c>
      <c r="AE521" s="1307">
        <v>389.6106</v>
      </c>
      <c r="AF521" s="1307">
        <f>AC521+AE521</f>
        <v>933.1225</v>
      </c>
      <c r="AG521" s="1307">
        <f>AD521+AE521</f>
        <v>1786.4822</v>
      </c>
      <c r="AH521" s="1307">
        <v>474</v>
      </c>
      <c r="AI521" s="1307">
        <v>460</v>
      </c>
      <c r="AJ521" s="1307">
        <f>AH521+AI521</f>
        <v>934</v>
      </c>
      <c r="AK521" s="1307">
        <v>511</v>
      </c>
      <c r="AL521" s="1307">
        <f>AJ521+AK521</f>
        <v>1445</v>
      </c>
      <c r="AM521" s="1307">
        <v>377</v>
      </c>
      <c r="AN521" s="1307">
        <f>AK521+AM521</f>
        <v>888</v>
      </c>
      <c r="AO521" s="1307">
        <f>AL521+AM521</f>
        <v>1822</v>
      </c>
      <c r="AP521" s="1307">
        <v>476</v>
      </c>
      <c r="AQ521" s="1307">
        <v>442</v>
      </c>
      <c r="AR521" s="1307">
        <f>AP521+AQ521</f>
        <v>918</v>
      </c>
      <c r="AS521" s="1307">
        <v>529</v>
      </c>
      <c r="AT521" s="1307">
        <f>AR521+AS521</f>
        <v>1447</v>
      </c>
      <c r="AU521" s="1307">
        <v>459</v>
      </c>
      <c r="AV521" s="1307">
        <f>AS521+AU521</f>
        <v>988</v>
      </c>
      <c r="AW521" s="1307">
        <f>AT521+AU521</f>
        <v>1906</v>
      </c>
      <c r="AX521" s="1308">
        <v>445</v>
      </c>
      <c r="AY521" s="1307">
        <v>440</v>
      </c>
      <c r="AZ521" s="1307">
        <f>AX521+AY521</f>
        <v>885</v>
      </c>
      <c r="BA521" s="1307">
        <v>536</v>
      </c>
      <c r="BB521" s="1307">
        <f>AY521+BA521</f>
        <v>976</v>
      </c>
      <c r="BC521" s="1307">
        <v>398</v>
      </c>
      <c r="BD521" s="1307">
        <f>BA521+BC521</f>
        <v>934</v>
      </c>
      <c r="BE521" s="1309">
        <f>BB521+BC521</f>
        <v>1374</v>
      </c>
      <c r="BF521" s="1307">
        <v>475</v>
      </c>
      <c r="BG521" s="1307">
        <v>478</v>
      </c>
      <c r="BH521" s="1307">
        <f>BF521+BG521</f>
        <v>953</v>
      </c>
      <c r="BI521" s="1307">
        <v>529</v>
      </c>
      <c r="BJ521" s="1307">
        <f>BH521+BI521</f>
        <v>1482</v>
      </c>
      <c r="BK521" s="1307">
        <v>477</v>
      </c>
      <c r="BL521" s="1307">
        <f>BI521+BK521</f>
        <v>1006</v>
      </c>
      <c r="BM521" s="1307">
        <f>BJ521+BK521</f>
        <v>1959</v>
      </c>
      <c r="BN521" s="1308">
        <v>405</v>
      </c>
      <c r="BO521" s="1307">
        <v>385</v>
      </c>
      <c r="BP521" s="1307">
        <f>BN521+BO521</f>
        <v>790</v>
      </c>
      <c r="BQ521" s="1307">
        <v>459</v>
      </c>
      <c r="BR521" s="1307">
        <f>BP521+BQ521</f>
        <v>1249</v>
      </c>
      <c r="BS521" s="1307">
        <v>313</v>
      </c>
      <c r="BT521" s="1307">
        <f>BQ521+BS521</f>
        <v>772</v>
      </c>
      <c r="BU521" s="1309">
        <f>BR521+BS521</f>
        <v>1562</v>
      </c>
      <c r="BV521" s="1308">
        <v>328</v>
      </c>
      <c r="BW521" s="1307">
        <v>379</v>
      </c>
      <c r="BX521" s="1307">
        <f>BV521+BW521</f>
        <v>707</v>
      </c>
      <c r="BY521" s="1307">
        <v>454</v>
      </c>
      <c r="BZ521" s="1307">
        <f>BX521+BY521</f>
        <v>1161</v>
      </c>
      <c r="CA521" s="1307">
        <v>325</v>
      </c>
      <c r="CB521" s="1307">
        <f>BY521+CA521</f>
        <v>779</v>
      </c>
      <c r="CC521" s="1309">
        <f>BZ521+CA521</f>
        <v>1486</v>
      </c>
      <c r="CD521" s="1308">
        <v>356</v>
      </c>
      <c r="CE521" s="1307">
        <v>401</v>
      </c>
      <c r="CF521" s="1307">
        <f>CD521+CE521</f>
        <v>757</v>
      </c>
      <c r="CG521" s="1307">
        <v>446</v>
      </c>
      <c r="CH521" s="1307">
        <f>CF521+CG521</f>
        <v>1203</v>
      </c>
      <c r="CI521" s="1307">
        <v>359</v>
      </c>
      <c r="CJ521" s="1307">
        <f>CG521+CI521</f>
        <v>805</v>
      </c>
      <c r="CK521" s="1309">
        <f>CH521+CI521</f>
        <v>1562</v>
      </c>
      <c r="CL521" s="1308">
        <v>759</v>
      </c>
      <c r="CM521" s="1307">
        <v>834</v>
      </c>
      <c r="CN521" s="1307">
        <f>CL521+CM521</f>
        <v>1593</v>
      </c>
      <c r="CO521" s="1307">
        <f>CP521-CN521</f>
        <v>899</v>
      </c>
      <c r="CP521" s="1307">
        <v>2492</v>
      </c>
      <c r="CQ521" s="1307">
        <f>CS521-CP521</f>
        <v>742</v>
      </c>
      <c r="CR521" s="1307">
        <f>CQ521+CO521</f>
        <v>1641</v>
      </c>
      <c r="CS521" s="1309">
        <v>3234</v>
      </c>
      <c r="CT521" s="1308">
        <v>698</v>
      </c>
      <c r="CU521" s="1307">
        <v>730</v>
      </c>
      <c r="CV521" s="1307">
        <v>1429</v>
      </c>
      <c r="CW521" s="1307">
        <f>CX521-CV521</f>
        <v>819</v>
      </c>
      <c r="CX521" s="1307">
        <v>2248</v>
      </c>
      <c r="CY521" s="1307">
        <f>DA521-CX521</f>
        <v>681</v>
      </c>
      <c r="CZ521" s="1307">
        <f>CY521+CW521</f>
        <v>1500</v>
      </c>
      <c r="DA521" s="1309">
        <v>2929</v>
      </c>
      <c r="DB521" s="1332">
        <v>578</v>
      </c>
      <c r="DC521" s="1311">
        <v>581</v>
      </c>
      <c r="DD521" s="1311">
        <v>1160</v>
      </c>
      <c r="DE521" s="1311">
        <f>DF521-DD521</f>
        <v>711</v>
      </c>
      <c r="DF521" s="1311">
        <v>1871</v>
      </c>
      <c r="DG521" s="1311">
        <f>DI521-DF521</f>
        <v>649</v>
      </c>
      <c r="DH521" s="1311">
        <f>DI521-DD521</f>
        <v>1360</v>
      </c>
      <c r="DI521" s="1312">
        <v>2520</v>
      </c>
      <c r="DJ521" s="1311">
        <v>538</v>
      </c>
      <c r="DK521" s="1311">
        <f>DC521*(1+DK522)</f>
        <v>635</v>
      </c>
      <c r="DL521" s="1311">
        <f>DK521+DJ521</f>
        <v>1173</v>
      </c>
      <c r="DM521" s="1311">
        <v>649</v>
      </c>
      <c r="DN521" s="1311">
        <f>DM521+DL521</f>
        <v>1822</v>
      </c>
      <c r="DO521" s="1311">
        <f>DG521*(1+DO522)</f>
        <v>605.792503270449</v>
      </c>
      <c r="DP521" s="1311">
        <f>DO521+DM521</f>
        <v>1254.79250327045</v>
      </c>
      <c r="DQ521" s="1312">
        <f>DP521+DL521</f>
        <v>2427.79250327045</v>
      </c>
      <c r="DR521" s="1311"/>
      <c r="DS521" s="1311"/>
      <c r="DT521" s="1311"/>
      <c r="DU521" s="1311"/>
      <c r="DV521" s="1311"/>
      <c r="DW521" s="1311"/>
      <c r="DX521" s="1311"/>
      <c r="DY521" s="1312"/>
      <c r="DZ521" s="1311"/>
      <c r="EA521" s="1311"/>
      <c r="EB521" s="1311"/>
      <c r="EC521" s="1311"/>
      <c r="ED521" s="1311"/>
      <c r="EE521" s="1311"/>
      <c r="EF521" s="1311"/>
      <c r="EG521" s="1312"/>
      <c r="EH521" s="1311"/>
      <c r="EI521" s="1311"/>
      <c r="EJ521" s="1311"/>
      <c r="EK521" s="1311"/>
      <c r="EL521" s="1311"/>
      <c r="EM521" s="1311"/>
      <c r="EN521" s="1311"/>
      <c r="EO521" s="1312"/>
      <c r="EP521" s="1311"/>
      <c r="EQ521" s="1311"/>
      <c r="ER521" s="1311"/>
      <c r="ES521" s="1311"/>
      <c r="ET521" s="1311"/>
      <c r="EU521" s="1311"/>
      <c r="EV521" s="1311"/>
      <c r="IX521" s="1049"/>
      <c r="IY521" s="1049"/>
      <c r="IZ521" s="1049"/>
      <c r="JA521" s="1049"/>
      <c r="JB521" s="1049"/>
      <c r="JC521" s="1049"/>
      <c r="JD521" s="1469"/>
      <c r="JE521" s="1037"/>
      <c r="JF521" s="1037"/>
      <c r="JG521" s="1037"/>
      <c r="JH521" s="1037"/>
      <c r="JI521" s="1035"/>
      <c r="JJ521" s="1035"/>
      <c r="JK521" s="1035"/>
      <c r="JL521" s="1035"/>
      <c r="JM521" s="1035"/>
      <c r="JN521" s="1035"/>
      <c r="JO521" s="1035"/>
      <c r="JP521" s="1035"/>
      <c r="JQ521" s="1035"/>
      <c r="JR521" s="1035"/>
      <c r="JS521" s="1035"/>
      <c r="JT521" s="1035"/>
      <c r="JU521" s="1035"/>
      <c r="JV521" s="1035"/>
      <c r="JW521" s="1035"/>
      <c r="JX521" s="1035"/>
      <c r="JY521" s="1035"/>
      <c r="KP521" s="1025"/>
      <c r="LV521" s="967"/>
    </row>
    <row r="522" spans="1:334">
      <c r="A522" s="1035" t="s">
        <v>142</v>
      </c>
      <c r="B522" s="1302" t="s">
        <v>173</v>
      </c>
      <c r="C522" s="1302" t="s">
        <v>173</v>
      </c>
      <c r="D522" s="1302" t="s">
        <v>173</v>
      </c>
      <c r="E522" s="1302" t="s">
        <v>173</v>
      </c>
      <c r="F522" s="1302" t="s">
        <v>173</v>
      </c>
      <c r="G522" s="1302" t="s">
        <v>173</v>
      </c>
      <c r="H522" s="1302" t="s">
        <v>173</v>
      </c>
      <c r="I522" s="1302" t="s">
        <v>173</v>
      </c>
      <c r="J522" s="1302">
        <f t="shared" ref="J522:AO522" si="4138">J521/B521-1</f>
        <v>-0.0341880341880342</v>
      </c>
      <c r="K522" s="1302">
        <f t="shared" si="4138"/>
        <v>0.460227272727273</v>
      </c>
      <c r="L522" s="1302">
        <f t="shared" si="4138"/>
        <v>0.178048780487805</v>
      </c>
      <c r="M522" s="1302">
        <f t="shared" si="4138"/>
        <v>0.440366972477064</v>
      </c>
      <c r="N522" s="1302">
        <f t="shared" si="4138"/>
        <v>0.269108280254777</v>
      </c>
      <c r="O522" s="1302">
        <f t="shared" si="4138"/>
        <v>0.647482014388489</v>
      </c>
      <c r="P522" s="1302">
        <f t="shared" si="4138"/>
        <v>0.521008403361344</v>
      </c>
      <c r="Q522" s="1302">
        <f t="shared" si="4138"/>
        <v>0.33767926988266</v>
      </c>
      <c r="R522" s="1302">
        <f t="shared" si="4138"/>
        <v>0.747787610619469</v>
      </c>
      <c r="S522" s="1302">
        <f t="shared" si="4138"/>
        <v>0.291828793774319</v>
      </c>
      <c r="T522" s="1302">
        <f t="shared" si="4138"/>
        <v>0.505175983436853</v>
      </c>
      <c r="U522" s="1302">
        <f t="shared" si="4138"/>
        <v>0.691082802547771</v>
      </c>
      <c r="V522" s="1302">
        <f t="shared" si="4138"/>
        <v>0.578419071518194</v>
      </c>
      <c r="W522" s="1302">
        <f t="shared" si="4138"/>
        <v>0.925764192139738</v>
      </c>
      <c r="X522" s="1302">
        <f t="shared" si="4138"/>
        <v>0.790055248618784</v>
      </c>
      <c r="Y522" s="1302">
        <f t="shared" si="4138"/>
        <v>0.655945419103314</v>
      </c>
      <c r="Z522" s="1302">
        <f t="shared" si="4138"/>
        <v>1.1873417721519</v>
      </c>
      <c r="AA522" s="1302">
        <f t="shared" si="4138"/>
        <v>1.42469879518072</v>
      </c>
      <c r="AB522" s="1302">
        <f t="shared" si="4138"/>
        <v>1.29573590096286</v>
      </c>
      <c r="AC522" s="1302">
        <f t="shared" si="4138"/>
        <v>1.00188323917138</v>
      </c>
      <c r="AD522" s="1302">
        <f t="shared" si="4138"/>
        <v>1.17170111287758</v>
      </c>
      <c r="AE522" s="1302">
        <f t="shared" si="4138"/>
        <v>0.727891156462585</v>
      </c>
      <c r="AF522" s="1302">
        <f t="shared" si="4138"/>
        <v>0.877572016460905</v>
      </c>
      <c r="AG522" s="1302">
        <f t="shared" si="4138"/>
        <v>1.05650382577987</v>
      </c>
      <c r="AH522" s="1302">
        <f t="shared" si="4138"/>
        <v>0.072973031705674</v>
      </c>
      <c r="AI522" s="1302">
        <f t="shared" si="4138"/>
        <v>0.117599396496326</v>
      </c>
      <c r="AJ522" s="1302">
        <f t="shared" si="4138"/>
        <v>0.0944974317395115</v>
      </c>
      <c r="AK522" s="1302">
        <f t="shared" si="4138"/>
        <v>-0.0598181934930955</v>
      </c>
      <c r="AL522" s="1302">
        <f t="shared" si="4138"/>
        <v>0.0344544194326808</v>
      </c>
      <c r="AM522" s="1302">
        <f t="shared" si="4138"/>
        <v>-0.0323671891883844</v>
      </c>
      <c r="AN522" s="1302">
        <f t="shared" ref="AN522:BU522" si="4139">AN521/AF521-1</f>
        <v>-0.0483564590929915</v>
      </c>
      <c r="AO522" s="1302">
        <f t="shared" si="4138"/>
        <v>0.0198814183539024</v>
      </c>
      <c r="AP522" s="1302">
        <f t="shared" si="4139"/>
        <v>0.00421940928270037</v>
      </c>
      <c r="AQ522" s="1302">
        <f t="shared" si="4139"/>
        <v>-0.0391304347826087</v>
      </c>
      <c r="AR522" s="1302">
        <f t="shared" si="4139"/>
        <v>-0.0171306209850107</v>
      </c>
      <c r="AS522" s="1302">
        <f t="shared" si="4139"/>
        <v>0.0352250489236792</v>
      </c>
      <c r="AT522" s="1302">
        <f t="shared" si="4139"/>
        <v>0.00138408304498272</v>
      </c>
      <c r="AU522" s="1302">
        <f t="shared" si="4139"/>
        <v>0.217506631299735</v>
      </c>
      <c r="AV522" s="1302">
        <f t="shared" si="4139"/>
        <v>0.112612612612613</v>
      </c>
      <c r="AW522" s="1302">
        <f t="shared" si="4139"/>
        <v>0.0461031833150385</v>
      </c>
      <c r="AX522" s="1303">
        <f t="shared" si="4139"/>
        <v>-0.0651260504201681</v>
      </c>
      <c r="AY522" s="1302">
        <f t="shared" si="4139"/>
        <v>-0.00452488687782804</v>
      </c>
      <c r="AZ522" s="1302">
        <f t="shared" si="4139"/>
        <v>-0.0359477124183006</v>
      </c>
      <c r="BA522" s="1302">
        <f t="shared" si="4139"/>
        <v>0.0132325141776937</v>
      </c>
      <c r="BB522" s="1302">
        <f t="shared" si="4139"/>
        <v>-0.325501036627505</v>
      </c>
      <c r="BC522" s="1302">
        <f t="shared" si="4139"/>
        <v>-0.132897603485839</v>
      </c>
      <c r="BD522" s="1302">
        <f t="shared" si="4139"/>
        <v>-0.0546558704453441</v>
      </c>
      <c r="BE522" s="1304">
        <f t="shared" si="4139"/>
        <v>-0.279118572927597</v>
      </c>
      <c r="BF522" s="1302">
        <f t="shared" si="4139"/>
        <v>0.0674157303370786</v>
      </c>
      <c r="BG522" s="1302">
        <f t="shared" si="4139"/>
        <v>0.0863636363636364</v>
      </c>
      <c r="BH522" s="1302">
        <f t="shared" si="4139"/>
        <v>0.0768361581920904</v>
      </c>
      <c r="BI522" s="1302">
        <f t="shared" si="4139"/>
        <v>-0.0130597014925373</v>
      </c>
      <c r="BJ522" s="1302">
        <f t="shared" si="4139"/>
        <v>0.51844262295082</v>
      </c>
      <c r="BK522" s="1302">
        <f t="shared" si="4139"/>
        <v>0.198492462311558</v>
      </c>
      <c r="BL522" s="1302">
        <f t="shared" si="4139"/>
        <v>0.0770877944325481</v>
      </c>
      <c r="BM522" s="1302">
        <f t="shared" si="4139"/>
        <v>0.425764192139738</v>
      </c>
      <c r="BN522" s="1303">
        <f t="shared" si="4139"/>
        <v>-0.147368421052632</v>
      </c>
      <c r="BO522" s="1302">
        <f t="shared" si="4139"/>
        <v>-0.194560669456067</v>
      </c>
      <c r="BP522" s="1302">
        <f t="shared" si="4139"/>
        <v>-0.171038824763903</v>
      </c>
      <c r="BQ522" s="1302">
        <f t="shared" si="4139"/>
        <v>-0.132325141776938</v>
      </c>
      <c r="BR522" s="1302">
        <f t="shared" si="4139"/>
        <v>-0.157219973009447</v>
      </c>
      <c r="BS522" s="1302">
        <f t="shared" si="4139"/>
        <v>-0.343815513626834</v>
      </c>
      <c r="BT522" s="1302">
        <f t="shared" si="4139"/>
        <v>-0.232604373757455</v>
      </c>
      <c r="BU522" s="1304">
        <f t="shared" si="4139"/>
        <v>-0.202654415518121</v>
      </c>
      <c r="BV522" s="1303">
        <f t="shared" ref="BV522:CN522" si="4140">BV521/BN521-1</f>
        <v>-0.190123456790123</v>
      </c>
      <c r="BW522" s="1302">
        <f t="shared" si="4140"/>
        <v>-0.0155844155844156</v>
      </c>
      <c r="BX522" s="1302">
        <f t="shared" si="4140"/>
        <v>-0.105063291139241</v>
      </c>
      <c r="BY522" s="1302">
        <f t="shared" si="4140"/>
        <v>-0.0108932461873639</v>
      </c>
      <c r="BZ522" s="1302">
        <f t="shared" si="4140"/>
        <v>-0.0704563650920736</v>
      </c>
      <c r="CA522" s="1302">
        <f t="shared" si="4140"/>
        <v>0.0383386581469649</v>
      </c>
      <c r="CB522" s="1302">
        <f t="shared" si="4140"/>
        <v>0.0090673575129534</v>
      </c>
      <c r="CC522" s="1304">
        <f t="shared" si="4140"/>
        <v>-0.0486555697823303</v>
      </c>
      <c r="CD522" s="1303">
        <f t="shared" si="4140"/>
        <v>0.0853658536585367</v>
      </c>
      <c r="CE522" s="1302">
        <f t="shared" si="4140"/>
        <v>0.0580474934036939</v>
      </c>
      <c r="CF522" s="1302">
        <f t="shared" si="4140"/>
        <v>0.0707213578500707</v>
      </c>
      <c r="CG522" s="1302">
        <f t="shared" si="4140"/>
        <v>-0.0176211453744494</v>
      </c>
      <c r="CH522" s="1302">
        <f t="shared" si="4140"/>
        <v>0.0361757105943152</v>
      </c>
      <c r="CI522" s="1302">
        <f t="shared" si="4140"/>
        <v>0.104615384615385</v>
      </c>
      <c r="CJ522" s="1302">
        <f t="shared" si="4140"/>
        <v>0.0333761232349166</v>
      </c>
      <c r="CK522" s="1304">
        <f t="shared" si="4140"/>
        <v>0.0511440107671601</v>
      </c>
      <c r="CL522" s="1303">
        <v>1.13202247191011</v>
      </c>
      <c r="CM522" s="1302">
        <f t="shared" si="4140"/>
        <v>1.07980049875312</v>
      </c>
      <c r="CN522" s="1302">
        <f t="shared" si="4140"/>
        <v>1.10435931307794</v>
      </c>
      <c r="CO522" s="1302">
        <f t="shared" ref="CO522:CT522" si="4141">CO521/CG521-1</f>
        <v>1.01569506726457</v>
      </c>
      <c r="CP522" s="1302">
        <f t="shared" si="4141"/>
        <v>1.07148794679967</v>
      </c>
      <c r="CQ522" s="1302">
        <f t="shared" si="4141"/>
        <v>1.06685236768802</v>
      </c>
      <c r="CR522" s="1302">
        <f t="shared" si="4141"/>
        <v>1.03850931677019</v>
      </c>
      <c r="CS522" s="1304">
        <f t="shared" si="4141"/>
        <v>1.07042253521127</v>
      </c>
      <c r="CT522" s="1303">
        <f t="shared" si="4141"/>
        <v>-0.080368906455863</v>
      </c>
      <c r="CU522" s="1302">
        <f t="shared" ref="CU522:DA522" si="4142">CU521/CM521-1</f>
        <v>-0.124700239808153</v>
      </c>
      <c r="CV522" s="1302">
        <f t="shared" si="4142"/>
        <v>-0.102950408035154</v>
      </c>
      <c r="CW522" s="1302">
        <f t="shared" si="4142"/>
        <v>-0.0889877641824249</v>
      </c>
      <c r="CX522" s="1302">
        <f t="shared" si="4142"/>
        <v>-0.0979133226324238</v>
      </c>
      <c r="CY522" s="1302">
        <f t="shared" si="4142"/>
        <v>-0.0822102425876011</v>
      </c>
      <c r="CZ522" s="1302">
        <f t="shared" si="4142"/>
        <v>-0.0859232175502742</v>
      </c>
      <c r="DA522" s="1304">
        <f t="shared" si="4142"/>
        <v>-0.0943104514533086</v>
      </c>
      <c r="DB522" s="1109">
        <f t="shared" ref="DB522:DJ522" si="4143">DB521/CT521-1</f>
        <v>-0.171919770773639</v>
      </c>
      <c r="DC522" s="1082">
        <f t="shared" si="4143"/>
        <v>-0.204109589041096</v>
      </c>
      <c r="DD522" s="1082">
        <f t="shared" si="4143"/>
        <v>-0.188243526941917</v>
      </c>
      <c r="DE522" s="1082">
        <f t="shared" si="4143"/>
        <v>-0.131868131868132</v>
      </c>
      <c r="DF522" s="1082">
        <f t="shared" si="4143"/>
        <v>-0.16770462633452</v>
      </c>
      <c r="DG522" s="1082">
        <f t="shared" si="4143"/>
        <v>-0.0469897209985316</v>
      </c>
      <c r="DH522" s="1082">
        <f t="shared" si="4143"/>
        <v>-0.0933333333333334</v>
      </c>
      <c r="DI522" s="1304">
        <f t="shared" si="4143"/>
        <v>-0.139638101741209</v>
      </c>
      <c r="DJ522" s="1082">
        <f t="shared" si="4143"/>
        <v>-0.0692041522491349</v>
      </c>
      <c r="DK522" s="1082">
        <f>SUM(DK523:DK524)</f>
        <v>0.0929432013769362</v>
      </c>
      <c r="DL522" s="1082">
        <f>DL521/DD521-1</f>
        <v>0.0112068965517242</v>
      </c>
      <c r="DM522" s="1082">
        <f>DM521/DE521-1</f>
        <v>-0.0872011251758087</v>
      </c>
      <c r="DN522" s="1082">
        <f>DN521/DF521-1</f>
        <v>-0.0261892036344201</v>
      </c>
      <c r="DO522" s="1082">
        <f>SUM(DO523:DO524)</f>
        <v>-0.0665754957312032</v>
      </c>
      <c r="DP522" s="1082">
        <f>DP521/DH521-1</f>
        <v>-0.0773584534776109</v>
      </c>
      <c r="DQ522" s="1085">
        <f>DQ521/DI521-1</f>
        <v>-0.0365902764799806</v>
      </c>
      <c r="DR522" s="1082"/>
      <c r="DS522" s="1082"/>
      <c r="DT522" s="1082"/>
      <c r="DU522" s="1082"/>
      <c r="DV522" s="1082"/>
      <c r="DW522" s="1082"/>
      <c r="DX522" s="1082"/>
      <c r="DY522" s="1085"/>
      <c r="DZ522" s="1082"/>
      <c r="EA522" s="1082"/>
      <c r="EB522" s="1082"/>
      <c r="EC522" s="1082"/>
      <c r="ED522" s="1082"/>
      <c r="EE522" s="1082"/>
      <c r="EF522" s="1082"/>
      <c r="EG522" s="1085"/>
      <c r="EH522" s="1082"/>
      <c r="EI522" s="1082"/>
      <c r="EJ522" s="1082"/>
      <c r="EK522" s="1082"/>
      <c r="EL522" s="1082"/>
      <c r="EM522" s="1082"/>
      <c r="EN522" s="1082"/>
      <c r="EO522" s="1085"/>
      <c r="EP522" s="1082"/>
      <c r="EQ522" s="1082"/>
      <c r="ER522" s="1082"/>
      <c r="ES522" s="1082"/>
      <c r="ET522" s="1082"/>
      <c r="EU522" s="1082"/>
      <c r="EV522" s="1082"/>
      <c r="IX522" s="1049"/>
      <c r="IY522" s="1049"/>
      <c r="IZ522" s="1049"/>
      <c r="JA522" s="1049"/>
      <c r="JB522" s="1049"/>
      <c r="JC522" s="1049"/>
      <c r="JD522" s="1112"/>
      <c r="JE522" s="1037"/>
      <c r="JF522" s="1037"/>
      <c r="JG522" s="1037"/>
      <c r="JH522" s="1037"/>
      <c r="JI522" s="1035"/>
      <c r="JJ522" s="1035"/>
      <c r="JK522" s="1035"/>
      <c r="JL522" s="1035"/>
      <c r="JM522" s="1035"/>
      <c r="JN522" s="1035"/>
      <c r="JO522" s="1035"/>
      <c r="JP522" s="1035"/>
      <c r="JQ522" s="1035"/>
      <c r="JR522" s="1035"/>
      <c r="JS522" s="1035"/>
      <c r="JT522" s="1035"/>
      <c r="JU522" s="1035"/>
      <c r="JV522" s="1035"/>
      <c r="JW522" s="1035"/>
      <c r="JX522" s="1035"/>
      <c r="JY522" s="1035"/>
      <c r="KP522" s="1117"/>
      <c r="LV522" s="967"/>
    </row>
    <row r="523" spans="1:334">
      <c r="A523" s="1035" t="s">
        <v>623</v>
      </c>
      <c r="B523" s="1302"/>
      <c r="C523" s="1302"/>
      <c r="D523" s="1302"/>
      <c r="E523" s="1302"/>
      <c r="F523" s="1302"/>
      <c r="G523" s="1302"/>
      <c r="H523" s="1302"/>
      <c r="I523" s="1302"/>
      <c r="J523" s="1302"/>
      <c r="K523" s="1302"/>
      <c r="L523" s="1302"/>
      <c r="M523" s="1302"/>
      <c r="N523" s="1302"/>
      <c r="O523" s="1302"/>
      <c r="P523" s="1302"/>
      <c r="Q523" s="1302"/>
      <c r="R523" s="1302"/>
      <c r="S523" s="1302"/>
      <c r="T523" s="1302"/>
      <c r="U523" s="1302"/>
      <c r="V523" s="1302"/>
      <c r="W523" s="1302"/>
      <c r="X523" s="1302"/>
      <c r="Y523" s="1302"/>
      <c r="Z523" s="1302"/>
      <c r="AA523" s="1302"/>
      <c r="AB523" s="1302"/>
      <c r="AC523" s="1302"/>
      <c r="AD523" s="1302"/>
      <c r="AE523" s="1302"/>
      <c r="AF523" s="1302"/>
      <c r="AG523" s="1302"/>
      <c r="AH523" s="1302"/>
      <c r="AI523" s="1302"/>
      <c r="AJ523" s="1302"/>
      <c r="AK523" s="1302"/>
      <c r="AL523" s="1302"/>
      <c r="AM523" s="1302"/>
      <c r="AN523" s="1302"/>
      <c r="AO523" s="1302"/>
      <c r="AP523" s="1302"/>
      <c r="AQ523" s="1302"/>
      <c r="AR523" s="1302"/>
      <c r="AS523" s="1302"/>
      <c r="AT523" s="1302"/>
      <c r="AU523" s="1302"/>
      <c r="AV523" s="1302"/>
      <c r="AW523" s="1302"/>
      <c r="AX523" s="1303"/>
      <c r="AY523" s="1302"/>
      <c r="AZ523" s="1302"/>
      <c r="BA523" s="1302"/>
      <c r="BB523" s="1302"/>
      <c r="BC523" s="1302"/>
      <c r="BD523" s="1302"/>
      <c r="BE523" s="1304"/>
      <c r="BF523" s="1302"/>
      <c r="BG523" s="1302"/>
      <c r="BH523" s="1302"/>
      <c r="BI523" s="1302"/>
      <c r="BJ523" s="1302"/>
      <c r="BK523" s="1302"/>
      <c r="BL523" s="1302"/>
      <c r="BM523" s="1302"/>
      <c r="BN523" s="1303"/>
      <c r="BO523" s="1302"/>
      <c r="BP523" s="1302"/>
      <c r="BQ523" s="1302"/>
      <c r="BR523" s="1302"/>
      <c r="BS523" s="1302"/>
      <c r="BT523" s="1302"/>
      <c r="BU523" s="1304"/>
      <c r="BV523" s="1303"/>
      <c r="BW523" s="1302"/>
      <c r="BX523" s="1302"/>
      <c r="BY523" s="1302"/>
      <c r="BZ523" s="1302"/>
      <c r="CA523" s="1302"/>
      <c r="CB523" s="1302"/>
      <c r="CC523" s="1304"/>
      <c r="CD523" s="1303"/>
      <c r="CE523" s="1302"/>
      <c r="CF523" s="1302"/>
      <c r="CG523" s="1302"/>
      <c r="CH523" s="1302"/>
      <c r="CI523" s="1302"/>
      <c r="CJ523" s="1302"/>
      <c r="CK523" s="1304"/>
      <c r="CL523" s="1303"/>
      <c r="CM523" s="1302"/>
      <c r="CN523" s="1302"/>
      <c r="CO523" s="1302"/>
      <c r="CP523" s="1302"/>
      <c r="CQ523" s="1302"/>
      <c r="CR523" s="1302"/>
      <c r="CS523" s="1304"/>
      <c r="CT523" s="1303">
        <f>CT522-CT524</f>
        <v>-0.080368906455863</v>
      </c>
      <c r="CU523" s="1302">
        <f>+CU522-CU524</f>
        <v>-0.0667002398081535</v>
      </c>
      <c r="CV523" s="1302">
        <f>+CV522-CV524</f>
        <v>-0.0729504080351538</v>
      </c>
      <c r="CW523" s="1302">
        <f>+CW522-CW524</f>
        <v>-0.0589877641824249</v>
      </c>
      <c r="CX523" s="1302">
        <f>+CX522-CX524</f>
        <v>-0.0679133226324238</v>
      </c>
      <c r="CY523" s="1302">
        <f t="shared" ref="CY523:DH523" si="4144">CY522-CY524</f>
        <v>-0.0957951482479785</v>
      </c>
      <c r="CZ523" s="1302">
        <f t="shared" si="4144"/>
        <v>-0.0756307129798903</v>
      </c>
      <c r="DA523" s="1304">
        <f t="shared" si="4144"/>
        <v>-0.0743104514533086</v>
      </c>
      <c r="DB523" s="1109">
        <f t="shared" si="4144"/>
        <v>-0.101919770773639</v>
      </c>
      <c r="DC523" s="1082">
        <f t="shared" si="4144"/>
        <v>-0.114438356164384</v>
      </c>
      <c r="DD523" s="1082">
        <f t="shared" si="4144"/>
        <v>-0.108243526941917</v>
      </c>
      <c r="DE523" s="1082">
        <f t="shared" si="4144"/>
        <v>-0.0793162393162393</v>
      </c>
      <c r="DF523" s="1082">
        <f t="shared" si="4144"/>
        <v>-0.0977046263345195</v>
      </c>
      <c r="DG523" s="1082">
        <f t="shared" si="4144"/>
        <v>0.00424963289280467</v>
      </c>
      <c r="DH523" s="1082">
        <f t="shared" si="4144"/>
        <v>-0.0413773333333334</v>
      </c>
      <c r="DI523" s="1085">
        <v>-0.074</v>
      </c>
      <c r="DJ523" s="1082">
        <f>DJ522-DJ524</f>
        <v>0.100795847750865</v>
      </c>
      <c r="DK523" s="1082">
        <v>0.123476764199656</v>
      </c>
      <c r="DL523" s="1082">
        <f>DL522-DL524</f>
        <v>0.111206896551724</v>
      </c>
      <c r="DM523" s="1082">
        <f>DM522-DM524</f>
        <v>0.0467988748241913</v>
      </c>
      <c r="DN523" s="1082">
        <f>DN522-DN524</f>
        <v>0.0867311598075895</v>
      </c>
      <c r="DO523" s="1488">
        <f>-0.9*DO483</f>
        <v>-0.106575495731203</v>
      </c>
      <c r="DP523" s="1082">
        <f>DP522-DP524</f>
        <v>-0.0263922770070227</v>
      </c>
      <c r="DQ523" s="1085">
        <f>DQ522-DQ524</f>
        <v>0.036947025107321</v>
      </c>
      <c r="DR523" s="1488"/>
      <c r="DS523" s="1488"/>
      <c r="DT523" s="1082"/>
      <c r="DU523" s="1488"/>
      <c r="DV523" s="1082"/>
      <c r="DW523" s="1488"/>
      <c r="DX523" s="1082"/>
      <c r="DY523" s="1085"/>
      <c r="DZ523" s="1488"/>
      <c r="EA523" s="1488"/>
      <c r="EB523" s="1082"/>
      <c r="EC523" s="1488"/>
      <c r="ED523" s="1082"/>
      <c r="EE523" s="1488"/>
      <c r="EF523" s="1082"/>
      <c r="EG523" s="1085"/>
      <c r="EH523" s="1488"/>
      <c r="EI523" s="1488"/>
      <c r="EJ523" s="1082"/>
      <c r="EK523" s="1488"/>
      <c r="EL523" s="1082"/>
      <c r="EM523" s="1488"/>
      <c r="EN523" s="1082"/>
      <c r="EO523" s="1085"/>
      <c r="EP523" s="1082"/>
      <c r="EQ523" s="1082"/>
      <c r="ER523" s="1082"/>
      <c r="ES523" s="1082"/>
      <c r="ET523" s="1082"/>
      <c r="EU523" s="1082"/>
      <c r="EV523" s="1082"/>
      <c r="IX523" s="1049"/>
      <c r="IY523" s="1049"/>
      <c r="IZ523" s="1049"/>
      <c r="JA523" s="1049"/>
      <c r="JB523" s="1049"/>
      <c r="JC523" s="1049"/>
      <c r="JD523" s="1112"/>
      <c r="JE523" s="1037"/>
      <c r="JF523" s="1037"/>
      <c r="JG523" s="1037"/>
      <c r="JH523" s="1037"/>
      <c r="JI523" s="1035"/>
      <c r="JJ523" s="1035"/>
      <c r="JK523" s="1035"/>
      <c r="JL523" s="1035"/>
      <c r="JM523" s="1035"/>
      <c r="JN523" s="1035"/>
      <c r="JO523" s="1035"/>
      <c r="JP523" s="1035"/>
      <c r="JQ523" s="1035"/>
      <c r="JR523" s="1035"/>
      <c r="JS523" s="1035"/>
      <c r="JT523" s="1035"/>
      <c r="JU523" s="1035"/>
      <c r="JV523" s="1035"/>
      <c r="JW523" s="1035"/>
      <c r="JX523" s="1035"/>
      <c r="JY523" s="1035"/>
      <c r="KP523" s="1025"/>
      <c r="LV523" s="967"/>
    </row>
    <row r="524" spans="1:334">
      <c r="A524" s="1035" t="s">
        <v>624</v>
      </c>
      <c r="B524" s="1302"/>
      <c r="C524" s="1302"/>
      <c r="D524" s="1302"/>
      <c r="E524" s="1302"/>
      <c r="F524" s="1302"/>
      <c r="G524" s="1302"/>
      <c r="H524" s="1302"/>
      <c r="I524" s="1302"/>
      <c r="J524" s="1302"/>
      <c r="K524" s="1302"/>
      <c r="L524" s="1302"/>
      <c r="M524" s="1302"/>
      <c r="N524" s="1302"/>
      <c r="O524" s="1302"/>
      <c r="P524" s="1302"/>
      <c r="Q524" s="1302"/>
      <c r="R524" s="1302"/>
      <c r="S524" s="1302"/>
      <c r="T524" s="1302"/>
      <c r="U524" s="1302"/>
      <c r="V524" s="1302"/>
      <c r="W524" s="1302"/>
      <c r="X524" s="1302"/>
      <c r="Y524" s="1302"/>
      <c r="Z524" s="1302"/>
      <c r="AA524" s="1302"/>
      <c r="AB524" s="1302"/>
      <c r="AC524" s="1302"/>
      <c r="AD524" s="1302"/>
      <c r="AE524" s="1302"/>
      <c r="AF524" s="1302"/>
      <c r="AG524" s="1302"/>
      <c r="AH524" s="1302"/>
      <c r="AI524" s="1302"/>
      <c r="AJ524" s="1302"/>
      <c r="AK524" s="1302"/>
      <c r="AL524" s="1302"/>
      <c r="AM524" s="1302"/>
      <c r="AN524" s="1302"/>
      <c r="AO524" s="1302"/>
      <c r="AP524" s="1302"/>
      <c r="AQ524" s="1302"/>
      <c r="AR524" s="1302"/>
      <c r="AS524" s="1302"/>
      <c r="AT524" s="1302"/>
      <c r="AU524" s="1302"/>
      <c r="AV524" s="1302"/>
      <c r="AW524" s="1302"/>
      <c r="AX524" s="1303"/>
      <c r="AY524" s="1302"/>
      <c r="AZ524" s="1302"/>
      <c r="BA524" s="1302"/>
      <c r="BB524" s="1302"/>
      <c r="BC524" s="1302"/>
      <c r="BD524" s="1302"/>
      <c r="BE524" s="1304"/>
      <c r="BF524" s="1302"/>
      <c r="BG524" s="1302"/>
      <c r="BH524" s="1302"/>
      <c r="BI524" s="1302"/>
      <c r="BJ524" s="1302"/>
      <c r="BK524" s="1302"/>
      <c r="BL524" s="1302"/>
      <c r="BM524" s="1302"/>
      <c r="BN524" s="1303"/>
      <c r="BO524" s="1302"/>
      <c r="BP524" s="1302"/>
      <c r="BQ524" s="1302"/>
      <c r="BR524" s="1302"/>
      <c r="BS524" s="1302"/>
      <c r="BT524" s="1302"/>
      <c r="BU524" s="1304"/>
      <c r="BV524" s="1303"/>
      <c r="BW524" s="1302"/>
      <c r="BX524" s="1302"/>
      <c r="BY524" s="1302"/>
      <c r="BZ524" s="1302"/>
      <c r="CA524" s="1302"/>
      <c r="CB524" s="1302"/>
      <c r="CC524" s="1304"/>
      <c r="CD524" s="1308"/>
      <c r="CE524" s="1302"/>
      <c r="CF524" s="1302"/>
      <c r="CG524" s="1302"/>
      <c r="CH524" s="1302"/>
      <c r="CI524" s="1302"/>
      <c r="CJ524" s="1302"/>
      <c r="CK524" s="1304"/>
      <c r="CL524" s="1303"/>
      <c r="CM524" s="1302"/>
      <c r="CN524" s="1302"/>
      <c r="CO524" s="1302"/>
      <c r="CP524" s="1302"/>
      <c r="CQ524" s="1302"/>
      <c r="CR524" s="1302"/>
      <c r="CS524" s="1304"/>
      <c r="CT524" s="1303">
        <v>0</v>
      </c>
      <c r="CU524" s="1302">
        <v>-0.058</v>
      </c>
      <c r="CV524" s="1302">
        <v>-0.03</v>
      </c>
      <c r="CW524" s="1302">
        <v>-0.03</v>
      </c>
      <c r="CX524" s="1302">
        <v>-0.03</v>
      </c>
      <c r="CY524" s="1302">
        <f>(DA524*CS521-CX524*CP521)/CQ521</f>
        <v>0.0135849056603773</v>
      </c>
      <c r="CZ524" s="1302">
        <f>(DA524*CS521-CV524*CN521)/CR521</f>
        <v>-0.0102925045703839</v>
      </c>
      <c r="DA524" s="1304">
        <v>-0.02</v>
      </c>
      <c r="DB524" s="1109">
        <v>-0.07</v>
      </c>
      <c r="DC524" s="1082">
        <f>(DD524*CV521-DB524*CT521)/CU521</f>
        <v>-0.0896712328767123</v>
      </c>
      <c r="DD524" s="1082">
        <v>-0.08</v>
      </c>
      <c r="DE524" s="1082">
        <f>(DF524*CX521-DD524*CV521)/CW521</f>
        <v>-0.0525518925518926</v>
      </c>
      <c r="DF524" s="1082">
        <v>-0.07</v>
      </c>
      <c r="DG524" s="1082">
        <f>(DI524*DA521-DF524*CX521)/CY521</f>
        <v>-0.0512393538913363</v>
      </c>
      <c r="DH524" s="1082">
        <f>(DI524*DA521-DD524*CV521)/CZ521</f>
        <v>-0.051956</v>
      </c>
      <c r="DI524" s="1085">
        <f>DI522-DI523</f>
        <v>-0.0656381017412086</v>
      </c>
      <c r="DJ524" s="1082">
        <v>-0.17</v>
      </c>
      <c r="DK524" s="1082">
        <v>-0.0305335628227194</v>
      </c>
      <c r="DL524" s="1082">
        <f>(DK524*DC521+DJ524*DB521)/DD521</f>
        <v>-0.1</v>
      </c>
      <c r="DM524" s="1082">
        <v>-0.134</v>
      </c>
      <c r="DN524" s="1082">
        <f>(DM524*DE521+DL524*DD521)/DF521</f>
        <v>-0.11292036344201</v>
      </c>
      <c r="DO524" s="1488">
        <v>0.04</v>
      </c>
      <c r="DP524" s="1082">
        <f>(DO524*DG521+DM524*DE521)/DH521</f>
        <v>-0.0509661764705882</v>
      </c>
      <c r="DQ524" s="1085">
        <f>(DP524*DH521+DL524*DD521)/DI521</f>
        <v>-0.0735373015873016</v>
      </c>
      <c r="DR524" s="1488"/>
      <c r="DS524" s="1488"/>
      <c r="DT524" s="1082"/>
      <c r="DU524" s="1488"/>
      <c r="DV524" s="1082"/>
      <c r="DW524" s="1488"/>
      <c r="DX524" s="1082"/>
      <c r="DY524" s="1085"/>
      <c r="DZ524" s="1488"/>
      <c r="EA524" s="1488"/>
      <c r="EB524" s="1082"/>
      <c r="EC524" s="1488"/>
      <c r="ED524" s="1082"/>
      <c r="EE524" s="1488"/>
      <c r="EF524" s="1082"/>
      <c r="EG524" s="1085"/>
      <c r="EH524" s="1488"/>
      <c r="EI524" s="1488"/>
      <c r="EJ524" s="1082"/>
      <c r="EK524" s="1488"/>
      <c r="EL524" s="1082"/>
      <c r="EM524" s="1488"/>
      <c r="EN524" s="1082"/>
      <c r="EO524" s="1085"/>
      <c r="EP524" s="1082"/>
      <c r="EQ524" s="1082"/>
      <c r="ER524" s="1082"/>
      <c r="ES524" s="1082"/>
      <c r="ET524" s="1082"/>
      <c r="EU524" s="1082"/>
      <c r="EV524" s="1082"/>
      <c r="IX524" s="1049"/>
      <c r="IY524" s="1049"/>
      <c r="IZ524" s="1049"/>
      <c r="JA524" s="1049"/>
      <c r="JB524" s="1049"/>
      <c r="JC524" s="1049"/>
      <c r="JD524" s="1112"/>
      <c r="JE524" s="1037"/>
      <c r="JF524" s="1037"/>
      <c r="JG524" s="1037"/>
      <c r="JH524" s="1037"/>
      <c r="JI524" s="1035"/>
      <c r="JJ524" s="1035"/>
      <c r="JK524" s="1035"/>
      <c r="JL524" s="1035"/>
      <c r="JM524" s="1035"/>
      <c r="JN524" s="1035"/>
      <c r="JO524" s="1035"/>
      <c r="JP524" s="1035"/>
      <c r="JQ524" s="1035"/>
      <c r="JR524" s="1035"/>
      <c r="JS524" s="1035"/>
      <c r="JT524" s="1035"/>
      <c r="JU524" s="1035"/>
      <c r="JV524" s="1035"/>
      <c r="JW524" s="1035"/>
      <c r="JX524" s="1035"/>
      <c r="JY524" s="1035"/>
      <c r="KP524" s="1117"/>
      <c r="LV524" s="967"/>
    </row>
    <row r="525" spans="1:334">
      <c r="A525" s="1035" t="s">
        <v>621</v>
      </c>
      <c r="B525" s="1302">
        <v>0.119883967935872</v>
      </c>
      <c r="C525" s="1302">
        <v>0.12014526034713</v>
      </c>
      <c r="D525" s="1302">
        <f>D521/D$543</f>
        <v>0.119995993131082</v>
      </c>
      <c r="E525" s="1302">
        <v>0.101886106032907</v>
      </c>
      <c r="F525" s="1302">
        <f>F521/F$543</f>
        <v>0.113022316085885</v>
      </c>
      <c r="G525" s="1302">
        <v>0.107846282245827</v>
      </c>
      <c r="H525" s="1302">
        <f>H521/H$543</f>
        <v>0.203650884198517</v>
      </c>
      <c r="I525" s="1302">
        <f>I521/I$543</f>
        <v>0.112047742857143</v>
      </c>
      <c r="J525" s="1302">
        <v>0.188773805546275</v>
      </c>
      <c r="K525" s="1302">
        <v>0.245885954841179</v>
      </c>
      <c r="L525" s="1302">
        <f>L521/L$543</f>
        <v>0.215394220478059</v>
      </c>
      <c r="M525" s="1302">
        <v>0.213315217391304</v>
      </c>
      <c r="N525" s="1302">
        <f>N521/N$543</f>
        <v>0.214570320913203</v>
      </c>
      <c r="O525" s="1302">
        <v>0.230266465560583</v>
      </c>
      <c r="P525" s="1302">
        <f>P521/P$543</f>
        <v>0.220105391163356</v>
      </c>
      <c r="Q525" s="1302">
        <f>Q521/Q$543</f>
        <v>0.217885281063518</v>
      </c>
      <c r="R525" s="1302">
        <v>0.230589608873322</v>
      </c>
      <c r="S525" s="1302">
        <v>0.232655921513665</v>
      </c>
      <c r="T525" s="1302">
        <f>T521/T$543</f>
        <v>0.231528662420382</v>
      </c>
      <c r="U525" s="1302">
        <v>0.247667910447761</v>
      </c>
      <c r="V525" s="1302">
        <f>V521/V$543</f>
        <v>0.238077214231643</v>
      </c>
      <c r="W525" s="1302">
        <v>0.311881188118812</v>
      </c>
      <c r="X525" s="1302">
        <f>X521/X$543</f>
        <v>0.27318718381113</v>
      </c>
      <c r="Y525" s="1302">
        <f>Y521/Y$543</f>
        <v>0.253657808300985</v>
      </c>
      <c r="Z525" s="1302">
        <v>0.319054652880355</v>
      </c>
      <c r="AA525" s="1302">
        <v>0.359375</v>
      </c>
      <c r="AB525" s="1302">
        <f>AB521/AB$543</f>
        <v>0.33730800323363</v>
      </c>
      <c r="AC525" s="1302">
        <v>0.359364435429344</v>
      </c>
      <c r="AD525" s="1302">
        <f>AD521/AD$543</f>
        <v>0.345560333923602</v>
      </c>
      <c r="AE525" s="1302">
        <v>0.380809595202399</v>
      </c>
      <c r="AF525" s="1302">
        <f>AF521/AF$543</f>
        <v>0.368014465289769</v>
      </c>
      <c r="AG525" s="1302">
        <f>AG521/AG$543</f>
        <v>0.352679923286565</v>
      </c>
      <c r="AH525" s="1302">
        <v>0.3410775200124</v>
      </c>
      <c r="AI525" s="1302">
        <v>0.385131641343982</v>
      </c>
      <c r="AJ525" s="1302">
        <f>AJ521/AJ$543</f>
        <v>0.361439694019241</v>
      </c>
      <c r="AK525" s="1302">
        <v>0.324444444444444</v>
      </c>
      <c r="AL525" s="1302">
        <f>AL521/AL$543</f>
        <v>0.347430082521016</v>
      </c>
      <c r="AM525" s="1302">
        <v>0.315481171548117</v>
      </c>
      <c r="AN525" s="1302">
        <f>AN521/AN$543</f>
        <v>0.32034632034632</v>
      </c>
      <c r="AO525" s="1302">
        <f>AO521/AO$543</f>
        <v>0.340299308744149</v>
      </c>
      <c r="AP525" s="1302">
        <v>0.313777191825972</v>
      </c>
      <c r="AQ525" s="1302">
        <v>0.354166666666667</v>
      </c>
      <c r="AR525" s="1302">
        <f>AR521/AR$543</f>
        <v>0.332007233273056</v>
      </c>
      <c r="AS525" s="1302">
        <v>0.315444245676804</v>
      </c>
      <c r="AT525" s="1302">
        <f>AT521/AT$543</f>
        <v>0.325754164790635</v>
      </c>
      <c r="AU525" s="1302">
        <v>0.329504666188083</v>
      </c>
      <c r="AV525" s="1302">
        <f>AV521/AV$543</f>
        <v>0.321824104234528</v>
      </c>
      <c r="AW525" s="1302">
        <f>AW521/AW$543</f>
        <v>0.326649528706084</v>
      </c>
      <c r="AX525" s="1303">
        <v>0.285622593068036</v>
      </c>
      <c r="AY525" s="1302">
        <v>0.321637426900585</v>
      </c>
      <c r="AZ525" s="1302">
        <f>AZ521/AZ$543</f>
        <v>0.302460697197539</v>
      </c>
      <c r="BA525" s="1302">
        <v>0.299441340782123</v>
      </c>
      <c r="BB525" s="1302">
        <f>BB521/BB$543</f>
        <v>0.30905636478784</v>
      </c>
      <c r="BC525" s="1302">
        <v>0.285202436402723</v>
      </c>
      <c r="BD525" s="1302">
        <f>BD521/BD$543</f>
        <v>0.293249607535322</v>
      </c>
      <c r="BE525" s="1304">
        <f>BE521/BE$543</f>
        <v>0.301745909739761</v>
      </c>
      <c r="BF525" s="1302">
        <v>0.28998778998779</v>
      </c>
      <c r="BG525" s="1302">
        <v>0.317291735811484</v>
      </c>
      <c r="BH525" s="1302">
        <f>BH521/BH$543</f>
        <v>0.303068850373668</v>
      </c>
      <c r="BI525" s="1302">
        <v>0.283494105037513</v>
      </c>
      <c r="BJ525" s="1302">
        <f>BJ521/BJ$543</f>
        <v>0.295778864384792</v>
      </c>
      <c r="BK525" s="1302">
        <v>0.315684976836532</v>
      </c>
      <c r="BL525" s="1302">
        <f>BL521/BL$543</f>
        <v>0.297897542197216</v>
      </c>
      <c r="BM525" s="1302">
        <f>BM521/BM$543</f>
        <v>0.300391014337192</v>
      </c>
      <c r="BN525" s="1303">
        <v>0.24266027561414</v>
      </c>
      <c r="BO525" s="1302">
        <v>0.276580459770115</v>
      </c>
      <c r="BP525" s="1302">
        <f>BP521/BP$543</f>
        <v>0.258085592943483</v>
      </c>
      <c r="BQ525" s="1302">
        <v>0.247706422018349</v>
      </c>
      <c r="BR525" s="1302">
        <f>BR521/BR$543</f>
        <v>0.254171754171754</v>
      </c>
      <c r="BS525" s="1302">
        <v>0.231166912850812</v>
      </c>
      <c r="BT525" s="1302">
        <f>BT521/BT$543</f>
        <v>0.240723417524166</v>
      </c>
      <c r="BU525" s="1304">
        <f>BU521/BU$543</f>
        <v>0.249202297383535</v>
      </c>
      <c r="BV525" s="1303">
        <v>0.217940199335548</v>
      </c>
      <c r="BW525" s="1302">
        <v>0.270521056388294</v>
      </c>
      <c r="BX525" s="1302">
        <f>BX521/BX$543</f>
        <v>0.243289745354439</v>
      </c>
      <c r="BY525" s="1302">
        <v>0.258248009101251</v>
      </c>
      <c r="BZ525" s="1302">
        <f>BZ521/BZ$543</f>
        <v>0.248927958833619</v>
      </c>
      <c r="CA525" s="1302">
        <v>0.271739130434783</v>
      </c>
      <c r="CB525" s="1302">
        <f>CB521/CB$543</f>
        <v>0.229997047534691</v>
      </c>
      <c r="CC525" s="1304">
        <f>CC521/CC$543</f>
        <v>0.25358361774744</v>
      </c>
      <c r="CD525" s="1303">
        <v>0.212791392707711</v>
      </c>
      <c r="CE525" s="1302">
        <v>0.264511873350923</v>
      </c>
      <c r="CF525" s="1302">
        <f>CF521/CF$543</f>
        <v>0.237378488554406</v>
      </c>
      <c r="CG525" s="1302">
        <v>0.231808731808732</v>
      </c>
      <c r="CH525" s="1302">
        <f>CH521/CH$543</f>
        <v>0.235282612947389</v>
      </c>
      <c r="CI525" s="1302">
        <v>0.236028928336621</v>
      </c>
      <c r="CJ525" s="1302">
        <f>CJ521/CJ$543</f>
        <v>0.23367198838897</v>
      </c>
      <c r="CK525" s="1304">
        <f>CK521/CK$543</f>
        <v>0.235453723243895</v>
      </c>
      <c r="CL525" s="1303">
        <f t="shared" ref="CL525:DF525" si="4145">CL521/(CL$543-CL542)</f>
        <v>0.312860676009893</v>
      </c>
      <c r="CM525" s="1302">
        <f t="shared" si="4145"/>
        <v>0.351157894736842</v>
      </c>
      <c r="CN525" s="1302">
        <f t="shared" si="4145"/>
        <v>0.331805873776297</v>
      </c>
      <c r="CO525" s="1302">
        <f t="shared" si="4145"/>
        <v>0.310213940648723</v>
      </c>
      <c r="CP525" s="1302">
        <f t="shared" si="4145"/>
        <v>0.323636363636364</v>
      </c>
      <c r="CQ525" s="1302">
        <f t="shared" si="4145"/>
        <v>0.334354722422495</v>
      </c>
      <c r="CR525" s="1302">
        <f t="shared" si="4145"/>
        <v>0.320683186117408</v>
      </c>
      <c r="CS525" s="1304">
        <f t="shared" si="4145"/>
        <v>0.326100108901706</v>
      </c>
      <c r="CT525" s="1303">
        <f t="shared" si="4145"/>
        <v>0.27853152434158</v>
      </c>
      <c r="CU525" s="1302">
        <f t="shared" si="4145"/>
        <v>0.306208053691275</v>
      </c>
      <c r="CV525" s="1302">
        <f t="shared" si="4145"/>
        <v>0.292169290533633</v>
      </c>
      <c r="CW525" s="1302">
        <f t="shared" si="4145"/>
        <v>0.28125</v>
      </c>
      <c r="CX525" s="1302">
        <f t="shared" si="4145"/>
        <v>0.288094322696399</v>
      </c>
      <c r="CY525" s="1302">
        <f t="shared" si="4145"/>
        <v>0.283042394014963</v>
      </c>
      <c r="CZ525" s="1302">
        <f t="shared" si="4145"/>
        <v>0.282060925159834</v>
      </c>
      <c r="DA525" s="1304">
        <f t="shared" si="4145"/>
        <v>0.286903712410618</v>
      </c>
      <c r="DB525" s="1109">
        <f t="shared" si="4145"/>
        <v>0.22247882986913</v>
      </c>
      <c r="DC525" s="1082">
        <f t="shared" si="4145"/>
        <v>0.231658692185008</v>
      </c>
      <c r="DD525" s="1082">
        <f t="shared" si="4145"/>
        <v>0.227139220677501</v>
      </c>
      <c r="DE525" s="1082">
        <f t="shared" si="4145"/>
        <v>0.232277033649134</v>
      </c>
      <c r="DF525" s="1082">
        <f t="shared" si="4145"/>
        <v>0.229486078744021</v>
      </c>
      <c r="DG525" s="1082">
        <f>DG521/DG$543</f>
        <v>0.250289240262245</v>
      </c>
      <c r="DH525" s="1082">
        <f t="shared" ref="DH525:DN525" si="4146">DH521/(DH$543-DH542)</f>
        <v>0.241434404402627</v>
      </c>
      <c r="DI525" s="1085">
        <f t="shared" si="4146"/>
        <v>0.23463687150838</v>
      </c>
      <c r="DJ525" s="1082">
        <f t="shared" si="4146"/>
        <v>0.210238374364986</v>
      </c>
      <c r="DK525" s="1082">
        <f t="shared" si="4146"/>
        <v>0.259713701431493</v>
      </c>
      <c r="DL525" s="1082">
        <f t="shared" si="4146"/>
        <v>0.234412470023981</v>
      </c>
      <c r="DM525" s="1082">
        <f t="shared" si="4146"/>
        <v>0.226369026857342</v>
      </c>
      <c r="DN525" s="1082">
        <f t="shared" si="4146"/>
        <v>0.23148265785796</v>
      </c>
      <c r="DO525" s="1082" t="e">
        <f>DO521/DO$543</f>
        <v>#REF!</v>
      </c>
      <c r="DP525" s="1082" t="e">
        <f>DP521/(DP$543-DP542)</f>
        <v>#REF!</v>
      </c>
      <c r="DQ525" s="1085" t="e">
        <f>DQ521/(DQ$543-DQ542)</f>
        <v>#REF!</v>
      </c>
      <c r="DR525" s="1082"/>
      <c r="DS525" s="1082"/>
      <c r="DT525" s="1082"/>
      <c r="DU525" s="1082"/>
      <c r="DV525" s="1082"/>
      <c r="DW525" s="1082"/>
      <c r="DX525" s="1082"/>
      <c r="DY525" s="1085"/>
      <c r="DZ525" s="1082"/>
      <c r="EA525" s="1082"/>
      <c r="EB525" s="1082"/>
      <c r="EC525" s="1082"/>
      <c r="ED525" s="1082"/>
      <c r="EE525" s="1082"/>
      <c r="EF525" s="1082"/>
      <c r="EG525" s="1085"/>
      <c r="EH525" s="1082"/>
      <c r="EI525" s="1082"/>
      <c r="EJ525" s="1082"/>
      <c r="EK525" s="1082"/>
      <c r="EL525" s="1082"/>
      <c r="EM525" s="1082"/>
      <c r="EN525" s="1082"/>
      <c r="EO525" s="1085"/>
      <c r="EP525" s="1082"/>
      <c r="EQ525" s="1082"/>
      <c r="ER525" s="1082"/>
      <c r="ES525" s="1082"/>
      <c r="ET525" s="1082"/>
      <c r="EU525" s="1082"/>
      <c r="EV525" s="1082"/>
      <c r="IX525" s="1049"/>
      <c r="IY525" s="1049"/>
      <c r="IZ525" s="1049"/>
      <c r="JA525" s="1049"/>
      <c r="JB525" s="1049"/>
      <c r="JC525" s="1049"/>
      <c r="JD525" s="1112"/>
      <c r="JE525" s="1037"/>
      <c r="JF525" s="1037"/>
      <c r="JG525" s="1037"/>
      <c r="JH525" s="1037"/>
      <c r="JI525" s="1035"/>
      <c r="JJ525" s="1035"/>
      <c r="JK525" s="1035"/>
      <c r="JL525" s="1035"/>
      <c r="JM525" s="1035"/>
      <c r="JN525" s="1035"/>
      <c r="JO525" s="1035"/>
      <c r="JP525" s="1035"/>
      <c r="JQ525" s="1035"/>
      <c r="JR525" s="1035"/>
      <c r="JS525" s="1035"/>
      <c r="JT525" s="1035"/>
      <c r="JU525" s="1035"/>
      <c r="JV525" s="1035"/>
      <c r="JW525" s="1035"/>
      <c r="JX525" s="1035"/>
      <c r="JY525" s="1035"/>
      <c r="KP525" s="1117"/>
      <c r="LV525" s="1180"/>
    </row>
    <row r="526" spans="1:334">
      <c r="A526" s="1306" t="s">
        <v>626</v>
      </c>
      <c r="B526" s="1307">
        <v>48.5735</v>
      </c>
      <c r="C526" s="1307">
        <v>44.4831</v>
      </c>
      <c r="D526" s="1307">
        <f>B526+C526</f>
        <v>93.0566</v>
      </c>
      <c r="E526" s="1307">
        <v>62.3786</v>
      </c>
      <c r="F526" s="1307">
        <f>D526+E526</f>
        <v>155.4352</v>
      </c>
      <c r="G526" s="1307">
        <v>48.0622</v>
      </c>
      <c r="H526" s="1307">
        <f>E526+G526</f>
        <v>110.4408</v>
      </c>
      <c r="I526" s="1307">
        <f>F526+G526</f>
        <v>203.4974</v>
      </c>
      <c r="J526" s="1307">
        <v>59.3108</v>
      </c>
      <c r="K526" s="1307">
        <v>50.6187</v>
      </c>
      <c r="L526" s="1307">
        <f>J526+K526</f>
        <v>109.9295</v>
      </c>
      <c r="M526" s="1307">
        <v>75.1611</v>
      </c>
      <c r="N526" s="1307">
        <f>L526+M526</f>
        <v>185.0906</v>
      </c>
      <c r="O526" s="1307">
        <v>96.6357</v>
      </c>
      <c r="P526" s="1307">
        <f>M526+O526</f>
        <v>171.7968</v>
      </c>
      <c r="Q526" s="1307">
        <f>N526+O526</f>
        <v>281.7263</v>
      </c>
      <c r="R526" s="1307">
        <v>108.9069</v>
      </c>
      <c r="S526" s="1307">
        <v>108.9069</v>
      </c>
      <c r="T526" s="1307">
        <f>R526+S526</f>
        <v>217.8138</v>
      </c>
      <c r="U526" s="1307">
        <v>123.2233</v>
      </c>
      <c r="V526" s="1307">
        <f>T526+U526</f>
        <v>341.0371</v>
      </c>
      <c r="W526" s="1307">
        <v>104.8165</v>
      </c>
      <c r="X526" s="1307">
        <f>U526+W526</f>
        <v>228.0398</v>
      </c>
      <c r="Y526" s="1307">
        <f>V526+W526</f>
        <v>445.8536</v>
      </c>
      <c r="Z526" s="1307">
        <v>134.9918</v>
      </c>
      <c r="AA526" s="1307">
        <v>114</v>
      </c>
      <c r="AB526" s="1307">
        <f>Z526+AA526</f>
        <v>248.9918</v>
      </c>
      <c r="AC526" s="1307">
        <v>119.6442</v>
      </c>
      <c r="AD526" s="1307">
        <f>AB526+AC526</f>
        <v>368.636</v>
      </c>
      <c r="AE526" s="1307">
        <v>132.4493</v>
      </c>
      <c r="AF526" s="1307">
        <f>AC526+AE526</f>
        <v>252.0935</v>
      </c>
      <c r="AG526" s="1307">
        <f>AD526+AE526</f>
        <v>501.0853</v>
      </c>
      <c r="AH526" s="1307">
        <v>164</v>
      </c>
      <c r="AI526" s="1307">
        <v>163</v>
      </c>
      <c r="AJ526" s="1307">
        <f>AH526+AI526</f>
        <v>327</v>
      </c>
      <c r="AK526" s="1307">
        <v>211</v>
      </c>
      <c r="AL526" s="1307">
        <f>AJ526+AK526</f>
        <v>538</v>
      </c>
      <c r="AM526" s="1307">
        <v>262</v>
      </c>
      <c r="AN526" s="1307">
        <f>AK526+AM526</f>
        <v>473</v>
      </c>
      <c r="AO526" s="1307">
        <f>AL526+AM526</f>
        <v>800</v>
      </c>
      <c r="AP526" s="1307">
        <v>226</v>
      </c>
      <c r="AQ526" s="1307">
        <v>217</v>
      </c>
      <c r="AR526" s="1307">
        <f>AP526+AQ526</f>
        <v>443</v>
      </c>
      <c r="AS526" s="1307">
        <v>284</v>
      </c>
      <c r="AT526" s="1307">
        <f>AR526+AS526</f>
        <v>727</v>
      </c>
      <c r="AU526" s="1307">
        <v>342</v>
      </c>
      <c r="AV526" s="1307">
        <f>AS526+AU526</f>
        <v>626</v>
      </c>
      <c r="AW526" s="1307">
        <f>AT526+AU526</f>
        <v>1069</v>
      </c>
      <c r="AX526" s="1308">
        <v>261</v>
      </c>
      <c r="AY526" s="1307">
        <v>267</v>
      </c>
      <c r="AZ526" s="1307">
        <f>AX526+AY526</f>
        <v>528</v>
      </c>
      <c r="BA526" s="1307">
        <v>321</v>
      </c>
      <c r="BB526" s="1307">
        <f>AY526+BA526</f>
        <v>588</v>
      </c>
      <c r="BC526" s="1307">
        <v>377</v>
      </c>
      <c r="BD526" s="1307">
        <f>BA526+BC526</f>
        <v>698</v>
      </c>
      <c r="BE526" s="1309">
        <f>BB526+BC526</f>
        <v>965</v>
      </c>
      <c r="BF526" s="1307">
        <v>312</v>
      </c>
      <c r="BG526" s="1307">
        <v>327</v>
      </c>
      <c r="BH526" s="1307">
        <f>BF526+BG526</f>
        <v>639</v>
      </c>
      <c r="BI526" s="1307">
        <v>349</v>
      </c>
      <c r="BJ526" s="1307">
        <f>BH526+BI526</f>
        <v>988</v>
      </c>
      <c r="BK526" s="1307">
        <v>374</v>
      </c>
      <c r="BL526" s="1307">
        <f>BI526+BK526</f>
        <v>723</v>
      </c>
      <c r="BM526" s="1307">
        <f>BJ526+BK526</f>
        <v>1362</v>
      </c>
      <c r="BN526" s="1308">
        <v>331</v>
      </c>
      <c r="BO526" s="1307">
        <v>283</v>
      </c>
      <c r="BP526" s="1307">
        <f>BN526+BO526</f>
        <v>614</v>
      </c>
      <c r="BQ526" s="1307">
        <v>374</v>
      </c>
      <c r="BR526" s="1307">
        <f>BP526+BQ526</f>
        <v>988</v>
      </c>
      <c r="BS526" s="1307">
        <v>353</v>
      </c>
      <c r="BT526" s="1307">
        <f>BQ526+BS526</f>
        <v>727</v>
      </c>
      <c r="BU526" s="1309">
        <f>BR526+BS526</f>
        <v>1341</v>
      </c>
      <c r="BV526" s="1308">
        <v>344</v>
      </c>
      <c r="BW526" s="1307">
        <v>349</v>
      </c>
      <c r="BX526" s="1307">
        <f>BV526+BW526</f>
        <v>693</v>
      </c>
      <c r="BY526" s="1307">
        <v>422</v>
      </c>
      <c r="BZ526" s="1307">
        <f>BX526+BY526</f>
        <v>1115</v>
      </c>
      <c r="CA526" s="1307">
        <v>406</v>
      </c>
      <c r="CB526" s="1307">
        <f>BY526+CA526</f>
        <v>828</v>
      </c>
      <c r="CC526" s="1309">
        <f>BZ526+CA526</f>
        <v>1521</v>
      </c>
      <c r="CD526" s="1308">
        <v>436</v>
      </c>
      <c r="CE526" s="1307">
        <v>427</v>
      </c>
      <c r="CF526" s="1307">
        <f>CD526+CE526</f>
        <v>863</v>
      </c>
      <c r="CG526" s="1307">
        <v>510</v>
      </c>
      <c r="CH526" s="1307">
        <f>CF526+CG526</f>
        <v>1373</v>
      </c>
      <c r="CI526" s="1307">
        <v>533</v>
      </c>
      <c r="CJ526" s="1307">
        <f>CG526+CI526</f>
        <v>1043</v>
      </c>
      <c r="CK526" s="1309">
        <f>CH526+CI526</f>
        <v>1906</v>
      </c>
      <c r="CL526" s="1308">
        <f t="shared" ref="CL526:CQ526" si="4147">CL537+CL532</f>
        <v>600</v>
      </c>
      <c r="CM526" s="1307">
        <f t="shared" si="4147"/>
        <v>605</v>
      </c>
      <c r="CN526" s="1307">
        <f t="shared" si="4147"/>
        <v>1205</v>
      </c>
      <c r="CO526" s="1307">
        <f t="shared" si="4147"/>
        <v>663</v>
      </c>
      <c r="CP526" s="1307">
        <f t="shared" si="4147"/>
        <v>1869</v>
      </c>
      <c r="CQ526" s="1307">
        <f t="shared" si="4147"/>
        <v>654.2</v>
      </c>
      <c r="CR526" s="1307">
        <f>CQ526+CO526</f>
        <v>1317.2</v>
      </c>
      <c r="CS526" s="1309">
        <f t="shared" ref="CS526:DA526" si="4148">CS537+CS532</f>
        <v>2521.2</v>
      </c>
      <c r="CT526" s="1308">
        <f t="shared" si="4148"/>
        <v>659</v>
      </c>
      <c r="CU526" s="1307">
        <f t="shared" si="4148"/>
        <v>687</v>
      </c>
      <c r="CV526" s="1307">
        <f t="shared" si="4148"/>
        <v>1346</v>
      </c>
      <c r="CW526" s="1307">
        <f t="shared" si="4148"/>
        <v>754</v>
      </c>
      <c r="CX526" s="1307">
        <f t="shared" si="4148"/>
        <v>2100</v>
      </c>
      <c r="CY526" s="1307">
        <f t="shared" si="4148"/>
        <v>811</v>
      </c>
      <c r="CZ526" s="1307">
        <f t="shared" si="4148"/>
        <v>1565</v>
      </c>
      <c r="DA526" s="1309">
        <f t="shared" si="4148"/>
        <v>2911</v>
      </c>
      <c r="DB526" s="1332">
        <f>SUM(DB532,DB537)</f>
        <v>771</v>
      </c>
      <c r="DC526" s="1311">
        <f>DC532+DC537</f>
        <v>824</v>
      </c>
      <c r="DD526" s="1311">
        <f>DD532+DD537</f>
        <v>1595</v>
      </c>
      <c r="DE526" s="1311">
        <f>DE532+DE537</f>
        <v>927</v>
      </c>
      <c r="DF526" s="1311">
        <f>DF532+DF537</f>
        <v>2522</v>
      </c>
      <c r="DG526" s="1311">
        <f>DI526-DF526</f>
        <v>1033</v>
      </c>
      <c r="DH526" s="1311">
        <f>DH532+DH537</f>
        <v>1960</v>
      </c>
      <c r="DI526" s="1312">
        <v>3555</v>
      </c>
      <c r="DJ526" s="1311">
        <f>SUM(DJ532,DJ537)</f>
        <v>846</v>
      </c>
      <c r="DK526" s="1311">
        <f>DK532+DK537</f>
        <v>842</v>
      </c>
      <c r="DL526" s="1311">
        <f>DK526+DJ526</f>
        <v>1688</v>
      </c>
      <c r="DM526" s="1311">
        <f>DM532+DM537</f>
        <v>919</v>
      </c>
      <c r="DN526" s="1311">
        <f>DM526+DL526</f>
        <v>2607</v>
      </c>
      <c r="DO526" s="1311" t="e">
        <f>DO532+DO537</f>
        <v>#REF!</v>
      </c>
      <c r="DP526" s="1311" t="e">
        <f>DO526+DM526</f>
        <v>#REF!</v>
      </c>
      <c r="DQ526" s="1312" t="e">
        <f>DQ532+DQ537</f>
        <v>#REF!</v>
      </c>
      <c r="DR526" s="1311"/>
      <c r="DS526" s="1311"/>
      <c r="DT526" s="1311"/>
      <c r="DU526" s="1311"/>
      <c r="DV526" s="1311"/>
      <c r="DW526" s="1311"/>
      <c r="DX526" s="1311"/>
      <c r="DY526" s="1312"/>
      <c r="DZ526" s="1311"/>
      <c r="EA526" s="1311"/>
      <c r="EB526" s="1311"/>
      <c r="EC526" s="1311"/>
      <c r="ED526" s="1311"/>
      <c r="EE526" s="1311"/>
      <c r="EF526" s="1311"/>
      <c r="EG526" s="1312"/>
      <c r="EH526" s="1311"/>
      <c r="EI526" s="1311"/>
      <c r="EJ526" s="1311"/>
      <c r="EK526" s="1311"/>
      <c r="EL526" s="1311"/>
      <c r="EM526" s="1311"/>
      <c r="EN526" s="1311"/>
      <c r="EO526" s="1312"/>
      <c r="EP526" s="1311"/>
      <c r="EQ526" s="1311"/>
      <c r="ER526" s="1311"/>
      <c r="ES526" s="1311"/>
      <c r="ET526" s="1311"/>
      <c r="EU526" s="1311"/>
      <c r="EV526" s="1311"/>
      <c r="IX526" s="1049"/>
      <c r="IY526" s="1049"/>
      <c r="IZ526" s="1049"/>
      <c r="JA526" s="1049"/>
      <c r="JB526" s="1049"/>
      <c r="JC526" s="1049"/>
      <c r="JD526" s="1469"/>
      <c r="JE526" s="1037"/>
      <c r="JF526" s="1037"/>
      <c r="JG526" s="1037"/>
      <c r="JH526" s="1037"/>
      <c r="JI526" s="1035"/>
      <c r="JJ526" s="1035"/>
      <c r="JK526" s="1035"/>
      <c r="JL526" s="1035"/>
      <c r="JM526" s="1035"/>
      <c r="JN526" s="1035"/>
      <c r="JO526" s="1035"/>
      <c r="JP526" s="1035"/>
      <c r="JQ526" s="1035"/>
      <c r="JR526" s="1035"/>
      <c r="JS526" s="1035"/>
      <c r="JT526" s="1035"/>
      <c r="JU526" s="1035"/>
      <c r="JV526" s="1035"/>
      <c r="JW526" s="1035"/>
      <c r="JX526" s="1035"/>
      <c r="JY526" s="1035"/>
      <c r="KP526" s="1117"/>
      <c r="LV526" s="967"/>
    </row>
    <row r="527" spans="1:334">
      <c r="A527" s="1035" t="s">
        <v>142</v>
      </c>
      <c r="B527" s="1302" t="s">
        <v>173</v>
      </c>
      <c r="C527" s="1302" t="s">
        <v>173</v>
      </c>
      <c r="D527" s="1302" t="s">
        <v>173</v>
      </c>
      <c r="E527" s="1302" t="s">
        <v>173</v>
      </c>
      <c r="F527" s="1302" t="s">
        <v>173</v>
      </c>
      <c r="G527" s="1302" t="s">
        <v>173</v>
      </c>
      <c r="H527" s="1302" t="s">
        <v>173</v>
      </c>
      <c r="I527" s="1302" t="s">
        <v>173</v>
      </c>
      <c r="J527" s="1302">
        <f t="shared" ref="J527:AO527" si="4149">J526/B526-1</f>
        <v>0.221052631578947</v>
      </c>
      <c r="K527" s="1302">
        <f t="shared" si="4149"/>
        <v>0.137931034482758</v>
      </c>
      <c r="L527" s="1302">
        <f t="shared" si="4149"/>
        <v>0.181318681318681</v>
      </c>
      <c r="M527" s="1302">
        <f t="shared" si="4149"/>
        <v>0.204918032786885</v>
      </c>
      <c r="N527" s="1302">
        <f t="shared" si="4149"/>
        <v>0.19078947368421</v>
      </c>
      <c r="O527" s="1302">
        <f t="shared" si="4149"/>
        <v>1.01063829787234</v>
      </c>
      <c r="P527" s="1302">
        <f t="shared" si="4149"/>
        <v>0.555555555555556</v>
      </c>
      <c r="Q527" s="1302">
        <f t="shared" si="4149"/>
        <v>0.384422110552764</v>
      </c>
      <c r="R527" s="1302">
        <f t="shared" si="4149"/>
        <v>0.836206896551724</v>
      </c>
      <c r="S527" s="1302">
        <f t="shared" si="4149"/>
        <v>1.15151515151515</v>
      </c>
      <c r="T527" s="1302">
        <f t="shared" si="4149"/>
        <v>0.981395348837209</v>
      </c>
      <c r="U527" s="1302">
        <f t="shared" si="4149"/>
        <v>0.639455782312925</v>
      </c>
      <c r="V527" s="1302">
        <f t="shared" si="4149"/>
        <v>0.842541436464088</v>
      </c>
      <c r="W527" s="1302">
        <f t="shared" si="4149"/>
        <v>0.0846560846560847</v>
      </c>
      <c r="X527" s="1302">
        <f t="shared" si="4149"/>
        <v>0.327380952380952</v>
      </c>
      <c r="Y527" s="1302">
        <f t="shared" si="4149"/>
        <v>0.582577132486389</v>
      </c>
      <c r="Z527" s="1302">
        <f t="shared" si="4149"/>
        <v>0.239515586248438</v>
      </c>
      <c r="AA527" s="1302">
        <f t="shared" si="4149"/>
        <v>0.0467656319296574</v>
      </c>
      <c r="AB527" s="1302">
        <f t="shared" si="4149"/>
        <v>0.143140609089048</v>
      </c>
      <c r="AC527" s="1302">
        <f t="shared" si="4149"/>
        <v>-0.029045643153527</v>
      </c>
      <c r="AD527" s="1302">
        <f t="shared" si="4149"/>
        <v>0.0809263860148939</v>
      </c>
      <c r="AE527" s="1302">
        <f t="shared" si="4149"/>
        <v>0.2636302490543</v>
      </c>
      <c r="AF527" s="1302">
        <f t="shared" si="4149"/>
        <v>0.105480271426304</v>
      </c>
      <c r="AG527" s="1302">
        <f t="shared" si="4149"/>
        <v>0.123878555651451</v>
      </c>
      <c r="AH527" s="1302">
        <f t="shared" si="4149"/>
        <v>0.214888608048785</v>
      </c>
      <c r="AI527" s="1302">
        <f t="shared" si="4149"/>
        <v>0.429824561403509</v>
      </c>
      <c r="AJ527" s="1302">
        <f t="shared" si="4149"/>
        <v>0.313296261162014</v>
      </c>
      <c r="AK527" s="1302">
        <f t="shared" si="4149"/>
        <v>0.763562295539608</v>
      </c>
      <c r="AL527" s="1302">
        <f t="shared" si="4149"/>
        <v>0.459434238652763</v>
      </c>
      <c r="AM527" s="1302">
        <f t="shared" si="4149"/>
        <v>0.978115399628386</v>
      </c>
      <c r="AN527" s="1302">
        <f t="shared" ref="AN527:BU527" si="4150">AN526/AF526-1</f>
        <v>0.876287964584569</v>
      </c>
      <c r="AO527" s="1302">
        <f t="shared" si="4149"/>
        <v>0.59653456207955</v>
      </c>
      <c r="AP527" s="1302">
        <f t="shared" si="4150"/>
        <v>0.378048780487805</v>
      </c>
      <c r="AQ527" s="1302">
        <f t="shared" si="4150"/>
        <v>0.331288343558282</v>
      </c>
      <c r="AR527" s="1302">
        <f t="shared" si="4150"/>
        <v>0.354740061162079</v>
      </c>
      <c r="AS527" s="1302">
        <f t="shared" si="4150"/>
        <v>0.345971563981043</v>
      </c>
      <c r="AT527" s="1302">
        <f t="shared" si="4150"/>
        <v>0.351301115241636</v>
      </c>
      <c r="AU527" s="1302">
        <f t="shared" si="4150"/>
        <v>0.305343511450382</v>
      </c>
      <c r="AV527" s="1302">
        <f t="shared" si="4150"/>
        <v>0.323467230443975</v>
      </c>
      <c r="AW527" s="1302">
        <f t="shared" si="4150"/>
        <v>0.33625</v>
      </c>
      <c r="AX527" s="1303">
        <f t="shared" si="4150"/>
        <v>0.154867256637168</v>
      </c>
      <c r="AY527" s="1302">
        <f t="shared" si="4150"/>
        <v>0.230414746543779</v>
      </c>
      <c r="AZ527" s="1302">
        <f t="shared" si="4150"/>
        <v>0.191873589164786</v>
      </c>
      <c r="BA527" s="1302">
        <f t="shared" si="4150"/>
        <v>0.130281690140845</v>
      </c>
      <c r="BB527" s="1302">
        <f t="shared" si="4150"/>
        <v>-0.191196698762036</v>
      </c>
      <c r="BC527" s="1302">
        <f t="shared" si="4150"/>
        <v>0.10233918128655</v>
      </c>
      <c r="BD527" s="1302">
        <f t="shared" si="4150"/>
        <v>0.115015974440895</v>
      </c>
      <c r="BE527" s="1304">
        <f t="shared" si="4150"/>
        <v>-0.0972871842843779</v>
      </c>
      <c r="BF527" s="1302">
        <f t="shared" si="4150"/>
        <v>0.195402298850575</v>
      </c>
      <c r="BG527" s="1302">
        <f t="shared" si="4150"/>
        <v>0.224719101123596</v>
      </c>
      <c r="BH527" s="1302">
        <f t="shared" si="4150"/>
        <v>0.210227272727273</v>
      </c>
      <c r="BI527" s="1302">
        <f t="shared" si="4150"/>
        <v>0.0872274143302181</v>
      </c>
      <c r="BJ527" s="1302">
        <f t="shared" si="4150"/>
        <v>0.680272108843538</v>
      </c>
      <c r="BK527" s="1302">
        <f t="shared" si="4150"/>
        <v>-0.00795755968169765</v>
      </c>
      <c r="BL527" s="1302">
        <f t="shared" si="4150"/>
        <v>0.0358166189111748</v>
      </c>
      <c r="BM527" s="1302">
        <f t="shared" si="4150"/>
        <v>0.41139896373057</v>
      </c>
      <c r="BN527" s="1303">
        <f t="shared" si="4150"/>
        <v>0.0608974358974359</v>
      </c>
      <c r="BO527" s="1302">
        <f t="shared" si="4150"/>
        <v>-0.134556574923547</v>
      </c>
      <c r="BP527" s="1302">
        <f t="shared" si="4150"/>
        <v>-0.0391236306729265</v>
      </c>
      <c r="BQ527" s="1302">
        <f t="shared" si="4150"/>
        <v>0.0716332378223496</v>
      </c>
      <c r="BR527" s="1302">
        <f t="shared" si="4150"/>
        <v>0</v>
      </c>
      <c r="BS527" s="1302">
        <f t="shared" si="4150"/>
        <v>-0.0561497326203209</v>
      </c>
      <c r="BT527" s="1302">
        <f t="shared" si="4150"/>
        <v>0.00553250345781464</v>
      </c>
      <c r="BU527" s="1304">
        <f t="shared" si="4150"/>
        <v>-0.0154185022026432</v>
      </c>
      <c r="BV527" s="1303">
        <f t="shared" ref="BV527:CN527" si="4151">BV526/BN526-1</f>
        <v>0.0392749244712991</v>
      </c>
      <c r="BW527" s="1302">
        <f t="shared" si="4151"/>
        <v>0.23321554770318</v>
      </c>
      <c r="BX527" s="1302">
        <f t="shared" si="4151"/>
        <v>0.128664495114007</v>
      </c>
      <c r="BY527" s="1302">
        <f t="shared" si="4151"/>
        <v>0.128342245989305</v>
      </c>
      <c r="BZ527" s="1302">
        <f t="shared" si="4151"/>
        <v>0.128542510121457</v>
      </c>
      <c r="CA527" s="1302">
        <f t="shared" si="4151"/>
        <v>0.15014164305949</v>
      </c>
      <c r="CB527" s="1302">
        <f t="shared" si="4151"/>
        <v>0.138927097661623</v>
      </c>
      <c r="CC527" s="1304">
        <f t="shared" si="4151"/>
        <v>0.134228187919463</v>
      </c>
      <c r="CD527" s="1303">
        <f t="shared" si="4151"/>
        <v>0.267441860465116</v>
      </c>
      <c r="CE527" s="1302">
        <f t="shared" si="4151"/>
        <v>0.223495702005731</v>
      </c>
      <c r="CF527" s="1302">
        <f t="shared" si="4151"/>
        <v>0.245310245310245</v>
      </c>
      <c r="CG527" s="1302">
        <f t="shared" si="4151"/>
        <v>0.208530805687204</v>
      </c>
      <c r="CH527" s="1302">
        <f t="shared" si="4151"/>
        <v>0.231390134529148</v>
      </c>
      <c r="CI527" s="1302">
        <f t="shared" si="4151"/>
        <v>0.312807881773399</v>
      </c>
      <c r="CJ527" s="1302">
        <f t="shared" si="4151"/>
        <v>0.259661835748792</v>
      </c>
      <c r="CK527" s="1304">
        <f t="shared" si="4151"/>
        <v>0.253122945430638</v>
      </c>
      <c r="CL527" s="1303">
        <v>0.451834862385321</v>
      </c>
      <c r="CM527" s="1302">
        <f t="shared" si="4151"/>
        <v>0.416861826697892</v>
      </c>
      <c r="CN527" s="1302">
        <f t="shared" si="4151"/>
        <v>0.396292004634994</v>
      </c>
      <c r="CO527" s="1302">
        <f t="shared" ref="CO527:CT527" si="4152">CO526/CG526-1</f>
        <v>0.3</v>
      </c>
      <c r="CP527" s="1302">
        <f t="shared" si="4152"/>
        <v>0.361252731245448</v>
      </c>
      <c r="CQ527" s="1302">
        <f t="shared" si="4152"/>
        <v>0.227392120075047</v>
      </c>
      <c r="CR527" s="1302">
        <f t="shared" si="4152"/>
        <v>0.262895493767977</v>
      </c>
      <c r="CS527" s="1304">
        <f t="shared" si="4152"/>
        <v>0.322770199370409</v>
      </c>
      <c r="CT527" s="1303">
        <f t="shared" si="4152"/>
        <v>0.0983333333333334</v>
      </c>
      <c r="CU527" s="1302">
        <f t="shared" ref="CU527:DA527" si="4153">CU526/CM526-1</f>
        <v>0.135537190082645</v>
      </c>
      <c r="CV527" s="1302">
        <f t="shared" si="4153"/>
        <v>0.11701244813278</v>
      </c>
      <c r="CW527" s="1302">
        <f t="shared" si="4153"/>
        <v>0.137254901960784</v>
      </c>
      <c r="CX527" s="1302">
        <f t="shared" si="4153"/>
        <v>0.123595505617978</v>
      </c>
      <c r="CY527" s="1302">
        <f t="shared" si="4153"/>
        <v>0.239682054417609</v>
      </c>
      <c r="CZ527" s="1302">
        <f t="shared" si="4153"/>
        <v>0.188126328575767</v>
      </c>
      <c r="DA527" s="1304">
        <f t="shared" si="4153"/>
        <v>0.154608916389021</v>
      </c>
      <c r="DB527" s="1109">
        <f t="shared" ref="DB527:DI527" si="4154">DB526/CT526-1</f>
        <v>0.169954476479514</v>
      </c>
      <c r="DC527" s="1082">
        <f t="shared" si="4154"/>
        <v>0.199417758369723</v>
      </c>
      <c r="DD527" s="1082">
        <f t="shared" si="4154"/>
        <v>0.184992570579495</v>
      </c>
      <c r="DE527" s="1082">
        <f t="shared" si="4154"/>
        <v>0.229442970822281</v>
      </c>
      <c r="DF527" s="1082">
        <f t="shared" si="4154"/>
        <v>0.200952380952381</v>
      </c>
      <c r="DG527" s="1082">
        <f t="shared" si="4154"/>
        <v>0.273736128236745</v>
      </c>
      <c r="DH527" s="1082">
        <f t="shared" si="4154"/>
        <v>0.252396166134185</v>
      </c>
      <c r="DI527" s="1085">
        <f t="shared" si="4154"/>
        <v>0.221229817931982</v>
      </c>
      <c r="DJ527" s="1082">
        <f t="shared" ref="DJ527:DQ527" si="4155">DJ526/DB526-1</f>
        <v>0.0972762645914398</v>
      </c>
      <c r="DK527" s="1082">
        <f t="shared" si="4155"/>
        <v>0.0218446601941749</v>
      </c>
      <c r="DL527" s="1082">
        <f t="shared" si="4155"/>
        <v>0.058307210031348</v>
      </c>
      <c r="DM527" s="1082">
        <f t="shared" si="4155"/>
        <v>-0.00862998921251346</v>
      </c>
      <c r="DN527" s="1082">
        <f t="shared" si="4155"/>
        <v>0.0337034099920699</v>
      </c>
      <c r="DO527" s="1082" t="e">
        <f t="shared" si="4155"/>
        <v>#REF!</v>
      </c>
      <c r="DP527" s="1082" t="e">
        <f t="shared" si="4155"/>
        <v>#REF!</v>
      </c>
      <c r="DQ527" s="1085" t="e">
        <f t="shared" si="4155"/>
        <v>#REF!</v>
      </c>
      <c r="DR527" s="1082"/>
      <c r="DS527" s="1082"/>
      <c r="DT527" s="1082"/>
      <c r="DU527" s="1082"/>
      <c r="DV527" s="1082"/>
      <c r="DW527" s="1082"/>
      <c r="DX527" s="1082"/>
      <c r="DY527" s="1085"/>
      <c r="DZ527" s="1082"/>
      <c r="EA527" s="1082"/>
      <c r="EB527" s="1082"/>
      <c r="EC527" s="1082"/>
      <c r="ED527" s="1082"/>
      <c r="EE527" s="1082"/>
      <c r="EF527" s="1082"/>
      <c r="EG527" s="1085"/>
      <c r="EH527" s="1082"/>
      <c r="EI527" s="1082"/>
      <c r="EJ527" s="1082"/>
      <c r="EK527" s="1082"/>
      <c r="EL527" s="1082"/>
      <c r="EM527" s="1082"/>
      <c r="EN527" s="1082"/>
      <c r="EO527" s="1085"/>
      <c r="EP527" s="1082"/>
      <c r="EQ527" s="1082"/>
      <c r="ER527" s="1082"/>
      <c r="ES527" s="1082"/>
      <c r="ET527" s="1082"/>
      <c r="EU527" s="1082"/>
      <c r="EV527" s="1082"/>
      <c r="IX527" s="1049"/>
      <c r="IY527" s="1049"/>
      <c r="IZ527" s="1049"/>
      <c r="JA527" s="1049"/>
      <c r="JB527" s="1049"/>
      <c r="JC527" s="1049"/>
      <c r="JD527" s="1112"/>
      <c r="JE527" s="1037"/>
      <c r="JF527" s="1037"/>
      <c r="JG527" s="1037"/>
      <c r="JH527" s="1037"/>
      <c r="JI527" s="1035"/>
      <c r="JJ527" s="1035"/>
      <c r="JK527" s="1035"/>
      <c r="JL527" s="1035"/>
      <c r="JM527" s="1035"/>
      <c r="JN527" s="1035"/>
      <c r="JO527" s="1035"/>
      <c r="JP527" s="1035"/>
      <c r="JQ527" s="1035"/>
      <c r="JR527" s="1035"/>
      <c r="JS527" s="1035"/>
      <c r="JT527" s="1035"/>
      <c r="JU527" s="1035"/>
      <c r="JV527" s="1035"/>
      <c r="JW527" s="1035"/>
      <c r="JX527" s="1035"/>
      <c r="JY527" s="1035"/>
      <c r="KP527" s="1110"/>
      <c r="LV527" s="967"/>
    </row>
    <row r="528" spans="1:334">
      <c r="A528" s="1035" t="s">
        <v>623</v>
      </c>
      <c r="B528" s="1302"/>
      <c r="C528" s="1302"/>
      <c r="D528" s="1302"/>
      <c r="E528" s="1302"/>
      <c r="F528" s="1302"/>
      <c r="G528" s="1302"/>
      <c r="H528" s="1302"/>
      <c r="I528" s="1302"/>
      <c r="J528" s="1302"/>
      <c r="K528" s="1302"/>
      <c r="L528" s="1302"/>
      <c r="M528" s="1302"/>
      <c r="N528" s="1302"/>
      <c r="O528" s="1302"/>
      <c r="P528" s="1302"/>
      <c r="Q528" s="1302"/>
      <c r="R528" s="1302"/>
      <c r="S528" s="1302"/>
      <c r="T528" s="1302"/>
      <c r="U528" s="1302"/>
      <c r="V528" s="1302"/>
      <c r="W528" s="1302"/>
      <c r="X528" s="1302"/>
      <c r="Y528" s="1302"/>
      <c r="Z528" s="1302"/>
      <c r="AA528" s="1302"/>
      <c r="AB528" s="1302"/>
      <c r="AC528" s="1302"/>
      <c r="AD528" s="1302"/>
      <c r="AE528" s="1302"/>
      <c r="AF528" s="1302"/>
      <c r="AG528" s="1302"/>
      <c r="AH528" s="1302"/>
      <c r="AI528" s="1302"/>
      <c r="AJ528" s="1302"/>
      <c r="AK528" s="1302"/>
      <c r="AL528" s="1302"/>
      <c r="AM528" s="1302"/>
      <c r="AN528" s="1302"/>
      <c r="AO528" s="1302"/>
      <c r="AP528" s="1302"/>
      <c r="AQ528" s="1302"/>
      <c r="AR528" s="1302"/>
      <c r="AS528" s="1302"/>
      <c r="AT528" s="1302"/>
      <c r="AU528" s="1302"/>
      <c r="AV528" s="1302"/>
      <c r="AW528" s="1302"/>
      <c r="AX528" s="1303"/>
      <c r="AY528" s="1302"/>
      <c r="AZ528" s="1302"/>
      <c r="BA528" s="1302"/>
      <c r="BB528" s="1302"/>
      <c r="BC528" s="1302"/>
      <c r="BD528" s="1302"/>
      <c r="BE528" s="1304"/>
      <c r="BF528" s="1302"/>
      <c r="BG528" s="1302"/>
      <c r="BH528" s="1302"/>
      <c r="BI528" s="1302"/>
      <c r="BJ528" s="1302"/>
      <c r="BK528" s="1302"/>
      <c r="BL528" s="1302"/>
      <c r="BM528" s="1302"/>
      <c r="BN528" s="1303"/>
      <c r="BO528" s="1302"/>
      <c r="BP528" s="1302"/>
      <c r="BQ528" s="1302"/>
      <c r="BR528" s="1302"/>
      <c r="BS528" s="1302"/>
      <c r="BT528" s="1302"/>
      <c r="BU528" s="1304"/>
      <c r="BV528" s="1303"/>
      <c r="BW528" s="1302"/>
      <c r="BX528" s="1302"/>
      <c r="BY528" s="1302"/>
      <c r="BZ528" s="1302"/>
      <c r="CA528" s="1302"/>
      <c r="CB528" s="1302"/>
      <c r="CC528" s="1304"/>
      <c r="CD528" s="1303"/>
      <c r="CE528" s="1302"/>
      <c r="CF528" s="1302"/>
      <c r="CG528" s="1302"/>
      <c r="CH528" s="1302"/>
      <c r="CI528" s="1302"/>
      <c r="CJ528" s="1302"/>
      <c r="CK528" s="1304"/>
      <c r="CL528" s="1303"/>
      <c r="CM528" s="1302"/>
      <c r="CN528" s="1302"/>
      <c r="CO528" s="1302"/>
      <c r="CP528" s="1302"/>
      <c r="CQ528" s="1302"/>
      <c r="CR528" s="1302"/>
      <c r="CS528" s="1304"/>
      <c r="CT528" s="1303">
        <f>CT527-CT529</f>
        <v>-0.0799666666666666</v>
      </c>
      <c r="CU528" s="1302">
        <f t="shared" ref="CU528:DA528" si="4156">CU527-CU529</f>
        <v>-0.0705785123966943</v>
      </c>
      <c r="CV528" s="1302">
        <f t="shared" si="4156"/>
        <v>-0.0749875518672199</v>
      </c>
      <c r="CW528" s="1302">
        <f t="shared" si="4156"/>
        <v>-0.0498567119155355</v>
      </c>
      <c r="CX528" s="1302">
        <f t="shared" si="4156"/>
        <v>-0.0665329052969502</v>
      </c>
      <c r="CY528" s="1302">
        <f t="shared" si="4156"/>
        <v>-0.0633842861510241</v>
      </c>
      <c r="CZ528" s="1302">
        <f t="shared" si="4156"/>
        <v>-0.0565259641664135</v>
      </c>
      <c r="DA528" s="1304">
        <f t="shared" si="4156"/>
        <v>-0.0649754085356179</v>
      </c>
      <c r="DB528" s="1109">
        <f t="shared" ref="DB528:DH528" si="4157">DB527-DB529</f>
        <v>-0.0632625189681335</v>
      </c>
      <c r="DC528" s="1082">
        <f t="shared" si="4157"/>
        <v>-0.0847307132459971</v>
      </c>
      <c r="DD528" s="1082">
        <f t="shared" si="4157"/>
        <v>-0.0742199108469539</v>
      </c>
      <c r="DE528" s="1082">
        <f t="shared" si="4157"/>
        <v>-0.0511140583554378</v>
      </c>
      <c r="DF528" s="1082">
        <f t="shared" si="4157"/>
        <v>-0.0659238095238095</v>
      </c>
      <c r="DG528" s="1082">
        <f t="shared" si="4157"/>
        <v>0.0701997533908759</v>
      </c>
      <c r="DH528" s="1082">
        <f t="shared" si="4157"/>
        <v>0.0117520766773165</v>
      </c>
      <c r="DI528" s="1085">
        <v>-0.028</v>
      </c>
      <c r="DJ528" s="1082">
        <f t="shared" ref="DJ528:DP528" si="4158">DJ527-DJ529</f>
        <v>0.0723346303501947</v>
      </c>
      <c r="DK528" s="1082">
        <f t="shared" si="4158"/>
        <v>0.0668082524271845</v>
      </c>
      <c r="DL528" s="1082">
        <f t="shared" si="4158"/>
        <v>0.0694796238244514</v>
      </c>
      <c r="DM528" s="1082">
        <f t="shared" si="4158"/>
        <v>0.0159892125134844</v>
      </c>
      <c r="DN528" s="1082">
        <f t="shared" si="4158"/>
        <v>0.0498183980967487</v>
      </c>
      <c r="DO528" s="1082" t="e">
        <f t="shared" si="4158"/>
        <v>#REF!</v>
      </c>
      <c r="DP528" s="1082" t="e">
        <f t="shared" si="4158"/>
        <v>#REF!</v>
      </c>
      <c r="DQ528" s="1085" t="e">
        <f>'Profit and Loss'!#REF!</f>
        <v>#REF!</v>
      </c>
      <c r="DR528" s="1082"/>
      <c r="DS528" s="1082"/>
      <c r="DT528" s="1082"/>
      <c r="DU528" s="1082"/>
      <c r="DV528" s="1082"/>
      <c r="DW528" s="1082"/>
      <c r="DX528" s="1082"/>
      <c r="DY528" s="1085"/>
      <c r="DZ528" s="1082"/>
      <c r="EA528" s="1082"/>
      <c r="EB528" s="1082"/>
      <c r="EC528" s="1082"/>
      <c r="ED528" s="1082"/>
      <c r="EE528" s="1082"/>
      <c r="EF528" s="1082"/>
      <c r="EG528" s="1085"/>
      <c r="EH528" s="1082"/>
      <c r="EI528" s="1082"/>
      <c r="EJ528" s="1082"/>
      <c r="EK528" s="1082"/>
      <c r="EL528" s="1082"/>
      <c r="EM528" s="1082"/>
      <c r="EN528" s="1082"/>
      <c r="EO528" s="1085"/>
      <c r="EP528" s="1082"/>
      <c r="EQ528" s="1082"/>
      <c r="ER528" s="1082"/>
      <c r="ES528" s="1082"/>
      <c r="ET528" s="1082"/>
      <c r="EU528" s="1082"/>
      <c r="EV528" s="1082"/>
      <c r="IX528" s="1049"/>
      <c r="IY528" s="1049"/>
      <c r="IZ528" s="1049"/>
      <c r="JA528" s="1049"/>
      <c r="JB528" s="1049"/>
      <c r="JC528" s="1049"/>
      <c r="JD528" s="1112"/>
      <c r="JE528" s="1037"/>
      <c r="JF528" s="1037"/>
      <c r="JG528" s="1037"/>
      <c r="JH528" s="1037"/>
      <c r="JI528" s="1035"/>
      <c r="JJ528" s="1035"/>
      <c r="JK528" s="1035"/>
      <c r="JL528" s="1035"/>
      <c r="JM528" s="1035"/>
      <c r="JN528" s="1035"/>
      <c r="JO528" s="1035"/>
      <c r="JP528" s="1035"/>
      <c r="JQ528" s="1035"/>
      <c r="JR528" s="1035"/>
      <c r="JS528" s="1035"/>
      <c r="JT528" s="1035"/>
      <c r="JU528" s="1035"/>
      <c r="JV528" s="1035"/>
      <c r="JW528" s="1035"/>
      <c r="JX528" s="1035"/>
      <c r="JY528" s="1035"/>
      <c r="KP528" s="1025"/>
      <c r="LV528" s="967"/>
    </row>
    <row r="529" spans="1:334">
      <c r="A529" s="1035" t="s">
        <v>624</v>
      </c>
      <c r="B529" s="1302"/>
      <c r="C529" s="1302"/>
      <c r="D529" s="1302"/>
      <c r="E529" s="1302"/>
      <c r="F529" s="1302"/>
      <c r="G529" s="1302"/>
      <c r="H529" s="1302"/>
      <c r="I529" s="1302"/>
      <c r="J529" s="1302"/>
      <c r="K529" s="1302"/>
      <c r="L529" s="1302"/>
      <c r="M529" s="1302"/>
      <c r="N529" s="1302"/>
      <c r="O529" s="1302"/>
      <c r="P529" s="1302"/>
      <c r="Q529" s="1302"/>
      <c r="R529" s="1302"/>
      <c r="S529" s="1302"/>
      <c r="T529" s="1302"/>
      <c r="U529" s="1302"/>
      <c r="V529" s="1302"/>
      <c r="W529" s="1302"/>
      <c r="X529" s="1302"/>
      <c r="Y529" s="1302"/>
      <c r="Z529" s="1302"/>
      <c r="AA529" s="1302"/>
      <c r="AB529" s="1302"/>
      <c r="AC529" s="1302"/>
      <c r="AD529" s="1302"/>
      <c r="AE529" s="1302"/>
      <c r="AF529" s="1302"/>
      <c r="AG529" s="1302"/>
      <c r="AH529" s="1302"/>
      <c r="AI529" s="1302"/>
      <c r="AJ529" s="1302"/>
      <c r="AK529" s="1302"/>
      <c r="AL529" s="1302"/>
      <c r="AM529" s="1302"/>
      <c r="AN529" s="1302"/>
      <c r="AO529" s="1302"/>
      <c r="AP529" s="1302"/>
      <c r="AQ529" s="1302"/>
      <c r="AR529" s="1302"/>
      <c r="AS529" s="1302"/>
      <c r="AT529" s="1302"/>
      <c r="AU529" s="1302"/>
      <c r="AV529" s="1302"/>
      <c r="AW529" s="1302"/>
      <c r="AX529" s="1303"/>
      <c r="AY529" s="1302"/>
      <c r="AZ529" s="1302"/>
      <c r="BA529" s="1302"/>
      <c r="BB529" s="1302"/>
      <c r="BC529" s="1302"/>
      <c r="BD529" s="1302"/>
      <c r="BE529" s="1304"/>
      <c r="BF529" s="1302"/>
      <c r="BG529" s="1302"/>
      <c r="BH529" s="1302"/>
      <c r="BI529" s="1302"/>
      <c r="BJ529" s="1302"/>
      <c r="BK529" s="1302"/>
      <c r="BL529" s="1302"/>
      <c r="BM529" s="1302"/>
      <c r="BN529" s="1303"/>
      <c r="BO529" s="1302"/>
      <c r="BP529" s="1302"/>
      <c r="BQ529" s="1302"/>
      <c r="BR529" s="1302"/>
      <c r="BS529" s="1302"/>
      <c r="BT529" s="1302"/>
      <c r="BU529" s="1304"/>
      <c r="BV529" s="1303"/>
      <c r="BW529" s="1302"/>
      <c r="BX529" s="1302"/>
      <c r="BY529" s="1302"/>
      <c r="BZ529" s="1302"/>
      <c r="CA529" s="1302"/>
      <c r="CB529" s="1302"/>
      <c r="CC529" s="1304"/>
      <c r="CD529" s="1303"/>
      <c r="CE529" s="1302"/>
      <c r="CF529" s="1302"/>
      <c r="CG529" s="1302"/>
      <c r="CH529" s="1302"/>
      <c r="CI529" s="1302"/>
      <c r="CJ529" s="1302"/>
      <c r="CK529" s="1304"/>
      <c r="CL529" s="1303"/>
      <c r="CM529" s="1302"/>
      <c r="CN529" s="1302"/>
      <c r="CO529" s="1302"/>
      <c r="CP529" s="1302"/>
      <c r="CQ529" s="1302"/>
      <c r="CR529" s="1302"/>
      <c r="CS529" s="1304"/>
      <c r="CT529" s="1303">
        <f t="shared" ref="CT529:DB529" si="4159">(CT535*CL532+CT540*CL537)/CL526</f>
        <v>0.1783</v>
      </c>
      <c r="CU529" s="1302">
        <f t="shared" si="4159"/>
        <v>0.206115702479339</v>
      </c>
      <c r="CV529" s="1302">
        <f t="shared" si="4159"/>
        <v>0.192</v>
      </c>
      <c r="CW529" s="1302">
        <f t="shared" si="4159"/>
        <v>0.18711161387632</v>
      </c>
      <c r="CX529" s="1302">
        <f t="shared" si="4159"/>
        <v>0.190128410914928</v>
      </c>
      <c r="CY529" s="1302">
        <f t="shared" si="4159"/>
        <v>0.303066340568633</v>
      </c>
      <c r="CZ529" s="1302">
        <f t="shared" si="4159"/>
        <v>0.24465229274218</v>
      </c>
      <c r="DA529" s="1304">
        <f t="shared" si="4159"/>
        <v>0.219584324924639</v>
      </c>
      <c r="DB529" s="1109">
        <f t="shared" si="4159"/>
        <v>0.233216995447648</v>
      </c>
      <c r="DC529" s="1082">
        <f>(DD529*CV526-DB529*CT526)/CU526</f>
        <v>0.28414847161572</v>
      </c>
      <c r="DD529" s="1082">
        <f>(DD535*CV532+DD540*CV537)/CV526</f>
        <v>0.259212481426449</v>
      </c>
      <c r="DE529" s="1082">
        <f>(DF529*CX526-DD529*CV526)/CW526</f>
        <v>0.280557029177719</v>
      </c>
      <c r="DF529" s="1082">
        <f>(DF535*CX532+DF540*CX537)/CX526</f>
        <v>0.26687619047619</v>
      </c>
      <c r="DG529" s="1082">
        <f>(DI529*DA526-DF529*CX526)/CY526</f>
        <v>0.203536374845869</v>
      </c>
      <c r="DH529" s="1082">
        <f>(DI529*DA526-DD529*CV526)/CZ526</f>
        <v>0.240644089456869</v>
      </c>
      <c r="DI529" s="1085">
        <f>DI527-DI528</f>
        <v>0.249229817931982</v>
      </c>
      <c r="DJ529" s="1082">
        <f t="shared" ref="DJ529:DQ529" si="4160">(DJ535*DB532+DJ540*DB537)/DB526</f>
        <v>0.0249416342412451</v>
      </c>
      <c r="DK529" s="1082">
        <f t="shared" si="4160"/>
        <v>-0.0449635922330097</v>
      </c>
      <c r="DL529" s="1082">
        <f t="shared" si="4160"/>
        <v>-0.0111724137931034</v>
      </c>
      <c r="DM529" s="1082">
        <f t="shared" si="4160"/>
        <v>-0.0246192017259978</v>
      </c>
      <c r="DN529" s="1082">
        <f t="shared" si="4160"/>
        <v>-0.0161149881046788</v>
      </c>
      <c r="DO529" s="1082">
        <f t="shared" si="4160"/>
        <v>-0.00333010648596321</v>
      </c>
      <c r="DP529" s="1082">
        <f t="shared" si="4160"/>
        <v>-0.0133989795918367</v>
      </c>
      <c r="DQ529" s="1085">
        <f t="shared" si="4160"/>
        <v>-0.0124</v>
      </c>
      <c r="DR529" s="1082"/>
      <c r="DS529" s="1082"/>
      <c r="DT529" s="1082"/>
      <c r="DU529" s="1082"/>
      <c r="DV529" s="1082"/>
      <c r="DW529" s="1082"/>
      <c r="DX529" s="1082"/>
      <c r="DY529" s="1085"/>
      <c r="DZ529" s="1082"/>
      <c r="EA529" s="1082"/>
      <c r="EB529" s="1082"/>
      <c r="EC529" s="1082"/>
      <c r="ED529" s="1082"/>
      <c r="EE529" s="1082"/>
      <c r="EF529" s="1082"/>
      <c r="EG529" s="1085"/>
      <c r="EH529" s="1082"/>
      <c r="EI529" s="1082"/>
      <c r="EJ529" s="1082"/>
      <c r="EK529" s="1082"/>
      <c r="EL529" s="1082"/>
      <c r="EM529" s="1082"/>
      <c r="EN529" s="1082"/>
      <c r="EO529" s="1085"/>
      <c r="EP529" s="1082"/>
      <c r="EQ529" s="1082"/>
      <c r="ER529" s="1082"/>
      <c r="ES529" s="1082"/>
      <c r="ET529" s="1082"/>
      <c r="EU529" s="1082"/>
      <c r="EV529" s="1082"/>
      <c r="IX529" s="1049"/>
      <c r="IY529" s="1049"/>
      <c r="IZ529" s="1049"/>
      <c r="JA529" s="1049"/>
      <c r="JB529" s="1049"/>
      <c r="JC529" s="1049"/>
      <c r="JD529" s="1112"/>
      <c r="JE529" s="1037"/>
      <c r="JF529" s="1037"/>
      <c r="JG529" s="1037"/>
      <c r="JH529" s="1037"/>
      <c r="JI529" s="1035"/>
      <c r="JJ529" s="1035"/>
      <c r="JK529" s="1035"/>
      <c r="JL529" s="1035"/>
      <c r="JM529" s="1035"/>
      <c r="JN529" s="1035"/>
      <c r="JO529" s="1035"/>
      <c r="JP529" s="1035"/>
      <c r="JQ529" s="1035"/>
      <c r="JR529" s="1035"/>
      <c r="JS529" s="1035"/>
      <c r="JT529" s="1035"/>
      <c r="JU529" s="1035"/>
      <c r="JV529" s="1035"/>
      <c r="JW529" s="1035"/>
      <c r="JX529" s="1035"/>
      <c r="JY529" s="1035"/>
      <c r="KP529" s="1117"/>
      <c r="LV529" s="967"/>
    </row>
    <row r="530" spans="1:334">
      <c r="A530" s="1035" t="s">
        <v>621</v>
      </c>
      <c r="B530" s="1302">
        <v>0.0486708416833667</v>
      </c>
      <c r="C530" s="1302">
        <v>0.0593899866488652</v>
      </c>
      <c r="D530" s="1302">
        <f>D526/D$543</f>
        <v>0.0532665140240412</v>
      </c>
      <c r="E530" s="1302">
        <v>0.0570188299817185</v>
      </c>
      <c r="F530" s="1302">
        <f>F526/F$543</f>
        <v>0.0547114396339317</v>
      </c>
      <c r="G530" s="1302">
        <v>0.0729320182094082</v>
      </c>
      <c r="H530" s="1302">
        <f>H526/H$543</f>
        <v>0.123217341699943</v>
      </c>
      <c r="I530" s="1302">
        <f>I526/I$543</f>
        <v>0.0581421142857143</v>
      </c>
      <c r="J530" s="1302">
        <v>0.0968927497494153</v>
      </c>
      <c r="K530" s="1302">
        <v>0.0947187141216992</v>
      </c>
      <c r="L530" s="1302">
        <f>L526/L$543</f>
        <v>0.0958794149125936</v>
      </c>
      <c r="M530" s="1302">
        <v>0.0998641304347826</v>
      </c>
      <c r="N530" s="1302">
        <f>N526/N$543</f>
        <v>0.0974585397372388</v>
      </c>
      <c r="O530" s="1302">
        <v>0.190045248868778</v>
      </c>
      <c r="P530" s="1302">
        <f>P526/P$543</f>
        <v>0.136197811106607</v>
      </c>
      <c r="Q530" s="1302">
        <f>Q526/Q$543</f>
        <v>0.117012465756334</v>
      </c>
      <c r="R530" s="1302">
        <v>0.124343257443082</v>
      </c>
      <c r="S530" s="1302">
        <v>0.149264190609671</v>
      </c>
      <c r="T530" s="1302">
        <f>T526/T$543</f>
        <v>0.135668789808917</v>
      </c>
      <c r="U530" s="1302">
        <v>0.11240671641791</v>
      </c>
      <c r="V530" s="1302">
        <f>V526/V$543</f>
        <v>0.126230128690386</v>
      </c>
      <c r="W530" s="1302">
        <v>0.144978783592645</v>
      </c>
      <c r="X530" s="1302">
        <f>X526/X$543</f>
        <v>0.125351320966835</v>
      </c>
      <c r="Y530" s="1302">
        <f>Y526/Y$543</f>
        <v>0.130188115855479</v>
      </c>
      <c r="Z530" s="1302">
        <v>0.0974951328917715</v>
      </c>
      <c r="AA530" s="1302">
        <v>0.099536196250454</v>
      </c>
      <c r="AB530" s="1302">
        <f>AB526/AB$543</f>
        <v>0.0984191389393562</v>
      </c>
      <c r="AC530" s="1302">
        <v>0.0791075050709939</v>
      </c>
      <c r="AD530" s="1302">
        <f>AD526/AD$543</f>
        <v>0.0911937641629059</v>
      </c>
      <c r="AE530" s="1302">
        <v>0.129457371842145</v>
      </c>
      <c r="AF530" s="1302">
        <f>AF526/AF$543</f>
        <v>0.0994232317895306</v>
      </c>
      <c r="AG530" s="1302">
        <f>AG526/AG$543</f>
        <v>0.0989221863861982</v>
      </c>
      <c r="AH530" s="1302">
        <v>0.118009943632982</v>
      </c>
      <c r="AI530" s="1302">
        <v>0.136470559867542</v>
      </c>
      <c r="AJ530" s="1302">
        <f>AJ526/AJ$543</f>
        <v>0.126542590946779</v>
      </c>
      <c r="AK530" s="1302">
        <v>0.133968253968254</v>
      </c>
      <c r="AL530" s="1302">
        <f>AL526/AL$543</f>
        <v>0.129354591277721</v>
      </c>
      <c r="AM530" s="1302">
        <v>0.219246861924686</v>
      </c>
      <c r="AN530" s="1302">
        <f>AN526/AN$543</f>
        <v>0.170634920634921</v>
      </c>
      <c r="AO530" s="1302">
        <f>AO526/AO$543</f>
        <v>0.149417918219166</v>
      </c>
      <c r="AP530" s="1302">
        <v>0.148978246539222</v>
      </c>
      <c r="AQ530" s="1302">
        <v>0.173878205128205</v>
      </c>
      <c r="AR530" s="1302">
        <f>AR526/AR$543</f>
        <v>0.160216998191682</v>
      </c>
      <c r="AS530" s="1302">
        <v>0.169350029815146</v>
      </c>
      <c r="AT530" s="1302">
        <f>AT526/AT$543</f>
        <v>0.163665015758667</v>
      </c>
      <c r="AU530" s="1302">
        <v>0.24551328068916</v>
      </c>
      <c r="AV530" s="1302">
        <f>AV526/AV$543</f>
        <v>0.203908794788274</v>
      </c>
      <c r="AW530" s="1302">
        <f>AW526/AW$543</f>
        <v>0.183204798628963</v>
      </c>
      <c r="AX530" s="1303">
        <v>0.167522464698331</v>
      </c>
      <c r="AY530" s="1302">
        <v>0.195175438596491</v>
      </c>
      <c r="AZ530" s="1302">
        <f>AZ526/AZ$543</f>
        <v>0.180451127819549</v>
      </c>
      <c r="BA530" s="1302">
        <v>0.179329608938547</v>
      </c>
      <c r="BB530" s="1302">
        <f>BB526/BB$543</f>
        <v>0.186193793540215</v>
      </c>
      <c r="BC530" s="1302">
        <v>0.27015406664278</v>
      </c>
      <c r="BD530" s="1302">
        <f>BD526/BD$543</f>
        <v>0.219152276295133</v>
      </c>
      <c r="BE530" s="1304">
        <f>BE526/BE$543</f>
        <v>0.211924892939497</v>
      </c>
      <c r="BF530" s="1302">
        <v>0.19047619047619</v>
      </c>
      <c r="BG530" s="1302">
        <v>0.217059409226684</v>
      </c>
      <c r="BH530" s="1302">
        <f>BH526/BH$543</f>
        <v>0.203211957385912</v>
      </c>
      <c r="BI530" s="1302">
        <v>0.187031082529475</v>
      </c>
      <c r="BJ530" s="1302">
        <f>BJ526/BJ$543</f>
        <v>0.197185909589861</v>
      </c>
      <c r="BK530" s="1302">
        <v>0.247518199867637</v>
      </c>
      <c r="BL530" s="1302">
        <f>BL526/BL$543</f>
        <v>0.214095350903169</v>
      </c>
      <c r="BM530" s="1302">
        <f>BM526/BM$543</f>
        <v>0.208847657747451</v>
      </c>
      <c r="BN530" s="1303">
        <v>0.198322348711803</v>
      </c>
      <c r="BO530" s="1302">
        <v>0.203304597701149</v>
      </c>
      <c r="BP530" s="1302">
        <f>BP526/BP$543</f>
        <v>0.200588043123162</v>
      </c>
      <c r="BQ530" s="1302">
        <v>0.201834862385321</v>
      </c>
      <c r="BR530" s="1302">
        <f>BR526/BR$543</f>
        <v>0.201058201058201</v>
      </c>
      <c r="BS530" s="1302">
        <v>0.260709010339734</v>
      </c>
      <c r="BT530" s="1302">
        <f>BT526/BT$543</f>
        <v>0.226691612098534</v>
      </c>
      <c r="BU530" s="1304">
        <f>BU526/BU$543</f>
        <v>0.213943841735801</v>
      </c>
      <c r="BV530" s="1303">
        <v>0.228571428571429</v>
      </c>
      <c r="BW530" s="1302">
        <v>0.249107780157031</v>
      </c>
      <c r="BX530" s="1302">
        <f>BX526/BX$543</f>
        <v>0.238472126634549</v>
      </c>
      <c r="BY530" s="1302">
        <v>0.24004550625711</v>
      </c>
      <c r="BZ530" s="1302">
        <f>BZ526/BZ$543</f>
        <v>0.239065180102916</v>
      </c>
      <c r="CA530" s="1302">
        <v>0.339464882943144</v>
      </c>
      <c r="CB530" s="1302">
        <f>CB526/CB$543</f>
        <v>0.244464127546501</v>
      </c>
      <c r="CC530" s="1304">
        <f>CC526/CC$543</f>
        <v>0.259556313993174</v>
      </c>
      <c r="CD530" s="1303">
        <v>0.260609683203825</v>
      </c>
      <c r="CE530" s="1302">
        <v>0.281662269129288</v>
      </c>
      <c r="CF530" s="1302">
        <f>CF526/CF$543</f>
        <v>0.270617748510505</v>
      </c>
      <c r="CG530" s="1302">
        <v>0.265072765072765</v>
      </c>
      <c r="CH530" s="1302">
        <f>CH526/CH$543</f>
        <v>0.268531194993155</v>
      </c>
      <c r="CI530" s="1302">
        <v>0.35042735042735</v>
      </c>
      <c r="CJ530" s="1302">
        <f>CJ526/CJ$543</f>
        <v>0.302757619738752</v>
      </c>
      <c r="CK530" s="1304">
        <f>CK526/CK$543</f>
        <v>0.287307808260476</v>
      </c>
      <c r="CL530" s="1303">
        <f t="shared" ref="CL530:DF530" si="4161">CL526/(CL$543-CL542)</f>
        <v>0.247320692497939</v>
      </c>
      <c r="CM530" s="1302">
        <f t="shared" si="4161"/>
        <v>0.254736842105263</v>
      </c>
      <c r="CN530" s="1302">
        <f t="shared" si="4161"/>
        <v>0.250989377213081</v>
      </c>
      <c r="CO530" s="1302">
        <f t="shared" si="4161"/>
        <v>0.228778467908903</v>
      </c>
      <c r="CP530" s="1302">
        <f t="shared" si="4161"/>
        <v>0.242727272727273</v>
      </c>
      <c r="CQ530" s="1302">
        <f t="shared" si="4161"/>
        <v>0.294790915645278</v>
      </c>
      <c r="CR530" s="1302">
        <f t="shared" si="4161"/>
        <v>0.257406394121785</v>
      </c>
      <c r="CS530" s="1304">
        <f t="shared" si="4161"/>
        <v>0.254224982858065</v>
      </c>
      <c r="CT530" s="1303">
        <f t="shared" si="4161"/>
        <v>0.262968874700718</v>
      </c>
      <c r="CU530" s="1302">
        <f t="shared" si="4161"/>
        <v>0.288171140939597</v>
      </c>
      <c r="CV530" s="1302">
        <f t="shared" si="4161"/>
        <v>0.275199345737068</v>
      </c>
      <c r="CW530" s="1302">
        <f t="shared" si="4161"/>
        <v>0.258928571428571</v>
      </c>
      <c r="CX530" s="1302">
        <f t="shared" si="4161"/>
        <v>0.269127258746636</v>
      </c>
      <c r="CY530" s="1302">
        <f t="shared" si="4161"/>
        <v>0.337073981712386</v>
      </c>
      <c r="CZ530" s="1302">
        <f t="shared" si="4161"/>
        <v>0.294283565250094</v>
      </c>
      <c r="DA530" s="1304">
        <f t="shared" si="4161"/>
        <v>0.285140562248996</v>
      </c>
      <c r="DB530" s="1109">
        <f t="shared" si="4161"/>
        <v>0.296766743648961</v>
      </c>
      <c r="DC530" s="1082">
        <f t="shared" si="4161"/>
        <v>0.328548644338118</v>
      </c>
      <c r="DD530" s="1082">
        <f t="shared" si="4161"/>
        <v>0.312316428431565</v>
      </c>
      <c r="DE530" s="1082">
        <f t="shared" si="4161"/>
        <v>0.302842208428618</v>
      </c>
      <c r="DF530" s="1082">
        <f t="shared" si="4161"/>
        <v>0.309333987489268</v>
      </c>
      <c r="DG530" s="1082">
        <f>DG526/DG$543</f>
        <v>0.398380254531431</v>
      </c>
      <c r="DH530" s="1082">
        <f t="shared" ref="DH530:DN530" si="4162">DH526/(DH$543-DH542)</f>
        <v>0.347949582815551</v>
      </c>
      <c r="DI530" s="1085">
        <f t="shared" si="4162"/>
        <v>0.331005586592179</v>
      </c>
      <c r="DJ530" s="1082">
        <f t="shared" si="4162"/>
        <v>0.330597889800703</v>
      </c>
      <c r="DK530" s="1082">
        <f t="shared" si="4162"/>
        <v>0.344376278118609</v>
      </c>
      <c r="DL530" s="1082">
        <f t="shared" si="4162"/>
        <v>0.337330135891287</v>
      </c>
      <c r="DM530" s="1082">
        <f t="shared" si="4162"/>
        <v>0.320544122776421</v>
      </c>
      <c r="DN530" s="1082">
        <f t="shared" si="4162"/>
        <v>0.331215855672723</v>
      </c>
      <c r="DO530" s="1082" t="e">
        <f>DO526/DO$543</f>
        <v>#REF!</v>
      </c>
      <c r="DP530" s="1082" t="e">
        <f>DP526/(DP$543-DP542)</f>
        <v>#REF!</v>
      </c>
      <c r="DQ530" s="1085" t="e">
        <f>DQ526/(DQ$543-DQ542)</f>
        <v>#REF!</v>
      </c>
      <c r="DR530" s="1082"/>
      <c r="DS530" s="1082"/>
      <c r="DT530" s="1082"/>
      <c r="DU530" s="1082"/>
      <c r="DV530" s="1082"/>
      <c r="DW530" s="1082"/>
      <c r="DX530" s="1082"/>
      <c r="DY530" s="1085"/>
      <c r="DZ530" s="1082"/>
      <c r="EA530" s="1082"/>
      <c r="EB530" s="1082"/>
      <c r="EC530" s="1082"/>
      <c r="ED530" s="1082"/>
      <c r="EE530" s="1082"/>
      <c r="EF530" s="1082"/>
      <c r="EG530" s="1085"/>
      <c r="EH530" s="1082"/>
      <c r="EI530" s="1082"/>
      <c r="EJ530" s="1082"/>
      <c r="EK530" s="1082"/>
      <c r="EL530" s="1082"/>
      <c r="EM530" s="1082"/>
      <c r="EN530" s="1082"/>
      <c r="EO530" s="1085"/>
      <c r="EP530" s="1082"/>
      <c r="EQ530" s="1082"/>
      <c r="ER530" s="1082"/>
      <c r="ES530" s="1082"/>
      <c r="ET530" s="1082"/>
      <c r="EU530" s="1082"/>
      <c r="EV530" s="1082"/>
      <c r="IX530" s="1049"/>
      <c r="IY530" s="1049"/>
      <c r="IZ530" s="1049"/>
      <c r="JA530" s="1049"/>
      <c r="JB530" s="1049"/>
      <c r="JC530" s="1049"/>
      <c r="JD530" s="1112"/>
      <c r="JE530" s="1037"/>
      <c r="JF530" s="1037"/>
      <c r="JG530" s="1037"/>
      <c r="JH530" s="1037"/>
      <c r="JI530" s="1035"/>
      <c r="JJ530" s="1035"/>
      <c r="JK530" s="1035"/>
      <c r="JL530" s="1035"/>
      <c r="JM530" s="1035"/>
      <c r="JN530" s="1035"/>
      <c r="JO530" s="1035"/>
      <c r="JP530" s="1035"/>
      <c r="JQ530" s="1035"/>
      <c r="JR530" s="1035"/>
      <c r="JS530" s="1035"/>
      <c r="JT530" s="1035"/>
      <c r="JU530" s="1035"/>
      <c r="JV530" s="1035"/>
      <c r="JW530" s="1035"/>
      <c r="JX530" s="1035"/>
      <c r="JY530" s="1035"/>
      <c r="KP530" s="1025"/>
      <c r="LV530" s="1180"/>
    </row>
    <row r="531" spans="1:334">
      <c r="A531" s="1035" t="s">
        <v>627</v>
      </c>
      <c r="B531" s="1036">
        <v>510.740029158317</v>
      </c>
      <c r="C531" s="1036">
        <v>383.415610013351</v>
      </c>
      <c r="D531" s="1036">
        <f>B531+C531</f>
        <v>894.155639171668</v>
      </c>
      <c r="E531" s="1036">
        <v>559.816481170018</v>
      </c>
      <c r="F531" s="1036">
        <f>D531+E531</f>
        <v>1453.97212034169</v>
      </c>
      <c r="G531" s="1036">
        <v>337.385067981791</v>
      </c>
      <c r="H531" s="1036">
        <f>B531+G531</f>
        <v>848.125097140107</v>
      </c>
      <c r="I531" s="1036">
        <f>F531+G531</f>
        <v>1791.35718832348</v>
      </c>
      <c r="J531" s="1036">
        <v>613.686509116063</v>
      </c>
      <c r="K531" s="1036">
        <v>536.091512680919</v>
      </c>
      <c r="L531" s="1036">
        <f>J531+K531</f>
        <v>1149.77802179698</v>
      </c>
      <c r="M531" s="1036">
        <v>754.314951648408</v>
      </c>
      <c r="N531" s="1036">
        <f>L531+M531</f>
        <v>1904.09297344539</v>
      </c>
      <c r="O531" s="1036">
        <v>510.555899624625</v>
      </c>
      <c r="P531" s="1036">
        <f>J531+O531</f>
        <v>1124.24240874069</v>
      </c>
      <c r="Q531" s="1036">
        <f>N531+O531</f>
        <v>2414.64887307002</v>
      </c>
      <c r="R531" s="1036">
        <v>877.771232203644</v>
      </c>
      <c r="S531" s="1036">
        <v>731.047780713469</v>
      </c>
      <c r="T531" s="1036">
        <f>R531+S531</f>
        <v>1608.81901291711</v>
      </c>
      <c r="U531" s="1036">
        <v>1098.16294829187</v>
      </c>
      <c r="V531" s="1036">
        <f>T531+U531</f>
        <v>2706.98196120898</v>
      </c>
      <c r="W531" s="1036">
        <v>725.090007938876</v>
      </c>
      <c r="X531" s="1036">
        <f>R531+W531</f>
        <v>1602.86124014252</v>
      </c>
      <c r="Y531" s="1036">
        <f>V531+W531</f>
        <v>3432.07196914786</v>
      </c>
      <c r="Z531" s="1036">
        <v>1387.12871710383</v>
      </c>
      <c r="AA531" s="1036">
        <v>1147.99139488362</v>
      </c>
      <c r="AB531" s="1036">
        <f>Z531+AA531</f>
        <v>2535.12011198745</v>
      </c>
      <c r="AC531" s="1036">
        <v>1514.55881713352</v>
      </c>
      <c r="AD531" s="1036">
        <f>AB531+AC531</f>
        <v>4049.67892912097</v>
      </c>
      <c r="AE531" s="1036">
        <v>1025.00839754077</v>
      </c>
      <c r="AF531" s="1036">
        <f>Z531+AE531</f>
        <v>2412.1371146446</v>
      </c>
      <c r="AG531" s="1036">
        <f>AD531+AE531</f>
        <v>5074.68732666174</v>
      </c>
      <c r="AH531" s="1036">
        <v>1389.88407316687</v>
      </c>
      <c r="AI531" s="1036">
        <v>1183.87525642806</v>
      </c>
      <c r="AJ531" s="1036">
        <f>AH531+AI531</f>
        <v>2573.75932959493</v>
      </c>
      <c r="AK531" s="1036">
        <v>1575.81060638765</v>
      </c>
      <c r="AL531" s="1036">
        <f>AJ531+AK531</f>
        <v>4149.56993598258</v>
      </c>
      <c r="AM531" s="1036">
        <v>1197.86366755913</v>
      </c>
      <c r="AN531" s="1036">
        <f>AH531+AM531</f>
        <v>2587.74774072601</v>
      </c>
      <c r="AO531" s="1036">
        <f>AL531+AM531</f>
        <v>5347.43360354171</v>
      </c>
      <c r="AP531" s="1036">
        <v>1517.9404608698</v>
      </c>
      <c r="AQ531" s="1036">
        <v>1248.83877707437</v>
      </c>
      <c r="AR531" s="1036">
        <f>AP531+AQ531</f>
        <v>2766.77923794418</v>
      </c>
      <c r="AS531" s="1036">
        <v>1677.87877068148</v>
      </c>
      <c r="AT531" s="1036">
        <f>AR531+AS531</f>
        <v>4444.65800862565</v>
      </c>
      <c r="AU531" s="1036">
        <v>1394.03292525025</v>
      </c>
      <c r="AV531" s="1036">
        <f>AP531+AU531</f>
        <v>2911.97338612005</v>
      </c>
      <c r="AW531" s="1036">
        <f>AT531+AU531</f>
        <v>5838.69093387591</v>
      </c>
      <c r="AX531" s="1059">
        <v>1558.81275025789</v>
      </c>
      <c r="AY531" s="1036">
        <v>1368.92254076111</v>
      </c>
      <c r="AZ531" s="1036">
        <f>AX531+AY531</f>
        <v>2927.735291019</v>
      </c>
      <c r="BA531" s="1036">
        <v>1790.91376401635</v>
      </c>
      <c r="BB531" s="1036">
        <f>AY531+BA531</f>
        <v>3159.83630477746</v>
      </c>
      <c r="BC531" s="1036">
        <v>1395.64388733265</v>
      </c>
      <c r="BD531" s="1036">
        <f>AX531+BC531</f>
        <v>2954.45663759054</v>
      </c>
      <c r="BE531" s="1060">
        <f>BB531+BC531</f>
        <v>4555.48019211011</v>
      </c>
      <c r="BF531" s="1036">
        <v>1638.87576583094</v>
      </c>
      <c r="BG531" s="1036">
        <v>1507.93166335373</v>
      </c>
      <c r="BH531" s="1036">
        <f>BF531+BG531</f>
        <v>3146.80742918467</v>
      </c>
      <c r="BI531" s="1036">
        <v>1866.85885884084</v>
      </c>
      <c r="BJ531" s="1036">
        <f>BH531+BI531</f>
        <v>5013.66628802551</v>
      </c>
      <c r="BK531" s="1036">
        <v>1512.01549039148</v>
      </c>
      <c r="BL531" s="1036">
        <f>BF531+BK531</f>
        <v>3150.89125622242</v>
      </c>
      <c r="BM531" s="1036">
        <f>BJ531+BK531</f>
        <v>6525.68177841699</v>
      </c>
      <c r="BN531" s="1059">
        <v>1669.75066645703</v>
      </c>
      <c r="BO531" s="1036">
        <v>1392.63347376418</v>
      </c>
      <c r="BP531" s="1036">
        <f>BN531+BO531</f>
        <v>3062.38414022121</v>
      </c>
      <c r="BQ531" s="1036">
        <v>1853.69822865981</v>
      </c>
      <c r="BR531" s="1036">
        <f>BP531+BQ531</f>
        <v>4916.08236888101</v>
      </c>
      <c r="BS531" s="1036">
        <v>1354.43789971846</v>
      </c>
      <c r="BT531" s="1036">
        <f>BN531+BS531</f>
        <v>3024.18856617548</v>
      </c>
      <c r="BU531" s="1060">
        <f>BR531+BS531</f>
        <v>6270.52026859947</v>
      </c>
      <c r="BV531" s="1059">
        <v>1623.67900303475</v>
      </c>
      <c r="BW531" s="1036">
        <v>1468.80523023536</v>
      </c>
      <c r="BX531" s="1036">
        <f>BV531+BW531</f>
        <v>3092.48423327011</v>
      </c>
      <c r="BY531" s="1036">
        <v>1953.9158651022</v>
      </c>
      <c r="BZ531" s="1036">
        <f>BX531+BY531</f>
        <v>5046.40009837231</v>
      </c>
      <c r="CA531" s="1036">
        <v>1434.9196727563</v>
      </c>
      <c r="CB531" s="1036">
        <f>BV531+CA531</f>
        <v>3058.59867579106</v>
      </c>
      <c r="CC531" s="1060">
        <f>BZ531+CA531</f>
        <v>6481.31977112862</v>
      </c>
      <c r="CD531" s="1059">
        <v>1673.7511494407</v>
      </c>
      <c r="CE531" s="1036">
        <v>1516.706114954</v>
      </c>
      <c r="CF531" s="1036">
        <f>CD531+CE531</f>
        <v>3190.4572643947</v>
      </c>
      <c r="CG531" s="1036">
        <v>1924.61609903291</v>
      </c>
      <c r="CH531" s="1036">
        <f>CF531+CG531</f>
        <v>5115.07336342761</v>
      </c>
      <c r="CI531" s="1036">
        <v>1521.64892487629</v>
      </c>
      <c r="CJ531" s="1036">
        <f>CD531+CI531</f>
        <v>3195.40007431699</v>
      </c>
      <c r="CK531" s="1060">
        <f>CH531+CI531</f>
        <v>6636.72228830391</v>
      </c>
      <c r="CL531" s="1059">
        <v>2461.08572447881</v>
      </c>
      <c r="CM531" s="1036">
        <f>SUM(CM516:CM526)</f>
        <v>2377.18552877293</v>
      </c>
      <c r="CN531" s="1036">
        <f>CL531+CM531</f>
        <v>4838.27125325173</v>
      </c>
      <c r="CO531" s="1036">
        <f>SUM(CO516:CO526)</f>
        <v>2900.16708188861</v>
      </c>
      <c r="CP531" s="1036">
        <f>CN531+CO531</f>
        <v>7738.43833514035</v>
      </c>
      <c r="CQ531" s="1036">
        <f>SUM(CQ516:CQ526)</f>
        <v>2221.28048752517</v>
      </c>
      <c r="CR531" s="1036">
        <f>CI531+CQ531</f>
        <v>3742.92941240147</v>
      </c>
      <c r="CS531" s="1060">
        <f>CM531+CQ531</f>
        <v>4598.4660162981</v>
      </c>
      <c r="CT531" s="1059"/>
      <c r="CW531" s="1302"/>
      <c r="CX531" s="1302"/>
      <c r="CY531" s="1302"/>
      <c r="CZ531" s="1302"/>
      <c r="DA531" s="1304"/>
      <c r="DB531" s="1063"/>
      <c r="DG531" s="1082"/>
      <c r="DH531" s="1082"/>
      <c r="DI531" s="1085"/>
      <c r="DO531" s="1082"/>
      <c r="DP531" s="1082"/>
      <c r="DQ531" s="1085"/>
      <c r="DW531" s="1082"/>
      <c r="DX531" s="1082"/>
      <c r="DY531" s="1085"/>
      <c r="EE531" s="1082"/>
      <c r="EF531" s="1082"/>
      <c r="EG531" s="1085"/>
      <c r="EM531" s="1082"/>
      <c r="EN531" s="1082"/>
      <c r="EO531" s="1085"/>
      <c r="EP531" s="1082"/>
      <c r="EQ531" s="1082"/>
      <c r="ER531" s="1082"/>
      <c r="ES531" s="1082"/>
      <c r="ET531" s="1082"/>
      <c r="EU531" s="1082"/>
      <c r="EV531" s="1082"/>
      <c r="IX531" s="1049"/>
      <c r="IY531" s="1049"/>
      <c r="IZ531" s="1049"/>
      <c r="JA531" s="1049"/>
      <c r="JB531" s="1049"/>
      <c r="JC531" s="1049"/>
      <c r="JD531" s="1112"/>
      <c r="JE531" s="1037"/>
      <c r="JF531" s="1037"/>
      <c r="JG531" s="1037"/>
      <c r="JH531" s="1037"/>
      <c r="JI531" s="1035"/>
      <c r="JJ531" s="1035"/>
      <c r="JK531" s="1035"/>
      <c r="JL531" s="1035"/>
      <c r="JM531" s="1035"/>
      <c r="JN531" s="1035"/>
      <c r="JO531" s="1035"/>
      <c r="JP531" s="1035"/>
      <c r="JQ531" s="1035"/>
      <c r="JR531" s="1035"/>
      <c r="JS531" s="1035"/>
      <c r="JT531" s="1035"/>
      <c r="JU531" s="1035"/>
      <c r="JV531" s="1035"/>
      <c r="JW531" s="1035"/>
      <c r="JX531" s="1035"/>
      <c r="JY531" s="1035"/>
      <c r="KP531" s="1117"/>
      <c r="LV531" s="967"/>
    </row>
    <row r="532" s="969" customFormat="1" spans="1:334">
      <c r="A532" s="1489" t="s">
        <v>211</v>
      </c>
      <c r="B532" s="1057"/>
      <c r="C532" s="1057"/>
      <c r="D532" s="1057"/>
      <c r="E532" s="1057"/>
      <c r="F532" s="1057"/>
      <c r="G532" s="1057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7"/>
      <c r="AC532" s="1057"/>
      <c r="AD532" s="1057"/>
      <c r="AE532" s="1057"/>
      <c r="AF532" s="1057"/>
      <c r="AG532" s="1057"/>
      <c r="AH532" s="1057"/>
      <c r="AI532" s="1057"/>
      <c r="AJ532" s="1057"/>
      <c r="AK532" s="1057"/>
      <c r="AL532" s="1057"/>
      <c r="AM532" s="1057"/>
      <c r="AN532" s="1057"/>
      <c r="AO532" s="1057"/>
      <c r="AP532" s="1057"/>
      <c r="AQ532" s="1057"/>
      <c r="AR532" s="1057"/>
      <c r="AS532" s="1057"/>
      <c r="AT532" s="1057"/>
      <c r="AU532" s="1057"/>
      <c r="AV532" s="1057"/>
      <c r="AW532" s="1057"/>
      <c r="AX532" s="1153"/>
      <c r="AY532" s="1057"/>
      <c r="AZ532" s="1057"/>
      <c r="BA532" s="1057"/>
      <c r="BB532" s="1057"/>
      <c r="BC532" s="1057"/>
      <c r="BD532" s="1057"/>
      <c r="BE532" s="1154"/>
      <c r="BF532" s="1057"/>
      <c r="BG532" s="1057"/>
      <c r="BH532" s="1057"/>
      <c r="BI532" s="1057"/>
      <c r="BJ532" s="1057"/>
      <c r="BK532" s="1057"/>
      <c r="BL532" s="1057"/>
      <c r="BM532" s="1057"/>
      <c r="BN532" s="1153"/>
      <c r="BO532" s="1057"/>
      <c r="BP532" s="1057"/>
      <c r="BQ532" s="1057"/>
      <c r="BR532" s="1057"/>
      <c r="BS532" s="1057"/>
      <c r="BT532" s="1057"/>
      <c r="BU532" s="1154"/>
      <c r="BV532" s="1153"/>
      <c r="BW532" s="1057"/>
      <c r="BX532" s="1057"/>
      <c r="BY532" s="1057"/>
      <c r="BZ532" s="1057"/>
      <c r="CA532" s="1057"/>
      <c r="CB532" s="1057"/>
      <c r="CC532" s="1154"/>
      <c r="CD532" s="1308">
        <f t="shared" ref="CD532:CI532" si="4163">CD622+CD700+CD767</f>
        <v>353</v>
      </c>
      <c r="CE532" s="1307">
        <f t="shared" si="4163"/>
        <v>354</v>
      </c>
      <c r="CF532" s="1307">
        <f t="shared" si="4163"/>
        <v>707</v>
      </c>
      <c r="CG532" s="1307">
        <f t="shared" si="4163"/>
        <v>401</v>
      </c>
      <c r="CH532" s="1307">
        <f t="shared" si="4163"/>
        <v>1108</v>
      </c>
      <c r="CI532" s="1307">
        <f t="shared" si="4163"/>
        <v>413</v>
      </c>
      <c r="CJ532" s="1057">
        <f>CI532+CG532</f>
        <v>814</v>
      </c>
      <c r="CK532" s="1154">
        <f>CJ532+CF532</f>
        <v>1521</v>
      </c>
      <c r="CL532" s="1153">
        <v>474</v>
      </c>
      <c r="CM532" s="1307">
        <f>CM622+CM700+CM767</f>
        <v>490</v>
      </c>
      <c r="CN532" s="1307">
        <f>CN622+CN700+CN767</f>
        <v>964</v>
      </c>
      <c r="CO532" s="1307">
        <v>530</v>
      </c>
      <c r="CP532" s="1307">
        <v>1494</v>
      </c>
      <c r="CQ532" s="1307">
        <f>CQ622+CQ700+CQ767</f>
        <v>528.2</v>
      </c>
      <c r="CR532" s="1057">
        <f>CQ532+CO532</f>
        <v>1058.2</v>
      </c>
      <c r="CS532" s="1154">
        <f>CP532+CQ532</f>
        <v>2022.2</v>
      </c>
      <c r="CT532" s="1153">
        <v>501</v>
      </c>
      <c r="CU532" s="1307">
        <v>535</v>
      </c>
      <c r="CV532" s="1307">
        <f>+CU532+CT532</f>
        <v>1036</v>
      </c>
      <c r="CW532" s="1307">
        <f>CX532-CV532</f>
        <v>580</v>
      </c>
      <c r="CX532" s="1307">
        <v>1616</v>
      </c>
      <c r="CY532" s="1307">
        <f>DA532-CX532</f>
        <v>638</v>
      </c>
      <c r="CZ532" s="1307">
        <f>CY532+CW532</f>
        <v>1218</v>
      </c>
      <c r="DA532" s="1309">
        <v>2254</v>
      </c>
      <c r="DB532" s="1332">
        <v>594</v>
      </c>
      <c r="DC532" s="1311">
        <v>620</v>
      </c>
      <c r="DD532" s="1311">
        <v>1214</v>
      </c>
      <c r="DE532" s="1311">
        <f>DF532-DD532</f>
        <v>661</v>
      </c>
      <c r="DF532" s="1311">
        <v>1875</v>
      </c>
      <c r="DG532" s="1311">
        <f>DI532-DF532</f>
        <v>787</v>
      </c>
      <c r="DH532" s="1311">
        <f>DI532-DD532</f>
        <v>1448</v>
      </c>
      <c r="DI532" s="1312">
        <v>2662</v>
      </c>
      <c r="DJ532" s="1311">
        <v>628</v>
      </c>
      <c r="DK532" s="1311">
        <f>DC532*(1+DK533)</f>
        <v>617</v>
      </c>
      <c r="DL532" s="1311">
        <f>DK532+DJ532</f>
        <v>1245</v>
      </c>
      <c r="DM532" s="1311">
        <v>649</v>
      </c>
      <c r="DN532" s="1311">
        <f>DM532+DL532</f>
        <v>1894</v>
      </c>
      <c r="DO532" s="1311" t="e">
        <f>DG532*(1+DO533)</f>
        <v>#REF!</v>
      </c>
      <c r="DP532" s="1311" t="e">
        <f>DO532+DM532</f>
        <v>#REF!</v>
      </c>
      <c r="DQ532" s="1312" t="e">
        <f>DP532+DL532</f>
        <v>#REF!</v>
      </c>
      <c r="DR532" s="1311"/>
      <c r="DS532" s="1311"/>
      <c r="DT532" s="1311"/>
      <c r="DU532" s="1311"/>
      <c r="DV532" s="1311"/>
      <c r="DW532" s="1311"/>
      <c r="DX532" s="1311"/>
      <c r="DY532" s="1312"/>
      <c r="DZ532" s="1311"/>
      <c r="EA532" s="1311"/>
      <c r="EB532" s="1311"/>
      <c r="EC532" s="1311"/>
      <c r="ED532" s="1311"/>
      <c r="EE532" s="1311"/>
      <c r="EF532" s="1311"/>
      <c r="EG532" s="1312"/>
      <c r="EH532" s="1311"/>
      <c r="EI532" s="1311"/>
      <c r="EJ532" s="1311"/>
      <c r="EK532" s="1311"/>
      <c r="EL532" s="1311"/>
      <c r="EM532" s="1311"/>
      <c r="EN532" s="1311"/>
      <c r="EO532" s="1312"/>
      <c r="EP532" s="1311"/>
      <c r="EQ532" s="1311"/>
      <c r="ER532" s="1311"/>
      <c r="ES532" s="1311"/>
      <c r="ET532" s="1311"/>
      <c r="EU532" s="1311"/>
      <c r="EV532" s="1311"/>
      <c r="EW532" s="1039"/>
      <c r="EX532" s="891"/>
      <c r="EY532" s="891"/>
      <c r="EZ532" s="891"/>
      <c r="FA532" s="891"/>
      <c r="FB532" s="891"/>
      <c r="FC532" s="891"/>
      <c r="FD532" s="891"/>
      <c r="FE532" s="1039"/>
      <c r="FF532" s="891"/>
      <c r="FG532" s="891"/>
      <c r="FH532" s="891"/>
      <c r="FI532" s="891"/>
      <c r="FJ532" s="891"/>
      <c r="FK532" s="891"/>
      <c r="FL532" s="891"/>
      <c r="FM532" s="1039"/>
      <c r="FN532" s="891"/>
      <c r="FO532" s="891"/>
      <c r="FP532" s="891"/>
      <c r="FQ532" s="891"/>
      <c r="FR532" s="891"/>
      <c r="FS532" s="891"/>
      <c r="FT532" s="891"/>
      <c r="FU532" s="891"/>
      <c r="FV532" s="1040"/>
      <c r="FW532" s="891"/>
      <c r="FX532" s="891"/>
      <c r="FY532" s="891"/>
      <c r="FZ532" s="891"/>
      <c r="GA532" s="891"/>
      <c r="GB532" s="891"/>
      <c r="GC532" s="1039"/>
      <c r="GD532" s="891"/>
      <c r="GE532" s="891"/>
      <c r="GF532" s="891"/>
      <c r="GG532" s="891"/>
      <c r="GH532" s="891"/>
      <c r="GI532" s="891"/>
      <c r="GJ532" s="891"/>
      <c r="GK532" s="1039"/>
      <c r="GL532" s="891"/>
      <c r="GM532" s="891"/>
      <c r="GN532" s="891"/>
      <c r="GO532" s="891"/>
      <c r="GP532" s="891"/>
      <c r="GQ532" s="891"/>
      <c r="GR532" s="891"/>
      <c r="GS532" s="1039"/>
      <c r="GT532" s="891"/>
      <c r="GU532" s="891"/>
      <c r="GV532" s="891"/>
      <c r="GW532" s="891"/>
      <c r="GX532" s="891"/>
      <c r="GY532" s="891"/>
      <c r="GZ532" s="891"/>
      <c r="HA532" s="1039"/>
      <c r="HB532" s="891"/>
      <c r="HC532" s="891"/>
      <c r="HD532" s="891"/>
      <c r="HE532" s="891"/>
      <c r="HF532" s="891"/>
      <c r="HG532" s="891"/>
      <c r="HH532" s="891"/>
      <c r="HI532" s="1039"/>
      <c r="HJ532" s="891"/>
      <c r="HK532" s="891"/>
      <c r="HL532" s="891"/>
      <c r="HM532" s="891"/>
      <c r="HN532" s="891"/>
      <c r="HO532" s="891"/>
      <c r="HP532" s="891"/>
      <c r="HQ532" s="1039"/>
      <c r="HR532" s="891"/>
      <c r="HS532" s="891"/>
      <c r="HT532" s="891"/>
      <c r="HU532" s="891"/>
      <c r="HV532" s="891"/>
      <c r="HW532" s="891"/>
      <c r="HX532" s="891"/>
      <c r="HY532" s="891"/>
      <c r="HZ532" s="891"/>
      <c r="IA532" s="891"/>
      <c r="IB532" s="891"/>
      <c r="IC532" s="891"/>
      <c r="ID532" s="891"/>
      <c r="IE532" s="891"/>
      <c r="IF532" s="891"/>
      <c r="IG532" s="1039"/>
      <c r="IH532" s="891"/>
      <c r="II532" s="891"/>
      <c r="IJ532" s="891"/>
      <c r="IK532" s="891"/>
      <c r="IL532" s="891"/>
      <c r="IM532" s="891"/>
      <c r="IN532" s="891"/>
      <c r="IO532" s="1039"/>
      <c r="IP532" s="891"/>
      <c r="IQ532" s="891"/>
      <c r="IR532" s="891"/>
      <c r="IS532" s="891"/>
      <c r="IT532" s="891"/>
      <c r="IU532" s="891"/>
      <c r="IV532" s="891"/>
      <c r="IW532" s="891"/>
      <c r="IX532" s="1049"/>
      <c r="IY532" s="1049"/>
      <c r="IZ532" s="1049"/>
      <c r="JA532" s="1049"/>
      <c r="JB532" s="1049"/>
      <c r="JC532" s="1049"/>
      <c r="JD532" s="1469"/>
      <c r="JE532" s="1079"/>
      <c r="JF532" s="1079"/>
      <c r="JG532" s="1079"/>
      <c r="JH532" s="1079"/>
      <c r="KP532" s="1025"/>
      <c r="LV532" s="967"/>
    </row>
    <row r="533" spans="1:334">
      <c r="A533" s="1490" t="s">
        <v>142</v>
      </c>
      <c r="B533" s="1302" t="s">
        <v>173</v>
      </c>
      <c r="C533" s="1302" t="s">
        <v>173</v>
      </c>
      <c r="D533" s="1302" t="s">
        <v>173</v>
      </c>
      <c r="E533" s="1302" t="s">
        <v>173</v>
      </c>
      <c r="F533" s="1302" t="s">
        <v>173</v>
      </c>
      <c r="G533" s="1302" t="s">
        <v>173</v>
      </c>
      <c r="H533" s="1302" t="s">
        <v>173</v>
      </c>
      <c r="I533" s="1302" t="s">
        <v>173</v>
      </c>
      <c r="J533" s="1302" t="e">
        <f t="shared" ref="J533:AO533" si="4164">J532/B532-1</f>
        <v>#DIV/0!</v>
      </c>
      <c r="K533" s="1302" t="e">
        <f t="shared" si="4164"/>
        <v>#DIV/0!</v>
      </c>
      <c r="L533" s="1302" t="e">
        <f t="shared" si="4164"/>
        <v>#DIV/0!</v>
      </c>
      <c r="M533" s="1302" t="e">
        <f t="shared" si="4164"/>
        <v>#DIV/0!</v>
      </c>
      <c r="N533" s="1302" t="e">
        <f t="shared" si="4164"/>
        <v>#DIV/0!</v>
      </c>
      <c r="O533" s="1302" t="e">
        <f t="shared" si="4164"/>
        <v>#DIV/0!</v>
      </c>
      <c r="P533" s="1302" t="e">
        <f t="shared" si="4164"/>
        <v>#DIV/0!</v>
      </c>
      <c r="Q533" s="1302" t="e">
        <f t="shared" si="4164"/>
        <v>#DIV/0!</v>
      </c>
      <c r="R533" s="1302" t="e">
        <f t="shared" si="4164"/>
        <v>#DIV/0!</v>
      </c>
      <c r="S533" s="1302" t="e">
        <f t="shared" si="4164"/>
        <v>#DIV/0!</v>
      </c>
      <c r="T533" s="1302" t="e">
        <f t="shared" si="4164"/>
        <v>#DIV/0!</v>
      </c>
      <c r="U533" s="1302" t="e">
        <f t="shared" si="4164"/>
        <v>#DIV/0!</v>
      </c>
      <c r="V533" s="1302" t="e">
        <f t="shared" si="4164"/>
        <v>#DIV/0!</v>
      </c>
      <c r="W533" s="1302" t="e">
        <f t="shared" si="4164"/>
        <v>#DIV/0!</v>
      </c>
      <c r="X533" s="1302" t="e">
        <f t="shared" si="4164"/>
        <v>#DIV/0!</v>
      </c>
      <c r="Y533" s="1302" t="e">
        <f t="shared" si="4164"/>
        <v>#DIV/0!</v>
      </c>
      <c r="Z533" s="1302" t="e">
        <f t="shared" si="4164"/>
        <v>#DIV/0!</v>
      </c>
      <c r="AA533" s="1302" t="e">
        <f t="shared" si="4164"/>
        <v>#DIV/0!</v>
      </c>
      <c r="AB533" s="1302" t="e">
        <f t="shared" si="4164"/>
        <v>#DIV/0!</v>
      </c>
      <c r="AC533" s="1302" t="e">
        <f t="shared" si="4164"/>
        <v>#DIV/0!</v>
      </c>
      <c r="AD533" s="1302" t="e">
        <f t="shared" si="4164"/>
        <v>#DIV/0!</v>
      </c>
      <c r="AE533" s="1302" t="e">
        <f t="shared" si="4164"/>
        <v>#DIV/0!</v>
      </c>
      <c r="AF533" s="1302" t="e">
        <f t="shared" si="4164"/>
        <v>#DIV/0!</v>
      </c>
      <c r="AG533" s="1302" t="e">
        <f t="shared" si="4164"/>
        <v>#DIV/0!</v>
      </c>
      <c r="AH533" s="1302" t="e">
        <f t="shared" si="4164"/>
        <v>#DIV/0!</v>
      </c>
      <c r="AI533" s="1302" t="e">
        <f t="shared" si="4164"/>
        <v>#DIV/0!</v>
      </c>
      <c r="AJ533" s="1302" t="e">
        <f t="shared" si="4164"/>
        <v>#DIV/0!</v>
      </c>
      <c r="AK533" s="1302" t="e">
        <f t="shared" si="4164"/>
        <v>#DIV/0!</v>
      </c>
      <c r="AL533" s="1302" t="e">
        <f t="shared" si="4164"/>
        <v>#DIV/0!</v>
      </c>
      <c r="AM533" s="1302" t="e">
        <f t="shared" si="4164"/>
        <v>#DIV/0!</v>
      </c>
      <c r="AN533" s="1302" t="e">
        <f t="shared" si="4164"/>
        <v>#DIV/0!</v>
      </c>
      <c r="AO533" s="1302" t="e">
        <f t="shared" si="4164"/>
        <v>#DIV/0!</v>
      </c>
      <c r="AP533" s="1302" t="e">
        <f t="shared" ref="AP533:BU533" si="4165">AP532/AH532-1</f>
        <v>#DIV/0!</v>
      </c>
      <c r="AQ533" s="1302" t="e">
        <f t="shared" si="4165"/>
        <v>#DIV/0!</v>
      </c>
      <c r="AR533" s="1302" t="e">
        <f t="shared" si="4165"/>
        <v>#DIV/0!</v>
      </c>
      <c r="AS533" s="1302" t="e">
        <f t="shared" si="4165"/>
        <v>#DIV/0!</v>
      </c>
      <c r="AT533" s="1302" t="e">
        <f t="shared" si="4165"/>
        <v>#DIV/0!</v>
      </c>
      <c r="AU533" s="1302" t="e">
        <f t="shared" si="4165"/>
        <v>#DIV/0!</v>
      </c>
      <c r="AV533" s="1302" t="e">
        <f t="shared" si="4165"/>
        <v>#DIV/0!</v>
      </c>
      <c r="AW533" s="1302" t="e">
        <f t="shared" si="4165"/>
        <v>#DIV/0!</v>
      </c>
      <c r="AX533" s="1303" t="e">
        <f t="shared" si="4165"/>
        <v>#DIV/0!</v>
      </c>
      <c r="AY533" s="1302" t="e">
        <f t="shared" si="4165"/>
        <v>#DIV/0!</v>
      </c>
      <c r="AZ533" s="1302" t="e">
        <f t="shared" si="4165"/>
        <v>#DIV/0!</v>
      </c>
      <c r="BA533" s="1302" t="e">
        <f t="shared" si="4165"/>
        <v>#DIV/0!</v>
      </c>
      <c r="BB533" s="1302" t="e">
        <f t="shared" si="4165"/>
        <v>#DIV/0!</v>
      </c>
      <c r="BC533" s="1302" t="e">
        <f t="shared" si="4165"/>
        <v>#DIV/0!</v>
      </c>
      <c r="BD533" s="1302" t="e">
        <f t="shared" si="4165"/>
        <v>#DIV/0!</v>
      </c>
      <c r="BE533" s="1304" t="e">
        <f t="shared" si="4165"/>
        <v>#DIV/0!</v>
      </c>
      <c r="BF533" s="1302" t="e">
        <f t="shared" si="4165"/>
        <v>#DIV/0!</v>
      </c>
      <c r="BG533" s="1302" t="e">
        <f t="shared" si="4165"/>
        <v>#DIV/0!</v>
      </c>
      <c r="BH533" s="1302" t="e">
        <f t="shared" si="4165"/>
        <v>#DIV/0!</v>
      </c>
      <c r="BI533" s="1302" t="e">
        <f t="shared" si="4165"/>
        <v>#DIV/0!</v>
      </c>
      <c r="BJ533" s="1302" t="e">
        <f t="shared" si="4165"/>
        <v>#DIV/0!</v>
      </c>
      <c r="BK533" s="1302" t="e">
        <f t="shared" si="4165"/>
        <v>#DIV/0!</v>
      </c>
      <c r="BL533" s="1302" t="e">
        <f t="shared" si="4165"/>
        <v>#DIV/0!</v>
      </c>
      <c r="BM533" s="1302" t="e">
        <f t="shared" si="4165"/>
        <v>#DIV/0!</v>
      </c>
      <c r="BN533" s="1303" t="e">
        <f t="shared" si="4165"/>
        <v>#DIV/0!</v>
      </c>
      <c r="BO533" s="1302" t="e">
        <f t="shared" si="4165"/>
        <v>#DIV/0!</v>
      </c>
      <c r="BP533" s="1302" t="e">
        <f t="shared" si="4165"/>
        <v>#DIV/0!</v>
      </c>
      <c r="BQ533" s="1302" t="e">
        <f t="shared" si="4165"/>
        <v>#DIV/0!</v>
      </c>
      <c r="BR533" s="1302" t="e">
        <f t="shared" si="4165"/>
        <v>#DIV/0!</v>
      </c>
      <c r="BS533" s="1302" t="e">
        <f t="shared" si="4165"/>
        <v>#DIV/0!</v>
      </c>
      <c r="BT533" s="1302" t="e">
        <f t="shared" si="4165"/>
        <v>#DIV/0!</v>
      </c>
      <c r="BU533" s="1304" t="e">
        <f t="shared" si="4165"/>
        <v>#DIV/0!</v>
      </c>
      <c r="BV533" s="1303" t="e">
        <f t="shared" ref="BV533:CK533" si="4166">BV532/BN532-1</f>
        <v>#DIV/0!</v>
      </c>
      <c r="BW533" s="1302" t="e">
        <f t="shared" si="4166"/>
        <v>#DIV/0!</v>
      </c>
      <c r="BX533" s="1302" t="e">
        <f t="shared" si="4166"/>
        <v>#DIV/0!</v>
      </c>
      <c r="BY533" s="1302" t="e">
        <f t="shared" si="4166"/>
        <v>#DIV/0!</v>
      </c>
      <c r="BZ533" s="1302" t="e">
        <f t="shared" si="4166"/>
        <v>#DIV/0!</v>
      </c>
      <c r="CA533" s="1302" t="e">
        <f t="shared" si="4166"/>
        <v>#DIV/0!</v>
      </c>
      <c r="CB533" s="1302" t="e">
        <f t="shared" si="4166"/>
        <v>#DIV/0!</v>
      </c>
      <c r="CC533" s="1304" t="e">
        <f t="shared" si="4166"/>
        <v>#DIV/0!</v>
      </c>
      <c r="CD533" s="1303" t="e">
        <f t="shared" si="4166"/>
        <v>#DIV/0!</v>
      </c>
      <c r="CE533" s="1302" t="e">
        <f t="shared" si="4166"/>
        <v>#DIV/0!</v>
      </c>
      <c r="CF533" s="1302" t="e">
        <f t="shared" si="4166"/>
        <v>#DIV/0!</v>
      </c>
      <c r="CG533" s="1302" t="e">
        <f t="shared" si="4166"/>
        <v>#DIV/0!</v>
      </c>
      <c r="CH533" s="1302" t="e">
        <f t="shared" si="4166"/>
        <v>#DIV/0!</v>
      </c>
      <c r="CI533" s="1302" t="e">
        <f t="shared" si="4166"/>
        <v>#DIV/0!</v>
      </c>
      <c r="CJ533" s="1302" t="e">
        <f t="shared" si="4166"/>
        <v>#DIV/0!</v>
      </c>
      <c r="CK533" s="1304" t="e">
        <f t="shared" si="4166"/>
        <v>#DIV/0!</v>
      </c>
      <c r="CL533" s="1303">
        <v>0.451834862385321</v>
      </c>
      <c r="CM533" s="1302">
        <f t="shared" ref="CM533:CS533" si="4167">CM532/CE532-1</f>
        <v>0.384180790960452</v>
      </c>
      <c r="CN533" s="1302">
        <f t="shared" si="4167"/>
        <v>0.363507779349364</v>
      </c>
      <c r="CO533" s="1302">
        <f t="shared" si="4167"/>
        <v>0.321695760598504</v>
      </c>
      <c r="CP533" s="1302">
        <f t="shared" si="4167"/>
        <v>0.348375451263538</v>
      </c>
      <c r="CQ533" s="1302">
        <f t="shared" si="4167"/>
        <v>0.278934624697337</v>
      </c>
      <c r="CR533" s="1302">
        <f t="shared" si="4167"/>
        <v>0.3</v>
      </c>
      <c r="CS533" s="1304">
        <f t="shared" si="4167"/>
        <v>0.329520052596976</v>
      </c>
      <c r="CT533" s="1303">
        <f t="shared" ref="CT533:DA533" si="4168">CT532/CL532-1</f>
        <v>0.0569620253164558</v>
      </c>
      <c r="CU533" s="1302">
        <f t="shared" si="4168"/>
        <v>0.0918367346938775</v>
      </c>
      <c r="CV533" s="1302">
        <f t="shared" si="4168"/>
        <v>0.0746887966804979</v>
      </c>
      <c r="CW533" s="1302">
        <f t="shared" si="4168"/>
        <v>0.0943396226415094</v>
      </c>
      <c r="CX533" s="1302">
        <f t="shared" si="4168"/>
        <v>0.0816599732262382</v>
      </c>
      <c r="CY533" s="1302">
        <f t="shared" si="4168"/>
        <v>0.207875804619462</v>
      </c>
      <c r="CZ533" s="1302">
        <f t="shared" si="4168"/>
        <v>0.151011151011151</v>
      </c>
      <c r="DA533" s="1304">
        <f t="shared" si="4168"/>
        <v>0.114627633270695</v>
      </c>
      <c r="DB533" s="1109">
        <f t="shared" ref="DB533:DJ533" si="4169">DB532/CT532-1</f>
        <v>0.18562874251497</v>
      </c>
      <c r="DC533" s="1082">
        <f t="shared" si="4169"/>
        <v>0.158878504672897</v>
      </c>
      <c r="DD533" s="1082">
        <f t="shared" si="4169"/>
        <v>0.171814671814672</v>
      </c>
      <c r="DE533" s="1082">
        <f t="shared" si="4169"/>
        <v>0.139655172413793</v>
      </c>
      <c r="DF533" s="1082">
        <f t="shared" si="4169"/>
        <v>0.160272277227723</v>
      </c>
      <c r="DG533" s="1082">
        <f t="shared" si="4169"/>
        <v>0.233542319749216</v>
      </c>
      <c r="DH533" s="1082">
        <f t="shared" si="4169"/>
        <v>0.188834154351396</v>
      </c>
      <c r="DI533" s="1085">
        <f t="shared" si="4169"/>
        <v>0.181011535048802</v>
      </c>
      <c r="DJ533" s="1082">
        <f t="shared" si="4169"/>
        <v>0.0572390572390573</v>
      </c>
      <c r="DK533" s="1082">
        <f>SUM(DK534:DK535)</f>
        <v>-0.00483870967741939</v>
      </c>
      <c r="DL533" s="1082">
        <f>DL532/DD532-1</f>
        <v>0.0255354200988467</v>
      </c>
      <c r="DM533" s="1082">
        <f>DM532/DE532-1</f>
        <v>-0.0181543116490166</v>
      </c>
      <c r="DN533" s="1082">
        <f>DN532/DF532-1</f>
        <v>0.0101333333333333</v>
      </c>
      <c r="DO533" s="1082" t="e">
        <f>SUM(DO534:DO535)</f>
        <v>#REF!</v>
      </c>
      <c r="DP533" s="1082" t="e">
        <f>DP532/DH532-1</f>
        <v>#REF!</v>
      </c>
      <c r="DQ533" s="1085" t="e">
        <f>DQ532/DI532-1</f>
        <v>#REF!</v>
      </c>
      <c r="DR533" s="1082"/>
      <c r="DS533" s="1082"/>
      <c r="DT533" s="1082"/>
      <c r="DU533" s="1082"/>
      <c r="DV533" s="1082"/>
      <c r="DW533" s="1082"/>
      <c r="DX533" s="1082"/>
      <c r="DY533" s="1085"/>
      <c r="DZ533" s="1082"/>
      <c r="EA533" s="1082"/>
      <c r="EB533" s="1082"/>
      <c r="EC533" s="1082"/>
      <c r="ED533" s="1082"/>
      <c r="EE533" s="1082"/>
      <c r="EF533" s="1082"/>
      <c r="EG533" s="1085"/>
      <c r="EH533" s="1082"/>
      <c r="EI533" s="1082"/>
      <c r="EJ533" s="1082"/>
      <c r="EK533" s="1082"/>
      <c r="EL533" s="1082"/>
      <c r="EM533" s="1082"/>
      <c r="EN533" s="1082"/>
      <c r="EO533" s="1085"/>
      <c r="EP533" s="1082"/>
      <c r="EQ533" s="1082"/>
      <c r="ER533" s="1082"/>
      <c r="ES533" s="1082"/>
      <c r="ET533" s="1082"/>
      <c r="EU533" s="1082"/>
      <c r="EV533" s="1082"/>
      <c r="IX533" s="1049"/>
      <c r="IY533" s="1049"/>
      <c r="IZ533" s="1049"/>
      <c r="JA533" s="1049"/>
      <c r="JB533" s="1049"/>
      <c r="JC533" s="1049"/>
      <c r="JD533" s="1112"/>
      <c r="JE533" s="1037"/>
      <c r="JF533" s="1037"/>
      <c r="JG533" s="1037"/>
      <c r="JH533" s="1037"/>
      <c r="JI533" s="1035"/>
      <c r="JJ533" s="1035"/>
      <c r="JK533" s="1035"/>
      <c r="JL533" s="1035"/>
      <c r="JM533" s="1035"/>
      <c r="JN533" s="1035"/>
      <c r="JO533" s="1035"/>
      <c r="JP533" s="1035"/>
      <c r="JQ533" s="1035"/>
      <c r="JR533" s="1035"/>
      <c r="JS533" s="1035"/>
      <c r="JT533" s="1035"/>
      <c r="JU533" s="1035"/>
      <c r="JV533" s="1035"/>
      <c r="JW533" s="1035"/>
      <c r="JX533" s="1035"/>
      <c r="JY533" s="1035"/>
      <c r="KP533" s="1117"/>
      <c r="LV533" s="967"/>
    </row>
    <row r="534" spans="1:334">
      <c r="A534" s="1490" t="s">
        <v>623</v>
      </c>
      <c r="B534" s="1302"/>
      <c r="C534" s="1302"/>
      <c r="D534" s="1302"/>
      <c r="E534" s="1302"/>
      <c r="F534" s="1302"/>
      <c r="G534" s="1302"/>
      <c r="H534" s="1302"/>
      <c r="I534" s="1302"/>
      <c r="J534" s="1302"/>
      <c r="K534" s="1302"/>
      <c r="L534" s="1302"/>
      <c r="M534" s="1302"/>
      <c r="N534" s="1302"/>
      <c r="O534" s="1302"/>
      <c r="P534" s="1302"/>
      <c r="Q534" s="1302"/>
      <c r="R534" s="1302"/>
      <c r="S534" s="1302"/>
      <c r="T534" s="1302"/>
      <c r="U534" s="1302"/>
      <c r="V534" s="1302"/>
      <c r="W534" s="1302"/>
      <c r="X534" s="1302"/>
      <c r="Y534" s="1302"/>
      <c r="Z534" s="1302"/>
      <c r="AA534" s="1302"/>
      <c r="AB534" s="1302"/>
      <c r="AC534" s="1302"/>
      <c r="AD534" s="1302"/>
      <c r="AE534" s="1302"/>
      <c r="AF534" s="1302"/>
      <c r="AG534" s="1302"/>
      <c r="AH534" s="1302"/>
      <c r="AI534" s="1302"/>
      <c r="AJ534" s="1302"/>
      <c r="AK534" s="1302"/>
      <c r="AL534" s="1302"/>
      <c r="AM534" s="1302"/>
      <c r="AN534" s="1302"/>
      <c r="AO534" s="1302"/>
      <c r="AP534" s="1302"/>
      <c r="AQ534" s="1302"/>
      <c r="AR534" s="1302"/>
      <c r="AS534" s="1302"/>
      <c r="AT534" s="1302"/>
      <c r="AU534" s="1302"/>
      <c r="AV534" s="1302"/>
      <c r="AW534" s="1302"/>
      <c r="AX534" s="1303"/>
      <c r="AY534" s="1302"/>
      <c r="AZ534" s="1302"/>
      <c r="BA534" s="1302"/>
      <c r="BB534" s="1302"/>
      <c r="BC534" s="1302"/>
      <c r="BD534" s="1302"/>
      <c r="BE534" s="1304"/>
      <c r="BF534" s="1302"/>
      <c r="BG534" s="1302"/>
      <c r="BH534" s="1302"/>
      <c r="BI534" s="1302"/>
      <c r="BJ534" s="1302"/>
      <c r="BK534" s="1302"/>
      <c r="BL534" s="1302"/>
      <c r="BM534" s="1302"/>
      <c r="BN534" s="1303"/>
      <c r="BO534" s="1302"/>
      <c r="BP534" s="1302"/>
      <c r="BQ534" s="1302"/>
      <c r="BR534" s="1302"/>
      <c r="BS534" s="1302"/>
      <c r="BT534" s="1302"/>
      <c r="BU534" s="1304"/>
      <c r="BV534" s="1303"/>
      <c r="BW534" s="1302"/>
      <c r="BX534" s="1302"/>
      <c r="BY534" s="1302"/>
      <c r="BZ534" s="1302"/>
      <c r="CA534" s="1302"/>
      <c r="CB534" s="1302"/>
      <c r="CC534" s="1304"/>
      <c r="CD534" s="1303"/>
      <c r="CE534" s="1302"/>
      <c r="CF534" s="1302"/>
      <c r="CG534" s="1302"/>
      <c r="CH534" s="1302"/>
      <c r="CI534" s="1302"/>
      <c r="CJ534" s="1302"/>
      <c r="CK534" s="1304"/>
      <c r="CL534" s="1303"/>
      <c r="CM534" s="1302"/>
      <c r="CN534" s="1302"/>
      <c r="CO534" s="1302"/>
      <c r="CP534" s="1302"/>
      <c r="CQ534" s="1302"/>
      <c r="CR534" s="1302"/>
      <c r="CS534" s="1304"/>
      <c r="CT534" s="1303">
        <f>CT533-CT535</f>
        <v>-0.0730379746835442</v>
      </c>
      <c r="CU534" s="1302">
        <f>+CU533-CU535</f>
        <v>-0.0781632653061225</v>
      </c>
      <c r="CV534" s="1302">
        <f>+CV533-CV535</f>
        <v>-0.0753112033195021</v>
      </c>
      <c r="CW534" s="1302">
        <f>+CW533-CW535</f>
        <v>-0.0556603773584906</v>
      </c>
      <c r="CX534" s="1302">
        <f>+CX533-CX535</f>
        <v>-0.0683400267737618</v>
      </c>
      <c r="CY534" s="1302">
        <f t="shared" ref="CY534:DD534" si="4170">CY533-CY535</f>
        <v>-0.0569784172661871</v>
      </c>
      <c r="CZ534" s="1302">
        <f t="shared" si="4170"/>
        <v>-0.0563182763182764</v>
      </c>
      <c r="DA534" s="1304">
        <f t="shared" si="4170"/>
        <v>-0.0653723667293047</v>
      </c>
      <c r="DB534" s="1109">
        <f t="shared" si="4170"/>
        <v>-0.0643712574850299</v>
      </c>
      <c r="DC534" s="1082">
        <f t="shared" si="4170"/>
        <v>-0.0911214953271029</v>
      </c>
      <c r="DD534" s="1082">
        <f t="shared" si="4170"/>
        <v>-0.0781853281853282</v>
      </c>
      <c r="DE534" s="1082">
        <f t="shared" ref="DE534:DJ534" si="4171">DE533-DE535</f>
        <v>-0.0546206896551724</v>
      </c>
      <c r="DF534" s="1082">
        <f t="shared" si="4171"/>
        <v>-0.0697277227722773</v>
      </c>
      <c r="DG534" s="1082">
        <f t="shared" si="4171"/>
        <v>0.109529780564263</v>
      </c>
      <c r="DH534" s="1082">
        <f t="shared" si="4171"/>
        <v>0.0313628899835797</v>
      </c>
      <c r="DI534" s="1085">
        <f t="shared" si="4171"/>
        <v>-0.0189884649511978</v>
      </c>
      <c r="DJ534" s="1082">
        <f t="shared" si="4171"/>
        <v>0.117239057239057</v>
      </c>
      <c r="DK534" s="1082">
        <v>0.113903225806452</v>
      </c>
      <c r="DL534" s="1082">
        <f>DL533-DL535</f>
        <v>0.115535420098847</v>
      </c>
      <c r="DM534" s="1082">
        <f>DM533-DM535</f>
        <v>0.0618456883509834</v>
      </c>
      <c r="DN534" s="1082">
        <f>DN533-DN535</f>
        <v>0.096608</v>
      </c>
      <c r="DO534" s="1488" t="e">
        <f>-0.7*DO483-DO486*0.1</f>
        <v>#REF!</v>
      </c>
      <c r="DP534" s="1082" t="e">
        <f>DP533-DP535</f>
        <v>#REF!</v>
      </c>
      <c r="DQ534" s="1085" t="e">
        <f>DQ533-DQ535</f>
        <v>#REF!</v>
      </c>
      <c r="DR534" s="1488"/>
      <c r="DS534" s="1488"/>
      <c r="DT534" s="1082"/>
      <c r="DU534" s="1488"/>
      <c r="DV534" s="1082"/>
      <c r="DW534" s="1488"/>
      <c r="DX534" s="1082"/>
      <c r="DY534" s="1085"/>
      <c r="DZ534" s="1488"/>
      <c r="EA534" s="1488"/>
      <c r="EB534" s="1082"/>
      <c r="EC534" s="1488"/>
      <c r="ED534" s="1082"/>
      <c r="EE534" s="1488"/>
      <c r="EF534" s="1082"/>
      <c r="EG534" s="1085"/>
      <c r="EH534" s="1488"/>
      <c r="EI534" s="1488"/>
      <c r="EJ534" s="1082"/>
      <c r="EK534" s="1488"/>
      <c r="EL534" s="1082"/>
      <c r="EM534" s="1488"/>
      <c r="EN534" s="1082"/>
      <c r="EO534" s="1085"/>
      <c r="EP534" s="1082"/>
      <c r="EQ534" s="1082"/>
      <c r="ER534" s="1082"/>
      <c r="ES534" s="1082"/>
      <c r="ET534" s="1082"/>
      <c r="EU534" s="1082"/>
      <c r="EV534" s="1082"/>
      <c r="IX534" s="1049"/>
      <c r="IY534" s="1049"/>
      <c r="IZ534" s="1049"/>
      <c r="JA534" s="1049"/>
      <c r="JB534" s="1049"/>
      <c r="JC534" s="1049"/>
      <c r="JD534" s="1112"/>
      <c r="JE534" s="1037"/>
      <c r="JF534" s="1037"/>
      <c r="JG534" s="1037"/>
      <c r="JH534" s="1037"/>
      <c r="JI534" s="1035"/>
      <c r="JJ534" s="1035"/>
      <c r="JK534" s="1035"/>
      <c r="JL534" s="1035"/>
      <c r="JM534" s="1035"/>
      <c r="JN534" s="1035"/>
      <c r="JO534" s="1035"/>
      <c r="JP534" s="1035"/>
      <c r="JQ534" s="1035"/>
      <c r="JR534" s="1035"/>
      <c r="JS534" s="1035"/>
      <c r="JT534" s="1035"/>
      <c r="JU534" s="1035"/>
      <c r="JV534" s="1035"/>
      <c r="JW534" s="1035"/>
      <c r="JX534" s="1035"/>
      <c r="JY534" s="1035"/>
      <c r="KP534" s="1491"/>
      <c r="LV534" s="967"/>
    </row>
    <row r="535" spans="1:334">
      <c r="A535" s="1490" t="s">
        <v>624</v>
      </c>
      <c r="B535" s="1302"/>
      <c r="C535" s="1302"/>
      <c r="D535" s="1302"/>
      <c r="E535" s="1302"/>
      <c r="F535" s="1302"/>
      <c r="G535" s="1302"/>
      <c r="H535" s="1302"/>
      <c r="I535" s="1302"/>
      <c r="J535" s="1302"/>
      <c r="K535" s="1302"/>
      <c r="L535" s="1302"/>
      <c r="M535" s="1302"/>
      <c r="N535" s="1302"/>
      <c r="O535" s="1302"/>
      <c r="P535" s="1302"/>
      <c r="Q535" s="1302"/>
      <c r="R535" s="1302"/>
      <c r="S535" s="1302"/>
      <c r="T535" s="1302"/>
      <c r="U535" s="1302"/>
      <c r="V535" s="1302"/>
      <c r="W535" s="1302"/>
      <c r="X535" s="1302"/>
      <c r="Y535" s="1302"/>
      <c r="Z535" s="1302"/>
      <c r="AA535" s="1302"/>
      <c r="AB535" s="1302"/>
      <c r="AC535" s="1302"/>
      <c r="AD535" s="1302"/>
      <c r="AE535" s="1302"/>
      <c r="AF535" s="1302"/>
      <c r="AG535" s="1302"/>
      <c r="AH535" s="1302"/>
      <c r="AI535" s="1302"/>
      <c r="AJ535" s="1302"/>
      <c r="AK535" s="1302"/>
      <c r="AL535" s="1302"/>
      <c r="AM535" s="1302"/>
      <c r="AN535" s="1302"/>
      <c r="AO535" s="1302"/>
      <c r="AP535" s="1302"/>
      <c r="AQ535" s="1302"/>
      <c r="AR535" s="1302"/>
      <c r="AS535" s="1302"/>
      <c r="AT535" s="1302"/>
      <c r="AU535" s="1302"/>
      <c r="AV535" s="1302"/>
      <c r="AW535" s="1302"/>
      <c r="AX535" s="1303"/>
      <c r="AY535" s="1302"/>
      <c r="AZ535" s="1302"/>
      <c r="BA535" s="1302"/>
      <c r="BB535" s="1302"/>
      <c r="BC535" s="1302"/>
      <c r="BD535" s="1302"/>
      <c r="BE535" s="1304"/>
      <c r="BF535" s="1302"/>
      <c r="BG535" s="1302"/>
      <c r="BH535" s="1302"/>
      <c r="BI535" s="1302"/>
      <c r="BJ535" s="1302"/>
      <c r="BK535" s="1302"/>
      <c r="BL535" s="1302"/>
      <c r="BM535" s="1302"/>
      <c r="BN535" s="1303"/>
      <c r="BO535" s="1302"/>
      <c r="BP535" s="1302"/>
      <c r="BQ535" s="1302"/>
      <c r="BR535" s="1302"/>
      <c r="BS535" s="1302"/>
      <c r="BT535" s="1302"/>
      <c r="BU535" s="1304"/>
      <c r="BV535" s="1303"/>
      <c r="BW535" s="1302"/>
      <c r="BX535" s="1302"/>
      <c r="BY535" s="1302"/>
      <c r="BZ535" s="1302"/>
      <c r="CA535" s="1302"/>
      <c r="CB535" s="1302"/>
      <c r="CC535" s="1304"/>
      <c r="CD535" s="1303"/>
      <c r="CE535" s="1302"/>
      <c r="CF535" s="1302"/>
      <c r="CG535" s="1302"/>
      <c r="CH535" s="1302"/>
      <c r="CI535" s="1302"/>
      <c r="CJ535" s="1302"/>
      <c r="CK535" s="1304"/>
      <c r="CL535" s="1303"/>
      <c r="CM535" s="1302"/>
      <c r="CN535" s="1302"/>
      <c r="CO535" s="1302"/>
      <c r="CQ535" s="1302"/>
      <c r="CR535" s="1302"/>
      <c r="CS535" s="1304"/>
      <c r="CT535" s="1303">
        <v>0.13</v>
      </c>
      <c r="CU535" s="1302">
        <v>0.17</v>
      </c>
      <c r="CV535" s="1302">
        <v>0.15</v>
      </c>
      <c r="CW535" s="1302">
        <v>0.15</v>
      </c>
      <c r="CX535" s="1302">
        <v>0.15</v>
      </c>
      <c r="CY535" s="1302">
        <f>(DA535*CS532-CX535*CP532)/CQ532</f>
        <v>0.264854221885649</v>
      </c>
      <c r="CZ535" s="1302">
        <f>(DA535*CS532-CV535*CN532)/CR532</f>
        <v>0.207329427329427</v>
      </c>
      <c r="DA535" s="1304">
        <v>0.18</v>
      </c>
      <c r="DB535" s="1109">
        <v>0.25</v>
      </c>
      <c r="DC535" s="1082">
        <f>(DD535*CV532-DB535*CT532)/CU532</f>
        <v>0.25</v>
      </c>
      <c r="DD535" s="1082">
        <v>0.25</v>
      </c>
      <c r="DE535" s="1082">
        <f>(DF535*CX532-DD535*CV532)/CW532</f>
        <v>0.194275862068966</v>
      </c>
      <c r="DF535" s="1082">
        <v>0.23</v>
      </c>
      <c r="DG535" s="1082">
        <f>(DI535*DA532-DF535*CX532)/CY532</f>
        <v>0.124012539184953</v>
      </c>
      <c r="DH535" s="1082">
        <f>(DI535*DA532-DD535*CV532)/CZ532</f>
        <v>0.157471264367816</v>
      </c>
      <c r="DI535" s="1085">
        <v>0.2</v>
      </c>
      <c r="DJ535" s="1082">
        <v>-0.06</v>
      </c>
      <c r="DK535" s="1082">
        <v>-0.118741935483871</v>
      </c>
      <c r="DL535" s="1082">
        <f>(DK535*DC532+DJ535*DB532)/DD532</f>
        <v>-0.09</v>
      </c>
      <c r="DM535" s="1082">
        <v>-0.08</v>
      </c>
      <c r="DN535" s="1082">
        <f>(DM535*DE532+DL535*DD532)/DF532</f>
        <v>-0.0864746666666667</v>
      </c>
      <c r="DO535" s="1488">
        <v>-0.02</v>
      </c>
      <c r="DP535" s="1082">
        <f>(DO535*DG532+DM535*DE532)/DH532</f>
        <v>-0.0473895027624309</v>
      </c>
      <c r="DQ535" s="1085">
        <f>(DP535*DH532+DL535*DD532)/DI532</f>
        <v>-0.0668219383921863</v>
      </c>
      <c r="DR535" s="1488"/>
      <c r="DS535" s="1488"/>
      <c r="DT535" s="1082"/>
      <c r="DU535" s="1488"/>
      <c r="DV535" s="1082"/>
      <c r="DW535" s="1488"/>
      <c r="DX535" s="1082"/>
      <c r="DY535" s="1085"/>
      <c r="DZ535" s="1488"/>
      <c r="EA535" s="1488"/>
      <c r="EB535" s="1082"/>
      <c r="EC535" s="1488"/>
      <c r="ED535" s="1082"/>
      <c r="EE535" s="1488"/>
      <c r="EF535" s="1082"/>
      <c r="EG535" s="1085"/>
      <c r="EH535" s="1488"/>
      <c r="EI535" s="1488"/>
      <c r="EJ535" s="1082"/>
      <c r="EK535" s="1488"/>
      <c r="EL535" s="1082"/>
      <c r="EM535" s="1488"/>
      <c r="EN535" s="1082"/>
      <c r="EO535" s="1085"/>
      <c r="EP535" s="1082"/>
      <c r="EQ535" s="1082"/>
      <c r="ER535" s="1082"/>
      <c r="ES535" s="1082"/>
      <c r="ET535" s="1082"/>
      <c r="EU535" s="1082"/>
      <c r="EV535" s="1082"/>
      <c r="IX535" s="1049"/>
      <c r="IY535" s="1049"/>
      <c r="IZ535" s="1049"/>
      <c r="JA535" s="1049"/>
      <c r="JB535" s="1049"/>
      <c r="JC535" s="1049"/>
      <c r="JD535" s="1112"/>
      <c r="JE535" s="1037"/>
      <c r="JF535" s="1037"/>
      <c r="JG535" s="1037"/>
      <c r="JH535" s="1037"/>
      <c r="JI535" s="1035"/>
      <c r="JJ535" s="1035"/>
      <c r="JK535" s="1035"/>
      <c r="JL535" s="1035"/>
      <c r="JM535" s="1035"/>
      <c r="JN535" s="1035"/>
      <c r="JO535" s="1035"/>
      <c r="JP535" s="1035"/>
      <c r="JQ535" s="1035"/>
      <c r="JR535" s="1035"/>
      <c r="JS535" s="1035"/>
      <c r="JT535" s="1035"/>
      <c r="JU535" s="1035"/>
      <c r="JV535" s="1035"/>
      <c r="JW535" s="1035"/>
      <c r="JX535" s="1035"/>
      <c r="JY535" s="1035"/>
      <c r="KP535" s="1491"/>
      <c r="LV535" s="1180"/>
    </row>
    <row r="536" spans="1:334">
      <c r="A536" s="1490" t="s">
        <v>621</v>
      </c>
      <c r="B536" s="1302">
        <v>0.0486708416833667</v>
      </c>
      <c r="C536" s="1302">
        <v>0.0593899866488652</v>
      </c>
      <c r="D536" s="1302">
        <f>D532/D$543</f>
        <v>0</v>
      </c>
      <c r="E536" s="1302">
        <v>0.0570188299817185</v>
      </c>
      <c r="F536" s="1302">
        <f>F532/F$543</f>
        <v>0</v>
      </c>
      <c r="G536" s="1302">
        <v>0.0729320182094082</v>
      </c>
      <c r="H536" s="1302">
        <f>H532/H$543</f>
        <v>0</v>
      </c>
      <c r="I536" s="1302">
        <f>I532/I$543</f>
        <v>0</v>
      </c>
      <c r="J536" s="1302">
        <v>0.0968927497494153</v>
      </c>
      <c r="K536" s="1302">
        <v>0.0947187141216992</v>
      </c>
      <c r="L536" s="1302">
        <f>L532/L$543</f>
        <v>0</v>
      </c>
      <c r="M536" s="1302">
        <v>0.0998641304347826</v>
      </c>
      <c r="N536" s="1302">
        <f>N532/N$543</f>
        <v>0</v>
      </c>
      <c r="O536" s="1302">
        <v>0.190045248868778</v>
      </c>
      <c r="P536" s="1302">
        <f>P532/P$543</f>
        <v>0</v>
      </c>
      <c r="Q536" s="1302">
        <f>Q532/Q$543</f>
        <v>0</v>
      </c>
      <c r="R536" s="1302">
        <v>0.124343257443082</v>
      </c>
      <c r="S536" s="1302">
        <v>0.149264190609671</v>
      </c>
      <c r="T536" s="1302">
        <f>T532/T$543</f>
        <v>0</v>
      </c>
      <c r="U536" s="1302">
        <v>0.11240671641791</v>
      </c>
      <c r="V536" s="1302">
        <f>V532/V$543</f>
        <v>0</v>
      </c>
      <c r="W536" s="1302">
        <v>0.144978783592645</v>
      </c>
      <c r="X536" s="1302">
        <f>X532/X$543</f>
        <v>0</v>
      </c>
      <c r="Y536" s="1302">
        <f>Y532/Y$543</f>
        <v>0</v>
      </c>
      <c r="Z536" s="1302">
        <v>0.0974951328917715</v>
      </c>
      <c r="AA536" s="1302">
        <v>0.099536196250454</v>
      </c>
      <c r="AB536" s="1302">
        <f>AB532/AB$543</f>
        <v>0</v>
      </c>
      <c r="AC536" s="1302">
        <v>0.0791075050709939</v>
      </c>
      <c r="AD536" s="1302">
        <f>AD532/AD$543</f>
        <v>0</v>
      </c>
      <c r="AE536" s="1302">
        <v>0.129457371842145</v>
      </c>
      <c r="AF536" s="1302">
        <f>AF532/AF$543</f>
        <v>0</v>
      </c>
      <c r="AG536" s="1302">
        <f>AG532/AG$543</f>
        <v>0</v>
      </c>
      <c r="AH536" s="1302">
        <v>0.118009943632982</v>
      </c>
      <c r="AI536" s="1302">
        <v>0.136470559867542</v>
      </c>
      <c r="AJ536" s="1302">
        <f>AJ532/AJ$543</f>
        <v>0</v>
      </c>
      <c r="AK536" s="1302">
        <v>0.133968253968254</v>
      </c>
      <c r="AL536" s="1302">
        <f>AL532/AL$543</f>
        <v>0</v>
      </c>
      <c r="AM536" s="1302">
        <v>0.219246861924686</v>
      </c>
      <c r="AN536" s="1302">
        <f>AN532/AN$543</f>
        <v>0</v>
      </c>
      <c r="AO536" s="1302">
        <f>AO532/AO$543</f>
        <v>0</v>
      </c>
      <c r="AP536" s="1302">
        <v>0.148978246539222</v>
      </c>
      <c r="AQ536" s="1302">
        <v>0.173878205128205</v>
      </c>
      <c r="AR536" s="1302">
        <f>AR532/AR$543</f>
        <v>0</v>
      </c>
      <c r="AS536" s="1302">
        <v>0.169350029815146</v>
      </c>
      <c r="AT536" s="1302">
        <f>AT532/AT$543</f>
        <v>0</v>
      </c>
      <c r="AU536" s="1302">
        <v>0.24551328068916</v>
      </c>
      <c r="AV536" s="1302">
        <f>AV532/AV$543</f>
        <v>0</v>
      </c>
      <c r="AW536" s="1302">
        <f>AW532/AW$543</f>
        <v>0</v>
      </c>
      <c r="AX536" s="1303">
        <v>0.167522464698331</v>
      </c>
      <c r="AY536" s="1302">
        <v>0.195175438596491</v>
      </c>
      <c r="AZ536" s="1302">
        <f>AZ532/AZ$543</f>
        <v>0</v>
      </c>
      <c r="BA536" s="1302">
        <v>0.179329608938547</v>
      </c>
      <c r="BB536" s="1302">
        <f>BB532/BB$543</f>
        <v>0</v>
      </c>
      <c r="BC536" s="1302">
        <v>0.27015406664278</v>
      </c>
      <c r="BD536" s="1302">
        <f>BD532/BD$543</f>
        <v>0</v>
      </c>
      <c r="BE536" s="1304">
        <f>BE532/BE$543</f>
        <v>0</v>
      </c>
      <c r="BF536" s="1302">
        <v>0.19047619047619</v>
      </c>
      <c r="BG536" s="1302">
        <v>0.217059409226684</v>
      </c>
      <c r="BH536" s="1302">
        <f>BH532/BH$543</f>
        <v>0</v>
      </c>
      <c r="BI536" s="1302">
        <v>0.187031082529475</v>
      </c>
      <c r="BJ536" s="1302">
        <f>BJ532/BJ$543</f>
        <v>0</v>
      </c>
      <c r="BK536" s="1302">
        <v>0.247518199867637</v>
      </c>
      <c r="BL536" s="1302">
        <f>BL532/BL$543</f>
        <v>0</v>
      </c>
      <c r="BM536" s="1302">
        <f>BM532/BM$543</f>
        <v>0</v>
      </c>
      <c r="BN536" s="1303">
        <v>0.198322348711803</v>
      </c>
      <c r="BO536" s="1302">
        <v>0.203304597701149</v>
      </c>
      <c r="BP536" s="1302">
        <f>BP532/BP$543</f>
        <v>0</v>
      </c>
      <c r="BQ536" s="1302">
        <v>0.201834862385321</v>
      </c>
      <c r="BR536" s="1302">
        <f>BR532/BR$543</f>
        <v>0</v>
      </c>
      <c r="BS536" s="1302">
        <v>0.260709010339734</v>
      </c>
      <c r="BT536" s="1302">
        <f>BT532/BT$543</f>
        <v>0</v>
      </c>
      <c r="BU536" s="1304">
        <f>BU532/BU$543</f>
        <v>0</v>
      </c>
      <c r="BV536" s="1303">
        <v>0.228571428571429</v>
      </c>
      <c r="BW536" s="1302">
        <v>0.249107780157031</v>
      </c>
      <c r="BX536" s="1302">
        <f>BX532/BX$543</f>
        <v>0</v>
      </c>
      <c r="BY536" s="1302">
        <v>0.24004550625711</v>
      </c>
      <c r="BZ536" s="1302">
        <f>BZ532/BZ$543</f>
        <v>0</v>
      </c>
      <c r="CA536" s="1302">
        <v>0.339464882943144</v>
      </c>
      <c r="CB536" s="1302">
        <f>CB532/CB$543</f>
        <v>0</v>
      </c>
      <c r="CC536" s="1304">
        <f>CC532/CC$543</f>
        <v>0</v>
      </c>
      <c r="CD536" s="1303">
        <v>0.260609683203825</v>
      </c>
      <c r="CE536" s="1302">
        <v>0.281662269129288</v>
      </c>
      <c r="CF536" s="1302">
        <f>CF532/CF$543</f>
        <v>0.221699592348699</v>
      </c>
      <c r="CG536" s="1302">
        <v>0.265072765072765</v>
      </c>
      <c r="CH536" s="1302">
        <f>CH532/CH$543</f>
        <v>0.216702522980638</v>
      </c>
      <c r="CI536" s="1302">
        <v>0.35042735042735</v>
      </c>
      <c r="CJ536" s="1302">
        <f>CJ532/CJ$543</f>
        <v>0.236284470246734</v>
      </c>
      <c r="CK536" s="1304">
        <f>CK532/CK$543</f>
        <v>0.229273439855291</v>
      </c>
      <c r="CL536" s="1303">
        <f t="shared" ref="CL536:DF536" si="4172">CL532/(CL$543-CL542)</f>
        <v>0.195383347073372</v>
      </c>
      <c r="CM536" s="1302">
        <f t="shared" si="4172"/>
        <v>0.206315789473684</v>
      </c>
      <c r="CN536" s="1302">
        <f t="shared" si="4172"/>
        <v>0.200791501770464</v>
      </c>
      <c r="CO536" s="1302">
        <f t="shared" si="4172"/>
        <v>0.182884748102139</v>
      </c>
      <c r="CP536" s="1302">
        <f t="shared" si="4172"/>
        <v>0.194025974025974</v>
      </c>
      <c r="CQ536" s="1302">
        <f t="shared" si="4172"/>
        <v>0.238013698630137</v>
      </c>
      <c r="CR536" s="1302">
        <f t="shared" si="4172"/>
        <v>0.206792777300086</v>
      </c>
      <c r="CS536" s="1304">
        <f t="shared" si="4172"/>
        <v>0.203908361230993</v>
      </c>
      <c r="CT536" s="1303">
        <f t="shared" si="4172"/>
        <v>0.199920191540303</v>
      </c>
      <c r="CU536" s="1302">
        <f t="shared" si="4172"/>
        <v>0.224412751677852</v>
      </c>
      <c r="CV536" s="1302">
        <f t="shared" si="4172"/>
        <v>0.211817624207728</v>
      </c>
      <c r="CW536" s="1302">
        <f t="shared" si="4172"/>
        <v>0.199175824175824</v>
      </c>
      <c r="CX536" s="1302">
        <f t="shared" si="4172"/>
        <v>0.207099833397411</v>
      </c>
      <c r="CY536" s="1302">
        <f t="shared" si="4172"/>
        <v>0.265170407315046</v>
      </c>
      <c r="CZ536" s="1302">
        <f t="shared" si="4172"/>
        <v>0.229033471229786</v>
      </c>
      <c r="DA536" s="1304">
        <f t="shared" si="4172"/>
        <v>0.220785581349789</v>
      </c>
      <c r="DB536" s="1109">
        <f t="shared" si="4172"/>
        <v>0.228637413394919</v>
      </c>
      <c r="DC536" s="1082">
        <f t="shared" si="4172"/>
        <v>0.247208931419458</v>
      </c>
      <c r="DD536" s="1082">
        <f t="shared" si="4172"/>
        <v>0.237712943019385</v>
      </c>
      <c r="DE536" s="1082">
        <f t="shared" si="4172"/>
        <v>0.21594250245018</v>
      </c>
      <c r="DF536" s="1082">
        <f t="shared" si="4172"/>
        <v>0.229976695694836</v>
      </c>
      <c r="DG536" s="1082">
        <f>DG532/DG$543</f>
        <v>0.303509448515233</v>
      </c>
      <c r="DH536" s="1082">
        <f t="shared" ref="DH536:DN536" si="4173">DH532/(DH$543-DH542)</f>
        <v>0.257056630569856</v>
      </c>
      <c r="DI536" s="1085">
        <f t="shared" si="4173"/>
        <v>0.247858472998138</v>
      </c>
      <c r="DJ536" s="1082">
        <f t="shared" si="4173"/>
        <v>0.245408362641657</v>
      </c>
      <c r="DK536" s="1082">
        <f t="shared" si="4173"/>
        <v>0.252351738241309</v>
      </c>
      <c r="DL536" s="1082">
        <f t="shared" si="4173"/>
        <v>0.248800959232614</v>
      </c>
      <c r="DM536" s="1082">
        <f t="shared" si="4173"/>
        <v>0.226369026857342</v>
      </c>
      <c r="DN536" s="1082">
        <f t="shared" si="4173"/>
        <v>0.240630161351798</v>
      </c>
      <c r="DO536" s="1082" t="e">
        <f>DO532/DO$543</f>
        <v>#REF!</v>
      </c>
      <c r="DP536" s="1082" t="e">
        <f>DP532/(DP$543-DP542)</f>
        <v>#REF!</v>
      </c>
      <c r="DQ536" s="1085" t="e">
        <f>DQ532/(DQ$543-DQ542)</f>
        <v>#REF!</v>
      </c>
      <c r="DR536" s="1082"/>
      <c r="DS536" s="1082"/>
      <c r="DT536" s="1082"/>
      <c r="DU536" s="1082"/>
      <c r="DV536" s="1082"/>
      <c r="DW536" s="1082"/>
      <c r="DX536" s="1082"/>
      <c r="DY536" s="1085"/>
      <c r="DZ536" s="1082"/>
      <c r="EA536" s="1082"/>
      <c r="EB536" s="1082"/>
      <c r="EC536" s="1082"/>
      <c r="ED536" s="1082"/>
      <c r="EE536" s="1082"/>
      <c r="EF536" s="1082"/>
      <c r="EG536" s="1085"/>
      <c r="EH536" s="1082"/>
      <c r="EI536" s="1082"/>
      <c r="EJ536" s="1082"/>
      <c r="EK536" s="1082"/>
      <c r="EL536" s="1082"/>
      <c r="EM536" s="1082"/>
      <c r="EN536" s="1082"/>
      <c r="EO536" s="1085"/>
      <c r="EP536" s="1082"/>
      <c r="EQ536" s="1082"/>
      <c r="ER536" s="1082"/>
      <c r="ES536" s="1082"/>
      <c r="ET536" s="1082"/>
      <c r="EU536" s="1082"/>
      <c r="EV536" s="1082"/>
      <c r="IX536" s="1049"/>
      <c r="IY536" s="1049"/>
      <c r="IZ536" s="1049"/>
      <c r="JA536" s="1049"/>
      <c r="JB536" s="1049"/>
      <c r="JC536" s="1049"/>
      <c r="JD536" s="1112"/>
      <c r="JE536" s="1037"/>
      <c r="JF536" s="1037"/>
      <c r="JG536" s="1037"/>
      <c r="JH536" s="1037"/>
      <c r="JI536" s="1035"/>
      <c r="JJ536" s="1035"/>
      <c r="JK536" s="1035"/>
      <c r="JL536" s="1035"/>
      <c r="JM536" s="1035"/>
      <c r="JN536" s="1035"/>
      <c r="JO536" s="1035"/>
      <c r="JP536" s="1035"/>
      <c r="JQ536" s="1035"/>
      <c r="JR536" s="1035"/>
      <c r="JS536" s="1035"/>
      <c r="JT536" s="1035"/>
      <c r="JU536" s="1035"/>
      <c r="JV536" s="1035"/>
      <c r="JW536" s="1035"/>
      <c r="JX536" s="1035"/>
      <c r="JY536" s="1035"/>
      <c r="KP536" s="969"/>
      <c r="LV536" s="967"/>
    </row>
    <row r="537" s="969" customFormat="1" spans="1:334">
      <c r="A537" s="1489" t="s">
        <v>102</v>
      </c>
      <c r="B537" s="1057"/>
      <c r="C537" s="1057"/>
      <c r="D537" s="1057"/>
      <c r="E537" s="1057"/>
      <c r="F537" s="1057"/>
      <c r="G537" s="1057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7"/>
      <c r="AC537" s="1057"/>
      <c r="AD537" s="1057"/>
      <c r="AE537" s="1057"/>
      <c r="AF537" s="1057"/>
      <c r="AG537" s="1057"/>
      <c r="AH537" s="1057"/>
      <c r="AI537" s="1057"/>
      <c r="AJ537" s="1057"/>
      <c r="AK537" s="1057"/>
      <c r="AL537" s="1057"/>
      <c r="AM537" s="1057"/>
      <c r="AN537" s="1057"/>
      <c r="AO537" s="1057"/>
      <c r="AP537" s="1057"/>
      <c r="AQ537" s="1057"/>
      <c r="AR537" s="1057"/>
      <c r="AS537" s="1057"/>
      <c r="AT537" s="1057"/>
      <c r="AU537" s="1057"/>
      <c r="AV537" s="1057"/>
      <c r="AW537" s="1057"/>
      <c r="AX537" s="1153"/>
      <c r="AY537" s="1057"/>
      <c r="AZ537" s="1057"/>
      <c r="BA537" s="1057"/>
      <c r="BB537" s="1057"/>
      <c r="BC537" s="1057"/>
      <c r="BD537" s="1057"/>
      <c r="BE537" s="1154"/>
      <c r="BF537" s="1057"/>
      <c r="BG537" s="1057"/>
      <c r="BH537" s="1057"/>
      <c r="BI537" s="1057"/>
      <c r="BJ537" s="1057"/>
      <c r="BK537" s="1057"/>
      <c r="BL537" s="1057"/>
      <c r="BM537" s="1057"/>
      <c r="BN537" s="1153"/>
      <c r="BO537" s="1057"/>
      <c r="BP537" s="1057"/>
      <c r="BQ537" s="1057"/>
      <c r="BR537" s="1057"/>
      <c r="BS537" s="1057"/>
      <c r="BT537" s="1057"/>
      <c r="BU537" s="1154"/>
      <c r="BV537" s="1153"/>
      <c r="BW537" s="1057"/>
      <c r="BX537" s="1057"/>
      <c r="BY537" s="1057"/>
      <c r="BZ537" s="1057"/>
      <c r="CA537" s="1057"/>
      <c r="CB537" s="1057"/>
      <c r="CC537" s="1154"/>
      <c r="CD537" s="1308">
        <f t="shared" ref="CD537:CN537" si="4174">CD627+CD705+CD772</f>
        <v>68</v>
      </c>
      <c r="CE537" s="1307">
        <f t="shared" si="4174"/>
        <v>65</v>
      </c>
      <c r="CF537" s="1307">
        <f t="shared" si="4174"/>
        <v>133</v>
      </c>
      <c r="CG537" s="1307">
        <f t="shared" si="4174"/>
        <v>93</v>
      </c>
      <c r="CH537" s="1307">
        <f t="shared" si="4174"/>
        <v>226</v>
      </c>
      <c r="CI537" s="1307">
        <f t="shared" si="4174"/>
        <v>88</v>
      </c>
      <c r="CJ537" s="1307">
        <f t="shared" si="4174"/>
        <v>181</v>
      </c>
      <c r="CK537" s="1309">
        <f t="shared" si="4174"/>
        <v>314</v>
      </c>
      <c r="CL537" s="1308">
        <f t="shared" si="4174"/>
        <v>126</v>
      </c>
      <c r="CM537" s="1307">
        <f t="shared" si="4174"/>
        <v>115</v>
      </c>
      <c r="CN537" s="1307">
        <f t="shared" si="4174"/>
        <v>241</v>
      </c>
      <c r="CO537" s="1307">
        <v>133</v>
      </c>
      <c r="CP537" s="1307">
        <v>375</v>
      </c>
      <c r="CQ537" s="1307">
        <f>CQ627+CQ705+CQ772</f>
        <v>126</v>
      </c>
      <c r="CR537" s="1307">
        <f>CQ537+CO537</f>
        <v>259</v>
      </c>
      <c r="CS537" s="1309">
        <f>CS627+CS705+CS772</f>
        <v>499</v>
      </c>
      <c r="CT537" s="1308">
        <f>CT627+CT705+CT772</f>
        <v>158</v>
      </c>
      <c r="CU537" s="1307">
        <v>152</v>
      </c>
      <c r="CV537" s="1307">
        <f>+CU537+CT537</f>
        <v>310</v>
      </c>
      <c r="CW537" s="1307">
        <f>+CX537-CV537</f>
        <v>174</v>
      </c>
      <c r="CX537" s="1307">
        <v>484</v>
      </c>
      <c r="CY537" s="1307">
        <f>DA537-CX537</f>
        <v>173</v>
      </c>
      <c r="CZ537" s="1307">
        <f>CY537+CW537</f>
        <v>347</v>
      </c>
      <c r="DA537" s="1309">
        <v>657</v>
      </c>
      <c r="DB537" s="1332">
        <v>177</v>
      </c>
      <c r="DC537" s="1311">
        <v>204</v>
      </c>
      <c r="DD537" s="1311">
        <v>381</v>
      </c>
      <c r="DE537" s="1311">
        <f>DF537-DD537</f>
        <v>266</v>
      </c>
      <c r="DF537" s="1311">
        <v>647</v>
      </c>
      <c r="DG537" s="1311">
        <f>DI537-DF537</f>
        <v>246</v>
      </c>
      <c r="DH537" s="1311">
        <f>DI537-DD537</f>
        <v>512</v>
      </c>
      <c r="DI537" s="1312">
        <v>893</v>
      </c>
      <c r="DJ537" s="1311">
        <v>218</v>
      </c>
      <c r="DK537" s="1311">
        <f>DC537*(1+DK538)</f>
        <v>225</v>
      </c>
      <c r="DL537" s="1311">
        <f>DK537+DJ537</f>
        <v>443</v>
      </c>
      <c r="DM537" s="1311">
        <v>270</v>
      </c>
      <c r="DN537" s="1311">
        <f>DM537+DL537</f>
        <v>713</v>
      </c>
      <c r="DO537" s="1311">
        <f>DG537*(1+DO538)</f>
        <v>283.529840158998</v>
      </c>
      <c r="DP537" s="1311">
        <f>DO537+DM537</f>
        <v>553.529840158998</v>
      </c>
      <c r="DQ537" s="1312">
        <f>DP537+DL537</f>
        <v>996.529840158998</v>
      </c>
      <c r="DR537" s="1311"/>
      <c r="DS537" s="1311"/>
      <c r="DT537" s="1311"/>
      <c r="DU537" s="1311"/>
      <c r="DV537" s="1311"/>
      <c r="DW537" s="1311"/>
      <c r="DX537" s="1311"/>
      <c r="DY537" s="1312"/>
      <c r="DZ537" s="1311"/>
      <c r="EA537" s="1311"/>
      <c r="EB537" s="1311"/>
      <c r="EC537" s="1311"/>
      <c r="ED537" s="1311"/>
      <c r="EE537" s="1311"/>
      <c r="EF537" s="1311"/>
      <c r="EG537" s="1312"/>
      <c r="EH537" s="1311"/>
      <c r="EI537" s="1311"/>
      <c r="EJ537" s="1311"/>
      <c r="EK537" s="1311"/>
      <c r="EL537" s="1311"/>
      <c r="EM537" s="1311"/>
      <c r="EN537" s="1311"/>
      <c r="EO537" s="1312"/>
      <c r="EP537" s="1311"/>
      <c r="EQ537" s="1311"/>
      <c r="ER537" s="1311"/>
      <c r="ES537" s="1311"/>
      <c r="ET537" s="1311"/>
      <c r="EU537" s="1311"/>
      <c r="EV537" s="1311"/>
      <c r="EW537" s="1039"/>
      <c r="EX537" s="891"/>
      <c r="EY537" s="891"/>
      <c r="EZ537" s="891"/>
      <c r="FA537" s="891"/>
      <c r="FB537" s="891"/>
      <c r="FC537" s="891"/>
      <c r="FD537" s="891"/>
      <c r="FE537" s="1039"/>
      <c r="FF537" s="891"/>
      <c r="FG537" s="891"/>
      <c r="FH537" s="891"/>
      <c r="FI537" s="891"/>
      <c r="FJ537" s="891"/>
      <c r="FK537" s="891"/>
      <c r="FL537" s="891"/>
      <c r="FM537" s="1039"/>
      <c r="FN537" s="891"/>
      <c r="FO537" s="891"/>
      <c r="FP537" s="891"/>
      <c r="FQ537" s="891"/>
      <c r="FR537" s="891"/>
      <c r="FS537" s="891"/>
      <c r="FT537" s="891"/>
      <c r="FU537" s="891"/>
      <c r="FV537" s="1040"/>
      <c r="FW537" s="891"/>
      <c r="FX537" s="891"/>
      <c r="FY537" s="891"/>
      <c r="FZ537" s="891"/>
      <c r="GA537" s="891"/>
      <c r="GB537" s="891"/>
      <c r="GC537" s="1039"/>
      <c r="GD537" s="891"/>
      <c r="GE537" s="891"/>
      <c r="GF537" s="891"/>
      <c r="GG537" s="891"/>
      <c r="GH537" s="891"/>
      <c r="GI537" s="891"/>
      <c r="GJ537" s="891"/>
      <c r="GK537" s="1039"/>
      <c r="GL537" s="891"/>
      <c r="GM537" s="891"/>
      <c r="GN537" s="891"/>
      <c r="GO537" s="891"/>
      <c r="GP537" s="891"/>
      <c r="GQ537" s="891"/>
      <c r="GR537" s="891"/>
      <c r="GS537" s="1039"/>
      <c r="GT537" s="891"/>
      <c r="GU537" s="891"/>
      <c r="GV537" s="891"/>
      <c r="GW537" s="891"/>
      <c r="GX537" s="891"/>
      <c r="GY537" s="891"/>
      <c r="GZ537" s="891"/>
      <c r="HA537" s="1039"/>
      <c r="HB537" s="891"/>
      <c r="HC537" s="891"/>
      <c r="HD537" s="891"/>
      <c r="HE537" s="891"/>
      <c r="HF537" s="891"/>
      <c r="HG537" s="891"/>
      <c r="HH537" s="891"/>
      <c r="HI537" s="1039"/>
      <c r="HJ537" s="891"/>
      <c r="HK537" s="891"/>
      <c r="HL537" s="891"/>
      <c r="HM537" s="891"/>
      <c r="HN537" s="891"/>
      <c r="HO537" s="891"/>
      <c r="HP537" s="891"/>
      <c r="HQ537" s="1039"/>
      <c r="HR537" s="891"/>
      <c r="HS537" s="891"/>
      <c r="HT537" s="891"/>
      <c r="HU537" s="891"/>
      <c r="HV537" s="891"/>
      <c r="HW537" s="891"/>
      <c r="HX537" s="891"/>
      <c r="HY537" s="891"/>
      <c r="HZ537" s="891"/>
      <c r="IA537" s="891"/>
      <c r="IB537" s="891"/>
      <c r="IC537" s="891"/>
      <c r="ID537" s="891"/>
      <c r="IE537" s="891"/>
      <c r="IF537" s="891"/>
      <c r="IG537" s="1039"/>
      <c r="IH537" s="891"/>
      <c r="II537" s="891"/>
      <c r="IJ537" s="891"/>
      <c r="IK537" s="891"/>
      <c r="IL537" s="891"/>
      <c r="IM537" s="891"/>
      <c r="IN537" s="891"/>
      <c r="IO537" s="1039"/>
      <c r="IP537" s="891"/>
      <c r="IQ537" s="891"/>
      <c r="IR537" s="891"/>
      <c r="IS537" s="891"/>
      <c r="IT537" s="891"/>
      <c r="IU537" s="891"/>
      <c r="IV537" s="891"/>
      <c r="IW537" s="891"/>
      <c r="IX537" s="1049"/>
      <c r="IY537" s="1049"/>
      <c r="IZ537" s="1049"/>
      <c r="JA537" s="1049"/>
      <c r="JB537" s="1049"/>
      <c r="JC537" s="1049"/>
      <c r="JD537" s="1112"/>
      <c r="JE537" s="1079"/>
      <c r="JF537" s="1079"/>
      <c r="JG537" s="1079"/>
      <c r="JH537" s="1079"/>
      <c r="KP537" s="1117"/>
    </row>
    <row r="538" spans="1:334">
      <c r="A538" s="1490" t="s">
        <v>142</v>
      </c>
      <c r="B538" s="1302" t="s">
        <v>173</v>
      </c>
      <c r="C538" s="1302" t="s">
        <v>173</v>
      </c>
      <c r="D538" s="1302" t="s">
        <v>173</v>
      </c>
      <c r="E538" s="1302" t="s">
        <v>173</v>
      </c>
      <c r="F538" s="1302" t="s">
        <v>173</v>
      </c>
      <c r="G538" s="1302" t="s">
        <v>173</v>
      </c>
      <c r="H538" s="1302" t="s">
        <v>173</v>
      </c>
      <c r="I538" s="1302" t="s">
        <v>173</v>
      </c>
      <c r="J538" s="1302" t="e">
        <f t="shared" ref="J538:AO538" si="4175">J537/B537-1</f>
        <v>#DIV/0!</v>
      </c>
      <c r="K538" s="1302" t="e">
        <f t="shared" si="4175"/>
        <v>#DIV/0!</v>
      </c>
      <c r="L538" s="1302" t="e">
        <f t="shared" si="4175"/>
        <v>#DIV/0!</v>
      </c>
      <c r="M538" s="1302" t="e">
        <f t="shared" si="4175"/>
        <v>#DIV/0!</v>
      </c>
      <c r="N538" s="1302" t="e">
        <f t="shared" si="4175"/>
        <v>#DIV/0!</v>
      </c>
      <c r="O538" s="1302" t="e">
        <f t="shared" si="4175"/>
        <v>#DIV/0!</v>
      </c>
      <c r="P538" s="1302" t="e">
        <f t="shared" si="4175"/>
        <v>#DIV/0!</v>
      </c>
      <c r="Q538" s="1302" t="e">
        <f t="shared" si="4175"/>
        <v>#DIV/0!</v>
      </c>
      <c r="R538" s="1302" t="e">
        <f t="shared" si="4175"/>
        <v>#DIV/0!</v>
      </c>
      <c r="S538" s="1302" t="e">
        <f t="shared" si="4175"/>
        <v>#DIV/0!</v>
      </c>
      <c r="T538" s="1302" t="e">
        <f t="shared" si="4175"/>
        <v>#DIV/0!</v>
      </c>
      <c r="U538" s="1302" t="e">
        <f t="shared" si="4175"/>
        <v>#DIV/0!</v>
      </c>
      <c r="V538" s="1302" t="e">
        <f t="shared" si="4175"/>
        <v>#DIV/0!</v>
      </c>
      <c r="W538" s="1302" t="e">
        <f t="shared" si="4175"/>
        <v>#DIV/0!</v>
      </c>
      <c r="X538" s="1302" t="e">
        <f t="shared" si="4175"/>
        <v>#DIV/0!</v>
      </c>
      <c r="Y538" s="1302" t="e">
        <f t="shared" si="4175"/>
        <v>#DIV/0!</v>
      </c>
      <c r="Z538" s="1302" t="e">
        <f t="shared" si="4175"/>
        <v>#DIV/0!</v>
      </c>
      <c r="AA538" s="1302" t="e">
        <f t="shared" si="4175"/>
        <v>#DIV/0!</v>
      </c>
      <c r="AB538" s="1302" t="e">
        <f t="shared" si="4175"/>
        <v>#DIV/0!</v>
      </c>
      <c r="AC538" s="1302" t="e">
        <f t="shared" si="4175"/>
        <v>#DIV/0!</v>
      </c>
      <c r="AD538" s="1302" t="e">
        <f t="shared" si="4175"/>
        <v>#DIV/0!</v>
      </c>
      <c r="AE538" s="1302" t="e">
        <f t="shared" si="4175"/>
        <v>#DIV/0!</v>
      </c>
      <c r="AF538" s="1302" t="e">
        <f t="shared" si="4175"/>
        <v>#DIV/0!</v>
      </c>
      <c r="AG538" s="1302" t="e">
        <f t="shared" si="4175"/>
        <v>#DIV/0!</v>
      </c>
      <c r="AH538" s="1302" t="e">
        <f t="shared" si="4175"/>
        <v>#DIV/0!</v>
      </c>
      <c r="AI538" s="1302" t="e">
        <f t="shared" si="4175"/>
        <v>#DIV/0!</v>
      </c>
      <c r="AJ538" s="1302" t="e">
        <f t="shared" si="4175"/>
        <v>#DIV/0!</v>
      </c>
      <c r="AK538" s="1302" t="e">
        <f t="shared" si="4175"/>
        <v>#DIV/0!</v>
      </c>
      <c r="AL538" s="1302" t="e">
        <f t="shared" si="4175"/>
        <v>#DIV/0!</v>
      </c>
      <c r="AM538" s="1302" t="e">
        <f t="shared" si="4175"/>
        <v>#DIV/0!</v>
      </c>
      <c r="AN538" s="1302" t="e">
        <f t="shared" si="4175"/>
        <v>#DIV/0!</v>
      </c>
      <c r="AO538" s="1302" t="e">
        <f t="shared" si="4175"/>
        <v>#DIV/0!</v>
      </c>
      <c r="AP538" s="1302" t="e">
        <f t="shared" ref="AP538:BU538" si="4176">AP537/AH537-1</f>
        <v>#DIV/0!</v>
      </c>
      <c r="AQ538" s="1302" t="e">
        <f t="shared" si="4176"/>
        <v>#DIV/0!</v>
      </c>
      <c r="AR538" s="1302" t="e">
        <f t="shared" si="4176"/>
        <v>#DIV/0!</v>
      </c>
      <c r="AS538" s="1302" t="e">
        <f t="shared" si="4176"/>
        <v>#DIV/0!</v>
      </c>
      <c r="AT538" s="1302" t="e">
        <f t="shared" si="4176"/>
        <v>#DIV/0!</v>
      </c>
      <c r="AU538" s="1302" t="e">
        <f t="shared" si="4176"/>
        <v>#DIV/0!</v>
      </c>
      <c r="AV538" s="1302" t="e">
        <f t="shared" si="4176"/>
        <v>#DIV/0!</v>
      </c>
      <c r="AW538" s="1302" t="e">
        <f t="shared" si="4176"/>
        <v>#DIV/0!</v>
      </c>
      <c r="AX538" s="1303" t="e">
        <f t="shared" si="4176"/>
        <v>#DIV/0!</v>
      </c>
      <c r="AY538" s="1302" t="e">
        <f t="shared" si="4176"/>
        <v>#DIV/0!</v>
      </c>
      <c r="AZ538" s="1302" t="e">
        <f t="shared" si="4176"/>
        <v>#DIV/0!</v>
      </c>
      <c r="BA538" s="1302" t="e">
        <f t="shared" si="4176"/>
        <v>#DIV/0!</v>
      </c>
      <c r="BB538" s="1302" t="e">
        <f t="shared" si="4176"/>
        <v>#DIV/0!</v>
      </c>
      <c r="BC538" s="1302" t="e">
        <f t="shared" si="4176"/>
        <v>#DIV/0!</v>
      </c>
      <c r="BD538" s="1302" t="e">
        <f t="shared" si="4176"/>
        <v>#DIV/0!</v>
      </c>
      <c r="BE538" s="1304" t="e">
        <f t="shared" si="4176"/>
        <v>#DIV/0!</v>
      </c>
      <c r="BF538" s="1302" t="e">
        <f t="shared" si="4176"/>
        <v>#DIV/0!</v>
      </c>
      <c r="BG538" s="1302" t="e">
        <f t="shared" si="4176"/>
        <v>#DIV/0!</v>
      </c>
      <c r="BH538" s="1302" t="e">
        <f t="shared" si="4176"/>
        <v>#DIV/0!</v>
      </c>
      <c r="BI538" s="1302" t="e">
        <f t="shared" si="4176"/>
        <v>#DIV/0!</v>
      </c>
      <c r="BJ538" s="1302" t="e">
        <f t="shared" si="4176"/>
        <v>#DIV/0!</v>
      </c>
      <c r="BK538" s="1302" t="e">
        <f t="shared" si="4176"/>
        <v>#DIV/0!</v>
      </c>
      <c r="BL538" s="1302" t="e">
        <f t="shared" si="4176"/>
        <v>#DIV/0!</v>
      </c>
      <c r="BM538" s="1302" t="e">
        <f t="shared" si="4176"/>
        <v>#DIV/0!</v>
      </c>
      <c r="BN538" s="1303" t="e">
        <f t="shared" si="4176"/>
        <v>#DIV/0!</v>
      </c>
      <c r="BO538" s="1302" t="e">
        <f t="shared" si="4176"/>
        <v>#DIV/0!</v>
      </c>
      <c r="BP538" s="1302" t="e">
        <f t="shared" si="4176"/>
        <v>#DIV/0!</v>
      </c>
      <c r="BQ538" s="1302" t="e">
        <f t="shared" si="4176"/>
        <v>#DIV/0!</v>
      </c>
      <c r="BR538" s="1302" t="e">
        <f t="shared" si="4176"/>
        <v>#DIV/0!</v>
      </c>
      <c r="BS538" s="1302" t="e">
        <f t="shared" si="4176"/>
        <v>#DIV/0!</v>
      </c>
      <c r="BT538" s="1302" t="e">
        <f t="shared" si="4176"/>
        <v>#DIV/0!</v>
      </c>
      <c r="BU538" s="1304" t="e">
        <f t="shared" si="4176"/>
        <v>#DIV/0!</v>
      </c>
      <c r="BV538" s="1303" t="e">
        <f t="shared" ref="BV538:CK538" si="4177">BV537/BN537-1</f>
        <v>#DIV/0!</v>
      </c>
      <c r="BW538" s="1302" t="e">
        <f t="shared" si="4177"/>
        <v>#DIV/0!</v>
      </c>
      <c r="BX538" s="1302" t="e">
        <f t="shared" si="4177"/>
        <v>#DIV/0!</v>
      </c>
      <c r="BY538" s="1302" t="e">
        <f t="shared" si="4177"/>
        <v>#DIV/0!</v>
      </c>
      <c r="BZ538" s="1302" t="e">
        <f t="shared" si="4177"/>
        <v>#DIV/0!</v>
      </c>
      <c r="CA538" s="1302" t="e">
        <f t="shared" si="4177"/>
        <v>#DIV/0!</v>
      </c>
      <c r="CB538" s="1302" t="e">
        <f t="shared" si="4177"/>
        <v>#DIV/0!</v>
      </c>
      <c r="CC538" s="1304" t="e">
        <f t="shared" si="4177"/>
        <v>#DIV/0!</v>
      </c>
      <c r="CD538" s="1303" t="e">
        <f t="shared" si="4177"/>
        <v>#DIV/0!</v>
      </c>
      <c r="CE538" s="1302" t="e">
        <f t="shared" si="4177"/>
        <v>#DIV/0!</v>
      </c>
      <c r="CF538" s="1302" t="e">
        <f t="shared" si="4177"/>
        <v>#DIV/0!</v>
      </c>
      <c r="CG538" s="1302" t="e">
        <f t="shared" si="4177"/>
        <v>#DIV/0!</v>
      </c>
      <c r="CH538" s="1302" t="e">
        <f t="shared" si="4177"/>
        <v>#DIV/0!</v>
      </c>
      <c r="CI538" s="1302" t="e">
        <f t="shared" si="4177"/>
        <v>#DIV/0!</v>
      </c>
      <c r="CJ538" s="1302" t="e">
        <f t="shared" si="4177"/>
        <v>#DIV/0!</v>
      </c>
      <c r="CK538" s="1304" t="e">
        <f t="shared" si="4177"/>
        <v>#DIV/0!</v>
      </c>
      <c r="CL538" s="1303">
        <v>0.451834862385321</v>
      </c>
      <c r="CM538" s="1302">
        <f t="shared" ref="CM538:CS538" si="4178">CM537/CE537-1</f>
        <v>0.769230769230769</v>
      </c>
      <c r="CN538" s="1302">
        <f t="shared" si="4178"/>
        <v>0.81203007518797</v>
      </c>
      <c r="CO538" s="1302">
        <f t="shared" si="4178"/>
        <v>0.43010752688172</v>
      </c>
      <c r="CP538" s="1302">
        <f t="shared" si="4178"/>
        <v>0.65929203539823</v>
      </c>
      <c r="CQ538" s="1302">
        <f t="shared" si="4178"/>
        <v>0.431818181818182</v>
      </c>
      <c r="CR538" s="1302">
        <f t="shared" si="4178"/>
        <v>0.430939226519337</v>
      </c>
      <c r="CS538" s="1304">
        <f t="shared" si="4178"/>
        <v>0.589171974522293</v>
      </c>
      <c r="CT538" s="1303">
        <f t="shared" ref="CT538:DA538" si="4179">CT537/CL537-1</f>
        <v>0.253968253968254</v>
      </c>
      <c r="CU538" s="1302">
        <f t="shared" si="4179"/>
        <v>0.321739130434783</v>
      </c>
      <c r="CV538" s="1302">
        <f t="shared" si="4179"/>
        <v>0.286307053941909</v>
      </c>
      <c r="CW538" s="1302">
        <f t="shared" si="4179"/>
        <v>0.308270676691729</v>
      </c>
      <c r="CX538" s="1302">
        <f t="shared" si="4179"/>
        <v>0.290666666666667</v>
      </c>
      <c r="CY538" s="1302">
        <f t="shared" si="4179"/>
        <v>0.373015873015873</v>
      </c>
      <c r="CZ538" s="1302">
        <f t="shared" si="4179"/>
        <v>0.33976833976834</v>
      </c>
      <c r="DA538" s="1304">
        <f t="shared" si="4179"/>
        <v>0.316633266533066</v>
      </c>
      <c r="DB538" s="1109">
        <f t="shared" ref="DB538:DJ538" si="4180">DB537/CT537-1</f>
        <v>0.120253164556962</v>
      </c>
      <c r="DC538" s="1082">
        <f t="shared" si="4180"/>
        <v>0.342105263157895</v>
      </c>
      <c r="DD538" s="1082">
        <f t="shared" si="4180"/>
        <v>0.229032258064516</v>
      </c>
      <c r="DE538" s="1082">
        <f t="shared" si="4180"/>
        <v>0.528735632183908</v>
      </c>
      <c r="DF538" s="1082">
        <f t="shared" si="4180"/>
        <v>0.336776859504132</v>
      </c>
      <c r="DG538" s="1082">
        <f t="shared" si="4180"/>
        <v>0.421965317919075</v>
      </c>
      <c r="DH538" s="1082">
        <f t="shared" si="4180"/>
        <v>0.475504322766571</v>
      </c>
      <c r="DI538" s="1085">
        <f t="shared" si="4180"/>
        <v>0.359208523592085</v>
      </c>
      <c r="DJ538" s="1082">
        <f t="shared" si="4180"/>
        <v>0.231638418079096</v>
      </c>
      <c r="DK538" s="1082">
        <f>SUM(DK539:DK540)</f>
        <v>0.102941176470588</v>
      </c>
      <c r="DL538" s="1082">
        <f>DL537/DD537-1</f>
        <v>0.162729658792651</v>
      </c>
      <c r="DM538" s="1082">
        <f>DM537/DE537-1</f>
        <v>0.0150375939849625</v>
      </c>
      <c r="DN538" s="1082">
        <f>DN537/DF537-1</f>
        <v>0.102009273570325</v>
      </c>
      <c r="DO538" s="1082">
        <f>SUM(DO539:DO540)</f>
        <v>0.152560325849584</v>
      </c>
      <c r="DP538" s="1082">
        <f>DP537/DH537-1</f>
        <v>0.0811129690605425</v>
      </c>
      <c r="DQ538" s="1085">
        <f>DQ537/DI537-1</f>
        <v>0.115934871398654</v>
      </c>
      <c r="DR538" s="1082"/>
      <c r="DS538" s="1082"/>
      <c r="DT538" s="1082"/>
      <c r="DU538" s="1082"/>
      <c r="DV538" s="1082"/>
      <c r="DW538" s="1082"/>
      <c r="DX538" s="1082"/>
      <c r="DY538" s="1085"/>
      <c r="DZ538" s="1082"/>
      <c r="EA538" s="1082"/>
      <c r="EB538" s="1082"/>
      <c r="EC538" s="1082"/>
      <c r="ED538" s="1082"/>
      <c r="EE538" s="1082"/>
      <c r="EF538" s="1082"/>
      <c r="EG538" s="1085"/>
      <c r="EH538" s="1082"/>
      <c r="EI538" s="1082"/>
      <c r="EJ538" s="1082"/>
      <c r="EK538" s="1082"/>
      <c r="EL538" s="1082"/>
      <c r="EM538" s="1082"/>
      <c r="EN538" s="1082"/>
      <c r="EO538" s="1085"/>
      <c r="EP538" s="1082"/>
      <c r="EQ538" s="1082"/>
      <c r="ER538" s="1082"/>
      <c r="ES538" s="1082"/>
      <c r="ET538" s="1082"/>
      <c r="EU538" s="1082"/>
      <c r="EV538" s="1082"/>
      <c r="IX538" s="1049"/>
      <c r="IY538" s="1049"/>
      <c r="IZ538" s="1049"/>
      <c r="JA538" s="1049"/>
      <c r="JB538" s="1049"/>
      <c r="JC538" s="1049"/>
      <c r="JD538" s="1112"/>
      <c r="JE538" s="1037"/>
      <c r="JF538" s="1037"/>
      <c r="JG538" s="1037"/>
      <c r="JH538" s="1037"/>
      <c r="JI538" s="1035"/>
      <c r="JJ538" s="1035"/>
      <c r="JK538" s="1035"/>
      <c r="JL538" s="1035"/>
      <c r="JM538" s="1035"/>
      <c r="JN538" s="1035"/>
      <c r="JO538" s="1035"/>
      <c r="JP538" s="1035"/>
      <c r="JQ538" s="1035"/>
      <c r="JR538" s="1035"/>
      <c r="JS538" s="1035"/>
      <c r="JT538" s="1035"/>
      <c r="JU538" s="1035"/>
      <c r="JV538" s="1035"/>
      <c r="JW538" s="1035"/>
      <c r="JX538" s="1035"/>
      <c r="JY538" s="1035"/>
      <c r="KP538" s="969"/>
    </row>
    <row r="539" spans="1:334">
      <c r="A539" s="1490" t="s">
        <v>623</v>
      </c>
      <c r="B539" s="1302"/>
      <c r="C539" s="1302"/>
      <c r="D539" s="1302"/>
      <c r="E539" s="1302"/>
      <c r="F539" s="1302"/>
      <c r="G539" s="1302"/>
      <c r="H539" s="1302"/>
      <c r="I539" s="1302"/>
      <c r="J539" s="1302"/>
      <c r="K539" s="1302"/>
      <c r="L539" s="1302"/>
      <c r="M539" s="1302"/>
      <c r="N539" s="1302"/>
      <c r="O539" s="1302"/>
      <c r="P539" s="1302"/>
      <c r="Q539" s="1302"/>
      <c r="R539" s="1302"/>
      <c r="S539" s="1302"/>
      <c r="T539" s="1302"/>
      <c r="U539" s="1302"/>
      <c r="V539" s="1302"/>
      <c r="W539" s="1302"/>
      <c r="X539" s="1302"/>
      <c r="Y539" s="1302"/>
      <c r="Z539" s="1302"/>
      <c r="AA539" s="1302"/>
      <c r="AB539" s="1302"/>
      <c r="AC539" s="1302"/>
      <c r="AD539" s="1302"/>
      <c r="AE539" s="1302"/>
      <c r="AF539" s="1302"/>
      <c r="AG539" s="1302"/>
      <c r="AH539" s="1302"/>
      <c r="AI539" s="1302"/>
      <c r="AJ539" s="1302"/>
      <c r="AK539" s="1302"/>
      <c r="AL539" s="1302"/>
      <c r="AM539" s="1302"/>
      <c r="AN539" s="1302"/>
      <c r="AO539" s="1302"/>
      <c r="AP539" s="1302"/>
      <c r="AQ539" s="1302"/>
      <c r="AR539" s="1302"/>
      <c r="AS539" s="1302"/>
      <c r="AT539" s="1302"/>
      <c r="AU539" s="1302"/>
      <c r="AV539" s="1302"/>
      <c r="AW539" s="1302"/>
      <c r="AX539" s="1303"/>
      <c r="AY539" s="1302"/>
      <c r="AZ539" s="1302"/>
      <c r="BA539" s="1302"/>
      <c r="BB539" s="1302"/>
      <c r="BC539" s="1302"/>
      <c r="BD539" s="1302"/>
      <c r="BE539" s="1304"/>
      <c r="BF539" s="1302"/>
      <c r="BG539" s="1302"/>
      <c r="BH539" s="1302"/>
      <c r="BI539" s="1302"/>
      <c r="BJ539" s="1302"/>
      <c r="BK539" s="1302"/>
      <c r="BL539" s="1302"/>
      <c r="BM539" s="1302"/>
      <c r="BN539" s="1303"/>
      <c r="BO539" s="1302"/>
      <c r="BP539" s="1302"/>
      <c r="BQ539" s="1302"/>
      <c r="BR539" s="1302"/>
      <c r="BS539" s="1302"/>
      <c r="BT539" s="1302"/>
      <c r="BU539" s="1304"/>
      <c r="BV539" s="1303"/>
      <c r="BW539" s="1302"/>
      <c r="BX539" s="1302"/>
      <c r="BY539" s="1302"/>
      <c r="BZ539" s="1302"/>
      <c r="CA539" s="1302"/>
      <c r="CB539" s="1302"/>
      <c r="CC539" s="1304"/>
      <c r="CD539" s="1303"/>
      <c r="CE539" s="1302"/>
      <c r="CF539" s="1302"/>
      <c r="CG539" s="1302"/>
      <c r="CH539" s="1302"/>
      <c r="CI539" s="1302"/>
      <c r="CJ539" s="1302"/>
      <c r="CK539" s="1304"/>
      <c r="CL539" s="1303"/>
      <c r="CM539" s="1302"/>
      <c r="CN539" s="1302"/>
      <c r="CO539" s="1302"/>
      <c r="CP539" s="1302"/>
      <c r="CQ539" s="1302"/>
      <c r="CR539" s="1302"/>
      <c r="CS539" s="1304"/>
      <c r="CT539" s="1303">
        <f>CT538-CT540</f>
        <v>-0.106031746031746</v>
      </c>
      <c r="CU539" s="1302">
        <f>+CU538-CU540</f>
        <v>-0.0382608695652175</v>
      </c>
      <c r="CV539" s="1302">
        <f>+CV538-CV540</f>
        <v>-0.0736929460580912</v>
      </c>
      <c r="CW539" s="1302">
        <f>+CW538-CW540</f>
        <v>-0.0267293233082707</v>
      </c>
      <c r="CX539" s="1302">
        <f>+CX538-CX540</f>
        <v>-0.0593333333333333</v>
      </c>
      <c r="CY539" s="1302">
        <f t="shared" ref="CY539:DJ539" si="4181">CY538-CY540</f>
        <v>-0.0902380952380953</v>
      </c>
      <c r="CZ539" s="1302">
        <f t="shared" si="4181"/>
        <v>-0.0573745173745174</v>
      </c>
      <c r="DA539" s="1304">
        <f t="shared" si="4181"/>
        <v>-0.0633667334669338</v>
      </c>
      <c r="DB539" s="1109">
        <f t="shared" si="4181"/>
        <v>-0.059746835443038</v>
      </c>
      <c r="DC539" s="1082">
        <f t="shared" si="4181"/>
        <v>-0.0622368421052631</v>
      </c>
      <c r="DD539" s="1082">
        <f t="shared" si="4181"/>
        <v>-0.0609677419354839</v>
      </c>
      <c r="DE539" s="1082">
        <f t="shared" si="4181"/>
        <v>-0.039425287356322</v>
      </c>
      <c r="DF539" s="1082">
        <f t="shared" si="4181"/>
        <v>-0.0532231404958677</v>
      </c>
      <c r="DG539" s="1082">
        <f t="shared" si="4181"/>
        <v>-0.0819653179190749</v>
      </c>
      <c r="DH539" s="1082">
        <f t="shared" si="4181"/>
        <v>-0.0606340057636889</v>
      </c>
      <c r="DI539" s="1085">
        <f t="shared" si="4181"/>
        <v>-0.0607914764079148</v>
      </c>
      <c r="DJ539" s="1082">
        <f t="shared" si="4181"/>
        <v>-0.078361581920904</v>
      </c>
      <c r="DK539" s="1082">
        <v>-0.0763235294117646</v>
      </c>
      <c r="DL539" s="1082">
        <f>DL538-DL540</f>
        <v>-0.077270341207349</v>
      </c>
      <c r="DM539" s="1082">
        <f>DM538-DM540</f>
        <v>-0.0979624060150375</v>
      </c>
      <c r="DN539" s="1082">
        <f>DN538-DN540</f>
        <v>-0.0857774343122101</v>
      </c>
      <c r="DO539" s="1488">
        <f>DO487*-0.7</f>
        <v>0.102560325849584</v>
      </c>
      <c r="DP539" s="1082">
        <f>DP538-DP540</f>
        <v>-0.00161749968945746</v>
      </c>
      <c r="DQ539" s="1085">
        <f>DQ538-DQ540</f>
        <v>-0.0338949158353889</v>
      </c>
      <c r="DR539" s="1488"/>
      <c r="DS539" s="1488"/>
      <c r="DT539" s="1082"/>
      <c r="DU539" s="1488"/>
      <c r="DV539" s="1082"/>
      <c r="DW539" s="1488"/>
      <c r="DX539" s="1082"/>
      <c r="DY539" s="1085"/>
      <c r="DZ539" s="1488"/>
      <c r="EA539" s="1488"/>
      <c r="EB539" s="1082"/>
      <c r="EC539" s="1488"/>
      <c r="ED539" s="1082"/>
      <c r="EE539" s="1488"/>
      <c r="EF539" s="1082"/>
      <c r="EG539" s="1085"/>
      <c r="EH539" s="1488"/>
      <c r="EI539" s="1488"/>
      <c r="EJ539" s="1082"/>
      <c r="EK539" s="1488"/>
      <c r="EL539" s="1082"/>
      <c r="EM539" s="1488"/>
      <c r="EN539" s="1082"/>
      <c r="EO539" s="1085"/>
      <c r="EP539" s="1082"/>
      <c r="EQ539" s="1082"/>
      <c r="ER539" s="1082"/>
      <c r="ES539" s="1082"/>
      <c r="ET539" s="1082"/>
      <c r="EU539" s="1082"/>
      <c r="EV539" s="1082"/>
      <c r="IX539" s="1049"/>
      <c r="IY539" s="1049"/>
      <c r="IZ539" s="1049"/>
      <c r="JA539" s="1049"/>
      <c r="JB539" s="1049"/>
      <c r="JC539" s="1049"/>
      <c r="JD539" s="1112"/>
      <c r="JE539" s="1037"/>
      <c r="JF539" s="1037"/>
      <c r="JG539" s="1037"/>
      <c r="JH539" s="1037"/>
      <c r="JI539" s="1035"/>
      <c r="JJ539" s="1035"/>
      <c r="JK539" s="1035"/>
      <c r="JL539" s="1035"/>
      <c r="JM539" s="1035"/>
      <c r="JN539" s="1035"/>
      <c r="JO539" s="1035"/>
      <c r="JP539" s="1035"/>
      <c r="JQ539" s="1035"/>
      <c r="JR539" s="1035"/>
      <c r="JS539" s="1035"/>
      <c r="JT539" s="1035"/>
      <c r="JU539" s="1035"/>
      <c r="JV539" s="1035"/>
      <c r="JW539" s="1035"/>
      <c r="JX539" s="1035"/>
      <c r="JY539" s="1035"/>
      <c r="KP539" s="1117"/>
    </row>
    <row r="540" spans="1:334">
      <c r="A540" s="1490" t="s">
        <v>624</v>
      </c>
      <c r="B540" s="1302"/>
      <c r="C540" s="1302"/>
      <c r="D540" s="1302"/>
      <c r="E540" s="1302"/>
      <c r="F540" s="1302"/>
      <c r="G540" s="1302"/>
      <c r="H540" s="1302"/>
      <c r="I540" s="1302"/>
      <c r="J540" s="1302"/>
      <c r="K540" s="1302"/>
      <c r="L540" s="1302"/>
      <c r="M540" s="1302"/>
      <c r="N540" s="1302"/>
      <c r="O540" s="1302"/>
      <c r="P540" s="1302"/>
      <c r="Q540" s="1302"/>
      <c r="R540" s="1302"/>
      <c r="S540" s="1302"/>
      <c r="T540" s="1302"/>
      <c r="U540" s="1302"/>
      <c r="V540" s="1302"/>
      <c r="W540" s="1302"/>
      <c r="X540" s="1302"/>
      <c r="Y540" s="1302"/>
      <c r="Z540" s="1302"/>
      <c r="AA540" s="1302"/>
      <c r="AB540" s="1302"/>
      <c r="AC540" s="1302"/>
      <c r="AD540" s="1302"/>
      <c r="AE540" s="1302"/>
      <c r="AF540" s="1302"/>
      <c r="AG540" s="1302"/>
      <c r="AH540" s="1302"/>
      <c r="AI540" s="1302"/>
      <c r="AJ540" s="1302"/>
      <c r="AK540" s="1302"/>
      <c r="AL540" s="1302"/>
      <c r="AM540" s="1302"/>
      <c r="AN540" s="1302"/>
      <c r="AO540" s="1302"/>
      <c r="AP540" s="1302"/>
      <c r="AQ540" s="1302"/>
      <c r="AR540" s="1302"/>
      <c r="AS540" s="1302"/>
      <c r="AT540" s="1302"/>
      <c r="AU540" s="1302"/>
      <c r="AV540" s="1302"/>
      <c r="AW540" s="1302"/>
      <c r="AX540" s="1303"/>
      <c r="AY540" s="1302"/>
      <c r="AZ540" s="1302"/>
      <c r="BA540" s="1302"/>
      <c r="BB540" s="1302"/>
      <c r="BC540" s="1302"/>
      <c r="BD540" s="1302"/>
      <c r="BE540" s="1304"/>
      <c r="BF540" s="1302"/>
      <c r="BG540" s="1302"/>
      <c r="BH540" s="1302"/>
      <c r="BI540" s="1302"/>
      <c r="BJ540" s="1302"/>
      <c r="BK540" s="1302"/>
      <c r="BL540" s="1302"/>
      <c r="BM540" s="1302"/>
      <c r="BN540" s="1303"/>
      <c r="BO540" s="1302"/>
      <c r="BP540" s="1302"/>
      <c r="BQ540" s="1302"/>
      <c r="BR540" s="1302"/>
      <c r="BS540" s="1302"/>
      <c r="BT540" s="1302"/>
      <c r="BU540" s="1304"/>
      <c r="BV540" s="1303"/>
      <c r="BW540" s="1302"/>
      <c r="BX540" s="1302"/>
      <c r="BY540" s="1302"/>
      <c r="BZ540" s="1302"/>
      <c r="CA540" s="1302"/>
      <c r="CB540" s="1302"/>
      <c r="CC540" s="1304"/>
      <c r="CD540" s="1303"/>
      <c r="CE540" s="1302"/>
      <c r="CF540" s="1302"/>
      <c r="CG540" s="1302"/>
      <c r="CH540" s="1302"/>
      <c r="CI540" s="1302"/>
      <c r="CJ540" s="1302"/>
      <c r="CK540" s="1304"/>
      <c r="CL540" s="1303"/>
      <c r="CM540" s="1302"/>
      <c r="CN540" s="1302"/>
      <c r="CO540" s="1302"/>
      <c r="CP540" s="1036">
        <f>+CP537-CN537</f>
        <v>134</v>
      </c>
      <c r="CQ540" s="1302"/>
      <c r="CR540" s="1302"/>
      <c r="CS540" s="1304"/>
      <c r="CT540" s="1303">
        <v>0.36</v>
      </c>
      <c r="CU540" s="1302">
        <v>0.36</v>
      </c>
      <c r="CV540" s="1302">
        <v>0.36</v>
      </c>
      <c r="CW540" s="1302">
        <v>0.335</v>
      </c>
      <c r="CX540" s="1302">
        <v>0.35</v>
      </c>
      <c r="CY540" s="1302">
        <f>(DA540*CS537-CX540*CP537)/CQ537</f>
        <v>0.463253968253968</v>
      </c>
      <c r="CZ540" s="1302">
        <f>(DA540*CS537-CV540*CN537)/CR537</f>
        <v>0.397142857142857</v>
      </c>
      <c r="DA540" s="1304">
        <v>0.38</v>
      </c>
      <c r="DB540" s="1109">
        <v>0.18</v>
      </c>
      <c r="DC540" s="1082">
        <f>(DD540*CV537-DB540*CT537)/CU537</f>
        <v>0.404342105263158</v>
      </c>
      <c r="DD540" s="1082">
        <v>0.29</v>
      </c>
      <c r="DE540" s="1082">
        <f>(DF540*CX537-DD540*CV537)/CW537</f>
        <v>0.56816091954023</v>
      </c>
      <c r="DF540" s="1082">
        <v>0.39</v>
      </c>
      <c r="DG540" s="1082">
        <f>(DI540*DA537-DF540*CX537)/CY537</f>
        <v>0.50393063583815</v>
      </c>
      <c r="DH540" s="1082">
        <f>(DI540*DA537-DD540*CV537)/CZ537</f>
        <v>0.536138328530259</v>
      </c>
      <c r="DI540" s="1085">
        <v>0.42</v>
      </c>
      <c r="DJ540" s="1082">
        <v>0.31</v>
      </c>
      <c r="DK540" s="1082">
        <v>0.179264705882353</v>
      </c>
      <c r="DL540" s="1082">
        <f>(DK540*DC537+DJ540*DB537)/DD537</f>
        <v>0.24</v>
      </c>
      <c r="DM540" s="1082">
        <v>0.113</v>
      </c>
      <c r="DN540" s="1082">
        <f>(DM540*DE537+DL540*DD537)/DF537</f>
        <v>0.187786707882535</v>
      </c>
      <c r="DO540" s="1488">
        <v>0.05</v>
      </c>
      <c r="DP540" s="1082">
        <f>(DO540*DG537+DM540*DE537)/DH537</f>
        <v>0.08273046875</v>
      </c>
      <c r="DQ540" s="1085">
        <f>(DP540*DH537+DL540*DD537)/DI537</f>
        <v>0.149829787234043</v>
      </c>
      <c r="DR540" s="1488"/>
      <c r="DS540" s="1488"/>
      <c r="DT540" s="1082"/>
      <c r="DU540" s="1488"/>
      <c r="DV540" s="1082"/>
      <c r="DW540" s="1488"/>
      <c r="DX540" s="1082"/>
      <c r="DY540" s="1085"/>
      <c r="DZ540" s="1488"/>
      <c r="EA540" s="1488"/>
      <c r="EB540" s="1082"/>
      <c r="EC540" s="1488"/>
      <c r="ED540" s="1082"/>
      <c r="EE540" s="1488"/>
      <c r="EF540" s="1082"/>
      <c r="EG540" s="1085"/>
      <c r="EH540" s="1488"/>
      <c r="EI540" s="1488"/>
      <c r="EJ540" s="1082"/>
      <c r="EK540" s="1488"/>
      <c r="EL540" s="1082"/>
      <c r="EM540" s="1488"/>
      <c r="EN540" s="1082"/>
      <c r="EO540" s="1085"/>
      <c r="EP540" s="1082"/>
      <c r="EQ540" s="1082"/>
      <c r="ER540" s="1082"/>
      <c r="ES540" s="1082"/>
      <c r="ET540" s="1082"/>
      <c r="EU540" s="1082"/>
      <c r="EV540" s="1082"/>
      <c r="IX540" s="1049"/>
      <c r="IY540" s="1049"/>
      <c r="IZ540" s="1049"/>
      <c r="JA540" s="1049"/>
      <c r="JB540" s="1049"/>
      <c r="JC540" s="1049"/>
      <c r="JD540" s="1112"/>
      <c r="JE540" s="1037"/>
      <c r="JF540" s="1037"/>
      <c r="JG540" s="1037"/>
      <c r="JH540" s="1037"/>
      <c r="JI540" s="1035"/>
      <c r="JJ540" s="1035"/>
      <c r="JK540" s="1035"/>
      <c r="JL540" s="1035"/>
      <c r="JM540" s="1035"/>
      <c r="JN540" s="1035"/>
      <c r="JO540" s="1035"/>
      <c r="JP540" s="1035"/>
      <c r="JQ540" s="1035"/>
      <c r="JR540" s="1035"/>
      <c r="JS540" s="1035"/>
      <c r="JT540" s="1035"/>
      <c r="JU540" s="1035"/>
      <c r="JV540" s="1035"/>
      <c r="JW540" s="1035"/>
      <c r="JX540" s="1035"/>
      <c r="JY540" s="1035"/>
      <c r="KP540" s="969"/>
    </row>
    <row r="541" spans="1:334">
      <c r="A541" s="1490" t="s">
        <v>621</v>
      </c>
      <c r="B541" s="1302">
        <v>0.0486708416833667</v>
      </c>
      <c r="C541" s="1302">
        <v>0.0593899866488652</v>
      </c>
      <c r="D541" s="1302">
        <f>D537/D$543</f>
        <v>0</v>
      </c>
      <c r="E541" s="1302">
        <v>0.0570188299817185</v>
      </c>
      <c r="F541" s="1302">
        <f>F537/F$543</f>
        <v>0</v>
      </c>
      <c r="G541" s="1302">
        <v>0.0729320182094082</v>
      </c>
      <c r="H541" s="1302">
        <f>H537/H$543</f>
        <v>0</v>
      </c>
      <c r="I541" s="1302">
        <f>I537/I$543</f>
        <v>0</v>
      </c>
      <c r="J541" s="1302">
        <v>0.0968927497494153</v>
      </c>
      <c r="K541" s="1302">
        <v>0.0947187141216992</v>
      </c>
      <c r="L541" s="1302">
        <f>L537/L$543</f>
        <v>0</v>
      </c>
      <c r="M541" s="1302">
        <v>0.0998641304347826</v>
      </c>
      <c r="N541" s="1302">
        <f>N537/N$543</f>
        <v>0</v>
      </c>
      <c r="O541" s="1302">
        <v>0.190045248868778</v>
      </c>
      <c r="P541" s="1302">
        <f>P537/P$543</f>
        <v>0</v>
      </c>
      <c r="Q541" s="1302">
        <f>Q537/Q$543</f>
        <v>0</v>
      </c>
      <c r="R541" s="1302">
        <v>0.124343257443082</v>
      </c>
      <c r="S541" s="1302">
        <v>0.149264190609671</v>
      </c>
      <c r="T541" s="1302">
        <f>T537/T$543</f>
        <v>0</v>
      </c>
      <c r="U541" s="1302">
        <v>0.11240671641791</v>
      </c>
      <c r="V541" s="1302">
        <f>V537/V$543</f>
        <v>0</v>
      </c>
      <c r="W541" s="1302">
        <v>0.144978783592645</v>
      </c>
      <c r="X541" s="1302">
        <f>X537/X$543</f>
        <v>0</v>
      </c>
      <c r="Y541" s="1302">
        <f>Y537/Y$543</f>
        <v>0</v>
      </c>
      <c r="Z541" s="1302">
        <v>0.0974951328917715</v>
      </c>
      <c r="AA541" s="1302">
        <v>0.099536196250454</v>
      </c>
      <c r="AB541" s="1302">
        <f>AB537/AB$543</f>
        <v>0</v>
      </c>
      <c r="AC541" s="1302">
        <v>0.0791075050709939</v>
      </c>
      <c r="AD541" s="1302">
        <f>AD537/AD$543</f>
        <v>0</v>
      </c>
      <c r="AE541" s="1302">
        <v>0.129457371842145</v>
      </c>
      <c r="AF541" s="1302">
        <f>AF537/AF$543</f>
        <v>0</v>
      </c>
      <c r="AG541" s="1302">
        <f>AG537/AG$543</f>
        <v>0</v>
      </c>
      <c r="AH541" s="1302">
        <v>0.118009943632982</v>
      </c>
      <c r="AI541" s="1302">
        <v>0.136470559867542</v>
      </c>
      <c r="AJ541" s="1302">
        <f>AJ537/AJ$543</f>
        <v>0</v>
      </c>
      <c r="AK541" s="1302">
        <v>0.133968253968254</v>
      </c>
      <c r="AL541" s="1302">
        <f>AL537/AL$543</f>
        <v>0</v>
      </c>
      <c r="AM541" s="1302">
        <v>0.219246861924686</v>
      </c>
      <c r="AN541" s="1302">
        <f>AN537/AN$543</f>
        <v>0</v>
      </c>
      <c r="AO541" s="1302">
        <f>AO537/AO$543</f>
        <v>0</v>
      </c>
      <c r="AP541" s="1302">
        <v>0.148978246539222</v>
      </c>
      <c r="AQ541" s="1302">
        <v>0.173878205128205</v>
      </c>
      <c r="AR541" s="1302">
        <f>AR537/AR$543</f>
        <v>0</v>
      </c>
      <c r="AS541" s="1302">
        <v>0.169350029815146</v>
      </c>
      <c r="AT541" s="1302">
        <f>AT537/AT$543</f>
        <v>0</v>
      </c>
      <c r="AU541" s="1302">
        <v>0.24551328068916</v>
      </c>
      <c r="AV541" s="1302">
        <f>AV537/AV$543</f>
        <v>0</v>
      </c>
      <c r="AW541" s="1302">
        <f>AW537/AW$543</f>
        <v>0</v>
      </c>
      <c r="AX541" s="1303">
        <v>0.167522464698331</v>
      </c>
      <c r="AY541" s="1302">
        <v>0.195175438596491</v>
      </c>
      <c r="AZ541" s="1302">
        <f>AZ537/AZ$543</f>
        <v>0</v>
      </c>
      <c r="BA541" s="1302">
        <v>0.179329608938547</v>
      </c>
      <c r="BB541" s="1302">
        <f>BB537/BB$543</f>
        <v>0</v>
      </c>
      <c r="BC541" s="1302">
        <v>0.27015406664278</v>
      </c>
      <c r="BD541" s="1302">
        <f>BD537/BD$543</f>
        <v>0</v>
      </c>
      <c r="BE541" s="1304">
        <f>BE537/BE$543</f>
        <v>0</v>
      </c>
      <c r="BF541" s="1302">
        <v>0.19047619047619</v>
      </c>
      <c r="BG541" s="1302">
        <v>0.217059409226684</v>
      </c>
      <c r="BH541" s="1302">
        <f>BH537/BH$543</f>
        <v>0</v>
      </c>
      <c r="BI541" s="1302">
        <v>0.187031082529475</v>
      </c>
      <c r="BJ541" s="1302">
        <f>BJ537/BJ$543</f>
        <v>0</v>
      </c>
      <c r="BK541" s="1302">
        <v>0.247518199867637</v>
      </c>
      <c r="BL541" s="1302">
        <f>BL537/BL$543</f>
        <v>0</v>
      </c>
      <c r="BM541" s="1302">
        <f>BM537/BM$543</f>
        <v>0</v>
      </c>
      <c r="BN541" s="1303">
        <v>0.198322348711803</v>
      </c>
      <c r="BO541" s="1302">
        <v>0.203304597701149</v>
      </c>
      <c r="BP541" s="1302">
        <f>BP537/BP$543</f>
        <v>0</v>
      </c>
      <c r="BQ541" s="1302">
        <v>0.201834862385321</v>
      </c>
      <c r="BR541" s="1302">
        <f>BR537/BR$543</f>
        <v>0</v>
      </c>
      <c r="BS541" s="1302">
        <v>0.260709010339734</v>
      </c>
      <c r="BT541" s="1302">
        <f>BT537/BT$543</f>
        <v>0</v>
      </c>
      <c r="BU541" s="1304">
        <f>BU537/BU$543</f>
        <v>0</v>
      </c>
      <c r="BV541" s="1303">
        <v>0.228571428571429</v>
      </c>
      <c r="BW541" s="1302">
        <v>0.249107780157031</v>
      </c>
      <c r="BX541" s="1302">
        <f>BX537/BX$543</f>
        <v>0</v>
      </c>
      <c r="BY541" s="1302">
        <v>0.24004550625711</v>
      </c>
      <c r="BZ541" s="1302">
        <f>BZ537/BZ$543</f>
        <v>0</v>
      </c>
      <c r="CA541" s="1302">
        <v>0.339464882943144</v>
      </c>
      <c r="CB541" s="1302">
        <f>CB537/CB$543</f>
        <v>0</v>
      </c>
      <c r="CC541" s="1304">
        <f>CC537/CC$543</f>
        <v>0</v>
      </c>
      <c r="CD541" s="1303">
        <f t="shared" ref="CD541:CK541" si="4182">CD537/CD$570</f>
        <v>0.0406455469216975</v>
      </c>
      <c r="CE541" s="1302">
        <f t="shared" si="4182"/>
        <v>0.0428759894459103</v>
      </c>
      <c r="CF541" s="1302">
        <f t="shared" si="4182"/>
        <v>0.0417058639071809</v>
      </c>
      <c r="CG541" s="1302">
        <f t="shared" si="4182"/>
        <v>0.0483367983367983</v>
      </c>
      <c r="CH541" s="1302">
        <f t="shared" si="4182"/>
        <v>0.0442010561314297</v>
      </c>
      <c r="CI541" s="1302">
        <f t="shared" si="4182"/>
        <v>0.0578566732412886</v>
      </c>
      <c r="CJ541" s="1302">
        <f t="shared" si="4182"/>
        <v>0.0525399129172714</v>
      </c>
      <c r="CK541" s="1304">
        <f t="shared" si="4182"/>
        <v>0.0473319264395538</v>
      </c>
      <c r="CL541" s="1303">
        <f t="shared" ref="CL541:DF541" si="4183">CL537/(CL$570-CL542)</f>
        <v>0.0519376860542203</v>
      </c>
      <c r="CM541" s="1302">
        <f t="shared" si="4183"/>
        <v>0.0484210526315789</v>
      </c>
      <c r="CN541" s="1302">
        <f t="shared" si="4183"/>
        <v>0.0501980418013942</v>
      </c>
      <c r="CO541" s="1302">
        <f t="shared" si="4183"/>
        <v>0.0458937198067633</v>
      </c>
      <c r="CP541" s="1302">
        <f t="shared" si="4183"/>
        <v>0.0487012987012987</v>
      </c>
      <c r="CQ541" s="1302">
        <f t="shared" si="4183"/>
        <v>0.0567772170151406</v>
      </c>
      <c r="CR541" s="1302">
        <f t="shared" si="4183"/>
        <v>0.0506136168216994</v>
      </c>
      <c r="CS541" s="1304">
        <f t="shared" si="4183"/>
        <v>0.0503166216270722</v>
      </c>
      <c r="CT541" s="1303">
        <f t="shared" si="4183"/>
        <v>0.063048683160415</v>
      </c>
      <c r="CU541" s="1302">
        <f t="shared" si="4183"/>
        <v>0.063758389261745</v>
      </c>
      <c r="CV541" s="1302">
        <f t="shared" si="4183"/>
        <v>0.0633830174405529</v>
      </c>
      <c r="CW541" s="1302">
        <f t="shared" si="4183"/>
        <v>0.0597527472527473</v>
      </c>
      <c r="CX541" s="1302">
        <f t="shared" si="4183"/>
        <v>0.0620274253492247</v>
      </c>
      <c r="CY541" s="1302">
        <f t="shared" si="4183"/>
        <v>0.07190357439734</v>
      </c>
      <c r="CZ541" s="1302">
        <f t="shared" si="4183"/>
        <v>0.0652500940203084</v>
      </c>
      <c r="DA541" s="1304">
        <f t="shared" si="4183"/>
        <v>0.0643549808992066</v>
      </c>
      <c r="DB541" s="1109">
        <f t="shared" si="4183"/>
        <v>0.0681293302540416</v>
      </c>
      <c r="DC541" s="1082">
        <f t="shared" si="4183"/>
        <v>0.0813397129186603</v>
      </c>
      <c r="DD541" s="1082">
        <f t="shared" si="4183"/>
        <v>0.0746034854121794</v>
      </c>
      <c r="DE541" s="1082">
        <f t="shared" si="4183"/>
        <v>0.0868997059784384</v>
      </c>
      <c r="DF541" s="1082">
        <f t="shared" si="4183"/>
        <v>0.0793572917944315</v>
      </c>
      <c r="DG541" s="1082">
        <f>DG537/DG$543</f>
        <v>0.0948708060161974</v>
      </c>
      <c r="DH541" s="1082">
        <f t="shared" ref="DH541:DN541" si="4184">DH537/(DH$570-DH542)</f>
        <v>0.090892952245695</v>
      </c>
      <c r="DI541" s="1085">
        <f t="shared" si="4184"/>
        <v>0.083147113594041</v>
      </c>
      <c r="DJ541" s="1082">
        <f t="shared" si="4184"/>
        <v>0.0851895271590465</v>
      </c>
      <c r="DK541" s="1082">
        <f t="shared" si="4184"/>
        <v>0.0920245398773006</v>
      </c>
      <c r="DL541" s="1082">
        <f t="shared" si="4184"/>
        <v>0.0885291766586731</v>
      </c>
      <c r="DM541" s="1082">
        <f t="shared" si="4184"/>
        <v>0.0941750959190792</v>
      </c>
      <c r="DN541" s="1082">
        <f t="shared" si="4184"/>
        <v>0.0905856943209249</v>
      </c>
      <c r="DO541" s="1082" t="e">
        <f>DO537/DO$543</f>
        <v>#REF!</v>
      </c>
      <c r="DP541" s="1082" t="e">
        <f>DP537/(DP$570-DP542)</f>
        <v>#REF!</v>
      </c>
      <c r="DQ541" s="1085" t="e">
        <f>DQ537/(DQ$570-DQ542)</f>
        <v>#REF!</v>
      </c>
      <c r="DR541" s="1082"/>
      <c r="DS541" s="1082"/>
      <c r="DT541" s="1082"/>
      <c r="DU541" s="1082"/>
      <c r="DV541" s="1082"/>
      <c r="DW541" s="1082"/>
      <c r="DX541" s="1082"/>
      <c r="DY541" s="1085"/>
      <c r="DZ541" s="1082"/>
      <c r="EA541" s="1082"/>
      <c r="EB541" s="1082"/>
      <c r="EC541" s="1082"/>
      <c r="ED541" s="1082"/>
      <c r="EE541" s="1082"/>
      <c r="EF541" s="1082"/>
      <c r="EG541" s="1085"/>
      <c r="EH541" s="1082"/>
      <c r="EI541" s="1082"/>
      <c r="EJ541" s="1082"/>
      <c r="EK541" s="1082"/>
      <c r="EL541" s="1082"/>
      <c r="EM541" s="1082"/>
      <c r="EN541" s="1082"/>
      <c r="EO541" s="1085"/>
      <c r="EP541" s="1082"/>
      <c r="EQ541" s="1082"/>
      <c r="ER541" s="1082"/>
      <c r="ES541" s="1082"/>
      <c r="ET541" s="1082"/>
      <c r="EU541" s="1082"/>
      <c r="EV541" s="1082"/>
      <c r="IX541" s="1049"/>
      <c r="IY541" s="1049"/>
      <c r="IZ541" s="1049"/>
      <c r="JA541" s="1049"/>
      <c r="JB541" s="1049"/>
      <c r="JC541" s="1049"/>
      <c r="JD541" s="1112"/>
      <c r="JE541" s="1037"/>
      <c r="JF541" s="1037"/>
      <c r="JG541" s="1037"/>
      <c r="JH541" s="1037"/>
      <c r="JI541" s="1035"/>
      <c r="JJ541" s="1035"/>
      <c r="JK541" s="1035"/>
      <c r="JL541" s="1035"/>
      <c r="JM541" s="1035"/>
      <c r="JN541" s="1035"/>
      <c r="JO541" s="1035"/>
      <c r="JP541" s="1035"/>
      <c r="JQ541" s="1035"/>
      <c r="JR541" s="1035"/>
      <c r="JS541" s="1035"/>
      <c r="JT541" s="1035"/>
      <c r="JU541" s="1035"/>
      <c r="JV541" s="1035"/>
      <c r="JW541" s="1035"/>
      <c r="JX541" s="1035"/>
      <c r="JY541" s="1035"/>
      <c r="KP541" s="1117"/>
    </row>
    <row r="542" collapsed="1" spans="1:334">
      <c r="A542" s="1306" t="s">
        <v>628</v>
      </c>
      <c r="B542" s="1302"/>
      <c r="C542" s="1302"/>
      <c r="D542" s="1302"/>
      <c r="E542" s="1302"/>
      <c r="F542" s="1302"/>
      <c r="G542" s="1302"/>
      <c r="H542" s="1302"/>
      <c r="I542" s="1302"/>
      <c r="J542" s="1302"/>
      <c r="K542" s="1302"/>
      <c r="L542" s="1302"/>
      <c r="M542" s="1302"/>
      <c r="N542" s="1302"/>
      <c r="O542" s="1302"/>
      <c r="P542" s="1302"/>
      <c r="Q542" s="1302"/>
      <c r="R542" s="1302"/>
      <c r="S542" s="1302"/>
      <c r="T542" s="1302"/>
      <c r="U542" s="1302"/>
      <c r="V542" s="1302"/>
      <c r="W542" s="1302"/>
      <c r="X542" s="1302"/>
      <c r="Y542" s="1302"/>
      <c r="Z542" s="1302"/>
      <c r="AA542" s="1302"/>
      <c r="AB542" s="1302"/>
      <c r="AC542" s="1302"/>
      <c r="AD542" s="1302"/>
      <c r="AE542" s="1302"/>
      <c r="AF542" s="1302"/>
      <c r="AG542" s="1302"/>
      <c r="AH542" s="1302"/>
      <c r="AI542" s="1302"/>
      <c r="AJ542" s="1302"/>
      <c r="AK542" s="1302"/>
      <c r="AL542" s="1302"/>
      <c r="AM542" s="1302"/>
      <c r="AN542" s="1302"/>
      <c r="AO542" s="1302"/>
      <c r="AP542" s="1302"/>
      <c r="AQ542" s="1302"/>
      <c r="AR542" s="1302"/>
      <c r="AS542" s="1302"/>
      <c r="AT542" s="1302"/>
      <c r="AU542" s="1302"/>
      <c r="AV542" s="1302"/>
      <c r="AW542" s="1302"/>
      <c r="AX542" s="1303"/>
      <c r="AY542" s="1302"/>
      <c r="AZ542" s="1302"/>
      <c r="BA542" s="1302"/>
      <c r="BB542" s="1302"/>
      <c r="BC542" s="1302"/>
      <c r="BD542" s="1302"/>
      <c r="BE542" s="1304"/>
      <c r="BF542" s="1302"/>
      <c r="BG542" s="1302"/>
      <c r="BH542" s="1302"/>
      <c r="BI542" s="1302"/>
      <c r="BJ542" s="1302"/>
      <c r="BK542" s="1302"/>
      <c r="BL542" s="1302"/>
      <c r="BM542" s="1302"/>
      <c r="BN542" s="1303"/>
      <c r="BO542" s="1302"/>
      <c r="BP542" s="1302"/>
      <c r="BQ542" s="1302"/>
      <c r="BR542" s="1302"/>
      <c r="BS542" s="1302"/>
      <c r="BT542" s="1302"/>
      <c r="BU542" s="1304"/>
      <c r="BV542" s="1303"/>
      <c r="BW542" s="1302"/>
      <c r="BX542" s="1302"/>
      <c r="BY542" s="1302"/>
      <c r="BZ542" s="1302"/>
      <c r="CA542" s="1302"/>
      <c r="CB542" s="1302"/>
      <c r="CC542" s="1304"/>
      <c r="CD542" s="1303"/>
      <c r="CE542" s="1302"/>
      <c r="CF542" s="1302"/>
      <c r="CG542" s="1302"/>
      <c r="CH542" s="1302"/>
      <c r="CI542" s="1302"/>
      <c r="CJ542" s="1302"/>
      <c r="CK542" s="1304"/>
      <c r="CL542" s="1492">
        <f>CL543-CL537-CL532-CL521-CL516</f>
        <v>33</v>
      </c>
      <c r="CM542" s="1493">
        <f t="shared" ref="CM542:DA542" si="4185">CM543-CM537-CM532-CM521-CM516</f>
        <v>53</v>
      </c>
      <c r="CN542" s="1493">
        <f t="shared" si="4185"/>
        <v>86</v>
      </c>
      <c r="CO542" s="1493">
        <f t="shared" si="4185"/>
        <v>51.0159107500003</v>
      </c>
      <c r="CP542" s="1493">
        <f t="shared" si="4185"/>
        <v>136</v>
      </c>
      <c r="CQ542" s="1493">
        <f t="shared" si="4185"/>
        <v>28.8</v>
      </c>
      <c r="CR542" s="1493">
        <f t="shared" si="4185"/>
        <v>79.8159107500005</v>
      </c>
      <c r="CS542" s="1494">
        <f t="shared" si="4185"/>
        <v>166.8</v>
      </c>
      <c r="CT542" s="1492">
        <f t="shared" si="4185"/>
        <v>32</v>
      </c>
      <c r="CU542" s="1493">
        <f t="shared" si="4185"/>
        <v>16</v>
      </c>
      <c r="CV542" s="1493">
        <f t="shared" si="4185"/>
        <v>47</v>
      </c>
      <c r="CW542" s="1493">
        <f t="shared" si="4185"/>
        <v>28.5999999999999</v>
      </c>
      <c r="CX542" s="1493">
        <f t="shared" si="4185"/>
        <v>76</v>
      </c>
      <c r="CY542" s="1493">
        <f t="shared" si="4185"/>
        <v>13</v>
      </c>
      <c r="CZ542" s="1493">
        <f t="shared" si="4185"/>
        <v>41.6000000000004</v>
      </c>
      <c r="DA542" s="1494">
        <f t="shared" si="4185"/>
        <v>89</v>
      </c>
      <c r="DB542" s="1495">
        <f>DB543-DB526-DB521-DB516</f>
        <v>23</v>
      </c>
      <c r="DC542" s="1496">
        <f>DC543-DC526-DC521-DC516</f>
        <v>13</v>
      </c>
      <c r="DD542" s="1496">
        <f>DD543-DD526-DD521-DD516</f>
        <v>35</v>
      </c>
      <c r="DE542" s="1496">
        <f>DE543-DE526-DE521-DE516</f>
        <v>18</v>
      </c>
      <c r="DF542" s="1496">
        <f>DE542+DD542</f>
        <v>53</v>
      </c>
      <c r="DG542" s="1496">
        <f>DI542-DF542</f>
        <v>6</v>
      </c>
      <c r="DH542" s="1496">
        <f>DI542-DD542</f>
        <v>24</v>
      </c>
      <c r="DI542" s="1497">
        <v>59</v>
      </c>
      <c r="DJ542" s="1496">
        <f>DJ543-DJ537-DJ532-DJ521-DJ516</f>
        <v>18</v>
      </c>
      <c r="DK542" s="1496">
        <v>12</v>
      </c>
      <c r="DL542" s="1496">
        <f>DK542+DJ542</f>
        <v>30</v>
      </c>
      <c r="DM542" s="1496">
        <v>21</v>
      </c>
      <c r="DN542" s="1496">
        <f>DM542+DL542</f>
        <v>51</v>
      </c>
      <c r="DO542" s="1498">
        <f>DG542</f>
        <v>6</v>
      </c>
      <c r="DP542" s="1496">
        <f>DO542+DM542</f>
        <v>27</v>
      </c>
      <c r="DQ542" s="1497">
        <f>DP542+DL542</f>
        <v>57</v>
      </c>
      <c r="DR542" s="1498"/>
      <c r="DS542" s="1498"/>
      <c r="DT542" s="1496"/>
      <c r="DU542" s="1498"/>
      <c r="DV542" s="1496"/>
      <c r="DW542" s="1498"/>
      <c r="DX542" s="1496"/>
      <c r="DY542" s="1497"/>
      <c r="DZ542" s="1498"/>
      <c r="EA542" s="1498"/>
      <c r="EB542" s="1496"/>
      <c r="EC542" s="1498"/>
      <c r="ED542" s="1496"/>
      <c r="EE542" s="1498"/>
      <c r="EF542" s="1496"/>
      <c r="EG542" s="1497"/>
      <c r="EH542" s="1498"/>
      <c r="EI542" s="1498"/>
      <c r="EJ542" s="1496"/>
      <c r="EK542" s="1498"/>
      <c r="EL542" s="1496"/>
      <c r="EM542" s="1498"/>
      <c r="EN542" s="1496"/>
      <c r="EO542" s="1497"/>
      <c r="EP542" s="1496"/>
      <c r="EQ542" s="1496"/>
      <c r="ER542" s="1496"/>
      <c r="ES542" s="1496"/>
      <c r="ET542" s="1496"/>
      <c r="EU542" s="1496"/>
      <c r="EV542" s="1496"/>
      <c r="IX542" s="1049"/>
      <c r="IY542" s="1049"/>
      <c r="IZ542" s="1049"/>
      <c r="JA542" s="1049"/>
      <c r="JB542" s="1049"/>
      <c r="JC542" s="1049"/>
      <c r="JD542" s="1469"/>
      <c r="JE542" s="1037"/>
      <c r="JF542" s="1037"/>
      <c r="JG542" s="1037"/>
      <c r="JH542" s="1037"/>
      <c r="JI542" s="1035"/>
      <c r="JJ542" s="1035"/>
      <c r="JK542" s="1035"/>
      <c r="JL542" s="1035"/>
      <c r="JM542" s="1035"/>
      <c r="JN542" s="1035"/>
      <c r="JO542" s="1035"/>
      <c r="JP542" s="1035"/>
      <c r="JQ542" s="1035"/>
      <c r="JR542" s="1035"/>
      <c r="JS542" s="1035"/>
      <c r="JT542" s="1035"/>
      <c r="JU542" s="1035"/>
      <c r="JV542" s="1035"/>
      <c r="JW542" s="1035"/>
      <c r="JX542" s="1035"/>
      <c r="JY542" s="1035"/>
      <c r="KP542" s="969"/>
    </row>
    <row r="543" spans="1:334">
      <c r="A543" s="1191" t="s">
        <v>71</v>
      </c>
      <c r="B543" s="1499">
        <v>998</v>
      </c>
      <c r="C543" s="1499">
        <v>749</v>
      </c>
      <c r="D543" s="1499">
        <f>B543+C543</f>
        <v>1747</v>
      </c>
      <c r="E543" s="1499">
        <v>1094</v>
      </c>
      <c r="F543" s="1499">
        <f>D543+E543</f>
        <v>2841</v>
      </c>
      <c r="G543" s="1499">
        <v>659</v>
      </c>
      <c r="H543" s="1499">
        <f>H526+H521+H516</f>
        <v>896.3089</v>
      </c>
      <c r="I543" s="1499">
        <f>F543+G543</f>
        <v>3500</v>
      </c>
      <c r="J543" s="1499">
        <v>612.12836</v>
      </c>
      <c r="K543" s="1499">
        <v>534.41076</v>
      </c>
      <c r="L543" s="1499">
        <f>J543+K543</f>
        <v>1146.53912</v>
      </c>
      <c r="M543" s="1499">
        <v>752.6336</v>
      </c>
      <c r="N543" s="1499">
        <f>L543+M543</f>
        <v>1899.17272</v>
      </c>
      <c r="O543" s="1499">
        <v>508.48785</v>
      </c>
      <c r="P543" s="1499">
        <f>P526+P521+P516</f>
        <v>1261.3771</v>
      </c>
      <c r="Q543" s="1499">
        <f>N543+O543</f>
        <v>2407.66057</v>
      </c>
      <c r="R543" s="1499">
        <v>875.8569</v>
      </c>
      <c r="S543" s="1499">
        <v>729.6251</v>
      </c>
      <c r="T543" s="1499">
        <f>R543+S543</f>
        <v>1605.482</v>
      </c>
      <c r="U543" s="1499">
        <v>1096.2272</v>
      </c>
      <c r="V543" s="1499">
        <f>T543+U543</f>
        <v>2701.7092</v>
      </c>
      <c r="W543" s="1499">
        <v>722.9782</v>
      </c>
      <c r="X543" s="1499">
        <f>X526+X521+X516</f>
        <v>1819.2054</v>
      </c>
      <c r="Y543" s="1499">
        <f>V543+W543</f>
        <v>3424.6874</v>
      </c>
      <c r="Z543" s="1499">
        <v>1384.6004</v>
      </c>
      <c r="AA543" s="1499">
        <v>1145.312</v>
      </c>
      <c r="AB543" s="1499">
        <f>Z543+AA543</f>
        <v>2529.9124</v>
      </c>
      <c r="AC543" s="1499">
        <v>1512.4254</v>
      </c>
      <c r="AD543" s="1499">
        <f>AB543+AC543</f>
        <v>4042.3378</v>
      </c>
      <c r="AE543" s="1499">
        <v>1023.1113</v>
      </c>
      <c r="AF543" s="1499">
        <f>AF526+AF521+AF516</f>
        <v>2535.5593</v>
      </c>
      <c r="AG543" s="1499">
        <f>AD543+AE543</f>
        <v>5065.4491</v>
      </c>
      <c r="AH543" s="1499">
        <v>1389.7134</v>
      </c>
      <c r="AI543" s="1499">
        <v>1194.3968</v>
      </c>
      <c r="AJ543" s="1499">
        <f>AH543+AI543</f>
        <v>2584.1102</v>
      </c>
      <c r="AK543" s="1499">
        <v>1575</v>
      </c>
      <c r="AL543" s="1499">
        <f>AJ543+AK543</f>
        <v>4159.1102</v>
      </c>
      <c r="AM543" s="1499">
        <v>1195</v>
      </c>
      <c r="AN543" s="1499">
        <f>AN526+AN521+AN516</f>
        <v>2772</v>
      </c>
      <c r="AO543" s="1499">
        <f>AL543+AM543</f>
        <v>5354.1102</v>
      </c>
      <c r="AP543" s="1499">
        <v>1517</v>
      </c>
      <c r="AQ543" s="1499">
        <v>1248</v>
      </c>
      <c r="AR543" s="1499">
        <f>AP543+AQ543</f>
        <v>2765</v>
      </c>
      <c r="AS543" s="1499">
        <v>1677</v>
      </c>
      <c r="AT543" s="1499">
        <f>AR543+AS543</f>
        <v>4442</v>
      </c>
      <c r="AU543" s="1499">
        <v>1393</v>
      </c>
      <c r="AV543" s="1499">
        <f>AV526+AV521+AV516</f>
        <v>3070</v>
      </c>
      <c r="AW543" s="1499">
        <f>AT543+AU543</f>
        <v>5835</v>
      </c>
      <c r="AX543" s="1500">
        <v>1558</v>
      </c>
      <c r="AY543" s="1499">
        <v>1368</v>
      </c>
      <c r="AZ543" s="1499">
        <f>AX543+AY543</f>
        <v>2926</v>
      </c>
      <c r="BA543" s="1499">
        <v>1790</v>
      </c>
      <c r="BB543" s="1499">
        <f>AY543+BA543</f>
        <v>3158</v>
      </c>
      <c r="BC543" s="1499">
        <v>1395.5</v>
      </c>
      <c r="BD543" s="1499">
        <f>BD526+BD521+BD516</f>
        <v>3185</v>
      </c>
      <c r="BE543" s="1501">
        <f>BB543+BC543</f>
        <v>4553.5</v>
      </c>
      <c r="BF543" s="1499">
        <v>1638</v>
      </c>
      <c r="BG543" s="1499">
        <v>1506.5</v>
      </c>
      <c r="BH543" s="1499">
        <f>BF543+BG543</f>
        <v>3144.5</v>
      </c>
      <c r="BI543" s="1499">
        <v>1866</v>
      </c>
      <c r="BJ543" s="1499">
        <f>BH543+BI543</f>
        <v>5010.5</v>
      </c>
      <c r="BK543" s="1499">
        <v>1511</v>
      </c>
      <c r="BL543" s="1499">
        <f>BL526+BL521+BL516</f>
        <v>3377</v>
      </c>
      <c r="BM543" s="1499">
        <f>BJ543+BK543</f>
        <v>6521.5</v>
      </c>
      <c r="BN543" s="1500">
        <v>1669</v>
      </c>
      <c r="BO543" s="1499">
        <v>1392</v>
      </c>
      <c r="BP543" s="1499">
        <f>BN543+BO543</f>
        <v>3061</v>
      </c>
      <c r="BQ543" s="1499">
        <v>1853</v>
      </c>
      <c r="BR543" s="1499">
        <f>BP543+BQ543</f>
        <v>4914</v>
      </c>
      <c r="BS543" s="1499">
        <v>1354</v>
      </c>
      <c r="BT543" s="1499">
        <f>BT526+BT521+BT516</f>
        <v>3207</v>
      </c>
      <c r="BU543" s="1501">
        <f>BR543+BS543</f>
        <v>6268</v>
      </c>
      <c r="BV543" s="1500">
        <v>1505</v>
      </c>
      <c r="BW543" s="1499">
        <v>1401</v>
      </c>
      <c r="BX543" s="1499">
        <f>BV543+BW543</f>
        <v>2906</v>
      </c>
      <c r="BY543" s="1499">
        <v>1758</v>
      </c>
      <c r="BZ543" s="1499">
        <f>BX543+BY543</f>
        <v>4664</v>
      </c>
      <c r="CA543" s="1499">
        <v>1196</v>
      </c>
      <c r="CB543" s="1499">
        <f>CB526+CB521+CB516</f>
        <v>3387</v>
      </c>
      <c r="CC543" s="1501">
        <f>BZ543+CA543</f>
        <v>5860</v>
      </c>
      <c r="CD543" s="1500">
        <v>1673</v>
      </c>
      <c r="CE543" s="1499">
        <v>1516</v>
      </c>
      <c r="CF543" s="1499">
        <f>CD543+CE543</f>
        <v>3189</v>
      </c>
      <c r="CG543" s="1499">
        <v>1924</v>
      </c>
      <c r="CH543" s="1499">
        <f>CF543+CG543</f>
        <v>5113</v>
      </c>
      <c r="CI543" s="1499">
        <v>1521</v>
      </c>
      <c r="CJ543" s="1499">
        <f>CJ526+CJ521+CJ516</f>
        <v>3445</v>
      </c>
      <c r="CK543" s="1501">
        <f>CH543+CI543</f>
        <v>6634</v>
      </c>
      <c r="CL543" s="1500">
        <v>2459</v>
      </c>
      <c r="CM543" s="1499">
        <f>CM570</f>
        <v>2428</v>
      </c>
      <c r="CN543" s="1499">
        <f>CL543+CM543</f>
        <v>4887</v>
      </c>
      <c r="CO543" s="1499">
        <f>CO570</f>
        <v>2949.01591075</v>
      </c>
      <c r="CP543" s="1499">
        <f>CP570</f>
        <v>7836</v>
      </c>
      <c r="CQ543" s="1499">
        <f>CQ570</f>
        <v>2248</v>
      </c>
      <c r="CR543" s="1499">
        <f>CQ543+CO543</f>
        <v>5197.01591075</v>
      </c>
      <c r="CS543" s="1501">
        <f>+CS570</f>
        <v>10084</v>
      </c>
      <c r="CT543" s="1500">
        <v>2538</v>
      </c>
      <c r="CU543" s="1499">
        <f>CV543-CT543</f>
        <v>2400</v>
      </c>
      <c r="CV543" s="1499">
        <v>4938</v>
      </c>
      <c r="CW543" s="1499">
        <f>CW570</f>
        <v>2940.6</v>
      </c>
      <c r="CX543" s="1499">
        <f>CX570</f>
        <v>7879</v>
      </c>
      <c r="CY543" s="1499">
        <f>DA543-CX543</f>
        <v>2419</v>
      </c>
      <c r="CZ543" s="1499">
        <f>CY543+CW543</f>
        <v>5359.6</v>
      </c>
      <c r="DA543" s="1501">
        <f>DA570</f>
        <v>10298</v>
      </c>
      <c r="DB543" s="1502">
        <v>2621</v>
      </c>
      <c r="DC543" s="1372">
        <v>2521</v>
      </c>
      <c r="DD543" s="1372">
        <v>5142</v>
      </c>
      <c r="DE543" s="1372">
        <f>DE570</f>
        <v>3079</v>
      </c>
      <c r="DF543" s="1372">
        <f>DF570</f>
        <v>8206</v>
      </c>
      <c r="DG543" s="1372">
        <f>DI543-DF543</f>
        <v>2593</v>
      </c>
      <c r="DH543" s="1372">
        <f>DI543-DD543</f>
        <v>5657</v>
      </c>
      <c r="DI543" s="1503">
        <v>10799</v>
      </c>
      <c r="DJ543" s="1372">
        <f>DJ570</f>
        <v>2577</v>
      </c>
      <c r="DK543" s="1372">
        <f t="shared" ref="DK543:DP543" si="4186">SUM(DK537,DK542,DK532,DK521,DK516)</f>
        <v>2457</v>
      </c>
      <c r="DL543" s="1372">
        <f t="shared" si="4186"/>
        <v>5034</v>
      </c>
      <c r="DM543" s="1372">
        <f t="shared" si="4186"/>
        <v>2888</v>
      </c>
      <c r="DN543" s="1372">
        <f t="shared" si="4186"/>
        <v>7922</v>
      </c>
      <c r="DO543" s="1372" t="e">
        <f t="shared" si="4186"/>
        <v>#REF!</v>
      </c>
      <c r="DP543" s="1372" t="e">
        <f t="shared" si="4186"/>
        <v>#REF!</v>
      </c>
      <c r="DQ543" s="1503" t="e">
        <f>DQ516+DQ521+DQ526+DQ542</f>
        <v>#REF!</v>
      </c>
      <c r="DR543" s="1372"/>
      <c r="DS543" s="1372"/>
      <c r="DT543" s="1372"/>
      <c r="DU543" s="1372"/>
      <c r="DV543" s="1372"/>
      <c r="DW543" s="1372"/>
      <c r="DX543" s="1372"/>
      <c r="DY543" s="1503"/>
      <c r="DZ543" s="1372"/>
      <c r="EA543" s="1372"/>
      <c r="EB543" s="1372"/>
      <c r="EC543" s="1372"/>
      <c r="ED543" s="1372"/>
      <c r="EE543" s="1372"/>
      <c r="EF543" s="1372"/>
      <c r="EG543" s="1503"/>
      <c r="EH543" s="1372"/>
      <c r="EI543" s="1372"/>
      <c r="EJ543" s="1372"/>
      <c r="EK543" s="1372"/>
      <c r="EL543" s="1372"/>
      <c r="EM543" s="1372"/>
      <c r="EN543" s="1372"/>
      <c r="EO543" s="1503"/>
      <c r="EP543" s="1372"/>
      <c r="EQ543" s="1372"/>
      <c r="ER543" s="1372"/>
      <c r="ES543" s="1372"/>
      <c r="ET543" s="1372"/>
      <c r="EU543" s="1372"/>
      <c r="EV543" s="1372"/>
      <c r="IX543" s="1049"/>
      <c r="IY543" s="1049"/>
      <c r="IZ543" s="1049"/>
      <c r="JA543" s="1049"/>
      <c r="JB543" s="1049"/>
      <c r="JC543" s="1049"/>
      <c r="JD543" s="1469"/>
      <c r="JE543" s="1037"/>
      <c r="JF543" s="1037"/>
      <c r="JG543" s="1037"/>
      <c r="JH543" s="1037"/>
      <c r="JI543" s="1035"/>
      <c r="JJ543" s="1035"/>
      <c r="JK543" s="1035"/>
      <c r="JL543" s="1035"/>
      <c r="JM543" s="1035"/>
      <c r="JN543" s="1035"/>
      <c r="JO543" s="1035"/>
      <c r="JP543" s="1035"/>
      <c r="JQ543" s="1035"/>
      <c r="JR543" s="1035"/>
      <c r="JS543" s="1035"/>
      <c r="JT543" s="1035"/>
      <c r="JU543" s="1035"/>
      <c r="JV543" s="1035"/>
      <c r="JW543" s="1035"/>
      <c r="JX543" s="1035"/>
      <c r="JY543" s="1035"/>
      <c r="KP543" s="1117"/>
    </row>
    <row r="544" spans="1:334">
      <c r="A544" s="1035" t="s">
        <v>142</v>
      </c>
      <c r="B544" s="1302" t="s">
        <v>173</v>
      </c>
      <c r="C544" s="1302" t="s">
        <v>173</v>
      </c>
      <c r="D544" s="1302" t="s">
        <v>173</v>
      </c>
      <c r="E544" s="1302" t="s">
        <v>173</v>
      </c>
      <c r="F544" s="1302" t="s">
        <v>173</v>
      </c>
      <c r="G544" s="1302" t="s">
        <v>173</v>
      </c>
      <c r="H544" s="1302" t="s">
        <v>173</v>
      </c>
      <c r="I544" s="1302" t="s">
        <v>173</v>
      </c>
      <c r="J544" s="1302">
        <f t="shared" ref="J544:AO544" si="4187">J543/B543-1</f>
        <v>-0.386644929859719</v>
      </c>
      <c r="K544" s="1302">
        <f t="shared" si="4187"/>
        <v>-0.286500987983979</v>
      </c>
      <c r="L544" s="1302">
        <f t="shared" si="4187"/>
        <v>-0.343709719519176</v>
      </c>
      <c r="M544" s="1302">
        <f t="shared" si="4187"/>
        <v>-0.312035100548446</v>
      </c>
      <c r="N544" s="1302">
        <f t="shared" si="4187"/>
        <v>-0.331512594156987</v>
      </c>
      <c r="O544" s="1302">
        <f t="shared" si="4187"/>
        <v>-0.228394764795144</v>
      </c>
      <c r="P544" s="1302">
        <f t="shared" si="4187"/>
        <v>0.407301768397034</v>
      </c>
      <c r="Q544" s="1302">
        <f t="shared" si="4187"/>
        <v>-0.31209698</v>
      </c>
      <c r="R544" s="1302">
        <f t="shared" si="4187"/>
        <v>0.430838623454728</v>
      </c>
      <c r="S544" s="1302">
        <f t="shared" si="4187"/>
        <v>0.365288939915806</v>
      </c>
      <c r="T544" s="1302">
        <f t="shared" si="4187"/>
        <v>0.400285408490903</v>
      </c>
      <c r="U544" s="1302">
        <f t="shared" si="4187"/>
        <v>0.456521739130435</v>
      </c>
      <c r="V544" s="1302">
        <f t="shared" si="4187"/>
        <v>0.422571613181133</v>
      </c>
      <c r="W544" s="1302">
        <f t="shared" si="4187"/>
        <v>0.421820010055304</v>
      </c>
      <c r="X544" s="1302">
        <f t="shared" si="4187"/>
        <v>0.44223753546818</v>
      </c>
      <c r="Y544" s="1302">
        <f t="shared" si="4187"/>
        <v>0.422412877742148</v>
      </c>
      <c r="Z544" s="1302">
        <f t="shared" si="4187"/>
        <v>0.580852305896089</v>
      </c>
      <c r="AA544" s="1302">
        <f t="shared" si="4187"/>
        <v>0.569726699369306</v>
      </c>
      <c r="AB544" s="1302">
        <f t="shared" si="4187"/>
        <v>0.575796178343949</v>
      </c>
      <c r="AC544" s="1302">
        <f t="shared" si="4187"/>
        <v>0.379664179104477</v>
      </c>
      <c r="AD544" s="1302">
        <f t="shared" si="4187"/>
        <v>0.496214988644966</v>
      </c>
      <c r="AE544" s="1302">
        <f t="shared" si="4187"/>
        <v>0.415134370579915</v>
      </c>
      <c r="AF544" s="1302">
        <f t="shared" si="4187"/>
        <v>0.393772962635225</v>
      </c>
      <c r="AG544" s="1302">
        <f t="shared" si="4187"/>
        <v>0.479098238280083</v>
      </c>
      <c r="AH544" s="1302">
        <f t="shared" si="4187"/>
        <v>0.00369276218611536</v>
      </c>
      <c r="AI544" s="1302">
        <f t="shared" si="4187"/>
        <v>0.0428571428571429</v>
      </c>
      <c r="AJ544" s="1302">
        <f t="shared" si="4187"/>
        <v>0.0214227970897332</v>
      </c>
      <c r="AK544" s="1302">
        <f t="shared" si="4187"/>
        <v>0.0413736770091273</v>
      </c>
      <c r="AL544" s="1302">
        <f t="shared" si="4187"/>
        <v>0.0288873433585881</v>
      </c>
      <c r="AM544" s="1302">
        <f t="shared" si="4187"/>
        <v>0.168005866028456</v>
      </c>
      <c r="AN544" s="1302">
        <f t="shared" ref="AN544:BU544" si="4188">AN543/AF543-1</f>
        <v>0.0932499192584453</v>
      </c>
      <c r="AO544" s="1302">
        <f t="shared" si="4187"/>
        <v>0.0569862798542384</v>
      </c>
      <c r="AP544" s="1302">
        <f t="shared" si="4188"/>
        <v>0.0915919786050849</v>
      </c>
      <c r="AQ544" s="1302">
        <f t="shared" si="4188"/>
        <v>0.0448788878201951</v>
      </c>
      <c r="AR544" s="1302">
        <f t="shared" si="4188"/>
        <v>0.0700008072411153</v>
      </c>
      <c r="AS544" s="1302">
        <f t="shared" si="4188"/>
        <v>0.0647619047619048</v>
      </c>
      <c r="AT544" s="1302">
        <f t="shared" si="4188"/>
        <v>0.0680169041926324</v>
      </c>
      <c r="AU544" s="1302">
        <f t="shared" si="4188"/>
        <v>0.165690376569038</v>
      </c>
      <c r="AV544" s="1302">
        <f t="shared" si="4188"/>
        <v>0.107503607503608</v>
      </c>
      <c r="AW544" s="1302">
        <f t="shared" si="4188"/>
        <v>0.0898169410110385</v>
      </c>
      <c r="AX544" s="1303">
        <f t="shared" si="4188"/>
        <v>0.027027027027027</v>
      </c>
      <c r="AY544" s="1302">
        <f t="shared" si="4188"/>
        <v>0.0961538461538463</v>
      </c>
      <c r="AZ544" s="1302">
        <f t="shared" si="4188"/>
        <v>0.0582278481012659</v>
      </c>
      <c r="BA544" s="1302">
        <f t="shared" si="4188"/>
        <v>0.0673822301729279</v>
      </c>
      <c r="BB544" s="1302">
        <f t="shared" si="4188"/>
        <v>-0.289058982440342</v>
      </c>
      <c r="BC544" s="1302">
        <f t="shared" si="4188"/>
        <v>0.001794687724336</v>
      </c>
      <c r="BD544" s="1302">
        <f t="shared" si="4188"/>
        <v>0.0374592833876222</v>
      </c>
      <c r="BE544" s="1304">
        <f t="shared" si="4188"/>
        <v>-0.219622964867181</v>
      </c>
      <c r="BF544" s="1302">
        <f t="shared" si="4188"/>
        <v>0.0513478818998716</v>
      </c>
      <c r="BG544" s="1302">
        <f t="shared" si="4188"/>
        <v>0.10124269005848</v>
      </c>
      <c r="BH544" s="1302">
        <f t="shared" si="4188"/>
        <v>0.0746753246753247</v>
      </c>
      <c r="BI544" s="1302">
        <f t="shared" si="4188"/>
        <v>0.0424581005586593</v>
      </c>
      <c r="BJ544" s="1302">
        <f t="shared" si="4188"/>
        <v>0.586605446485117</v>
      </c>
      <c r="BK544" s="1302">
        <f t="shared" si="4188"/>
        <v>0.0827660336796847</v>
      </c>
      <c r="BL544" s="1302">
        <f t="shared" si="4188"/>
        <v>0.0602825745682889</v>
      </c>
      <c r="BM544" s="1302">
        <f t="shared" si="4188"/>
        <v>0.432195014823762</v>
      </c>
      <c r="BN544" s="1303">
        <f t="shared" si="4188"/>
        <v>0.0189255189255189</v>
      </c>
      <c r="BO544" s="1302">
        <f t="shared" si="4188"/>
        <v>-0.0760039827414537</v>
      </c>
      <c r="BP544" s="1302">
        <f t="shared" si="4188"/>
        <v>-0.0265543011607569</v>
      </c>
      <c r="BQ544" s="1302">
        <f t="shared" si="4188"/>
        <v>-0.00696677384780275</v>
      </c>
      <c r="BR544" s="1302">
        <f t="shared" si="4188"/>
        <v>-0.0192595549346373</v>
      </c>
      <c r="BS544" s="1302">
        <f t="shared" si="4188"/>
        <v>-0.103904698874917</v>
      </c>
      <c r="BT544" s="1302">
        <f t="shared" si="4188"/>
        <v>-0.0503405389398874</v>
      </c>
      <c r="BU544" s="1304">
        <f t="shared" si="4188"/>
        <v>-0.0388714252855938</v>
      </c>
      <c r="BV544" s="1303">
        <f t="shared" ref="BV544:CN544" si="4189">BV543/BN543-1</f>
        <v>-0.0982624325943678</v>
      </c>
      <c r="BW544" s="1302">
        <f t="shared" si="4189"/>
        <v>0.00646551724137923</v>
      </c>
      <c r="BX544" s="1302">
        <f t="shared" si="4189"/>
        <v>-0.0506370467167593</v>
      </c>
      <c r="BY544" s="1302">
        <f t="shared" si="4189"/>
        <v>-0.0512682137075013</v>
      </c>
      <c r="BZ544" s="1302">
        <f t="shared" si="4189"/>
        <v>-0.0508750508750508</v>
      </c>
      <c r="CA544" s="1302">
        <f t="shared" si="4189"/>
        <v>-0.116691285081241</v>
      </c>
      <c r="CB544" s="1302">
        <f t="shared" si="4189"/>
        <v>0.0561272217025257</v>
      </c>
      <c r="CC544" s="1304">
        <f t="shared" si="4189"/>
        <v>-0.0650925335035099</v>
      </c>
      <c r="CD544" s="1303">
        <f t="shared" si="4189"/>
        <v>0.111627906976744</v>
      </c>
      <c r="CE544" s="1302">
        <f t="shared" si="4189"/>
        <v>0.0820842255531764</v>
      </c>
      <c r="CF544" s="1302">
        <f t="shared" si="4189"/>
        <v>0.0973847212663455</v>
      </c>
      <c r="CG544" s="1302">
        <f t="shared" si="4189"/>
        <v>0.0944254835039817</v>
      </c>
      <c r="CH544" s="1302">
        <f t="shared" si="4189"/>
        <v>0.0962692967409948</v>
      </c>
      <c r="CI544" s="1302">
        <f t="shared" si="4189"/>
        <v>0.271739130434783</v>
      </c>
      <c r="CJ544" s="1302">
        <f t="shared" si="4189"/>
        <v>0.0171242987894893</v>
      </c>
      <c r="CK544" s="1304">
        <f t="shared" si="4189"/>
        <v>0.132081911262799</v>
      </c>
      <c r="CL544" s="1303">
        <v>0.469814704124327</v>
      </c>
      <c r="CM544" s="1302">
        <f t="shared" si="4189"/>
        <v>0.601583113456464</v>
      </c>
      <c r="CN544" s="1302">
        <f t="shared" si="4189"/>
        <v>0.532455315145814</v>
      </c>
      <c r="CO544" s="1302">
        <f t="shared" ref="CO544:CT544" si="4190">CO543/CG543-1</f>
        <v>0.532752552364865</v>
      </c>
      <c r="CP544" s="1302">
        <f t="shared" si="4190"/>
        <v>0.532564052415412</v>
      </c>
      <c r="CQ544" s="1302">
        <f t="shared" si="4190"/>
        <v>0.477975016436555</v>
      </c>
      <c r="CR544" s="1302">
        <f t="shared" si="4190"/>
        <v>0.508567753483309</v>
      </c>
      <c r="CS544" s="1304">
        <f t="shared" si="4190"/>
        <v>0.520048236358155</v>
      </c>
      <c r="CT544" s="1303">
        <f t="shared" si="4190"/>
        <v>0.0321268808458723</v>
      </c>
      <c r="CU544" s="1302">
        <f t="shared" ref="CU544:DA544" si="4191">CU543/CM543-1</f>
        <v>-0.0115321252059308</v>
      </c>
      <c r="CV544" s="1302">
        <f t="shared" si="4191"/>
        <v>0.0104358502148558</v>
      </c>
      <c r="CW544" s="1302">
        <f t="shared" si="4191"/>
        <v>-0.00285380310066219</v>
      </c>
      <c r="CX544" s="1302">
        <f t="shared" si="4191"/>
        <v>0.00548749361919354</v>
      </c>
      <c r="CY544" s="1302">
        <f t="shared" si="4191"/>
        <v>0.0760676156583631</v>
      </c>
      <c r="CZ544" s="1302">
        <f t="shared" si="4191"/>
        <v>0.0312841238206902</v>
      </c>
      <c r="DA544" s="1304">
        <f t="shared" si="4191"/>
        <v>0.0212217374057913</v>
      </c>
      <c r="DB544" s="1109">
        <f t="shared" ref="DB544:DI544" si="4192">DB543/CT543-1</f>
        <v>0.0327029156816392</v>
      </c>
      <c r="DC544" s="1082">
        <f t="shared" si="4192"/>
        <v>0.0504166666666668</v>
      </c>
      <c r="DD544" s="1082">
        <f t="shared" si="4192"/>
        <v>0.0413122721749697</v>
      </c>
      <c r="DE544" s="1082">
        <f t="shared" si="4192"/>
        <v>0.0470652247840577</v>
      </c>
      <c r="DF544" s="1082">
        <f t="shared" si="4192"/>
        <v>0.0415027287726868</v>
      </c>
      <c r="DG544" s="1082">
        <f t="shared" si="4192"/>
        <v>0.0719305498139726</v>
      </c>
      <c r="DH544" s="1082">
        <f t="shared" si="4192"/>
        <v>0.0554892156131055</v>
      </c>
      <c r="DI544" s="1085">
        <f t="shared" si="4192"/>
        <v>0.0486502233443387</v>
      </c>
      <c r="DJ544" s="1082">
        <f t="shared" ref="DJ544:DQ544" si="4193">DJ543/DB543-1</f>
        <v>-0.0167874856924838</v>
      </c>
      <c r="DK544" s="1082">
        <f t="shared" si="4193"/>
        <v>-0.025386751289171</v>
      </c>
      <c r="DL544" s="1082">
        <f t="shared" si="4193"/>
        <v>-0.0210035005834306</v>
      </c>
      <c r="DM544" s="1082">
        <f t="shared" si="4193"/>
        <v>-0.0620331276388438</v>
      </c>
      <c r="DN544" s="1082">
        <f t="shared" si="4193"/>
        <v>-0.0346088228125762</v>
      </c>
      <c r="DO544" s="1082" t="e">
        <f t="shared" si="4193"/>
        <v>#REF!</v>
      </c>
      <c r="DP544" s="1082" t="e">
        <f t="shared" si="4193"/>
        <v>#REF!</v>
      </c>
      <c r="DQ544" s="1085" t="e">
        <f t="shared" si="4193"/>
        <v>#REF!</v>
      </c>
      <c r="DR544" s="1082"/>
      <c r="DS544" s="1082"/>
      <c r="DT544" s="1082"/>
      <c r="DU544" s="1082"/>
      <c r="DV544" s="1082"/>
      <c r="DW544" s="1082"/>
      <c r="DX544" s="1082"/>
      <c r="DY544" s="1085"/>
      <c r="DZ544" s="1082"/>
      <c r="EA544" s="1082"/>
      <c r="EB544" s="1082"/>
      <c r="EC544" s="1082"/>
      <c r="ED544" s="1082"/>
      <c r="EE544" s="1082"/>
      <c r="EF544" s="1082"/>
      <c r="EG544" s="1085"/>
      <c r="EH544" s="1082"/>
      <c r="EI544" s="1082"/>
      <c r="EJ544" s="1082"/>
      <c r="EK544" s="1082"/>
      <c r="EL544" s="1082"/>
      <c r="EM544" s="1082"/>
      <c r="EN544" s="1082"/>
      <c r="EO544" s="1085"/>
      <c r="EP544" s="1082"/>
      <c r="EQ544" s="1082"/>
      <c r="ER544" s="1082"/>
      <c r="ES544" s="1082"/>
      <c r="ET544" s="1082"/>
      <c r="EU544" s="1082"/>
      <c r="EV544" s="1082"/>
      <c r="IX544" s="1049"/>
      <c r="IY544" s="1049"/>
      <c r="IZ544" s="1049"/>
      <c r="JA544" s="1049"/>
      <c r="JB544" s="1049"/>
      <c r="JC544" s="1049"/>
      <c r="JD544" s="1504"/>
      <c r="JE544" s="1037"/>
      <c r="JF544" s="1037"/>
      <c r="JG544" s="1037"/>
      <c r="JH544" s="1037"/>
      <c r="JI544" s="1035"/>
      <c r="JJ544" s="1035"/>
      <c r="JK544" s="1035"/>
      <c r="JL544" s="1035"/>
      <c r="JM544" s="1035"/>
      <c r="JN544" s="1035"/>
      <c r="JO544" s="1035"/>
      <c r="JP544" s="1035"/>
      <c r="JQ544" s="1035"/>
      <c r="JR544" s="1035"/>
      <c r="JS544" s="1035"/>
      <c r="JT544" s="1035"/>
      <c r="JU544" s="1035"/>
      <c r="JV544" s="1035"/>
      <c r="JW544" s="1035"/>
      <c r="JX544" s="1035"/>
      <c r="JY544" s="1035"/>
      <c r="KP544" s="1025"/>
    </row>
    <row r="545" spans="1:302">
      <c r="A545" s="1035" t="s">
        <v>623</v>
      </c>
      <c r="B545" s="1302"/>
      <c r="C545" s="1302"/>
      <c r="D545" s="1302"/>
      <c r="E545" s="1302"/>
      <c r="F545" s="1302"/>
      <c r="G545" s="1302"/>
      <c r="H545" s="1302"/>
      <c r="I545" s="1302"/>
      <c r="J545" s="1302"/>
      <c r="K545" s="1302"/>
      <c r="L545" s="1302"/>
      <c r="M545" s="1302"/>
      <c r="N545" s="1302"/>
      <c r="O545" s="1302"/>
      <c r="P545" s="1302"/>
      <c r="Q545" s="1302"/>
      <c r="R545" s="1302"/>
      <c r="S545" s="1302"/>
      <c r="T545" s="1302"/>
      <c r="U545" s="1302"/>
      <c r="V545" s="1302"/>
      <c r="W545" s="1302"/>
      <c r="X545" s="1302"/>
      <c r="Y545" s="1302"/>
      <c r="Z545" s="1302"/>
      <c r="AA545" s="1302"/>
      <c r="AB545" s="1302"/>
      <c r="AC545" s="1302"/>
      <c r="AD545" s="1302"/>
      <c r="AE545" s="1302"/>
      <c r="AF545" s="1302"/>
      <c r="AG545" s="1302"/>
      <c r="AH545" s="1302"/>
      <c r="AI545" s="1302"/>
      <c r="AJ545" s="1302"/>
      <c r="AK545" s="1302"/>
      <c r="AL545" s="1302"/>
      <c r="AM545" s="1302"/>
      <c r="AN545" s="1302"/>
      <c r="AO545" s="1302"/>
      <c r="AP545" s="1302"/>
      <c r="AQ545" s="1302"/>
      <c r="AR545" s="1302"/>
      <c r="AS545" s="1302"/>
      <c r="AT545" s="1302"/>
      <c r="AU545" s="1302"/>
      <c r="AV545" s="1302"/>
      <c r="AW545" s="1302"/>
      <c r="AX545" s="1303"/>
      <c r="AY545" s="1302"/>
      <c r="AZ545" s="1302"/>
      <c r="BA545" s="1302"/>
      <c r="BB545" s="1302"/>
      <c r="BC545" s="1302"/>
      <c r="BD545" s="1302"/>
      <c r="BE545" s="1304"/>
      <c r="BF545" s="1302"/>
      <c r="BG545" s="1302"/>
      <c r="BH545" s="1302"/>
      <c r="BI545" s="1302"/>
      <c r="BJ545" s="1302"/>
      <c r="BK545" s="1302"/>
      <c r="BL545" s="1302"/>
      <c r="BM545" s="1302"/>
      <c r="BN545" s="1303"/>
      <c r="BO545" s="1302"/>
      <c r="BP545" s="1302"/>
      <c r="BQ545" s="1302"/>
      <c r="BR545" s="1302"/>
      <c r="BS545" s="1302"/>
      <c r="BT545" s="1302"/>
      <c r="BU545" s="1304"/>
      <c r="BV545" s="1303"/>
      <c r="BW545" s="1302"/>
      <c r="BX545" s="1302"/>
      <c r="BY545" s="1302"/>
      <c r="BZ545" s="1302"/>
      <c r="CA545" s="1302"/>
      <c r="CB545" s="1302"/>
      <c r="CC545" s="1304"/>
      <c r="CD545" s="1303"/>
      <c r="CE545" s="1302"/>
      <c r="CF545" s="1302"/>
      <c r="CG545" s="1302"/>
      <c r="CH545" s="1302"/>
      <c r="CI545" s="1302"/>
      <c r="CJ545" s="1302"/>
      <c r="CK545" s="1304"/>
      <c r="CL545" s="1303"/>
      <c r="CM545" s="1302"/>
      <c r="CN545" s="1302">
        <f>CN544-CN546</f>
        <v>0.0424553151458138</v>
      </c>
      <c r="CO545" s="1302"/>
      <c r="CP545" s="1302"/>
      <c r="CQ545" s="1302"/>
      <c r="CR545" s="1302">
        <f>CR544-CR546</f>
        <v>-0.0584598227140782</v>
      </c>
      <c r="CS545" s="1304">
        <f>CS544-CS546</f>
        <v>-0.00995176364184513</v>
      </c>
      <c r="CT545" s="1303">
        <f>CT544-CT546</f>
        <v>-0.0578731191541277</v>
      </c>
      <c r="CU545" s="1302">
        <f>+CU544-CU546</f>
        <v>-0.0415321252059308</v>
      </c>
      <c r="CV545" s="1302">
        <f>+CV544-CV546</f>
        <v>-0.0495641497851442</v>
      </c>
      <c r="CW545" s="1302">
        <v>0</v>
      </c>
      <c r="CX545" s="1302">
        <f>+CX544-CX546</f>
        <v>-0.0445125063808065</v>
      </c>
      <c r="CY545" s="1302">
        <f t="shared" ref="CY545:DH545" si="4194">CY544-CY546</f>
        <v>-0.0639323843416369</v>
      </c>
      <c r="CZ545" s="1302">
        <f t="shared" si="4194"/>
        <v>-0.0417158761793098</v>
      </c>
      <c r="DA545" s="1304">
        <f t="shared" si="4194"/>
        <v>-0.0487782625942088</v>
      </c>
      <c r="DB545" s="1109">
        <f t="shared" si="4194"/>
        <v>-0.0672970843183608</v>
      </c>
      <c r="DC545" s="1082">
        <f t="shared" si="4194"/>
        <v>-0.0895833333333332</v>
      </c>
      <c r="DD545" s="1082">
        <f t="shared" si="4194"/>
        <v>-0.0786877278250303</v>
      </c>
      <c r="DE545" s="1082">
        <f t="shared" si="4194"/>
        <v>-0.0412398830170713</v>
      </c>
      <c r="DF545" s="1082">
        <f t="shared" si="4194"/>
        <v>-0.0666620129458054</v>
      </c>
      <c r="DG545" s="1094">
        <f t="shared" si="4194"/>
        <v>0.00475931124373173</v>
      </c>
      <c r="DH545" s="1082">
        <f t="shared" si="4194"/>
        <v>-0.0215766101947905</v>
      </c>
      <c r="DI545" s="1085">
        <v>-0.049</v>
      </c>
      <c r="DJ545" s="1082">
        <f t="shared" ref="DJ545:DQ545" si="4195">DJ544-DJ546</f>
        <v>0.0376697891343061</v>
      </c>
      <c r="DK545" s="1082">
        <f t="shared" si="4195"/>
        <v>0.046582945680526</v>
      </c>
      <c r="DL545" s="1082">
        <f t="shared" si="4195"/>
        <v>0.0420432979284159</v>
      </c>
      <c r="DM545" s="1082">
        <f t="shared" si="4195"/>
        <v>0.0109489043768373</v>
      </c>
      <c r="DN545" s="1082">
        <f t="shared" si="4195"/>
        <v>0.0322841000379083</v>
      </c>
      <c r="DO545" s="1094" t="e">
        <f t="shared" si="4195"/>
        <v>#REF!</v>
      </c>
      <c r="DP545" s="1082" t="e">
        <f t="shared" si="4195"/>
        <v>#REF!</v>
      </c>
      <c r="DQ545" s="1085" t="e">
        <f t="shared" si="4195"/>
        <v>#REF!</v>
      </c>
      <c r="DR545" s="1082"/>
      <c r="DS545" s="1082"/>
      <c r="DT545" s="1082"/>
      <c r="DU545" s="1082"/>
      <c r="DV545" s="1082"/>
      <c r="DW545" s="1094"/>
      <c r="DX545" s="1082"/>
      <c r="DY545" s="1085"/>
      <c r="DZ545" s="1082"/>
      <c r="EA545" s="1082"/>
      <c r="EB545" s="1082"/>
      <c r="EC545" s="1082"/>
      <c r="ED545" s="1082"/>
      <c r="EE545" s="1094"/>
      <c r="EF545" s="1082"/>
      <c r="EG545" s="1085"/>
      <c r="EH545" s="1082"/>
      <c r="EI545" s="1082"/>
      <c r="EJ545" s="1082"/>
      <c r="EK545" s="1082"/>
      <c r="EL545" s="1082"/>
      <c r="EM545" s="1094"/>
      <c r="EN545" s="1082"/>
      <c r="EO545" s="1085"/>
      <c r="EP545" s="1082"/>
      <c r="EQ545" s="1082"/>
      <c r="ER545" s="1082"/>
      <c r="ES545" s="1082"/>
      <c r="ET545" s="1082"/>
      <c r="EU545" s="1082"/>
      <c r="EV545" s="1082"/>
      <c r="IX545" s="1049"/>
      <c r="IY545" s="1049"/>
      <c r="IZ545" s="1049"/>
      <c r="JA545" s="1049"/>
      <c r="JB545" s="1049"/>
      <c r="JC545" s="1049"/>
      <c r="JD545" s="1112"/>
      <c r="JE545" s="1037"/>
      <c r="JF545" s="1037"/>
      <c r="JG545" s="1037"/>
      <c r="JH545" s="1037"/>
      <c r="JI545" s="1035"/>
      <c r="JJ545" s="1035"/>
      <c r="JK545" s="1035"/>
      <c r="JL545" s="1035"/>
      <c r="JM545" s="1035"/>
      <c r="JN545" s="1035"/>
      <c r="JO545" s="1035"/>
      <c r="JP545" s="1035"/>
      <c r="JQ545" s="1035"/>
      <c r="JR545" s="1035"/>
      <c r="JS545" s="1035"/>
      <c r="JT545" s="1035"/>
      <c r="JU545" s="1035"/>
      <c r="JV545" s="1035"/>
      <c r="JW545" s="1035"/>
      <c r="JX545" s="1035"/>
      <c r="JY545" s="1035"/>
      <c r="KP545" s="967"/>
    </row>
    <row r="546" spans="1:302">
      <c r="A546" s="1035" t="s">
        <v>624</v>
      </c>
      <c r="B546" s="1302"/>
      <c r="C546" s="1302"/>
      <c r="D546" s="1302"/>
      <c r="E546" s="1302"/>
      <c r="F546" s="1302"/>
      <c r="G546" s="1302"/>
      <c r="H546" s="1302"/>
      <c r="I546" s="1302"/>
      <c r="J546" s="1302"/>
      <c r="K546" s="1302"/>
      <c r="L546" s="1302"/>
      <c r="M546" s="1302"/>
      <c r="N546" s="1302"/>
      <c r="O546" s="1302"/>
      <c r="P546" s="1302"/>
      <c r="Q546" s="1302"/>
      <c r="R546" s="1302"/>
      <c r="S546" s="1302"/>
      <c r="T546" s="1302"/>
      <c r="U546" s="1302"/>
      <c r="V546" s="1302"/>
      <c r="W546" s="1302"/>
      <c r="X546" s="1302"/>
      <c r="Y546" s="1302"/>
      <c r="Z546" s="1302"/>
      <c r="AA546" s="1302"/>
      <c r="AB546" s="1302"/>
      <c r="AC546" s="1302"/>
      <c r="AD546" s="1302"/>
      <c r="AE546" s="1302"/>
      <c r="AF546" s="1302"/>
      <c r="AG546" s="1302"/>
      <c r="AH546" s="1302"/>
      <c r="AI546" s="1302"/>
      <c r="AJ546" s="1302"/>
      <c r="AK546" s="1302"/>
      <c r="AL546" s="1302"/>
      <c r="AM546" s="1302"/>
      <c r="AN546" s="1302"/>
      <c r="AO546" s="1302"/>
      <c r="AP546" s="1302"/>
      <c r="AQ546" s="1302"/>
      <c r="AR546" s="1302"/>
      <c r="AS546" s="1302"/>
      <c r="AT546" s="1302"/>
      <c r="AU546" s="1302"/>
      <c r="AV546" s="1302"/>
      <c r="AW546" s="1302"/>
      <c r="AX546" s="1303"/>
      <c r="AY546" s="1302"/>
      <c r="AZ546" s="1302"/>
      <c r="BA546" s="1302"/>
      <c r="BB546" s="1302"/>
      <c r="BC546" s="1302"/>
      <c r="BD546" s="1302"/>
      <c r="BE546" s="1304"/>
      <c r="BF546" s="1302"/>
      <c r="BG546" s="1302"/>
      <c r="BH546" s="1302"/>
      <c r="BI546" s="1302"/>
      <c r="BJ546" s="1302"/>
      <c r="BK546" s="1302"/>
      <c r="BL546" s="1302"/>
      <c r="BM546" s="1302"/>
      <c r="BN546" s="1303"/>
      <c r="BO546" s="1302"/>
      <c r="BP546" s="1302"/>
      <c r="BQ546" s="1302"/>
      <c r="BR546" s="1302"/>
      <c r="BS546" s="1302"/>
      <c r="BT546" s="1302"/>
      <c r="BU546" s="1304"/>
      <c r="BV546" s="1303"/>
      <c r="BW546" s="1302"/>
      <c r="BX546" s="1302"/>
      <c r="BY546" s="1302"/>
      <c r="BZ546" s="1302"/>
      <c r="CA546" s="1302"/>
      <c r="CB546" s="1302"/>
      <c r="CC546" s="1304"/>
      <c r="CD546" s="1303"/>
      <c r="CE546" s="1302"/>
      <c r="CF546" s="1302"/>
      <c r="CG546" s="1302"/>
      <c r="CH546" s="1302"/>
      <c r="CI546" s="1302"/>
      <c r="CJ546" s="1302"/>
      <c r="CK546" s="1304"/>
      <c r="CL546" s="1303"/>
      <c r="CM546" s="1302"/>
      <c r="CN546" s="1302">
        <v>0.49</v>
      </c>
      <c r="CO546" s="1302"/>
      <c r="CP546" s="1302"/>
      <c r="CQ546" s="1302"/>
      <c r="CR546" s="1302">
        <f>(CS546*CK543-CN546*CF543)/CJ543</f>
        <v>0.567027576197388</v>
      </c>
      <c r="CS546" s="1304">
        <v>0.53</v>
      </c>
      <c r="CT546" s="1303">
        <v>0.09</v>
      </c>
      <c r="CU546" s="1302">
        <v>0.03</v>
      </c>
      <c r="CV546" s="1302">
        <v>0.06</v>
      </c>
      <c r="CW546" s="1302">
        <v>0.034</v>
      </c>
      <c r="CX546" s="1302">
        <v>0.05</v>
      </c>
      <c r="CY546" s="1302">
        <v>0.14</v>
      </c>
      <c r="CZ546" s="1302">
        <v>0.073</v>
      </c>
      <c r="DA546" s="1304">
        <v>0.07</v>
      </c>
      <c r="DB546" s="1109">
        <v>0.1</v>
      </c>
      <c r="DC546" s="1082">
        <v>0.14</v>
      </c>
      <c r="DD546" s="1082">
        <v>0.12</v>
      </c>
      <c r="DE546" s="1082">
        <f>(DF546*CX543-DD546*CV543)/CW543</f>
        <v>0.088305107801129</v>
      </c>
      <c r="DF546" s="1082">
        <f>(DF529*CX526+DF524*CX521+DF519*CX516)/CX543</f>
        <v>0.108164741718492</v>
      </c>
      <c r="DG546" s="1082">
        <f>(DG529*CY526+DG524*CY521+DG519*CY516)/SUM(CY526,CY521,CY516)</f>
        <v>0.0671712385702409</v>
      </c>
      <c r="DH546" s="1082">
        <f>(DI546*DA543-DD546*CV543)/CZ543</f>
        <v>0.077065825807896</v>
      </c>
      <c r="DI546" s="1085">
        <f>DI544-DI545</f>
        <v>0.0976502233443387</v>
      </c>
      <c r="DJ546" s="1082">
        <f t="shared" ref="DJ546:DQ546" si="4196">(DJ540*DB537+DJ535*DB532+DJ524*DB521+DJ519*DB516)/(DB543-DB542)</f>
        <v>-0.0544572748267898</v>
      </c>
      <c r="DK546" s="1082">
        <f t="shared" si="4196"/>
        <v>-0.071969696969697</v>
      </c>
      <c r="DL546" s="1082">
        <f t="shared" si="4196"/>
        <v>-0.0630467985118465</v>
      </c>
      <c r="DM546" s="1082">
        <f t="shared" si="4196"/>
        <v>-0.0729820320156812</v>
      </c>
      <c r="DN546" s="1082">
        <f t="shared" si="4196"/>
        <v>-0.0668929228504845</v>
      </c>
      <c r="DO546" s="1082">
        <f t="shared" si="4196"/>
        <v>0.0258871279474295</v>
      </c>
      <c r="DP546" s="1082">
        <f t="shared" si="4196"/>
        <v>-0.0277699272146281</v>
      </c>
      <c r="DQ546" s="1085">
        <f t="shared" si="4196"/>
        <v>-0.0445445065176909</v>
      </c>
      <c r="DR546" s="1082"/>
      <c r="DS546" s="1082"/>
      <c r="DT546" s="1082"/>
      <c r="DU546" s="1082"/>
      <c r="DV546" s="1082"/>
      <c r="DW546" s="1082"/>
      <c r="DX546" s="1082"/>
      <c r="DY546" s="1085"/>
      <c r="DZ546" s="1082"/>
      <c r="EA546" s="1082"/>
      <c r="EB546" s="1082"/>
      <c r="EC546" s="1082"/>
      <c r="ED546" s="1082"/>
      <c r="EE546" s="1082"/>
      <c r="EF546" s="1082"/>
      <c r="EG546" s="1085"/>
      <c r="EH546" s="1082"/>
      <c r="EI546" s="1082"/>
      <c r="EJ546" s="1082"/>
      <c r="EK546" s="1082"/>
      <c r="EL546" s="1082"/>
      <c r="EM546" s="1082"/>
      <c r="EN546" s="1082"/>
      <c r="EO546" s="1085"/>
      <c r="EP546" s="1082"/>
      <c r="EQ546" s="1082"/>
      <c r="ER546" s="1082"/>
      <c r="ES546" s="1082"/>
      <c r="ET546" s="1082"/>
      <c r="EU546" s="1082"/>
      <c r="EV546" s="1082"/>
      <c r="IX546" s="1049"/>
      <c r="IY546" s="1049"/>
      <c r="IZ546" s="1049"/>
      <c r="JA546" s="1049"/>
      <c r="JB546" s="1049"/>
      <c r="JC546" s="1049"/>
      <c r="JD546" s="1112"/>
      <c r="JE546" s="1037"/>
      <c r="JF546" s="1037"/>
      <c r="JG546" s="1037"/>
      <c r="JH546" s="1037"/>
      <c r="JI546" s="1035"/>
      <c r="JJ546" s="1035"/>
      <c r="JK546" s="1035"/>
      <c r="JL546" s="1035"/>
      <c r="JM546" s="1035"/>
      <c r="JN546" s="1035"/>
      <c r="JO546" s="1035"/>
      <c r="JP546" s="1035"/>
      <c r="JQ546" s="1035"/>
      <c r="JR546" s="1035"/>
      <c r="JS546" s="1035"/>
      <c r="JT546" s="1035"/>
      <c r="JU546" s="1035"/>
      <c r="JV546" s="1035"/>
      <c r="JW546" s="1035"/>
      <c r="JX546" s="1035"/>
      <c r="JY546" s="1035"/>
      <c r="KP546" s="967"/>
    </row>
    <row r="547" s="1030" customFormat="1" spans="1:302">
      <c r="B547" s="1505"/>
      <c r="C547" s="1505"/>
      <c r="D547" s="1505"/>
      <c r="E547" s="1505"/>
      <c r="F547" s="1505"/>
      <c r="G547" s="1505"/>
      <c r="H547" s="1505"/>
      <c r="I547" s="1505"/>
      <c r="J547" s="1505"/>
      <c r="K547" s="1505"/>
      <c r="L547" s="1505"/>
      <c r="M547" s="1505"/>
      <c r="N547" s="1505"/>
      <c r="O547" s="1505"/>
      <c r="P547" s="1505"/>
      <c r="Q547" s="1505"/>
      <c r="R547" s="1505"/>
      <c r="S547" s="1505"/>
      <c r="T547" s="1505"/>
      <c r="U547" s="1505"/>
      <c r="V547" s="1505"/>
      <c r="W547" s="1505"/>
      <c r="X547" s="1505"/>
      <c r="Y547" s="1505"/>
      <c r="Z547" s="1505"/>
      <c r="AA547" s="1505"/>
      <c r="AB547" s="1505"/>
      <c r="AC547" s="1505"/>
      <c r="AD547" s="1505"/>
      <c r="AE547" s="1505"/>
      <c r="AF547" s="1505"/>
      <c r="AG547" s="1505"/>
      <c r="AH547" s="1505"/>
      <c r="AI547" s="1505"/>
      <c r="AJ547" s="1505"/>
      <c r="AK547" s="1505"/>
      <c r="AL547" s="1505"/>
      <c r="AM547" s="1505"/>
      <c r="AN547" s="1505"/>
      <c r="AO547" s="1505"/>
      <c r="AP547" s="1505"/>
      <c r="AQ547" s="1505"/>
      <c r="AR547" s="1505"/>
      <c r="AS547" s="1505"/>
      <c r="AT547" s="1505"/>
      <c r="AU547" s="1505"/>
      <c r="AV547" s="1505"/>
      <c r="AW547" s="1505"/>
      <c r="AX547" s="1506"/>
      <c r="AY547" s="1505"/>
      <c r="AZ547" s="1505"/>
      <c r="BA547" s="1505"/>
      <c r="BB547" s="1505"/>
      <c r="BC547" s="1505"/>
      <c r="BD547" s="1505"/>
      <c r="BE547" s="1507"/>
      <c r="BF547" s="1505"/>
      <c r="BG547" s="1505"/>
      <c r="BH547" s="1505"/>
      <c r="BI547" s="1505"/>
      <c r="BJ547" s="1505"/>
      <c r="BK547" s="1505"/>
      <c r="BL547" s="1505"/>
      <c r="BM547" s="1505"/>
      <c r="BN547" s="1506"/>
      <c r="BO547" s="1505"/>
      <c r="BP547" s="1505"/>
      <c r="BQ547" s="1505"/>
      <c r="BR547" s="1505"/>
      <c r="BS547" s="1505"/>
      <c r="BT547" s="1505"/>
      <c r="BU547" s="1507"/>
      <c r="BV547" s="1506"/>
      <c r="BW547" s="1505"/>
      <c r="BX547" s="1505"/>
      <c r="BY547" s="1505"/>
      <c r="BZ547" s="1505"/>
      <c r="CA547" s="1505"/>
      <c r="CB547" s="1505"/>
      <c r="CC547" s="1507"/>
      <c r="CD547" s="1506"/>
      <c r="CE547" s="1505"/>
      <c r="CF547" s="1505"/>
      <c r="CG547" s="1505"/>
      <c r="CH547" s="1505"/>
      <c r="CI547" s="1505"/>
      <c r="CJ547" s="1505"/>
      <c r="CK547" s="1507"/>
      <c r="CL547" s="1506"/>
      <c r="CM547" s="1505"/>
      <c r="CN547" s="1505"/>
      <c r="CO547" s="1505"/>
      <c r="CP547" s="1505"/>
      <c r="CQ547" s="1505"/>
      <c r="CR547" s="1505"/>
      <c r="CS547" s="1507"/>
      <c r="CT547" s="1506"/>
      <c r="CU547" s="1505"/>
      <c r="CV547" s="1505"/>
      <c r="CW547" s="1505"/>
      <c r="CX547" s="1505"/>
      <c r="CY547" s="1505"/>
      <c r="CZ547" s="1505"/>
      <c r="DA547" s="1507"/>
      <c r="DB547" s="1508"/>
      <c r="DC547" s="1509"/>
      <c r="DD547" s="1509"/>
      <c r="DE547" s="1509"/>
      <c r="DF547" s="1509"/>
      <c r="DG547" s="1509"/>
      <c r="DH547" s="1509"/>
      <c r="DI547" s="1510"/>
      <c r="DJ547" s="1509"/>
      <c r="DK547" s="1509"/>
      <c r="DL547" s="1509"/>
      <c r="DM547" s="1082"/>
      <c r="DN547" s="1082"/>
      <c r="DO547" s="1082"/>
      <c r="DP547" s="1509"/>
      <c r="DQ547" s="1510"/>
      <c r="DR547" s="1509"/>
      <c r="DS547" s="1509"/>
      <c r="DT547" s="1509"/>
      <c r="DU547" s="1509"/>
      <c r="DV547" s="1509"/>
      <c r="DW547" s="1509"/>
      <c r="DX547" s="1509"/>
      <c r="DY547" s="1510"/>
      <c r="DZ547" s="1509"/>
      <c r="EA547" s="1509"/>
      <c r="EB547" s="1509"/>
      <c r="EC547" s="1509"/>
      <c r="ED547" s="1509"/>
      <c r="EE547" s="1509"/>
      <c r="EF547" s="1509"/>
      <c r="EG547" s="1510"/>
      <c r="EH547" s="1509"/>
      <c r="EI547" s="1509"/>
      <c r="EJ547" s="1509"/>
      <c r="EK547" s="1509"/>
      <c r="EL547" s="1509"/>
      <c r="EM547" s="1509"/>
      <c r="EN547" s="1509"/>
      <c r="EO547" s="1510"/>
      <c r="EP547" s="1509"/>
      <c r="EQ547" s="1509"/>
      <c r="ER547" s="1509"/>
      <c r="ES547" s="1509"/>
      <c r="ET547" s="1509"/>
      <c r="EU547" s="1509"/>
      <c r="EV547" s="1509"/>
      <c r="EW547" s="1039"/>
      <c r="EX547" s="891"/>
      <c r="EY547" s="891"/>
      <c r="EZ547" s="891"/>
      <c r="FA547" s="891"/>
      <c r="FB547" s="891"/>
      <c r="FC547" s="891"/>
      <c r="FD547" s="891"/>
      <c r="FE547" s="1039"/>
      <c r="FF547" s="891"/>
      <c r="FG547" s="891"/>
      <c r="FH547" s="891"/>
      <c r="FI547" s="891"/>
      <c r="FJ547" s="891"/>
      <c r="FK547" s="891"/>
      <c r="FL547" s="891"/>
      <c r="FM547" s="1039"/>
      <c r="FN547" s="891"/>
      <c r="FO547" s="891"/>
      <c r="FP547" s="891"/>
      <c r="FQ547" s="891"/>
      <c r="FR547" s="891"/>
      <c r="FS547" s="891"/>
      <c r="FT547" s="891"/>
      <c r="FU547" s="891"/>
      <c r="FV547" s="1040"/>
      <c r="FW547" s="891"/>
      <c r="FX547" s="891"/>
      <c r="FY547" s="891"/>
      <c r="FZ547" s="891"/>
      <c r="GA547" s="891"/>
      <c r="GB547" s="891"/>
      <c r="GC547" s="1039"/>
      <c r="GD547" s="891"/>
      <c r="GE547" s="891"/>
      <c r="GF547" s="891"/>
      <c r="GG547" s="891"/>
      <c r="GH547" s="891"/>
      <c r="GI547" s="891"/>
      <c r="GJ547" s="891"/>
      <c r="GK547" s="1039"/>
      <c r="GL547" s="891"/>
      <c r="GM547" s="891"/>
      <c r="GN547" s="891"/>
      <c r="GO547" s="891"/>
      <c r="GP547" s="891"/>
      <c r="GQ547" s="891"/>
      <c r="GR547" s="891"/>
      <c r="GS547" s="1039"/>
      <c r="GT547" s="891"/>
      <c r="GU547" s="891"/>
      <c r="GV547" s="891"/>
      <c r="GW547" s="891"/>
      <c r="GX547" s="891"/>
      <c r="GY547" s="891"/>
      <c r="GZ547" s="891"/>
      <c r="HA547" s="1039"/>
      <c r="HB547" s="891"/>
      <c r="HC547" s="891"/>
      <c r="HD547" s="891"/>
      <c r="HE547" s="891"/>
      <c r="HF547" s="891"/>
      <c r="HG547" s="891"/>
      <c r="HH547" s="891"/>
      <c r="HI547" s="1039"/>
      <c r="HJ547" s="891"/>
      <c r="HK547" s="891"/>
      <c r="HL547" s="891"/>
      <c r="HM547" s="891"/>
      <c r="HN547" s="891"/>
      <c r="HO547" s="891"/>
      <c r="HP547" s="891"/>
      <c r="HQ547" s="1039"/>
      <c r="HR547" s="891"/>
      <c r="HS547" s="891"/>
      <c r="HT547" s="891"/>
      <c r="HU547" s="891"/>
      <c r="HV547" s="891"/>
      <c r="HW547" s="891"/>
      <c r="HX547" s="891"/>
      <c r="HY547" s="891"/>
      <c r="HZ547" s="891"/>
      <c r="IA547" s="891"/>
      <c r="IB547" s="891"/>
      <c r="IC547" s="891"/>
      <c r="ID547" s="891"/>
      <c r="IE547" s="891"/>
      <c r="IF547" s="891"/>
      <c r="IG547" s="1039"/>
      <c r="IH547" s="891"/>
      <c r="II547" s="891"/>
      <c r="IJ547" s="891"/>
      <c r="IK547" s="891"/>
      <c r="IL547" s="891"/>
      <c r="IM547" s="891"/>
      <c r="IN547" s="891"/>
      <c r="IO547" s="1039"/>
      <c r="IP547" s="891"/>
      <c r="IQ547" s="891"/>
      <c r="IR547" s="891"/>
      <c r="IS547" s="891"/>
      <c r="IT547" s="891"/>
      <c r="IU547" s="891"/>
      <c r="IV547" s="891"/>
      <c r="IW547" s="891"/>
      <c r="IX547" s="1049"/>
      <c r="IY547" s="1049"/>
      <c r="IZ547" s="1049"/>
      <c r="JA547" s="1049"/>
      <c r="JB547" s="1049"/>
      <c r="JC547" s="1049"/>
      <c r="JD547" s="1511"/>
      <c r="JE547" s="1509"/>
      <c r="JF547" s="1509"/>
      <c r="JG547" s="1509"/>
      <c r="JH547" s="1509"/>
      <c r="KP547" s="967"/>
    </row>
    <row r="548" spans="1:302">
      <c r="A548" s="1051" t="s">
        <v>85</v>
      </c>
      <c r="B548" s="1482" t="s">
        <v>259</v>
      </c>
      <c r="C548" s="1482" t="s">
        <v>260</v>
      </c>
      <c r="D548" s="1482" t="s">
        <v>261</v>
      </c>
      <c r="E548" s="1482" t="s">
        <v>262</v>
      </c>
      <c r="F548" s="1482" t="s">
        <v>263</v>
      </c>
      <c r="G548" s="1482" t="s">
        <v>264</v>
      </c>
      <c r="H548" s="1482" t="s">
        <v>265</v>
      </c>
      <c r="I548" s="1482" t="s">
        <v>14</v>
      </c>
      <c r="J548" s="1482" t="s">
        <v>266</v>
      </c>
      <c r="K548" s="1482" t="s">
        <v>267</v>
      </c>
      <c r="L548" s="1482" t="s">
        <v>268</v>
      </c>
      <c r="M548" s="1482" t="s">
        <v>269</v>
      </c>
      <c r="N548" s="1482" t="s">
        <v>270</v>
      </c>
      <c r="O548" s="1482" t="s">
        <v>271</v>
      </c>
      <c r="P548" s="1482" t="s">
        <v>272</v>
      </c>
      <c r="Q548" s="1482" t="s">
        <v>15</v>
      </c>
      <c r="R548" s="1482" t="s">
        <v>273</v>
      </c>
      <c r="S548" s="1482" t="s">
        <v>274</v>
      </c>
      <c r="T548" s="1482" t="s">
        <v>275</v>
      </c>
      <c r="U548" s="1482" t="s">
        <v>276</v>
      </c>
      <c r="V548" s="1482" t="s">
        <v>277</v>
      </c>
      <c r="W548" s="1482" t="s">
        <v>278</v>
      </c>
      <c r="X548" s="1482" t="s">
        <v>279</v>
      </c>
      <c r="Y548" s="1482" t="s">
        <v>16</v>
      </c>
      <c r="Z548" s="1482" t="s">
        <v>280</v>
      </c>
      <c r="AA548" s="1482" t="s">
        <v>281</v>
      </c>
      <c r="AB548" s="1482" t="s">
        <v>282</v>
      </c>
      <c r="AC548" s="1482" t="s">
        <v>283</v>
      </c>
      <c r="AD548" s="1482" t="s">
        <v>277</v>
      </c>
      <c r="AE548" s="1482" t="s">
        <v>284</v>
      </c>
      <c r="AF548" s="1482" t="s">
        <v>285</v>
      </c>
      <c r="AG548" s="1482" t="s">
        <v>17</v>
      </c>
      <c r="AH548" s="1482" t="s">
        <v>286</v>
      </c>
      <c r="AI548" s="1482" t="s">
        <v>287</v>
      </c>
      <c r="AJ548" s="1482" t="s">
        <v>288</v>
      </c>
      <c r="AK548" s="1482" t="s">
        <v>289</v>
      </c>
      <c r="AL548" s="1482" t="s">
        <v>290</v>
      </c>
      <c r="AM548" s="1482" t="s">
        <v>291</v>
      </c>
      <c r="AN548" s="1482" t="s">
        <v>292</v>
      </c>
      <c r="AO548" s="1482" t="s">
        <v>18</v>
      </c>
      <c r="AP548" s="1482" t="s">
        <v>293</v>
      </c>
      <c r="AQ548" s="1482" t="s">
        <v>294</v>
      </c>
      <c r="AR548" s="1482" t="s">
        <v>295</v>
      </c>
      <c r="AS548" s="1482" t="s">
        <v>296</v>
      </c>
      <c r="AT548" s="1482" t="s">
        <v>297</v>
      </c>
      <c r="AU548" s="1482" t="s">
        <v>298</v>
      </c>
      <c r="AV548" s="1482" t="s">
        <v>299</v>
      </c>
      <c r="AW548" s="1482" t="s">
        <v>19</v>
      </c>
      <c r="AX548" s="1483" t="s">
        <v>300</v>
      </c>
      <c r="AY548" s="1482" t="s">
        <v>301</v>
      </c>
      <c r="AZ548" s="1482" t="s">
        <v>302</v>
      </c>
      <c r="BA548" s="1482" t="s">
        <v>303</v>
      </c>
      <c r="BB548" s="1482" t="s">
        <v>304</v>
      </c>
      <c r="BC548" s="1482" t="s">
        <v>305</v>
      </c>
      <c r="BD548" s="1482" t="s">
        <v>306</v>
      </c>
      <c r="BE548" s="1484" t="s">
        <v>20</v>
      </c>
      <c r="BF548" s="1482" t="s">
        <v>307</v>
      </c>
      <c r="BG548" s="1482" t="s">
        <v>308</v>
      </c>
      <c r="BH548" s="1482" t="s">
        <v>309</v>
      </c>
      <c r="BI548" s="1482" t="s">
        <v>310</v>
      </c>
      <c r="BJ548" s="1482" t="s">
        <v>311</v>
      </c>
      <c r="BK548" s="1482" t="s">
        <v>312</v>
      </c>
      <c r="BL548" s="1482" t="s">
        <v>313</v>
      </c>
      <c r="BM548" s="1482" t="s">
        <v>21</v>
      </c>
      <c r="BN548" s="1483" t="s">
        <v>314</v>
      </c>
      <c r="BO548" s="1482" t="s">
        <v>315</v>
      </c>
      <c r="BP548" s="1482" t="s">
        <v>316</v>
      </c>
      <c r="BQ548" s="1482" t="s">
        <v>317</v>
      </c>
      <c r="BR548" s="1482" t="s">
        <v>318</v>
      </c>
      <c r="BS548" s="1482" t="s">
        <v>319</v>
      </c>
      <c r="BT548" s="1482" t="s">
        <v>320</v>
      </c>
      <c r="BU548" s="1484" t="s">
        <v>22</v>
      </c>
      <c r="BV548" s="1483" t="s">
        <v>321</v>
      </c>
      <c r="BW548" s="1482" t="s">
        <v>322</v>
      </c>
      <c r="BX548" s="1482" t="s">
        <v>323</v>
      </c>
      <c r="BY548" s="1482" t="s">
        <v>324</v>
      </c>
      <c r="BZ548" s="1482" t="s">
        <v>325</v>
      </c>
      <c r="CA548" s="1482" t="s">
        <v>326</v>
      </c>
      <c r="CB548" s="1482" t="s">
        <v>327</v>
      </c>
      <c r="CC548" s="1484" t="s">
        <v>23</v>
      </c>
      <c r="CD548" s="1483" t="s">
        <v>328</v>
      </c>
      <c r="CE548" s="1482" t="s">
        <v>329</v>
      </c>
      <c r="CF548" s="1482" t="s">
        <v>330</v>
      </c>
      <c r="CG548" s="1482" t="s">
        <v>331</v>
      </c>
      <c r="CH548" s="1482" t="s">
        <v>332</v>
      </c>
      <c r="CI548" s="1482" t="s">
        <v>333</v>
      </c>
      <c r="CJ548" s="1482" t="s">
        <v>334</v>
      </c>
      <c r="CK548" s="1484" t="s">
        <v>24</v>
      </c>
      <c r="CL548" s="1483" t="s">
        <v>335</v>
      </c>
      <c r="CM548" s="1482" t="s">
        <v>336</v>
      </c>
      <c r="CN548" s="1482" t="s">
        <v>337</v>
      </c>
      <c r="CO548" s="1482" t="s">
        <v>338</v>
      </c>
      <c r="CP548" s="1482" t="str">
        <f t="shared" ref="CP548:DU548" si="4197">CP2</f>
        <v>9M 06</v>
      </c>
      <c r="CQ548" s="1482" t="str">
        <f t="shared" si="4197"/>
        <v>Q4 06</v>
      </c>
      <c r="CR548" s="1482" t="str">
        <f t="shared" si="4197"/>
        <v>H2 06</v>
      </c>
      <c r="CS548" s="1484" t="str">
        <f t="shared" si="4197"/>
        <v>FY 06</v>
      </c>
      <c r="CT548" s="1483" t="str">
        <f t="shared" si="4197"/>
        <v>Q1 07</v>
      </c>
      <c r="CU548" s="1482" t="str">
        <f t="shared" si="4197"/>
        <v>Q2 07</v>
      </c>
      <c r="CV548" s="1482" t="str">
        <f t="shared" si="4197"/>
        <v>H1 07</v>
      </c>
      <c r="CW548" s="1482" t="str">
        <f t="shared" si="4197"/>
        <v>Q3 07</v>
      </c>
      <c r="CX548" s="1482" t="str">
        <f t="shared" si="4197"/>
        <v>9M 07</v>
      </c>
      <c r="CY548" s="1482" t="str">
        <f t="shared" si="4197"/>
        <v>Q4 07</v>
      </c>
      <c r="CZ548" s="1482" t="str">
        <f t="shared" si="4197"/>
        <v>H2 07</v>
      </c>
      <c r="DA548" s="1484" t="str">
        <f t="shared" si="4197"/>
        <v>FY 07</v>
      </c>
      <c r="DB548" s="1485" t="str">
        <f t="shared" si="4197"/>
        <v>Q1 08</v>
      </c>
      <c r="DC548" s="1486" t="str">
        <f t="shared" si="4197"/>
        <v>Q2 08</v>
      </c>
      <c r="DD548" s="1486" t="str">
        <f t="shared" si="4197"/>
        <v>H1 08</v>
      </c>
      <c r="DE548" s="1486" t="str">
        <f t="shared" si="4197"/>
        <v>Q3 08</v>
      </c>
      <c r="DF548" s="1486" t="str">
        <f t="shared" si="4197"/>
        <v>9M 08</v>
      </c>
      <c r="DG548" s="1486" t="str">
        <f t="shared" si="4197"/>
        <v>Q4 08</v>
      </c>
      <c r="DH548" s="1486" t="str">
        <f t="shared" si="4197"/>
        <v>H2 08</v>
      </c>
      <c r="DI548" s="1487" t="str">
        <f t="shared" si="4197"/>
        <v>FY 08</v>
      </c>
      <c r="DJ548" s="1486" t="str">
        <f t="shared" si="4197"/>
        <v>Q1 09</v>
      </c>
      <c r="DK548" s="1486" t="str">
        <f t="shared" si="4197"/>
        <v>Q2 09</v>
      </c>
      <c r="DL548" s="1486" t="str">
        <f t="shared" si="4197"/>
        <v>H1 09</v>
      </c>
      <c r="DM548" s="1486" t="str">
        <f t="shared" si="4197"/>
        <v>Q3 09</v>
      </c>
      <c r="DN548" s="1486" t="str">
        <f t="shared" si="4197"/>
        <v>9M 09</v>
      </c>
      <c r="DO548" s="1486" t="str">
        <f t="shared" si="4197"/>
        <v>Q4 09</v>
      </c>
      <c r="DP548" s="1486" t="str">
        <f t="shared" si="4197"/>
        <v>H2 09</v>
      </c>
      <c r="DQ548" s="1487" t="str">
        <f t="shared" si="4197"/>
        <v>FY 09</v>
      </c>
      <c r="DR548" s="1486" t="str">
        <f t="shared" si="4197"/>
        <v>Q1 10</v>
      </c>
      <c r="DS548" s="1486" t="str">
        <f t="shared" si="4197"/>
        <v>Q2 10</v>
      </c>
      <c r="DT548" s="1486" t="str">
        <f t="shared" si="4197"/>
        <v>H1 10</v>
      </c>
      <c r="DU548" s="1486" t="str">
        <f t="shared" si="4197"/>
        <v>Q3 10</v>
      </c>
      <c r="DV548" s="1486" t="str">
        <f t="shared" ref="DV548:EO548" si="4198">DV2</f>
        <v>9M 10</v>
      </c>
      <c r="DW548" s="1486" t="str">
        <f t="shared" si="4198"/>
        <v>Q4 10</v>
      </c>
      <c r="DX548" s="1486" t="str">
        <f t="shared" si="4198"/>
        <v>H2 10</v>
      </c>
      <c r="DY548" s="1487" t="str">
        <f t="shared" si="4198"/>
        <v>FY 10</v>
      </c>
      <c r="DZ548" s="1486" t="str">
        <f t="shared" si="4198"/>
        <v>Q1 11</v>
      </c>
      <c r="EA548" s="1486" t="str">
        <f t="shared" si="4198"/>
        <v>Q2 11</v>
      </c>
      <c r="EB548" s="1486" t="str">
        <f t="shared" si="4198"/>
        <v>H1 11</v>
      </c>
      <c r="EC548" s="1486" t="str">
        <f t="shared" si="4198"/>
        <v>Q3 11</v>
      </c>
      <c r="ED548" s="1486" t="str">
        <f t="shared" si="4198"/>
        <v>9M 11</v>
      </c>
      <c r="EE548" s="1486" t="str">
        <f t="shared" si="4198"/>
        <v>Q4 11</v>
      </c>
      <c r="EF548" s="1486" t="str">
        <f t="shared" si="4198"/>
        <v>H2 11</v>
      </c>
      <c r="EG548" s="1487" t="str">
        <f t="shared" si="4198"/>
        <v>FY 11</v>
      </c>
      <c r="EH548" s="1486" t="str">
        <f t="shared" si="4198"/>
        <v>Q1 12</v>
      </c>
      <c r="EI548" s="1486" t="str">
        <f t="shared" si="4198"/>
        <v>Q2 12</v>
      </c>
      <c r="EJ548" s="1486" t="str">
        <f t="shared" si="4198"/>
        <v>H1 12</v>
      </c>
      <c r="EK548" s="1486" t="str">
        <f t="shared" si="4198"/>
        <v>Q3 12</v>
      </c>
      <c r="EL548" s="1486" t="str">
        <f t="shared" si="4198"/>
        <v>9M 12</v>
      </c>
      <c r="EM548" s="1486" t="str">
        <f t="shared" si="4198"/>
        <v>Q4 12</v>
      </c>
      <c r="EN548" s="1486" t="str">
        <f t="shared" si="4198"/>
        <v>H2 12</v>
      </c>
      <c r="EO548" s="1487" t="str">
        <f t="shared" si="4198"/>
        <v>FY 12</v>
      </c>
      <c r="EP548" s="1486"/>
      <c r="EQ548" s="1486"/>
      <c r="ER548" s="1486"/>
      <c r="ES548" s="1486"/>
      <c r="ET548" s="1486"/>
      <c r="EU548" s="1486"/>
      <c r="EV548" s="1486"/>
      <c r="IX548" s="1049"/>
      <c r="IY548" s="1049"/>
      <c r="IZ548" s="1049"/>
      <c r="JA548" s="1049"/>
      <c r="JB548" s="1049"/>
      <c r="JC548" s="1049"/>
      <c r="JD548" s="1404"/>
      <c r="JE548" s="1037"/>
      <c r="JF548" s="1037"/>
      <c r="JG548" s="1037"/>
      <c r="JH548" s="1037"/>
      <c r="JI548" s="1035"/>
      <c r="JJ548" s="1035"/>
      <c r="JK548" s="1035"/>
      <c r="JL548" s="1035"/>
      <c r="JM548" s="1035"/>
      <c r="JN548" s="1035"/>
      <c r="JO548" s="1035"/>
      <c r="JP548" s="1035"/>
      <c r="JQ548" s="1035"/>
      <c r="JR548" s="1035"/>
      <c r="JS548" s="1035"/>
      <c r="JT548" s="1035"/>
      <c r="JU548" s="1035"/>
      <c r="JV548" s="1035"/>
      <c r="JW548" s="1035"/>
      <c r="JX548" s="1035"/>
      <c r="JY548" s="1035"/>
    </row>
    <row r="549" spans="1:302">
      <c r="A549" s="1306" t="s">
        <v>80</v>
      </c>
      <c r="B549" s="1307">
        <v>301.667</v>
      </c>
      <c r="C549" s="1307">
        <v>197.8731</v>
      </c>
      <c r="D549" s="1307">
        <f>B549+C549</f>
        <v>499.5401</v>
      </c>
      <c r="E549" s="1307">
        <v>278.50511</v>
      </c>
      <c r="F549" s="1307">
        <f>D549+E549</f>
        <v>778.04521</v>
      </c>
      <c r="G549" s="1307">
        <v>137.18179</v>
      </c>
      <c r="H549" s="1307">
        <f>E549+G549</f>
        <v>415.6869</v>
      </c>
      <c r="I549" s="1307">
        <f>F549+G549</f>
        <v>915.227</v>
      </c>
      <c r="J549" s="1307">
        <v>303.2009</v>
      </c>
      <c r="K549" s="1307">
        <v>268.4325</v>
      </c>
      <c r="L549" s="1307">
        <f>J549+K549</f>
        <v>571.6334</v>
      </c>
      <c r="M549" s="1307">
        <v>345.89445</v>
      </c>
      <c r="N549" s="1307">
        <f>L549+M549</f>
        <v>917.52785</v>
      </c>
      <c r="O549" s="1307">
        <v>192.50445</v>
      </c>
      <c r="P549" s="1307">
        <f>M549+O549</f>
        <v>538.3989</v>
      </c>
      <c r="Q549" s="1307">
        <f>N549+O549</f>
        <v>1110.0323</v>
      </c>
      <c r="R549" s="1307">
        <v>401.3705</v>
      </c>
      <c r="S549" s="1307">
        <v>338.4806</v>
      </c>
      <c r="T549" s="1307">
        <f>R549+S549</f>
        <v>739.8511</v>
      </c>
      <c r="U549" s="1307">
        <v>458.1248</v>
      </c>
      <c r="V549" s="1307">
        <f>T549+U549</f>
        <v>1197.9759</v>
      </c>
      <c r="W549" s="1307">
        <v>270.4777</v>
      </c>
      <c r="X549" s="1307">
        <f>U549+W549</f>
        <v>728.6025</v>
      </c>
      <c r="Y549" s="1307">
        <f>V549+W549</f>
        <v>1468.4536</v>
      </c>
      <c r="Z549" s="1307">
        <v>575.7238</v>
      </c>
      <c r="AA549" s="1307">
        <v>502.6079</v>
      </c>
      <c r="AB549" s="1307">
        <f>Z549+AA549</f>
        <v>1078.3317</v>
      </c>
      <c r="AC549" s="1307">
        <v>585.9498</v>
      </c>
      <c r="AD549" s="1307">
        <f>AB549+AC549</f>
        <v>1664.2815</v>
      </c>
      <c r="AE549" s="1307">
        <v>317.006</v>
      </c>
      <c r="AF549" s="1307">
        <f>AC549+AE549</f>
        <v>902.9558</v>
      </c>
      <c r="AG549" s="1307">
        <f>AD549+AE549</f>
        <v>1981.2875</v>
      </c>
      <c r="AH549" s="1307">
        <v>1215</v>
      </c>
      <c r="AI549" s="1307">
        <v>1021</v>
      </c>
      <c r="AJ549" s="1307">
        <f>AH549+AI549</f>
        <v>2236</v>
      </c>
      <c r="AK549" s="1307">
        <v>1327</v>
      </c>
      <c r="AL549" s="1307">
        <f>AJ549+AK549</f>
        <v>3563</v>
      </c>
      <c r="AM549" s="1307">
        <v>864</v>
      </c>
      <c r="AN549" s="1307">
        <f>AK549+AM549</f>
        <v>2191</v>
      </c>
      <c r="AO549" s="1307">
        <f>AL549+AM549</f>
        <v>4427</v>
      </c>
      <c r="AP549" s="1307">
        <v>1268</v>
      </c>
      <c r="AQ549" s="1307">
        <v>1039</v>
      </c>
      <c r="AR549" s="1307">
        <f>AP549+AQ549</f>
        <v>2307</v>
      </c>
      <c r="AS549" s="1307">
        <v>1385</v>
      </c>
      <c r="AT549" s="1307">
        <f>AR549+AS549</f>
        <v>3692</v>
      </c>
      <c r="AU549" s="1307">
        <v>980</v>
      </c>
      <c r="AV549" s="1307">
        <f>AS549+AU549</f>
        <v>2365</v>
      </c>
      <c r="AW549" s="1307">
        <f>AT549+AU549</f>
        <v>4672</v>
      </c>
      <c r="AX549" s="1308">
        <v>1277</v>
      </c>
      <c r="AY549" s="1307">
        <v>1117</v>
      </c>
      <c r="AZ549" s="1307">
        <f>AX549+AY549</f>
        <v>2394</v>
      </c>
      <c r="BA549" s="1307">
        <v>1437</v>
      </c>
      <c r="BB549" s="1307">
        <f>AY549+BA549</f>
        <v>2554</v>
      </c>
      <c r="BC549" s="1307">
        <v>993</v>
      </c>
      <c r="BD549" s="1307">
        <f>BA549+BC549</f>
        <v>2430</v>
      </c>
      <c r="BE549" s="1309">
        <f>BB549+BC549</f>
        <v>3547</v>
      </c>
      <c r="BF549" s="1307">
        <v>1330</v>
      </c>
      <c r="BG549" s="1307">
        <v>1224</v>
      </c>
      <c r="BH549" s="1307">
        <f>BF549+BG549</f>
        <v>2554</v>
      </c>
      <c r="BI549" s="1307">
        <v>1498</v>
      </c>
      <c r="BJ549" s="1307">
        <f>BH549+BI549</f>
        <v>4052</v>
      </c>
      <c r="BK549" s="1307">
        <v>1055</v>
      </c>
      <c r="BL549" s="1307">
        <f>BI549+BK549</f>
        <v>2553</v>
      </c>
      <c r="BM549" s="1307">
        <f>BJ549+BK549</f>
        <v>5107</v>
      </c>
      <c r="BN549" s="1308">
        <v>1405</v>
      </c>
      <c r="BO549" s="1307">
        <v>1137</v>
      </c>
      <c r="BP549" s="1307">
        <f>BN549+BO549</f>
        <v>2542</v>
      </c>
      <c r="BQ549" s="1307">
        <v>1475</v>
      </c>
      <c r="BR549" s="1307">
        <f>BP549+BQ549</f>
        <v>4017</v>
      </c>
      <c r="BS549" s="1307">
        <v>933</v>
      </c>
      <c r="BT549" s="1307">
        <f>BQ549+BS549</f>
        <v>2408</v>
      </c>
      <c r="BU549" s="1309">
        <f>BR549+BS549</f>
        <v>4950</v>
      </c>
      <c r="BV549" s="1308">
        <v>1378</v>
      </c>
      <c r="BW549" s="1307">
        <v>1207</v>
      </c>
      <c r="BX549" s="1307">
        <f>BV549+BW549</f>
        <v>2585</v>
      </c>
      <c r="BY549" s="1307">
        <v>1570</v>
      </c>
      <c r="BZ549" s="1307">
        <f>BX549+BY549</f>
        <v>4155</v>
      </c>
      <c r="CA549" s="1307">
        <v>1020</v>
      </c>
      <c r="CB549" s="1307">
        <f>BY549+CA549</f>
        <v>2590</v>
      </c>
      <c r="CC549" s="1309">
        <f>BZ549+CA549</f>
        <v>5175</v>
      </c>
      <c r="CD549" s="1308">
        <v>1512</v>
      </c>
      <c r="CE549" s="1307">
        <v>1304</v>
      </c>
      <c r="CF549" s="1307">
        <f>CD549+CE549</f>
        <v>2816</v>
      </c>
      <c r="CG549" s="1307">
        <v>1729</v>
      </c>
      <c r="CH549" s="1307">
        <f>CF549+CG549</f>
        <v>4545</v>
      </c>
      <c r="CI549" s="1307">
        <v>1316</v>
      </c>
      <c r="CJ549" s="1307">
        <f>CG549+CI549</f>
        <v>3045</v>
      </c>
      <c r="CK549" s="1309">
        <f>CH549+CI549</f>
        <v>5861</v>
      </c>
      <c r="CL549" s="1308">
        <v>1776</v>
      </c>
      <c r="CM549" s="1307">
        <v>1532</v>
      </c>
      <c r="CN549" s="1307">
        <f>CL549+CM549</f>
        <v>3308</v>
      </c>
      <c r="CO549" s="1307">
        <f>CP549-CN549</f>
        <v>1940</v>
      </c>
      <c r="CP549" s="1307">
        <v>5248</v>
      </c>
      <c r="CQ549" s="1307">
        <f>CS549-CP549</f>
        <v>1378</v>
      </c>
      <c r="CR549" s="1307">
        <f>CQ549+CO549</f>
        <v>3318</v>
      </c>
      <c r="CS549" s="1309">
        <v>6626</v>
      </c>
      <c r="CT549" s="1308">
        <v>1819</v>
      </c>
      <c r="CU549" s="1357">
        <v>1635</v>
      </c>
      <c r="CV549" s="1357">
        <f>+CU549+CT549</f>
        <v>3454</v>
      </c>
      <c r="CW549" s="1307">
        <f>CX549-CV549</f>
        <v>2011</v>
      </c>
      <c r="CX549" s="1307">
        <v>5465</v>
      </c>
      <c r="CY549" s="1307">
        <f>DA549-CX549</f>
        <v>1648</v>
      </c>
      <c r="CZ549" s="1307">
        <f>CY549+CW549</f>
        <v>3659</v>
      </c>
      <c r="DA549" s="1309">
        <v>7113</v>
      </c>
      <c r="DB549" s="1310">
        <v>1968</v>
      </c>
      <c r="DC549" s="1353">
        <v>1818</v>
      </c>
      <c r="DD549" s="1353">
        <v>3787</v>
      </c>
      <c r="DE549" s="1311">
        <f>DF549-DD549</f>
        <v>2217</v>
      </c>
      <c r="DF549" s="1311">
        <v>6004</v>
      </c>
      <c r="DG549" s="1311">
        <f>DI549-DF549</f>
        <v>1817</v>
      </c>
      <c r="DH549" s="1311">
        <f>DI549-DD549</f>
        <v>4034</v>
      </c>
      <c r="DI549" s="1312">
        <v>7821</v>
      </c>
      <c r="DJ549" s="1311">
        <v>1917</v>
      </c>
      <c r="DK549" s="1311">
        <f>DC549*(1+DK550)</f>
        <v>1750</v>
      </c>
      <c r="DL549" s="1311">
        <f>DK549+DJ549</f>
        <v>3667</v>
      </c>
      <c r="DM549" s="1311">
        <v>2111</v>
      </c>
      <c r="DN549" s="1311">
        <f>DM549+DL549</f>
        <v>5778</v>
      </c>
      <c r="DO549" s="1311" t="e">
        <f>DG549*(1+DO550)</f>
        <v>#REF!</v>
      </c>
      <c r="DP549" s="1311" t="e">
        <f>DO549+DM549</f>
        <v>#REF!</v>
      </c>
      <c r="DQ549" s="1312" t="e">
        <f>DP549+DL549</f>
        <v>#REF!</v>
      </c>
      <c r="DR549" s="1311"/>
      <c r="DS549" s="1311"/>
      <c r="DT549" s="1311"/>
      <c r="DU549" s="1311"/>
      <c r="DV549" s="1311"/>
      <c r="DW549" s="1311"/>
      <c r="DX549" s="1311"/>
      <c r="DY549" s="1312"/>
      <c r="DZ549" s="1311"/>
      <c r="EA549" s="1311"/>
      <c r="EB549" s="1311"/>
      <c r="EC549" s="1311"/>
      <c r="ED549" s="1311"/>
      <c r="EE549" s="1311"/>
      <c r="EF549" s="1311"/>
      <c r="EG549" s="1312"/>
      <c r="EH549" s="1311"/>
      <c r="EI549" s="1311"/>
      <c r="EJ549" s="1311"/>
      <c r="EK549" s="1311"/>
      <c r="EL549" s="1311"/>
      <c r="EM549" s="1311"/>
      <c r="EN549" s="1311"/>
      <c r="EO549" s="1312"/>
      <c r="EP549" s="1311"/>
      <c r="EQ549" s="1311"/>
      <c r="ER549" s="1311"/>
      <c r="ES549" s="1311"/>
      <c r="ET549" s="1311"/>
      <c r="EU549" s="1311"/>
      <c r="EV549" s="1311"/>
      <c r="IX549" s="1049"/>
      <c r="IY549" s="1049"/>
      <c r="IZ549" s="1049"/>
      <c r="JA549" s="1049"/>
      <c r="JB549" s="1049"/>
      <c r="JC549" s="1049"/>
      <c r="JD549" s="1469"/>
      <c r="JE549" s="1037"/>
      <c r="JF549" s="1037"/>
      <c r="JG549" s="1037"/>
      <c r="JH549" s="1037"/>
      <c r="JI549" s="1035"/>
      <c r="JJ549" s="1035"/>
      <c r="JK549" s="1035"/>
      <c r="JL549" s="1035"/>
      <c r="JM549" s="1035"/>
      <c r="JN549" s="1035"/>
      <c r="JO549" s="1035"/>
      <c r="JP549" s="1035"/>
      <c r="JQ549" s="1035"/>
      <c r="JR549" s="1035"/>
      <c r="JS549" s="1035"/>
      <c r="JT549" s="1035"/>
      <c r="JU549" s="1035"/>
      <c r="JV549" s="1035"/>
      <c r="JW549" s="1035"/>
      <c r="JX549" s="1035"/>
      <c r="JY549" s="1035"/>
      <c r="KP549" s="1110"/>
    </row>
    <row r="550" spans="1:302">
      <c r="A550" s="1035" t="s">
        <v>142</v>
      </c>
      <c r="B550" s="1302" t="s">
        <v>173</v>
      </c>
      <c r="C550" s="1302" t="s">
        <v>173</v>
      </c>
      <c r="D550" s="1302" t="s">
        <v>173</v>
      </c>
      <c r="E550" s="1302" t="s">
        <v>173</v>
      </c>
      <c r="F550" s="1302" t="s">
        <v>173</v>
      </c>
      <c r="G550" s="1302" t="s">
        <v>173</v>
      </c>
      <c r="H550" s="1302" t="s">
        <v>173</v>
      </c>
      <c r="I550" s="1302" t="s">
        <v>173</v>
      </c>
      <c r="J550" s="1302">
        <f t="shared" ref="J550:AO550" si="4199">J549/B549-1</f>
        <v>0.0050847457627119</v>
      </c>
      <c r="K550" s="1302">
        <f t="shared" si="4199"/>
        <v>0.356589147286822</v>
      </c>
      <c r="L550" s="1302">
        <f t="shared" si="4199"/>
        <v>0.14431934493347</v>
      </c>
      <c r="M550" s="1302">
        <f t="shared" si="4199"/>
        <v>0.241968055810538</v>
      </c>
      <c r="N550" s="1302">
        <f t="shared" si="4199"/>
        <v>0.179273181310377</v>
      </c>
      <c r="O550" s="1302">
        <f t="shared" si="4199"/>
        <v>0.403279910547894</v>
      </c>
      <c r="P550" s="1302">
        <f t="shared" si="4199"/>
        <v>0.29520295202952</v>
      </c>
      <c r="Q550" s="1302">
        <f t="shared" si="4199"/>
        <v>0.212849162011173</v>
      </c>
      <c r="R550" s="1302">
        <f t="shared" si="4199"/>
        <v>0.323777403035413</v>
      </c>
      <c r="S550" s="1302">
        <f t="shared" si="4199"/>
        <v>0.260952380952381</v>
      </c>
      <c r="T550" s="1302">
        <f t="shared" si="4199"/>
        <v>0.294275491949911</v>
      </c>
      <c r="U550" s="1302">
        <f t="shared" si="4199"/>
        <v>0.324464153732446</v>
      </c>
      <c r="V550" s="1302">
        <f t="shared" si="4199"/>
        <v>0.305656171635553</v>
      </c>
      <c r="W550" s="1302">
        <f t="shared" si="4199"/>
        <v>0.405046480743692</v>
      </c>
      <c r="X550" s="1302">
        <f t="shared" si="4199"/>
        <v>0.353276353276353</v>
      </c>
      <c r="Y550" s="1302">
        <f t="shared" si="4199"/>
        <v>0.322892676186089</v>
      </c>
      <c r="Z550" s="1302">
        <f t="shared" si="4199"/>
        <v>0.434394904458599</v>
      </c>
      <c r="AA550" s="1302">
        <f t="shared" si="4199"/>
        <v>0.484894259818731</v>
      </c>
      <c r="AB550" s="1302">
        <f t="shared" si="4199"/>
        <v>0.457498272287491</v>
      </c>
      <c r="AC550" s="1302">
        <f t="shared" si="4199"/>
        <v>0.279017857142857</v>
      </c>
      <c r="AD550" s="1302">
        <f t="shared" si="4199"/>
        <v>0.389244558258643</v>
      </c>
      <c r="AE550" s="1302">
        <f t="shared" si="4199"/>
        <v>0.172022684310019</v>
      </c>
      <c r="AF550" s="1302">
        <f t="shared" si="4199"/>
        <v>0.239298245614035</v>
      </c>
      <c r="AG550" s="1302">
        <f t="shared" si="4199"/>
        <v>0.349233983286908</v>
      </c>
      <c r="AH550" s="1302">
        <f t="shared" si="4199"/>
        <v>1.11038695985818</v>
      </c>
      <c r="AI550" s="1302">
        <f t="shared" si="4199"/>
        <v>1.0314045998879</v>
      </c>
      <c r="AJ550" s="1302">
        <f t="shared" si="4199"/>
        <v>1.07357346538176</v>
      </c>
      <c r="AK550" s="1302">
        <f t="shared" si="4199"/>
        <v>1.26469912610261</v>
      </c>
      <c r="AL550" s="1302">
        <f t="shared" si="4199"/>
        <v>1.14086379017011</v>
      </c>
      <c r="AM550" s="1302">
        <f t="shared" si="4199"/>
        <v>1.72550046371362</v>
      </c>
      <c r="AN550" s="1302">
        <f t="shared" ref="AN550:BU550" si="4200">AN549/AF549-1</f>
        <v>1.42647536014498</v>
      </c>
      <c r="AO550" s="1302">
        <f t="shared" si="4199"/>
        <v>1.23440565793707</v>
      </c>
      <c r="AP550" s="1302">
        <f t="shared" si="4200"/>
        <v>0.0436213991769547</v>
      </c>
      <c r="AQ550" s="1302">
        <f t="shared" si="4200"/>
        <v>0.0176297747306562</v>
      </c>
      <c r="AR550" s="1302">
        <f t="shared" si="4200"/>
        <v>0.0317531305903398</v>
      </c>
      <c r="AS550" s="1302">
        <f t="shared" si="4200"/>
        <v>0.0437076111529766</v>
      </c>
      <c r="AT550" s="1302">
        <f t="shared" si="4200"/>
        <v>0.0362054448498457</v>
      </c>
      <c r="AU550" s="1302">
        <f t="shared" si="4200"/>
        <v>0.134259259259259</v>
      </c>
      <c r="AV550" s="1302">
        <f t="shared" si="4200"/>
        <v>0.0794157918758558</v>
      </c>
      <c r="AW550" s="1302">
        <f t="shared" si="4200"/>
        <v>0.0553422182064605</v>
      </c>
      <c r="AX550" s="1303">
        <f t="shared" si="4200"/>
        <v>0.00709779179810721</v>
      </c>
      <c r="AY550" s="1302">
        <f t="shared" si="4200"/>
        <v>0.0750721847930702</v>
      </c>
      <c r="AZ550" s="1302">
        <f t="shared" si="4200"/>
        <v>0.0377113133940181</v>
      </c>
      <c r="BA550" s="1302">
        <f t="shared" si="4200"/>
        <v>0.0375451263537907</v>
      </c>
      <c r="BB550" s="1302">
        <f t="shared" si="4200"/>
        <v>-0.308234019501625</v>
      </c>
      <c r="BC550" s="1302">
        <f t="shared" si="4200"/>
        <v>0.013265306122449</v>
      </c>
      <c r="BD550" s="1302">
        <f t="shared" si="4200"/>
        <v>0.0274841437632136</v>
      </c>
      <c r="BE550" s="1304">
        <f t="shared" si="4200"/>
        <v>-0.240796232876712</v>
      </c>
      <c r="BF550" s="1302">
        <f t="shared" si="4200"/>
        <v>0.0415035238841033</v>
      </c>
      <c r="BG550" s="1302">
        <f t="shared" si="4200"/>
        <v>0.0957923008057295</v>
      </c>
      <c r="BH550" s="1302">
        <f t="shared" si="4200"/>
        <v>0.0668337510442774</v>
      </c>
      <c r="BI550" s="1302">
        <f t="shared" si="4200"/>
        <v>0.0424495476687543</v>
      </c>
      <c r="BJ550" s="1302">
        <f t="shared" si="4200"/>
        <v>0.586530931871574</v>
      </c>
      <c r="BK550" s="1302">
        <f t="shared" si="4200"/>
        <v>0.0624370594159114</v>
      </c>
      <c r="BL550" s="1302">
        <f t="shared" si="4200"/>
        <v>0.0506172839506174</v>
      </c>
      <c r="BM550" s="1302">
        <f t="shared" si="4200"/>
        <v>0.439808288694671</v>
      </c>
      <c r="BN550" s="1303">
        <f t="shared" si="4200"/>
        <v>0.0563909774436091</v>
      </c>
      <c r="BO550" s="1302">
        <f t="shared" si="4200"/>
        <v>-0.071078431372549</v>
      </c>
      <c r="BP550" s="1302">
        <f t="shared" si="4200"/>
        <v>-0.00469851213782302</v>
      </c>
      <c r="BQ550" s="1302">
        <f t="shared" si="4200"/>
        <v>-0.0153538050734312</v>
      </c>
      <c r="BR550" s="1302">
        <f t="shared" si="4200"/>
        <v>-0.00863770977295164</v>
      </c>
      <c r="BS550" s="1302">
        <f t="shared" si="4200"/>
        <v>-0.11563981042654</v>
      </c>
      <c r="BT550" s="1302">
        <f t="shared" si="4200"/>
        <v>-0.0567959263611437</v>
      </c>
      <c r="BU550" s="1304">
        <f t="shared" si="4200"/>
        <v>-0.0307421186606618</v>
      </c>
      <c r="BV550" s="1303">
        <f t="shared" ref="BV550:CH550" si="4201">BV549/BN549-1</f>
        <v>-0.0192170818505338</v>
      </c>
      <c r="BW550" s="1302">
        <f t="shared" si="4201"/>
        <v>0.0615655233069481</v>
      </c>
      <c r="BX550" s="1302">
        <f t="shared" si="4201"/>
        <v>0.0169158143194335</v>
      </c>
      <c r="BY550" s="1302">
        <f t="shared" si="4201"/>
        <v>0.064406779661017</v>
      </c>
      <c r="BZ550" s="1302">
        <f t="shared" si="4201"/>
        <v>0.0343539955190442</v>
      </c>
      <c r="CA550" s="1302">
        <f t="shared" si="4201"/>
        <v>0.0932475884244373</v>
      </c>
      <c r="CB550" s="1302">
        <f t="shared" si="4201"/>
        <v>0.0755813953488371</v>
      </c>
      <c r="CC550" s="1304">
        <f t="shared" si="4201"/>
        <v>0.0454545454545454</v>
      </c>
      <c r="CD550" s="1303">
        <f t="shared" si="4201"/>
        <v>0.0972423802612481</v>
      </c>
      <c r="CE550" s="1302">
        <f t="shared" si="4201"/>
        <v>0.0803645401822701</v>
      </c>
      <c r="CF550" s="1302">
        <f t="shared" si="4201"/>
        <v>0.0893617021276596</v>
      </c>
      <c r="CG550" s="1302">
        <f t="shared" si="4201"/>
        <v>0.101273885350319</v>
      </c>
      <c r="CH550" s="1302">
        <f t="shared" si="4201"/>
        <v>0.0938628158844765</v>
      </c>
      <c r="CI550" s="1302">
        <f t="shared" ref="CI550:CN550" si="4202">CI549/CA549-1</f>
        <v>0.290196078431373</v>
      </c>
      <c r="CJ550" s="1302">
        <f t="shared" si="4202"/>
        <v>0.175675675675676</v>
      </c>
      <c r="CK550" s="1304">
        <f t="shared" si="4202"/>
        <v>0.13256038647343</v>
      </c>
      <c r="CL550" s="1303">
        <v>0.174603174603175</v>
      </c>
      <c r="CM550" s="1302">
        <f t="shared" si="4202"/>
        <v>0.174846625766871</v>
      </c>
      <c r="CN550" s="1302">
        <f t="shared" si="4202"/>
        <v>0.174715909090909</v>
      </c>
      <c r="CO550" s="1302">
        <f t="shared" ref="CO550:CT550" si="4203">CO549/CG549-1</f>
        <v>0.122035858877964</v>
      </c>
      <c r="CP550" s="1302">
        <f t="shared" si="4203"/>
        <v>0.154675467546755</v>
      </c>
      <c r="CQ550" s="1302">
        <f t="shared" si="4203"/>
        <v>0.047112462006079</v>
      </c>
      <c r="CR550" s="1302">
        <f t="shared" si="4203"/>
        <v>0.0896551724137931</v>
      </c>
      <c r="CS550" s="1304">
        <f t="shared" si="4203"/>
        <v>0.130523801399079</v>
      </c>
      <c r="CT550" s="1303">
        <f t="shared" si="4203"/>
        <v>0.0242117117117118</v>
      </c>
      <c r="CU550" s="1302">
        <f t="shared" ref="CU550:DA550" si="4204">CU549/CM549-1</f>
        <v>0.0672323759791122</v>
      </c>
      <c r="CV550" s="1302">
        <f t="shared" si="4204"/>
        <v>0.0441354292623941</v>
      </c>
      <c r="CW550" s="1302">
        <f t="shared" si="4204"/>
        <v>0.03659793814433</v>
      </c>
      <c r="CX550" s="1302">
        <f t="shared" si="4204"/>
        <v>0.0413490853658536</v>
      </c>
      <c r="CY550" s="1302">
        <f t="shared" si="4204"/>
        <v>0.195936139332366</v>
      </c>
      <c r="CZ550" s="1302">
        <f t="shared" si="4204"/>
        <v>0.102772754671489</v>
      </c>
      <c r="DA550" s="1304">
        <f t="shared" si="4204"/>
        <v>0.0734983398732267</v>
      </c>
      <c r="DB550" s="1109">
        <f t="shared" ref="DB550:DH550" si="4205">DB549/CT549-1</f>
        <v>0.0819131390874106</v>
      </c>
      <c r="DC550" s="1082">
        <f t="shared" si="4205"/>
        <v>0.111926605504587</v>
      </c>
      <c r="DD550" s="1082">
        <f t="shared" si="4205"/>
        <v>0.0964099594672843</v>
      </c>
      <c r="DE550" s="1082">
        <f t="shared" si="4205"/>
        <v>0.102436598707111</v>
      </c>
      <c r="DF550" s="1082">
        <f t="shared" si="4205"/>
        <v>0.0986276303751143</v>
      </c>
      <c r="DG550" s="1082">
        <f t="shared" si="4205"/>
        <v>0.10254854368932</v>
      </c>
      <c r="DH550" s="1082">
        <f t="shared" si="4205"/>
        <v>0.102487018311014</v>
      </c>
      <c r="DI550" s="1085">
        <v>0.093</v>
      </c>
      <c r="DJ550" s="1082">
        <f>DJ549/DB549-1</f>
        <v>-0.0259146341463414</v>
      </c>
      <c r="DK550" s="1082">
        <f>SUM(DK551:DK552)</f>
        <v>-0.0374037403740374</v>
      </c>
      <c r="DL550" s="1082">
        <f>DL549/DD549-1</f>
        <v>-0.03168735146554</v>
      </c>
      <c r="DM550" s="1082">
        <f>DM549/DE549-1</f>
        <v>-0.0478123590437528</v>
      </c>
      <c r="DN550" s="1082">
        <f>DN549/DF549-1</f>
        <v>-0.0376415722851432</v>
      </c>
      <c r="DO550" s="1082" t="e">
        <f>SUM(DO551:DO552)</f>
        <v>#REF!</v>
      </c>
      <c r="DP550" s="1082" t="e">
        <f>DP549/DH549-1</f>
        <v>#REF!</v>
      </c>
      <c r="DQ550" s="1085" t="e">
        <f>DQ549/DI549-1</f>
        <v>#REF!</v>
      </c>
      <c r="DR550" s="1082"/>
      <c r="DS550" s="1082"/>
      <c r="DT550" s="1082"/>
      <c r="DU550" s="1082"/>
      <c r="DV550" s="1082"/>
      <c r="DW550" s="1082"/>
      <c r="DX550" s="1082"/>
      <c r="DY550" s="1085"/>
      <c r="DZ550" s="1082"/>
      <c r="EA550" s="1082"/>
      <c r="EB550" s="1082"/>
      <c r="EC550" s="1082"/>
      <c r="ED550" s="1082"/>
      <c r="EE550" s="1082"/>
      <c r="EF550" s="1082"/>
      <c r="EG550" s="1085"/>
      <c r="EH550" s="1082"/>
      <c r="EI550" s="1082"/>
      <c r="EJ550" s="1082"/>
      <c r="EK550" s="1082"/>
      <c r="EL550" s="1082"/>
      <c r="EM550" s="1082"/>
      <c r="EN550" s="1082"/>
      <c r="EO550" s="1085"/>
      <c r="EP550" s="1082"/>
      <c r="EQ550" s="1082"/>
      <c r="ER550" s="1082"/>
      <c r="ES550" s="1082"/>
      <c r="ET550" s="1082"/>
      <c r="EU550" s="1082"/>
      <c r="EV550" s="1082"/>
      <c r="IX550" s="1049"/>
      <c r="IY550" s="1049"/>
      <c r="IZ550" s="1049"/>
      <c r="JA550" s="1049"/>
      <c r="JB550" s="1049"/>
      <c r="JC550" s="1049"/>
      <c r="JD550" s="1112"/>
      <c r="JE550" s="1037"/>
      <c r="JF550" s="1037"/>
      <c r="JG550" s="1037"/>
      <c r="JH550" s="1037"/>
      <c r="JI550" s="1035"/>
      <c r="JJ550" s="1035"/>
      <c r="JK550" s="1035"/>
      <c r="JL550" s="1035"/>
      <c r="JM550" s="1035"/>
      <c r="JN550" s="1035"/>
      <c r="JO550" s="1035"/>
      <c r="JP550" s="1035"/>
      <c r="JQ550" s="1035"/>
      <c r="JR550" s="1035"/>
      <c r="JS550" s="1035"/>
      <c r="JT550" s="1035"/>
      <c r="JU550" s="1035"/>
      <c r="JV550" s="1035"/>
      <c r="JW550" s="1035"/>
      <c r="JX550" s="1035"/>
      <c r="JY550" s="1035"/>
      <c r="KP550" s="1025"/>
    </row>
    <row r="551" spans="1:302">
      <c r="A551" s="1035" t="s">
        <v>623</v>
      </c>
      <c r="B551" s="1302"/>
      <c r="C551" s="1302"/>
      <c r="D551" s="1302"/>
      <c r="E551" s="1302"/>
      <c r="F551" s="1302"/>
      <c r="G551" s="1302"/>
      <c r="H551" s="1302"/>
      <c r="I551" s="1302"/>
      <c r="J551" s="1302"/>
      <c r="K551" s="1302"/>
      <c r="L551" s="1302"/>
      <c r="M551" s="1302"/>
      <c r="N551" s="1302"/>
      <c r="O551" s="1302"/>
      <c r="P551" s="1302"/>
      <c r="Q551" s="1302"/>
      <c r="R551" s="1302"/>
      <c r="S551" s="1302"/>
      <c r="T551" s="1302"/>
      <c r="U551" s="1302"/>
      <c r="V551" s="1302"/>
      <c r="W551" s="1302"/>
      <c r="X551" s="1302"/>
      <c r="Y551" s="1302"/>
      <c r="Z551" s="1302"/>
      <c r="AA551" s="1302"/>
      <c r="AB551" s="1302"/>
      <c r="AC551" s="1302"/>
      <c r="AD551" s="1302"/>
      <c r="AE551" s="1302"/>
      <c r="AF551" s="1302"/>
      <c r="AG551" s="1302"/>
      <c r="AH551" s="1302"/>
      <c r="AI551" s="1302"/>
      <c r="AJ551" s="1302"/>
      <c r="AK551" s="1302"/>
      <c r="AL551" s="1302"/>
      <c r="AM551" s="1302"/>
      <c r="AN551" s="1302"/>
      <c r="AO551" s="1302"/>
      <c r="AP551" s="1302"/>
      <c r="AQ551" s="1302"/>
      <c r="AR551" s="1302"/>
      <c r="AS551" s="1302"/>
      <c r="AT551" s="1302"/>
      <c r="AU551" s="1302"/>
      <c r="AV551" s="1302"/>
      <c r="AW551" s="1302"/>
      <c r="AX551" s="1303"/>
      <c r="AY551" s="1302"/>
      <c r="AZ551" s="1302"/>
      <c r="BA551" s="1302"/>
      <c r="BB551" s="1302"/>
      <c r="BC551" s="1302"/>
      <c r="BD551" s="1302"/>
      <c r="BE551" s="1304"/>
      <c r="BF551" s="1302"/>
      <c r="BG551" s="1302"/>
      <c r="BH551" s="1302"/>
      <c r="BI551" s="1302"/>
      <c r="BJ551" s="1302"/>
      <c r="BK551" s="1302"/>
      <c r="BL551" s="1302"/>
      <c r="BM551" s="1302"/>
      <c r="BN551" s="1303"/>
      <c r="BO551" s="1302"/>
      <c r="BP551" s="1302"/>
      <c r="BQ551" s="1302"/>
      <c r="BR551" s="1302"/>
      <c r="BS551" s="1302"/>
      <c r="BT551" s="1302"/>
      <c r="BU551" s="1304"/>
      <c r="BV551" s="1303"/>
      <c r="BW551" s="1302"/>
      <c r="BX551" s="1302"/>
      <c r="BY551" s="1302"/>
      <c r="BZ551" s="1302"/>
      <c r="CA551" s="1302"/>
      <c r="CB551" s="1302"/>
      <c r="CC551" s="1304"/>
      <c r="CD551" s="1303"/>
      <c r="CE551" s="1302"/>
      <c r="CF551" s="1302"/>
      <c r="CG551" s="1302"/>
      <c r="CH551" s="1302"/>
      <c r="CI551" s="1302"/>
      <c r="CJ551" s="1302"/>
      <c r="CK551" s="1304"/>
      <c r="CL551" s="1303"/>
      <c r="CM551" s="1302"/>
      <c r="CN551" s="1302">
        <f>CN550-CN552</f>
        <v>0.0247159090909092</v>
      </c>
      <c r="CO551" s="1302"/>
      <c r="CP551" s="1302"/>
      <c r="CQ551" s="1302"/>
      <c r="CR551" s="1302"/>
      <c r="CS551" s="1304"/>
      <c r="CT551" s="1303">
        <f>CT550-CT552</f>
        <v>-0.0457882882882882</v>
      </c>
      <c r="CU551" s="1302">
        <f>+CU550-CU552</f>
        <v>-0.0457676240208878</v>
      </c>
      <c r="CV551" s="1302">
        <f>+CV550-CV552</f>
        <v>-0.0458645707376059</v>
      </c>
      <c r="CW551" s="1302">
        <f>+CW550-CW552</f>
        <v>-0.02740206185567</v>
      </c>
      <c r="CX551" s="1302">
        <f>+CX550-CX552</f>
        <v>-0.0386509146341464</v>
      </c>
      <c r="CY551" s="1302">
        <f t="shared" ref="CY551:DH551" si="4206">CY550-CY552</f>
        <v>-0.0764005805515239</v>
      </c>
      <c r="CZ551" s="1302">
        <f t="shared" si="4206"/>
        <v>-0.0477516576250752</v>
      </c>
      <c r="DA551" s="1304">
        <f t="shared" si="4206"/>
        <v>-0.0465016601267733</v>
      </c>
      <c r="DB551" s="1109">
        <f t="shared" si="4206"/>
        <v>-0.0580868609125894</v>
      </c>
      <c r="DC551" s="1082">
        <f t="shared" si="4206"/>
        <v>-0.0780733944954129</v>
      </c>
      <c r="DD551" s="1082">
        <f t="shared" si="4206"/>
        <v>-0.0635900405327157</v>
      </c>
      <c r="DE551" s="1082">
        <f t="shared" si="4206"/>
        <v>-0.057563401292889</v>
      </c>
      <c r="DF551" s="1082">
        <f t="shared" si="4206"/>
        <v>-0.0613723696248857</v>
      </c>
      <c r="DG551" s="1082">
        <f t="shared" si="4206"/>
        <v>0.0288713592233008</v>
      </c>
      <c r="DH551" s="1082">
        <f t="shared" si="4206"/>
        <v>-0.0186335064225197</v>
      </c>
      <c r="DI551" s="1085">
        <v>-0.047</v>
      </c>
      <c r="DJ551" s="1082">
        <v>0.0340853658536586</v>
      </c>
      <c r="DK551" s="1082">
        <v>0.0642904290429043</v>
      </c>
      <c r="DL551" s="1082">
        <f>DL545</f>
        <v>0.0420432979284159</v>
      </c>
      <c r="DM551" s="1082">
        <f>DM550-DM552</f>
        <v>0.0081876409562472</v>
      </c>
      <c r="DN551" s="1082">
        <f>DN545</f>
        <v>0.0322841000379083</v>
      </c>
      <c r="DO551" s="1488" t="e">
        <f>DO545</f>
        <v>#REF!</v>
      </c>
      <c r="DP551" s="1082" t="e">
        <f>DP550-DP552</f>
        <v>#REF!</v>
      </c>
      <c r="DQ551" s="1085" t="e">
        <f>DQ550-DQ552</f>
        <v>#REF!</v>
      </c>
      <c r="DR551" s="1488"/>
      <c r="DS551" s="1488"/>
      <c r="DT551" s="1082"/>
      <c r="DU551" s="1488"/>
      <c r="DV551" s="1082"/>
      <c r="DW551" s="1488"/>
      <c r="DX551" s="1082"/>
      <c r="DY551" s="1085"/>
      <c r="DZ551" s="1488"/>
      <c r="EA551" s="1488"/>
      <c r="EB551" s="1082"/>
      <c r="EC551" s="1488"/>
      <c r="ED551" s="1082"/>
      <c r="EE551" s="1488"/>
      <c r="EF551" s="1082"/>
      <c r="EG551" s="1085"/>
      <c r="EH551" s="1488"/>
      <c r="EI551" s="1488"/>
      <c r="EJ551" s="1082"/>
      <c r="EK551" s="1488"/>
      <c r="EL551" s="1082"/>
      <c r="EM551" s="1488"/>
      <c r="EN551" s="1082"/>
      <c r="EO551" s="1085"/>
      <c r="EP551" s="1082"/>
      <c r="EQ551" s="1082"/>
      <c r="ER551" s="1082"/>
      <c r="ES551" s="1082"/>
      <c r="ET551" s="1082"/>
      <c r="EU551" s="1082"/>
      <c r="EV551" s="1082"/>
      <c r="IX551" s="1049"/>
      <c r="IY551" s="1049"/>
      <c r="IZ551" s="1049"/>
      <c r="JA551" s="1049"/>
      <c r="JB551" s="1049"/>
      <c r="JC551" s="1049"/>
      <c r="JD551" s="1112"/>
      <c r="JE551" s="1037"/>
      <c r="JF551" s="1037"/>
      <c r="JG551" s="1037"/>
      <c r="JH551" s="1037"/>
      <c r="JI551" s="1035"/>
      <c r="JJ551" s="1035"/>
      <c r="JK551" s="1035"/>
      <c r="JL551" s="1035"/>
      <c r="JM551" s="1035"/>
      <c r="JN551" s="1035"/>
      <c r="JO551" s="1035"/>
      <c r="JP551" s="1035"/>
      <c r="JQ551" s="1035"/>
      <c r="JR551" s="1035"/>
      <c r="JS551" s="1035"/>
      <c r="JT551" s="1035"/>
      <c r="JU551" s="1035"/>
      <c r="JV551" s="1035"/>
      <c r="JW551" s="1035"/>
      <c r="JX551" s="1035"/>
      <c r="JY551" s="1035"/>
      <c r="KP551" s="1113"/>
    </row>
    <row r="552" spans="1:302">
      <c r="A552" s="1035" t="s">
        <v>624</v>
      </c>
      <c r="B552" s="1302"/>
      <c r="C552" s="1302"/>
      <c r="D552" s="1302"/>
      <c r="E552" s="1302"/>
      <c r="F552" s="1302"/>
      <c r="G552" s="1302"/>
      <c r="H552" s="1302"/>
      <c r="I552" s="1302"/>
      <c r="J552" s="1302"/>
      <c r="K552" s="1302"/>
      <c r="L552" s="1302"/>
      <c r="M552" s="1302"/>
      <c r="N552" s="1302"/>
      <c r="O552" s="1302"/>
      <c r="P552" s="1302"/>
      <c r="Q552" s="1302"/>
      <c r="R552" s="1302"/>
      <c r="S552" s="1302"/>
      <c r="T552" s="1302"/>
      <c r="U552" s="1302"/>
      <c r="V552" s="1302"/>
      <c r="W552" s="1302"/>
      <c r="X552" s="1302"/>
      <c r="Y552" s="1302"/>
      <c r="Z552" s="1302"/>
      <c r="AA552" s="1302"/>
      <c r="AB552" s="1302"/>
      <c r="AC552" s="1302"/>
      <c r="AD552" s="1302"/>
      <c r="AE552" s="1302"/>
      <c r="AF552" s="1302"/>
      <c r="AG552" s="1302"/>
      <c r="AH552" s="1302"/>
      <c r="AI552" s="1302"/>
      <c r="AJ552" s="1302"/>
      <c r="AK552" s="1302"/>
      <c r="AL552" s="1302"/>
      <c r="AM552" s="1302"/>
      <c r="AN552" s="1302"/>
      <c r="AO552" s="1302"/>
      <c r="AP552" s="1302"/>
      <c r="AQ552" s="1302"/>
      <c r="AR552" s="1302"/>
      <c r="AS552" s="1302"/>
      <c r="AT552" s="1302"/>
      <c r="AU552" s="1302"/>
      <c r="AV552" s="1302"/>
      <c r="AW552" s="1302"/>
      <c r="AX552" s="1303"/>
      <c r="AY552" s="1302"/>
      <c r="AZ552" s="1302"/>
      <c r="BA552" s="1302"/>
      <c r="BB552" s="1302"/>
      <c r="BC552" s="1302"/>
      <c r="BD552" s="1302"/>
      <c r="BE552" s="1304"/>
      <c r="BF552" s="1302"/>
      <c r="BG552" s="1302"/>
      <c r="BH552" s="1302"/>
      <c r="BI552" s="1302"/>
      <c r="BJ552" s="1302"/>
      <c r="BK552" s="1302"/>
      <c r="BL552" s="1302"/>
      <c r="BM552" s="1302"/>
      <c r="BN552" s="1303"/>
      <c r="BO552" s="1302"/>
      <c r="BP552" s="1302"/>
      <c r="BQ552" s="1302"/>
      <c r="BR552" s="1302"/>
      <c r="BS552" s="1302"/>
      <c r="BT552" s="1302"/>
      <c r="BU552" s="1304"/>
      <c r="BV552" s="1303"/>
      <c r="BW552" s="1302"/>
      <c r="BX552" s="1302"/>
      <c r="BY552" s="1302"/>
      <c r="BZ552" s="1302"/>
      <c r="CA552" s="1302"/>
      <c r="CB552" s="1302"/>
      <c r="CC552" s="1304"/>
      <c r="CD552" s="1303"/>
      <c r="CE552" s="1302"/>
      <c r="CF552" s="1302"/>
      <c r="CG552" s="1302"/>
      <c r="CH552" s="1302"/>
      <c r="CI552" s="1302"/>
      <c r="CJ552" s="1302"/>
      <c r="CK552" s="1304"/>
      <c r="CL552" s="1303"/>
      <c r="CM552" s="1302"/>
      <c r="CN552" s="1302">
        <v>0.15</v>
      </c>
      <c r="CO552" s="1302"/>
      <c r="CP552" s="1302"/>
      <c r="CQ552" s="1302"/>
      <c r="CR552" s="1302"/>
      <c r="CS552" s="1304"/>
      <c r="CT552" s="1303">
        <v>0.07</v>
      </c>
      <c r="CU552" s="1302">
        <v>0.113</v>
      </c>
      <c r="CV552" s="1302">
        <v>0.09</v>
      </c>
      <c r="CW552" s="1302">
        <v>0.064</v>
      </c>
      <c r="CX552" s="1302">
        <v>0.08</v>
      </c>
      <c r="CY552" s="1302">
        <f>(DA552*CS549-CX552*CP549)/CQ549</f>
        <v>0.27233671988389</v>
      </c>
      <c r="CZ552" s="1302">
        <f>(CY552*CQ549+CW552*CO549)/CR549</f>
        <v>0.150524412296564</v>
      </c>
      <c r="DA552" s="1304">
        <v>0.12</v>
      </c>
      <c r="DB552" s="1109">
        <v>0.14</v>
      </c>
      <c r="DC552" s="1082">
        <v>0.19</v>
      </c>
      <c r="DD552" s="1082">
        <v>0.16</v>
      </c>
      <c r="DE552" s="1082">
        <f>(DF552*CX549-DD552*CV549)/CW549</f>
        <v>0.16</v>
      </c>
      <c r="DF552" s="1082">
        <v>0.16</v>
      </c>
      <c r="DG552" s="1082">
        <f>(DI552*DA549-DF552*CX549)/CY549</f>
        <v>0.0736771844660195</v>
      </c>
      <c r="DH552" s="1082">
        <f>(DI552*DA549-DD552*CV549)/CZ549</f>
        <v>0.121120524733534</v>
      </c>
      <c r="DI552" s="1085">
        <f>DI550-DI551</f>
        <v>0.14</v>
      </c>
      <c r="DJ552" s="1082">
        <f>DJ550-DJ551</f>
        <v>-0.06</v>
      </c>
      <c r="DK552" s="1082">
        <v>-0.101694169416942</v>
      </c>
      <c r="DL552" s="1082">
        <f>DL550-DL551</f>
        <v>-0.0737306493939559</v>
      </c>
      <c r="DM552" s="1082">
        <v>-0.056</v>
      </c>
      <c r="DN552" s="1082">
        <f>DN636</f>
        <v>-0.06</v>
      </c>
      <c r="DO552" s="1488">
        <v>0.03</v>
      </c>
      <c r="DP552" s="1082">
        <f>(DO552*DG549+DM552*DE549)/DH549</f>
        <v>-0.0172637580565196</v>
      </c>
      <c r="DQ552" s="1085">
        <f>(DP552*DH549+DL552*DD549)/DI549</f>
        <v>-0.0446055452314168</v>
      </c>
      <c r="DR552" s="1488"/>
      <c r="DS552" s="1488"/>
      <c r="DT552" s="1082"/>
      <c r="DU552" s="1488"/>
      <c r="DV552" s="1082"/>
      <c r="DW552" s="1488"/>
      <c r="DX552" s="1082"/>
      <c r="DY552" s="1085"/>
      <c r="DZ552" s="1488"/>
      <c r="EA552" s="1488"/>
      <c r="EB552" s="1082"/>
      <c r="EC552" s="1488"/>
      <c r="ED552" s="1082"/>
      <c r="EE552" s="1488"/>
      <c r="EF552" s="1082"/>
      <c r="EG552" s="1085"/>
      <c r="EH552" s="1488"/>
      <c r="EI552" s="1488"/>
      <c r="EJ552" s="1082"/>
      <c r="EK552" s="1488"/>
      <c r="EL552" s="1082"/>
      <c r="EM552" s="1488"/>
      <c r="EN552" s="1082"/>
      <c r="EO552" s="1085"/>
      <c r="EP552" s="1082"/>
      <c r="EQ552" s="1082"/>
      <c r="ER552" s="1082"/>
      <c r="ES552" s="1082"/>
      <c r="ET552" s="1082"/>
      <c r="EU552" s="1082"/>
      <c r="EV552" s="1082"/>
      <c r="IX552" s="1049"/>
      <c r="IY552" s="1049"/>
      <c r="IZ552" s="1049"/>
      <c r="JA552" s="1049"/>
      <c r="JB552" s="1049"/>
      <c r="JC552" s="1049"/>
      <c r="JD552" s="1041"/>
      <c r="JE552" s="1037"/>
      <c r="JF552" s="1037"/>
      <c r="JG552" s="1037"/>
      <c r="JH552" s="1037"/>
      <c r="JI552" s="1035"/>
      <c r="JJ552" s="1035"/>
      <c r="JK552" s="1035"/>
      <c r="JL552" s="1035"/>
      <c r="JM552" s="1035"/>
      <c r="JN552" s="1035"/>
      <c r="JO552" s="1035"/>
      <c r="JP552" s="1035"/>
      <c r="JQ552" s="1035"/>
      <c r="JR552" s="1035"/>
      <c r="JS552" s="1035"/>
      <c r="JT552" s="1035"/>
      <c r="JU552" s="1035"/>
      <c r="JV552" s="1035"/>
      <c r="JW552" s="1035"/>
      <c r="JX552" s="1035"/>
      <c r="JY552" s="1035"/>
      <c r="KP552" s="1179"/>
    </row>
    <row r="553" spans="1:302">
      <c r="A553" s="1035" t="s">
        <v>621</v>
      </c>
      <c r="B553" s="1302">
        <v>0.591182364729459</v>
      </c>
      <c r="C553" s="1302">
        <v>0.516688918558078</v>
      </c>
      <c r="D553" s="1302">
        <f>D549/D$570</f>
        <v>0.559244419004007</v>
      </c>
      <c r="E553" s="1302">
        <v>0.497897623400366</v>
      </c>
      <c r="F553" s="1302">
        <f>F549/F$570</f>
        <v>0.535621260119676</v>
      </c>
      <c r="G553" s="1302">
        <v>0.407008495145631</v>
      </c>
      <c r="H553" s="1302">
        <f>H549/H$570</f>
        <v>0.49446539350444</v>
      </c>
      <c r="I553" s="1302">
        <f>I549/I$570</f>
        <v>0.511399348608651</v>
      </c>
      <c r="J553" s="1302">
        <v>0.495405179615706</v>
      </c>
      <c r="K553" s="1302">
        <v>0.502392344497608</v>
      </c>
      <c r="L553" s="1302">
        <f>L549/L$570</f>
        <v>0.498661909009813</v>
      </c>
      <c r="M553" s="1302">
        <v>0.459578804347826</v>
      </c>
      <c r="N553" s="1302">
        <f>N549/N$570</f>
        <v>0.483171782444803</v>
      </c>
      <c r="O553" s="1302">
        <v>0.378012048192771</v>
      </c>
      <c r="P553" s="1302">
        <f>P549/P$570</f>
        <v>0.454565076624218</v>
      </c>
      <c r="Q553" s="1302">
        <f>Q549/Q$570</f>
        <v>0.460934182590234</v>
      </c>
      <c r="R553" s="1302">
        <v>0.45826036193812</v>
      </c>
      <c r="S553" s="1302">
        <v>0.463910301331465</v>
      </c>
      <c r="T553" s="1302">
        <f>T549/T$570</f>
        <v>0.460828025477707</v>
      </c>
      <c r="U553" s="1302">
        <v>0.417910447761194</v>
      </c>
      <c r="V553" s="1302">
        <f>V549/V$570</f>
        <v>0.443414080242241</v>
      </c>
      <c r="W553" s="1302">
        <v>0.374115983026874</v>
      </c>
      <c r="X553" s="1302">
        <f>X549/X$570</f>
        <v>0.437116564417178</v>
      </c>
      <c r="Y553" s="1302">
        <f>Y549/Y$570</f>
        <v>0.428784711854285</v>
      </c>
      <c r="Z553" s="1302">
        <v>0.36797385620915</v>
      </c>
      <c r="AA553" s="1302">
        <v>0.395573440643863</v>
      </c>
      <c r="AB553" s="1302">
        <f>AB549/AB$570</f>
        <v>0.38034265103697</v>
      </c>
      <c r="AC553" s="1302">
        <v>0.342600896860987</v>
      </c>
      <c r="AD553" s="1302">
        <f>AD549/AD$570</f>
        <v>0.366141732283465</v>
      </c>
      <c r="AE553" s="1302">
        <v>0.249547192594083</v>
      </c>
      <c r="AF553" s="1302">
        <f>AF549/AF$570</f>
        <v>0.312207195262088</v>
      </c>
      <c r="AG553" s="1302">
        <f>AG549/AG$570</f>
        <v>0.340674315354521</v>
      </c>
      <c r="AH553" s="1302">
        <v>0.874730021598272</v>
      </c>
      <c r="AI553" s="1302">
        <v>0.854822505023443</v>
      </c>
      <c r="AJ553" s="1302">
        <f>AJ549/AJ$570</f>
        <v>0.865526050940621</v>
      </c>
      <c r="AK553" s="1302">
        <v>0.842539682539683</v>
      </c>
      <c r="AL553" s="1302">
        <f>AL549/AL$570</f>
        <v>0.856819930742593</v>
      </c>
      <c r="AM553" s="1302">
        <v>0.721804511278195</v>
      </c>
      <c r="AN553" s="1302">
        <f>AN549/AN$570</f>
        <v>0.812987012987013</v>
      </c>
      <c r="AO553" s="1302">
        <f>AO549/AO$570</f>
        <v>0.826642267617732</v>
      </c>
      <c r="AP553" s="1302">
        <v>0.835860250494397</v>
      </c>
      <c r="AQ553" s="1302">
        <v>0.832532051282051</v>
      </c>
      <c r="AR553" s="1302">
        <f>AR549/AR$570</f>
        <v>0.834358047016275</v>
      </c>
      <c r="AS553" s="1302">
        <v>0.825879546809779</v>
      </c>
      <c r="AT553" s="1302">
        <f>AT549/AT$570</f>
        <v>0.831157136425034</v>
      </c>
      <c r="AU553" s="1302">
        <v>0.703517587939699</v>
      </c>
      <c r="AV553" s="1302">
        <f>AV549/AV$570</f>
        <v>0.791234526597524</v>
      </c>
      <c r="AW553" s="1302">
        <f>AW549/AW$570</f>
        <v>0.800685518423308</v>
      </c>
      <c r="AX553" s="1303">
        <v>0.819640564826701</v>
      </c>
      <c r="AY553" s="1302">
        <v>0.816520467836257</v>
      </c>
      <c r="AZ553" s="1302">
        <f>AZ549/AZ$570</f>
        <v>0.818181818181818</v>
      </c>
      <c r="BA553" s="1302">
        <v>0.802793296089385</v>
      </c>
      <c r="BB553" s="1302">
        <f>BB549/BB$570</f>
        <v>0.808739708676377</v>
      </c>
      <c r="BC553" s="1302">
        <v>0.711827956989247</v>
      </c>
      <c r="BD553" s="1302">
        <f>BD549/BD$570</f>
        <v>0.791788856304985</v>
      </c>
      <c r="BE553" s="1304">
        <f>BE549/BE$570</f>
        <v>0.779046782341313</v>
      </c>
      <c r="BF553" s="1302">
        <v>0.811965811965812</v>
      </c>
      <c r="BG553" s="1302">
        <v>0.812209688122097</v>
      </c>
      <c r="BH553" s="1302">
        <f>BH549/BH$570</f>
        <v>0.8120826709062</v>
      </c>
      <c r="BI553" s="1302">
        <v>0.802786709539121</v>
      </c>
      <c r="BJ553" s="1302">
        <f>BJ549/BJ$570</f>
        <v>0.808621033725803</v>
      </c>
      <c r="BK553" s="1302">
        <v>0.698213103904699</v>
      </c>
      <c r="BL553" s="1302">
        <f>BL549/BL$570</f>
        <v>0.780733944954128</v>
      </c>
      <c r="BM553" s="1302">
        <f>BM549/BM$570</f>
        <v>0.783042011652867</v>
      </c>
      <c r="BN553" s="1303">
        <v>0.841821449970042</v>
      </c>
      <c r="BO553" s="1302">
        <v>0.816810344827586</v>
      </c>
      <c r="BP553" s="1302">
        <f>BP549/BP$570</f>
        <v>0.830447566154851</v>
      </c>
      <c r="BQ553" s="1302">
        <v>0.796006475984889</v>
      </c>
      <c r="BR553" s="1302">
        <f>BR549/BR$570</f>
        <v>0.817460317460317</v>
      </c>
      <c r="BS553" s="1302">
        <v>0.689069423929099</v>
      </c>
      <c r="BT553" s="1302">
        <f>BT549/BT$570</f>
        <v>0.768837803320562</v>
      </c>
      <c r="BU553" s="1304">
        <f>BU549/BU$570</f>
        <v>0.789725590299936</v>
      </c>
      <c r="BV553" s="1303">
        <v>0.915614617940199</v>
      </c>
      <c r="BW553" s="1302">
        <v>0.861527480371163</v>
      </c>
      <c r="BX553" s="1302">
        <f>BX549/BX$570</f>
        <v>0.889538885065382</v>
      </c>
      <c r="BY553" s="1302">
        <v>0.803480040941658</v>
      </c>
      <c r="BZ553" s="1302">
        <f>BZ549/BZ$570</f>
        <v>0.854938271604938</v>
      </c>
      <c r="CA553" s="1302">
        <v>0.85498742665549</v>
      </c>
      <c r="CB553" s="1302">
        <f>CB549/CB$570</f>
        <v>0.845300261096606</v>
      </c>
      <c r="CC553" s="1304">
        <f>CC549/CC$570</f>
        <v>0.85494795968941</v>
      </c>
      <c r="CD553" s="1303">
        <v>0.903765690376569</v>
      </c>
      <c r="CE553" s="1302">
        <v>0.860158311345646</v>
      </c>
      <c r="CF553" s="1302">
        <f>CF549/CF$570</f>
        <v>0.883035434305425</v>
      </c>
      <c r="CG553" s="1302">
        <v>0.898648648648649</v>
      </c>
      <c r="CH553" s="1302">
        <f>CH549/CH$570</f>
        <v>0.888910619988265</v>
      </c>
      <c r="CI553" s="1302">
        <v>0.865220249835635</v>
      </c>
      <c r="CJ553" s="1302">
        <f>CJ549/CJ$570</f>
        <v>0.88388969521045</v>
      </c>
      <c r="CK553" s="1304">
        <f>CK549/CK$570</f>
        <v>0.883479047331926</v>
      </c>
      <c r="CL553" s="1303">
        <v>0.722249488219213</v>
      </c>
      <c r="CM553" s="1302">
        <f t="shared" ref="CM553:DQ553" si="4207">CM549/CM$570</f>
        <v>0.630971993410214</v>
      </c>
      <c r="CN553" s="1302">
        <f t="shared" si="4207"/>
        <v>0.676900096171108</v>
      </c>
      <c r="CO553" s="1302">
        <f t="shared" si="4207"/>
        <v>0.657846569402406</v>
      </c>
      <c r="CP553" s="1302">
        <f t="shared" si="4207"/>
        <v>0.669729453802961</v>
      </c>
      <c r="CQ553" s="1302">
        <f t="shared" si="4207"/>
        <v>0.612989323843416</v>
      </c>
      <c r="CR553" s="1302">
        <f t="shared" si="4207"/>
        <v>0.638443302268276</v>
      </c>
      <c r="CS553" s="1304">
        <f t="shared" si="4207"/>
        <v>0.657080523601745</v>
      </c>
      <c r="CT553" s="1303">
        <f t="shared" si="4207"/>
        <v>0.716706067769898</v>
      </c>
      <c r="CU553" s="1302">
        <f t="shared" si="4207"/>
        <v>0.68125</v>
      </c>
      <c r="CV553" s="1302">
        <f t="shared" si="4207"/>
        <v>0.699487636444643</v>
      </c>
      <c r="CW553" s="1302">
        <f t="shared" si="4207"/>
        <v>0.683874039311705</v>
      </c>
      <c r="CX553" s="1302">
        <f t="shared" si="4207"/>
        <v>0.693615941109278</v>
      </c>
      <c r="CY553" s="1302">
        <f t="shared" si="4207"/>
        <v>0.6812732534105</v>
      </c>
      <c r="CZ553" s="1302">
        <f t="shared" si="4207"/>
        <v>0.682700201507575</v>
      </c>
      <c r="DA553" s="1304">
        <f t="shared" si="4207"/>
        <v>0.690716644008545</v>
      </c>
      <c r="DB553" s="1109">
        <f t="shared" si="4207"/>
        <v>0.750858450972911</v>
      </c>
      <c r="DC553" s="1082">
        <f t="shared" si="4207"/>
        <v>0.721142403808013</v>
      </c>
      <c r="DD553" s="1082">
        <f t="shared" si="4207"/>
        <v>0.736483858420848</v>
      </c>
      <c r="DE553" s="1082">
        <f t="shared" si="4207"/>
        <v>0.720038973692757</v>
      </c>
      <c r="DF553" s="1082">
        <f t="shared" si="4207"/>
        <v>0.731659761150378</v>
      </c>
      <c r="DG553" s="1082">
        <f t="shared" si="4207"/>
        <v>0.700732741997686</v>
      </c>
      <c r="DH553" s="1082">
        <f t="shared" si="4207"/>
        <v>0.713098815626657</v>
      </c>
      <c r="DI553" s="1085">
        <f t="shared" si="4207"/>
        <v>0.724233725344939</v>
      </c>
      <c r="DJ553" s="1082">
        <f t="shared" si="4207"/>
        <v>0.743888242142026</v>
      </c>
      <c r="DK553" s="1082">
        <f t="shared" si="4207"/>
        <v>0.712250712250712</v>
      </c>
      <c r="DL553" s="1082">
        <f t="shared" si="4207"/>
        <v>0.72844656336909</v>
      </c>
      <c r="DM553" s="1082">
        <f t="shared" si="4207"/>
        <v>0.73095567867036</v>
      </c>
      <c r="DN553" s="1082">
        <f t="shared" si="4207"/>
        <v>0.729361272405958</v>
      </c>
      <c r="DO553" s="1082" t="e">
        <f t="shared" si="4207"/>
        <v>#REF!</v>
      </c>
      <c r="DP553" s="1082" t="e">
        <f t="shared" si="4207"/>
        <v>#REF!</v>
      </c>
      <c r="DQ553" s="1085" t="e">
        <f t="shared" si="4207"/>
        <v>#REF!</v>
      </c>
      <c r="DR553" s="1082"/>
      <c r="DS553" s="1082"/>
      <c r="DT553" s="1082"/>
      <c r="DU553" s="1082"/>
      <c r="DV553" s="1082"/>
      <c r="DW553" s="1082"/>
      <c r="DX553" s="1082"/>
      <c r="DY553" s="1085"/>
      <c r="DZ553" s="1082"/>
      <c r="EA553" s="1082"/>
      <c r="EB553" s="1082"/>
      <c r="EC553" s="1082"/>
      <c r="ED553" s="1082"/>
      <c r="EE553" s="1082"/>
      <c r="EF553" s="1082"/>
      <c r="EG553" s="1085"/>
      <c r="EH553" s="1082"/>
      <c r="EI553" s="1082"/>
      <c r="EJ553" s="1082"/>
      <c r="EK553" s="1082"/>
      <c r="EL553" s="1082"/>
      <c r="EM553" s="1082"/>
      <c r="EN553" s="1082"/>
      <c r="EO553" s="1085"/>
      <c r="EP553" s="1082"/>
      <c r="EQ553" s="1082"/>
      <c r="ER553" s="1082"/>
      <c r="ES553" s="1082"/>
      <c r="ET553" s="1082"/>
      <c r="EU553" s="1082"/>
      <c r="EV553" s="1082"/>
      <c r="IX553" s="1049"/>
      <c r="IY553" s="1049"/>
      <c r="IZ553" s="1049"/>
      <c r="JA553" s="1049"/>
      <c r="JB553" s="1049"/>
      <c r="JC553" s="1049"/>
      <c r="JD553" s="1041"/>
      <c r="JE553" s="1037"/>
      <c r="JF553" s="1037"/>
      <c r="JG553" s="1037"/>
      <c r="JH553" s="1037"/>
      <c r="JI553" s="1035"/>
      <c r="JJ553" s="1035"/>
      <c r="JK553" s="1035"/>
      <c r="JL553" s="1035"/>
      <c r="JM553" s="1035"/>
      <c r="JN553" s="1035"/>
      <c r="JO553" s="1035"/>
      <c r="JP553" s="1035"/>
      <c r="JQ553" s="1035"/>
      <c r="JR553" s="1035"/>
      <c r="JS553" s="1035"/>
      <c r="JT553" s="1035"/>
      <c r="JU553" s="1035"/>
      <c r="JV553" s="1035"/>
      <c r="JW553" s="1035"/>
      <c r="JX553" s="1035"/>
      <c r="JY553" s="1035"/>
      <c r="KP553" s="1179"/>
    </row>
    <row r="554" spans="1:302">
      <c r="A554" s="1306" t="s">
        <v>620</v>
      </c>
      <c r="B554" s="1307">
        <v>193.2714</v>
      </c>
      <c r="C554" s="1307">
        <v>155.4352</v>
      </c>
      <c r="D554" s="1307">
        <f>B554+C554</f>
        <v>348.7066</v>
      </c>
      <c r="E554" s="1307">
        <v>249.0031</v>
      </c>
      <c r="F554" s="1307">
        <f>D554+E554</f>
        <v>597.7097</v>
      </c>
      <c r="G554" s="1307">
        <v>183.5567</v>
      </c>
      <c r="H554" s="1307">
        <f>B554+G554</f>
        <v>376.8281</v>
      </c>
      <c r="I554" s="1307">
        <f>F554+G554</f>
        <v>781.2664</v>
      </c>
      <c r="J554" s="1307">
        <v>284.7941</v>
      </c>
      <c r="K554" s="1307">
        <v>238.2658</v>
      </c>
      <c r="L554" s="1307">
        <f>J554+K554</f>
        <v>523.0599</v>
      </c>
      <c r="M554" s="1307">
        <v>362.25605</v>
      </c>
      <c r="N554" s="1307">
        <f>L554+M554</f>
        <v>885.31595</v>
      </c>
      <c r="O554" s="1307">
        <v>297.83225</v>
      </c>
      <c r="P554" s="1307">
        <f>J554+O554</f>
        <v>582.62635</v>
      </c>
      <c r="Q554" s="1307">
        <f>N554+O554</f>
        <v>1183.1482</v>
      </c>
      <c r="R554" s="1307">
        <v>445.3423</v>
      </c>
      <c r="S554" s="1307">
        <v>364.5569</v>
      </c>
      <c r="T554" s="1307">
        <f>R554+S554</f>
        <v>809.8992</v>
      </c>
      <c r="U554" s="1307">
        <v>597.7097</v>
      </c>
      <c r="V554" s="1307">
        <f>T554+U554</f>
        <v>1407.6089</v>
      </c>
      <c r="W554" s="1307">
        <v>426.16855</v>
      </c>
      <c r="X554" s="1307">
        <f>R554+W554</f>
        <v>871.51085</v>
      </c>
      <c r="Y554" s="1307">
        <f>V554+W554</f>
        <v>1833.77745</v>
      </c>
      <c r="Z554" s="1307">
        <v>594.6419</v>
      </c>
      <c r="AA554" s="1307">
        <v>472.9525</v>
      </c>
      <c r="AB554" s="1307">
        <f>Z554+AA554</f>
        <v>1067.5944</v>
      </c>
      <c r="AC554" s="1307">
        <v>683.0968</v>
      </c>
      <c r="AD554" s="1307">
        <f>AB554+AC554</f>
        <v>1750.6912</v>
      </c>
      <c r="AE554" s="1307">
        <v>432.5598</v>
      </c>
      <c r="AF554" s="1307">
        <f>Z554+AE554</f>
        <v>1027.2017</v>
      </c>
      <c r="AG554" s="1307">
        <f>AD554+AE554</f>
        <v>2183.251</v>
      </c>
      <c r="AH554" s="1307">
        <v>80</v>
      </c>
      <c r="AI554" s="1307">
        <v>41</v>
      </c>
      <c r="AJ554" s="1307">
        <f>AH554+AI554</f>
        <v>121</v>
      </c>
      <c r="AK554" s="1307">
        <v>157</v>
      </c>
      <c r="AL554" s="1307">
        <f>AJ554+AK554</f>
        <v>278</v>
      </c>
      <c r="AM554" s="1307">
        <v>265</v>
      </c>
      <c r="AN554" s="1307">
        <f>AH554+AM554</f>
        <v>345</v>
      </c>
      <c r="AO554" s="1307">
        <f>AL554+AM554</f>
        <v>543</v>
      </c>
      <c r="AP554" s="1307">
        <v>98</v>
      </c>
      <c r="AQ554" s="1307">
        <v>56</v>
      </c>
      <c r="AR554" s="1307">
        <f>AP554+AQ554</f>
        <v>154</v>
      </c>
      <c r="AS554" s="1307">
        <v>179</v>
      </c>
      <c r="AT554" s="1307">
        <f>AR554+AS554</f>
        <v>333</v>
      </c>
      <c r="AU554" s="1307">
        <v>315</v>
      </c>
      <c r="AV554" s="1307">
        <f>AP554+AU554</f>
        <v>413</v>
      </c>
      <c r="AW554" s="1307">
        <f>AT554+AU554</f>
        <v>648</v>
      </c>
      <c r="AX554" s="1308">
        <v>105</v>
      </c>
      <c r="AY554" s="1307">
        <v>58</v>
      </c>
      <c r="AZ554" s="1307">
        <f>AX554+AY554</f>
        <v>163</v>
      </c>
      <c r="BA554" s="1307">
        <v>221</v>
      </c>
      <c r="BB554" s="1307">
        <f>AY554+BA554</f>
        <v>279</v>
      </c>
      <c r="BC554" s="1307">
        <v>272</v>
      </c>
      <c r="BD554" s="1307">
        <f>AX554+BC554</f>
        <v>377</v>
      </c>
      <c r="BE554" s="1309">
        <f>BB554+BC554</f>
        <v>551</v>
      </c>
      <c r="BF554" s="1307">
        <v>123</v>
      </c>
      <c r="BG554" s="1307">
        <v>71</v>
      </c>
      <c r="BH554" s="1307">
        <f>BF554+BG554</f>
        <v>194</v>
      </c>
      <c r="BI554" s="1307">
        <v>230</v>
      </c>
      <c r="BJ554" s="1307">
        <f>BH554+BI554</f>
        <v>424</v>
      </c>
      <c r="BK554" s="1307">
        <v>260</v>
      </c>
      <c r="BL554" s="1307">
        <f>BF554+BK554</f>
        <v>383</v>
      </c>
      <c r="BM554" s="1307">
        <f>BJ554+BK554</f>
        <v>684</v>
      </c>
      <c r="BN554" s="1308">
        <v>124</v>
      </c>
      <c r="BO554" s="1307">
        <v>67</v>
      </c>
      <c r="BP554" s="1307">
        <f>BN554+BO554</f>
        <v>191</v>
      </c>
      <c r="BQ554" s="1307">
        <v>199</v>
      </c>
      <c r="BR554" s="1307">
        <f>BP554+BQ554</f>
        <v>390</v>
      </c>
      <c r="BS554" s="1307">
        <v>268</v>
      </c>
      <c r="BT554" s="1307">
        <f>BN554+BS554</f>
        <v>392</v>
      </c>
      <c r="BU554" s="1309">
        <f>BR554+BS554</f>
        <v>658</v>
      </c>
      <c r="BV554" s="1308">
        <v>122</v>
      </c>
      <c r="BW554" s="1307">
        <v>72</v>
      </c>
      <c r="BX554" s="1307">
        <f>BV554+BW554</f>
        <v>194</v>
      </c>
      <c r="BY554" s="1307">
        <v>205</v>
      </c>
      <c r="BZ554" s="1307">
        <f>BX554+BY554</f>
        <v>399</v>
      </c>
      <c r="CA554" s="1307">
        <v>253</v>
      </c>
      <c r="CB554" s="1307">
        <f>BV554+CA554</f>
        <v>375</v>
      </c>
      <c r="CC554" s="1309">
        <f>BZ554+CA554</f>
        <v>652</v>
      </c>
      <c r="CD554" s="1308">
        <v>112</v>
      </c>
      <c r="CE554" s="1307">
        <v>0</v>
      </c>
      <c r="CF554" s="1307">
        <f>CD554+CE554</f>
        <v>112</v>
      </c>
      <c r="CG554" s="1307">
        <v>0</v>
      </c>
      <c r="CH554" s="1307">
        <f>CF554+CG554</f>
        <v>112</v>
      </c>
      <c r="CI554" s="1307">
        <v>0</v>
      </c>
      <c r="CJ554" s="1307">
        <f>CD554+CI554</f>
        <v>112</v>
      </c>
      <c r="CK554" s="1309">
        <f>CH554+CI554</f>
        <v>112</v>
      </c>
      <c r="CL554" s="1308"/>
      <c r="CM554" s="1307"/>
      <c r="CN554" s="1307"/>
      <c r="CO554" s="1307"/>
      <c r="CP554" s="1307"/>
      <c r="CQ554" s="1307"/>
      <c r="CR554" s="1307"/>
      <c r="CS554" s="1309"/>
      <c r="CT554" s="1308"/>
      <c r="CU554" s="1307"/>
      <c r="CV554" s="1307"/>
      <c r="CW554" s="1307"/>
      <c r="CX554" s="1307"/>
      <c r="CY554" s="1307"/>
      <c r="CZ554" s="1307"/>
      <c r="DA554" s="1309"/>
      <c r="DB554" s="1332"/>
      <c r="DC554" s="1311"/>
      <c r="DD554" s="1311"/>
      <c r="DE554" s="1311"/>
      <c r="DF554" s="1311"/>
      <c r="DG554" s="1311"/>
      <c r="DH554" s="1311"/>
      <c r="DI554" s="1312"/>
      <c r="DJ554" s="1311"/>
      <c r="DK554" s="1311"/>
      <c r="DL554" s="1311"/>
      <c r="DM554" s="1311"/>
      <c r="DN554" s="1311"/>
      <c r="DO554" s="1311"/>
      <c r="DP554" s="1311"/>
      <c r="DQ554" s="1312"/>
      <c r="DR554" s="1311"/>
      <c r="DS554" s="1311"/>
      <c r="DT554" s="1311"/>
      <c r="DU554" s="1311"/>
      <c r="DV554" s="1311"/>
      <c r="DW554" s="1311"/>
      <c r="DX554" s="1311"/>
      <c r="DY554" s="1312"/>
      <c r="DZ554" s="1311"/>
      <c r="EA554" s="1311"/>
      <c r="EB554" s="1311"/>
      <c r="EC554" s="1311"/>
      <c r="ED554" s="1311"/>
      <c r="EE554" s="1311"/>
      <c r="EF554" s="1311"/>
      <c r="EG554" s="1312"/>
      <c r="EH554" s="1311"/>
      <c r="EI554" s="1311"/>
      <c r="EJ554" s="1311"/>
      <c r="EK554" s="1311"/>
      <c r="EL554" s="1311"/>
      <c r="EM554" s="1311"/>
      <c r="EN554" s="1311"/>
      <c r="EO554" s="1312"/>
      <c r="EP554" s="1311"/>
      <c r="EQ554" s="1311"/>
      <c r="ER554" s="1311"/>
      <c r="ES554" s="1311"/>
      <c r="ET554" s="1311"/>
      <c r="EU554" s="1311"/>
      <c r="EV554" s="1311"/>
      <c r="IX554" s="1049"/>
      <c r="IY554" s="1049"/>
      <c r="IZ554" s="1049"/>
      <c r="JA554" s="1049"/>
      <c r="JB554" s="1049"/>
      <c r="JC554" s="1049"/>
      <c r="JD554" s="1041"/>
      <c r="JE554" s="1037"/>
      <c r="JF554" s="1037"/>
      <c r="JG554" s="1037"/>
      <c r="JH554" s="1037"/>
      <c r="JI554" s="1035"/>
      <c r="JJ554" s="1035"/>
      <c r="JK554" s="1035"/>
      <c r="JL554" s="1035"/>
      <c r="JM554" s="1035"/>
      <c r="JN554" s="1035"/>
      <c r="JO554" s="1035"/>
      <c r="JP554" s="1035"/>
      <c r="JQ554" s="1035"/>
      <c r="JR554" s="1035"/>
      <c r="JS554" s="1035"/>
      <c r="JT554" s="1035"/>
      <c r="JU554" s="1035"/>
      <c r="JV554" s="1035"/>
      <c r="JW554" s="1035"/>
      <c r="JX554" s="1035"/>
      <c r="JY554" s="1035"/>
      <c r="KP554" s="1113"/>
    </row>
    <row r="555" spans="1:302">
      <c r="A555" s="1035" t="s">
        <v>142</v>
      </c>
      <c r="B555" s="1302" t="s">
        <v>173</v>
      </c>
      <c r="C555" s="1302" t="s">
        <v>173</v>
      </c>
      <c r="D555" s="1302" t="s">
        <v>173</v>
      </c>
      <c r="E555" s="1302" t="s">
        <v>173</v>
      </c>
      <c r="F555" s="1302" t="s">
        <v>173</v>
      </c>
      <c r="G555" s="1302" t="s">
        <v>173</v>
      </c>
      <c r="H555" s="1302" t="e">
        <f>H554/#REF!-1</f>
        <v>#REF!</v>
      </c>
      <c r="I555" s="1302" t="s">
        <v>173</v>
      </c>
      <c r="J555" s="1302">
        <v>0.473544973544974</v>
      </c>
      <c r="K555" s="1302">
        <v>0.532894736842105</v>
      </c>
      <c r="L555" s="1302">
        <f>L554/D554-1</f>
        <v>0.5</v>
      </c>
      <c r="M555" s="1302">
        <v>0.45482546201232</v>
      </c>
      <c r="N555" s="1302">
        <f>N554/F554-1</f>
        <v>0.481180496150556</v>
      </c>
      <c r="O555" s="1302">
        <v>0.622562674094708</v>
      </c>
      <c r="P555" s="1302">
        <f>P554/H554-1</f>
        <v>0.546132971506106</v>
      </c>
      <c r="Q555" s="1302">
        <f>Q554/I554-1</f>
        <v>0.514397905759162</v>
      </c>
      <c r="R555" s="1302">
        <v>0.563734290843806</v>
      </c>
      <c r="S555" s="1302">
        <v>0.530042918454936</v>
      </c>
      <c r="T555" s="1302">
        <f>T554/L554-1</f>
        <v>0.548387096774194</v>
      </c>
      <c r="U555" s="1302">
        <v>0.649964714184898</v>
      </c>
      <c r="V555" s="1302">
        <f>V554/N554-1</f>
        <v>0.58995090961594</v>
      </c>
      <c r="W555" s="1302">
        <v>0.430901287553648</v>
      </c>
      <c r="X555" s="1302">
        <f>X554/P554-1</f>
        <v>0.495831505046073</v>
      </c>
      <c r="Y555" s="1302">
        <f>Y554/Q554-1</f>
        <v>0.549913569576491</v>
      </c>
      <c r="Z555" s="1302">
        <v>0.335246842709529</v>
      </c>
      <c r="AA555" s="1302">
        <v>0.297335203366059</v>
      </c>
      <c r="AB555" s="1302">
        <f>AB554/T554-1</f>
        <v>0.318181818181818</v>
      </c>
      <c r="AC555" s="1302">
        <v>0.142857142857143</v>
      </c>
      <c r="AD555" s="1302">
        <f>AD554/V554-1</f>
        <v>0.24373410824555</v>
      </c>
      <c r="AE555" s="1302">
        <v>0.0149970005998801</v>
      </c>
      <c r="AF555" s="1302">
        <f>AF554/X554-1</f>
        <v>0.17864476386037</v>
      </c>
      <c r="AG555" s="1302">
        <f>AG554/Y554-1</f>
        <v>0.190575770249547</v>
      </c>
      <c r="AH555" s="1302">
        <v>-0.865465248917037</v>
      </c>
      <c r="AI555" s="1302">
        <v>-0.913310533298799</v>
      </c>
      <c r="AJ555" s="1302">
        <f>AJ554/AB554-1</f>
        <v>-0.886661076528689</v>
      </c>
      <c r="AK555" s="1302">
        <v>-0.77016434566814</v>
      </c>
      <c r="AL555" s="1302">
        <f>AL554/AD554-1</f>
        <v>-0.841205576403194</v>
      </c>
      <c r="AM555" s="1302">
        <v>-0.387367943114455</v>
      </c>
      <c r="AN555" s="1302">
        <f>AN554/AF554-1</f>
        <v>-0.664136069868264</v>
      </c>
      <c r="AO555" s="1302">
        <f>AO554/AG554-1</f>
        <v>-0.751288331025613</v>
      </c>
      <c r="AP555" s="1302">
        <v>0.225</v>
      </c>
      <c r="AQ555" s="1302">
        <v>0.365853658536585</v>
      </c>
      <c r="AR555" s="1302">
        <f>AR554/AJ554-1</f>
        <v>0.272727272727273</v>
      </c>
      <c r="AS555" s="1302">
        <v>0.140127388535032</v>
      </c>
      <c r="AT555" s="1302">
        <f>AT554/AL554-1</f>
        <v>0.197841726618705</v>
      </c>
      <c r="AU555" s="1302">
        <v>0.188679245283019</v>
      </c>
      <c r="AV555" s="1302">
        <f>AV554/AN554-1</f>
        <v>0.197101449275362</v>
      </c>
      <c r="AW555" s="1302">
        <f>AW554/AO554-1</f>
        <v>0.193370165745856</v>
      </c>
      <c r="AX555" s="1303">
        <v>0.0714285714285714</v>
      </c>
      <c r="AY555" s="1302">
        <v>0.0357142857142858</v>
      </c>
      <c r="AZ555" s="1302">
        <f>AZ554/AR554-1</f>
        <v>0.0584415584415585</v>
      </c>
      <c r="BA555" s="1302">
        <v>0.23463687150838</v>
      </c>
      <c r="BB555" s="1302">
        <f>BB554/AT554-1</f>
        <v>-0.162162162162162</v>
      </c>
      <c r="BC555" s="1302">
        <v>-0.136507936507936</v>
      </c>
      <c r="BD555" s="1302">
        <f>BD554/AV554-1</f>
        <v>-0.0871670702179177</v>
      </c>
      <c r="BE555" s="1304">
        <f>BE554/AW554-1</f>
        <v>-0.149691358024691</v>
      </c>
      <c r="BF555" s="1302">
        <v>0.171428571428571</v>
      </c>
      <c r="BG555" s="1302">
        <v>0.224137931034483</v>
      </c>
      <c r="BH555" s="1302">
        <f>BH554/AZ554-1</f>
        <v>0.190184049079755</v>
      </c>
      <c r="BI555" s="1302">
        <v>0.0407239819004526</v>
      </c>
      <c r="BJ555" s="1302">
        <f>BJ554/BB554-1</f>
        <v>0.519713261648745</v>
      </c>
      <c r="BK555" s="1302">
        <v>-0.0441176470588235</v>
      </c>
      <c r="BL555" s="1302">
        <f>BL554/BD554-1</f>
        <v>0.0159151193633953</v>
      </c>
      <c r="BM555" s="1302">
        <f>BM554/BE554-1</f>
        <v>0.241379310344828</v>
      </c>
      <c r="BN555" s="1303">
        <v>0.00813008130081294</v>
      </c>
      <c r="BO555" s="1302">
        <v>-0.0563380281690141</v>
      </c>
      <c r="BP555" s="1302">
        <f>BP554/BH554-1</f>
        <v>-0.0154639175257731</v>
      </c>
      <c r="BQ555" s="1302">
        <v>-0.134782608695652</v>
      </c>
      <c r="BR555" s="1302">
        <f>BR554/BJ554-1</f>
        <v>-0.0801886792452831</v>
      </c>
      <c r="BS555" s="1302">
        <v>0.0307692307692307</v>
      </c>
      <c r="BT555" s="1302">
        <f>BT554/BL554-1</f>
        <v>0.0234986945169713</v>
      </c>
      <c r="BU555" s="1304">
        <f>BU554/BM554-1</f>
        <v>-0.0380116959064327</v>
      </c>
      <c r="BV555" s="1303">
        <v>-0.0161290322580645</v>
      </c>
      <c r="BW555" s="1302">
        <v>0.0746268656716418</v>
      </c>
      <c r="BX555" s="1302">
        <f>BX554/BP554-1</f>
        <v>0.0157068062827226</v>
      </c>
      <c r="BY555" s="1302">
        <v>0.0301507537688441</v>
      </c>
      <c r="BZ555" s="1302">
        <f>BZ554/BR554-1</f>
        <v>0.023076923076923</v>
      </c>
      <c r="CA555" s="1302">
        <v>-0.0559701492537313</v>
      </c>
      <c r="CB555" s="1302">
        <f>CB554/BT554-1</f>
        <v>-0.0433673469387755</v>
      </c>
      <c r="CC555" s="1304">
        <f>CC554/BU554-1</f>
        <v>-0.00911854103343468</v>
      </c>
      <c r="CD555" s="1303">
        <v>-0.0819672131147541</v>
      </c>
      <c r="CE555" s="1302">
        <v>-1</v>
      </c>
      <c r="CF555" s="1302">
        <f>CF554/BX554-1</f>
        <v>-0.422680412371134</v>
      </c>
      <c r="CG555" s="1302">
        <v>-1</v>
      </c>
      <c r="CH555" s="1302">
        <f>CH554/BZ554-1</f>
        <v>-0.719298245614035</v>
      </c>
      <c r="CI555" s="1302">
        <v>-1</v>
      </c>
      <c r="CJ555" s="1302">
        <f>CJ554/CB554-1</f>
        <v>-0.701333333333333</v>
      </c>
      <c r="CK555" s="1304">
        <f>CK554/CC554-1</f>
        <v>-0.828220858895706</v>
      </c>
      <c r="CL555" s="1303"/>
      <c r="CM555" s="1302"/>
      <c r="CN555" s="1302"/>
      <c r="CO555" s="1302"/>
      <c r="CP555" s="1302"/>
      <c r="CQ555" s="1302"/>
      <c r="CR555" s="1302"/>
      <c r="CS555" s="1304"/>
      <c r="CT555" s="1303"/>
      <c r="CU555" s="1302"/>
      <c r="CV555" s="1302"/>
      <c r="CW555" s="1302"/>
      <c r="CX555" s="1302"/>
      <c r="CY555" s="1302"/>
      <c r="CZ555" s="1302"/>
      <c r="DA555" s="1304"/>
      <c r="DB555" s="1109"/>
      <c r="DC555" s="1082"/>
      <c r="DD555" s="1082"/>
      <c r="DE555" s="1082"/>
      <c r="DF555" s="1082"/>
      <c r="DG555" s="1082"/>
      <c r="DH555" s="1082"/>
      <c r="DI555" s="1085"/>
      <c r="DJ555" s="1082"/>
      <c r="DK555" s="1082"/>
      <c r="DL555" s="1082"/>
      <c r="DM555" s="1082"/>
      <c r="DN555" s="1082"/>
      <c r="DO555" s="1082"/>
      <c r="DP555" s="1082"/>
      <c r="DQ555" s="1085"/>
      <c r="DR555" s="1082"/>
      <c r="DS555" s="1082"/>
      <c r="DT555" s="1082"/>
      <c r="DU555" s="1082"/>
      <c r="DV555" s="1082"/>
      <c r="DW555" s="1082"/>
      <c r="DX555" s="1082"/>
      <c r="DY555" s="1085"/>
      <c r="DZ555" s="1082"/>
      <c r="EA555" s="1082"/>
      <c r="EB555" s="1082"/>
      <c r="EC555" s="1082"/>
      <c r="ED555" s="1082"/>
      <c r="EE555" s="1082"/>
      <c r="EF555" s="1082"/>
      <c r="EG555" s="1085"/>
      <c r="EH555" s="1082"/>
      <c r="EI555" s="1082"/>
      <c r="EJ555" s="1082"/>
      <c r="EK555" s="1082"/>
      <c r="EL555" s="1082"/>
      <c r="EM555" s="1082"/>
      <c r="EN555" s="1082"/>
      <c r="EO555" s="1085"/>
      <c r="EP555" s="1082"/>
      <c r="EQ555" s="1082"/>
      <c r="ER555" s="1082"/>
      <c r="ES555" s="1082"/>
      <c r="ET555" s="1082"/>
      <c r="EU555" s="1082"/>
      <c r="EV555" s="1082"/>
      <c r="IX555" s="1049"/>
      <c r="IY555" s="1049"/>
      <c r="IZ555" s="1049"/>
      <c r="JA555" s="1049"/>
      <c r="JB555" s="1049"/>
      <c r="JC555" s="1049"/>
      <c r="JD555" s="1041"/>
      <c r="JE555" s="1037"/>
      <c r="JF555" s="1037"/>
      <c r="JG555" s="1037"/>
      <c r="JH555" s="1037"/>
      <c r="JI555" s="1035"/>
      <c r="JJ555" s="1035"/>
      <c r="JK555" s="1035"/>
      <c r="JL555" s="1035"/>
      <c r="JM555" s="1035"/>
      <c r="JN555" s="1035"/>
      <c r="JO555" s="1035"/>
      <c r="JP555" s="1035"/>
      <c r="JQ555" s="1035"/>
      <c r="JR555" s="1035"/>
      <c r="JS555" s="1035"/>
      <c r="JT555" s="1035"/>
      <c r="JU555" s="1035"/>
      <c r="JV555" s="1035"/>
      <c r="JW555" s="1035"/>
      <c r="JX555" s="1035"/>
      <c r="JY555" s="1035"/>
      <c r="KP555" s="1179"/>
    </row>
    <row r="556" spans="1:302">
      <c r="A556" s="1035" t="s">
        <v>621</v>
      </c>
      <c r="B556" s="1302">
        <v>0.37875751503006</v>
      </c>
      <c r="C556" s="1302">
        <v>0.405874499332443</v>
      </c>
      <c r="D556" s="1302">
        <f>D554/D$570</f>
        <v>0.390383514596451</v>
      </c>
      <c r="E556" s="1302">
        <v>0.445155393053016</v>
      </c>
      <c r="F556" s="1302">
        <f>F554/F$570</f>
        <v>0.41147483280535</v>
      </c>
      <c r="G556" s="1302">
        <v>0.544599514563107</v>
      </c>
      <c r="H556" s="1302">
        <f>H554/H$570</f>
        <v>0.448242306288773</v>
      </c>
      <c r="I556" s="1302">
        <f>I554/I$570</f>
        <v>0.436546483058111</v>
      </c>
      <c r="J556" s="1302">
        <v>0.465329991645781</v>
      </c>
      <c r="K556" s="1302">
        <v>0.445933014354067</v>
      </c>
      <c r="L556" s="1302">
        <f>L554/L$570</f>
        <v>0.45628902765388</v>
      </c>
      <c r="M556" s="1302">
        <v>0.481317934782609</v>
      </c>
      <c r="N556" s="1302">
        <f>N554/N$570</f>
        <v>0.466208939149165</v>
      </c>
      <c r="O556" s="1302">
        <v>0.584839357429719</v>
      </c>
      <c r="P556" s="1302">
        <f>P554/P$570</f>
        <v>0.491905892510252</v>
      </c>
      <c r="Q556" s="1302">
        <f>Q554/Q$570</f>
        <v>0.491295116772824</v>
      </c>
      <c r="R556" s="1302">
        <v>0.508464681844717</v>
      </c>
      <c r="S556" s="1302">
        <v>0.499649614576034</v>
      </c>
      <c r="T556" s="1302">
        <f>T554/T$570</f>
        <v>0.504458598726115</v>
      </c>
      <c r="U556" s="1302">
        <v>0.545242537313433</v>
      </c>
      <c r="V556" s="1302">
        <f>V554/V$570</f>
        <v>0.521006813020439</v>
      </c>
      <c r="W556" s="1302">
        <v>0.589462517680339</v>
      </c>
      <c r="X556" s="1302">
        <f>X554/X$570</f>
        <v>0.522852760736196</v>
      </c>
      <c r="Y556" s="1302">
        <f>Y554/Y$570</f>
        <v>0.535458345774858</v>
      </c>
      <c r="Z556" s="1302">
        <v>0.380065359477124</v>
      </c>
      <c r="AA556" s="1302">
        <v>0.372233400402415</v>
      </c>
      <c r="AB556" s="1302">
        <f>AB554/AB$570</f>
        <v>0.376555455365194</v>
      </c>
      <c r="AC556" s="1302">
        <v>0.399402092675635</v>
      </c>
      <c r="AD556" s="1302">
        <f>AD554/AD$570</f>
        <v>0.385151856017998</v>
      </c>
      <c r="AE556" s="1302">
        <v>0.340511169249346</v>
      </c>
      <c r="AF556" s="1302">
        <f>AF554/AF$570</f>
        <v>0.355166622469725</v>
      </c>
      <c r="AG556" s="1302">
        <f>AG554/AG$570</f>
        <v>0.375401116532595</v>
      </c>
      <c r="AH556" s="1302">
        <v>0.0575953923686105</v>
      </c>
      <c r="AI556" s="1302">
        <v>0.0343268586738111</v>
      </c>
      <c r="AJ556" s="1302">
        <f>AJ554/AJ$570</f>
        <v>0.046837500967717</v>
      </c>
      <c r="AK556" s="1302">
        <v>0.0996825396825397</v>
      </c>
      <c r="AL556" s="1302">
        <f>AL554/AL$570</f>
        <v>0.0668526356290881</v>
      </c>
      <c r="AM556" s="1302">
        <v>0.221386800334169</v>
      </c>
      <c r="AN556" s="1302">
        <f>AN554/AN$570</f>
        <v>0.128014842300557</v>
      </c>
      <c r="AO556" s="1302">
        <f>AO554/AO$570</f>
        <v>0.101392986518281</v>
      </c>
      <c r="AP556" s="1302">
        <v>0.0646011865524061</v>
      </c>
      <c r="AQ556" s="1302">
        <v>0.0448717948717949</v>
      </c>
      <c r="AR556" s="1302">
        <f>AR554/AR$570</f>
        <v>0.0556962025316456</v>
      </c>
      <c r="AS556" s="1302">
        <v>0.106738223017293</v>
      </c>
      <c r="AT556" s="1302">
        <f>AT554/AT$570</f>
        <v>0.074966231427285</v>
      </c>
      <c r="AU556" s="1302">
        <v>0.226130653266332</v>
      </c>
      <c r="AV556" s="1302">
        <f>AV554/AV$570</f>
        <v>0.138173302107728</v>
      </c>
      <c r="AW556" s="1302">
        <f>AW554/AW$570</f>
        <v>0.111053984575835</v>
      </c>
      <c r="AX556" s="1303">
        <v>0.0673940949935815</v>
      </c>
      <c r="AY556" s="1302">
        <v>0.0423976608187134</v>
      </c>
      <c r="AZ556" s="1302">
        <f>AZ554/AZ$570</f>
        <v>0.0557074504442926</v>
      </c>
      <c r="BA556" s="1302">
        <v>0.123463687150838</v>
      </c>
      <c r="BB556" s="1302">
        <f>BB554/BB$570</f>
        <v>0.0883470550981634</v>
      </c>
      <c r="BC556" s="1302">
        <v>0.194982078853047</v>
      </c>
      <c r="BD556" s="1302">
        <f>BD554/BD$570</f>
        <v>0.122841316389703</v>
      </c>
      <c r="BE556" s="1304">
        <f>BE554/BE$570</f>
        <v>0.121019108280255</v>
      </c>
      <c r="BF556" s="1302">
        <v>0.0750915750915751</v>
      </c>
      <c r="BG556" s="1302">
        <v>0.0471134704711347</v>
      </c>
      <c r="BH556" s="1302">
        <f>BH554/BH$570</f>
        <v>0.0616852146263911</v>
      </c>
      <c r="BI556" s="1302">
        <v>0.123258306538049</v>
      </c>
      <c r="BJ556" s="1302">
        <f>BJ554/BJ$570</f>
        <v>0.0846138495310317</v>
      </c>
      <c r="BK556" s="1302">
        <v>0.172071475843812</v>
      </c>
      <c r="BL556" s="1302">
        <f>BL554/BL$570</f>
        <v>0.117125382262997</v>
      </c>
      <c r="BM556" s="1302">
        <f>BM554/BM$570</f>
        <v>0.104875804967801</v>
      </c>
      <c r="BN556" s="1303">
        <v>0.0742959856201318</v>
      </c>
      <c r="BO556" s="1302">
        <v>0.048132183908046</v>
      </c>
      <c r="BP556" s="1302">
        <f>BP554/BP$570</f>
        <v>0.0623979091800065</v>
      </c>
      <c r="BQ556" s="1302">
        <v>0.107393416082029</v>
      </c>
      <c r="BR556" s="1302">
        <f>BR554/BR$570</f>
        <v>0.0793650793650794</v>
      </c>
      <c r="BS556" s="1302">
        <v>0.197932053175775</v>
      </c>
      <c r="BT556" s="1302">
        <f>BT554/BT$570</f>
        <v>0.125159642401022</v>
      </c>
      <c r="BU556" s="1304">
        <f>BU554/BU$570</f>
        <v>0.104977664326739</v>
      </c>
      <c r="BV556" s="1303">
        <v>0.081063122923588</v>
      </c>
      <c r="BW556" s="1302">
        <v>0.0513918629550321</v>
      </c>
      <c r="BX556" s="1302">
        <f>BX554/BX$570</f>
        <v>0.0667584308327598</v>
      </c>
      <c r="BY556" s="1302">
        <v>0.104912998976459</v>
      </c>
      <c r="BZ556" s="1302">
        <f>BZ554/BZ$570</f>
        <v>0.0820987654320988</v>
      </c>
      <c r="CA556" s="1302">
        <v>0.212070410729254</v>
      </c>
      <c r="CB556" s="1302">
        <f>CB554/CB$570</f>
        <v>0.122389033942559</v>
      </c>
      <c r="CC556" s="1304">
        <f>CC554/CC$570</f>
        <v>0.107715182554105</v>
      </c>
      <c r="CD556" s="1303">
        <v>0.0669456066945607</v>
      </c>
      <c r="CE556" s="1302">
        <v>0</v>
      </c>
      <c r="CF556" s="1302">
        <f>CF554/CF$570</f>
        <v>0.0351207275007839</v>
      </c>
      <c r="CG556" s="1302">
        <v>0</v>
      </c>
      <c r="CH556" s="1302">
        <f>CH554/CH$570</f>
        <v>0.021904948171328</v>
      </c>
      <c r="CI556" s="1302">
        <v>0</v>
      </c>
      <c r="CJ556" s="1302">
        <f>CJ554/CJ$570</f>
        <v>0.032510885341074</v>
      </c>
      <c r="CK556" s="1304">
        <f>CK554/CK$570</f>
        <v>0.0168827253542358</v>
      </c>
      <c r="CL556" s="1303"/>
      <c r="CM556" s="1302"/>
      <c r="CN556" s="1302"/>
      <c r="CO556" s="1302"/>
      <c r="CP556" s="1302"/>
      <c r="CQ556" s="1302"/>
      <c r="CR556" s="1302"/>
      <c r="CS556" s="1304"/>
      <c r="CT556" s="1303"/>
      <c r="CU556" s="1302"/>
      <c r="CV556" s="1302"/>
      <c r="CW556" s="1302"/>
      <c r="CX556" s="1302"/>
      <c r="CY556" s="1302"/>
      <c r="CZ556" s="1302"/>
      <c r="DA556" s="1304"/>
      <c r="DB556" s="1109"/>
      <c r="DC556" s="1082"/>
      <c r="DD556" s="1082"/>
      <c r="DE556" s="1082"/>
      <c r="DF556" s="1082"/>
      <c r="DG556" s="1082"/>
      <c r="DH556" s="1082"/>
      <c r="DI556" s="1085"/>
      <c r="DJ556" s="1082"/>
      <c r="DK556" s="1082"/>
      <c r="DL556" s="1082"/>
      <c r="DM556" s="1082"/>
      <c r="DN556" s="1082"/>
      <c r="DO556" s="1082"/>
      <c r="DP556" s="1082"/>
      <c r="DQ556" s="1085"/>
      <c r="DR556" s="1082"/>
      <c r="DS556" s="1082"/>
      <c r="DT556" s="1082"/>
      <c r="DU556" s="1082"/>
      <c r="DV556" s="1082"/>
      <c r="DW556" s="1082"/>
      <c r="DX556" s="1082"/>
      <c r="DY556" s="1085"/>
      <c r="DZ556" s="1082"/>
      <c r="EA556" s="1082"/>
      <c r="EB556" s="1082"/>
      <c r="EC556" s="1082"/>
      <c r="ED556" s="1082"/>
      <c r="EE556" s="1082"/>
      <c r="EF556" s="1082"/>
      <c r="EG556" s="1085"/>
      <c r="EH556" s="1082"/>
      <c r="EI556" s="1082"/>
      <c r="EJ556" s="1082"/>
      <c r="EK556" s="1082"/>
      <c r="EL556" s="1082"/>
      <c r="EM556" s="1082"/>
      <c r="EN556" s="1082"/>
      <c r="EO556" s="1085"/>
      <c r="EP556" s="1082"/>
      <c r="EQ556" s="1082"/>
      <c r="ER556" s="1082"/>
      <c r="ES556" s="1082"/>
      <c r="ET556" s="1082"/>
      <c r="EU556" s="1082"/>
      <c r="EV556" s="1082"/>
      <c r="IX556" s="1049"/>
      <c r="IY556" s="1049"/>
      <c r="IZ556" s="1049"/>
      <c r="JA556" s="1049"/>
      <c r="JB556" s="1049"/>
      <c r="JC556" s="1049"/>
      <c r="JD556" s="1041"/>
      <c r="JE556" s="1037"/>
      <c r="JF556" s="1037"/>
      <c r="JG556" s="1037"/>
      <c r="JH556" s="1037"/>
      <c r="JI556" s="1035"/>
      <c r="JJ556" s="1035"/>
      <c r="JK556" s="1035"/>
      <c r="JL556" s="1035"/>
      <c r="JM556" s="1035"/>
      <c r="JN556" s="1035"/>
      <c r="JO556" s="1035"/>
      <c r="JP556" s="1035"/>
      <c r="JQ556" s="1035"/>
      <c r="JR556" s="1035"/>
      <c r="JS556" s="1035"/>
      <c r="JT556" s="1035"/>
      <c r="JU556" s="1035"/>
      <c r="JV556" s="1035"/>
      <c r="JW556" s="1035"/>
      <c r="JX556" s="1035"/>
      <c r="JY556" s="1035"/>
      <c r="KP556" s="1179"/>
    </row>
    <row r="557" spans="1:302">
      <c r="A557" s="1306" t="s">
        <v>629</v>
      </c>
      <c r="B557" s="1307">
        <v>15.339</v>
      </c>
      <c r="C557" s="1307">
        <v>29.6554</v>
      </c>
      <c r="D557" s="1307">
        <f>B557+C557</f>
        <v>44.9944</v>
      </c>
      <c r="E557" s="1307">
        <v>31.85399</v>
      </c>
      <c r="F557" s="1307">
        <f>D557+E557</f>
        <v>76.84839</v>
      </c>
      <c r="G557" s="1307">
        <v>16.31047</v>
      </c>
      <c r="H557" s="1307">
        <f>E557+G557</f>
        <v>48.16446</v>
      </c>
      <c r="I557" s="1307">
        <f>F557+G557</f>
        <v>93.15886</v>
      </c>
      <c r="J557" s="1307">
        <v>24.0311</v>
      </c>
      <c r="K557" s="1307">
        <v>27.6102</v>
      </c>
      <c r="L557" s="1307">
        <f>J557+K557</f>
        <v>51.6413</v>
      </c>
      <c r="M557" s="1307">
        <v>44.4831</v>
      </c>
      <c r="N557" s="1307">
        <f>L557+M557</f>
        <v>96.1244</v>
      </c>
      <c r="O557" s="1307">
        <v>18.9181</v>
      </c>
      <c r="P557" s="1307">
        <f>M557+O557</f>
        <v>63.4012</v>
      </c>
      <c r="Q557" s="1307">
        <f>N557+O557</f>
        <v>115.0425</v>
      </c>
      <c r="R557" s="1307">
        <v>29.1441</v>
      </c>
      <c r="S557" s="1307">
        <v>26.5876</v>
      </c>
      <c r="T557" s="1307">
        <f>R557+S557</f>
        <v>55.7317</v>
      </c>
      <c r="U557" s="1307">
        <v>40.3927</v>
      </c>
      <c r="V557" s="1307">
        <f>T557+U557</f>
        <v>96.1244</v>
      </c>
      <c r="W557" s="1307">
        <v>26.33195</v>
      </c>
      <c r="X557" s="1307">
        <f>U557+W557</f>
        <v>66.72465</v>
      </c>
      <c r="Y557" s="1307">
        <f>V557+W557</f>
        <v>122.45635</v>
      </c>
      <c r="Z557" s="1307">
        <v>214.2347</v>
      </c>
      <c r="AA557" s="1307">
        <v>169.7516</v>
      </c>
      <c r="AB557" s="1307">
        <f>Z557+AA557</f>
        <v>383.9863</v>
      </c>
      <c r="AC557" s="1307">
        <v>243.3788</v>
      </c>
      <c r="AD557" s="1307">
        <f>AB557+AC557</f>
        <v>627.3651</v>
      </c>
      <c r="AE557" s="1307">
        <v>273.5455</v>
      </c>
      <c r="AF557" s="1307">
        <f>AC557+AE557</f>
        <v>516.9243</v>
      </c>
      <c r="AG557" s="1307">
        <f>AD557+AE557</f>
        <v>900.9106</v>
      </c>
      <c r="AH557" s="1307">
        <v>79</v>
      </c>
      <c r="AI557" s="1307">
        <v>117</v>
      </c>
      <c r="AJ557" s="1307">
        <f>AH557+AI557</f>
        <v>196</v>
      </c>
      <c r="AK557" s="1307">
        <v>80</v>
      </c>
      <c r="AL557" s="1307">
        <f>AJ557+AK557</f>
        <v>276</v>
      </c>
      <c r="AM557" s="1307">
        <v>51</v>
      </c>
      <c r="AN557" s="1307">
        <f>AK557+AM557</f>
        <v>131</v>
      </c>
      <c r="AO557" s="1307">
        <f>AL557+AM557</f>
        <v>327</v>
      </c>
      <c r="AP557" s="1307">
        <v>125</v>
      </c>
      <c r="AQ557" s="1307">
        <v>139</v>
      </c>
      <c r="AR557" s="1307">
        <f>AP557+AQ557</f>
        <v>264</v>
      </c>
      <c r="AS557" s="1307">
        <v>95</v>
      </c>
      <c r="AT557" s="1307">
        <f>AR557+AS557</f>
        <v>359</v>
      </c>
      <c r="AU557" s="1307">
        <v>82</v>
      </c>
      <c r="AV557" s="1307">
        <f>AS557+AU557</f>
        <v>177</v>
      </c>
      <c r="AW557" s="1307">
        <f>AT557+AU557</f>
        <v>441</v>
      </c>
      <c r="AX557" s="1308">
        <v>154</v>
      </c>
      <c r="AY557" s="1307">
        <v>171</v>
      </c>
      <c r="AZ557" s="1307">
        <f>AX557+AY557</f>
        <v>325</v>
      </c>
      <c r="BA557" s="1307">
        <v>113</v>
      </c>
      <c r="BB557" s="1307">
        <f>AY557+BA557</f>
        <v>284</v>
      </c>
      <c r="BC557" s="1307">
        <v>107</v>
      </c>
      <c r="BD557" s="1307">
        <f>BA557+BC557</f>
        <v>220</v>
      </c>
      <c r="BE557" s="1309">
        <f>BB557+BC557</f>
        <v>391</v>
      </c>
      <c r="BF557" s="1307">
        <v>176</v>
      </c>
      <c r="BG557" s="1307">
        <v>203</v>
      </c>
      <c r="BH557" s="1307">
        <f>BF557+BG557</f>
        <v>379</v>
      </c>
      <c r="BI557" s="1307">
        <v>137</v>
      </c>
      <c r="BJ557" s="1307">
        <f>BH557+BI557</f>
        <v>516</v>
      </c>
      <c r="BK557" s="1307">
        <v>191</v>
      </c>
      <c r="BL557" s="1307">
        <f>BI557+BK557</f>
        <v>328</v>
      </c>
      <c r="BM557" s="1307">
        <f>BJ557+BK557</f>
        <v>707</v>
      </c>
      <c r="BN557" s="1308">
        <v>134</v>
      </c>
      <c r="BO557" s="1307">
        <v>177</v>
      </c>
      <c r="BP557" s="1307">
        <f>BN557+BO557</f>
        <v>311</v>
      </c>
      <c r="BQ557" s="1307">
        <v>176</v>
      </c>
      <c r="BR557" s="1307">
        <f>BP557+BQ557</f>
        <v>487</v>
      </c>
      <c r="BS557" s="1307">
        <v>150</v>
      </c>
      <c r="BT557" s="1307">
        <f>BQ557+BS557</f>
        <v>326</v>
      </c>
      <c r="BU557" s="1309">
        <f>BR557+BS557</f>
        <v>637</v>
      </c>
      <c r="BV557" s="1308">
        <v>116</v>
      </c>
      <c r="BW557" s="1307">
        <v>185</v>
      </c>
      <c r="BX557" s="1307">
        <f>BV557+BW557</f>
        <v>301</v>
      </c>
      <c r="BY557" s="1307">
        <v>176</v>
      </c>
      <c r="BZ557" s="1307">
        <f>BX557+BY557</f>
        <v>477</v>
      </c>
      <c r="CA557" s="1307">
        <v>155</v>
      </c>
      <c r="CB557" s="1307">
        <f>BY557+CA557</f>
        <v>331</v>
      </c>
      <c r="CC557" s="1309">
        <f>BZ557+CA557</f>
        <v>632</v>
      </c>
      <c r="CD557" s="1308">
        <v>149</v>
      </c>
      <c r="CE557" s="1307">
        <v>202</v>
      </c>
      <c r="CF557" s="1307">
        <f>CD557+CE557</f>
        <v>351</v>
      </c>
      <c r="CG557" s="1307">
        <v>177</v>
      </c>
      <c r="CH557" s="1307">
        <f>CF557+CG557</f>
        <v>528</v>
      </c>
      <c r="CI557" s="1307">
        <v>181</v>
      </c>
      <c r="CJ557" s="1307">
        <f>CG557+CI557</f>
        <v>358</v>
      </c>
      <c r="CK557" s="1309">
        <f>CH557+CI557</f>
        <v>709</v>
      </c>
      <c r="CL557" s="1308">
        <v>201</v>
      </c>
      <c r="CM557" s="1307">
        <v>264</v>
      </c>
      <c r="CN557" s="1307">
        <f>CL557+CM557</f>
        <v>465</v>
      </c>
      <c r="CO557" s="1307">
        <f>CP557-CN557</f>
        <v>193</v>
      </c>
      <c r="CP557" s="1307">
        <v>658</v>
      </c>
      <c r="CQ557" s="1307">
        <f>CS557-CP557</f>
        <v>198</v>
      </c>
      <c r="CR557" s="1307">
        <f>CQ557+CO557</f>
        <v>391</v>
      </c>
      <c r="CS557" s="1309">
        <v>856</v>
      </c>
      <c r="CT557" s="1308">
        <v>180</v>
      </c>
      <c r="CU557" s="1357">
        <v>239</v>
      </c>
      <c r="CV557" s="1357">
        <f>+CU557+CT557</f>
        <v>419</v>
      </c>
      <c r="CW557" s="1307">
        <f>CX557-CV557</f>
        <v>190</v>
      </c>
      <c r="CX557" s="1307">
        <v>609</v>
      </c>
      <c r="CY557" s="1307">
        <f>DA557-CX557</f>
        <v>195</v>
      </c>
      <c r="CZ557" s="1307">
        <f>DA557-CV557</f>
        <v>385</v>
      </c>
      <c r="DA557" s="1309">
        <v>804</v>
      </c>
      <c r="DB557" s="1310">
        <v>191</v>
      </c>
      <c r="DC557" s="1353">
        <v>226</v>
      </c>
      <c r="DD557" s="1353">
        <v>417</v>
      </c>
      <c r="DE557" s="1311">
        <f>DF557-DD557</f>
        <v>197</v>
      </c>
      <c r="DF557" s="1311">
        <v>614</v>
      </c>
      <c r="DG557" s="1311">
        <f>DI557-DF557</f>
        <v>198</v>
      </c>
      <c r="DH557" s="1311">
        <f>DI557-DD557</f>
        <v>395</v>
      </c>
      <c r="DI557" s="1312">
        <v>812</v>
      </c>
      <c r="DJ557" s="1311">
        <v>194</v>
      </c>
      <c r="DK557" s="1311">
        <f>DC557*(1+DK558)</f>
        <v>255</v>
      </c>
      <c r="DL557" s="1311">
        <f>DK557+DJ557</f>
        <v>449</v>
      </c>
      <c r="DM557" s="1311">
        <v>184</v>
      </c>
      <c r="DN557" s="1311">
        <f>DM557+DL557</f>
        <v>633</v>
      </c>
      <c r="DO557" s="1311" t="e">
        <f>DG557*(1+DO558)</f>
        <v>#REF!</v>
      </c>
      <c r="DP557" s="1311" t="e">
        <f>DO557+DM557</f>
        <v>#REF!</v>
      </c>
      <c r="DQ557" s="1312" t="e">
        <f>DP557+DL557</f>
        <v>#REF!</v>
      </c>
      <c r="DR557" s="1311"/>
      <c r="DS557" s="1311"/>
      <c r="DT557" s="1311"/>
      <c r="DU557" s="1311"/>
      <c r="DV557" s="1311"/>
      <c r="DW557" s="1311"/>
      <c r="DX557" s="1311"/>
      <c r="DY557" s="1312"/>
      <c r="DZ557" s="1311"/>
      <c r="EA557" s="1311"/>
      <c r="EB557" s="1311"/>
      <c r="EC557" s="1311"/>
      <c r="ED557" s="1311"/>
      <c r="EE557" s="1311"/>
      <c r="EF557" s="1311"/>
      <c r="EG557" s="1312"/>
      <c r="EH557" s="1311"/>
      <c r="EI557" s="1311"/>
      <c r="EJ557" s="1311"/>
      <c r="EK557" s="1311"/>
      <c r="EL557" s="1311"/>
      <c r="EM557" s="1311"/>
      <c r="EN557" s="1311"/>
      <c r="EO557" s="1312"/>
      <c r="EP557" s="1311"/>
      <c r="EQ557" s="1311"/>
      <c r="ER557" s="1311"/>
      <c r="ES557" s="1311"/>
      <c r="ET557" s="1311"/>
      <c r="EU557" s="1311"/>
      <c r="EV557" s="1311"/>
      <c r="IX557" s="1049"/>
      <c r="IY557" s="1049"/>
      <c r="IZ557" s="1049"/>
      <c r="JA557" s="1049"/>
      <c r="JB557" s="1049"/>
      <c r="JC557" s="1049"/>
      <c r="JD557" s="1469"/>
      <c r="JE557" s="1037"/>
      <c r="JF557" s="1037"/>
      <c r="JG557" s="1037"/>
      <c r="JH557" s="1037"/>
      <c r="JI557" s="1035"/>
      <c r="JJ557" s="1035"/>
      <c r="JK557" s="1035"/>
      <c r="JL557" s="1035"/>
      <c r="JM557" s="1035"/>
      <c r="JN557" s="1035"/>
      <c r="JO557" s="1035"/>
      <c r="JP557" s="1035"/>
      <c r="JQ557" s="1035"/>
      <c r="JR557" s="1035"/>
      <c r="JS557" s="1035"/>
      <c r="JT557" s="1035"/>
      <c r="JU557" s="1035"/>
      <c r="JV557" s="1035"/>
      <c r="JW557" s="1035"/>
      <c r="JX557" s="1035"/>
      <c r="JY557" s="1035"/>
      <c r="KP557" s="1113"/>
    </row>
    <row r="558" spans="1:302">
      <c r="A558" s="1035" t="s">
        <v>142</v>
      </c>
      <c r="B558" s="1302" t="s">
        <v>173</v>
      </c>
      <c r="C558" s="1302" t="s">
        <v>173</v>
      </c>
      <c r="D558" s="1302" t="s">
        <v>173</v>
      </c>
      <c r="E558" s="1302" t="s">
        <v>173</v>
      </c>
      <c r="F558" s="1302" t="s">
        <v>173</v>
      </c>
      <c r="G558" s="1302" t="s">
        <v>173</v>
      </c>
      <c r="H558" s="1302" t="s">
        <v>173</v>
      </c>
      <c r="I558" s="1302" t="s">
        <v>173</v>
      </c>
      <c r="J558" s="1302">
        <f t="shared" ref="J558:AO558" si="4208">J557/B557-1</f>
        <v>0.566666666666667</v>
      </c>
      <c r="K558" s="1302">
        <f t="shared" si="4208"/>
        <v>-0.0689655172413793</v>
      </c>
      <c r="L558" s="1302">
        <f t="shared" si="4208"/>
        <v>0.147727272727273</v>
      </c>
      <c r="M558" s="1302">
        <f t="shared" si="4208"/>
        <v>0.396468699839487</v>
      </c>
      <c r="N558" s="1302">
        <f t="shared" si="4208"/>
        <v>0.250831669993347</v>
      </c>
      <c r="O558" s="1302">
        <f t="shared" si="4208"/>
        <v>0.15987460815047</v>
      </c>
      <c r="P558" s="1302">
        <f t="shared" si="4208"/>
        <v>0.316348195329087</v>
      </c>
      <c r="Q558" s="1302">
        <f t="shared" si="4208"/>
        <v>0.234906695938529</v>
      </c>
      <c r="R558" s="1302">
        <f t="shared" si="4208"/>
        <v>0.212765957446809</v>
      </c>
      <c r="S558" s="1302">
        <f t="shared" si="4208"/>
        <v>-0.0370370370370371</v>
      </c>
      <c r="T558" s="1302">
        <f t="shared" si="4208"/>
        <v>0.0792079207920791</v>
      </c>
      <c r="U558" s="1302">
        <f t="shared" si="4208"/>
        <v>-0.0919540229885059</v>
      </c>
      <c r="V558" s="1302">
        <f t="shared" si="4208"/>
        <v>0</v>
      </c>
      <c r="W558" s="1302">
        <f t="shared" si="4208"/>
        <v>0.391891891891892</v>
      </c>
      <c r="X558" s="1302">
        <f t="shared" si="4208"/>
        <v>0.0524193548387095</v>
      </c>
      <c r="Y558" s="1302">
        <f t="shared" si="4208"/>
        <v>0.0644444444444443</v>
      </c>
      <c r="Z558" s="1302">
        <f t="shared" si="4208"/>
        <v>6.35087719298246</v>
      </c>
      <c r="AA558" s="1302">
        <f t="shared" si="4208"/>
        <v>5.38461538461538</v>
      </c>
      <c r="AB558" s="1302">
        <f t="shared" si="4208"/>
        <v>5.88990825688073</v>
      </c>
      <c r="AC558" s="1302">
        <f t="shared" si="4208"/>
        <v>5.0253164556962</v>
      </c>
      <c r="AD558" s="1302">
        <f t="shared" si="4208"/>
        <v>5.52659574468085</v>
      </c>
      <c r="AE558" s="1302">
        <f t="shared" si="4208"/>
        <v>9.38834951456311</v>
      </c>
      <c r="AF558" s="1302">
        <f t="shared" si="4208"/>
        <v>6.74712643678161</v>
      </c>
      <c r="AG558" s="1302">
        <f t="shared" si="4208"/>
        <v>6.35699373695198</v>
      </c>
      <c r="AH558" s="1302">
        <f t="shared" si="4208"/>
        <v>-0.631245545189458</v>
      </c>
      <c r="AI558" s="1302">
        <f t="shared" si="4208"/>
        <v>-0.310757601106558</v>
      </c>
      <c r="AJ558" s="1302">
        <f t="shared" si="4208"/>
        <v>-0.489565122505673</v>
      </c>
      <c r="AK558" s="1302">
        <f t="shared" si="4208"/>
        <v>-0.671294295148139</v>
      </c>
      <c r="AL558" s="1302">
        <f t="shared" si="4208"/>
        <v>-0.560064785242278</v>
      </c>
      <c r="AM558" s="1302">
        <f t="shared" si="4208"/>
        <v>-0.813559353014398</v>
      </c>
      <c r="AN558" s="1302">
        <f t="shared" ref="AN558:BU558" si="4209">AN557/AF557-1</f>
        <v>-0.746577980566981</v>
      </c>
      <c r="AO558" s="1302">
        <f t="shared" si="4208"/>
        <v>-0.63703390769295</v>
      </c>
      <c r="AP558" s="1302">
        <f t="shared" si="4209"/>
        <v>0.582278481012658</v>
      </c>
      <c r="AQ558" s="1302">
        <f t="shared" si="4209"/>
        <v>0.188034188034188</v>
      </c>
      <c r="AR558" s="1302">
        <f t="shared" si="4209"/>
        <v>0.346938775510204</v>
      </c>
      <c r="AS558" s="1302">
        <f t="shared" si="4209"/>
        <v>0.1875</v>
      </c>
      <c r="AT558" s="1302">
        <f t="shared" si="4209"/>
        <v>0.300724637681159</v>
      </c>
      <c r="AU558" s="1302">
        <f t="shared" si="4209"/>
        <v>0.607843137254902</v>
      </c>
      <c r="AV558" s="1302">
        <f t="shared" si="4209"/>
        <v>0.351145038167939</v>
      </c>
      <c r="AW558" s="1302">
        <f t="shared" si="4209"/>
        <v>0.348623853211009</v>
      </c>
      <c r="AX558" s="1303">
        <f t="shared" si="4209"/>
        <v>0.232</v>
      </c>
      <c r="AY558" s="1302">
        <f t="shared" si="4209"/>
        <v>0.230215827338129</v>
      </c>
      <c r="AZ558" s="1302">
        <f t="shared" si="4209"/>
        <v>0.231060606060606</v>
      </c>
      <c r="BA558" s="1302">
        <f t="shared" si="4209"/>
        <v>0.189473684210526</v>
      </c>
      <c r="BB558" s="1302">
        <f t="shared" si="4209"/>
        <v>-0.20891364902507</v>
      </c>
      <c r="BC558" s="1302">
        <f t="shared" si="4209"/>
        <v>0.304878048780488</v>
      </c>
      <c r="BD558" s="1302">
        <f t="shared" si="4209"/>
        <v>0.242937853107345</v>
      </c>
      <c r="BE558" s="1304">
        <f t="shared" si="4209"/>
        <v>-0.113378684807256</v>
      </c>
      <c r="BF558" s="1302">
        <f t="shared" si="4209"/>
        <v>0.142857142857143</v>
      </c>
      <c r="BG558" s="1302">
        <f t="shared" si="4209"/>
        <v>0.187134502923977</v>
      </c>
      <c r="BH558" s="1302">
        <f t="shared" si="4209"/>
        <v>0.166153846153846</v>
      </c>
      <c r="BI558" s="1302">
        <f t="shared" si="4209"/>
        <v>0.212389380530974</v>
      </c>
      <c r="BJ558" s="1302">
        <f t="shared" si="4209"/>
        <v>0.816901408450704</v>
      </c>
      <c r="BK558" s="1302">
        <f t="shared" si="4209"/>
        <v>0.785046728971963</v>
      </c>
      <c r="BL558" s="1302">
        <f t="shared" si="4209"/>
        <v>0.490909090909091</v>
      </c>
      <c r="BM558" s="1302">
        <f t="shared" si="4209"/>
        <v>0.808184143222506</v>
      </c>
      <c r="BN558" s="1303">
        <f t="shared" si="4209"/>
        <v>-0.238636363636364</v>
      </c>
      <c r="BO558" s="1302">
        <f t="shared" si="4209"/>
        <v>-0.12807881773399</v>
      </c>
      <c r="BP558" s="1302">
        <f t="shared" si="4209"/>
        <v>-0.179419525065963</v>
      </c>
      <c r="BQ558" s="1302">
        <f t="shared" si="4209"/>
        <v>0.284671532846715</v>
      </c>
      <c r="BR558" s="1302">
        <f t="shared" si="4209"/>
        <v>-0.0562015503875969</v>
      </c>
      <c r="BS558" s="1302">
        <f t="shared" si="4209"/>
        <v>-0.214659685863874</v>
      </c>
      <c r="BT558" s="1302">
        <f t="shared" si="4209"/>
        <v>-0.00609756097560976</v>
      </c>
      <c r="BU558" s="1304">
        <f t="shared" si="4209"/>
        <v>-0.099009900990099</v>
      </c>
      <c r="BV558" s="1303">
        <f t="shared" ref="BV558:CN558" si="4210">BV557/BN557-1</f>
        <v>-0.134328358208955</v>
      </c>
      <c r="BW558" s="1302">
        <f t="shared" si="4210"/>
        <v>0.0451977401129944</v>
      </c>
      <c r="BX558" s="1302">
        <f t="shared" si="4210"/>
        <v>-0.0321543408360129</v>
      </c>
      <c r="BY558" s="1302">
        <f t="shared" si="4210"/>
        <v>0</v>
      </c>
      <c r="BZ558" s="1302">
        <f t="shared" si="4210"/>
        <v>-0.0205338809034907</v>
      </c>
      <c r="CA558" s="1302">
        <f t="shared" si="4210"/>
        <v>0.0333333333333334</v>
      </c>
      <c r="CB558" s="1302">
        <f t="shared" si="4210"/>
        <v>0.0153374233128833</v>
      </c>
      <c r="CC558" s="1304">
        <f t="shared" si="4210"/>
        <v>-0.00784929356357933</v>
      </c>
      <c r="CD558" s="1303">
        <f t="shared" si="4210"/>
        <v>0.28448275862069</v>
      </c>
      <c r="CE558" s="1302">
        <f t="shared" si="4210"/>
        <v>0.0918918918918918</v>
      </c>
      <c r="CF558" s="1302">
        <f t="shared" si="4210"/>
        <v>0.166112956810631</v>
      </c>
      <c r="CG558" s="1302">
        <f t="shared" si="4210"/>
        <v>0.00568181818181812</v>
      </c>
      <c r="CH558" s="1302">
        <f t="shared" si="4210"/>
        <v>0.106918238993711</v>
      </c>
      <c r="CI558" s="1302">
        <f t="shared" si="4210"/>
        <v>0.167741935483871</v>
      </c>
      <c r="CJ558" s="1302">
        <f t="shared" si="4210"/>
        <v>0.0815709969788521</v>
      </c>
      <c r="CK558" s="1304">
        <f t="shared" si="4210"/>
        <v>0.121835443037975</v>
      </c>
      <c r="CL558" s="1303">
        <v>0.348993288590604</v>
      </c>
      <c r="CM558" s="1302">
        <f t="shared" si="4210"/>
        <v>0.306930693069307</v>
      </c>
      <c r="CN558" s="1302">
        <f t="shared" si="4210"/>
        <v>0.324786324786325</v>
      </c>
      <c r="CO558" s="1302">
        <f t="shared" ref="CO558:CT558" si="4211">CO557/CG557-1</f>
        <v>0.0903954802259888</v>
      </c>
      <c r="CP558" s="1302">
        <f t="shared" si="4211"/>
        <v>0.246212121212121</v>
      </c>
      <c r="CQ558" s="1302">
        <f t="shared" si="4211"/>
        <v>0.0939226519337018</v>
      </c>
      <c r="CR558" s="1302">
        <f t="shared" si="4211"/>
        <v>0.0921787709497206</v>
      </c>
      <c r="CS558" s="1304">
        <f t="shared" si="4211"/>
        <v>0.207334273624824</v>
      </c>
      <c r="CT558" s="1303">
        <f t="shared" si="4211"/>
        <v>-0.104477611940298</v>
      </c>
      <c r="CU558" s="1302">
        <f t="shared" ref="CU558:DA558" si="4212">CU557/CM557-1</f>
        <v>-0.0946969696969697</v>
      </c>
      <c r="CV558" s="1302">
        <f t="shared" si="4212"/>
        <v>-0.0989247311827957</v>
      </c>
      <c r="CW558" s="1302">
        <f t="shared" si="4212"/>
        <v>-0.0155440414507773</v>
      </c>
      <c r="CX558" s="1302">
        <f t="shared" si="4212"/>
        <v>-0.074468085106383</v>
      </c>
      <c r="CY558" s="1302">
        <f t="shared" si="4212"/>
        <v>-0.0151515151515151</v>
      </c>
      <c r="CZ558" s="1302">
        <f t="shared" si="4212"/>
        <v>-0.0153452685421995</v>
      </c>
      <c r="DA558" s="1304">
        <f t="shared" si="4212"/>
        <v>-0.0607476635514018</v>
      </c>
      <c r="DB558" s="1109">
        <f t="shared" ref="DB558:DJ558" si="4213">DB557/CT557-1</f>
        <v>0.0611111111111111</v>
      </c>
      <c r="DC558" s="1082">
        <f t="shared" si="4213"/>
        <v>-0.0543933054393305</v>
      </c>
      <c r="DD558" s="1082">
        <f t="shared" si="4213"/>
        <v>-0.00477326968973746</v>
      </c>
      <c r="DE558" s="1082">
        <f t="shared" si="4213"/>
        <v>0.0368421052631578</v>
      </c>
      <c r="DF558" s="1082">
        <f t="shared" si="4213"/>
        <v>0.00821018062397383</v>
      </c>
      <c r="DG558" s="1082">
        <f t="shared" si="4213"/>
        <v>0.0153846153846153</v>
      </c>
      <c r="DH558" s="1082">
        <f t="shared" si="4213"/>
        <v>0.025974025974026</v>
      </c>
      <c r="DI558" s="1304">
        <f t="shared" si="4213"/>
        <v>0.00995024875621886</v>
      </c>
      <c r="DJ558" s="1082">
        <f t="shared" si="4213"/>
        <v>0.0157068062827226</v>
      </c>
      <c r="DK558" s="1082">
        <f>SUM(DK559:DK560)</f>
        <v>0.128318584070797</v>
      </c>
      <c r="DL558" s="1082">
        <f>DL557/DD557-1</f>
        <v>0.0767386091127098</v>
      </c>
      <c r="DM558" s="1082">
        <f>DM557/DE557-1</f>
        <v>-0.065989847715736</v>
      </c>
      <c r="DN558" s="1082">
        <f>DN557/DF557-1</f>
        <v>0.0309446254071661</v>
      </c>
      <c r="DO558" s="1082" t="e">
        <f>SUM(DO559:DO560)</f>
        <v>#REF!</v>
      </c>
      <c r="DP558" s="1082" t="e">
        <f>DP557/DH557-1</f>
        <v>#REF!</v>
      </c>
      <c r="DQ558" s="1085" t="e">
        <f>DQ557/DI557-1</f>
        <v>#REF!</v>
      </c>
      <c r="DR558" s="1082"/>
      <c r="DS558" s="1082"/>
      <c r="DT558" s="1082"/>
      <c r="DU558" s="1082"/>
      <c r="DV558" s="1082"/>
      <c r="DW558" s="1082"/>
      <c r="DX558" s="1082"/>
      <c r="DY558" s="1085"/>
      <c r="DZ558" s="1082"/>
      <c r="EA558" s="1082"/>
      <c r="EB558" s="1082"/>
      <c r="EC558" s="1082"/>
      <c r="ED558" s="1082"/>
      <c r="EE558" s="1082"/>
      <c r="EF558" s="1082"/>
      <c r="EG558" s="1085"/>
      <c r="EH558" s="1082"/>
      <c r="EI558" s="1082"/>
      <c r="EJ558" s="1082"/>
      <c r="EK558" s="1082"/>
      <c r="EL558" s="1082"/>
      <c r="EM558" s="1082"/>
      <c r="EN558" s="1082"/>
      <c r="EO558" s="1085"/>
      <c r="EP558" s="1082"/>
      <c r="EQ558" s="1082"/>
      <c r="ER558" s="1082"/>
      <c r="ES558" s="1082"/>
      <c r="ET558" s="1082"/>
      <c r="EU558" s="1082"/>
      <c r="EV558" s="1082"/>
      <c r="IX558" s="1049"/>
      <c r="IY558" s="1049"/>
      <c r="IZ558" s="1049"/>
      <c r="JA558" s="1049"/>
      <c r="JB558" s="1049"/>
      <c r="JC558" s="1049"/>
      <c r="JD558" s="1041"/>
      <c r="JE558" s="1037"/>
      <c r="JF558" s="1037"/>
      <c r="JG558" s="1037"/>
      <c r="JH558" s="1037"/>
      <c r="JI558" s="1035"/>
      <c r="JJ558" s="1035"/>
      <c r="JK558" s="1035"/>
      <c r="JL558" s="1035"/>
      <c r="JM558" s="1035"/>
      <c r="JN558" s="1035"/>
      <c r="JO558" s="1035"/>
      <c r="JP558" s="1035"/>
      <c r="JQ558" s="1035"/>
      <c r="JR558" s="1035"/>
      <c r="JS558" s="1035"/>
      <c r="JT558" s="1035"/>
      <c r="JU558" s="1035"/>
      <c r="JV558" s="1035"/>
      <c r="JW558" s="1035"/>
      <c r="JX558" s="1035"/>
      <c r="JY558" s="1035"/>
      <c r="KP558" s="1179"/>
    </row>
    <row r="559" spans="1:302">
      <c r="A559" s="1035" t="s">
        <v>623</v>
      </c>
      <c r="B559" s="1302"/>
      <c r="C559" s="1302"/>
      <c r="D559" s="1302"/>
      <c r="E559" s="1302"/>
      <c r="F559" s="1302"/>
      <c r="G559" s="1302"/>
      <c r="H559" s="1302"/>
      <c r="I559" s="1302"/>
      <c r="J559" s="1302"/>
      <c r="K559" s="1302"/>
      <c r="L559" s="1302"/>
      <c r="M559" s="1302"/>
      <c r="N559" s="1302"/>
      <c r="O559" s="1302"/>
      <c r="P559" s="1302"/>
      <c r="Q559" s="1302"/>
      <c r="R559" s="1302"/>
      <c r="S559" s="1302"/>
      <c r="T559" s="1302"/>
      <c r="U559" s="1302"/>
      <c r="V559" s="1302"/>
      <c r="W559" s="1302"/>
      <c r="X559" s="1302"/>
      <c r="Y559" s="1302"/>
      <c r="Z559" s="1302"/>
      <c r="AA559" s="1302"/>
      <c r="AB559" s="1302"/>
      <c r="AC559" s="1302"/>
      <c r="AD559" s="1302"/>
      <c r="AE559" s="1302"/>
      <c r="AF559" s="1302"/>
      <c r="AG559" s="1302"/>
      <c r="AH559" s="1302"/>
      <c r="AI559" s="1302"/>
      <c r="AJ559" s="1302"/>
      <c r="AK559" s="1302"/>
      <c r="AL559" s="1302"/>
      <c r="AM559" s="1302"/>
      <c r="AN559" s="1302"/>
      <c r="AO559" s="1302"/>
      <c r="AP559" s="1302"/>
      <c r="AQ559" s="1302"/>
      <c r="AR559" s="1302"/>
      <c r="AS559" s="1302"/>
      <c r="AT559" s="1302"/>
      <c r="AU559" s="1302"/>
      <c r="AV559" s="1302"/>
      <c r="AW559" s="1302"/>
      <c r="AX559" s="1303"/>
      <c r="AY559" s="1302"/>
      <c r="AZ559" s="1302"/>
      <c r="BA559" s="1302"/>
      <c r="BB559" s="1302"/>
      <c r="BC559" s="1302"/>
      <c r="BD559" s="1302"/>
      <c r="BE559" s="1304"/>
      <c r="BF559" s="1302"/>
      <c r="BG559" s="1302"/>
      <c r="BH559" s="1302"/>
      <c r="BI559" s="1302"/>
      <c r="BJ559" s="1302"/>
      <c r="BK559" s="1302"/>
      <c r="BL559" s="1302"/>
      <c r="BM559" s="1302"/>
      <c r="BN559" s="1303"/>
      <c r="BO559" s="1302"/>
      <c r="BP559" s="1302"/>
      <c r="BQ559" s="1302"/>
      <c r="BR559" s="1302"/>
      <c r="BS559" s="1302"/>
      <c r="BT559" s="1302"/>
      <c r="BU559" s="1304"/>
      <c r="BV559" s="1303"/>
      <c r="BW559" s="1302"/>
      <c r="BX559" s="1302"/>
      <c r="BY559" s="1302"/>
      <c r="BZ559" s="1302"/>
      <c r="CA559" s="1302"/>
      <c r="CB559" s="1302"/>
      <c r="CC559" s="1304"/>
      <c r="CD559" s="1303"/>
      <c r="CE559" s="1302"/>
      <c r="CF559" s="1302"/>
      <c r="CG559" s="1302"/>
      <c r="CH559" s="1302"/>
      <c r="CI559" s="1302"/>
      <c r="CJ559" s="1302"/>
      <c r="CK559" s="1304"/>
      <c r="CL559" s="1303"/>
      <c r="CM559" s="1302"/>
      <c r="CN559" s="1302">
        <f>CN558-CN560</f>
        <v>0.0447863247863247</v>
      </c>
      <c r="CO559" s="1302"/>
      <c r="CP559" s="1302"/>
      <c r="CQ559" s="1302"/>
      <c r="CR559" s="1302"/>
      <c r="CS559" s="1304"/>
      <c r="CT559" s="1303">
        <f>CT558-CT560</f>
        <v>-0.0644776119402985</v>
      </c>
      <c r="CU559" s="1302">
        <f t="shared" ref="CU559:DA559" si="4214">CU558-CU560</f>
        <v>-0.0726969696969697</v>
      </c>
      <c r="CV559" s="1302">
        <f t="shared" si="4214"/>
        <v>-0.0689247311827957</v>
      </c>
      <c r="CW559" s="1302">
        <f t="shared" si="4214"/>
        <v>-0.0545440414507773</v>
      </c>
      <c r="CX559" s="1302">
        <f t="shared" si="4214"/>
        <v>-0.064468085106383</v>
      </c>
      <c r="CY559" s="1302">
        <f t="shared" si="4214"/>
        <v>-0.0916161616161616</v>
      </c>
      <c r="CZ559" s="1302">
        <f t="shared" si="4214"/>
        <v>-0.0729156010230179</v>
      </c>
      <c r="DA559" s="1304">
        <f t="shared" si="4214"/>
        <v>-0.0707476635514018</v>
      </c>
      <c r="DB559" s="1109">
        <f t="shared" ref="DB559:DH559" si="4215">DB558-DB560</f>
        <v>-0.108888888888889</v>
      </c>
      <c r="DC559" s="1082">
        <f t="shared" si="4215"/>
        <v>-0.114393305439331</v>
      </c>
      <c r="DD559" s="1082">
        <f t="shared" si="4215"/>
        <v>-0.114773269689737</v>
      </c>
      <c r="DE559" s="1082">
        <f t="shared" si="4215"/>
        <v>-0.0731578947368422</v>
      </c>
      <c r="DF559" s="1082">
        <f t="shared" si="4215"/>
        <v>-0.101789819376026</v>
      </c>
      <c r="DG559" s="1082">
        <f t="shared" si="4215"/>
        <v>0.0251589743589745</v>
      </c>
      <c r="DH559" s="1082">
        <f t="shared" si="4215"/>
        <v>-0.0233610389610388</v>
      </c>
      <c r="DI559" s="1085">
        <v>-0.071</v>
      </c>
      <c r="DJ559" s="1082">
        <v>0.0757068062827226</v>
      </c>
      <c r="DK559" s="1082">
        <v>0.188318584070797</v>
      </c>
      <c r="DL559" s="1082">
        <f>DL558-DL560</f>
        <v>0.13673860911271</v>
      </c>
      <c r="DM559" s="1082">
        <f>DM558-DM560</f>
        <v>0.055010152284264</v>
      </c>
      <c r="DN559" s="1082">
        <f>DN558-DN560</f>
        <v>0.110516286644951</v>
      </c>
      <c r="DO559" s="1488" t="e">
        <f>DO551</f>
        <v>#REF!</v>
      </c>
      <c r="DP559" s="1082" t="e">
        <f>DP558-DP560</f>
        <v>#REF!</v>
      </c>
      <c r="DQ559" s="1085" t="e">
        <f>DQ558-DQ560</f>
        <v>#REF!</v>
      </c>
      <c r="DR559" s="1488"/>
      <c r="DS559" s="1488"/>
      <c r="DT559" s="1082"/>
      <c r="DU559" s="1488"/>
      <c r="DV559" s="1082"/>
      <c r="DW559" s="1488"/>
      <c r="DX559" s="1082"/>
      <c r="DY559" s="1085"/>
      <c r="DZ559" s="1488"/>
      <c r="EA559" s="1488"/>
      <c r="EB559" s="1082"/>
      <c r="EC559" s="1488"/>
      <c r="ED559" s="1082"/>
      <c r="EE559" s="1488"/>
      <c r="EF559" s="1082"/>
      <c r="EG559" s="1085"/>
      <c r="EH559" s="1488"/>
      <c r="EI559" s="1488"/>
      <c r="EJ559" s="1082"/>
      <c r="EK559" s="1488"/>
      <c r="EL559" s="1082"/>
      <c r="EM559" s="1488"/>
      <c r="EN559" s="1082"/>
      <c r="EO559" s="1085"/>
      <c r="EP559" s="1082"/>
      <c r="EQ559" s="1082"/>
      <c r="ER559" s="1082"/>
      <c r="ES559" s="1082"/>
      <c r="ET559" s="1082"/>
      <c r="EU559" s="1082"/>
      <c r="EV559" s="1082"/>
      <c r="IX559" s="1049"/>
      <c r="IY559" s="1049"/>
      <c r="IZ559" s="1049"/>
      <c r="JA559" s="1049"/>
      <c r="JB559" s="1049"/>
      <c r="JC559" s="1049"/>
      <c r="JD559" s="1041"/>
      <c r="JE559" s="1037"/>
      <c r="JF559" s="1037"/>
      <c r="JG559" s="1037"/>
      <c r="JH559" s="1037"/>
      <c r="JI559" s="1035"/>
      <c r="JJ559" s="1035"/>
      <c r="JK559" s="1035"/>
      <c r="JL559" s="1035"/>
      <c r="JM559" s="1035"/>
      <c r="JN559" s="1035"/>
      <c r="JO559" s="1035"/>
      <c r="JP559" s="1035"/>
      <c r="JQ559" s="1035"/>
      <c r="JR559" s="1035"/>
      <c r="JS559" s="1035"/>
      <c r="JT559" s="1035"/>
      <c r="JU559" s="1035"/>
      <c r="JV559" s="1035"/>
      <c r="JW559" s="1035"/>
      <c r="JX559" s="1035"/>
      <c r="JY559" s="1035"/>
      <c r="KP559" s="1179"/>
    </row>
    <row r="560" spans="1:302">
      <c r="A560" s="1035" t="s">
        <v>624</v>
      </c>
      <c r="B560" s="1302"/>
      <c r="C560" s="1302"/>
      <c r="D560" s="1302"/>
      <c r="E560" s="1302"/>
      <c r="F560" s="1302"/>
      <c r="G560" s="1302"/>
      <c r="H560" s="1302"/>
      <c r="I560" s="1302"/>
      <c r="J560" s="1302"/>
      <c r="K560" s="1302"/>
      <c r="L560" s="1302"/>
      <c r="M560" s="1302"/>
      <c r="N560" s="1302"/>
      <c r="O560" s="1302"/>
      <c r="P560" s="1302"/>
      <c r="Q560" s="1302"/>
      <c r="R560" s="1302"/>
      <c r="S560" s="1302"/>
      <c r="T560" s="1302"/>
      <c r="U560" s="1302"/>
      <c r="V560" s="1302"/>
      <c r="W560" s="1302"/>
      <c r="X560" s="1302"/>
      <c r="Y560" s="1302"/>
      <c r="Z560" s="1302"/>
      <c r="AA560" s="1302"/>
      <c r="AB560" s="1302"/>
      <c r="AC560" s="1302"/>
      <c r="AD560" s="1302"/>
      <c r="AE560" s="1302"/>
      <c r="AF560" s="1302"/>
      <c r="AG560" s="1302"/>
      <c r="AH560" s="1302"/>
      <c r="AI560" s="1302"/>
      <c r="AJ560" s="1302"/>
      <c r="AK560" s="1302"/>
      <c r="AL560" s="1302"/>
      <c r="AM560" s="1302"/>
      <c r="AN560" s="1302"/>
      <c r="AO560" s="1302"/>
      <c r="AP560" s="1302"/>
      <c r="AQ560" s="1302"/>
      <c r="AR560" s="1302"/>
      <c r="AS560" s="1302"/>
      <c r="AT560" s="1302"/>
      <c r="AU560" s="1302"/>
      <c r="AV560" s="1302"/>
      <c r="AW560" s="1302"/>
      <c r="AX560" s="1303"/>
      <c r="AY560" s="1302"/>
      <c r="AZ560" s="1302"/>
      <c r="BA560" s="1302"/>
      <c r="BB560" s="1302"/>
      <c r="BC560" s="1302"/>
      <c r="BD560" s="1302"/>
      <c r="BE560" s="1304"/>
      <c r="BF560" s="1302"/>
      <c r="BG560" s="1302"/>
      <c r="BH560" s="1302"/>
      <c r="BI560" s="1302"/>
      <c r="BJ560" s="1302"/>
      <c r="BK560" s="1302"/>
      <c r="BL560" s="1302"/>
      <c r="BM560" s="1302"/>
      <c r="BN560" s="1303"/>
      <c r="BO560" s="1302"/>
      <c r="BP560" s="1302"/>
      <c r="BQ560" s="1302"/>
      <c r="BR560" s="1302"/>
      <c r="BS560" s="1302"/>
      <c r="BT560" s="1302"/>
      <c r="BU560" s="1304"/>
      <c r="BV560" s="1303"/>
      <c r="BW560" s="1302"/>
      <c r="BX560" s="1302"/>
      <c r="BY560" s="1302"/>
      <c r="BZ560" s="1302"/>
      <c r="CA560" s="1302"/>
      <c r="CB560" s="1302"/>
      <c r="CC560" s="1304"/>
      <c r="CD560" s="1303"/>
      <c r="CE560" s="1302"/>
      <c r="CF560" s="1302"/>
      <c r="CG560" s="1302"/>
      <c r="CH560" s="1302"/>
      <c r="CI560" s="1302"/>
      <c r="CJ560" s="1302"/>
      <c r="CK560" s="1304"/>
      <c r="CL560" s="1303"/>
      <c r="CM560" s="1302"/>
      <c r="CN560" s="1302">
        <v>0.28</v>
      </c>
      <c r="CO560" s="1302"/>
      <c r="CP560" s="1302"/>
      <c r="CQ560" s="1302"/>
      <c r="CR560" s="1302"/>
      <c r="CS560" s="1304"/>
      <c r="CT560" s="1303">
        <v>-0.04</v>
      </c>
      <c r="CU560" s="1302">
        <v>-0.022</v>
      </c>
      <c r="CV560" s="1302">
        <v>-0.03</v>
      </c>
      <c r="CW560" s="1302">
        <v>0.039</v>
      </c>
      <c r="CX560" s="1302">
        <v>-0.01</v>
      </c>
      <c r="CY560" s="1302">
        <f>(DA560*CS557-CX560*CP557)/CQ557</f>
        <v>0.0764646464646465</v>
      </c>
      <c r="CZ560" s="1302">
        <f>(DA560*CS557-CV560*CN557)/CR557</f>
        <v>0.0575703324808184</v>
      </c>
      <c r="DA560" s="1304">
        <v>0.01</v>
      </c>
      <c r="DB560" s="1109">
        <v>0.17</v>
      </c>
      <c r="DC560" s="1082">
        <v>0.06</v>
      </c>
      <c r="DD560" s="1082">
        <v>0.11</v>
      </c>
      <c r="DE560" s="1082">
        <f>(DF560*CX557-DD560*CV557)/CW557</f>
        <v>0.11</v>
      </c>
      <c r="DF560" s="1082">
        <v>0.11</v>
      </c>
      <c r="DG560" s="1082">
        <f>(DI560*DA557-DF560*CX557)/CY557</f>
        <v>-0.00977435897435915</v>
      </c>
      <c r="DH560" s="1082">
        <f>(DI560*DA557-DD560*CV557)/CZ557</f>
        <v>0.0493350649350648</v>
      </c>
      <c r="DI560" s="1085">
        <f>DI558-DI559</f>
        <v>0.0809502487562189</v>
      </c>
      <c r="DJ560" s="1082">
        <v>-0.06</v>
      </c>
      <c r="DK560" s="1082">
        <v>-0.06</v>
      </c>
      <c r="DL560" s="1082">
        <f>(DJ560*DB557+DK560*DC557)/DD557</f>
        <v>-0.06</v>
      </c>
      <c r="DM560" s="1082">
        <v>-0.121</v>
      </c>
      <c r="DN560" s="1082">
        <f>(DM560*DE557+DL560*DD557)/DF557</f>
        <v>-0.079571661237785</v>
      </c>
      <c r="DO560" s="1488">
        <v>0.07</v>
      </c>
      <c r="DP560" s="1082">
        <f>(DO560*DG557+DM560*DE557)/DH557</f>
        <v>-0.0252582278481013</v>
      </c>
      <c r="DQ560" s="1085">
        <f>(DP560*DH557+DL560*DD557)/DI557</f>
        <v>-0.0430997536945813</v>
      </c>
      <c r="DR560" s="1488"/>
      <c r="DS560" s="1488"/>
      <c r="DT560" s="1082"/>
      <c r="DU560" s="1488"/>
      <c r="DV560" s="1082"/>
      <c r="DW560" s="1488"/>
      <c r="DX560" s="1082"/>
      <c r="DY560" s="1085"/>
      <c r="DZ560" s="1488"/>
      <c r="EA560" s="1488"/>
      <c r="EB560" s="1082"/>
      <c r="EC560" s="1488"/>
      <c r="ED560" s="1082"/>
      <c r="EE560" s="1488"/>
      <c r="EF560" s="1082"/>
      <c r="EG560" s="1085"/>
      <c r="EH560" s="1488"/>
      <c r="EI560" s="1488"/>
      <c r="EJ560" s="1082"/>
      <c r="EK560" s="1488"/>
      <c r="EL560" s="1082"/>
      <c r="EM560" s="1488"/>
      <c r="EN560" s="1082"/>
      <c r="EO560" s="1085"/>
      <c r="EP560" s="1082"/>
      <c r="EQ560" s="1082"/>
      <c r="ER560" s="1082"/>
      <c r="ES560" s="1082"/>
      <c r="ET560" s="1082"/>
      <c r="EU560" s="1082"/>
      <c r="EV560" s="1082"/>
      <c r="IX560" s="1049"/>
      <c r="IY560" s="1049"/>
      <c r="IZ560" s="1049"/>
      <c r="JA560" s="1049"/>
      <c r="JB560" s="1049"/>
      <c r="JC560" s="1049"/>
      <c r="JD560" s="1041"/>
      <c r="JE560" s="1037"/>
      <c r="JF560" s="1037"/>
      <c r="JG560" s="1037"/>
      <c r="JH560" s="1037"/>
      <c r="JI560" s="1035"/>
      <c r="JJ560" s="1035"/>
      <c r="JK560" s="1035"/>
      <c r="JL560" s="1035"/>
      <c r="JM560" s="1035"/>
      <c r="JN560" s="1035"/>
      <c r="JO560" s="1035"/>
      <c r="JP560" s="1035"/>
      <c r="JQ560" s="1035"/>
      <c r="JR560" s="1035"/>
      <c r="JS560" s="1035"/>
      <c r="JT560" s="1035"/>
      <c r="JU560" s="1035"/>
      <c r="JV560" s="1035"/>
      <c r="JW560" s="1035"/>
      <c r="JX560" s="1035"/>
      <c r="JY560" s="1035"/>
      <c r="KP560" s="1180"/>
    </row>
    <row r="561" spans="1:302">
      <c r="A561" s="1035" t="s">
        <v>621</v>
      </c>
      <c r="B561" s="1302">
        <v>0.030060120240481</v>
      </c>
      <c r="C561" s="1302">
        <v>0.0774365821094793</v>
      </c>
      <c r="D561" s="1302">
        <f>D557/D$570</f>
        <v>0.0503720663995421</v>
      </c>
      <c r="E561" s="1302">
        <v>0.0569469835466179</v>
      </c>
      <c r="F561" s="1302">
        <f>F557/F$570</f>
        <v>0.0529039070749736</v>
      </c>
      <c r="G561" s="1302">
        <v>0.0483919902912621</v>
      </c>
      <c r="H561" s="1302">
        <f>H557/H$570</f>
        <v>0.0572923002067875</v>
      </c>
      <c r="I561" s="1302">
        <f>I557/I$570</f>
        <v>0.0520541683332381</v>
      </c>
      <c r="J561" s="1302">
        <v>0.0392648287385129</v>
      </c>
      <c r="K561" s="1302">
        <v>0.0516746411483254</v>
      </c>
      <c r="L561" s="1302">
        <f>L557/L$570</f>
        <v>0.0450490633363069</v>
      </c>
      <c r="M561" s="1302">
        <v>0.0591032608695652</v>
      </c>
      <c r="N561" s="1302">
        <f>N557/N$570</f>
        <v>0.0506192784060312</v>
      </c>
      <c r="O561" s="1302">
        <v>0.03714859437751</v>
      </c>
      <c r="P561" s="1302">
        <f>P557/P$570</f>
        <v>0.0535290308655299</v>
      </c>
      <c r="Q561" s="1302">
        <f>Q557/Q$570</f>
        <v>0.0477707006369427</v>
      </c>
      <c r="R561" s="1302">
        <v>0.0332749562171629</v>
      </c>
      <c r="S561" s="1302">
        <v>0.0364400840925018</v>
      </c>
      <c r="T561" s="1302">
        <f>T557/T$570</f>
        <v>0.0347133757961783</v>
      </c>
      <c r="U561" s="1302">
        <v>0.0368470149253731</v>
      </c>
      <c r="V561" s="1302">
        <f>V557/V$570</f>
        <v>0.0355791067373202</v>
      </c>
      <c r="W561" s="1302">
        <v>0.0364214992927864</v>
      </c>
      <c r="X561" s="1302">
        <f>X557/X$570</f>
        <v>0.0400306748466258</v>
      </c>
      <c r="Y561" s="1302">
        <f>Y557/Y$570</f>
        <v>0.035756942370857</v>
      </c>
      <c r="Z561" s="1302">
        <v>0.136928104575163</v>
      </c>
      <c r="AA561" s="1302">
        <v>0.133601609657948</v>
      </c>
      <c r="AB561" s="1302">
        <f>AB557/AB$570</f>
        <v>0.135437330928765</v>
      </c>
      <c r="AC561" s="1302">
        <v>0.142301943198804</v>
      </c>
      <c r="AD561" s="1302">
        <f>AD557/AD$570</f>
        <v>0.138020247469066</v>
      </c>
      <c r="AE561" s="1302">
        <v>0.215335077480378</v>
      </c>
      <c r="AF561" s="1302">
        <f>AF557/AF$570</f>
        <v>0.178732431715725</v>
      </c>
      <c r="AG561" s="1302">
        <f>AG557/AG$570</f>
        <v>0.154907908039914</v>
      </c>
      <c r="AH561" s="1302">
        <v>0.0568754499640029</v>
      </c>
      <c r="AI561" s="1302">
        <v>0.0979571332886805</v>
      </c>
      <c r="AJ561" s="1302">
        <f>AJ557/AJ$570</f>
        <v>0.0758690098320043</v>
      </c>
      <c r="AK561" s="1302">
        <v>0.0507936507936508</v>
      </c>
      <c r="AL561" s="1302">
        <f>AL557/AL$570</f>
        <v>0.0663716814159292</v>
      </c>
      <c r="AM561" s="1302">
        <v>0.0426065162907268</v>
      </c>
      <c r="AN561" s="1302">
        <f>AN557/AN$570</f>
        <v>0.04860853432282</v>
      </c>
      <c r="AO561" s="1302">
        <f>AO557/AO$570</f>
        <v>0.0610598648093513</v>
      </c>
      <c r="AP561" s="1302">
        <v>0.0823994726433751</v>
      </c>
      <c r="AQ561" s="1302">
        <v>0.111378205128205</v>
      </c>
      <c r="AR561" s="1302">
        <f>AR557/AR$570</f>
        <v>0.0954792043399638</v>
      </c>
      <c r="AS561" s="1302">
        <v>0.0566487775790101</v>
      </c>
      <c r="AT561" s="1302">
        <f>AT557/AT$570</f>
        <v>0.0808194506978838</v>
      </c>
      <c r="AU561" s="1302">
        <v>0.0588657573582197</v>
      </c>
      <c r="AV561" s="1302">
        <f>AV557/AV$570</f>
        <v>0.0592171294747407</v>
      </c>
      <c r="AW561" s="1302">
        <f>AW557/AW$570</f>
        <v>0.0755784061696658</v>
      </c>
      <c r="AX561" s="1303">
        <v>0.0988446726572529</v>
      </c>
      <c r="AY561" s="1302">
        <v>0.125</v>
      </c>
      <c r="AZ561" s="1302">
        <f>AZ557/AZ$570</f>
        <v>0.111073137388927</v>
      </c>
      <c r="BA561" s="1302">
        <v>0.0631284916201117</v>
      </c>
      <c r="BB561" s="1302">
        <f>BB557/BB$570</f>
        <v>0.0899303356554781</v>
      </c>
      <c r="BC561" s="1302">
        <v>0.0767025089605735</v>
      </c>
      <c r="BD561" s="1302">
        <f>BD557/BD$570</f>
        <v>0.0716845878136201</v>
      </c>
      <c r="BE561" s="1304">
        <f>BE557/BE$570</f>
        <v>0.0858774434438831</v>
      </c>
      <c r="BF561" s="1302">
        <v>0.107448107448107</v>
      </c>
      <c r="BG561" s="1302">
        <v>0.134704711347047</v>
      </c>
      <c r="BH561" s="1302">
        <f>BH557/BH$570</f>
        <v>0.120508744038156</v>
      </c>
      <c r="BI561" s="1302">
        <v>0.0734190782422294</v>
      </c>
      <c r="BJ561" s="1302">
        <f>BJ557/BJ$570</f>
        <v>0.102973458391539</v>
      </c>
      <c r="BK561" s="1302">
        <v>0.126406353408339</v>
      </c>
      <c r="BL561" s="1302">
        <f>BL557/BL$570</f>
        <v>0.100305810397554</v>
      </c>
      <c r="BM561" s="1302">
        <f>BM557/BM$570</f>
        <v>0.108402330573444</v>
      </c>
      <c r="BN561" s="1303">
        <v>0.0802875973636908</v>
      </c>
      <c r="BO561" s="1302">
        <v>0.127155172413793</v>
      </c>
      <c r="BP561" s="1302">
        <f>BP557/BP$570</f>
        <v>0.101600784057498</v>
      </c>
      <c r="BQ561" s="1302">
        <v>0.0949811117107393</v>
      </c>
      <c r="BR561" s="1302">
        <f>BR557/BR$570</f>
        <v>0.0991045991045991</v>
      </c>
      <c r="BS561" s="1302">
        <v>0.110782865583456</v>
      </c>
      <c r="BT561" s="1302">
        <f>BT557/BT$570</f>
        <v>0.104086845466156</v>
      </c>
      <c r="BU561" s="1304">
        <f>BU557/BU$570</f>
        <v>0.101627313337588</v>
      </c>
      <c r="BV561" s="1303">
        <v>0.0770764119601329</v>
      </c>
      <c r="BW561" s="1302">
        <v>0.132048536759458</v>
      </c>
      <c r="BX561" s="1302">
        <f>BX557/BX$570</f>
        <v>0.103578802477632</v>
      </c>
      <c r="BY561" s="1302">
        <v>0.09007164790174</v>
      </c>
      <c r="BZ561" s="1302">
        <f>BZ557/BZ$570</f>
        <v>0.0981481481481482</v>
      </c>
      <c r="CA561" s="1302">
        <v>0.129924559932942</v>
      </c>
      <c r="CB561" s="1302">
        <f>CB557/CB$570</f>
        <v>0.108028720626632</v>
      </c>
      <c r="CC561" s="1304">
        <f>CC557/CC$570</f>
        <v>0.104411035849992</v>
      </c>
      <c r="CD561" s="1303">
        <v>0.0890615660490137</v>
      </c>
      <c r="CE561" s="1302">
        <v>0.133245382585752</v>
      </c>
      <c r="CF561" s="1302">
        <f>CF557/CF$570</f>
        <v>0.110065851364064</v>
      </c>
      <c r="CG561" s="1302">
        <v>0.091995841995842</v>
      </c>
      <c r="CH561" s="1302">
        <f>CH557/CH$570</f>
        <v>0.103266184236261</v>
      </c>
      <c r="CI561" s="1302">
        <v>0.119000657462196</v>
      </c>
      <c r="CJ561" s="1302">
        <f>CJ557/CJ$570</f>
        <v>0.103918722786647</v>
      </c>
      <c r="CK561" s="1304">
        <f>CK557/CK$570</f>
        <v>0.106873681037082</v>
      </c>
      <c r="CL561" s="1303">
        <v>0.0817410738356204</v>
      </c>
      <c r="CM561" s="1302">
        <f t="shared" ref="CM561:DQ561" si="4216">CM557/CM$570</f>
        <v>0.108731466227348</v>
      </c>
      <c r="CN561" s="1302">
        <f t="shared" si="4216"/>
        <v>0.0951507088027706</v>
      </c>
      <c r="CO561" s="1302">
        <f t="shared" si="4216"/>
        <v>0.0654455607704456</v>
      </c>
      <c r="CP561" s="1302">
        <f t="shared" si="4216"/>
        <v>0.0839714139867279</v>
      </c>
      <c r="CQ561" s="1302">
        <f t="shared" si="4216"/>
        <v>0.0880782918149466</v>
      </c>
      <c r="CR561" s="1302">
        <f t="shared" si="4216"/>
        <v>0.0752354825759179</v>
      </c>
      <c r="CS561" s="1304">
        <f t="shared" si="4216"/>
        <v>0.0848869496231654</v>
      </c>
      <c r="CT561" s="1303">
        <f t="shared" si="4216"/>
        <v>0.0709219858156028</v>
      </c>
      <c r="CU561" s="1302">
        <f t="shared" si="4216"/>
        <v>0.0995833333333333</v>
      </c>
      <c r="CV561" s="1302">
        <f t="shared" si="4216"/>
        <v>0.0848538852548654</v>
      </c>
      <c r="CW561" s="1302">
        <f t="shared" si="4216"/>
        <v>0.0646126640821601</v>
      </c>
      <c r="CX561" s="1302">
        <f t="shared" si="4216"/>
        <v>0.0772940728518848</v>
      </c>
      <c r="CY561" s="1302">
        <f t="shared" si="4216"/>
        <v>0.0806118230673832</v>
      </c>
      <c r="CZ561" s="1302">
        <f t="shared" si="4216"/>
        <v>0.0718337189342488</v>
      </c>
      <c r="DA561" s="1304">
        <f t="shared" si="4216"/>
        <v>0.0780734123130705</v>
      </c>
      <c r="DB561" s="1109">
        <f t="shared" si="4216"/>
        <v>0.0728729492560092</v>
      </c>
      <c r="DC561" s="1082">
        <f t="shared" si="4216"/>
        <v>0.089646965489885</v>
      </c>
      <c r="DD561" s="1082">
        <f t="shared" si="4216"/>
        <v>0.0810968494749125</v>
      </c>
      <c r="DE561" s="1082">
        <f t="shared" si="4216"/>
        <v>0.0639818122767132</v>
      </c>
      <c r="DF561" s="1082">
        <f t="shared" si="4216"/>
        <v>0.0748233000243724</v>
      </c>
      <c r="DG561" s="1082">
        <f t="shared" si="4216"/>
        <v>0.0763594292325492</v>
      </c>
      <c r="DH561" s="1082">
        <f t="shared" si="4216"/>
        <v>0.0698249955806965</v>
      </c>
      <c r="DI561" s="1085">
        <f t="shared" si="4216"/>
        <v>0.0751921474210575</v>
      </c>
      <c r="DJ561" s="1082">
        <f t="shared" si="4216"/>
        <v>0.0752813348855258</v>
      </c>
      <c r="DK561" s="1082">
        <f t="shared" si="4216"/>
        <v>0.103785103785104</v>
      </c>
      <c r="DL561" s="1082">
        <f t="shared" si="4216"/>
        <v>0.0891934843067143</v>
      </c>
      <c r="DM561" s="1082">
        <f t="shared" si="4216"/>
        <v>0.0637119113573407</v>
      </c>
      <c r="DN561" s="1082">
        <f t="shared" si="4216"/>
        <v>0.0799040646301439</v>
      </c>
      <c r="DO561" s="1082" t="e">
        <f t="shared" si="4216"/>
        <v>#REF!</v>
      </c>
      <c r="DP561" s="1082" t="e">
        <f t="shared" si="4216"/>
        <v>#REF!</v>
      </c>
      <c r="DQ561" s="1085" t="e">
        <f t="shared" si="4216"/>
        <v>#REF!</v>
      </c>
      <c r="DR561" s="1082"/>
      <c r="DS561" s="1082"/>
      <c r="DT561" s="1082"/>
      <c r="DU561" s="1082"/>
      <c r="DV561" s="1082"/>
      <c r="DW561" s="1082"/>
      <c r="DX561" s="1082"/>
      <c r="DY561" s="1085"/>
      <c r="DZ561" s="1082"/>
      <c r="EA561" s="1082"/>
      <c r="EB561" s="1082"/>
      <c r="EC561" s="1082"/>
      <c r="ED561" s="1082"/>
      <c r="EE561" s="1082"/>
      <c r="EF561" s="1082"/>
      <c r="EG561" s="1085"/>
      <c r="EH561" s="1082"/>
      <c r="EI561" s="1082"/>
      <c r="EJ561" s="1082"/>
      <c r="EK561" s="1082"/>
      <c r="EL561" s="1082"/>
      <c r="EM561" s="1082"/>
      <c r="EN561" s="1082"/>
      <c r="EO561" s="1085"/>
      <c r="EP561" s="1082"/>
      <c r="EQ561" s="1082"/>
      <c r="ER561" s="1082"/>
      <c r="ES561" s="1082"/>
      <c r="ET561" s="1082"/>
      <c r="EU561" s="1082"/>
      <c r="EV561" s="1082"/>
      <c r="IX561" s="1049"/>
      <c r="IY561" s="1049"/>
      <c r="IZ561" s="1049"/>
      <c r="JA561" s="1049"/>
      <c r="JB561" s="1049"/>
      <c r="JC561" s="1049"/>
      <c r="JD561" s="1041"/>
      <c r="JE561" s="1037"/>
      <c r="JF561" s="1037"/>
      <c r="JG561" s="1037"/>
      <c r="JH561" s="1037"/>
      <c r="JI561" s="1035"/>
      <c r="JJ561" s="1035"/>
      <c r="JK561" s="1035"/>
      <c r="JL561" s="1035"/>
      <c r="JM561" s="1035"/>
      <c r="JN561" s="1035"/>
      <c r="JO561" s="1035"/>
      <c r="JP561" s="1035"/>
      <c r="JQ561" s="1035"/>
      <c r="JR561" s="1035"/>
      <c r="JS561" s="1035"/>
      <c r="JT561" s="1035"/>
      <c r="JU561" s="1035"/>
      <c r="JV561" s="1035"/>
      <c r="JW561" s="1035"/>
      <c r="JX561" s="1035"/>
      <c r="JY561" s="1035"/>
      <c r="KP561" s="1179"/>
    </row>
    <row r="562" spans="1:302">
      <c r="A562" s="1306" t="s">
        <v>82</v>
      </c>
      <c r="B562" s="1307"/>
      <c r="C562" s="1307"/>
      <c r="D562" s="1307"/>
      <c r="E562" s="1307"/>
      <c r="F562" s="1307"/>
      <c r="G562" s="1307"/>
      <c r="H562" s="1307"/>
      <c r="I562" s="1307"/>
      <c r="J562" s="1307"/>
      <c r="K562" s="1307"/>
      <c r="L562" s="1307"/>
      <c r="M562" s="1307"/>
      <c r="N562" s="1307"/>
      <c r="O562" s="1307"/>
      <c r="P562" s="1307"/>
      <c r="Q562" s="1307"/>
      <c r="R562" s="1307"/>
      <c r="S562" s="1307"/>
      <c r="T562" s="1307"/>
      <c r="U562" s="1307"/>
      <c r="V562" s="1307"/>
      <c r="W562" s="1307"/>
      <c r="X562" s="1307"/>
      <c r="Y562" s="1307"/>
      <c r="Z562" s="1307"/>
      <c r="AA562" s="1307"/>
      <c r="AB562" s="1307"/>
      <c r="AC562" s="1307"/>
      <c r="AD562" s="1307"/>
      <c r="AE562" s="1307"/>
      <c r="AF562" s="1307"/>
      <c r="AG562" s="1307"/>
      <c r="AH562" s="1307"/>
      <c r="AI562" s="1307"/>
      <c r="AJ562" s="1307"/>
      <c r="AK562" s="1307"/>
      <c r="AL562" s="1307"/>
      <c r="AM562" s="1307"/>
      <c r="AN562" s="1307"/>
      <c r="AO562" s="1307"/>
      <c r="AP562" s="1307"/>
      <c r="AQ562" s="1307"/>
      <c r="AR562" s="1307"/>
      <c r="AS562" s="1307"/>
      <c r="AT562" s="1307"/>
      <c r="AU562" s="1307"/>
      <c r="AV562" s="1307"/>
      <c r="AW562" s="1307"/>
      <c r="AX562" s="1308"/>
      <c r="AY562" s="1307"/>
      <c r="AZ562" s="1307"/>
      <c r="BA562" s="1307"/>
      <c r="BB562" s="1307"/>
      <c r="BC562" s="1307"/>
      <c r="BD562" s="1307"/>
      <c r="BE562" s="1309"/>
      <c r="BF562" s="1307"/>
      <c r="BG562" s="1307"/>
      <c r="BH562" s="1307"/>
      <c r="BI562" s="1307"/>
      <c r="BJ562" s="1307"/>
      <c r="BK562" s="1307"/>
      <c r="BL562" s="1307"/>
      <c r="BM562" s="1307"/>
      <c r="BN562" s="1308"/>
      <c r="BO562" s="1307"/>
      <c r="BP562" s="1307"/>
      <c r="BQ562" s="1307"/>
      <c r="BR562" s="1307"/>
      <c r="BS562" s="1307"/>
      <c r="BT562" s="1307"/>
      <c r="BU562" s="1309"/>
      <c r="BV562" s="1308"/>
      <c r="BW562" s="1307"/>
      <c r="BX562" s="1307"/>
      <c r="BY562" s="1307"/>
      <c r="BZ562" s="1307"/>
      <c r="CA562" s="1307"/>
      <c r="CB562" s="1307"/>
      <c r="CC562" s="1309"/>
      <c r="CD562" s="1308" t="s">
        <v>173</v>
      </c>
      <c r="CE562" s="1307" t="s">
        <v>173</v>
      </c>
      <c r="CF562" s="1307" t="s">
        <v>173</v>
      </c>
      <c r="CG562" s="1307" t="s">
        <v>173</v>
      </c>
      <c r="CH562" s="1307" t="s">
        <v>173</v>
      </c>
      <c r="CI562" s="1307" t="s">
        <v>173</v>
      </c>
      <c r="CJ562" s="1307" t="s">
        <v>173</v>
      </c>
      <c r="CK562" s="1309" t="s">
        <v>173</v>
      </c>
      <c r="CL562" s="1308">
        <v>453.98408925</v>
      </c>
      <c r="CM562" s="1307">
        <v>595</v>
      </c>
      <c r="CN562" s="1307">
        <f>CL562+CM562</f>
        <v>1048.98408925</v>
      </c>
      <c r="CO562" s="1307">
        <f>CP562-CN562</f>
        <v>779.01591075</v>
      </c>
      <c r="CP562" s="1307">
        <v>1828</v>
      </c>
      <c r="CQ562" s="1307">
        <f>CS562-CP562</f>
        <v>645</v>
      </c>
      <c r="CR562" s="1307">
        <f>CQ562+CO562</f>
        <v>1424.01591075</v>
      </c>
      <c r="CS562" s="1309">
        <v>2473</v>
      </c>
      <c r="CT562" s="1308">
        <v>524</v>
      </c>
      <c r="CU562" s="1357">
        <v>513.9</v>
      </c>
      <c r="CV562" s="1357">
        <f>+CU562+CT562</f>
        <v>1037.9</v>
      </c>
      <c r="CW562" s="1307">
        <f>CX562-CV562</f>
        <v>727.1</v>
      </c>
      <c r="CX562" s="1307">
        <v>1765</v>
      </c>
      <c r="CY562" s="1307">
        <f>DA562-CX562</f>
        <v>568</v>
      </c>
      <c r="CZ562" s="1307">
        <f>CY562+CW562</f>
        <v>1295.1</v>
      </c>
      <c r="DA562" s="1309">
        <v>2333</v>
      </c>
      <c r="DB562" s="1310">
        <v>454</v>
      </c>
      <c r="DC562" s="1353">
        <v>469</v>
      </c>
      <c r="DD562" s="1353">
        <v>923</v>
      </c>
      <c r="DE562" s="1311">
        <f>DF562-DD562</f>
        <v>664</v>
      </c>
      <c r="DF562" s="1311">
        <v>1587</v>
      </c>
      <c r="DG562" s="1311">
        <f>DI562-DF562</f>
        <v>561</v>
      </c>
      <c r="DH562" s="1311">
        <f>DI562-DD562</f>
        <v>1225</v>
      </c>
      <c r="DI562" s="1312">
        <v>2148</v>
      </c>
      <c r="DJ562" s="1311">
        <v>458</v>
      </c>
      <c r="DK562" s="1311">
        <f>DL562-DJ562</f>
        <v>449</v>
      </c>
      <c r="DL562" s="1311">
        <v>907</v>
      </c>
      <c r="DM562" s="1311">
        <v>591</v>
      </c>
      <c r="DN562" s="1311">
        <f>DM562+DL562</f>
        <v>1498</v>
      </c>
      <c r="DO562" s="1311" t="e">
        <f>DG562*(1+DO563)</f>
        <v>#REF!</v>
      </c>
      <c r="DP562" s="1311" t="e">
        <f>DO562+DM562</f>
        <v>#REF!</v>
      </c>
      <c r="DQ562" s="1312" t="e">
        <f>DP562+DL562</f>
        <v>#REF!</v>
      </c>
      <c r="DR562" s="1311"/>
      <c r="DS562" s="1311"/>
      <c r="DT562" s="1311"/>
      <c r="DU562" s="1311"/>
      <c r="DV562" s="1311"/>
      <c r="DW562" s="1311"/>
      <c r="DX562" s="1311"/>
      <c r="DY562" s="1312"/>
      <c r="DZ562" s="1311"/>
      <c r="EA562" s="1311"/>
      <c r="EB562" s="1311"/>
      <c r="EC562" s="1311"/>
      <c r="ED562" s="1311"/>
      <c r="EE562" s="1311"/>
      <c r="EF562" s="1311"/>
      <c r="EG562" s="1312"/>
      <c r="EH562" s="1311"/>
      <c r="EI562" s="1311"/>
      <c r="EJ562" s="1311"/>
      <c r="EK562" s="1311"/>
      <c r="EL562" s="1311"/>
      <c r="EM562" s="1311"/>
      <c r="EN562" s="1311"/>
      <c r="EO562" s="1312"/>
      <c r="EP562" s="1311"/>
      <c r="EQ562" s="1311"/>
      <c r="ER562" s="1311"/>
      <c r="ES562" s="1311"/>
      <c r="ET562" s="1311"/>
      <c r="EU562" s="1311"/>
      <c r="EV562" s="1311"/>
      <c r="IX562" s="1049"/>
      <c r="IY562" s="1049"/>
      <c r="IZ562" s="1049"/>
      <c r="JA562" s="1049"/>
      <c r="JB562" s="1049"/>
      <c r="JC562" s="1049"/>
      <c r="JD562" s="1469"/>
      <c r="JE562" s="1037"/>
      <c r="JF562" s="1037"/>
      <c r="JG562" s="1037"/>
      <c r="JH562" s="1037"/>
      <c r="JI562" s="1035"/>
      <c r="JJ562" s="1035"/>
      <c r="JK562" s="1035"/>
      <c r="JL562" s="1035"/>
      <c r="JM562" s="1035"/>
      <c r="JN562" s="1035"/>
      <c r="JO562" s="1035"/>
      <c r="JP562" s="1035"/>
      <c r="JQ562" s="1035"/>
      <c r="JR562" s="1035"/>
      <c r="JS562" s="1035"/>
      <c r="JT562" s="1035"/>
      <c r="JU562" s="1035"/>
      <c r="JV562" s="1035"/>
      <c r="JW562" s="1035"/>
      <c r="JX562" s="1035"/>
      <c r="JY562" s="1035"/>
      <c r="KP562" s="1179"/>
    </row>
    <row r="563" spans="1:302">
      <c r="A563" s="1035" t="s">
        <v>142</v>
      </c>
      <c r="B563" s="1302"/>
      <c r="C563" s="1302"/>
      <c r="D563" s="1302"/>
      <c r="E563" s="1302"/>
      <c r="F563" s="1302"/>
      <c r="G563" s="1302"/>
      <c r="H563" s="1302"/>
      <c r="I563" s="1302"/>
      <c r="J563" s="1302"/>
      <c r="K563" s="1302"/>
      <c r="L563" s="1302"/>
      <c r="M563" s="1302"/>
      <c r="N563" s="1302"/>
      <c r="O563" s="1302"/>
      <c r="P563" s="1302"/>
      <c r="Q563" s="1302"/>
      <c r="R563" s="1302"/>
      <c r="S563" s="1302"/>
      <c r="T563" s="1302"/>
      <c r="U563" s="1302"/>
      <c r="V563" s="1302"/>
      <c r="W563" s="1302"/>
      <c r="X563" s="1302"/>
      <c r="Y563" s="1302"/>
      <c r="Z563" s="1302"/>
      <c r="AA563" s="1302"/>
      <c r="AB563" s="1302"/>
      <c r="AC563" s="1302"/>
      <c r="AD563" s="1302"/>
      <c r="AE563" s="1302"/>
      <c r="AF563" s="1302"/>
      <c r="AG563" s="1302"/>
      <c r="AH563" s="1302"/>
      <c r="AI563" s="1302"/>
      <c r="AJ563" s="1302"/>
      <c r="AK563" s="1302"/>
      <c r="AL563" s="1302"/>
      <c r="AM563" s="1302"/>
      <c r="AN563" s="1302"/>
      <c r="AO563" s="1302"/>
      <c r="AP563" s="1302"/>
      <c r="AQ563" s="1302"/>
      <c r="AR563" s="1302"/>
      <c r="AS563" s="1302"/>
      <c r="AT563" s="1302"/>
      <c r="AU563" s="1302"/>
      <c r="AV563" s="1302"/>
      <c r="AW563" s="1302"/>
      <c r="AX563" s="1303"/>
      <c r="AY563" s="1302"/>
      <c r="AZ563" s="1302"/>
      <c r="BA563" s="1302"/>
      <c r="BB563" s="1302"/>
      <c r="BC563" s="1302"/>
      <c r="BD563" s="1302"/>
      <c r="BE563" s="1304"/>
      <c r="BF563" s="1302"/>
      <c r="BG563" s="1302"/>
      <c r="BH563" s="1302"/>
      <c r="BI563" s="1302"/>
      <c r="BJ563" s="1302"/>
      <c r="BK563" s="1302"/>
      <c r="BL563" s="1302"/>
      <c r="BM563" s="1302"/>
      <c r="BN563" s="1303"/>
      <c r="BO563" s="1302"/>
      <c r="BP563" s="1302"/>
      <c r="BQ563" s="1302"/>
      <c r="BR563" s="1302"/>
      <c r="BS563" s="1302"/>
      <c r="BT563" s="1302"/>
      <c r="BU563" s="1304"/>
      <c r="BV563" s="1303"/>
      <c r="BW563" s="1302"/>
      <c r="BX563" s="1302"/>
      <c r="BY563" s="1302"/>
      <c r="BZ563" s="1302"/>
      <c r="CA563" s="1302"/>
      <c r="CB563" s="1302"/>
      <c r="CC563" s="1309"/>
      <c r="CD563" s="1408" t="s">
        <v>173</v>
      </c>
      <c r="CE563" s="1302" t="s">
        <v>173</v>
      </c>
      <c r="CF563" s="1302" t="s">
        <v>173</v>
      </c>
      <c r="CG563" s="1302" t="s">
        <v>173</v>
      </c>
      <c r="CH563" s="1302" t="s">
        <v>173</v>
      </c>
      <c r="CI563" s="1302" t="s">
        <v>173</v>
      </c>
      <c r="CJ563" s="1302" t="s">
        <v>173</v>
      </c>
      <c r="CK563" s="1304" t="s">
        <v>173</v>
      </c>
      <c r="CL563" s="1303" t="s">
        <v>173</v>
      </c>
      <c r="CM563" s="1302" t="s">
        <v>173</v>
      </c>
      <c r="CN563" s="1302" t="s">
        <v>173</v>
      </c>
      <c r="CO563" s="1302" t="s">
        <v>173</v>
      </c>
      <c r="CP563" s="1302" t="s">
        <v>173</v>
      </c>
      <c r="CQ563" s="1302" t="s">
        <v>173</v>
      </c>
      <c r="CR563" s="1302" t="s">
        <v>173</v>
      </c>
      <c r="CS563" s="1304" t="s">
        <v>173</v>
      </c>
      <c r="CT563" s="1303">
        <f t="shared" ref="CT563:DA563" si="4217">CT562/CL562-1</f>
        <v>0.154225472671673</v>
      </c>
      <c r="CU563" s="1302">
        <f t="shared" si="4217"/>
        <v>-0.136302521008403</v>
      </c>
      <c r="CV563" s="1302">
        <f t="shared" si="4217"/>
        <v>-0.010566498923663</v>
      </c>
      <c r="CW563" s="1302">
        <f t="shared" si="4217"/>
        <v>-0.0666429401936323</v>
      </c>
      <c r="CX563" s="1302">
        <f t="shared" si="4217"/>
        <v>-0.0344638949671773</v>
      </c>
      <c r="CY563" s="1302">
        <f t="shared" si="4217"/>
        <v>-0.11937984496124</v>
      </c>
      <c r="CZ563" s="1302">
        <f t="shared" si="4217"/>
        <v>-0.0905298246858091</v>
      </c>
      <c r="DA563" s="1304">
        <f t="shared" si="4217"/>
        <v>-0.0566114031540639</v>
      </c>
      <c r="DB563" s="1109">
        <f t="shared" ref="DB563:DJ563" si="4218">DB562/CT562-1</f>
        <v>-0.133587786259542</v>
      </c>
      <c r="DC563" s="1082">
        <f t="shared" si="4218"/>
        <v>-0.0873710838684568</v>
      </c>
      <c r="DD563" s="1082">
        <f t="shared" si="4218"/>
        <v>-0.110704306773292</v>
      </c>
      <c r="DE563" s="1082">
        <f t="shared" si="4218"/>
        <v>-0.0867831109888597</v>
      </c>
      <c r="DF563" s="1082">
        <f t="shared" si="4218"/>
        <v>-0.10084985835694</v>
      </c>
      <c r="DG563" s="1082">
        <f t="shared" si="4218"/>
        <v>-0.0123239436619719</v>
      </c>
      <c r="DH563" s="1082">
        <f t="shared" si="4218"/>
        <v>-0.0541270944328622</v>
      </c>
      <c r="DI563" s="1304">
        <f t="shared" si="4218"/>
        <v>-0.0792970424346335</v>
      </c>
      <c r="DJ563" s="1082">
        <f t="shared" si="4218"/>
        <v>0.00881057268722474</v>
      </c>
      <c r="DK563" s="1082">
        <f>SUM(DK564:DK565)</f>
        <v>-0.141044776119403</v>
      </c>
      <c r="DL563" s="1082">
        <f>DL562/DD562-1</f>
        <v>-0.0173347778981582</v>
      </c>
      <c r="DM563" s="1082">
        <f>DM562/DE562-1</f>
        <v>-0.109939759036145</v>
      </c>
      <c r="DN563" s="1082">
        <f>DN562/DF562-1</f>
        <v>-0.0560806553245117</v>
      </c>
      <c r="DO563" s="1082" t="e">
        <f>SUM(DO564:DO565)</f>
        <v>#REF!</v>
      </c>
      <c r="DP563" s="1082" t="e">
        <f>DP562/DH562-1</f>
        <v>#REF!</v>
      </c>
      <c r="DQ563" s="1085" t="e">
        <f>DQ562/DI562-1</f>
        <v>#REF!</v>
      </c>
      <c r="DR563" s="1082"/>
      <c r="DS563" s="1082"/>
      <c r="DT563" s="1082"/>
      <c r="DU563" s="1082"/>
      <c r="DV563" s="1082"/>
      <c r="DW563" s="1082"/>
      <c r="DX563" s="1082"/>
      <c r="DY563" s="1085"/>
      <c r="DZ563" s="1082"/>
      <c r="EA563" s="1082"/>
      <c r="EB563" s="1082"/>
      <c r="EC563" s="1082"/>
      <c r="ED563" s="1082"/>
      <c r="EE563" s="1082"/>
      <c r="EF563" s="1082"/>
      <c r="EG563" s="1085"/>
      <c r="EH563" s="1082"/>
      <c r="EI563" s="1082"/>
      <c r="EJ563" s="1082"/>
      <c r="EK563" s="1082"/>
      <c r="EL563" s="1082"/>
      <c r="EM563" s="1082"/>
      <c r="EN563" s="1082"/>
      <c r="EO563" s="1085"/>
      <c r="EP563" s="1082"/>
      <c r="EQ563" s="1082"/>
      <c r="ER563" s="1082"/>
      <c r="ES563" s="1082"/>
      <c r="ET563" s="1082"/>
      <c r="EU563" s="1082"/>
      <c r="EV563" s="1082"/>
      <c r="IX563" s="1049"/>
      <c r="IY563" s="1049"/>
      <c r="IZ563" s="1049"/>
      <c r="JA563" s="1049"/>
      <c r="JB563" s="1049"/>
      <c r="JC563" s="1049"/>
      <c r="JD563" s="1041"/>
      <c r="JE563" s="1037"/>
      <c r="JF563" s="1037"/>
      <c r="JG563" s="1037"/>
      <c r="JH563" s="1037"/>
      <c r="JI563" s="1035"/>
      <c r="JJ563" s="1035"/>
      <c r="JK563" s="1035"/>
      <c r="JL563" s="1035"/>
      <c r="JM563" s="1035"/>
      <c r="JN563" s="1035"/>
      <c r="JO563" s="1035"/>
      <c r="JP563" s="1035"/>
      <c r="JQ563" s="1035"/>
      <c r="JR563" s="1035"/>
      <c r="JS563" s="1035"/>
      <c r="JT563" s="1035"/>
      <c r="JU563" s="1035"/>
      <c r="JV563" s="1035"/>
      <c r="JW563" s="1035"/>
      <c r="JX563" s="1035"/>
      <c r="JY563" s="1035"/>
      <c r="KP563" s="1179"/>
    </row>
    <row r="564" spans="1:302">
      <c r="A564" s="1035" t="s">
        <v>623</v>
      </c>
      <c r="B564" s="1302"/>
      <c r="C564" s="1302"/>
      <c r="D564" s="1302"/>
      <c r="E564" s="1302"/>
      <c r="F564" s="1302"/>
      <c r="G564" s="1302"/>
      <c r="H564" s="1302"/>
      <c r="I564" s="1302"/>
      <c r="J564" s="1302"/>
      <c r="K564" s="1302"/>
      <c r="L564" s="1302"/>
      <c r="M564" s="1302"/>
      <c r="N564" s="1302"/>
      <c r="O564" s="1302"/>
      <c r="P564" s="1302"/>
      <c r="Q564" s="1302"/>
      <c r="R564" s="1302"/>
      <c r="S564" s="1302"/>
      <c r="T564" s="1302"/>
      <c r="U564" s="1302"/>
      <c r="V564" s="1302"/>
      <c r="W564" s="1302"/>
      <c r="X564" s="1302"/>
      <c r="Y564" s="1302"/>
      <c r="Z564" s="1302"/>
      <c r="AA564" s="1302"/>
      <c r="AB564" s="1302"/>
      <c r="AC564" s="1302"/>
      <c r="AD564" s="1302"/>
      <c r="AE564" s="1302"/>
      <c r="AF564" s="1302"/>
      <c r="AG564" s="1302"/>
      <c r="AH564" s="1302"/>
      <c r="AI564" s="1302"/>
      <c r="AJ564" s="1302"/>
      <c r="AK564" s="1302"/>
      <c r="AL564" s="1302"/>
      <c r="AM564" s="1302"/>
      <c r="AN564" s="1302"/>
      <c r="AO564" s="1302"/>
      <c r="AP564" s="1302"/>
      <c r="AQ564" s="1302"/>
      <c r="AR564" s="1302"/>
      <c r="AS564" s="1302"/>
      <c r="AT564" s="1302"/>
      <c r="AU564" s="1302"/>
      <c r="AV564" s="1302"/>
      <c r="AW564" s="1302"/>
      <c r="AX564" s="1303"/>
      <c r="AY564" s="1302"/>
      <c r="AZ564" s="1302"/>
      <c r="BA564" s="1302"/>
      <c r="BB564" s="1302"/>
      <c r="BC564" s="1302"/>
      <c r="BD564" s="1302"/>
      <c r="BE564" s="1304"/>
      <c r="BF564" s="1302"/>
      <c r="BG564" s="1302"/>
      <c r="BH564" s="1302"/>
      <c r="BI564" s="1302"/>
      <c r="BJ564" s="1302"/>
      <c r="BK564" s="1302"/>
      <c r="BL564" s="1302"/>
      <c r="BM564" s="1302"/>
      <c r="BN564" s="1303"/>
      <c r="BO564" s="1302"/>
      <c r="BP564" s="1302"/>
      <c r="BQ564" s="1302"/>
      <c r="BR564" s="1302"/>
      <c r="BS564" s="1302"/>
      <c r="BT564" s="1302"/>
      <c r="BU564" s="1304"/>
      <c r="BV564" s="1303"/>
      <c r="BW564" s="1302"/>
      <c r="BX564" s="1302"/>
      <c r="BY564" s="1302"/>
      <c r="BZ564" s="1302"/>
      <c r="CA564" s="1302"/>
      <c r="CB564" s="1302"/>
      <c r="CC564" s="1309"/>
      <c r="CD564" s="1408"/>
      <c r="CE564" s="1302"/>
      <c r="CF564" s="1302"/>
      <c r="CG564" s="1302"/>
      <c r="CH564" s="1302"/>
      <c r="CI564" s="1302"/>
      <c r="CJ564" s="1302"/>
      <c r="CK564" s="1304"/>
      <c r="CL564" s="1303"/>
      <c r="CM564" s="1302"/>
      <c r="CN564" s="1302"/>
      <c r="CO564" s="1302"/>
      <c r="CP564" s="1302"/>
      <c r="CQ564" s="1302"/>
      <c r="CR564" s="1302"/>
      <c r="CS564" s="1304"/>
      <c r="CT564" s="1303">
        <f>CT563-CT565</f>
        <v>-0.0657745273283275</v>
      </c>
      <c r="CU564" s="1302">
        <f t="shared" ref="CU564:DA564" si="4219">CU563-CU565</f>
        <v>-0.087</v>
      </c>
      <c r="CV564" s="1302">
        <f t="shared" si="4219"/>
        <v>-0.050566498923663</v>
      </c>
      <c r="CW564" s="1302">
        <f t="shared" si="4219"/>
        <v>-0.0236429401936323</v>
      </c>
      <c r="CX564" s="1302">
        <f t="shared" si="4219"/>
        <v>-0.0544638949671773</v>
      </c>
      <c r="CY564" s="1302">
        <f t="shared" si="4219"/>
        <v>-0.0619475729104652</v>
      </c>
      <c r="CZ564" s="1302">
        <f t="shared" si="4219"/>
        <v>-0.0610643087086028</v>
      </c>
      <c r="DA564" s="1304">
        <f t="shared" si="4219"/>
        <v>-0.0566114031540639</v>
      </c>
      <c r="DB564" s="1109">
        <f t="shared" ref="DB564:DH564" si="4220">DB563-DB565</f>
        <v>-0.0735877862595419</v>
      </c>
      <c r="DC564" s="1082">
        <f t="shared" si="4220"/>
        <v>-0.107371083868457</v>
      </c>
      <c r="DD564" s="1082">
        <f t="shared" si="4220"/>
        <v>-0.0907043067732923</v>
      </c>
      <c r="DE564" s="1082">
        <f t="shared" si="4220"/>
        <v>-0.0667831109888597</v>
      </c>
      <c r="DF564" s="1082">
        <f t="shared" si="4220"/>
        <v>-0.0808498583569405</v>
      </c>
      <c r="DG564" s="1082">
        <f t="shared" si="4220"/>
        <v>0.0171109154929578</v>
      </c>
      <c r="DH564" s="1082">
        <f t="shared" si="4220"/>
        <v>-0.0299891900239363</v>
      </c>
      <c r="DI564" s="1085">
        <v>-0.057</v>
      </c>
      <c r="DJ564" s="1082">
        <v>0.0488105726872247</v>
      </c>
      <c r="DK564" s="1082">
        <v>-0.061684434968017</v>
      </c>
      <c r="DL564" s="1082">
        <f>DL563-DL565</f>
        <v>0.0426652221018418</v>
      </c>
      <c r="DM564" s="1082">
        <f>DM563-DM565</f>
        <v>0.00906024096385538</v>
      </c>
      <c r="DN564" s="1082">
        <f>DN563-DN565</f>
        <v>0.0286049149338374</v>
      </c>
      <c r="DO564" s="1488" t="e">
        <f>DO559</f>
        <v>#REF!</v>
      </c>
      <c r="DP564" s="1082" t="e">
        <f>DP563-DP565</f>
        <v>#REF!</v>
      </c>
      <c r="DQ564" s="1085" t="e">
        <f>DQ563-DQ565</f>
        <v>#REF!</v>
      </c>
      <c r="DR564" s="1488"/>
      <c r="DS564" s="1488"/>
      <c r="DT564" s="1082"/>
      <c r="DU564" s="1488"/>
      <c r="DV564" s="1082"/>
      <c r="DW564" s="1488"/>
      <c r="DX564" s="1082"/>
      <c r="DY564" s="1085"/>
      <c r="DZ564" s="1488"/>
      <c r="EA564" s="1488"/>
      <c r="EB564" s="1082"/>
      <c r="EC564" s="1488"/>
      <c r="ED564" s="1082"/>
      <c r="EE564" s="1488"/>
      <c r="EF564" s="1082"/>
      <c r="EG564" s="1085"/>
      <c r="EH564" s="1488"/>
      <c r="EI564" s="1488"/>
      <c r="EJ564" s="1082"/>
      <c r="EK564" s="1488"/>
      <c r="EL564" s="1082"/>
      <c r="EM564" s="1488"/>
      <c r="EN564" s="1082"/>
      <c r="EO564" s="1085"/>
      <c r="EP564" s="1082"/>
      <c r="EQ564" s="1082"/>
      <c r="ER564" s="1082"/>
      <c r="ES564" s="1082"/>
      <c r="ET564" s="1082"/>
      <c r="EU564" s="1082"/>
      <c r="EV564" s="1082"/>
      <c r="IX564" s="1049"/>
      <c r="IY564" s="1049"/>
      <c r="IZ564" s="1049"/>
      <c r="JA564" s="1049"/>
      <c r="JB564" s="1049"/>
      <c r="JC564" s="1049"/>
      <c r="JD564" s="1041"/>
      <c r="JE564" s="1037"/>
      <c r="JF564" s="1037"/>
      <c r="JG564" s="1037"/>
      <c r="JH564" s="1037"/>
      <c r="JI564" s="1035"/>
      <c r="JJ564" s="1035"/>
      <c r="JK564" s="1035"/>
      <c r="JL564" s="1035"/>
      <c r="JM564" s="1035"/>
      <c r="JN564" s="1035"/>
      <c r="JO564" s="1035"/>
      <c r="JP564" s="1035"/>
      <c r="JQ564" s="1035"/>
      <c r="JR564" s="1035"/>
      <c r="JS564" s="1035"/>
      <c r="JT564" s="1035"/>
      <c r="JU564" s="1035"/>
      <c r="JV564" s="1035"/>
      <c r="JW564" s="1035"/>
      <c r="JX564" s="1035"/>
      <c r="JY564" s="1035"/>
      <c r="KP564" s="1025"/>
    </row>
    <row r="565" spans="1:302">
      <c r="A565" s="1035" t="s">
        <v>624</v>
      </c>
      <c r="B565" s="1302"/>
      <c r="C565" s="1302"/>
      <c r="D565" s="1302"/>
      <c r="E565" s="1302"/>
      <c r="F565" s="1302"/>
      <c r="G565" s="1302"/>
      <c r="H565" s="1302"/>
      <c r="I565" s="1302"/>
      <c r="J565" s="1302"/>
      <c r="K565" s="1302"/>
      <c r="L565" s="1302"/>
      <c r="M565" s="1302"/>
      <c r="N565" s="1302"/>
      <c r="O565" s="1302"/>
      <c r="P565" s="1302"/>
      <c r="Q565" s="1302"/>
      <c r="R565" s="1302"/>
      <c r="S565" s="1302"/>
      <c r="T565" s="1302"/>
      <c r="U565" s="1302"/>
      <c r="V565" s="1302"/>
      <c r="W565" s="1302"/>
      <c r="X565" s="1302"/>
      <c r="Y565" s="1302"/>
      <c r="Z565" s="1302"/>
      <c r="AA565" s="1302"/>
      <c r="AB565" s="1302"/>
      <c r="AC565" s="1302"/>
      <c r="AD565" s="1302"/>
      <c r="AE565" s="1302"/>
      <c r="AF565" s="1302"/>
      <c r="AG565" s="1302"/>
      <c r="AH565" s="1302"/>
      <c r="AI565" s="1302"/>
      <c r="AJ565" s="1302"/>
      <c r="AK565" s="1302"/>
      <c r="AL565" s="1302"/>
      <c r="AM565" s="1302"/>
      <c r="AN565" s="1302"/>
      <c r="AO565" s="1302"/>
      <c r="AP565" s="1302"/>
      <c r="AQ565" s="1302"/>
      <c r="AR565" s="1302"/>
      <c r="AS565" s="1302"/>
      <c r="AT565" s="1302"/>
      <c r="AU565" s="1302"/>
      <c r="AV565" s="1302"/>
      <c r="AW565" s="1302"/>
      <c r="AX565" s="1303"/>
      <c r="AY565" s="1302"/>
      <c r="AZ565" s="1302"/>
      <c r="BA565" s="1302"/>
      <c r="BB565" s="1302"/>
      <c r="BC565" s="1302"/>
      <c r="BD565" s="1302"/>
      <c r="BE565" s="1304"/>
      <c r="BF565" s="1302"/>
      <c r="BG565" s="1302"/>
      <c r="BH565" s="1302"/>
      <c r="BI565" s="1302"/>
      <c r="BJ565" s="1302"/>
      <c r="BK565" s="1302"/>
      <c r="BL565" s="1302"/>
      <c r="BM565" s="1302"/>
      <c r="BN565" s="1303"/>
      <c r="BO565" s="1302"/>
      <c r="BP565" s="1302"/>
      <c r="BQ565" s="1302"/>
      <c r="BR565" s="1302"/>
      <c r="BS565" s="1302"/>
      <c r="BT565" s="1302"/>
      <c r="BU565" s="1304"/>
      <c r="BV565" s="1303"/>
      <c r="BW565" s="1302"/>
      <c r="BX565" s="1302"/>
      <c r="BY565" s="1302"/>
      <c r="BZ565" s="1302"/>
      <c r="CA565" s="1302"/>
      <c r="CB565" s="1302"/>
      <c r="CC565" s="1304"/>
      <c r="CD565" s="1303"/>
      <c r="CE565" s="1302"/>
      <c r="CF565" s="1302"/>
      <c r="CG565" s="1302"/>
      <c r="CH565" s="1302"/>
      <c r="CI565" s="1302"/>
      <c r="CJ565" s="1302"/>
      <c r="CK565" s="1304"/>
      <c r="CL565" s="1303"/>
      <c r="CM565" s="1302"/>
      <c r="CN565" s="1302"/>
      <c r="CO565" s="1302"/>
      <c r="CP565" s="1302"/>
      <c r="CQ565" s="1302"/>
      <c r="CR565" s="1302"/>
      <c r="CS565" s="1304"/>
      <c r="CT565" s="1303">
        <v>0.22</v>
      </c>
      <c r="CU565" s="1302">
        <f>+CU563+8.7%</f>
        <v>-0.0493025210084035</v>
      </c>
      <c r="CV565" s="1302">
        <v>0.04</v>
      </c>
      <c r="CW565" s="1302">
        <v>-0.043</v>
      </c>
      <c r="CX565" s="1302">
        <v>0.02</v>
      </c>
      <c r="CY565" s="1302">
        <f>(DA565*CS562-CW565*CO562-CU565*CM562-CT565*CL562)/CQ562</f>
        <v>-0.0574322720507751</v>
      </c>
      <c r="CZ565" s="1302">
        <f>(DA565*CS562-CV565*CN562)/CR562</f>
        <v>-0.0294655159772062</v>
      </c>
      <c r="DA565" s="1304">
        <v>0</v>
      </c>
      <c r="DB565" s="1109">
        <v>-0.06</v>
      </c>
      <c r="DC565" s="1082">
        <v>0.02</v>
      </c>
      <c r="DD565" s="1082">
        <v>-0.02</v>
      </c>
      <c r="DE565" s="1082">
        <f>(DF565*CX562-DD565*CV562)/CW562</f>
        <v>-0.02</v>
      </c>
      <c r="DF565" s="1082">
        <v>-0.02</v>
      </c>
      <c r="DG565" s="1082">
        <f>(DI565*DA562-DF565*CX562)/CY562</f>
        <v>-0.0294348591549296</v>
      </c>
      <c r="DH565" s="1082">
        <f>(DI565*DA562-DD565*CV562)/CZ562</f>
        <v>-0.024137904408926</v>
      </c>
      <c r="DI565" s="1085">
        <f>DI563-DI564</f>
        <v>-0.0222970424346335</v>
      </c>
      <c r="DJ565" s="1082">
        <v>-0.04</v>
      </c>
      <c r="DK565" s="1082">
        <v>-0.0793603411513859</v>
      </c>
      <c r="DL565" s="1082">
        <f>(DJ565*DB562+DK565*DC562)/DD562</f>
        <v>-0.06</v>
      </c>
      <c r="DM565" s="1082">
        <v>-0.119</v>
      </c>
      <c r="DN565" s="1082">
        <f>(DM565*DE562+DL565*DD562)/DF562</f>
        <v>-0.0846855702583491</v>
      </c>
      <c r="DO565" s="1488">
        <v>0.085</v>
      </c>
      <c r="DP565" s="1082">
        <f>(DO565*DG562+DM565*DE562)/DH562</f>
        <v>-0.0255763265306122</v>
      </c>
      <c r="DQ565" s="1085">
        <f>(DP565*DH562+DL565*DD562)/DI562</f>
        <v>-0.0403682495344506</v>
      </c>
      <c r="DR565" s="1488"/>
      <c r="DS565" s="1488"/>
      <c r="DT565" s="1082"/>
      <c r="DU565" s="1488"/>
      <c r="DV565" s="1082"/>
      <c r="DW565" s="1488"/>
      <c r="DX565" s="1082"/>
      <c r="DY565" s="1085"/>
      <c r="DZ565" s="1488"/>
      <c r="EA565" s="1488"/>
      <c r="EB565" s="1082"/>
      <c r="EC565" s="1488"/>
      <c r="ED565" s="1082"/>
      <c r="EE565" s="1488"/>
      <c r="EF565" s="1082"/>
      <c r="EG565" s="1085"/>
      <c r="EH565" s="1488"/>
      <c r="EI565" s="1488"/>
      <c r="EJ565" s="1082"/>
      <c r="EK565" s="1488"/>
      <c r="EL565" s="1082"/>
      <c r="EM565" s="1488"/>
      <c r="EN565" s="1082"/>
      <c r="EO565" s="1085"/>
      <c r="EP565" s="1082"/>
      <c r="EQ565" s="1082"/>
      <c r="ER565" s="1082"/>
      <c r="ES565" s="1082"/>
      <c r="ET565" s="1082"/>
      <c r="EU565" s="1082"/>
      <c r="EV565" s="1082"/>
      <c r="IX565" s="1049"/>
      <c r="IY565" s="1049"/>
      <c r="IZ565" s="1049"/>
      <c r="JA565" s="1049"/>
      <c r="JB565" s="1049"/>
      <c r="JC565" s="1049"/>
      <c r="JD565" s="1041"/>
      <c r="JE565" s="1037"/>
      <c r="JF565" s="1037"/>
      <c r="JG565" s="1037"/>
      <c r="JH565" s="1037"/>
      <c r="JI565" s="1035"/>
      <c r="JJ565" s="1035"/>
      <c r="JK565" s="1035"/>
      <c r="JL565" s="1035"/>
      <c r="JM565" s="1035"/>
      <c r="JN565" s="1035"/>
      <c r="JO565" s="1035"/>
      <c r="JP565" s="1035"/>
      <c r="JQ565" s="1035"/>
      <c r="JR565" s="1035"/>
      <c r="JS565" s="1035"/>
      <c r="JT565" s="1035"/>
      <c r="JU565" s="1035"/>
      <c r="JV565" s="1035"/>
      <c r="JW565" s="1035"/>
      <c r="JX565" s="1035"/>
      <c r="JY565" s="1035"/>
      <c r="KP565" s="1113"/>
    </row>
    <row r="566" spans="1:302">
      <c r="A566" s="1035" t="s">
        <v>621</v>
      </c>
      <c r="B566" s="1302"/>
      <c r="C566" s="1302"/>
      <c r="D566" s="1302"/>
      <c r="E566" s="1302"/>
      <c r="F566" s="1302"/>
      <c r="G566" s="1302"/>
      <c r="H566" s="1302"/>
      <c r="I566" s="1302"/>
      <c r="J566" s="1302"/>
      <c r="K566" s="1302"/>
      <c r="L566" s="1302"/>
      <c r="M566" s="1302"/>
      <c r="N566" s="1302"/>
      <c r="O566" s="1302"/>
      <c r="P566" s="1302"/>
      <c r="Q566" s="1302"/>
      <c r="R566" s="1302"/>
      <c r="S566" s="1302"/>
      <c r="T566" s="1302"/>
      <c r="U566" s="1302"/>
      <c r="V566" s="1302"/>
      <c r="W566" s="1302"/>
      <c r="X566" s="1302"/>
      <c r="Y566" s="1302"/>
      <c r="Z566" s="1302"/>
      <c r="AA566" s="1302"/>
      <c r="AB566" s="1302"/>
      <c r="AC566" s="1302"/>
      <c r="AD566" s="1302"/>
      <c r="AE566" s="1302"/>
      <c r="AF566" s="1302"/>
      <c r="AG566" s="1302"/>
      <c r="AH566" s="1302"/>
      <c r="AI566" s="1302"/>
      <c r="AJ566" s="1302"/>
      <c r="AK566" s="1302"/>
      <c r="AL566" s="1302"/>
      <c r="AM566" s="1302"/>
      <c r="AN566" s="1302"/>
      <c r="AO566" s="1302"/>
      <c r="AP566" s="1302"/>
      <c r="AQ566" s="1302"/>
      <c r="AR566" s="1302"/>
      <c r="AS566" s="1302"/>
      <c r="AT566" s="1302"/>
      <c r="AU566" s="1302"/>
      <c r="AV566" s="1302">
        <f>AV562/AV$570</f>
        <v>0</v>
      </c>
      <c r="AW566" s="1302"/>
      <c r="AX566" s="1303"/>
      <c r="AY566" s="1302"/>
      <c r="AZ566" s="1302"/>
      <c r="BA566" s="1302"/>
      <c r="BB566" s="1302"/>
      <c r="BC566" s="1302"/>
      <c r="BD566" s="1302"/>
      <c r="BE566" s="1304"/>
      <c r="BF566" s="1302"/>
      <c r="BG566" s="1302"/>
      <c r="BH566" s="1302"/>
      <c r="BI566" s="1302"/>
      <c r="BJ566" s="1302"/>
      <c r="BK566" s="1302"/>
      <c r="BL566" s="1302"/>
      <c r="BM566" s="1302"/>
      <c r="BN566" s="1303"/>
      <c r="BO566" s="1302"/>
      <c r="BP566" s="1302"/>
      <c r="BQ566" s="1302"/>
      <c r="BR566" s="1302"/>
      <c r="BS566" s="1302"/>
      <c r="BT566" s="1302"/>
      <c r="BU566" s="1304"/>
      <c r="BV566" s="1303"/>
      <c r="BW566" s="1302"/>
      <c r="BX566" s="1302"/>
      <c r="BY566" s="1302"/>
      <c r="BZ566" s="1302"/>
      <c r="CA566" s="1302"/>
      <c r="CB566" s="1302"/>
      <c r="CC566" s="1309"/>
      <c r="CD566" s="1408" t="s">
        <v>173</v>
      </c>
      <c r="CE566" s="1302" t="s">
        <v>173</v>
      </c>
      <c r="CF566" s="1302" t="s">
        <v>173</v>
      </c>
      <c r="CG566" s="1302" t="s">
        <v>173</v>
      </c>
      <c r="CH566" s="1302" t="s">
        <v>173</v>
      </c>
      <c r="CI566" s="1302" t="s">
        <v>173</v>
      </c>
      <c r="CJ566" s="1302" t="s">
        <v>173</v>
      </c>
      <c r="CK566" s="1304" t="s">
        <v>173</v>
      </c>
      <c r="CL566" s="1303">
        <v>0.184622621689458</v>
      </c>
      <c r="CM566" s="1302">
        <f t="shared" ref="CM566:CT566" si="4221">CM562/CM$570</f>
        <v>0.24505766062603</v>
      </c>
      <c r="CN566" s="1302">
        <f t="shared" si="4221"/>
        <v>0.214648558311755</v>
      </c>
      <c r="CO566" s="1302">
        <f t="shared" si="4221"/>
        <v>0.264161311544731</v>
      </c>
      <c r="CP566" s="1302">
        <f t="shared" si="4221"/>
        <v>0.233282286881062</v>
      </c>
      <c r="CQ566" s="1302">
        <f t="shared" si="4221"/>
        <v>0.286921708185053</v>
      </c>
      <c r="CR566" s="1302">
        <f t="shared" si="4221"/>
        <v>0.274006455859492</v>
      </c>
      <c r="CS566" s="1304">
        <f t="shared" si="4221"/>
        <v>0.24523998413328</v>
      </c>
      <c r="CT566" s="1303">
        <f t="shared" si="4221"/>
        <v>0.206461780929866</v>
      </c>
      <c r="CU566" s="1302">
        <f>+CU562/CU570</f>
        <v>0.214125</v>
      </c>
      <c r="CV566" s="1302">
        <f>+CV562/CV570</f>
        <v>0.210190566840155</v>
      </c>
      <c r="CW566" s="1302">
        <f>CW562/CW$570</f>
        <v>0.247262463442835</v>
      </c>
      <c r="CX566" s="1302">
        <f>CX562/CX$570</f>
        <v>0.224013199644625</v>
      </c>
      <c r="CY566" s="1302">
        <f>CY712</f>
        <v>-0.0574322720507751</v>
      </c>
      <c r="CZ566" s="1302">
        <f>CZ712</f>
        <v>-0.0294655159772062</v>
      </c>
      <c r="DA566" s="1304">
        <f>DA712</f>
        <v>0</v>
      </c>
      <c r="DB566" s="1109">
        <f t="shared" ref="DB566:DQ566" si="4222">DB562/DB$570</f>
        <v>0.173216329645174</v>
      </c>
      <c r="DC566" s="1082">
        <f t="shared" si="4222"/>
        <v>0.186037286790956</v>
      </c>
      <c r="DD566" s="1082">
        <f t="shared" si="4222"/>
        <v>0.17950213924543</v>
      </c>
      <c r="DE566" s="1082">
        <f t="shared" si="4222"/>
        <v>0.215654433257551</v>
      </c>
      <c r="DF566" s="1082">
        <f t="shared" si="4222"/>
        <v>0.193395076773093</v>
      </c>
      <c r="DG566" s="1082">
        <f t="shared" si="4222"/>
        <v>0.216351716158889</v>
      </c>
      <c r="DH566" s="1082">
        <f t="shared" si="4222"/>
        <v>0.216545872370514</v>
      </c>
      <c r="DI566" s="1085">
        <f t="shared" si="4222"/>
        <v>0.198907306232059</v>
      </c>
      <c r="DJ566" s="1082">
        <f t="shared" si="4222"/>
        <v>0.177726038028716</v>
      </c>
      <c r="DK566" s="1082">
        <f t="shared" si="4222"/>
        <v>0.182743182743183</v>
      </c>
      <c r="DL566" s="1082">
        <f t="shared" si="4222"/>
        <v>0.180174811283274</v>
      </c>
      <c r="DM566" s="1082">
        <f t="shared" si="4222"/>
        <v>0.204639889196676</v>
      </c>
      <c r="DN566" s="1082">
        <f t="shared" si="4222"/>
        <v>0.18909366321636</v>
      </c>
      <c r="DO566" s="1082" t="e">
        <f t="shared" si="4222"/>
        <v>#REF!</v>
      </c>
      <c r="DP566" s="1082" t="e">
        <f t="shared" si="4222"/>
        <v>#REF!</v>
      </c>
      <c r="DQ566" s="1085" t="e">
        <f t="shared" si="4222"/>
        <v>#REF!</v>
      </c>
      <c r="DR566" s="1082"/>
      <c r="DS566" s="1082"/>
      <c r="DT566" s="1082"/>
      <c r="DU566" s="1082"/>
      <c r="DV566" s="1082"/>
      <c r="DW566" s="1082"/>
      <c r="DX566" s="1082"/>
      <c r="DY566" s="1085"/>
      <c r="DZ566" s="1082"/>
      <c r="EA566" s="1082"/>
      <c r="EB566" s="1082"/>
      <c r="EC566" s="1082"/>
      <c r="ED566" s="1082"/>
      <c r="EE566" s="1082"/>
      <c r="EF566" s="1082"/>
      <c r="EG566" s="1085"/>
      <c r="EH566" s="1082"/>
      <c r="EI566" s="1082"/>
      <c r="EJ566" s="1082"/>
      <c r="EK566" s="1082"/>
      <c r="EL566" s="1082"/>
      <c r="EM566" s="1082"/>
      <c r="EN566" s="1082"/>
      <c r="EO566" s="1085"/>
      <c r="EP566" s="1082"/>
      <c r="EQ566" s="1082"/>
      <c r="ER566" s="1082"/>
      <c r="ES566" s="1082"/>
      <c r="ET566" s="1082"/>
      <c r="EU566" s="1082"/>
      <c r="EV566" s="1082"/>
      <c r="IX566" s="1049"/>
      <c r="IY566" s="1049"/>
      <c r="IZ566" s="1049"/>
      <c r="JA566" s="1049"/>
      <c r="JB566" s="1049"/>
      <c r="JC566" s="1049"/>
      <c r="JD566" s="1041"/>
      <c r="JE566" s="1037"/>
      <c r="JF566" s="1037"/>
      <c r="JG566" s="1037"/>
      <c r="JH566" s="1037"/>
      <c r="JI566" s="1035"/>
      <c r="JJ566" s="1035"/>
      <c r="JK566" s="1035"/>
      <c r="JL566" s="1035"/>
      <c r="JM566" s="1035"/>
      <c r="JN566" s="1035"/>
      <c r="JO566" s="1035"/>
      <c r="JP566" s="1035"/>
      <c r="JQ566" s="1035"/>
      <c r="JR566" s="1035"/>
      <c r="JS566" s="1035"/>
      <c r="JT566" s="1035"/>
      <c r="JU566" s="1035"/>
      <c r="JV566" s="1035"/>
      <c r="JW566" s="1035"/>
      <c r="JX566" s="1035"/>
      <c r="JY566" s="1035"/>
      <c r="KP566" s="1179"/>
    </row>
    <row r="567" spans="1:302">
      <c r="A567" s="1306" t="s">
        <v>64</v>
      </c>
      <c r="B567" s="1307"/>
      <c r="C567" s="1307"/>
      <c r="D567" s="1307"/>
      <c r="E567" s="1307"/>
      <c r="F567" s="1307"/>
      <c r="G567" s="1307"/>
      <c r="H567" s="1307"/>
      <c r="I567" s="1307"/>
      <c r="J567" s="1307"/>
      <c r="K567" s="1307"/>
      <c r="L567" s="1307"/>
      <c r="M567" s="1307"/>
      <c r="N567" s="1307"/>
      <c r="O567" s="1307"/>
      <c r="P567" s="1307"/>
      <c r="Q567" s="1307"/>
      <c r="R567" s="1307"/>
      <c r="S567" s="1307"/>
      <c r="T567" s="1307"/>
      <c r="U567" s="1307"/>
      <c r="V567" s="1307"/>
      <c r="W567" s="1307"/>
      <c r="X567" s="1307"/>
      <c r="Y567" s="1307"/>
      <c r="Z567" s="1307">
        <v>179.9776</v>
      </c>
      <c r="AA567" s="1307">
        <v>125.2685</v>
      </c>
      <c r="AB567" s="1307">
        <f>Z567+AA567</f>
        <v>305.2461</v>
      </c>
      <c r="AC567" s="1307">
        <v>197.8731</v>
      </c>
      <c r="AD567" s="1307">
        <f>AB567+AC567</f>
        <v>503.1192</v>
      </c>
      <c r="AE567" s="1307">
        <v>247.21355</v>
      </c>
      <c r="AF567" s="1307">
        <f>AC567+AE567</f>
        <v>445.08665</v>
      </c>
      <c r="AG567" s="1307">
        <f>AD567+AE567</f>
        <v>750.33275</v>
      </c>
      <c r="AH567" s="1307">
        <v>15</v>
      </c>
      <c r="AI567" s="1307">
        <v>15.4000000000001</v>
      </c>
      <c r="AJ567" s="1307">
        <f>AH567+AI567</f>
        <v>30.4000000000001</v>
      </c>
      <c r="AK567" s="1307">
        <v>11</v>
      </c>
      <c r="AL567" s="1307">
        <f>AJ567+AK567</f>
        <v>41.4000000000001</v>
      </c>
      <c r="AM567" s="1307">
        <v>17</v>
      </c>
      <c r="AN567" s="1307">
        <f>AK567+AM567</f>
        <v>28</v>
      </c>
      <c r="AO567" s="1307">
        <f>AL567+AM567</f>
        <v>58.4000000000001</v>
      </c>
      <c r="AP567" s="1307">
        <v>26</v>
      </c>
      <c r="AQ567" s="1307">
        <v>14</v>
      </c>
      <c r="AR567" s="1307">
        <f>AP567+AQ567</f>
        <v>40</v>
      </c>
      <c r="AS567" s="1307">
        <v>18</v>
      </c>
      <c r="AT567" s="1307">
        <f>AR567+AS567</f>
        <v>58</v>
      </c>
      <c r="AU567" s="1307">
        <v>16</v>
      </c>
      <c r="AV567" s="1307">
        <f>AS567+AU567</f>
        <v>34</v>
      </c>
      <c r="AW567" s="1307">
        <f>AT567+AU567</f>
        <v>74</v>
      </c>
      <c r="AX567" s="1308">
        <v>22</v>
      </c>
      <c r="AY567" s="1307">
        <v>22</v>
      </c>
      <c r="AZ567" s="1307">
        <f>AX567+AY567</f>
        <v>44</v>
      </c>
      <c r="BA567" s="1307">
        <v>19</v>
      </c>
      <c r="BB567" s="1307">
        <f>AY567+BA567</f>
        <v>41</v>
      </c>
      <c r="BC567" s="1307">
        <v>23</v>
      </c>
      <c r="BD567" s="1307">
        <f>BA567+BC567</f>
        <v>42</v>
      </c>
      <c r="BE567" s="1309">
        <f>BB567+BC567</f>
        <v>64</v>
      </c>
      <c r="BF567" s="1307">
        <v>9</v>
      </c>
      <c r="BG567" s="1307">
        <v>9</v>
      </c>
      <c r="BH567" s="1307">
        <f>BF567+BG567</f>
        <v>18</v>
      </c>
      <c r="BI567" s="1307">
        <v>1</v>
      </c>
      <c r="BJ567" s="1307">
        <f>BH567+BI567</f>
        <v>19</v>
      </c>
      <c r="BK567" s="1307">
        <v>5</v>
      </c>
      <c r="BL567" s="1307">
        <f>BI567+BK567</f>
        <v>6</v>
      </c>
      <c r="BM567" s="1307">
        <f>BJ567+BK567</f>
        <v>24</v>
      </c>
      <c r="BN567" s="1308">
        <v>6</v>
      </c>
      <c r="BO567" s="1307">
        <v>11</v>
      </c>
      <c r="BP567" s="1307">
        <f>BN567+BO567</f>
        <v>17</v>
      </c>
      <c r="BQ567" s="1307">
        <v>3</v>
      </c>
      <c r="BR567" s="1307">
        <f>BP567+BQ567</f>
        <v>20</v>
      </c>
      <c r="BS567" s="1307">
        <v>3</v>
      </c>
      <c r="BT567" s="1307">
        <f>BQ567+BS567</f>
        <v>6</v>
      </c>
      <c r="BU567" s="1309">
        <f>BR567+BS567</f>
        <v>23</v>
      </c>
      <c r="BV567" s="1308">
        <v>-111</v>
      </c>
      <c r="BW567" s="1307">
        <v>-63</v>
      </c>
      <c r="BX567" s="1307">
        <f>BV567+BW567</f>
        <v>-174</v>
      </c>
      <c r="BY567" s="1307">
        <v>3</v>
      </c>
      <c r="BZ567" s="1307">
        <f>BX567+BY567</f>
        <v>-171</v>
      </c>
      <c r="CA567" s="1307">
        <v>-235</v>
      </c>
      <c r="CB567" s="1307">
        <f>BY567+CA567</f>
        <v>-232</v>
      </c>
      <c r="CC567" s="1309">
        <f>BZ567+CA567</f>
        <v>-406</v>
      </c>
      <c r="CD567" s="1308">
        <f>CD570-CD557-CD549</f>
        <v>12</v>
      </c>
      <c r="CE567" s="1307">
        <f>CE570-CE557-CE549</f>
        <v>10</v>
      </c>
      <c r="CF567" s="1307">
        <f>CD567+CE567</f>
        <v>22</v>
      </c>
      <c r="CG567" s="1307">
        <f>CG570-CG557-CG549</f>
        <v>18</v>
      </c>
      <c r="CH567" s="1307">
        <f>CF567+CG567</f>
        <v>40</v>
      </c>
      <c r="CI567" s="1307">
        <f>CI570-CI557-CI549</f>
        <v>24</v>
      </c>
      <c r="CJ567" s="1307">
        <f>CG567+CI567</f>
        <v>42</v>
      </c>
      <c r="CK567" s="1309">
        <f>CH567+CI567</f>
        <v>64</v>
      </c>
      <c r="CL567" s="1308">
        <f t="shared" ref="CL567:CS567" si="4223">CL570-CL562-CL557-CL549</f>
        <v>28.0000000000002</v>
      </c>
      <c r="CM567" s="1307">
        <f t="shared" si="4223"/>
        <v>37</v>
      </c>
      <c r="CN567" s="1307">
        <v>65</v>
      </c>
      <c r="CO567" s="1307">
        <v>37</v>
      </c>
      <c r="CP567" s="1307">
        <f t="shared" si="4223"/>
        <v>102</v>
      </c>
      <c r="CQ567" s="1307">
        <v>27</v>
      </c>
      <c r="CR567" s="1307">
        <f t="shared" si="4223"/>
        <v>64</v>
      </c>
      <c r="CS567" s="1309">
        <f t="shared" si="4223"/>
        <v>129</v>
      </c>
      <c r="CT567" s="1308">
        <v>15</v>
      </c>
      <c r="CU567" s="1357">
        <f>CU570-CU562-CU557-CU549</f>
        <v>12.0999999999999</v>
      </c>
      <c r="CV567" s="1357">
        <v>27</v>
      </c>
      <c r="CW567" s="1307">
        <v>12.5</v>
      </c>
      <c r="CX567" s="1307">
        <v>40</v>
      </c>
      <c r="CY567" s="1307">
        <v>8</v>
      </c>
      <c r="CZ567" s="1307">
        <v>20.5</v>
      </c>
      <c r="DA567" s="1309">
        <v>48</v>
      </c>
      <c r="DB567" s="1332">
        <f>DB543-DB549-DB557-DB562</f>
        <v>8</v>
      </c>
      <c r="DC567" s="1311">
        <f>DC543-DC549-DC557-DC562</f>
        <v>8</v>
      </c>
      <c r="DD567" s="1311">
        <f>DD543-DD549-DD557-DD562</f>
        <v>15</v>
      </c>
      <c r="DE567" s="1311">
        <f>DF567-DD567</f>
        <v>5</v>
      </c>
      <c r="DF567" s="1311">
        <v>20</v>
      </c>
      <c r="DG567" s="1311">
        <f>DI567-DF567</f>
        <v>-3</v>
      </c>
      <c r="DH567" s="1311">
        <f>DI567-DD567</f>
        <v>2</v>
      </c>
      <c r="DI567" s="1312">
        <v>17</v>
      </c>
      <c r="DJ567" s="1311">
        <f>DJ570-DJ562-DJ557-DJ549</f>
        <v>8</v>
      </c>
      <c r="DK567" s="1311">
        <f>DK570-DK562-DK557-DK549</f>
        <v>3</v>
      </c>
      <c r="DL567" s="1311">
        <f>DK567+DJ567</f>
        <v>11</v>
      </c>
      <c r="DM567" s="1311">
        <f>DM570-DM562-DM557-DM549</f>
        <v>2</v>
      </c>
      <c r="DN567" s="1311">
        <f>DM567+DL567</f>
        <v>13</v>
      </c>
      <c r="DO567" s="1311" t="e">
        <f>DO570-DO562-DO557-DO549</f>
        <v>#REF!</v>
      </c>
      <c r="DP567" s="1311" t="e">
        <f>DO567+DM567</f>
        <v>#REF!</v>
      </c>
      <c r="DQ567" s="1312" t="e">
        <f>DP567+DL567</f>
        <v>#REF!</v>
      </c>
      <c r="DR567" s="1311"/>
      <c r="DS567" s="1311"/>
      <c r="DT567" s="1311"/>
      <c r="DU567" s="1311"/>
      <c r="DV567" s="1311"/>
      <c r="DW567" s="1311"/>
      <c r="DX567" s="1311"/>
      <c r="DY567" s="1312"/>
      <c r="DZ567" s="1311"/>
      <c r="EA567" s="1311"/>
      <c r="EB567" s="1311"/>
      <c r="EC567" s="1311"/>
      <c r="ED567" s="1311"/>
      <c r="EE567" s="1311"/>
      <c r="EF567" s="1311"/>
      <c r="EG567" s="1312"/>
      <c r="EH567" s="1311"/>
      <c r="EI567" s="1311"/>
      <c r="EJ567" s="1311"/>
      <c r="EK567" s="1311"/>
      <c r="EL567" s="1311"/>
      <c r="EM567" s="1311"/>
      <c r="EN567" s="1311"/>
      <c r="EO567" s="1312"/>
      <c r="EP567" s="1311"/>
      <c r="EQ567" s="1311"/>
      <c r="ER567" s="1311"/>
      <c r="ES567" s="1311"/>
      <c r="ET567" s="1311"/>
      <c r="EU567" s="1311"/>
      <c r="EV567" s="1311"/>
      <c r="IX567" s="1049"/>
      <c r="IY567" s="1049"/>
      <c r="IZ567" s="1049"/>
      <c r="JA567" s="1049"/>
      <c r="JB567" s="1049"/>
      <c r="JC567" s="1049"/>
      <c r="JD567" s="1469"/>
      <c r="JE567" s="1037"/>
      <c r="JF567" s="1037"/>
      <c r="JG567" s="1037"/>
      <c r="JH567" s="1037"/>
      <c r="JI567" s="1035"/>
      <c r="JJ567" s="1035"/>
      <c r="JK567" s="1035"/>
      <c r="JL567" s="1035"/>
      <c r="JM567" s="1035"/>
      <c r="JN567" s="1035"/>
      <c r="JO567" s="1035"/>
      <c r="JP567" s="1035"/>
      <c r="JQ567" s="1035"/>
      <c r="JR567" s="1035"/>
      <c r="JS567" s="1035"/>
      <c r="JT567" s="1035"/>
      <c r="JU567" s="1035"/>
      <c r="JV567" s="1035"/>
      <c r="JW567" s="1035"/>
      <c r="JX567" s="1035"/>
      <c r="JY567" s="1035"/>
      <c r="KP567" s="1179"/>
    </row>
    <row r="568" spans="1:302">
      <c r="A568" s="1035" t="s">
        <v>142</v>
      </c>
      <c r="B568" s="1302"/>
      <c r="C568" s="1302"/>
      <c r="D568" s="1302"/>
      <c r="E568" s="1302"/>
      <c r="F568" s="1302"/>
      <c r="G568" s="1302"/>
      <c r="H568" s="1302"/>
      <c r="I568" s="1302"/>
      <c r="J568" s="1302"/>
      <c r="K568" s="1302"/>
      <c r="L568" s="1302"/>
      <c r="M568" s="1302"/>
      <c r="N568" s="1302"/>
      <c r="O568" s="1302"/>
      <c r="P568" s="1302"/>
      <c r="Q568" s="1302"/>
      <c r="R568" s="1302"/>
      <c r="S568" s="1302"/>
      <c r="T568" s="1302"/>
      <c r="U568" s="1302"/>
      <c r="V568" s="1302"/>
      <c r="W568" s="1302"/>
      <c r="X568" s="1302"/>
      <c r="Y568" s="1302"/>
      <c r="Z568" s="1302"/>
      <c r="AA568" s="1302"/>
      <c r="AB568" s="1302"/>
      <c r="AC568" s="1302"/>
      <c r="AD568" s="1302"/>
      <c r="AE568" s="1302"/>
      <c r="AF568" s="1302"/>
      <c r="AG568" s="1302"/>
      <c r="AH568" s="1302"/>
      <c r="AI568" s="1302"/>
      <c r="AJ568" s="1302"/>
      <c r="AK568" s="1302"/>
      <c r="AL568" s="1302"/>
      <c r="AM568" s="1302"/>
      <c r="AN568" s="1302"/>
      <c r="AO568" s="1302"/>
      <c r="AP568" s="1302"/>
      <c r="AQ568" s="1302"/>
      <c r="AR568" s="1302"/>
      <c r="AS568" s="1302"/>
      <c r="AT568" s="1302"/>
      <c r="AU568" s="1302"/>
      <c r="AV568" s="1302"/>
      <c r="AW568" s="1302"/>
      <c r="AX568" s="1303"/>
      <c r="AY568" s="1302"/>
      <c r="AZ568" s="1302"/>
      <c r="BA568" s="1302"/>
      <c r="BB568" s="1302"/>
      <c r="BC568" s="1302"/>
      <c r="BD568" s="1302"/>
      <c r="BE568" s="1304"/>
      <c r="BF568" s="1302"/>
      <c r="BG568" s="1302"/>
      <c r="BH568" s="1302"/>
      <c r="BI568" s="1302"/>
      <c r="BJ568" s="1302"/>
      <c r="BK568" s="1302"/>
      <c r="BL568" s="1302"/>
      <c r="BM568" s="1302"/>
      <c r="BN568" s="1303"/>
      <c r="BO568" s="1302"/>
      <c r="BP568" s="1302"/>
      <c r="BQ568" s="1302"/>
      <c r="BR568" s="1302"/>
      <c r="BS568" s="1302"/>
      <c r="BT568" s="1302"/>
      <c r="BU568" s="1304"/>
      <c r="BV568" s="1303"/>
      <c r="BW568" s="1302"/>
      <c r="BX568" s="1302"/>
      <c r="BY568" s="1302"/>
      <c r="BZ568" s="1302"/>
      <c r="CA568" s="1302"/>
      <c r="CB568" s="1302"/>
      <c r="CC568" s="1304"/>
      <c r="CD568" s="1303">
        <f t="shared" ref="CD568:CK568" si="4224">CD567/BV567-1</f>
        <v>-1.10810810810811</v>
      </c>
      <c r="CE568" s="1302">
        <f t="shared" si="4224"/>
        <v>-1.15873015873016</v>
      </c>
      <c r="CF568" s="1302">
        <f t="shared" si="4224"/>
        <v>-1.1264367816092</v>
      </c>
      <c r="CG568" s="1302">
        <f t="shared" si="4224"/>
        <v>5</v>
      </c>
      <c r="CH568" s="1302">
        <f t="shared" si="4224"/>
        <v>-1.23391812865497</v>
      </c>
      <c r="CI568" s="1302">
        <f t="shared" si="4224"/>
        <v>-1.10212765957447</v>
      </c>
      <c r="CJ568" s="1302">
        <f t="shared" si="4224"/>
        <v>-1.18103448275862</v>
      </c>
      <c r="CK568" s="1304">
        <f t="shared" si="4224"/>
        <v>-1.1576354679803</v>
      </c>
      <c r="CL568" s="1303">
        <v>-1.28</v>
      </c>
      <c r="CM568" s="1302">
        <f>CM567/CE567-1</f>
        <v>2.7</v>
      </c>
      <c r="CN568" s="1302">
        <f>CN567/CF567-1</f>
        <v>1.95454545454545</v>
      </c>
      <c r="CO568" s="1302">
        <f>CO567/CG567-1</f>
        <v>1.05555555555556</v>
      </c>
      <c r="CP568" s="1302">
        <f>CP567/CH567-1</f>
        <v>1.55</v>
      </c>
      <c r="CQ568" s="1302">
        <f>CQ567/CF567-1</f>
        <v>0.227272727272727</v>
      </c>
      <c r="CR568" s="1302">
        <f>CR567/CG567-1</f>
        <v>2.55555555555556</v>
      </c>
      <c r="CS568" s="1304">
        <f>CS567/CH567-1</f>
        <v>2.225</v>
      </c>
      <c r="CT568" s="1303">
        <f t="shared" ref="CT568:DC568" si="4225">CT567/CL567-1</f>
        <v>-0.464285714285719</v>
      </c>
      <c r="CU568" s="1302">
        <f t="shared" si="4225"/>
        <v>-0.672972972972975</v>
      </c>
      <c r="CV568" s="1302">
        <f t="shared" si="4225"/>
        <v>-0.584615384615385</v>
      </c>
      <c r="CW568" s="1302">
        <f t="shared" si="4225"/>
        <v>-0.662162162162162</v>
      </c>
      <c r="CX568" s="1302">
        <f t="shared" si="4225"/>
        <v>-0.607843137254902</v>
      </c>
      <c r="CY568" s="1302">
        <f t="shared" si="4225"/>
        <v>-0.703703703703704</v>
      </c>
      <c r="CZ568" s="1302">
        <f t="shared" si="4225"/>
        <v>-0.6796875</v>
      </c>
      <c r="DA568" s="1304">
        <f t="shared" si="4225"/>
        <v>-0.627906976744186</v>
      </c>
      <c r="DB568" s="1109">
        <f t="shared" si="4225"/>
        <v>-0.466666666666667</v>
      </c>
      <c r="DC568" s="1082">
        <f t="shared" si="4225"/>
        <v>-0.338842975206607</v>
      </c>
      <c r="DD568" s="1082">
        <v>-0.44</v>
      </c>
      <c r="DE568" s="1082">
        <f t="shared" ref="DE568:DQ568" si="4226">DE567/CW567-1</f>
        <v>-0.6</v>
      </c>
      <c r="DF568" s="1082">
        <f t="shared" si="4226"/>
        <v>-0.5</v>
      </c>
      <c r="DG568" s="1082">
        <f t="shared" si="4226"/>
        <v>-1.375</v>
      </c>
      <c r="DH568" s="1082">
        <f t="shared" si="4226"/>
        <v>-0.902439024390244</v>
      </c>
      <c r="DI568" s="1085">
        <f t="shared" si="4226"/>
        <v>-0.645833333333333</v>
      </c>
      <c r="DJ568" s="1082">
        <f t="shared" si="4226"/>
        <v>0</v>
      </c>
      <c r="DK568" s="1082">
        <f t="shared" si="4226"/>
        <v>-0.625</v>
      </c>
      <c r="DL568" s="1082">
        <f t="shared" si="4226"/>
        <v>-0.266666666666667</v>
      </c>
      <c r="DM568" s="1082">
        <f t="shared" si="4226"/>
        <v>-0.6</v>
      </c>
      <c r="DN568" s="1082">
        <f t="shared" si="4226"/>
        <v>-0.35</v>
      </c>
      <c r="DO568" s="1082" t="e">
        <f t="shared" si="4226"/>
        <v>#REF!</v>
      </c>
      <c r="DP568" s="1082" t="e">
        <f t="shared" si="4226"/>
        <v>#REF!</v>
      </c>
      <c r="DQ568" s="1085" t="e">
        <f t="shared" si="4226"/>
        <v>#REF!</v>
      </c>
      <c r="DR568" s="1082"/>
      <c r="DS568" s="1082"/>
      <c r="DT568" s="1082"/>
      <c r="DU568" s="1082"/>
      <c r="DV568" s="1082"/>
      <c r="DW568" s="1082"/>
      <c r="DX568" s="1082"/>
      <c r="DY568" s="1085"/>
      <c r="DZ568" s="1082"/>
      <c r="EA568" s="1082"/>
      <c r="EB568" s="1082"/>
      <c r="EC568" s="1082"/>
      <c r="ED568" s="1082"/>
      <c r="EE568" s="1082"/>
      <c r="EF568" s="1082"/>
      <c r="EG568" s="1085"/>
      <c r="EH568" s="1082"/>
      <c r="EI568" s="1082"/>
      <c r="EJ568" s="1082"/>
      <c r="EK568" s="1082"/>
      <c r="EL568" s="1082"/>
      <c r="EM568" s="1082"/>
      <c r="EN568" s="1082"/>
      <c r="EO568" s="1085"/>
      <c r="EP568" s="1082"/>
      <c r="EQ568" s="1082"/>
      <c r="ER568" s="1082"/>
      <c r="ES568" s="1082"/>
      <c r="ET568" s="1082"/>
      <c r="EU568" s="1082"/>
      <c r="EV568" s="1082"/>
      <c r="IX568" s="1049"/>
      <c r="IY568" s="1049"/>
      <c r="IZ568" s="1049"/>
      <c r="JA568" s="1049"/>
      <c r="JB568" s="1049"/>
      <c r="JC568" s="1049"/>
      <c r="JD568" s="1041"/>
      <c r="JE568" s="1037"/>
      <c r="JF568" s="1037"/>
      <c r="JG568" s="1037"/>
      <c r="JH568" s="1037"/>
      <c r="JI568" s="1035"/>
      <c r="JJ568" s="1035"/>
      <c r="JK568" s="1035"/>
      <c r="JL568" s="1035"/>
      <c r="JM568" s="1035"/>
      <c r="JN568" s="1035"/>
      <c r="JO568" s="1035"/>
      <c r="JP568" s="1035"/>
      <c r="JQ568" s="1035"/>
      <c r="JR568" s="1035"/>
      <c r="JS568" s="1035"/>
      <c r="JT568" s="1035"/>
      <c r="JU568" s="1035"/>
      <c r="JV568" s="1035"/>
      <c r="JW568" s="1035"/>
      <c r="JX568" s="1035"/>
      <c r="JY568" s="1035"/>
      <c r="KP568" s="1113"/>
    </row>
    <row r="569" spans="1:302">
      <c r="A569" s="1035" t="s">
        <v>621</v>
      </c>
      <c r="B569" s="1302"/>
      <c r="C569" s="1302"/>
      <c r="D569" s="1302"/>
      <c r="E569" s="1302"/>
      <c r="F569" s="1302"/>
      <c r="G569" s="1302"/>
      <c r="H569" s="1302"/>
      <c r="I569" s="1302"/>
      <c r="J569" s="1302"/>
      <c r="K569" s="1302"/>
      <c r="L569" s="1302"/>
      <c r="M569" s="1302"/>
      <c r="N569" s="1302"/>
      <c r="O569" s="1302"/>
      <c r="P569" s="1302"/>
      <c r="Q569" s="1302"/>
      <c r="R569" s="1302"/>
      <c r="S569" s="1302"/>
      <c r="T569" s="1302"/>
      <c r="U569" s="1302"/>
      <c r="V569" s="1302"/>
      <c r="W569" s="1302"/>
      <c r="X569" s="1302"/>
      <c r="Y569" s="1302"/>
      <c r="Z569" s="1302">
        <v>0.115032679738562</v>
      </c>
      <c r="AA569" s="1302">
        <v>0.0985915492957747</v>
      </c>
      <c r="AB569" s="1302">
        <f>AB567/AB$570</f>
        <v>0.107664562669071</v>
      </c>
      <c r="AC569" s="1302">
        <v>0.115695067264574</v>
      </c>
      <c r="AD569" s="1302">
        <f>AD567/AD$570</f>
        <v>0.110686164229471</v>
      </c>
      <c r="AE569" s="1302">
        <v>0.194606560676192</v>
      </c>
      <c r="AF569" s="1302"/>
      <c r="AG569" s="1302">
        <f>AG567/AG$570</f>
        <v>0.12901666007297</v>
      </c>
      <c r="AH569" s="1302">
        <v>0.0107991360691145</v>
      </c>
      <c r="AI569" s="1302">
        <v>0.0128935030140657</v>
      </c>
      <c r="AJ569" s="1302">
        <f>AJ567/AJ$570</f>
        <v>0.0117674382596579</v>
      </c>
      <c r="AK569" s="1302">
        <v>0.00698412698412698</v>
      </c>
      <c r="AL569" s="1302">
        <f>AL567/AL$570</f>
        <v>0.0099557522123894</v>
      </c>
      <c r="AM569" s="1302">
        <v>0.0142021720969089</v>
      </c>
      <c r="AN569" s="1302"/>
      <c r="AO569" s="1302">
        <f>AO567/AO$570</f>
        <v>0.0109048810546365</v>
      </c>
      <c r="AP569" s="1302">
        <v>0.017139090309822</v>
      </c>
      <c r="AQ569" s="1302">
        <v>0.0112179487179487</v>
      </c>
      <c r="AR569" s="1302">
        <f>AR567/AR$570</f>
        <v>0.0144665461121157</v>
      </c>
      <c r="AS569" s="1302">
        <v>0.0107334525939177</v>
      </c>
      <c r="AT569" s="1302">
        <f>AT567/AT$570</f>
        <v>0.0130571814497974</v>
      </c>
      <c r="AU569" s="1302">
        <v>0.0114860014357502</v>
      </c>
      <c r="AV569" s="1302"/>
      <c r="AW569" s="1302">
        <f>AW567/AW$570</f>
        <v>0.0126820908311911</v>
      </c>
      <c r="AX569" s="1303">
        <v>0.0141206675224647</v>
      </c>
      <c r="AY569" s="1302">
        <v>0.0160818713450292</v>
      </c>
      <c r="AZ569" s="1302">
        <f>AZ567/AZ$570</f>
        <v>0.0150375939849624</v>
      </c>
      <c r="BA569" s="1302">
        <v>0.0106145251396648</v>
      </c>
      <c r="BB569" s="1302">
        <f>BB567/BB$570</f>
        <v>0.012982900569981</v>
      </c>
      <c r="BC569" s="1302">
        <v>0.0164874551971326</v>
      </c>
      <c r="BD569" s="1302"/>
      <c r="BE569" s="1304">
        <f>BE567/BE$570</f>
        <v>0.0140566659345486</v>
      </c>
      <c r="BF569" s="1302">
        <v>0.00549450549450549</v>
      </c>
      <c r="BG569" s="1302">
        <v>0.0059721300597213</v>
      </c>
      <c r="BH569" s="1302">
        <f>BH567/BH$570</f>
        <v>0.00572337042925278</v>
      </c>
      <c r="BI569" s="1302">
        <v>0.000535905680600214</v>
      </c>
      <c r="BJ569" s="1302">
        <f>BJ567/BJ$570</f>
        <v>0.00379165835162642</v>
      </c>
      <c r="BK569" s="1302">
        <v>0.00330906684315023</v>
      </c>
      <c r="BL569" s="1302"/>
      <c r="BM569" s="1302">
        <f>BM567/BM$570</f>
        <v>0.00367985280588776</v>
      </c>
      <c r="BN569" s="1303">
        <v>0.00359496704613541</v>
      </c>
      <c r="BO569" s="1302">
        <v>0.00790229885057471</v>
      </c>
      <c r="BP569" s="1302">
        <f>BP567/BP$570</f>
        <v>0.00555374060764456</v>
      </c>
      <c r="BQ569" s="1302">
        <v>0.00161899622234215</v>
      </c>
      <c r="BR569" s="1302">
        <f>BR567/BR$570</f>
        <v>0.00407000407000407</v>
      </c>
      <c r="BS569" s="1302">
        <v>0.00221565731166913</v>
      </c>
      <c r="BT569" s="1302"/>
      <c r="BU569" s="1304">
        <f>BU567/BU$570</f>
        <v>0.00366943203573708</v>
      </c>
      <c r="BV569" s="1303">
        <v>-0.0737541528239203</v>
      </c>
      <c r="BW569" s="1302">
        <v>-0.0449678800856531</v>
      </c>
      <c r="BX569" s="1302">
        <f>BX567/BX$570</f>
        <v>-0.0598761183757743</v>
      </c>
      <c r="BY569" s="1302">
        <v>0.0015353121801433</v>
      </c>
      <c r="BZ569" s="1302">
        <f>BZ567/BZ$570</f>
        <v>-0.0351851851851852</v>
      </c>
      <c r="CA569" s="1302">
        <v>-0.196982397317686</v>
      </c>
      <c r="CB569" s="1302"/>
      <c r="CC569" s="1304">
        <f>CC567/CC$570</f>
        <v>-0.0670741780935074</v>
      </c>
      <c r="CD569" s="1303">
        <v>-0.0597728631201435</v>
      </c>
      <c r="CE569" s="1302">
        <v>0.00659630606860158</v>
      </c>
      <c r="CF569" s="1302">
        <f>CF567/CF$570</f>
        <v>0.00689871433051113</v>
      </c>
      <c r="CG569" s="1302">
        <v>0.00935550935550936</v>
      </c>
      <c r="CH569" s="1302">
        <f>CH567/CH$570</f>
        <v>0.00782319577547428</v>
      </c>
      <c r="CI569" s="1302">
        <v>0.0157790927021696</v>
      </c>
      <c r="CJ569" s="1302">
        <f>CJ567/CJ$570</f>
        <v>0.0121915820029028</v>
      </c>
      <c r="CK569" s="1304">
        <f>CK567/CK$570</f>
        <v>0.00964727163099186</v>
      </c>
      <c r="CL569" s="1303">
        <v>0.0113868162557083</v>
      </c>
      <c r="CM569" s="1302">
        <f t="shared" ref="CM569:DQ569" si="4227">CM567/CM$570</f>
        <v>0.0152388797364086</v>
      </c>
      <c r="CN569" s="1302">
        <f t="shared" si="4227"/>
        <v>0.0133006367143658</v>
      </c>
      <c r="CO569" s="1302">
        <f t="shared" si="4227"/>
        <v>0.012546558282417</v>
      </c>
      <c r="CP569" s="1302">
        <f t="shared" si="4227"/>
        <v>0.0130168453292496</v>
      </c>
      <c r="CQ569" s="1302">
        <f t="shared" si="4227"/>
        <v>0.0120106761565836</v>
      </c>
      <c r="CR569" s="1302">
        <f t="shared" si="4227"/>
        <v>0.0123147592963139</v>
      </c>
      <c r="CS569" s="1304">
        <f t="shared" si="4227"/>
        <v>0.0127925426418088</v>
      </c>
      <c r="CT569" s="1303">
        <f t="shared" si="4227"/>
        <v>0.00591016548463357</v>
      </c>
      <c r="CU569" s="1302">
        <f t="shared" si="4227"/>
        <v>0.00504166666666663</v>
      </c>
      <c r="CV569" s="1302">
        <f t="shared" si="4227"/>
        <v>0.00546791146033739</v>
      </c>
      <c r="CW569" s="1302">
        <f t="shared" si="4227"/>
        <v>0.00425083316330001</v>
      </c>
      <c r="CX569" s="1302">
        <f t="shared" si="4227"/>
        <v>0.00507678639421246</v>
      </c>
      <c r="CY569" s="1302">
        <f t="shared" si="4227"/>
        <v>0.00330715171558495</v>
      </c>
      <c r="CZ569" s="1302">
        <f t="shared" si="4227"/>
        <v>0.00382491230688857</v>
      </c>
      <c r="DA569" s="1304">
        <f t="shared" si="4227"/>
        <v>0.00466109924257137</v>
      </c>
      <c r="DB569" s="1109">
        <f t="shared" si="4227"/>
        <v>0.00305227012590614</v>
      </c>
      <c r="DC569" s="1082">
        <f t="shared" si="4227"/>
        <v>0.00317334391114637</v>
      </c>
      <c r="DD569" s="1082">
        <f t="shared" si="4227"/>
        <v>0.0029171528588098</v>
      </c>
      <c r="DE569" s="1082">
        <f t="shared" si="4227"/>
        <v>0.0016239038648912</v>
      </c>
      <c r="DF569" s="1082">
        <f t="shared" si="4227"/>
        <v>0.00243724104313917</v>
      </c>
      <c r="DG569" s="1082">
        <f t="shared" si="4227"/>
        <v>-0.00115696104897802</v>
      </c>
      <c r="DH569" s="1082">
        <f t="shared" si="4227"/>
        <v>0.000353544281421248</v>
      </c>
      <c r="DI569" s="1085">
        <f t="shared" si="4227"/>
        <v>0.00157421983516992</v>
      </c>
      <c r="DJ569" s="1082">
        <f t="shared" si="4227"/>
        <v>0.00310438494373302</v>
      </c>
      <c r="DK569" s="1082">
        <f t="shared" si="4227"/>
        <v>0.00122100122100122</v>
      </c>
      <c r="DL569" s="1082">
        <f t="shared" si="4227"/>
        <v>0.00218514104092173</v>
      </c>
      <c r="DM569" s="1082">
        <f t="shared" si="4227"/>
        <v>0.000692520775623269</v>
      </c>
      <c r="DN569" s="1082">
        <f t="shared" si="4227"/>
        <v>0.0016409997475385</v>
      </c>
      <c r="DO569" s="1082" t="e">
        <f t="shared" si="4227"/>
        <v>#REF!</v>
      </c>
      <c r="DP569" s="1082" t="e">
        <f t="shared" si="4227"/>
        <v>#REF!</v>
      </c>
      <c r="DQ569" s="1085" t="e">
        <f t="shared" si="4227"/>
        <v>#REF!</v>
      </c>
      <c r="DR569" s="1082"/>
      <c r="DS569" s="1082"/>
      <c r="DT569" s="1082"/>
      <c r="DU569" s="1082"/>
      <c r="DV569" s="1082"/>
      <c r="DW569" s="1082"/>
      <c r="DX569" s="1082"/>
      <c r="DY569" s="1085"/>
      <c r="DZ569" s="1082"/>
      <c r="EA569" s="1082"/>
      <c r="EB569" s="1082"/>
      <c r="EC569" s="1082"/>
      <c r="ED569" s="1082"/>
      <c r="EE569" s="1082"/>
      <c r="EF569" s="1082"/>
      <c r="EG569" s="1085"/>
      <c r="EH569" s="1082"/>
      <c r="EI569" s="1082"/>
      <c r="EJ569" s="1082"/>
      <c r="EK569" s="1082"/>
      <c r="EL569" s="1082"/>
      <c r="EM569" s="1082"/>
      <c r="EN569" s="1082"/>
      <c r="EO569" s="1085"/>
      <c r="EP569" s="1082"/>
      <c r="EQ569" s="1082"/>
      <c r="ER569" s="1082"/>
      <c r="ES569" s="1082"/>
      <c r="ET569" s="1082"/>
      <c r="EU569" s="1082"/>
      <c r="EV569" s="1082"/>
      <c r="IX569" s="1049"/>
      <c r="IY569" s="1049"/>
      <c r="IZ569" s="1049"/>
      <c r="JA569" s="1049"/>
      <c r="JB569" s="1049"/>
      <c r="JC569" s="1049"/>
      <c r="JD569" s="1041"/>
      <c r="JE569" s="1037"/>
      <c r="JF569" s="1037"/>
      <c r="JG569" s="1037"/>
      <c r="JH569" s="1037"/>
      <c r="JI569" s="1035"/>
      <c r="JJ569" s="1035"/>
      <c r="JK569" s="1035"/>
      <c r="JL569" s="1035"/>
      <c r="JM569" s="1035"/>
      <c r="JN569" s="1035"/>
      <c r="JO569" s="1035"/>
      <c r="JP569" s="1035"/>
      <c r="JQ569" s="1035"/>
      <c r="JR569" s="1035"/>
      <c r="JS569" s="1035"/>
      <c r="JT569" s="1035"/>
      <c r="JU569" s="1035"/>
      <c r="JV569" s="1035"/>
      <c r="JW569" s="1035"/>
      <c r="JX569" s="1035"/>
      <c r="JY569" s="1035"/>
      <c r="KP569" s="1179"/>
    </row>
    <row r="570" spans="1:302">
      <c r="A570" s="1191" t="s">
        <v>71</v>
      </c>
      <c r="B570" s="1499">
        <f t="shared" ref="B570:AG570" si="4228">B549+B554+B557+B567+B562</f>
        <v>510.2774</v>
      </c>
      <c r="C570" s="1499">
        <f t="shared" si="4228"/>
        <v>382.9637</v>
      </c>
      <c r="D570" s="1499">
        <f t="shared" si="4228"/>
        <v>893.2411</v>
      </c>
      <c r="E570" s="1499">
        <f t="shared" si="4228"/>
        <v>559.3622</v>
      </c>
      <c r="F570" s="1499">
        <f t="shared" si="4228"/>
        <v>1452.6033</v>
      </c>
      <c r="G570" s="1499">
        <f t="shared" si="4228"/>
        <v>337.04896</v>
      </c>
      <c r="H570" s="1499">
        <f t="shared" si="4228"/>
        <v>840.67946</v>
      </c>
      <c r="I570" s="1499">
        <f t="shared" si="4228"/>
        <v>1789.65226</v>
      </c>
      <c r="J570" s="1499">
        <f t="shared" si="4228"/>
        <v>612.0261</v>
      </c>
      <c r="K570" s="1499">
        <f t="shared" si="4228"/>
        <v>534.3085</v>
      </c>
      <c r="L570" s="1499">
        <f t="shared" si="4228"/>
        <v>1146.3346</v>
      </c>
      <c r="M570" s="1499">
        <f t="shared" si="4228"/>
        <v>752.6336</v>
      </c>
      <c r="N570" s="1499">
        <f t="shared" si="4228"/>
        <v>1898.9682</v>
      </c>
      <c r="O570" s="1499">
        <f t="shared" si="4228"/>
        <v>509.2548</v>
      </c>
      <c r="P570" s="1499">
        <f t="shared" si="4228"/>
        <v>1184.42645</v>
      </c>
      <c r="Q570" s="1499">
        <f t="shared" si="4228"/>
        <v>2408.223</v>
      </c>
      <c r="R570" s="1499">
        <f t="shared" si="4228"/>
        <v>875.8569</v>
      </c>
      <c r="S570" s="1499">
        <f t="shared" si="4228"/>
        <v>729.6251</v>
      </c>
      <c r="T570" s="1499">
        <f t="shared" si="4228"/>
        <v>1605.482</v>
      </c>
      <c r="U570" s="1499">
        <f t="shared" si="4228"/>
        <v>1096.2272</v>
      </c>
      <c r="V570" s="1499">
        <f t="shared" si="4228"/>
        <v>2701.7092</v>
      </c>
      <c r="W570" s="1499">
        <f t="shared" si="4228"/>
        <v>722.9782</v>
      </c>
      <c r="X570" s="1499">
        <f t="shared" si="4228"/>
        <v>1666.838</v>
      </c>
      <c r="Y570" s="1499">
        <f t="shared" si="4228"/>
        <v>3424.6874</v>
      </c>
      <c r="Z570" s="1499">
        <f t="shared" si="4228"/>
        <v>1564.578</v>
      </c>
      <c r="AA570" s="1499">
        <f t="shared" si="4228"/>
        <v>1270.5805</v>
      </c>
      <c r="AB570" s="1499">
        <f t="shared" si="4228"/>
        <v>2835.1585</v>
      </c>
      <c r="AC570" s="1499">
        <f t="shared" si="4228"/>
        <v>1710.2985</v>
      </c>
      <c r="AD570" s="1499">
        <f t="shared" si="4228"/>
        <v>4545.457</v>
      </c>
      <c r="AE570" s="1499">
        <f t="shared" si="4228"/>
        <v>1270.32485</v>
      </c>
      <c r="AF570" s="1499">
        <f t="shared" si="4228"/>
        <v>2892.16845</v>
      </c>
      <c r="AG570" s="1499">
        <f t="shared" si="4228"/>
        <v>5815.78185</v>
      </c>
      <c r="AH570" s="1499">
        <f t="shared" ref="AH570:BM570" si="4229">AH549+AH554+AH557+AH567+AH562</f>
        <v>1389</v>
      </c>
      <c r="AI570" s="1499">
        <f t="shared" si="4229"/>
        <v>1194.4</v>
      </c>
      <c r="AJ570" s="1499">
        <f t="shared" si="4229"/>
        <v>2583.4</v>
      </c>
      <c r="AK570" s="1499">
        <f t="shared" si="4229"/>
        <v>1575</v>
      </c>
      <c r="AL570" s="1499">
        <f t="shared" si="4229"/>
        <v>4158.4</v>
      </c>
      <c r="AM570" s="1499">
        <f t="shared" si="4229"/>
        <v>1197</v>
      </c>
      <c r="AN570" s="1499">
        <f t="shared" si="4229"/>
        <v>2695</v>
      </c>
      <c r="AO570" s="1499">
        <f t="shared" si="4229"/>
        <v>5355.4</v>
      </c>
      <c r="AP570" s="1499">
        <f t="shared" si="4229"/>
        <v>1517</v>
      </c>
      <c r="AQ570" s="1499">
        <f t="shared" si="4229"/>
        <v>1248</v>
      </c>
      <c r="AR570" s="1499">
        <f t="shared" si="4229"/>
        <v>2765</v>
      </c>
      <c r="AS570" s="1499">
        <f t="shared" si="4229"/>
        <v>1677</v>
      </c>
      <c r="AT570" s="1499">
        <f t="shared" si="4229"/>
        <v>4442</v>
      </c>
      <c r="AU570" s="1499">
        <f t="shared" si="4229"/>
        <v>1393</v>
      </c>
      <c r="AV570" s="1499">
        <f t="shared" si="4229"/>
        <v>2989</v>
      </c>
      <c r="AW570" s="1499">
        <f t="shared" si="4229"/>
        <v>5835</v>
      </c>
      <c r="AX570" s="1500">
        <f t="shared" si="4229"/>
        <v>1558</v>
      </c>
      <c r="AY570" s="1499">
        <f t="shared" si="4229"/>
        <v>1368</v>
      </c>
      <c r="AZ570" s="1499">
        <f t="shared" si="4229"/>
        <v>2926</v>
      </c>
      <c r="BA570" s="1499">
        <f t="shared" si="4229"/>
        <v>1790</v>
      </c>
      <c r="BB570" s="1499">
        <f t="shared" si="4229"/>
        <v>3158</v>
      </c>
      <c r="BC570" s="1499">
        <f t="shared" si="4229"/>
        <v>1395</v>
      </c>
      <c r="BD570" s="1499">
        <f t="shared" si="4229"/>
        <v>3069</v>
      </c>
      <c r="BE570" s="1501">
        <f t="shared" si="4229"/>
        <v>4553</v>
      </c>
      <c r="BF570" s="1499">
        <f t="shared" si="4229"/>
        <v>1638</v>
      </c>
      <c r="BG570" s="1499">
        <f t="shared" si="4229"/>
        <v>1507</v>
      </c>
      <c r="BH570" s="1499">
        <f t="shared" si="4229"/>
        <v>3145</v>
      </c>
      <c r="BI570" s="1499">
        <f t="shared" si="4229"/>
        <v>1866</v>
      </c>
      <c r="BJ570" s="1499">
        <f t="shared" si="4229"/>
        <v>5011</v>
      </c>
      <c r="BK570" s="1499">
        <f t="shared" si="4229"/>
        <v>1511</v>
      </c>
      <c r="BL570" s="1499">
        <f t="shared" si="4229"/>
        <v>3270</v>
      </c>
      <c r="BM570" s="1499">
        <f t="shared" si="4229"/>
        <v>6522</v>
      </c>
      <c r="BN570" s="1500">
        <f t="shared" ref="BN570:CC570" si="4230">BN549+BN554+BN557+BN567+BN562</f>
        <v>1669</v>
      </c>
      <c r="BO570" s="1499">
        <f t="shared" si="4230"/>
        <v>1392</v>
      </c>
      <c r="BP570" s="1499">
        <f t="shared" si="4230"/>
        <v>3061</v>
      </c>
      <c r="BQ570" s="1499">
        <f t="shared" si="4230"/>
        <v>1853</v>
      </c>
      <c r="BR570" s="1499">
        <f t="shared" si="4230"/>
        <v>4914</v>
      </c>
      <c r="BS570" s="1499">
        <f t="shared" si="4230"/>
        <v>1354</v>
      </c>
      <c r="BT570" s="1499">
        <f t="shared" si="4230"/>
        <v>3132</v>
      </c>
      <c r="BU570" s="1501">
        <f t="shared" si="4230"/>
        <v>6268</v>
      </c>
      <c r="BV570" s="1500">
        <f t="shared" si="4230"/>
        <v>1505</v>
      </c>
      <c r="BW570" s="1499">
        <f t="shared" si="4230"/>
        <v>1401</v>
      </c>
      <c r="BX570" s="1499">
        <f t="shared" si="4230"/>
        <v>2906</v>
      </c>
      <c r="BY570" s="1499">
        <f t="shared" si="4230"/>
        <v>1954</v>
      </c>
      <c r="BZ570" s="1499">
        <f t="shared" si="4230"/>
        <v>4860</v>
      </c>
      <c r="CA570" s="1499">
        <f t="shared" si="4230"/>
        <v>1193</v>
      </c>
      <c r="CB570" s="1499">
        <f t="shared" si="4230"/>
        <v>3064</v>
      </c>
      <c r="CC570" s="1501">
        <f t="shared" si="4230"/>
        <v>6053</v>
      </c>
      <c r="CD570" s="1500">
        <f t="shared" ref="CD570:CK570" si="4231">CD543</f>
        <v>1673</v>
      </c>
      <c r="CE570" s="1499">
        <f t="shared" si="4231"/>
        <v>1516</v>
      </c>
      <c r="CF570" s="1499">
        <f t="shared" si="4231"/>
        <v>3189</v>
      </c>
      <c r="CG570" s="1499">
        <f t="shared" si="4231"/>
        <v>1924</v>
      </c>
      <c r="CH570" s="1499">
        <f t="shared" si="4231"/>
        <v>5113</v>
      </c>
      <c r="CI570" s="1499">
        <f t="shared" si="4231"/>
        <v>1521</v>
      </c>
      <c r="CJ570" s="1499">
        <f t="shared" si="4231"/>
        <v>3445</v>
      </c>
      <c r="CK570" s="1501">
        <f t="shared" si="4231"/>
        <v>6634</v>
      </c>
      <c r="CL570" s="1500">
        <v>2458.98408925</v>
      </c>
      <c r="CM570" s="1499">
        <v>2428</v>
      </c>
      <c r="CN570" s="1499">
        <f>CN549+CN554+CN557+CN567+CN562</f>
        <v>4886.98408925</v>
      </c>
      <c r="CO570" s="1499">
        <f>CO549+CO554+CO557+CO567+CO562</f>
        <v>2949.01591075</v>
      </c>
      <c r="CP570" s="1499">
        <v>7836</v>
      </c>
      <c r="CQ570" s="1499">
        <f>CQ562+CQ567+CQ557+CQ549</f>
        <v>2248</v>
      </c>
      <c r="CR570" s="1499">
        <f>CR543</f>
        <v>5197.01591075</v>
      </c>
      <c r="CS570" s="1501">
        <f>CS388</f>
        <v>10084</v>
      </c>
      <c r="CT570" s="1500">
        <f>CT562+CT567+CT557+CT549</f>
        <v>2538</v>
      </c>
      <c r="CU570" s="1512">
        <f>CU388</f>
        <v>2400</v>
      </c>
      <c r="CV570" s="1512">
        <f t="shared" ref="CV570:DA570" si="4232">CV549+CV557+CV562+CV567</f>
        <v>4937.9</v>
      </c>
      <c r="CW570" s="1512">
        <f t="shared" si="4232"/>
        <v>2940.6</v>
      </c>
      <c r="CX570" s="1512">
        <f t="shared" si="4232"/>
        <v>7879</v>
      </c>
      <c r="CY570" s="1512">
        <f t="shared" si="4232"/>
        <v>2419</v>
      </c>
      <c r="CZ570" s="1512">
        <f t="shared" si="4232"/>
        <v>5359.6</v>
      </c>
      <c r="DA570" s="1513">
        <f t="shared" si="4232"/>
        <v>10298</v>
      </c>
      <c r="DB570" s="1514">
        <f>DB543</f>
        <v>2621</v>
      </c>
      <c r="DC570" s="1515">
        <f>DC543</f>
        <v>2521</v>
      </c>
      <c r="DD570" s="1515">
        <f>DD543</f>
        <v>5142</v>
      </c>
      <c r="DE570" s="1515">
        <f>DE388</f>
        <v>3079</v>
      </c>
      <c r="DF570" s="1515">
        <f>DF388</f>
        <v>8206</v>
      </c>
      <c r="DG570" s="1515">
        <f>DG543</f>
        <v>2593</v>
      </c>
      <c r="DH570" s="1515">
        <f>DI570-DD570</f>
        <v>5657</v>
      </c>
      <c r="DI570" s="1516">
        <f t="shared" ref="DH570:DI573" si="4233">DI543</f>
        <v>10799</v>
      </c>
      <c r="DJ570" s="1515">
        <v>2577</v>
      </c>
      <c r="DK570" s="1515">
        <f>DK543</f>
        <v>2457</v>
      </c>
      <c r="DL570" s="1515">
        <f t="shared" ref="DL570:DQ570" si="4234">DL543</f>
        <v>5034</v>
      </c>
      <c r="DM570" s="1515">
        <f t="shared" si="4234"/>
        <v>2888</v>
      </c>
      <c r="DN570" s="1515">
        <f t="shared" si="4234"/>
        <v>7922</v>
      </c>
      <c r="DO570" s="1515" t="e">
        <f t="shared" si="4234"/>
        <v>#REF!</v>
      </c>
      <c r="DP570" s="1515" t="e">
        <f t="shared" si="4234"/>
        <v>#REF!</v>
      </c>
      <c r="DQ570" s="1516" t="e">
        <f t="shared" si="4234"/>
        <v>#REF!</v>
      </c>
      <c r="DR570" s="1515"/>
      <c r="DS570" s="1515"/>
      <c r="DT570" s="1515"/>
      <c r="DU570" s="1515"/>
      <c r="DV570" s="1515"/>
      <c r="DW570" s="1515"/>
      <c r="DX570" s="1515"/>
      <c r="DY570" s="1516"/>
      <c r="DZ570" s="1515"/>
      <c r="EA570" s="1515"/>
      <c r="EB570" s="1515"/>
      <c r="EC570" s="1515"/>
      <c r="ED570" s="1515"/>
      <c r="EE570" s="1515"/>
      <c r="EF570" s="1515"/>
      <c r="EG570" s="1516"/>
      <c r="EH570" s="1515"/>
      <c r="EI570" s="1515"/>
      <c r="EJ570" s="1515"/>
      <c r="EK570" s="1515"/>
      <c r="EL570" s="1515"/>
      <c r="EM570" s="1515"/>
      <c r="EN570" s="1515"/>
      <c r="EO570" s="1516"/>
      <c r="EP570" s="1515"/>
      <c r="EQ570" s="1515"/>
      <c r="ER570" s="1515"/>
      <c r="ES570" s="1515"/>
      <c r="ET570" s="1515"/>
      <c r="EU570" s="1515"/>
      <c r="EV570" s="1515"/>
      <c r="IX570" s="1049"/>
      <c r="IY570" s="1049"/>
      <c r="IZ570" s="1049"/>
      <c r="JA570" s="1049"/>
      <c r="JB570" s="1049"/>
      <c r="JC570" s="1049"/>
      <c r="JD570" s="1469"/>
      <c r="JE570" s="1037"/>
      <c r="JF570" s="1037"/>
      <c r="JG570" s="1037"/>
      <c r="JH570" s="1037"/>
      <c r="JI570" s="1035"/>
      <c r="JJ570" s="1035"/>
      <c r="JK570" s="1035"/>
      <c r="JL570" s="1035"/>
      <c r="JM570" s="1035"/>
      <c r="JN570" s="1035"/>
      <c r="JO570" s="1035"/>
      <c r="JP570" s="1035"/>
      <c r="JQ570" s="1035"/>
      <c r="JR570" s="1035"/>
      <c r="JS570" s="1035"/>
      <c r="JT570" s="1035"/>
      <c r="JU570" s="1035"/>
      <c r="JV570" s="1035"/>
      <c r="JW570" s="1035"/>
      <c r="JX570" s="1035"/>
      <c r="JY570" s="1035"/>
      <c r="KP570" s="1179"/>
    </row>
    <row r="571" s="883" customFormat="1" spans="1:302">
      <c r="A571" s="1035" t="s">
        <v>142</v>
      </c>
      <c r="B571" s="1302" t="s">
        <v>173</v>
      </c>
      <c r="C571" s="1302" t="s">
        <v>173</v>
      </c>
      <c r="D571" s="1302" t="s">
        <v>173</v>
      </c>
      <c r="E571" s="1302" t="s">
        <v>173</v>
      </c>
      <c r="F571" s="1302" t="s">
        <v>173</v>
      </c>
      <c r="G571" s="1302" t="s">
        <v>173</v>
      </c>
      <c r="H571" s="1302" t="s">
        <v>173</v>
      </c>
      <c r="I571" s="1302" t="s">
        <v>173</v>
      </c>
      <c r="J571" s="1302">
        <f t="shared" ref="J571:AO571" si="4235">J570/B570-1</f>
        <v>0.199398797595191</v>
      </c>
      <c r="K571" s="1302">
        <f t="shared" si="4235"/>
        <v>0.395193591455274</v>
      </c>
      <c r="L571" s="1302">
        <f t="shared" si="4235"/>
        <v>0.283342873497424</v>
      </c>
      <c r="M571" s="1302">
        <f t="shared" si="4235"/>
        <v>0.345521023765996</v>
      </c>
      <c r="N571" s="1302">
        <f t="shared" si="4235"/>
        <v>0.307286166842661</v>
      </c>
      <c r="O571" s="1302">
        <f t="shared" si="4235"/>
        <v>0.510922330097087</v>
      </c>
      <c r="P571" s="1302">
        <f t="shared" si="4235"/>
        <v>0.408891862303856</v>
      </c>
      <c r="Q571" s="1302">
        <f t="shared" si="4235"/>
        <v>0.34563739214902</v>
      </c>
      <c r="R571" s="1302">
        <f t="shared" si="4235"/>
        <v>0.431077694235589</v>
      </c>
      <c r="S571" s="1302">
        <f t="shared" si="4235"/>
        <v>0.36555023923445</v>
      </c>
      <c r="T571" s="1302">
        <f t="shared" si="4235"/>
        <v>0.400535236396075</v>
      </c>
      <c r="U571" s="1302">
        <f t="shared" si="4235"/>
        <v>0.456521739130435</v>
      </c>
      <c r="V571" s="1302">
        <f t="shared" si="4235"/>
        <v>0.422724824986537</v>
      </c>
      <c r="W571" s="1302">
        <f t="shared" si="4235"/>
        <v>0.419678714859438</v>
      </c>
      <c r="X571" s="1302">
        <f t="shared" si="4235"/>
        <v>0.407295488884092</v>
      </c>
      <c r="Y571" s="1302">
        <f t="shared" si="4235"/>
        <v>0.42208067940552</v>
      </c>
      <c r="Z571" s="1302">
        <f t="shared" si="4235"/>
        <v>0.786339754816112</v>
      </c>
      <c r="AA571" s="1302">
        <f t="shared" si="4235"/>
        <v>0.741415557112824</v>
      </c>
      <c r="AB571" s="1302">
        <f t="shared" si="4235"/>
        <v>0.765923566878981</v>
      </c>
      <c r="AC571" s="1302">
        <f t="shared" si="4235"/>
        <v>0.560167910447761</v>
      </c>
      <c r="AD571" s="1302">
        <f t="shared" si="4235"/>
        <v>0.682437547312642</v>
      </c>
      <c r="AE571" s="1302">
        <f t="shared" si="4235"/>
        <v>0.757072135785007</v>
      </c>
      <c r="AF571" s="1302">
        <f t="shared" si="4235"/>
        <v>0.735122699386503</v>
      </c>
      <c r="AG571" s="1302">
        <f t="shared" si="4235"/>
        <v>0.698193490594207</v>
      </c>
      <c r="AH571" s="1302">
        <f t="shared" si="4235"/>
        <v>-0.112220675479267</v>
      </c>
      <c r="AI571" s="1302">
        <f t="shared" si="4235"/>
        <v>-0.0599572400174564</v>
      </c>
      <c r="AJ571" s="1302">
        <f t="shared" si="4235"/>
        <v>-0.0887987391181126</v>
      </c>
      <c r="AK571" s="1302">
        <f t="shared" si="4235"/>
        <v>-0.0791081206000005</v>
      </c>
      <c r="AL571" s="1302">
        <f t="shared" si="4235"/>
        <v>-0.0851524940176532</v>
      </c>
      <c r="AM571" s="1302">
        <f t="shared" si="4235"/>
        <v>-0.0577213379711496</v>
      </c>
      <c r="AN571" s="1302">
        <f t="shared" ref="AN571:BU571" si="4236">AN570/AF570-1</f>
        <v>-0.0681732248341206</v>
      </c>
      <c r="AO571" s="1302">
        <f t="shared" si="4235"/>
        <v>-0.0791607838591813</v>
      </c>
      <c r="AP571" s="1302">
        <f t="shared" si="4236"/>
        <v>0.0921526277897768</v>
      </c>
      <c r="AQ571" s="1302">
        <f t="shared" si="4236"/>
        <v>0.0448760884125921</v>
      </c>
      <c r="AR571" s="1302">
        <f t="shared" si="4236"/>
        <v>0.0702949601300611</v>
      </c>
      <c r="AS571" s="1302">
        <f t="shared" si="4236"/>
        <v>0.0647619047619048</v>
      </c>
      <c r="AT571" s="1302">
        <f t="shared" si="4236"/>
        <v>0.0681993074259331</v>
      </c>
      <c r="AU571" s="1302">
        <f t="shared" si="4236"/>
        <v>0.16374269005848</v>
      </c>
      <c r="AV571" s="1302">
        <f t="shared" si="4236"/>
        <v>0.109090909090909</v>
      </c>
      <c r="AW571" s="1302">
        <f t="shared" si="4236"/>
        <v>0.0895544683870486</v>
      </c>
      <c r="AX571" s="1303">
        <f t="shared" si="4236"/>
        <v>0.027027027027027</v>
      </c>
      <c r="AY571" s="1302">
        <f t="shared" si="4236"/>
        <v>0.0961538461538463</v>
      </c>
      <c r="AZ571" s="1302">
        <f t="shared" si="4236"/>
        <v>0.0582278481012659</v>
      </c>
      <c r="BA571" s="1302">
        <f t="shared" si="4236"/>
        <v>0.0673822301729279</v>
      </c>
      <c r="BB571" s="1302">
        <f t="shared" si="4236"/>
        <v>-0.289058982440342</v>
      </c>
      <c r="BC571" s="1302">
        <f t="shared" si="4236"/>
        <v>0.00143575017946884</v>
      </c>
      <c r="BD571" s="1302">
        <f t="shared" si="4236"/>
        <v>0.0267648042823687</v>
      </c>
      <c r="BE571" s="1304">
        <f t="shared" si="4236"/>
        <v>-0.219708654670094</v>
      </c>
      <c r="BF571" s="1302">
        <f t="shared" si="4236"/>
        <v>0.0513478818998716</v>
      </c>
      <c r="BG571" s="1302">
        <f t="shared" si="4236"/>
        <v>0.101608187134503</v>
      </c>
      <c r="BH571" s="1302">
        <f t="shared" si="4236"/>
        <v>0.0748462064251538</v>
      </c>
      <c r="BI571" s="1302">
        <f t="shared" si="4236"/>
        <v>0.0424581005586593</v>
      </c>
      <c r="BJ571" s="1302">
        <f t="shared" si="4236"/>
        <v>0.586763774540849</v>
      </c>
      <c r="BK571" s="1302">
        <f t="shared" si="4236"/>
        <v>0.0831541218637992</v>
      </c>
      <c r="BL571" s="1302">
        <f t="shared" si="4236"/>
        <v>0.0654936461388074</v>
      </c>
      <c r="BM571" s="1302">
        <f t="shared" si="4236"/>
        <v>0.432462112892598</v>
      </c>
      <c r="BN571" s="1303">
        <f t="shared" si="4236"/>
        <v>0.0189255189255189</v>
      </c>
      <c r="BO571" s="1302">
        <f t="shared" si="4236"/>
        <v>-0.0763105507631056</v>
      </c>
      <c r="BP571" s="1302">
        <f t="shared" si="4236"/>
        <v>-0.0267090620031797</v>
      </c>
      <c r="BQ571" s="1302">
        <f t="shared" si="4236"/>
        <v>-0.00696677384780275</v>
      </c>
      <c r="BR571" s="1302">
        <f t="shared" si="4236"/>
        <v>-0.0193574136898823</v>
      </c>
      <c r="BS571" s="1302">
        <f t="shared" si="4236"/>
        <v>-0.103904698874917</v>
      </c>
      <c r="BT571" s="1302">
        <f t="shared" si="4236"/>
        <v>-0.0422018348623853</v>
      </c>
      <c r="BU571" s="1304">
        <f t="shared" si="4236"/>
        <v>-0.0389451088623122</v>
      </c>
      <c r="BV571" s="1303">
        <f t="shared" ref="BV571:CQ571" si="4237">BV570/BN570-1</f>
        <v>-0.0982624325943678</v>
      </c>
      <c r="BW571" s="1302">
        <f t="shared" si="4237"/>
        <v>0.00646551724137923</v>
      </c>
      <c r="BX571" s="1302">
        <f t="shared" si="4237"/>
        <v>-0.0506370467167593</v>
      </c>
      <c r="BY571" s="1302">
        <f t="shared" si="4237"/>
        <v>0.0545062061521857</v>
      </c>
      <c r="BZ571" s="1302">
        <f t="shared" si="4237"/>
        <v>-0.0109890109890109</v>
      </c>
      <c r="CA571" s="1302">
        <f t="shared" si="4237"/>
        <v>-0.11890694239291</v>
      </c>
      <c r="CB571" s="1302">
        <f t="shared" si="4237"/>
        <v>-0.0217113665389528</v>
      </c>
      <c r="CC571" s="1304">
        <f t="shared" si="4237"/>
        <v>-0.034301212507977</v>
      </c>
      <c r="CD571" s="1303">
        <f t="shared" si="4237"/>
        <v>0.111627906976744</v>
      </c>
      <c r="CE571" s="1302">
        <f t="shared" si="4237"/>
        <v>0.0820842255531764</v>
      </c>
      <c r="CF571" s="1302">
        <f t="shared" si="4237"/>
        <v>0.0973847212663455</v>
      </c>
      <c r="CG571" s="1302">
        <f t="shared" si="4237"/>
        <v>-0.015353121801433</v>
      </c>
      <c r="CH571" s="1302">
        <f t="shared" si="4237"/>
        <v>0.0520576131687243</v>
      </c>
      <c r="CI571" s="1302">
        <f t="shared" si="4237"/>
        <v>0.274937133277452</v>
      </c>
      <c r="CJ571" s="1302">
        <f t="shared" si="4237"/>
        <v>0.12434725848564</v>
      </c>
      <c r="CK571" s="1304">
        <f t="shared" si="4237"/>
        <v>0.095985461754502</v>
      </c>
      <c r="CL571" s="1303">
        <v>0.469805193813509</v>
      </c>
      <c r="CM571" s="1302">
        <f t="shared" si="4237"/>
        <v>0.601583113456464</v>
      </c>
      <c r="CN571" s="1302">
        <f t="shared" si="4237"/>
        <v>0.532450325885858</v>
      </c>
      <c r="CO571" s="1302">
        <f t="shared" si="4237"/>
        <v>0.532752552364865</v>
      </c>
      <c r="CP571" s="1302">
        <f t="shared" si="4237"/>
        <v>0.532564052415412</v>
      </c>
      <c r="CQ571" s="1302">
        <f t="shared" si="4237"/>
        <v>0.477975016436555</v>
      </c>
      <c r="CR571" s="1302">
        <f>CR570/CG570-1</f>
        <v>1.70115172076403</v>
      </c>
      <c r="CS571" s="1304">
        <f t="shared" ref="CS571:CX571" si="4238">CS570/CK570-1</f>
        <v>0.520048236358155</v>
      </c>
      <c r="CT571" s="1303">
        <f t="shared" si="4238"/>
        <v>0.032133559178132</v>
      </c>
      <c r="CU571" s="1302">
        <f t="shared" si="4238"/>
        <v>-0.0115321252059308</v>
      </c>
      <c r="CV571" s="1302">
        <f t="shared" si="4238"/>
        <v>0.0104186774133357</v>
      </c>
      <c r="CW571" s="1302">
        <f t="shared" si="4238"/>
        <v>-0.00285380310066219</v>
      </c>
      <c r="CX571" s="1302">
        <f t="shared" si="4238"/>
        <v>0.00548749361919354</v>
      </c>
      <c r="CY571" s="1302">
        <f t="shared" ref="CY571:DG571" si="4239">CY570/CQ570-1</f>
        <v>0.0760676156583631</v>
      </c>
      <c r="CZ571" s="1302">
        <f t="shared" si="4239"/>
        <v>0.0312841238206902</v>
      </c>
      <c r="DA571" s="1304">
        <f t="shared" si="4239"/>
        <v>0.0212217374057913</v>
      </c>
      <c r="DB571" s="1109">
        <f t="shared" si="4239"/>
        <v>0.0327029156816392</v>
      </c>
      <c r="DC571" s="1082">
        <f t="shared" si="4239"/>
        <v>0.0504166666666668</v>
      </c>
      <c r="DD571" s="1082">
        <f t="shared" si="4239"/>
        <v>0.0413333603353654</v>
      </c>
      <c r="DE571" s="1082">
        <f t="shared" si="4239"/>
        <v>0.0470652247840577</v>
      </c>
      <c r="DF571" s="1082">
        <f t="shared" si="4239"/>
        <v>0.0415027287726868</v>
      </c>
      <c r="DG571" s="1082">
        <f t="shared" si="4239"/>
        <v>0.0719305498139726</v>
      </c>
      <c r="DH571" s="1082">
        <f t="shared" si="4233"/>
        <v>0.0554892156131055</v>
      </c>
      <c r="DI571" s="1085">
        <f t="shared" si="4233"/>
        <v>0.0486502233443387</v>
      </c>
      <c r="DJ571" s="1082">
        <f t="shared" ref="DJ571:DQ571" si="4240">DJ570/DB570-1</f>
        <v>-0.0167874856924838</v>
      </c>
      <c r="DK571" s="1082">
        <f t="shared" si="4240"/>
        <v>-0.025386751289171</v>
      </c>
      <c r="DL571" s="1082">
        <f t="shared" si="4240"/>
        <v>-0.0210035005834306</v>
      </c>
      <c r="DM571" s="1082">
        <f t="shared" si="4240"/>
        <v>-0.0620331276388438</v>
      </c>
      <c r="DN571" s="1082">
        <f t="shared" si="4240"/>
        <v>-0.0346088228125762</v>
      </c>
      <c r="DO571" s="1082" t="e">
        <f t="shared" si="4240"/>
        <v>#REF!</v>
      </c>
      <c r="DP571" s="1082" t="e">
        <f t="shared" si="4240"/>
        <v>#REF!</v>
      </c>
      <c r="DQ571" s="1085" t="e">
        <f t="shared" si="4240"/>
        <v>#REF!</v>
      </c>
      <c r="DR571" s="1082"/>
      <c r="DS571" s="1082"/>
      <c r="DT571" s="1082"/>
      <c r="DU571" s="1082"/>
      <c r="DV571" s="1082"/>
      <c r="DW571" s="1082"/>
      <c r="DX571" s="1082"/>
      <c r="DY571" s="1085"/>
      <c r="DZ571" s="1082"/>
      <c r="EA571" s="1082"/>
      <c r="EB571" s="1082"/>
      <c r="EC571" s="1082"/>
      <c r="ED571" s="1082"/>
      <c r="EE571" s="1082"/>
      <c r="EF571" s="1082"/>
      <c r="EG571" s="1085"/>
      <c r="EH571" s="1082"/>
      <c r="EI571" s="1082"/>
      <c r="EJ571" s="1082"/>
      <c r="EK571" s="1082"/>
      <c r="EL571" s="1082"/>
      <c r="EM571" s="1082"/>
      <c r="EN571" s="1082"/>
      <c r="EO571" s="1085"/>
      <c r="EP571" s="1082"/>
      <c r="EQ571" s="1082"/>
      <c r="ER571" s="1082"/>
      <c r="ES571" s="1082"/>
      <c r="ET571" s="1082"/>
      <c r="EU571" s="1082"/>
      <c r="EV571" s="1082"/>
      <c r="EW571" s="1039"/>
      <c r="EX571" s="891"/>
      <c r="EY571" s="891"/>
      <c r="EZ571" s="891"/>
      <c r="FA571" s="891"/>
      <c r="FB571" s="891"/>
      <c r="FC571" s="891"/>
      <c r="FD571" s="891"/>
      <c r="FE571" s="1039"/>
      <c r="FF571" s="891"/>
      <c r="FG571" s="891"/>
      <c r="FH571" s="891"/>
      <c r="FI571" s="891"/>
      <c r="FJ571" s="891"/>
      <c r="FK571" s="891"/>
      <c r="FL571" s="891"/>
      <c r="FM571" s="1039"/>
      <c r="FN571" s="891"/>
      <c r="FO571" s="891"/>
      <c r="FP571" s="891"/>
      <c r="FQ571" s="891"/>
      <c r="FR571" s="891"/>
      <c r="FS571" s="891"/>
      <c r="FT571" s="891"/>
      <c r="FU571" s="891"/>
      <c r="FV571" s="1040"/>
      <c r="FW571" s="891"/>
      <c r="FX571" s="891"/>
      <c r="FY571" s="891"/>
      <c r="FZ571" s="891"/>
      <c r="GA571" s="891"/>
      <c r="GB571" s="891"/>
      <c r="GC571" s="1039"/>
      <c r="GD571" s="891"/>
      <c r="GE571" s="891"/>
      <c r="GF571" s="891"/>
      <c r="GG571" s="891"/>
      <c r="GH571" s="891"/>
      <c r="GI571" s="891"/>
      <c r="GJ571" s="891"/>
      <c r="GK571" s="1039"/>
      <c r="GL571" s="891"/>
      <c r="GM571" s="891"/>
      <c r="GN571" s="891"/>
      <c r="GO571" s="891"/>
      <c r="GP571" s="891"/>
      <c r="GQ571" s="891"/>
      <c r="GR571" s="891"/>
      <c r="GS571" s="1039"/>
      <c r="GT571" s="891"/>
      <c r="GU571" s="891"/>
      <c r="GV571" s="891"/>
      <c r="GW571" s="891"/>
      <c r="GX571" s="891"/>
      <c r="GY571" s="891"/>
      <c r="GZ571" s="891"/>
      <c r="HA571" s="1039"/>
      <c r="HB571" s="891"/>
      <c r="HC571" s="891"/>
      <c r="HD571" s="891"/>
      <c r="HE571" s="891"/>
      <c r="HF571" s="891"/>
      <c r="HG571" s="891"/>
      <c r="HH571" s="891"/>
      <c r="HI571" s="1039"/>
      <c r="HJ571" s="891"/>
      <c r="HK571" s="891"/>
      <c r="HL571" s="891"/>
      <c r="HM571" s="891"/>
      <c r="HN571" s="891"/>
      <c r="HO571" s="891"/>
      <c r="HP571" s="891"/>
      <c r="HQ571" s="1039"/>
      <c r="HR571" s="891"/>
      <c r="HS571" s="891"/>
      <c r="HT571" s="891"/>
      <c r="HU571" s="891"/>
      <c r="HV571" s="891"/>
      <c r="HW571" s="891"/>
      <c r="HX571" s="891"/>
      <c r="HY571" s="891"/>
      <c r="HZ571" s="891"/>
      <c r="IA571" s="891"/>
      <c r="IB571" s="891"/>
      <c r="IC571" s="891"/>
      <c r="ID571" s="891"/>
      <c r="IE571" s="891"/>
      <c r="IF571" s="891"/>
      <c r="IG571" s="1039"/>
      <c r="IH571" s="891"/>
      <c r="II571" s="891"/>
      <c r="IJ571" s="891"/>
      <c r="IK571" s="891"/>
      <c r="IL571" s="891"/>
      <c r="IM571" s="891"/>
      <c r="IN571" s="891"/>
      <c r="IO571" s="1039"/>
      <c r="IP571" s="891"/>
      <c r="IQ571" s="891"/>
      <c r="IR571" s="891"/>
      <c r="IS571" s="891"/>
      <c r="IT571" s="891"/>
      <c r="IU571" s="891"/>
      <c r="IV571" s="891"/>
      <c r="IW571" s="891"/>
      <c r="IX571" s="1049"/>
      <c r="IY571" s="1049"/>
      <c r="IZ571" s="1049"/>
      <c r="JA571" s="1049"/>
      <c r="JB571" s="1049"/>
      <c r="JC571" s="1049"/>
      <c r="JD571" s="1041"/>
      <c r="JE571" s="1082"/>
      <c r="JF571" s="1082"/>
      <c r="JG571" s="1082"/>
      <c r="JH571" s="1082"/>
      <c r="KP571" s="1113"/>
    </row>
    <row r="572" s="883" customFormat="1" spans="1:302">
      <c r="A572" s="1035" t="s">
        <v>623</v>
      </c>
      <c r="B572" s="1302"/>
      <c r="C572" s="1302"/>
      <c r="D572" s="1302"/>
      <c r="E572" s="1302"/>
      <c r="F572" s="1302"/>
      <c r="G572" s="1302"/>
      <c r="H572" s="1302"/>
      <c r="I572" s="1302"/>
      <c r="J572" s="1302"/>
      <c r="K572" s="1302"/>
      <c r="L572" s="1302"/>
      <c r="M572" s="1302"/>
      <c r="N572" s="1302"/>
      <c r="O572" s="1302"/>
      <c r="P572" s="1302"/>
      <c r="Q572" s="1302"/>
      <c r="R572" s="1302"/>
      <c r="S572" s="1302"/>
      <c r="T572" s="1302"/>
      <c r="U572" s="1302"/>
      <c r="V572" s="1302"/>
      <c r="W572" s="1302"/>
      <c r="X572" s="1302"/>
      <c r="Y572" s="1302"/>
      <c r="Z572" s="1302"/>
      <c r="AA572" s="1302"/>
      <c r="AB572" s="1302"/>
      <c r="AC572" s="1302"/>
      <c r="AD572" s="1302"/>
      <c r="AE572" s="1302"/>
      <c r="AF572" s="1302"/>
      <c r="AG572" s="1302"/>
      <c r="AH572" s="1302"/>
      <c r="AI572" s="1302"/>
      <c r="AJ572" s="1302"/>
      <c r="AK572" s="1302"/>
      <c r="AL572" s="1302"/>
      <c r="AM572" s="1302"/>
      <c r="AN572" s="1302"/>
      <c r="AO572" s="1302"/>
      <c r="AP572" s="1302"/>
      <c r="AQ572" s="1302"/>
      <c r="AR572" s="1302"/>
      <c r="AS572" s="1302"/>
      <c r="AT572" s="1302"/>
      <c r="AU572" s="1302"/>
      <c r="AV572" s="1302"/>
      <c r="AW572" s="1302"/>
      <c r="AX572" s="1303"/>
      <c r="AY572" s="1302"/>
      <c r="AZ572" s="1302"/>
      <c r="BA572" s="1302"/>
      <c r="BB572" s="1302"/>
      <c r="BC572" s="1302"/>
      <c r="BD572" s="1302"/>
      <c r="BE572" s="1304"/>
      <c r="BF572" s="1302"/>
      <c r="BG572" s="1302"/>
      <c r="BH572" s="1302"/>
      <c r="BI572" s="1302"/>
      <c r="BJ572" s="1302"/>
      <c r="BK572" s="1302"/>
      <c r="BL572" s="1302"/>
      <c r="BM572" s="1302"/>
      <c r="BN572" s="1303"/>
      <c r="BO572" s="1302"/>
      <c r="BP572" s="1302"/>
      <c r="BQ572" s="1302"/>
      <c r="BR572" s="1302"/>
      <c r="BS572" s="1302"/>
      <c r="BT572" s="1302"/>
      <c r="BU572" s="1304"/>
      <c r="BV572" s="1303"/>
      <c r="BW572" s="1302"/>
      <c r="BX572" s="1302"/>
      <c r="BY572" s="1302"/>
      <c r="BZ572" s="1302"/>
      <c r="CA572" s="1302"/>
      <c r="CB572" s="1302"/>
      <c r="CC572" s="1304"/>
      <c r="CD572" s="1303"/>
      <c r="CE572" s="1302"/>
      <c r="CF572" s="1302"/>
      <c r="CG572" s="1302"/>
      <c r="CH572" s="1302"/>
      <c r="CI572" s="1302"/>
      <c r="CJ572" s="1302"/>
      <c r="CK572" s="1304"/>
      <c r="CL572" s="1303"/>
      <c r="CM572" s="1302"/>
      <c r="CN572" s="1302">
        <f>CN571-CN573</f>
        <v>0.0424503258858575</v>
      </c>
      <c r="CO572" s="1302"/>
      <c r="CP572" s="1302"/>
      <c r="CQ572" s="1302"/>
      <c r="CR572" s="1302"/>
      <c r="CS572" s="1304"/>
      <c r="CT572" s="1303">
        <f t="shared" ref="CT572:DA572" si="4241">CT571-CT573</f>
        <v>-0.0557712388154689</v>
      </c>
      <c r="CU572" s="1302">
        <f t="shared" si="4241"/>
        <v>-0.0683579077429984</v>
      </c>
      <c r="CV572" s="1302">
        <f t="shared" si="4241"/>
        <v>-0.0562337523104511</v>
      </c>
      <c r="CW572" s="1302">
        <f t="shared" si="4241"/>
        <v>-0.0361494240160401</v>
      </c>
      <c r="CX572" s="1302">
        <f t="shared" si="4241"/>
        <v>-0.0445125063808065</v>
      </c>
      <c r="CY572" s="1302">
        <f t="shared" si="4241"/>
        <v>-0.0639323843416369</v>
      </c>
      <c r="CZ572" s="1302">
        <f t="shared" si="4241"/>
        <v>-0.0418637446789348</v>
      </c>
      <c r="DA572" s="1304">
        <f t="shared" si="4241"/>
        <v>-0.0487782625942088</v>
      </c>
      <c r="DB572" s="1109">
        <f t="shared" ref="DB572:DG572" si="4242">DB571-DB573</f>
        <v>-0.067304964539007</v>
      </c>
      <c r="DC572" s="1082">
        <f t="shared" si="4242"/>
        <v>-0.0895833333333332</v>
      </c>
      <c r="DD572" s="1082">
        <f t="shared" si="4242"/>
        <v>-0.0786666396646346</v>
      </c>
      <c r="DE572" s="1082">
        <f t="shared" si="4242"/>
        <v>-0.0611322512055838</v>
      </c>
      <c r="DF572" s="1082">
        <f t="shared" si="4242"/>
        <v>-0.0740847186058054</v>
      </c>
      <c r="DG572" s="1082">
        <f t="shared" si="4242"/>
        <v>0.0327042157483009</v>
      </c>
      <c r="DH572" s="1082">
        <f t="shared" si="4233"/>
        <v>-0.0215766101947905</v>
      </c>
      <c r="DI572" s="1085">
        <f t="shared" si="4233"/>
        <v>-0.049</v>
      </c>
      <c r="DJ572" s="1082">
        <f t="shared" ref="DJ572:DO572" si="4243">DJ571-DJ573</f>
        <v>0.0376697891343061</v>
      </c>
      <c r="DK572" s="1082">
        <f t="shared" si="4243"/>
        <v>0.046582945680526</v>
      </c>
      <c r="DL572" s="1082">
        <f t="shared" si="4243"/>
        <v>0.0420432979284159</v>
      </c>
      <c r="DM572" s="1082">
        <f t="shared" si="4243"/>
        <v>0.0109489043768373</v>
      </c>
      <c r="DN572" s="1082">
        <f t="shared" si="4243"/>
        <v>0.0322841000379083</v>
      </c>
      <c r="DO572" s="1082" t="e">
        <f t="shared" si="4243"/>
        <v>#REF!</v>
      </c>
      <c r="DP572" s="1082" t="e">
        <f>DP545</f>
        <v>#REF!</v>
      </c>
      <c r="DQ572" s="1085" t="e">
        <f>DQ545</f>
        <v>#REF!</v>
      </c>
      <c r="DR572" s="1082"/>
      <c r="DS572" s="1082"/>
      <c r="DT572" s="1082"/>
      <c r="DU572" s="1082"/>
      <c r="DV572" s="1082"/>
      <c r="DW572" s="1082"/>
      <c r="DX572" s="1082"/>
      <c r="DY572" s="1085"/>
      <c r="DZ572" s="1082"/>
      <c r="EA572" s="1082"/>
      <c r="EB572" s="1082"/>
      <c r="EC572" s="1082"/>
      <c r="ED572" s="1082"/>
      <c r="EE572" s="1082"/>
      <c r="EF572" s="1082"/>
      <c r="EG572" s="1085"/>
      <c r="EH572" s="1082"/>
      <c r="EI572" s="1082"/>
      <c r="EJ572" s="1082"/>
      <c r="EK572" s="1082"/>
      <c r="EL572" s="1082"/>
      <c r="EM572" s="1082"/>
      <c r="EN572" s="1082"/>
      <c r="EO572" s="1085"/>
      <c r="EP572" s="1082"/>
      <c r="EQ572" s="1082"/>
      <c r="ER572" s="1082"/>
      <c r="ES572" s="1082"/>
      <c r="ET572" s="1082"/>
      <c r="EU572" s="1082"/>
      <c r="EV572" s="1082"/>
      <c r="EW572" s="1039"/>
      <c r="EX572" s="891"/>
      <c r="EY572" s="891"/>
      <c r="EZ572" s="891"/>
      <c r="FA572" s="891"/>
      <c r="FB572" s="891"/>
      <c r="FC572" s="891"/>
      <c r="FD572" s="891"/>
      <c r="FE572" s="1039"/>
      <c r="FF572" s="891"/>
      <c r="FG572" s="891"/>
      <c r="FH572" s="891"/>
      <c r="FI572" s="891"/>
      <c r="FJ572" s="891"/>
      <c r="FK572" s="891"/>
      <c r="FL572" s="891"/>
      <c r="FM572" s="1039"/>
      <c r="FN572" s="891"/>
      <c r="FO572" s="891"/>
      <c r="FP572" s="891"/>
      <c r="FQ572" s="891"/>
      <c r="FR572" s="891"/>
      <c r="FS572" s="891"/>
      <c r="FT572" s="891"/>
      <c r="FU572" s="891"/>
      <c r="FV572" s="1040"/>
      <c r="FW572" s="891"/>
      <c r="FX572" s="891"/>
      <c r="FY572" s="891"/>
      <c r="FZ572" s="891"/>
      <c r="GA572" s="891"/>
      <c r="GB572" s="891"/>
      <c r="GC572" s="1039"/>
      <c r="GD572" s="891"/>
      <c r="GE572" s="891"/>
      <c r="GF572" s="891"/>
      <c r="GG572" s="891"/>
      <c r="GH572" s="891"/>
      <c r="GI572" s="891"/>
      <c r="GJ572" s="891"/>
      <c r="GK572" s="1039"/>
      <c r="GL572" s="891"/>
      <c r="GM572" s="891"/>
      <c r="GN572" s="891"/>
      <c r="GO572" s="891"/>
      <c r="GP572" s="891"/>
      <c r="GQ572" s="891"/>
      <c r="GR572" s="891"/>
      <c r="GS572" s="1039"/>
      <c r="GT572" s="891"/>
      <c r="GU572" s="891"/>
      <c r="GV572" s="891"/>
      <c r="GW572" s="891"/>
      <c r="GX572" s="891"/>
      <c r="GY572" s="891"/>
      <c r="GZ572" s="891"/>
      <c r="HA572" s="1039"/>
      <c r="HB572" s="891"/>
      <c r="HC572" s="891"/>
      <c r="HD572" s="891"/>
      <c r="HE572" s="891"/>
      <c r="HF572" s="891"/>
      <c r="HG572" s="891"/>
      <c r="HH572" s="891"/>
      <c r="HI572" s="1039"/>
      <c r="HJ572" s="891"/>
      <c r="HK572" s="891"/>
      <c r="HL572" s="891"/>
      <c r="HM572" s="891"/>
      <c r="HN572" s="891"/>
      <c r="HO572" s="891"/>
      <c r="HP572" s="891"/>
      <c r="HQ572" s="1039"/>
      <c r="HR572" s="891"/>
      <c r="HS572" s="891"/>
      <c r="HT572" s="891"/>
      <c r="HU572" s="891"/>
      <c r="HV572" s="891"/>
      <c r="HW572" s="891"/>
      <c r="HX572" s="891"/>
      <c r="HY572" s="891"/>
      <c r="HZ572" s="891"/>
      <c r="IA572" s="891"/>
      <c r="IB572" s="891"/>
      <c r="IC572" s="891"/>
      <c r="ID572" s="891"/>
      <c r="IE572" s="891"/>
      <c r="IF572" s="891"/>
      <c r="IG572" s="1039"/>
      <c r="IH572" s="891"/>
      <c r="II572" s="891"/>
      <c r="IJ572" s="891"/>
      <c r="IK572" s="891"/>
      <c r="IL572" s="891"/>
      <c r="IM572" s="891"/>
      <c r="IN572" s="891"/>
      <c r="IO572" s="1039"/>
      <c r="IP572" s="891"/>
      <c r="IQ572" s="891"/>
      <c r="IR572" s="891"/>
      <c r="IS572" s="891"/>
      <c r="IT572" s="891"/>
      <c r="IU572" s="891"/>
      <c r="IV572" s="891"/>
      <c r="IW572" s="891"/>
      <c r="IX572" s="1049"/>
      <c r="IY572" s="1049"/>
      <c r="IZ572" s="1049"/>
      <c r="JA572" s="1049"/>
      <c r="JB572" s="1049"/>
      <c r="JC572" s="1049"/>
      <c r="JD572" s="1041"/>
      <c r="JE572" s="1082"/>
      <c r="JF572" s="1082"/>
      <c r="JG572" s="1082"/>
      <c r="JH572" s="1082"/>
      <c r="KP572" s="1179"/>
    </row>
    <row r="573" s="883" customFormat="1" spans="1:302">
      <c r="A573" s="1035" t="s">
        <v>624</v>
      </c>
      <c r="B573" s="1302"/>
      <c r="C573" s="1302"/>
      <c r="D573" s="1302"/>
      <c r="E573" s="1302"/>
      <c r="F573" s="1302"/>
      <c r="G573" s="1302"/>
      <c r="H573" s="1302"/>
      <c r="I573" s="1302"/>
      <c r="J573" s="1302"/>
      <c r="K573" s="1302"/>
      <c r="L573" s="1302"/>
      <c r="M573" s="1302"/>
      <c r="N573" s="1302"/>
      <c r="O573" s="1302"/>
      <c r="P573" s="1302"/>
      <c r="Q573" s="1302"/>
      <c r="R573" s="1302"/>
      <c r="S573" s="1302"/>
      <c r="T573" s="1302"/>
      <c r="U573" s="1302"/>
      <c r="V573" s="1302"/>
      <c r="W573" s="1302"/>
      <c r="X573" s="1302"/>
      <c r="Y573" s="1302"/>
      <c r="Z573" s="1302"/>
      <c r="AA573" s="1302"/>
      <c r="AB573" s="1302"/>
      <c r="AC573" s="1302"/>
      <c r="AD573" s="1302"/>
      <c r="AE573" s="1302"/>
      <c r="AF573" s="1302"/>
      <c r="AG573" s="1302"/>
      <c r="AH573" s="1302"/>
      <c r="AI573" s="1302"/>
      <c r="AJ573" s="1302"/>
      <c r="AK573" s="1302"/>
      <c r="AL573" s="1302"/>
      <c r="AM573" s="1302"/>
      <c r="AN573" s="1302"/>
      <c r="AO573" s="1302"/>
      <c r="AP573" s="1302"/>
      <c r="AQ573" s="1302"/>
      <c r="AR573" s="1302"/>
      <c r="AS573" s="1302"/>
      <c r="AT573" s="1302"/>
      <c r="AU573" s="1302"/>
      <c r="AV573" s="1302"/>
      <c r="AW573" s="1302"/>
      <c r="AX573" s="1303"/>
      <c r="AY573" s="1302"/>
      <c r="AZ573" s="1302"/>
      <c r="BA573" s="1302"/>
      <c r="BB573" s="1302"/>
      <c r="BC573" s="1302"/>
      <c r="BD573" s="1302"/>
      <c r="BE573" s="1304"/>
      <c r="BF573" s="1302"/>
      <c r="BG573" s="1302"/>
      <c r="BH573" s="1302"/>
      <c r="BI573" s="1302"/>
      <c r="BJ573" s="1302"/>
      <c r="BK573" s="1302"/>
      <c r="BL573" s="1302"/>
      <c r="BM573" s="1302"/>
      <c r="BN573" s="1303"/>
      <c r="BO573" s="1302"/>
      <c r="BP573" s="1302"/>
      <c r="BQ573" s="1302"/>
      <c r="BR573" s="1302"/>
      <c r="BS573" s="1302"/>
      <c r="BT573" s="1302"/>
      <c r="BU573" s="1304"/>
      <c r="BV573" s="1303"/>
      <c r="BW573" s="1302"/>
      <c r="BX573" s="1302"/>
      <c r="BY573" s="1302"/>
      <c r="BZ573" s="1302"/>
      <c r="CA573" s="1302"/>
      <c r="CB573" s="1302"/>
      <c r="CC573" s="1304"/>
      <c r="CD573" s="1303"/>
      <c r="CE573" s="1302"/>
      <c r="CF573" s="1302"/>
      <c r="CG573" s="1302"/>
      <c r="CH573" s="1302"/>
      <c r="CI573" s="1302"/>
      <c r="CJ573" s="1302"/>
      <c r="CK573" s="1304"/>
      <c r="CL573" s="1303"/>
      <c r="CM573" s="1302"/>
      <c r="CN573" s="1302">
        <f>CN546</f>
        <v>0.49</v>
      </c>
      <c r="CO573" s="1302"/>
      <c r="CP573" s="1302"/>
      <c r="CQ573" s="1302"/>
      <c r="CR573" s="1302"/>
      <c r="CS573" s="1304"/>
      <c r="CT573" s="1303">
        <f>CT552*CL553+CT560*CL561+CT565*CL566</f>
        <v>0.0879047979936009</v>
      </c>
      <c r="CU573" s="1302">
        <f>CU552*CM553+CU560*CM561+CU565*CM566</f>
        <v>0.0568257825370675</v>
      </c>
      <c r="CV573" s="1302">
        <f>CV552*CN553+CV560*CN561+CV565*CN566</f>
        <v>0.0666524297237868</v>
      </c>
      <c r="CW573" s="1302">
        <f>CW552*CO553+CW560*CO561+CW565*CO566</f>
        <v>0.0332956209153779</v>
      </c>
      <c r="CX573" s="1302">
        <v>0.05</v>
      </c>
      <c r="CY573" s="1302">
        <v>0.14</v>
      </c>
      <c r="CZ573" s="1302">
        <f>(DA573*CS570-CV573*CN570)/CR570</f>
        <v>0.073147868499625</v>
      </c>
      <c r="DA573" s="1304">
        <v>0.07</v>
      </c>
      <c r="DB573" s="1109">
        <f>DB552*CT553+DB560*CT561+DB565*CT566</f>
        <v>0.100007880220646</v>
      </c>
      <c r="DC573" s="1082">
        <f>DC546</f>
        <v>0.14</v>
      </c>
      <c r="DD573" s="1082">
        <f>DD546</f>
        <v>0.12</v>
      </c>
      <c r="DE573" s="1082">
        <f>(DF573*CX570-DD573*CV570)/CW570</f>
        <v>0.108197475989641</v>
      </c>
      <c r="DF573" s="1082">
        <f>(DF565*CX562+DF560*CX557+DF552*CX549)/SUM(CX562,CX557,CX549)</f>
        <v>0.115587447378492</v>
      </c>
      <c r="DG573" s="1082">
        <f>(DI573*DA570-DF573*CX570)/CY570</f>
        <v>0.0392263340656717</v>
      </c>
      <c r="DH573" s="1082">
        <f t="shared" si="4233"/>
        <v>0.077065825807896</v>
      </c>
      <c r="DI573" s="1085">
        <f t="shared" si="4233"/>
        <v>0.0976502233443387</v>
      </c>
      <c r="DJ573" s="1082">
        <f>DJ546</f>
        <v>-0.0544572748267898</v>
      </c>
      <c r="DK573" s="1082">
        <f t="shared" ref="DK573:DQ573" si="4244">DK546</f>
        <v>-0.071969696969697</v>
      </c>
      <c r="DL573" s="1082">
        <f t="shared" si="4244"/>
        <v>-0.0630467985118465</v>
      </c>
      <c r="DM573" s="1082">
        <f t="shared" si="4244"/>
        <v>-0.0729820320156812</v>
      </c>
      <c r="DN573" s="1082">
        <f t="shared" si="4244"/>
        <v>-0.0668929228504845</v>
      </c>
      <c r="DO573" s="1082">
        <f t="shared" si="4244"/>
        <v>0.0258871279474295</v>
      </c>
      <c r="DP573" s="1082">
        <f t="shared" si="4244"/>
        <v>-0.0277699272146281</v>
      </c>
      <c r="DQ573" s="1085">
        <f t="shared" si="4244"/>
        <v>-0.0445445065176909</v>
      </c>
      <c r="DR573" s="1082"/>
      <c r="DS573" s="1082"/>
      <c r="DT573" s="1082"/>
      <c r="DU573" s="1082"/>
      <c r="DV573" s="1082"/>
      <c r="DW573" s="1082"/>
      <c r="DX573" s="1082"/>
      <c r="DY573" s="1085"/>
      <c r="DZ573" s="1082"/>
      <c r="EA573" s="1082"/>
      <c r="EB573" s="1082"/>
      <c r="EC573" s="1082"/>
      <c r="ED573" s="1082"/>
      <c r="EE573" s="1082"/>
      <c r="EF573" s="1082"/>
      <c r="EG573" s="1085"/>
      <c r="EH573" s="1082"/>
      <c r="EI573" s="1082"/>
      <c r="EJ573" s="1082"/>
      <c r="EK573" s="1082"/>
      <c r="EL573" s="1082"/>
      <c r="EM573" s="1082"/>
      <c r="EN573" s="1082"/>
      <c r="EO573" s="1085"/>
      <c r="EP573" s="1082"/>
      <c r="EQ573" s="1082"/>
      <c r="ER573" s="1082"/>
      <c r="ES573" s="1082"/>
      <c r="ET573" s="1082"/>
      <c r="EU573" s="1082"/>
      <c r="EV573" s="1082"/>
      <c r="EW573" s="1039"/>
      <c r="EX573" s="891"/>
      <c r="EY573" s="891"/>
      <c r="EZ573" s="891"/>
      <c r="FA573" s="891"/>
      <c r="FB573" s="891"/>
      <c r="FC573" s="891"/>
      <c r="FD573" s="891"/>
      <c r="FE573" s="1039"/>
      <c r="FF573" s="891"/>
      <c r="FG573" s="891"/>
      <c r="FH573" s="891"/>
      <c r="FI573" s="891"/>
      <c r="FJ573" s="891"/>
      <c r="FK573" s="891"/>
      <c r="FL573" s="891"/>
      <c r="FM573" s="1039"/>
      <c r="FN573" s="891"/>
      <c r="FO573" s="891"/>
      <c r="FP573" s="891"/>
      <c r="FQ573" s="891"/>
      <c r="FR573" s="891"/>
      <c r="FS573" s="891"/>
      <c r="FT573" s="891"/>
      <c r="FU573" s="891"/>
      <c r="FV573" s="1040"/>
      <c r="FW573" s="891"/>
      <c r="FX573" s="891"/>
      <c r="FY573" s="891"/>
      <c r="FZ573" s="891"/>
      <c r="GA573" s="891"/>
      <c r="GB573" s="891"/>
      <c r="GC573" s="1039"/>
      <c r="GD573" s="891"/>
      <c r="GE573" s="891"/>
      <c r="GF573" s="891"/>
      <c r="GG573" s="891"/>
      <c r="GH573" s="891"/>
      <c r="GI573" s="891"/>
      <c r="GJ573" s="891"/>
      <c r="GK573" s="1039"/>
      <c r="GL573" s="891"/>
      <c r="GM573" s="891"/>
      <c r="GN573" s="891"/>
      <c r="GO573" s="891"/>
      <c r="GP573" s="891"/>
      <c r="GQ573" s="891"/>
      <c r="GR573" s="891"/>
      <c r="GS573" s="1039"/>
      <c r="GT573" s="891"/>
      <c r="GU573" s="891"/>
      <c r="GV573" s="891"/>
      <c r="GW573" s="891"/>
      <c r="GX573" s="891"/>
      <c r="GY573" s="891"/>
      <c r="GZ573" s="891"/>
      <c r="HA573" s="1039"/>
      <c r="HB573" s="891"/>
      <c r="HC573" s="891"/>
      <c r="HD573" s="891"/>
      <c r="HE573" s="891"/>
      <c r="HF573" s="891"/>
      <c r="HG573" s="891"/>
      <c r="HH573" s="891"/>
      <c r="HI573" s="1039"/>
      <c r="HJ573" s="891"/>
      <c r="HK573" s="891"/>
      <c r="HL573" s="891"/>
      <c r="HM573" s="891"/>
      <c r="HN573" s="891"/>
      <c r="HO573" s="891"/>
      <c r="HP573" s="891"/>
      <c r="HQ573" s="1039"/>
      <c r="HR573" s="891"/>
      <c r="HS573" s="891"/>
      <c r="HT573" s="891"/>
      <c r="HU573" s="891"/>
      <c r="HV573" s="891"/>
      <c r="HW573" s="891"/>
      <c r="HX573" s="891"/>
      <c r="HY573" s="891"/>
      <c r="HZ573" s="891"/>
      <c r="IA573" s="891"/>
      <c r="IB573" s="891"/>
      <c r="IC573" s="891"/>
      <c r="ID573" s="891"/>
      <c r="IE573" s="891"/>
      <c r="IF573" s="891"/>
      <c r="IG573" s="1039"/>
      <c r="IH573" s="891"/>
      <c r="II573" s="891"/>
      <c r="IJ573" s="891"/>
      <c r="IK573" s="891"/>
      <c r="IL573" s="891"/>
      <c r="IM573" s="891"/>
      <c r="IN573" s="891"/>
      <c r="IO573" s="1039"/>
      <c r="IP573" s="891"/>
      <c r="IQ573" s="891"/>
      <c r="IR573" s="891"/>
      <c r="IS573" s="891"/>
      <c r="IT573" s="891"/>
      <c r="IU573" s="891"/>
      <c r="IV573" s="891"/>
      <c r="IW573" s="891"/>
      <c r="IX573" s="1049"/>
      <c r="IY573" s="1049"/>
      <c r="IZ573" s="1049"/>
      <c r="JA573" s="1049"/>
      <c r="JB573" s="1049"/>
      <c r="JC573" s="1049"/>
      <c r="JD573" s="1041"/>
      <c r="JE573" s="1082"/>
      <c r="JF573" s="1082"/>
      <c r="JG573" s="1082"/>
      <c r="JH573" s="1082"/>
      <c r="KP573" s="1179"/>
    </row>
    <row r="574" s="883" customFormat="1" spans="1:302">
      <c r="B574" s="1302"/>
      <c r="C574" s="1302"/>
      <c r="D574" s="1302"/>
      <c r="E574" s="1302"/>
      <c r="F574" s="1302"/>
      <c r="G574" s="1302"/>
      <c r="H574" s="1302"/>
      <c r="I574" s="1302"/>
      <c r="J574" s="1302"/>
      <c r="K574" s="1302"/>
      <c r="L574" s="1302"/>
      <c r="M574" s="1302"/>
      <c r="N574" s="1302"/>
      <c r="O574" s="1302"/>
      <c r="P574" s="1302"/>
      <c r="Q574" s="1302"/>
      <c r="R574" s="1302"/>
      <c r="S574" s="1302"/>
      <c r="T574" s="1302"/>
      <c r="U574" s="1302"/>
      <c r="V574" s="1302"/>
      <c r="W574" s="1302"/>
      <c r="X574" s="1302"/>
      <c r="Y574" s="1302"/>
      <c r="Z574" s="1302"/>
      <c r="AA574" s="1302"/>
      <c r="AB574" s="1302"/>
      <c r="AC574" s="1302"/>
      <c r="AD574" s="1302"/>
      <c r="AE574" s="1302"/>
      <c r="AF574" s="1302"/>
      <c r="AG574" s="1302"/>
      <c r="AH574" s="1302"/>
      <c r="AI574" s="1302"/>
      <c r="AJ574" s="1302"/>
      <c r="AK574" s="1302"/>
      <c r="AL574" s="1302"/>
      <c r="AM574" s="1302"/>
      <c r="AN574" s="1302"/>
      <c r="AO574" s="1302"/>
      <c r="AP574" s="1302"/>
      <c r="AQ574" s="1302"/>
      <c r="AR574" s="1302"/>
      <c r="AS574" s="1302"/>
      <c r="AT574" s="1302"/>
      <c r="AU574" s="1302"/>
      <c r="AV574" s="1302"/>
      <c r="AW574" s="1302"/>
      <c r="AX574" s="1303"/>
      <c r="AY574" s="1302"/>
      <c r="AZ574" s="1302"/>
      <c r="BA574" s="1302"/>
      <c r="BB574" s="1302"/>
      <c r="BC574" s="1302"/>
      <c r="BD574" s="1302"/>
      <c r="BE574" s="1304"/>
      <c r="BF574" s="1302"/>
      <c r="BG574" s="1302"/>
      <c r="BH574" s="1302"/>
      <c r="BI574" s="1302"/>
      <c r="BJ574" s="1302"/>
      <c r="BK574" s="1302"/>
      <c r="BL574" s="1302"/>
      <c r="BM574" s="1302"/>
      <c r="BN574" s="1303"/>
      <c r="BO574" s="1302"/>
      <c r="BP574" s="1302"/>
      <c r="BQ574" s="1302"/>
      <c r="BR574" s="1302"/>
      <c r="BS574" s="1302"/>
      <c r="BT574" s="1302"/>
      <c r="BU574" s="1304"/>
      <c r="BV574" s="1303"/>
      <c r="BW574" s="1302"/>
      <c r="BX574" s="1302"/>
      <c r="BY574" s="1302"/>
      <c r="BZ574" s="1302"/>
      <c r="CA574" s="1302"/>
      <c r="CB574" s="1302"/>
      <c r="CC574" s="1304"/>
      <c r="CD574" s="1303"/>
      <c r="CE574" s="1302"/>
      <c r="CF574" s="1302"/>
      <c r="CG574" s="1302"/>
      <c r="CH574" s="1302"/>
      <c r="CI574" s="1302"/>
      <c r="CJ574" s="1302"/>
      <c r="CK574" s="1304"/>
      <c r="CL574" s="1303"/>
      <c r="CM574" s="1302"/>
      <c r="CN574" s="1302"/>
      <c r="CO574" s="1302"/>
      <c r="CP574" s="1302"/>
      <c r="CQ574" s="1302"/>
      <c r="CR574" s="1302"/>
      <c r="CS574" s="1517"/>
      <c r="CT574" s="1303"/>
      <c r="CU574" s="1302"/>
      <c r="CV574" s="1302"/>
      <c r="CW574" s="1302"/>
      <c r="CX574" s="1302"/>
      <c r="CY574" s="1302"/>
      <c r="CZ574" s="1302"/>
      <c r="DA574" s="1304"/>
      <c r="DB574" s="1109"/>
      <c r="DC574" s="1082"/>
      <c r="DD574" s="1082"/>
      <c r="DE574" s="1082"/>
      <c r="DF574" s="1082"/>
      <c r="DG574" s="1082"/>
      <c r="DH574" s="1082"/>
      <c r="DI574" s="1085"/>
      <c r="DJ574" s="1082"/>
      <c r="DK574" s="1082"/>
      <c r="DL574" s="1082"/>
      <c r="DM574" s="1082"/>
      <c r="DN574" s="1082"/>
      <c r="DO574" s="1082"/>
      <c r="DP574" s="1082"/>
      <c r="DQ574" s="1085"/>
      <c r="DR574" s="1082"/>
      <c r="DS574" s="1082"/>
      <c r="DT574" s="1082"/>
      <c r="DU574" s="1082"/>
      <c r="DV574" s="1082"/>
      <c r="DW574" s="1082"/>
      <c r="DX574" s="1082"/>
      <c r="DY574" s="1085"/>
      <c r="DZ574" s="1082"/>
      <c r="EA574" s="1082"/>
      <c r="EB574" s="1082"/>
      <c r="EC574" s="1082"/>
      <c r="ED574" s="1082"/>
      <c r="EE574" s="1082"/>
      <c r="EF574" s="1082"/>
      <c r="EG574" s="1085"/>
      <c r="EH574" s="1082"/>
      <c r="EI574" s="1082"/>
      <c r="EJ574" s="1082"/>
      <c r="EK574" s="1082"/>
      <c r="EL574" s="1082"/>
      <c r="EM574" s="1082"/>
      <c r="EN574" s="1082"/>
      <c r="EO574" s="1085"/>
      <c r="EP574" s="1082"/>
      <c r="EQ574" s="1082"/>
      <c r="ER574" s="1082"/>
      <c r="ES574" s="1082"/>
      <c r="ET574" s="1082"/>
      <c r="EU574" s="1082"/>
      <c r="EV574" s="1082"/>
      <c r="EW574" s="1039"/>
      <c r="EX574" s="891"/>
      <c r="EY574" s="891"/>
      <c r="EZ574" s="891"/>
      <c r="FA574" s="891"/>
      <c r="FB574" s="891"/>
      <c r="FC574" s="891"/>
      <c r="FD574" s="891"/>
      <c r="FE574" s="1039"/>
      <c r="FF574" s="891"/>
      <c r="FG574" s="891"/>
      <c r="FH574" s="891"/>
      <c r="FI574" s="891"/>
      <c r="FJ574" s="891"/>
      <c r="FK574" s="891"/>
      <c r="FL574" s="891"/>
      <c r="FM574" s="1039"/>
      <c r="FN574" s="891"/>
      <c r="FO574" s="891"/>
      <c r="FP574" s="891"/>
      <c r="FQ574" s="891"/>
      <c r="FR574" s="891"/>
      <c r="FS574" s="891"/>
      <c r="FT574" s="891"/>
      <c r="FU574" s="891"/>
      <c r="FV574" s="1040"/>
      <c r="FW574" s="891"/>
      <c r="FX574" s="891"/>
      <c r="FY574" s="891"/>
      <c r="FZ574" s="891"/>
      <c r="GA574" s="891"/>
      <c r="GB574" s="891"/>
      <c r="GC574" s="1039"/>
      <c r="GD574" s="891"/>
      <c r="GE574" s="891"/>
      <c r="GF574" s="891"/>
      <c r="GG574" s="891"/>
      <c r="GH574" s="891"/>
      <c r="GI574" s="891"/>
      <c r="GJ574" s="891"/>
      <c r="GK574" s="1039"/>
      <c r="GL574" s="891"/>
      <c r="GM574" s="891"/>
      <c r="GN574" s="891"/>
      <c r="GO574" s="891"/>
      <c r="GP574" s="891"/>
      <c r="GQ574" s="891"/>
      <c r="GR574" s="891"/>
      <c r="GS574" s="1039"/>
      <c r="GT574" s="891"/>
      <c r="GU574" s="891"/>
      <c r="GV574" s="891"/>
      <c r="GW574" s="891"/>
      <c r="GX574" s="891"/>
      <c r="GY574" s="891"/>
      <c r="GZ574" s="891"/>
      <c r="HA574" s="1039"/>
      <c r="HB574" s="891"/>
      <c r="HC574" s="891"/>
      <c r="HD574" s="891"/>
      <c r="HE574" s="891"/>
      <c r="HF574" s="891"/>
      <c r="HG574" s="891"/>
      <c r="HH574" s="891"/>
      <c r="HI574" s="1039"/>
      <c r="HJ574" s="891"/>
      <c r="HK574" s="891"/>
      <c r="HL574" s="891"/>
      <c r="HM574" s="891"/>
      <c r="HN574" s="891"/>
      <c r="HO574" s="891"/>
      <c r="HP574" s="891"/>
      <c r="HQ574" s="1039"/>
      <c r="HR574" s="891"/>
      <c r="HS574" s="891"/>
      <c r="HT574" s="891"/>
      <c r="HU574" s="891"/>
      <c r="HV574" s="891"/>
      <c r="HW574" s="891"/>
      <c r="HX574" s="891"/>
      <c r="HY574" s="891"/>
      <c r="HZ574" s="891"/>
      <c r="IA574" s="891"/>
      <c r="IB574" s="891"/>
      <c r="IC574" s="891"/>
      <c r="ID574" s="891"/>
      <c r="IE574" s="891"/>
      <c r="IF574" s="891"/>
      <c r="IG574" s="1039"/>
      <c r="IH574" s="891"/>
      <c r="II574" s="891"/>
      <c r="IJ574" s="891"/>
      <c r="IK574" s="891"/>
      <c r="IL574" s="891"/>
      <c r="IM574" s="891"/>
      <c r="IN574" s="891"/>
      <c r="IO574" s="1039"/>
      <c r="IP574" s="891"/>
      <c r="IQ574" s="891"/>
      <c r="IR574" s="891"/>
      <c r="IS574" s="891"/>
      <c r="IT574" s="891"/>
      <c r="IU574" s="891"/>
      <c r="IV574" s="891"/>
      <c r="IW574" s="891"/>
      <c r="IX574" s="1049"/>
      <c r="IY574" s="1049"/>
      <c r="IZ574" s="1049"/>
      <c r="JA574" s="1049"/>
      <c r="JB574" s="1049"/>
      <c r="JC574" s="1049"/>
      <c r="JD574" s="1112"/>
      <c r="JE574" s="1082"/>
      <c r="JF574" s="1082"/>
      <c r="JG574" s="1082"/>
      <c r="JH574" s="1082"/>
      <c r="KP574" s="1180"/>
    </row>
    <row r="575" spans="1:302">
      <c r="A575" s="1051" t="s">
        <v>630</v>
      </c>
      <c r="B575" s="1482" t="s">
        <v>259</v>
      </c>
      <c r="C575" s="1482" t="s">
        <v>260</v>
      </c>
      <c r="D575" s="1482" t="s">
        <v>261</v>
      </c>
      <c r="E575" s="1482" t="s">
        <v>262</v>
      </c>
      <c r="F575" s="1482" t="s">
        <v>263</v>
      </c>
      <c r="G575" s="1482" t="s">
        <v>264</v>
      </c>
      <c r="H575" s="1482" t="s">
        <v>265</v>
      </c>
      <c r="I575" s="1482" t="s">
        <v>14</v>
      </c>
      <c r="J575" s="1482" t="s">
        <v>266</v>
      </c>
      <c r="K575" s="1482" t="s">
        <v>267</v>
      </c>
      <c r="L575" s="1482" t="s">
        <v>268</v>
      </c>
      <c r="M575" s="1482" t="s">
        <v>269</v>
      </c>
      <c r="N575" s="1482" t="s">
        <v>270</v>
      </c>
      <c r="O575" s="1482" t="s">
        <v>271</v>
      </c>
      <c r="P575" s="1482" t="s">
        <v>272</v>
      </c>
      <c r="Q575" s="1482" t="s">
        <v>15</v>
      </c>
      <c r="R575" s="1482" t="s">
        <v>273</v>
      </c>
      <c r="S575" s="1482" t="s">
        <v>274</v>
      </c>
      <c r="T575" s="1482" t="s">
        <v>275</v>
      </c>
      <c r="U575" s="1482" t="s">
        <v>276</v>
      </c>
      <c r="V575" s="1482" t="s">
        <v>277</v>
      </c>
      <c r="W575" s="1482" t="s">
        <v>278</v>
      </c>
      <c r="X575" s="1482" t="s">
        <v>279</v>
      </c>
      <c r="Y575" s="1482" t="s">
        <v>16</v>
      </c>
      <c r="Z575" s="1482" t="s">
        <v>280</v>
      </c>
      <c r="AA575" s="1482" t="s">
        <v>281</v>
      </c>
      <c r="AB575" s="1482" t="s">
        <v>282</v>
      </c>
      <c r="AC575" s="1482" t="s">
        <v>283</v>
      </c>
      <c r="AD575" s="1482" t="s">
        <v>277</v>
      </c>
      <c r="AE575" s="1482" t="s">
        <v>284</v>
      </c>
      <c r="AF575" s="1482" t="s">
        <v>285</v>
      </c>
      <c r="AG575" s="1482" t="s">
        <v>17</v>
      </c>
      <c r="AH575" s="1482" t="s">
        <v>286</v>
      </c>
      <c r="AI575" s="1482" t="s">
        <v>287</v>
      </c>
      <c r="AJ575" s="1482" t="s">
        <v>288</v>
      </c>
      <c r="AK575" s="1482" t="s">
        <v>289</v>
      </c>
      <c r="AL575" s="1482" t="s">
        <v>290</v>
      </c>
      <c r="AM575" s="1482" t="s">
        <v>291</v>
      </c>
      <c r="AN575" s="1482" t="s">
        <v>292</v>
      </c>
      <c r="AO575" s="1482" t="s">
        <v>18</v>
      </c>
      <c r="AP575" s="1482" t="s">
        <v>293</v>
      </c>
      <c r="AQ575" s="1482" t="s">
        <v>294</v>
      </c>
      <c r="AR575" s="1482" t="s">
        <v>295</v>
      </c>
      <c r="AS575" s="1482" t="s">
        <v>296</v>
      </c>
      <c r="AT575" s="1482" t="s">
        <v>297</v>
      </c>
      <c r="AU575" s="1482" t="s">
        <v>298</v>
      </c>
      <c r="AV575" s="1482" t="s">
        <v>299</v>
      </c>
      <c r="AW575" s="1482" t="s">
        <v>19</v>
      </c>
      <c r="AX575" s="1483" t="s">
        <v>300</v>
      </c>
      <c r="AY575" s="1482" t="s">
        <v>301</v>
      </c>
      <c r="AZ575" s="1482" t="s">
        <v>302</v>
      </c>
      <c r="BA575" s="1482" t="s">
        <v>303</v>
      </c>
      <c r="BB575" s="1482" t="s">
        <v>304</v>
      </c>
      <c r="BC575" s="1482" t="s">
        <v>305</v>
      </c>
      <c r="BD575" s="1482" t="s">
        <v>306</v>
      </c>
      <c r="BE575" s="1484" t="s">
        <v>20</v>
      </c>
      <c r="BF575" s="1482" t="s">
        <v>307</v>
      </c>
      <c r="BG575" s="1482" t="s">
        <v>308</v>
      </c>
      <c r="BH575" s="1482" t="s">
        <v>309</v>
      </c>
      <c r="BI575" s="1482" t="s">
        <v>310</v>
      </c>
      <c r="BJ575" s="1482" t="s">
        <v>311</v>
      </c>
      <c r="BK575" s="1482" t="s">
        <v>312</v>
      </c>
      <c r="BL575" s="1482" t="s">
        <v>313</v>
      </c>
      <c r="BM575" s="1482" t="s">
        <v>21</v>
      </c>
      <c r="BN575" s="1483" t="s">
        <v>314</v>
      </c>
      <c r="BO575" s="1482" t="s">
        <v>315</v>
      </c>
      <c r="BP575" s="1482" t="s">
        <v>316</v>
      </c>
      <c r="BQ575" s="1482" t="s">
        <v>317</v>
      </c>
      <c r="BR575" s="1482" t="s">
        <v>318</v>
      </c>
      <c r="BS575" s="1482" t="s">
        <v>319</v>
      </c>
      <c r="BT575" s="1482" t="s">
        <v>320</v>
      </c>
      <c r="BU575" s="1484" t="s">
        <v>22</v>
      </c>
      <c r="BV575" s="1483" t="s">
        <v>321</v>
      </c>
      <c r="BW575" s="1482" t="s">
        <v>322</v>
      </c>
      <c r="BX575" s="1482" t="s">
        <v>323</v>
      </c>
      <c r="BY575" s="1482" t="s">
        <v>324</v>
      </c>
      <c r="BZ575" s="1482" t="s">
        <v>325</v>
      </c>
      <c r="CA575" s="1482" t="s">
        <v>326</v>
      </c>
      <c r="CB575" s="1482" t="s">
        <v>327</v>
      </c>
      <c r="CC575" s="1484" t="s">
        <v>23</v>
      </c>
      <c r="CD575" s="1483" t="s">
        <v>328</v>
      </c>
      <c r="CE575" s="1482" t="s">
        <v>329</v>
      </c>
      <c r="CF575" s="1482" t="s">
        <v>330</v>
      </c>
      <c r="CG575" s="1482" t="s">
        <v>331</v>
      </c>
      <c r="CH575" s="1482" t="s">
        <v>332</v>
      </c>
      <c r="CI575" s="1482" t="s">
        <v>333</v>
      </c>
      <c r="CJ575" s="1482" t="s">
        <v>334</v>
      </c>
      <c r="CK575" s="1484" t="s">
        <v>24</v>
      </c>
      <c r="CL575" s="1483" t="s">
        <v>335</v>
      </c>
      <c r="CM575" s="1482" t="s">
        <v>336</v>
      </c>
      <c r="CN575" s="1482" t="s">
        <v>337</v>
      </c>
      <c r="CO575" s="1482" t="s">
        <v>338</v>
      </c>
      <c r="CP575" s="1482" t="str">
        <f t="shared" ref="CP575:DU575" si="4245">CP2</f>
        <v>9M 06</v>
      </c>
      <c r="CQ575" s="1482" t="str">
        <f t="shared" si="4245"/>
        <v>Q4 06</v>
      </c>
      <c r="CR575" s="1482" t="str">
        <f t="shared" si="4245"/>
        <v>H2 06</v>
      </c>
      <c r="CS575" s="1484" t="str">
        <f t="shared" si="4245"/>
        <v>FY 06</v>
      </c>
      <c r="CT575" s="1483" t="str">
        <f t="shared" si="4245"/>
        <v>Q1 07</v>
      </c>
      <c r="CU575" s="1482" t="str">
        <f t="shared" si="4245"/>
        <v>Q2 07</v>
      </c>
      <c r="CV575" s="1482" t="str">
        <f t="shared" si="4245"/>
        <v>H1 07</v>
      </c>
      <c r="CW575" s="1482" t="str">
        <f t="shared" si="4245"/>
        <v>Q3 07</v>
      </c>
      <c r="CX575" s="1482" t="str">
        <f t="shared" si="4245"/>
        <v>9M 07</v>
      </c>
      <c r="CY575" s="1482" t="str">
        <f t="shared" si="4245"/>
        <v>Q4 07</v>
      </c>
      <c r="CZ575" s="1482" t="str">
        <f t="shared" si="4245"/>
        <v>H2 07</v>
      </c>
      <c r="DA575" s="1484" t="str">
        <f t="shared" si="4245"/>
        <v>FY 07</v>
      </c>
      <c r="DB575" s="1485" t="str">
        <f t="shared" si="4245"/>
        <v>Q1 08</v>
      </c>
      <c r="DC575" s="1486" t="str">
        <f t="shared" si="4245"/>
        <v>Q2 08</v>
      </c>
      <c r="DD575" s="1486" t="str">
        <f t="shared" si="4245"/>
        <v>H1 08</v>
      </c>
      <c r="DE575" s="1486" t="str">
        <f t="shared" si="4245"/>
        <v>Q3 08</v>
      </c>
      <c r="DF575" s="1486" t="str">
        <f t="shared" si="4245"/>
        <v>9M 08</v>
      </c>
      <c r="DG575" s="1486" t="str">
        <f t="shared" si="4245"/>
        <v>Q4 08</v>
      </c>
      <c r="DH575" s="1486" t="str">
        <f t="shared" si="4245"/>
        <v>H2 08</v>
      </c>
      <c r="DI575" s="1487" t="str">
        <f t="shared" si="4245"/>
        <v>FY 08</v>
      </c>
      <c r="DJ575" s="1486" t="str">
        <f t="shared" si="4245"/>
        <v>Q1 09</v>
      </c>
      <c r="DK575" s="1486" t="str">
        <f t="shared" si="4245"/>
        <v>Q2 09</v>
      </c>
      <c r="DL575" s="1486" t="str">
        <f t="shared" si="4245"/>
        <v>H1 09</v>
      </c>
      <c r="DM575" s="1486" t="str">
        <f t="shared" si="4245"/>
        <v>Q3 09</v>
      </c>
      <c r="DN575" s="1486" t="str">
        <f t="shared" si="4245"/>
        <v>9M 09</v>
      </c>
      <c r="DO575" s="1486" t="str">
        <f t="shared" si="4245"/>
        <v>Q4 09</v>
      </c>
      <c r="DP575" s="1486" t="str">
        <f t="shared" si="4245"/>
        <v>H2 09</v>
      </c>
      <c r="DQ575" s="1487" t="str">
        <f t="shared" si="4245"/>
        <v>FY 09</v>
      </c>
      <c r="DR575" s="1486" t="str">
        <f t="shared" si="4245"/>
        <v>Q1 10</v>
      </c>
      <c r="DS575" s="1486" t="str">
        <f t="shared" si="4245"/>
        <v>Q2 10</v>
      </c>
      <c r="DT575" s="1486" t="str">
        <f t="shared" si="4245"/>
        <v>H1 10</v>
      </c>
      <c r="DU575" s="1486" t="str">
        <f t="shared" si="4245"/>
        <v>Q3 10</v>
      </c>
      <c r="DV575" s="1486" t="str">
        <f t="shared" ref="DV575:EO575" si="4246">DV2</f>
        <v>9M 10</v>
      </c>
      <c r="DW575" s="1486" t="str">
        <f t="shared" si="4246"/>
        <v>Q4 10</v>
      </c>
      <c r="DX575" s="1486" t="str">
        <f t="shared" si="4246"/>
        <v>H2 10</v>
      </c>
      <c r="DY575" s="1487" t="str">
        <f t="shared" si="4246"/>
        <v>FY 10</v>
      </c>
      <c r="DZ575" s="1486" t="str">
        <f t="shared" si="4246"/>
        <v>Q1 11</v>
      </c>
      <c r="EA575" s="1486" t="str">
        <f t="shared" si="4246"/>
        <v>Q2 11</v>
      </c>
      <c r="EB575" s="1486" t="str">
        <f t="shared" si="4246"/>
        <v>H1 11</v>
      </c>
      <c r="EC575" s="1486" t="str">
        <f t="shared" si="4246"/>
        <v>Q3 11</v>
      </c>
      <c r="ED575" s="1486" t="str">
        <f t="shared" si="4246"/>
        <v>9M 11</v>
      </c>
      <c r="EE575" s="1486" t="str">
        <f t="shared" si="4246"/>
        <v>Q4 11</v>
      </c>
      <c r="EF575" s="1486" t="str">
        <f t="shared" si="4246"/>
        <v>H2 11</v>
      </c>
      <c r="EG575" s="1487" t="str">
        <f t="shared" si="4246"/>
        <v>FY 11</v>
      </c>
      <c r="EH575" s="1486" t="str">
        <f t="shared" si="4246"/>
        <v>Q1 12</v>
      </c>
      <c r="EI575" s="1486" t="str">
        <f t="shared" si="4246"/>
        <v>Q2 12</v>
      </c>
      <c r="EJ575" s="1486" t="str">
        <f t="shared" si="4246"/>
        <v>H1 12</v>
      </c>
      <c r="EK575" s="1486" t="str">
        <f t="shared" si="4246"/>
        <v>Q3 12</v>
      </c>
      <c r="EL575" s="1486" t="str">
        <f t="shared" si="4246"/>
        <v>9M 12</v>
      </c>
      <c r="EM575" s="1486" t="str">
        <f t="shared" si="4246"/>
        <v>Q4 12</v>
      </c>
      <c r="EN575" s="1486" t="str">
        <f t="shared" si="4246"/>
        <v>H2 12</v>
      </c>
      <c r="EO575" s="1487" t="str">
        <f t="shared" si="4246"/>
        <v>FY 12</v>
      </c>
      <c r="EP575" s="1486"/>
      <c r="EQ575" s="1486"/>
      <c r="ER575" s="1486"/>
      <c r="ES575" s="1486"/>
      <c r="ET575" s="1486"/>
      <c r="EU575" s="1486"/>
      <c r="EV575" s="1486"/>
      <c r="IX575" s="1049"/>
      <c r="IY575" s="1049"/>
      <c r="IZ575" s="1049"/>
      <c r="JA575" s="1049"/>
      <c r="JB575" s="1049"/>
      <c r="JC575" s="1049"/>
      <c r="JD575" s="1404"/>
      <c r="JE575" s="1037"/>
      <c r="JF575" s="1037"/>
      <c r="JG575" s="1037"/>
      <c r="JH575" s="1037"/>
      <c r="JI575" s="1035"/>
      <c r="JJ575" s="1035"/>
      <c r="JK575" s="1035"/>
      <c r="JL575" s="1035"/>
      <c r="JM575" s="1035"/>
      <c r="JN575" s="1035"/>
      <c r="JO575" s="1035"/>
      <c r="JP575" s="1035"/>
      <c r="JQ575" s="1035"/>
      <c r="JR575" s="1035"/>
      <c r="JS575" s="1035"/>
      <c r="JT575" s="1035"/>
      <c r="JU575" s="1035"/>
      <c r="JV575" s="1035"/>
      <c r="JW575" s="1035"/>
      <c r="JX575" s="1035"/>
      <c r="JY575" s="1035"/>
      <c r="KP575" s="1179"/>
    </row>
    <row r="576" spans="1:302">
      <c r="A576" s="1306" t="s">
        <v>80</v>
      </c>
      <c r="B576" s="1307">
        <v>301.667</v>
      </c>
      <c r="C576" s="1307">
        <v>197.8731</v>
      </c>
      <c r="D576" s="1307">
        <f>B576+C576</f>
        <v>499.5401</v>
      </c>
      <c r="E576" s="1307">
        <v>278.50511</v>
      </c>
      <c r="F576" s="1307">
        <f>D576+E576</f>
        <v>778.04521</v>
      </c>
      <c r="G576" s="1307">
        <v>137.18179</v>
      </c>
      <c r="H576" s="1307">
        <f>E576+G576</f>
        <v>415.6869</v>
      </c>
      <c r="I576" s="1307">
        <f>F576+G576</f>
        <v>915.227</v>
      </c>
      <c r="J576" s="1307">
        <v>303.2009</v>
      </c>
      <c r="K576" s="1307">
        <v>268.4325</v>
      </c>
      <c r="L576" s="1307">
        <f>J576+K576</f>
        <v>571.6334</v>
      </c>
      <c r="M576" s="1307">
        <v>345.89445</v>
      </c>
      <c r="N576" s="1307">
        <f>L576+M576</f>
        <v>917.52785</v>
      </c>
      <c r="O576" s="1307">
        <v>192.50445</v>
      </c>
      <c r="P576" s="1307">
        <f>M576+O576</f>
        <v>538.3989</v>
      </c>
      <c r="Q576" s="1307">
        <f>N576+O576</f>
        <v>1110.0323</v>
      </c>
      <c r="R576" s="1307">
        <v>401.3705</v>
      </c>
      <c r="S576" s="1307">
        <v>338.4806</v>
      </c>
      <c r="T576" s="1307">
        <f>R576+S576</f>
        <v>739.8511</v>
      </c>
      <c r="U576" s="1307">
        <v>458.1248</v>
      </c>
      <c r="V576" s="1307">
        <f>T576+U576</f>
        <v>1197.9759</v>
      </c>
      <c r="W576" s="1307">
        <v>270.4777</v>
      </c>
      <c r="X576" s="1307">
        <f>U576+W576</f>
        <v>728.6025</v>
      </c>
      <c r="Y576" s="1307">
        <f>V576+W576</f>
        <v>1468.4536</v>
      </c>
      <c r="Z576" s="1307">
        <v>575.7238</v>
      </c>
      <c r="AA576" s="1307">
        <v>502.6079</v>
      </c>
      <c r="AB576" s="1307">
        <f>Z576+AA576</f>
        <v>1078.3317</v>
      </c>
      <c r="AC576" s="1307">
        <v>585.9498</v>
      </c>
      <c r="AD576" s="1307">
        <f>AB576+AC576</f>
        <v>1664.2815</v>
      </c>
      <c r="AE576" s="1307">
        <v>317.006</v>
      </c>
      <c r="AF576" s="1307">
        <f>AC576+AE576</f>
        <v>902.9558</v>
      </c>
      <c r="AG576" s="1307">
        <f>AD576+AE576</f>
        <v>1981.2875</v>
      </c>
      <c r="AH576" s="1307">
        <v>1215</v>
      </c>
      <c r="AI576" s="1307">
        <v>1021</v>
      </c>
      <c r="AJ576" s="1307">
        <f>AH576+AI576</f>
        <v>2236</v>
      </c>
      <c r="AK576" s="1307">
        <v>1327</v>
      </c>
      <c r="AL576" s="1307">
        <f>AJ576+AK576</f>
        <v>3563</v>
      </c>
      <c r="AM576" s="1307">
        <v>864</v>
      </c>
      <c r="AN576" s="1307">
        <f>AK576+AM576</f>
        <v>2191</v>
      </c>
      <c r="AO576" s="1307">
        <f>AL576+AM576</f>
        <v>4427</v>
      </c>
      <c r="AP576" s="1307">
        <v>1268</v>
      </c>
      <c r="AQ576" s="1307">
        <v>1039</v>
      </c>
      <c r="AR576" s="1307">
        <f>AP576+AQ576</f>
        <v>2307</v>
      </c>
      <c r="AS576" s="1307">
        <v>1385</v>
      </c>
      <c r="AT576" s="1307">
        <f>AR576+AS576</f>
        <v>3692</v>
      </c>
      <c r="AU576" s="1307">
        <v>980</v>
      </c>
      <c r="AV576" s="1307">
        <f>AS576+AU576</f>
        <v>2365</v>
      </c>
      <c r="AW576" s="1307">
        <f>AT576+AU576</f>
        <v>4672</v>
      </c>
      <c r="AX576" s="1308">
        <v>1277</v>
      </c>
      <c r="AY576" s="1307">
        <v>1117</v>
      </c>
      <c r="AZ576" s="1307">
        <f>AX576+AY576</f>
        <v>2394</v>
      </c>
      <c r="BA576" s="1307">
        <v>1437</v>
      </c>
      <c r="BB576" s="1307">
        <f>AY576+BA576</f>
        <v>2554</v>
      </c>
      <c r="BC576" s="1307">
        <v>993</v>
      </c>
      <c r="BD576" s="1307">
        <f>BA576+BC576</f>
        <v>2430</v>
      </c>
      <c r="BE576" s="1309">
        <f>BB576+BC576</f>
        <v>3547</v>
      </c>
      <c r="BF576" s="1307">
        <v>1330</v>
      </c>
      <c r="BG576" s="1307">
        <v>1224</v>
      </c>
      <c r="BH576" s="1307">
        <f>BF576+BG576</f>
        <v>2554</v>
      </c>
      <c r="BI576" s="1307">
        <v>1498</v>
      </c>
      <c r="BJ576" s="1307">
        <f>BH576+BI576</f>
        <v>4052</v>
      </c>
      <c r="BK576" s="1307">
        <v>1055</v>
      </c>
      <c r="BL576" s="1307">
        <f>BI576+BK576</f>
        <v>2553</v>
      </c>
      <c r="BM576" s="1307">
        <f>BJ576+BK576</f>
        <v>5107</v>
      </c>
      <c r="BN576" s="1308">
        <v>1405</v>
      </c>
      <c r="BO576" s="1307">
        <v>1137</v>
      </c>
      <c r="BP576" s="1307">
        <f>BN576+BO576</f>
        <v>2542</v>
      </c>
      <c r="BQ576" s="1307">
        <v>1475</v>
      </c>
      <c r="BR576" s="1307">
        <f>BP576+BQ576</f>
        <v>4017</v>
      </c>
      <c r="BS576" s="1307">
        <v>933</v>
      </c>
      <c r="BT576" s="1307">
        <f>BQ576+BS576</f>
        <v>2408</v>
      </c>
      <c r="BU576" s="1309">
        <f>BR576+BS576</f>
        <v>4950</v>
      </c>
      <c r="BV576" s="1308">
        <f t="shared" ref="BV576:CN576" si="4247">BV654</f>
        <v>607.698</v>
      </c>
      <c r="BW576" s="1307">
        <f t="shared" si="4247"/>
        <v>517.086</v>
      </c>
      <c r="BX576" s="1307">
        <f t="shared" si="4247"/>
        <v>1124.784</v>
      </c>
      <c r="BY576" s="1307">
        <f t="shared" si="4247"/>
        <v>724.191</v>
      </c>
      <c r="BZ576" s="1307">
        <f t="shared" si="4247"/>
        <v>1848.975</v>
      </c>
      <c r="CA576" s="1307">
        <f t="shared" si="4247"/>
        <v>435.025</v>
      </c>
      <c r="CB576" s="1307">
        <f t="shared" si="4247"/>
        <v>1159.216</v>
      </c>
      <c r="CC576" s="1309">
        <f t="shared" si="4247"/>
        <v>2284</v>
      </c>
      <c r="CD576" s="1308">
        <f t="shared" si="4247"/>
        <v>712.152</v>
      </c>
      <c r="CE576" s="1307">
        <f t="shared" si="4247"/>
        <v>571.488</v>
      </c>
      <c r="CF576" s="1307">
        <f t="shared" si="4247"/>
        <v>1283.64</v>
      </c>
      <c r="CG576" s="1307">
        <f t="shared" si="4247"/>
        <v>801.176</v>
      </c>
      <c r="CH576" s="1307">
        <f t="shared" si="4247"/>
        <v>2084.816</v>
      </c>
      <c r="CI576" s="1307">
        <f t="shared" si="4247"/>
        <v>569.184</v>
      </c>
      <c r="CJ576" s="1307">
        <f t="shared" si="4247"/>
        <v>1370.36</v>
      </c>
      <c r="CK576" s="1309">
        <f t="shared" si="4247"/>
        <v>2654</v>
      </c>
      <c r="CL576" s="1308">
        <f t="shared" si="4247"/>
        <v>828</v>
      </c>
      <c r="CM576" s="1307">
        <f t="shared" si="4247"/>
        <v>709</v>
      </c>
      <c r="CN576" s="1307">
        <f t="shared" si="4247"/>
        <v>1537</v>
      </c>
      <c r="CO576" s="1307">
        <f>CP576-CN576</f>
        <v>925</v>
      </c>
      <c r="CP576" s="1307">
        <f>CP654</f>
        <v>2462</v>
      </c>
      <c r="CQ576" s="1307">
        <f>CQ654</f>
        <v>597</v>
      </c>
      <c r="CR576" s="1307">
        <f>CR654</f>
        <v>1537</v>
      </c>
      <c r="CS576" s="1309">
        <f>CS654</f>
        <v>3059</v>
      </c>
      <c r="CT576" s="1308">
        <v>859</v>
      </c>
      <c r="CU576" s="1307">
        <f>CV576-CT576</f>
        <v>754</v>
      </c>
      <c r="CV576" s="1307">
        <v>1613</v>
      </c>
      <c r="CW576" s="1307">
        <f>CX576-CV576</f>
        <v>992</v>
      </c>
      <c r="CX576" s="1307">
        <v>2605</v>
      </c>
      <c r="CY576" s="1307">
        <f>DA576-CX576</f>
        <v>765</v>
      </c>
      <c r="CZ576" s="1307">
        <f>CY576+CW576</f>
        <v>1757</v>
      </c>
      <c r="DA576" s="1309">
        <v>3370</v>
      </c>
      <c r="DB576" s="1332">
        <v>964</v>
      </c>
      <c r="DC576" s="1311">
        <f>DC654</f>
        <v>879</v>
      </c>
      <c r="DD576" s="1311">
        <f>DD654</f>
        <v>1843</v>
      </c>
      <c r="DE576" s="1311">
        <f>DF576-DD576</f>
        <v>1104</v>
      </c>
      <c r="DF576" s="1311">
        <v>2947</v>
      </c>
      <c r="DG576" s="1311">
        <f>DI576-DF576</f>
        <v>855</v>
      </c>
      <c r="DH576" s="1311">
        <f>DI576-DD576</f>
        <v>1959</v>
      </c>
      <c r="DI576" s="1312">
        <v>3802</v>
      </c>
      <c r="DJ576" s="1311">
        <f>DJ578*DJ549</f>
        <v>901.000000000001</v>
      </c>
      <c r="DK576" s="1311">
        <f>DK578*DK549</f>
        <v>812</v>
      </c>
      <c r="DL576" s="1311">
        <f>DJ576+DK576</f>
        <v>1713</v>
      </c>
      <c r="DM576" s="1311">
        <f>DN576-DL576</f>
        <v>995</v>
      </c>
      <c r="DN576" s="1311">
        <v>2708</v>
      </c>
      <c r="DO576" s="1311" t="e">
        <f>DO578*DO549</f>
        <v>#REF!</v>
      </c>
      <c r="DP576" s="1311" t="e">
        <f>DO576+DM576</f>
        <v>#REF!</v>
      </c>
      <c r="DQ576" s="1312" t="e">
        <f>DP576+DL576</f>
        <v>#REF!</v>
      </c>
      <c r="DR576" s="1311"/>
      <c r="DS576" s="1311"/>
      <c r="DT576" s="1311"/>
      <c r="DU576" s="1311"/>
      <c r="DV576" s="1311"/>
      <c r="DW576" s="1311"/>
      <c r="DX576" s="1311"/>
      <c r="DY576" s="1312"/>
      <c r="DZ576" s="1311"/>
      <c r="EA576" s="1311"/>
      <c r="EB576" s="1311"/>
      <c r="EC576" s="1311"/>
      <c r="ED576" s="1311"/>
      <c r="EE576" s="1311"/>
      <c r="EF576" s="1311"/>
      <c r="EG576" s="1312"/>
      <c r="EH576" s="1311"/>
      <c r="EI576" s="1311"/>
      <c r="EJ576" s="1311"/>
      <c r="EK576" s="1311"/>
      <c r="EL576" s="1311"/>
      <c r="EM576" s="1311"/>
      <c r="EN576" s="1311"/>
      <c r="EO576" s="1312"/>
      <c r="EP576" s="1311"/>
      <c r="EQ576" s="1311"/>
      <c r="ER576" s="1311"/>
      <c r="ES576" s="1311"/>
      <c r="ET576" s="1311"/>
      <c r="EU576" s="1311"/>
      <c r="EV576" s="1311"/>
      <c r="IX576" s="1049"/>
      <c r="IY576" s="1049"/>
      <c r="IZ576" s="1049"/>
      <c r="JA576" s="1049"/>
      <c r="JB576" s="1049"/>
      <c r="JC576" s="1049"/>
      <c r="JD576" s="1469"/>
      <c r="JE576" s="1037"/>
      <c r="JF576" s="1037"/>
      <c r="JG576" s="1037"/>
      <c r="JH576" s="1037"/>
      <c r="JI576" s="1035"/>
      <c r="JJ576" s="1035"/>
      <c r="JK576" s="1035"/>
      <c r="JL576" s="1035"/>
      <c r="JM576" s="1035"/>
      <c r="JN576" s="1035"/>
      <c r="JO576" s="1035"/>
      <c r="JP576" s="1035"/>
      <c r="JQ576" s="1035"/>
      <c r="JR576" s="1035"/>
      <c r="JS576" s="1035"/>
      <c r="JT576" s="1035"/>
      <c r="JU576" s="1035"/>
      <c r="JV576" s="1035"/>
      <c r="JW576" s="1035"/>
      <c r="JX576" s="1035"/>
      <c r="JY576" s="1035"/>
      <c r="KP576" s="1179"/>
    </row>
    <row r="577" spans="1:302">
      <c r="A577" s="1035" t="s">
        <v>142</v>
      </c>
      <c r="B577" s="1302" t="s">
        <v>173</v>
      </c>
      <c r="C577" s="1302" t="s">
        <v>173</v>
      </c>
      <c r="D577" s="1302" t="s">
        <v>173</v>
      </c>
      <c r="E577" s="1302" t="s">
        <v>173</v>
      </c>
      <c r="F577" s="1302" t="s">
        <v>173</v>
      </c>
      <c r="G577" s="1302" t="s">
        <v>173</v>
      </c>
      <c r="H577" s="1302" t="s">
        <v>173</v>
      </c>
      <c r="I577" s="1302" t="s">
        <v>173</v>
      </c>
      <c r="J577" s="1302">
        <f t="shared" ref="J577:AO577" si="4248">J576/B576-1</f>
        <v>0.0050847457627119</v>
      </c>
      <c r="K577" s="1302">
        <f t="shared" si="4248"/>
        <v>0.356589147286822</v>
      </c>
      <c r="L577" s="1302">
        <f t="shared" si="4248"/>
        <v>0.14431934493347</v>
      </c>
      <c r="M577" s="1302">
        <f t="shared" si="4248"/>
        <v>0.241968055810538</v>
      </c>
      <c r="N577" s="1302">
        <f t="shared" si="4248"/>
        <v>0.179273181310377</v>
      </c>
      <c r="O577" s="1302">
        <f t="shared" si="4248"/>
        <v>0.403279910547894</v>
      </c>
      <c r="P577" s="1302">
        <f t="shared" si="4248"/>
        <v>0.29520295202952</v>
      </c>
      <c r="Q577" s="1302">
        <f t="shared" si="4248"/>
        <v>0.212849162011173</v>
      </c>
      <c r="R577" s="1302">
        <f t="shared" si="4248"/>
        <v>0.323777403035413</v>
      </c>
      <c r="S577" s="1302">
        <f t="shared" si="4248"/>
        <v>0.260952380952381</v>
      </c>
      <c r="T577" s="1302">
        <f t="shared" si="4248"/>
        <v>0.294275491949911</v>
      </c>
      <c r="U577" s="1302">
        <f t="shared" si="4248"/>
        <v>0.324464153732446</v>
      </c>
      <c r="V577" s="1302">
        <f t="shared" si="4248"/>
        <v>0.305656171635553</v>
      </c>
      <c r="W577" s="1302">
        <f t="shared" si="4248"/>
        <v>0.405046480743692</v>
      </c>
      <c r="X577" s="1302">
        <f t="shared" si="4248"/>
        <v>0.353276353276353</v>
      </c>
      <c r="Y577" s="1302">
        <f t="shared" si="4248"/>
        <v>0.322892676186089</v>
      </c>
      <c r="Z577" s="1302">
        <f t="shared" si="4248"/>
        <v>0.434394904458599</v>
      </c>
      <c r="AA577" s="1302">
        <f t="shared" si="4248"/>
        <v>0.484894259818731</v>
      </c>
      <c r="AB577" s="1302">
        <f t="shared" si="4248"/>
        <v>0.457498272287491</v>
      </c>
      <c r="AC577" s="1302">
        <f t="shared" si="4248"/>
        <v>0.279017857142857</v>
      </c>
      <c r="AD577" s="1302">
        <f t="shared" si="4248"/>
        <v>0.389244558258643</v>
      </c>
      <c r="AE577" s="1302">
        <f t="shared" si="4248"/>
        <v>0.172022684310019</v>
      </c>
      <c r="AF577" s="1302">
        <f t="shared" si="4248"/>
        <v>0.239298245614035</v>
      </c>
      <c r="AG577" s="1302">
        <f t="shared" si="4248"/>
        <v>0.349233983286908</v>
      </c>
      <c r="AH577" s="1302">
        <f t="shared" si="4248"/>
        <v>1.11038695985818</v>
      </c>
      <c r="AI577" s="1302">
        <f t="shared" si="4248"/>
        <v>1.0314045998879</v>
      </c>
      <c r="AJ577" s="1302">
        <f t="shared" si="4248"/>
        <v>1.07357346538176</v>
      </c>
      <c r="AK577" s="1302">
        <f t="shared" si="4248"/>
        <v>1.26469912610261</v>
      </c>
      <c r="AL577" s="1302">
        <f t="shared" si="4248"/>
        <v>1.14086379017011</v>
      </c>
      <c r="AM577" s="1302">
        <f t="shared" si="4248"/>
        <v>1.72550046371362</v>
      </c>
      <c r="AN577" s="1302">
        <f t="shared" si="4248"/>
        <v>1.42647536014498</v>
      </c>
      <c r="AO577" s="1302">
        <f t="shared" si="4248"/>
        <v>1.23440565793707</v>
      </c>
      <c r="AP577" s="1302">
        <f t="shared" ref="AP577:BU577" si="4249">AP576/AH576-1</f>
        <v>0.0436213991769547</v>
      </c>
      <c r="AQ577" s="1302">
        <f t="shared" si="4249"/>
        <v>0.0176297747306562</v>
      </c>
      <c r="AR577" s="1302">
        <f t="shared" si="4249"/>
        <v>0.0317531305903398</v>
      </c>
      <c r="AS577" s="1302">
        <f t="shared" si="4249"/>
        <v>0.0437076111529766</v>
      </c>
      <c r="AT577" s="1302">
        <f t="shared" si="4249"/>
        <v>0.0362054448498457</v>
      </c>
      <c r="AU577" s="1302">
        <f t="shared" si="4249"/>
        <v>0.134259259259259</v>
      </c>
      <c r="AV577" s="1302">
        <f t="shared" si="4249"/>
        <v>0.0794157918758558</v>
      </c>
      <c r="AW577" s="1302">
        <f t="shared" si="4249"/>
        <v>0.0553422182064605</v>
      </c>
      <c r="AX577" s="1303">
        <f t="shared" si="4249"/>
        <v>0.00709779179810721</v>
      </c>
      <c r="AY577" s="1302">
        <f t="shared" si="4249"/>
        <v>0.0750721847930702</v>
      </c>
      <c r="AZ577" s="1302">
        <f t="shared" si="4249"/>
        <v>0.0377113133940181</v>
      </c>
      <c r="BA577" s="1302">
        <f t="shared" si="4249"/>
        <v>0.0375451263537907</v>
      </c>
      <c r="BB577" s="1302">
        <f t="shared" si="4249"/>
        <v>-0.308234019501625</v>
      </c>
      <c r="BC577" s="1302">
        <f t="shared" si="4249"/>
        <v>0.013265306122449</v>
      </c>
      <c r="BD577" s="1302">
        <f t="shared" si="4249"/>
        <v>0.0274841437632136</v>
      </c>
      <c r="BE577" s="1304">
        <f t="shared" si="4249"/>
        <v>-0.240796232876712</v>
      </c>
      <c r="BF577" s="1302">
        <f t="shared" si="4249"/>
        <v>0.0415035238841033</v>
      </c>
      <c r="BG577" s="1302">
        <f t="shared" si="4249"/>
        <v>0.0957923008057295</v>
      </c>
      <c r="BH577" s="1302">
        <f t="shared" si="4249"/>
        <v>0.0668337510442774</v>
      </c>
      <c r="BI577" s="1302">
        <f t="shared" si="4249"/>
        <v>0.0424495476687543</v>
      </c>
      <c r="BJ577" s="1302">
        <f t="shared" si="4249"/>
        <v>0.586530931871574</v>
      </c>
      <c r="BK577" s="1302">
        <f t="shared" si="4249"/>
        <v>0.0624370594159114</v>
      </c>
      <c r="BL577" s="1302">
        <f t="shared" si="4249"/>
        <v>0.0506172839506174</v>
      </c>
      <c r="BM577" s="1302">
        <f t="shared" si="4249"/>
        <v>0.439808288694671</v>
      </c>
      <c r="BN577" s="1303">
        <f t="shared" si="4249"/>
        <v>0.0563909774436091</v>
      </c>
      <c r="BO577" s="1302">
        <f t="shared" si="4249"/>
        <v>-0.071078431372549</v>
      </c>
      <c r="BP577" s="1302">
        <f t="shared" si="4249"/>
        <v>-0.00469851213782302</v>
      </c>
      <c r="BQ577" s="1302">
        <f t="shared" si="4249"/>
        <v>-0.0153538050734312</v>
      </c>
      <c r="BR577" s="1302">
        <f t="shared" si="4249"/>
        <v>-0.00863770977295164</v>
      </c>
      <c r="BS577" s="1302">
        <f t="shared" si="4249"/>
        <v>-0.11563981042654</v>
      </c>
      <c r="BT577" s="1302">
        <f t="shared" si="4249"/>
        <v>-0.0567959263611437</v>
      </c>
      <c r="BU577" s="1304">
        <f t="shared" si="4249"/>
        <v>-0.0307421186606618</v>
      </c>
      <c r="BV577" s="1303" t="str">
        <f t="shared" ref="BV577:CN577" si="4250">BV655</f>
        <v>na</v>
      </c>
      <c r="BW577" s="1302" t="str">
        <f t="shared" si="4250"/>
        <v>na</v>
      </c>
      <c r="BX577" s="1302" t="str">
        <f t="shared" si="4250"/>
        <v>na</v>
      </c>
      <c r="BY577" s="1302" t="str">
        <f t="shared" si="4250"/>
        <v>na</v>
      </c>
      <c r="BZ577" s="1302" t="str">
        <f t="shared" si="4250"/>
        <v>na</v>
      </c>
      <c r="CA577" s="1302" t="str">
        <f t="shared" si="4250"/>
        <v>na</v>
      </c>
      <c r="CB577" s="1302" t="str">
        <f t="shared" si="4250"/>
        <v>na</v>
      </c>
      <c r="CC577" s="1304" t="str">
        <f t="shared" si="4250"/>
        <v>na</v>
      </c>
      <c r="CD577" s="1303">
        <f t="shared" si="4250"/>
        <v>0.17188471905453</v>
      </c>
      <c r="CE577" s="1302">
        <f t="shared" si="4250"/>
        <v>0.105208804724939</v>
      </c>
      <c r="CF577" s="1302">
        <f t="shared" si="4250"/>
        <v>0.141232449963726</v>
      </c>
      <c r="CG577" s="1302">
        <f t="shared" si="4250"/>
        <v>0.106304828422336</v>
      </c>
      <c r="CH577" s="1302">
        <f t="shared" si="4250"/>
        <v>0.127552292486378</v>
      </c>
      <c r="CI577" s="1302">
        <f t="shared" si="4250"/>
        <v>0.308393770472961</v>
      </c>
      <c r="CJ577" s="1302">
        <f t="shared" si="4250"/>
        <v>0.182143793736456</v>
      </c>
      <c r="CK577" s="1304">
        <f t="shared" si="4250"/>
        <v>0.16199649737303</v>
      </c>
      <c r="CL577" s="1303">
        <f t="shared" si="4250"/>
        <v>0.16267313719543</v>
      </c>
      <c r="CM577" s="1302">
        <f t="shared" si="4250"/>
        <v>0.240620975418556</v>
      </c>
      <c r="CN577" s="1302">
        <f t="shared" si="4250"/>
        <v>0.197376211398834</v>
      </c>
      <c r="CO577" s="1302">
        <f>CO576/CG576-1</f>
        <v>0.154552807373161</v>
      </c>
      <c r="CP577" s="1302">
        <f>CP576/CH576-1</f>
        <v>0.180919563165286</v>
      </c>
      <c r="CQ577" s="1302">
        <f t="shared" ref="CQ577:CS578" si="4251">CQ655</f>
        <v>0.048869961207624</v>
      </c>
      <c r="CR577" s="1302">
        <f t="shared" si="4251"/>
        <v>0.918429908035188</v>
      </c>
      <c r="CS577" s="1304">
        <f t="shared" si="4251"/>
        <v>0.152599849284099</v>
      </c>
      <c r="CT577" s="1303">
        <f t="shared" ref="CT577:DA577" si="4252">CT576/CL576-1</f>
        <v>0.03743961352657</v>
      </c>
      <c r="CU577" s="1302">
        <f t="shared" si="4252"/>
        <v>0.0634696755994357</v>
      </c>
      <c r="CV577" s="1302">
        <f t="shared" si="4252"/>
        <v>0.0494469746258945</v>
      </c>
      <c r="CW577" s="1302">
        <f t="shared" si="4252"/>
        <v>0.0724324324324324</v>
      </c>
      <c r="CX577" s="1302">
        <f t="shared" si="4252"/>
        <v>0.0580828594638505</v>
      </c>
      <c r="CY577" s="1302">
        <f t="shared" si="4252"/>
        <v>0.28140703517588</v>
      </c>
      <c r="CZ577" s="1302">
        <f t="shared" si="4252"/>
        <v>0.143135979180221</v>
      </c>
      <c r="DA577" s="1304">
        <f t="shared" si="4252"/>
        <v>0.101667211507029</v>
      </c>
      <c r="DB577" s="1109">
        <f t="shared" ref="DB577:DI577" si="4253">DB576/CT576-1</f>
        <v>0.122235157159488</v>
      </c>
      <c r="DC577" s="1082">
        <f t="shared" si="4253"/>
        <v>0.1657824933687</v>
      </c>
      <c r="DD577" s="1082">
        <f t="shared" si="4253"/>
        <v>0.142591444513329</v>
      </c>
      <c r="DE577" s="1082">
        <f t="shared" si="4253"/>
        <v>0.112903225806452</v>
      </c>
      <c r="DF577" s="1082">
        <f t="shared" si="4253"/>
        <v>0.131285988483685</v>
      </c>
      <c r="DG577" s="1082">
        <f t="shared" si="4253"/>
        <v>0.117647058823529</v>
      </c>
      <c r="DH577" s="1082">
        <f t="shared" si="4253"/>
        <v>0.114968696642003</v>
      </c>
      <c r="DI577" s="1085">
        <f t="shared" si="4253"/>
        <v>0.128189910979228</v>
      </c>
      <c r="DJ577" s="1082">
        <f t="shared" ref="DJ577:DQ577" si="4254">DJ576/DB576-1</f>
        <v>-0.0653526970954351</v>
      </c>
      <c r="DK577" s="1082">
        <f t="shared" si="4254"/>
        <v>-0.0762229806598407</v>
      </c>
      <c r="DL577" s="1082">
        <f t="shared" si="4254"/>
        <v>-0.0705371676614214</v>
      </c>
      <c r="DM577" s="1082">
        <f t="shared" si="4254"/>
        <v>-0.0987318840579714</v>
      </c>
      <c r="DN577" s="1082">
        <f t="shared" si="4254"/>
        <v>-0.0810994231421784</v>
      </c>
      <c r="DO577" s="1082" t="e">
        <f t="shared" si="4254"/>
        <v>#REF!</v>
      </c>
      <c r="DP577" s="1082" t="e">
        <f t="shared" si="4254"/>
        <v>#REF!</v>
      </c>
      <c r="DQ577" s="1085" t="e">
        <f t="shared" si="4254"/>
        <v>#REF!</v>
      </c>
      <c r="DR577" s="1082"/>
      <c r="DS577" s="1082"/>
      <c r="DT577" s="1082"/>
      <c r="DU577" s="1082"/>
      <c r="DV577" s="1082"/>
      <c r="DW577" s="1082"/>
      <c r="DX577" s="1082"/>
      <c r="DY577" s="1085"/>
      <c r="DZ577" s="1082"/>
      <c r="EA577" s="1082"/>
      <c r="EB577" s="1082"/>
      <c r="EC577" s="1082"/>
      <c r="ED577" s="1082"/>
      <c r="EE577" s="1082"/>
      <c r="EF577" s="1082"/>
      <c r="EG577" s="1085"/>
      <c r="EH577" s="1082"/>
      <c r="EI577" s="1082"/>
      <c r="EJ577" s="1082"/>
      <c r="EK577" s="1082"/>
      <c r="EL577" s="1082"/>
      <c r="EM577" s="1082"/>
      <c r="EN577" s="1082"/>
      <c r="EO577" s="1085"/>
      <c r="EP577" s="1082"/>
      <c r="EQ577" s="1082"/>
      <c r="ER577" s="1082"/>
      <c r="ES577" s="1082"/>
      <c r="ET577" s="1082"/>
      <c r="EU577" s="1082"/>
      <c r="EV577" s="1082"/>
      <c r="IX577" s="1049"/>
      <c r="IY577" s="1049"/>
      <c r="IZ577" s="1049"/>
      <c r="JA577" s="1049"/>
      <c r="JB577" s="1049"/>
      <c r="JC577" s="1049"/>
      <c r="JD577" s="1112"/>
      <c r="JE577" s="1037"/>
      <c r="JF577" s="1037"/>
      <c r="JG577" s="1037"/>
      <c r="JH577" s="1037"/>
      <c r="JI577" s="1035"/>
      <c r="JJ577" s="1035"/>
      <c r="JK577" s="1035"/>
      <c r="JL577" s="1035"/>
      <c r="JM577" s="1035"/>
      <c r="JN577" s="1035"/>
      <c r="JO577" s="1035"/>
      <c r="JP577" s="1035"/>
      <c r="JQ577" s="1035"/>
      <c r="JR577" s="1035"/>
      <c r="JS577" s="1035"/>
      <c r="JT577" s="1035"/>
      <c r="JU577" s="1035"/>
      <c r="JV577" s="1035"/>
      <c r="JW577" s="1035"/>
      <c r="JX577" s="1035"/>
      <c r="JY577" s="1035"/>
      <c r="KP577" s="1179"/>
    </row>
    <row r="578" spans="1:302">
      <c r="A578" s="1035" t="s">
        <v>631</v>
      </c>
      <c r="B578" s="1302">
        <v>0.591182364729459</v>
      </c>
      <c r="C578" s="1302">
        <v>0.516688918558078</v>
      </c>
      <c r="D578" s="1302">
        <f>D576/D$570</f>
        <v>0.559244419004007</v>
      </c>
      <c r="E578" s="1302">
        <v>0.497897623400366</v>
      </c>
      <c r="F578" s="1302">
        <f>F576/F$570</f>
        <v>0.535621260119676</v>
      </c>
      <c r="G578" s="1302">
        <v>0.407008495145631</v>
      </c>
      <c r="H578" s="1302">
        <f>H576/H$570</f>
        <v>0.49446539350444</v>
      </c>
      <c r="I578" s="1302">
        <f>I576/I$570</f>
        <v>0.511399348608651</v>
      </c>
      <c r="J578" s="1302">
        <v>0.495405179615706</v>
      </c>
      <c r="K578" s="1302">
        <v>0.502392344497608</v>
      </c>
      <c r="L578" s="1302">
        <f>L576/L$570</f>
        <v>0.498661909009813</v>
      </c>
      <c r="M578" s="1302">
        <v>0.459578804347826</v>
      </c>
      <c r="N578" s="1302">
        <f>N576/N$570</f>
        <v>0.483171782444803</v>
      </c>
      <c r="O578" s="1302">
        <v>0.378012048192771</v>
      </c>
      <c r="P578" s="1302">
        <f>P576/P$570</f>
        <v>0.454565076624218</v>
      </c>
      <c r="Q578" s="1302">
        <f>Q576/Q$570</f>
        <v>0.460934182590234</v>
      </c>
      <c r="R578" s="1302">
        <v>0.45826036193812</v>
      </c>
      <c r="S578" s="1302">
        <v>0.463910301331465</v>
      </c>
      <c r="T578" s="1302">
        <f>T576/T$570</f>
        <v>0.460828025477707</v>
      </c>
      <c r="U578" s="1302">
        <v>0.417910447761194</v>
      </c>
      <c r="V578" s="1302">
        <f>V576/V$570</f>
        <v>0.443414080242241</v>
      </c>
      <c r="W578" s="1302">
        <v>0.374115983026874</v>
      </c>
      <c r="X578" s="1302">
        <f>X576/X$570</f>
        <v>0.437116564417178</v>
      </c>
      <c r="Y578" s="1302">
        <f>Y576/Y$570</f>
        <v>0.428784711854285</v>
      </c>
      <c r="Z578" s="1302">
        <v>0.36797385620915</v>
      </c>
      <c r="AA578" s="1302">
        <v>0.395573440643863</v>
      </c>
      <c r="AB578" s="1302">
        <f>AB576/AB$570</f>
        <v>0.38034265103697</v>
      </c>
      <c r="AC578" s="1302">
        <v>0.342600896860987</v>
      </c>
      <c r="AD578" s="1302">
        <f>AD576/AD$570</f>
        <v>0.366141732283465</v>
      </c>
      <c r="AE578" s="1302">
        <v>0.249547192594083</v>
      </c>
      <c r="AF578" s="1302">
        <f>AF576/AF$570</f>
        <v>0.312207195262088</v>
      </c>
      <c r="AG578" s="1302">
        <f>AG576/AG$570</f>
        <v>0.340674315354521</v>
      </c>
      <c r="AH578" s="1302">
        <v>0.874730021598272</v>
      </c>
      <c r="AI578" s="1302">
        <v>0.854822505023443</v>
      </c>
      <c r="AJ578" s="1302">
        <f>AJ576/AJ$570</f>
        <v>0.865526050940621</v>
      </c>
      <c r="AK578" s="1302">
        <v>0.842539682539683</v>
      </c>
      <c r="AL578" s="1302">
        <f>AL576/AL$570</f>
        <v>0.856819930742593</v>
      </c>
      <c r="AM578" s="1302">
        <v>0.721804511278195</v>
      </c>
      <c r="AN578" s="1302">
        <f>AN576/AN$570</f>
        <v>0.812987012987013</v>
      </c>
      <c r="AO578" s="1302">
        <f>AO576/AO$570</f>
        <v>0.826642267617732</v>
      </c>
      <c r="AP578" s="1302">
        <v>0.835860250494397</v>
      </c>
      <c r="AQ578" s="1302">
        <v>0.832532051282051</v>
      </c>
      <c r="AR578" s="1302">
        <f>AR576/AR$570</f>
        <v>0.834358047016275</v>
      </c>
      <c r="AS578" s="1302">
        <v>0.825879546809779</v>
      </c>
      <c r="AT578" s="1302">
        <f>AT576/AT$570</f>
        <v>0.831157136425034</v>
      </c>
      <c r="AU578" s="1302">
        <v>0.703517587939699</v>
      </c>
      <c r="AV578" s="1302">
        <f>AV576/AV$570</f>
        <v>0.791234526597524</v>
      </c>
      <c r="AW578" s="1302">
        <f>AW576/AW$570</f>
        <v>0.800685518423308</v>
      </c>
      <c r="AX578" s="1303">
        <v>0.819640564826701</v>
      </c>
      <c r="AY578" s="1302">
        <v>0.816520467836257</v>
      </c>
      <c r="AZ578" s="1302">
        <f>AZ576/AZ$570</f>
        <v>0.818181818181818</v>
      </c>
      <c r="BA578" s="1302">
        <v>0.802793296089385</v>
      </c>
      <c r="BB578" s="1302">
        <f>BB576/BB$570</f>
        <v>0.808739708676377</v>
      </c>
      <c r="BC578" s="1302">
        <v>0.711827956989247</v>
      </c>
      <c r="BD578" s="1302">
        <f>BD576/BD$570</f>
        <v>0.791788856304985</v>
      </c>
      <c r="BE578" s="1304">
        <f>BE576/BE$570</f>
        <v>0.779046782341313</v>
      </c>
      <c r="BF578" s="1302">
        <v>0.811965811965812</v>
      </c>
      <c r="BG578" s="1302">
        <v>0.812209688122097</v>
      </c>
      <c r="BH578" s="1302">
        <f>BH576/BH$570</f>
        <v>0.8120826709062</v>
      </c>
      <c r="BI578" s="1302">
        <v>0.802786709539121</v>
      </c>
      <c r="BJ578" s="1302">
        <f>BJ576/BJ$570</f>
        <v>0.808621033725803</v>
      </c>
      <c r="BK578" s="1302">
        <v>0.698213103904699</v>
      </c>
      <c r="BL578" s="1302">
        <f>BL576/BL$570</f>
        <v>0.780733944954128</v>
      </c>
      <c r="BM578" s="1302">
        <f>BM576/BM$570</f>
        <v>0.783042011652867</v>
      </c>
      <c r="BN578" s="1303">
        <v>0.841821449970042</v>
      </c>
      <c r="BO578" s="1302">
        <v>0.816810344827586</v>
      </c>
      <c r="BP578" s="1302">
        <f>BP576/BP$570</f>
        <v>0.830447566154851</v>
      </c>
      <c r="BQ578" s="1302">
        <v>0.796006475984889</v>
      </c>
      <c r="BR578" s="1302">
        <f>BR576/BR$570</f>
        <v>0.817460317460317</v>
      </c>
      <c r="BS578" s="1302">
        <v>0.689069423929099</v>
      </c>
      <c r="BT578" s="1302">
        <f>BT576/BT$570</f>
        <v>0.768837803320562</v>
      </c>
      <c r="BU578" s="1304">
        <f>BU576/BU$570</f>
        <v>0.789725590299936</v>
      </c>
      <c r="BV578" s="1303">
        <f t="shared" ref="BV578:CN578" si="4255">BV656</f>
        <v>0.441</v>
      </c>
      <c r="BW578" s="1302">
        <f t="shared" si="4255"/>
        <v>0.428405965202983</v>
      </c>
      <c r="BX578" s="1302">
        <f t="shared" si="4255"/>
        <v>0.438</v>
      </c>
      <c r="BY578" s="1302">
        <f t="shared" si="4255"/>
        <v>0.461268152866242</v>
      </c>
      <c r="BZ578" s="1302">
        <f t="shared" si="4255"/>
        <v>0.445</v>
      </c>
      <c r="CA578" s="1302">
        <f t="shared" si="4255"/>
        <v>0.426495098039216</v>
      </c>
      <c r="CB578" s="1302">
        <f t="shared" si="4255"/>
        <v>0.447573745173745</v>
      </c>
      <c r="CC578" s="1304">
        <f t="shared" si="4255"/>
        <v>0.441352657004831</v>
      </c>
      <c r="CD578" s="1303">
        <f t="shared" si="4255"/>
        <v>0.471</v>
      </c>
      <c r="CE578" s="1302">
        <f t="shared" si="4255"/>
        <v>0.438257668711657</v>
      </c>
      <c r="CF578" s="1302">
        <f t="shared" si="4255"/>
        <v>0.456</v>
      </c>
      <c r="CG578" s="1302">
        <f t="shared" si="4255"/>
        <v>0.463375361480625</v>
      </c>
      <c r="CH578" s="1302">
        <f t="shared" si="4255"/>
        <v>0.458</v>
      </c>
      <c r="CI578" s="1302">
        <f t="shared" si="4255"/>
        <v>0.432510638297872</v>
      </c>
      <c r="CJ578" s="1302">
        <f t="shared" si="4255"/>
        <v>0.450036124794745</v>
      </c>
      <c r="CK578" s="1304">
        <f t="shared" si="4255"/>
        <v>0.452823750213274</v>
      </c>
      <c r="CL578" s="1303">
        <f t="shared" si="4255"/>
        <v>0.466216216216216</v>
      </c>
      <c r="CM578" s="1302">
        <f t="shared" si="4255"/>
        <v>0.462793733681462</v>
      </c>
      <c r="CN578" s="1302">
        <f t="shared" si="4255"/>
        <v>0.464631197097944</v>
      </c>
      <c r="CO578" s="1302">
        <f>CO576/CO549</f>
        <v>0.47680412371134</v>
      </c>
      <c r="CP578" s="1302">
        <f>CP576/CP549</f>
        <v>0.469131097560976</v>
      </c>
      <c r="CQ578" s="1302">
        <f t="shared" si="4251"/>
        <v>0.433236574746009</v>
      </c>
      <c r="CR578" s="1302">
        <f t="shared" si="4251"/>
        <v>0.464631197097944</v>
      </c>
      <c r="CS578" s="1304">
        <f t="shared" si="4251"/>
        <v>0.461666163597947</v>
      </c>
      <c r="CT578" s="1303">
        <f t="shared" ref="CT578:DI578" si="4256">CT576/CT549</f>
        <v>0.472237493128092</v>
      </c>
      <c r="CU578" s="1302">
        <f t="shared" si="4256"/>
        <v>0.461162079510703</v>
      </c>
      <c r="CV578" s="1302">
        <f t="shared" si="4256"/>
        <v>0.46699478865084</v>
      </c>
      <c r="CW578" s="1302">
        <f t="shared" si="4256"/>
        <v>0.493286921929388</v>
      </c>
      <c r="CX578" s="1302">
        <f t="shared" si="4256"/>
        <v>0.476669716376944</v>
      </c>
      <c r="CY578" s="1302">
        <f t="shared" si="4256"/>
        <v>0.464199029126214</v>
      </c>
      <c r="CZ578" s="1302">
        <f t="shared" si="4256"/>
        <v>0.480185843126537</v>
      </c>
      <c r="DA578" s="1304">
        <f t="shared" si="4256"/>
        <v>0.473780402080697</v>
      </c>
      <c r="DB578" s="1109">
        <f t="shared" si="4256"/>
        <v>0.489837398373984</v>
      </c>
      <c r="DC578" s="1082">
        <f t="shared" si="4256"/>
        <v>0.483498349834984</v>
      </c>
      <c r="DD578" s="1082">
        <f t="shared" si="4256"/>
        <v>0.486664906258252</v>
      </c>
      <c r="DE578" s="1082">
        <f t="shared" si="4256"/>
        <v>0.497970230040595</v>
      </c>
      <c r="DF578" s="1082">
        <f t="shared" si="4256"/>
        <v>0.490839440373085</v>
      </c>
      <c r="DG578" s="1082">
        <f t="shared" si="4256"/>
        <v>0.470555861309851</v>
      </c>
      <c r="DH578" s="1082">
        <f t="shared" si="4256"/>
        <v>0.48562221120476</v>
      </c>
      <c r="DI578" s="1085">
        <f t="shared" si="4256"/>
        <v>0.48612709372203</v>
      </c>
      <c r="DJ578" s="1082">
        <v>0.47000521648409</v>
      </c>
      <c r="DK578" s="1082">
        <v>0.464</v>
      </c>
      <c r="DL578" s="1082">
        <f>DL576/DL549</f>
        <v>0.467139350968094</v>
      </c>
      <c r="DM578" s="1082">
        <f>DM576/DM549</f>
        <v>0.471340596873519</v>
      </c>
      <c r="DN578" s="1082">
        <f>DN576/DN549</f>
        <v>0.468674281758394</v>
      </c>
      <c r="DO578" s="1488">
        <v>0.465</v>
      </c>
      <c r="DP578" s="1082" t="e">
        <f>DP576/DP549</f>
        <v>#REF!</v>
      </c>
      <c r="DQ578" s="1085" t="e">
        <f>DQ576/DQ549</f>
        <v>#REF!</v>
      </c>
      <c r="DR578" s="1488"/>
      <c r="DS578" s="1488"/>
      <c r="DT578" s="1082"/>
      <c r="DU578" s="1488"/>
      <c r="DV578" s="1082"/>
      <c r="DW578" s="1488"/>
      <c r="DX578" s="1082"/>
      <c r="DY578" s="1085"/>
      <c r="DZ578" s="1488"/>
      <c r="EA578" s="1488"/>
      <c r="EB578" s="1082"/>
      <c r="EC578" s="1488"/>
      <c r="ED578" s="1082"/>
      <c r="EE578" s="1488"/>
      <c r="EF578" s="1082"/>
      <c r="EG578" s="1085"/>
      <c r="EH578" s="1488"/>
      <c r="EI578" s="1488"/>
      <c r="EJ578" s="1082"/>
      <c r="EK578" s="1488"/>
      <c r="EL578" s="1082"/>
      <c r="EM578" s="1488"/>
      <c r="EN578" s="1082"/>
      <c r="EO578" s="1085"/>
      <c r="EP578" s="1082"/>
      <c r="EQ578" s="1082"/>
      <c r="ER578" s="1082"/>
      <c r="ES578" s="1082"/>
      <c r="ET578" s="1082"/>
      <c r="EU578" s="1082"/>
      <c r="EV578" s="1082"/>
      <c r="IX578" s="1049"/>
      <c r="IY578" s="1049"/>
      <c r="IZ578" s="1049"/>
      <c r="JA578" s="1049"/>
      <c r="JB578" s="1049"/>
      <c r="JC578" s="1049"/>
      <c r="JD578" s="1094"/>
      <c r="JE578" s="1037"/>
      <c r="JF578" s="1037"/>
      <c r="JG578" s="1037"/>
      <c r="JH578" s="1037"/>
      <c r="JI578" s="1035"/>
      <c r="JJ578" s="1035"/>
      <c r="JK578" s="1035"/>
      <c r="JL578" s="1035"/>
      <c r="JM578" s="1035"/>
      <c r="JN578" s="1035"/>
      <c r="JO578" s="1035"/>
      <c r="JP578" s="1035"/>
      <c r="JQ578" s="1035"/>
      <c r="JR578" s="1035"/>
      <c r="JS578" s="1035"/>
      <c r="JT578" s="1035"/>
      <c r="JU578" s="1035"/>
      <c r="JV578" s="1035"/>
      <c r="JW578" s="1035"/>
      <c r="JX578" s="1035"/>
      <c r="JY578" s="1035"/>
      <c r="KP578" s="1025"/>
    </row>
    <row r="579" collapsed="1" spans="1:302">
      <c r="A579" s="1306" t="s">
        <v>629</v>
      </c>
      <c r="B579" s="1307">
        <v>15.339</v>
      </c>
      <c r="C579" s="1307">
        <v>29.6554</v>
      </c>
      <c r="D579" s="1307">
        <f>B579+C579</f>
        <v>44.9944</v>
      </c>
      <c r="E579" s="1307">
        <v>31.85399</v>
      </c>
      <c r="F579" s="1307">
        <f>D579+E579</f>
        <v>76.84839</v>
      </c>
      <c r="G579" s="1307">
        <v>16.31047</v>
      </c>
      <c r="H579" s="1307">
        <f>E579+G579</f>
        <v>48.16446</v>
      </c>
      <c r="I579" s="1307">
        <f>F579+G579</f>
        <v>93.15886</v>
      </c>
      <c r="J579" s="1307">
        <v>24.0311</v>
      </c>
      <c r="K579" s="1307">
        <v>27.6102</v>
      </c>
      <c r="L579" s="1307">
        <f>J579+K579</f>
        <v>51.6413</v>
      </c>
      <c r="M579" s="1307">
        <v>44.4831</v>
      </c>
      <c r="N579" s="1307">
        <f>L579+M579</f>
        <v>96.1244</v>
      </c>
      <c r="O579" s="1307">
        <v>18.9181</v>
      </c>
      <c r="P579" s="1307">
        <f>M579+O579</f>
        <v>63.4012</v>
      </c>
      <c r="Q579" s="1307">
        <f>N579+O579</f>
        <v>115.0425</v>
      </c>
      <c r="R579" s="1307">
        <v>29.1441</v>
      </c>
      <c r="S579" s="1307">
        <v>26.5876</v>
      </c>
      <c r="T579" s="1307">
        <f>R579+S579</f>
        <v>55.7317</v>
      </c>
      <c r="U579" s="1307">
        <v>40.3927</v>
      </c>
      <c r="V579" s="1307">
        <f>T579+U579</f>
        <v>96.1244</v>
      </c>
      <c r="W579" s="1307">
        <v>26.33195</v>
      </c>
      <c r="X579" s="1307">
        <f>U579+W579</f>
        <v>66.72465</v>
      </c>
      <c r="Y579" s="1307">
        <f>V579+W579</f>
        <v>122.45635</v>
      </c>
      <c r="Z579" s="1307">
        <v>214.2347</v>
      </c>
      <c r="AA579" s="1307">
        <v>169.7516</v>
      </c>
      <c r="AB579" s="1307">
        <f>Z579+AA579</f>
        <v>383.9863</v>
      </c>
      <c r="AC579" s="1307">
        <v>243.3788</v>
      </c>
      <c r="AD579" s="1307">
        <f>AB579+AC579</f>
        <v>627.3651</v>
      </c>
      <c r="AE579" s="1307">
        <v>273.5455</v>
      </c>
      <c r="AF579" s="1307">
        <f>AC579+AE579</f>
        <v>516.9243</v>
      </c>
      <c r="AG579" s="1307">
        <f>AD579+AE579</f>
        <v>900.9106</v>
      </c>
      <c r="AH579" s="1307">
        <v>79</v>
      </c>
      <c r="AI579" s="1307">
        <v>117</v>
      </c>
      <c r="AJ579" s="1307">
        <f>AH579+AI579</f>
        <v>196</v>
      </c>
      <c r="AK579" s="1307">
        <v>80</v>
      </c>
      <c r="AL579" s="1307">
        <f>AJ579+AK579</f>
        <v>276</v>
      </c>
      <c r="AM579" s="1307">
        <v>51</v>
      </c>
      <c r="AN579" s="1307">
        <f>AK579+AM579</f>
        <v>131</v>
      </c>
      <c r="AO579" s="1307">
        <f>AL579+AM579</f>
        <v>327</v>
      </c>
      <c r="AP579" s="1307">
        <v>125</v>
      </c>
      <c r="AQ579" s="1307">
        <v>139</v>
      </c>
      <c r="AR579" s="1307">
        <f>AP579+AQ579</f>
        <v>264</v>
      </c>
      <c r="AS579" s="1307">
        <v>95</v>
      </c>
      <c r="AT579" s="1307">
        <f>AR579+AS579</f>
        <v>359</v>
      </c>
      <c r="AU579" s="1307">
        <v>82</v>
      </c>
      <c r="AV579" s="1307">
        <f>AS579+AU579</f>
        <v>177</v>
      </c>
      <c r="AW579" s="1307">
        <f>AT579+AU579</f>
        <v>441</v>
      </c>
      <c r="AX579" s="1308">
        <v>154</v>
      </c>
      <c r="AY579" s="1307">
        <v>171</v>
      </c>
      <c r="AZ579" s="1307">
        <f>AX579+AY579</f>
        <v>325</v>
      </c>
      <c r="BA579" s="1307">
        <v>113</v>
      </c>
      <c r="BB579" s="1307">
        <f>AY579+BA579</f>
        <v>284</v>
      </c>
      <c r="BC579" s="1307">
        <v>107</v>
      </c>
      <c r="BD579" s="1307">
        <f>BA579+BC579</f>
        <v>220</v>
      </c>
      <c r="BE579" s="1309">
        <f>BB579+BC579</f>
        <v>391</v>
      </c>
      <c r="BF579" s="1307">
        <v>176</v>
      </c>
      <c r="BG579" s="1307">
        <v>203</v>
      </c>
      <c r="BH579" s="1307">
        <f>BF579+BG579</f>
        <v>379</v>
      </c>
      <c r="BI579" s="1307">
        <v>137</v>
      </c>
      <c r="BJ579" s="1307">
        <f>BH579+BI579</f>
        <v>516</v>
      </c>
      <c r="BK579" s="1307">
        <v>191</v>
      </c>
      <c r="BL579" s="1307">
        <f>BI579+BK579</f>
        <v>328</v>
      </c>
      <c r="BM579" s="1307">
        <f>BJ579+BK579</f>
        <v>707</v>
      </c>
      <c r="BN579" s="1308">
        <v>134</v>
      </c>
      <c r="BO579" s="1307">
        <v>177</v>
      </c>
      <c r="BP579" s="1307">
        <f>BN579+BO579</f>
        <v>311</v>
      </c>
      <c r="BQ579" s="1307">
        <v>176</v>
      </c>
      <c r="BR579" s="1307">
        <f>BP579+BQ579</f>
        <v>487</v>
      </c>
      <c r="BS579" s="1307">
        <v>150</v>
      </c>
      <c r="BT579" s="1307">
        <f>BQ579+BS579</f>
        <v>326</v>
      </c>
      <c r="BU579" s="1309">
        <f>BR579+BS579</f>
        <v>637</v>
      </c>
      <c r="BV579" s="1308">
        <f t="shared" ref="BV579:CN579" si="4257">BV780</f>
        <v>51.388</v>
      </c>
      <c r="BW579" s="1307">
        <f t="shared" si="4257"/>
        <v>92.062</v>
      </c>
      <c r="BX579" s="1307">
        <f t="shared" si="4257"/>
        <v>143.45</v>
      </c>
      <c r="BY579" s="1307">
        <f t="shared" si="4257"/>
        <v>83.602</v>
      </c>
      <c r="BZ579" s="1307">
        <f t="shared" si="4257"/>
        <v>227.052</v>
      </c>
      <c r="CA579" s="1307">
        <f t="shared" si="4257"/>
        <v>70.458</v>
      </c>
      <c r="CB579" s="1307">
        <f t="shared" si="4257"/>
        <v>154.06</v>
      </c>
      <c r="CC579" s="1309">
        <f t="shared" si="4257"/>
        <v>297.51</v>
      </c>
      <c r="CD579" s="1308">
        <f t="shared" si="4257"/>
        <v>63.623</v>
      </c>
      <c r="CE579" s="1307">
        <f t="shared" si="4257"/>
        <v>99.943</v>
      </c>
      <c r="CF579" s="1307">
        <f t="shared" si="4257"/>
        <v>163.566</v>
      </c>
      <c r="CG579" s="1307">
        <f t="shared" si="4257"/>
        <v>77.73</v>
      </c>
      <c r="CH579" s="1307">
        <f t="shared" si="4257"/>
        <v>241.296</v>
      </c>
      <c r="CI579" s="1307">
        <f t="shared" si="4257"/>
        <v>70.664</v>
      </c>
      <c r="CJ579" s="1307">
        <f t="shared" si="4257"/>
        <v>148.394</v>
      </c>
      <c r="CK579" s="1309">
        <f t="shared" si="4257"/>
        <v>311.96</v>
      </c>
      <c r="CL579" s="1308">
        <f t="shared" si="4257"/>
        <v>86.229</v>
      </c>
      <c r="CM579" s="1307">
        <f t="shared" si="4257"/>
        <v>118.395</v>
      </c>
      <c r="CN579" s="1307">
        <f t="shared" si="4257"/>
        <v>204.624</v>
      </c>
      <c r="CO579" s="1307">
        <f>CP579-CN579</f>
        <v>84.376</v>
      </c>
      <c r="CP579" s="1307">
        <f>CP780</f>
        <v>289</v>
      </c>
      <c r="CQ579" s="1307">
        <f>CQ780</f>
        <v>87</v>
      </c>
      <c r="CR579" s="1307">
        <f>CR780</f>
        <v>204.61</v>
      </c>
      <c r="CS579" s="1309">
        <f>CS780</f>
        <v>376</v>
      </c>
      <c r="CT579" s="1308">
        <f>CT780</f>
        <v>79</v>
      </c>
      <c r="CU579" s="1307">
        <f>+CU780</f>
        <v>107</v>
      </c>
      <c r="CV579" s="1307">
        <f>+CU579+CT579</f>
        <v>186</v>
      </c>
      <c r="CW579" s="1307">
        <f>CX579-CV579</f>
        <v>84</v>
      </c>
      <c r="CX579" s="1307">
        <v>270</v>
      </c>
      <c r="CY579" s="1307">
        <f>DA579-CX579</f>
        <v>90</v>
      </c>
      <c r="CZ579" s="1307">
        <f>CY579+CW579</f>
        <v>174</v>
      </c>
      <c r="DA579" s="1309">
        <v>360</v>
      </c>
      <c r="DB579" s="1332">
        <v>89</v>
      </c>
      <c r="DC579" s="1311">
        <f>DC780</f>
        <v>105</v>
      </c>
      <c r="DD579" s="1311">
        <f>DD780</f>
        <v>194</v>
      </c>
      <c r="DE579" s="1311">
        <f>DF579-DD579</f>
        <v>84</v>
      </c>
      <c r="DF579" s="1311">
        <v>278</v>
      </c>
      <c r="DG579" s="1311">
        <f>DI579-DF579</f>
        <v>81</v>
      </c>
      <c r="DH579" s="1311">
        <f>DI579-DD579</f>
        <v>165</v>
      </c>
      <c r="DI579" s="1312">
        <v>359</v>
      </c>
      <c r="DJ579" s="1311">
        <f>DJ581*DJ557</f>
        <v>76.9999999999999</v>
      </c>
      <c r="DK579" s="1311">
        <f>DK581*DK557</f>
        <v>100</v>
      </c>
      <c r="DL579" s="1311">
        <f>DJ579+DK579</f>
        <v>177</v>
      </c>
      <c r="DM579" s="1311">
        <f>DN579-DL579</f>
        <v>72.0000000000001</v>
      </c>
      <c r="DN579" s="1311">
        <v>249</v>
      </c>
      <c r="DO579" s="1311" t="e">
        <f>DO581*DO557</f>
        <v>#REF!</v>
      </c>
      <c r="DP579" s="1311" t="e">
        <f>DO579+DM579</f>
        <v>#REF!</v>
      </c>
      <c r="DQ579" s="1312" t="e">
        <f>DP579+DL579</f>
        <v>#REF!</v>
      </c>
      <c r="DR579" s="1311"/>
      <c r="DS579" s="1311"/>
      <c r="DT579" s="1311"/>
      <c r="DU579" s="1311"/>
      <c r="DV579" s="1311"/>
      <c r="DW579" s="1311"/>
      <c r="DX579" s="1311"/>
      <c r="DY579" s="1312"/>
      <c r="DZ579" s="1311"/>
      <c r="EA579" s="1311"/>
      <c r="EB579" s="1311"/>
      <c r="EC579" s="1311"/>
      <c r="ED579" s="1311"/>
      <c r="EE579" s="1311"/>
      <c r="EF579" s="1311"/>
      <c r="EG579" s="1312"/>
      <c r="EH579" s="1311"/>
      <c r="EI579" s="1311"/>
      <c r="EJ579" s="1311"/>
      <c r="EK579" s="1311"/>
      <c r="EL579" s="1311"/>
      <c r="EM579" s="1311"/>
      <c r="EN579" s="1311"/>
      <c r="EO579" s="1312"/>
      <c r="EP579" s="1311"/>
      <c r="EQ579" s="1311"/>
      <c r="ER579" s="1311"/>
      <c r="ES579" s="1311"/>
      <c r="ET579" s="1311"/>
      <c r="EU579" s="1311"/>
      <c r="EV579" s="1311"/>
      <c r="IX579" s="1049"/>
      <c r="IY579" s="1049"/>
      <c r="IZ579" s="1049"/>
      <c r="JA579" s="1049"/>
      <c r="JB579" s="1049"/>
      <c r="JC579" s="1049"/>
      <c r="JD579" s="1412"/>
      <c r="JE579" s="1037"/>
      <c r="JF579" s="1037"/>
      <c r="JG579" s="1037"/>
      <c r="JH579" s="1037"/>
      <c r="JI579" s="1035"/>
      <c r="JJ579" s="1035"/>
      <c r="JK579" s="1035"/>
      <c r="JL579" s="1035"/>
      <c r="JM579" s="1035"/>
      <c r="JN579" s="1035"/>
      <c r="JO579" s="1035"/>
      <c r="JP579" s="1035"/>
      <c r="JQ579" s="1035"/>
      <c r="JR579" s="1035"/>
      <c r="JS579" s="1035"/>
      <c r="JT579" s="1035"/>
      <c r="JU579" s="1035"/>
      <c r="JV579" s="1035"/>
      <c r="JW579" s="1035"/>
      <c r="JX579" s="1035"/>
      <c r="JY579" s="1035"/>
      <c r="KP579" s="967"/>
    </row>
    <row r="580" spans="1:302">
      <c r="A580" s="1035" t="s">
        <v>142</v>
      </c>
      <c r="B580" s="1302" t="s">
        <v>173</v>
      </c>
      <c r="C580" s="1302" t="s">
        <v>173</v>
      </c>
      <c r="D580" s="1302" t="s">
        <v>173</v>
      </c>
      <c r="E580" s="1302" t="s">
        <v>173</v>
      </c>
      <c r="F580" s="1302" t="s">
        <v>173</v>
      </c>
      <c r="G580" s="1302" t="s">
        <v>173</v>
      </c>
      <c r="H580" s="1302" t="s">
        <v>173</v>
      </c>
      <c r="I580" s="1302" t="s">
        <v>173</v>
      </c>
      <c r="J580" s="1302">
        <f t="shared" ref="J580:AO580" si="4258">J579/B579-1</f>
        <v>0.566666666666667</v>
      </c>
      <c r="K580" s="1302">
        <f t="shared" si="4258"/>
        <v>-0.0689655172413793</v>
      </c>
      <c r="L580" s="1302">
        <f t="shared" si="4258"/>
        <v>0.147727272727273</v>
      </c>
      <c r="M580" s="1302">
        <f t="shared" si="4258"/>
        <v>0.396468699839487</v>
      </c>
      <c r="N580" s="1302">
        <f t="shared" si="4258"/>
        <v>0.250831669993347</v>
      </c>
      <c r="O580" s="1302">
        <f t="shared" si="4258"/>
        <v>0.15987460815047</v>
      </c>
      <c r="P580" s="1302">
        <f t="shared" si="4258"/>
        <v>0.316348195329087</v>
      </c>
      <c r="Q580" s="1302">
        <f t="shared" si="4258"/>
        <v>0.234906695938529</v>
      </c>
      <c r="R580" s="1302">
        <f t="shared" si="4258"/>
        <v>0.212765957446809</v>
      </c>
      <c r="S580" s="1302">
        <f t="shared" si="4258"/>
        <v>-0.0370370370370371</v>
      </c>
      <c r="T580" s="1302">
        <f t="shared" si="4258"/>
        <v>0.0792079207920791</v>
      </c>
      <c r="U580" s="1302">
        <f t="shared" si="4258"/>
        <v>-0.0919540229885059</v>
      </c>
      <c r="V580" s="1302">
        <f t="shared" si="4258"/>
        <v>0</v>
      </c>
      <c r="W580" s="1302">
        <f t="shared" si="4258"/>
        <v>0.391891891891892</v>
      </c>
      <c r="X580" s="1302">
        <f t="shared" si="4258"/>
        <v>0.0524193548387095</v>
      </c>
      <c r="Y580" s="1302">
        <f t="shared" si="4258"/>
        <v>0.0644444444444443</v>
      </c>
      <c r="Z580" s="1302">
        <f t="shared" si="4258"/>
        <v>6.35087719298246</v>
      </c>
      <c r="AA580" s="1302">
        <f t="shared" si="4258"/>
        <v>5.38461538461538</v>
      </c>
      <c r="AB580" s="1302">
        <f t="shared" si="4258"/>
        <v>5.88990825688073</v>
      </c>
      <c r="AC580" s="1302">
        <f t="shared" si="4258"/>
        <v>5.0253164556962</v>
      </c>
      <c r="AD580" s="1302">
        <f t="shared" si="4258"/>
        <v>5.52659574468085</v>
      </c>
      <c r="AE580" s="1302">
        <f t="shared" si="4258"/>
        <v>9.38834951456311</v>
      </c>
      <c r="AF580" s="1302">
        <f t="shared" si="4258"/>
        <v>6.74712643678161</v>
      </c>
      <c r="AG580" s="1302">
        <f t="shared" si="4258"/>
        <v>6.35699373695198</v>
      </c>
      <c r="AH580" s="1302">
        <f t="shared" si="4258"/>
        <v>-0.631245545189458</v>
      </c>
      <c r="AI580" s="1302">
        <f t="shared" si="4258"/>
        <v>-0.310757601106558</v>
      </c>
      <c r="AJ580" s="1302">
        <f t="shared" si="4258"/>
        <v>-0.489565122505673</v>
      </c>
      <c r="AK580" s="1302">
        <f t="shared" si="4258"/>
        <v>-0.671294295148139</v>
      </c>
      <c r="AL580" s="1302">
        <f t="shared" si="4258"/>
        <v>-0.560064785242278</v>
      </c>
      <c r="AM580" s="1302">
        <f t="shared" si="4258"/>
        <v>-0.813559353014398</v>
      </c>
      <c r="AN580" s="1302">
        <f t="shared" si="4258"/>
        <v>-0.746577980566981</v>
      </c>
      <c r="AO580" s="1302">
        <f t="shared" si="4258"/>
        <v>-0.63703390769295</v>
      </c>
      <c r="AP580" s="1302">
        <f t="shared" ref="AP580:BU580" si="4259">AP579/AH579-1</f>
        <v>0.582278481012658</v>
      </c>
      <c r="AQ580" s="1302">
        <f t="shared" si="4259"/>
        <v>0.188034188034188</v>
      </c>
      <c r="AR580" s="1302">
        <f t="shared" si="4259"/>
        <v>0.346938775510204</v>
      </c>
      <c r="AS580" s="1302">
        <f t="shared" si="4259"/>
        <v>0.1875</v>
      </c>
      <c r="AT580" s="1302">
        <f t="shared" si="4259"/>
        <v>0.300724637681159</v>
      </c>
      <c r="AU580" s="1302">
        <f t="shared" si="4259"/>
        <v>0.607843137254902</v>
      </c>
      <c r="AV580" s="1302">
        <f t="shared" si="4259"/>
        <v>0.351145038167939</v>
      </c>
      <c r="AW580" s="1302">
        <f t="shared" si="4259"/>
        <v>0.348623853211009</v>
      </c>
      <c r="AX580" s="1303">
        <f t="shared" si="4259"/>
        <v>0.232</v>
      </c>
      <c r="AY580" s="1302">
        <f t="shared" si="4259"/>
        <v>0.230215827338129</v>
      </c>
      <c r="AZ580" s="1302">
        <f t="shared" si="4259"/>
        <v>0.231060606060606</v>
      </c>
      <c r="BA580" s="1302">
        <f t="shared" si="4259"/>
        <v>0.189473684210526</v>
      </c>
      <c r="BB580" s="1302">
        <f t="shared" si="4259"/>
        <v>-0.20891364902507</v>
      </c>
      <c r="BC580" s="1302">
        <f t="shared" si="4259"/>
        <v>0.304878048780488</v>
      </c>
      <c r="BD580" s="1302">
        <f t="shared" si="4259"/>
        <v>0.242937853107345</v>
      </c>
      <c r="BE580" s="1304">
        <f t="shared" si="4259"/>
        <v>-0.113378684807256</v>
      </c>
      <c r="BF580" s="1302">
        <f t="shared" si="4259"/>
        <v>0.142857142857143</v>
      </c>
      <c r="BG580" s="1302">
        <f t="shared" si="4259"/>
        <v>0.187134502923977</v>
      </c>
      <c r="BH580" s="1302">
        <f t="shared" si="4259"/>
        <v>0.166153846153846</v>
      </c>
      <c r="BI580" s="1302">
        <f t="shared" si="4259"/>
        <v>0.212389380530974</v>
      </c>
      <c r="BJ580" s="1302">
        <f t="shared" si="4259"/>
        <v>0.816901408450704</v>
      </c>
      <c r="BK580" s="1302">
        <f t="shared" si="4259"/>
        <v>0.785046728971963</v>
      </c>
      <c r="BL580" s="1302">
        <f t="shared" si="4259"/>
        <v>0.490909090909091</v>
      </c>
      <c r="BM580" s="1302">
        <f t="shared" si="4259"/>
        <v>0.808184143222506</v>
      </c>
      <c r="BN580" s="1303">
        <f t="shared" si="4259"/>
        <v>-0.238636363636364</v>
      </c>
      <c r="BO580" s="1302">
        <f t="shared" si="4259"/>
        <v>-0.12807881773399</v>
      </c>
      <c r="BP580" s="1302">
        <f t="shared" si="4259"/>
        <v>-0.179419525065963</v>
      </c>
      <c r="BQ580" s="1302">
        <f t="shared" si="4259"/>
        <v>0.284671532846715</v>
      </c>
      <c r="BR580" s="1302">
        <f t="shared" si="4259"/>
        <v>-0.0562015503875969</v>
      </c>
      <c r="BS580" s="1302">
        <f t="shared" si="4259"/>
        <v>-0.214659685863874</v>
      </c>
      <c r="BT580" s="1302">
        <f t="shared" si="4259"/>
        <v>-0.00609756097560976</v>
      </c>
      <c r="BU580" s="1304">
        <f t="shared" si="4259"/>
        <v>-0.099009900990099</v>
      </c>
      <c r="BV580" s="1303" t="str">
        <f t="shared" ref="BV580:CN580" si="4260">BV781</f>
        <v>na</v>
      </c>
      <c r="BW580" s="1302" t="str">
        <f t="shared" si="4260"/>
        <v>na</v>
      </c>
      <c r="BX580" s="1302" t="str">
        <f t="shared" si="4260"/>
        <v>na</v>
      </c>
      <c r="BY580" s="1302" t="str">
        <f t="shared" si="4260"/>
        <v>na</v>
      </c>
      <c r="BZ580" s="1302" t="str">
        <f t="shared" si="4260"/>
        <v>na</v>
      </c>
      <c r="CA580" s="1302" t="str">
        <f t="shared" si="4260"/>
        <v>na</v>
      </c>
      <c r="CB580" s="1302" t="str">
        <f t="shared" si="4260"/>
        <v>na</v>
      </c>
      <c r="CC580" s="1304" t="str">
        <f t="shared" si="4260"/>
        <v>na</v>
      </c>
      <c r="CD580" s="1303">
        <f t="shared" si="4260"/>
        <v>0.238090604810462</v>
      </c>
      <c r="CE580" s="1302">
        <f t="shared" si="4260"/>
        <v>0.0856053529143406</v>
      </c>
      <c r="CF580" s="1302">
        <f t="shared" si="4260"/>
        <v>0.140230045311956</v>
      </c>
      <c r="CG580" s="1302">
        <f t="shared" si="4260"/>
        <v>-0.0702375541254993</v>
      </c>
      <c r="CH580" s="1302">
        <f t="shared" si="4260"/>
        <v>0.0627345277733735</v>
      </c>
      <c r="CI580" s="1302">
        <f t="shared" si="4260"/>
        <v>0.00292372761077475</v>
      </c>
      <c r="CJ580" s="1302">
        <f t="shared" si="4260"/>
        <v>-0.0367778787485397</v>
      </c>
      <c r="CK580" s="1304">
        <f t="shared" si="4260"/>
        <v>0.0485697959732445</v>
      </c>
      <c r="CL580" s="1303">
        <f t="shared" si="4260"/>
        <v>0.355311758326391</v>
      </c>
      <c r="CM580" s="1302">
        <f t="shared" si="4260"/>
        <v>0.184625236384739</v>
      </c>
      <c r="CN580" s="1302">
        <f t="shared" si="4260"/>
        <v>0.251017937713217</v>
      </c>
      <c r="CO580" s="1302">
        <f>CO579/CG579-1</f>
        <v>0.0855010935288818</v>
      </c>
      <c r="CP580" s="1302">
        <f>CP579/CH579-1</f>
        <v>0.197699091572177</v>
      </c>
      <c r="CQ580" s="1302">
        <f t="shared" ref="CQ580:CS581" si="4261">CQ781</f>
        <v>0.231178535039059</v>
      </c>
      <c r="CR580" s="1302">
        <f t="shared" si="4261"/>
        <v>1.63231699472533</v>
      </c>
      <c r="CS580" s="1304">
        <f t="shared" si="4261"/>
        <v>0.205282728554943</v>
      </c>
      <c r="CT580" s="1303">
        <f t="shared" ref="CT580:DA580" si="4262">CT579/CL579-1</f>
        <v>-0.0838349047304271</v>
      </c>
      <c r="CU580" s="1302">
        <f t="shared" si="4262"/>
        <v>-0.0962456184805102</v>
      </c>
      <c r="CV580" s="1302">
        <f t="shared" si="4262"/>
        <v>-0.0910157166314801</v>
      </c>
      <c r="CW580" s="1302">
        <f t="shared" si="4262"/>
        <v>-0.00445624348155882</v>
      </c>
      <c r="CX580" s="1302">
        <f t="shared" si="4262"/>
        <v>-0.0657439446366782</v>
      </c>
      <c r="CY580" s="1302">
        <f t="shared" si="4262"/>
        <v>0.0344827586206897</v>
      </c>
      <c r="CZ580" s="1302">
        <f t="shared" si="4262"/>
        <v>-0.149601681247251</v>
      </c>
      <c r="DA580" s="1304">
        <f t="shared" si="4262"/>
        <v>-0.0425531914893617</v>
      </c>
      <c r="DB580" s="1109">
        <f t="shared" ref="DB580:DI580" si="4263">DB579/CT579-1</f>
        <v>0.126582278481013</v>
      </c>
      <c r="DC580" s="1082">
        <f t="shared" si="4263"/>
        <v>-0.0186915887850467</v>
      </c>
      <c r="DD580" s="1082">
        <f t="shared" si="4263"/>
        <v>0.043010752688172</v>
      </c>
      <c r="DE580" s="1082">
        <f t="shared" si="4263"/>
        <v>0</v>
      </c>
      <c r="DF580" s="1082">
        <f t="shared" si="4263"/>
        <v>0.0296296296296297</v>
      </c>
      <c r="DG580" s="1082">
        <f t="shared" si="4263"/>
        <v>-0.1</v>
      </c>
      <c r="DH580" s="1082">
        <f t="shared" si="4263"/>
        <v>-0.0517241379310345</v>
      </c>
      <c r="DI580" s="1085">
        <f t="shared" si="4263"/>
        <v>-0.00277777777777777</v>
      </c>
      <c r="DJ580" s="1082">
        <f t="shared" ref="DJ580:DQ580" si="4264">DJ579/DB579-1</f>
        <v>-0.134831460674158</v>
      </c>
      <c r="DK580" s="1082">
        <f t="shared" si="4264"/>
        <v>-0.0476190476190477</v>
      </c>
      <c r="DL580" s="1082">
        <f t="shared" si="4264"/>
        <v>-0.0876288659793817</v>
      </c>
      <c r="DM580" s="1082">
        <f t="shared" si="4264"/>
        <v>-0.142857142857142</v>
      </c>
      <c r="DN580" s="1082">
        <f t="shared" si="4264"/>
        <v>-0.10431654676259</v>
      </c>
      <c r="DO580" s="1082" t="e">
        <f t="shared" si="4264"/>
        <v>#REF!</v>
      </c>
      <c r="DP580" s="1082" t="e">
        <f t="shared" si="4264"/>
        <v>#REF!</v>
      </c>
      <c r="DQ580" s="1085" t="e">
        <f t="shared" si="4264"/>
        <v>#REF!</v>
      </c>
      <c r="DR580" s="1082"/>
      <c r="DS580" s="1082"/>
      <c r="DT580" s="1082"/>
      <c r="DU580" s="1082"/>
      <c r="DV580" s="1082"/>
      <c r="DW580" s="1082"/>
      <c r="DX580" s="1082"/>
      <c r="DY580" s="1085"/>
      <c r="DZ580" s="1082"/>
      <c r="EA580" s="1082"/>
      <c r="EB580" s="1082"/>
      <c r="EC580" s="1082"/>
      <c r="ED580" s="1082"/>
      <c r="EE580" s="1082"/>
      <c r="EF580" s="1082"/>
      <c r="EG580" s="1085"/>
      <c r="EH580" s="1082"/>
      <c r="EI580" s="1082"/>
      <c r="EJ580" s="1082"/>
      <c r="EK580" s="1082"/>
      <c r="EL580" s="1082"/>
      <c r="EM580" s="1082"/>
      <c r="EN580" s="1082"/>
      <c r="EO580" s="1085"/>
      <c r="EP580" s="1082"/>
      <c r="EQ580" s="1082"/>
      <c r="ER580" s="1082"/>
      <c r="ES580" s="1082"/>
      <c r="ET580" s="1082"/>
      <c r="EU580" s="1082"/>
      <c r="EV580" s="1082"/>
      <c r="IX580" s="1049"/>
      <c r="IY580" s="1049"/>
      <c r="IZ580" s="1049"/>
      <c r="JA580" s="1049"/>
      <c r="JB580" s="1049"/>
      <c r="JC580" s="1049"/>
      <c r="JD580" s="1094"/>
      <c r="JE580" s="1037"/>
      <c r="JF580" s="1037"/>
      <c r="JG580" s="1037"/>
      <c r="JH580" s="1037"/>
      <c r="JI580" s="1035"/>
      <c r="JJ580" s="1035"/>
      <c r="JK580" s="1035"/>
      <c r="JL580" s="1035"/>
      <c r="JM580" s="1035"/>
      <c r="JN580" s="1035"/>
      <c r="JO580" s="1035"/>
      <c r="JP580" s="1035"/>
      <c r="JQ580" s="1035"/>
      <c r="JR580" s="1035"/>
      <c r="JS580" s="1035"/>
      <c r="JT580" s="1035"/>
      <c r="JU580" s="1035"/>
      <c r="JV580" s="1035"/>
      <c r="JW580" s="1035"/>
      <c r="JX580" s="1035"/>
      <c r="JY580" s="1035"/>
      <c r="KP580" s="1179"/>
    </row>
    <row r="581" spans="1:302">
      <c r="A581" s="1035" t="s">
        <v>631</v>
      </c>
      <c r="B581" s="1302">
        <v>0.030060120240481</v>
      </c>
      <c r="C581" s="1302">
        <v>0.0774365821094793</v>
      </c>
      <c r="D581" s="1302">
        <f>D579/D$570</f>
        <v>0.0503720663995421</v>
      </c>
      <c r="E581" s="1302">
        <v>0.0569469835466179</v>
      </c>
      <c r="F581" s="1302">
        <f>F579/F$570</f>
        <v>0.0529039070749736</v>
      </c>
      <c r="G581" s="1302">
        <v>0.0483919902912621</v>
      </c>
      <c r="H581" s="1302">
        <f>H579/H$570</f>
        <v>0.0572923002067875</v>
      </c>
      <c r="I581" s="1302">
        <f>I579/I$570</f>
        <v>0.0520541683332381</v>
      </c>
      <c r="J581" s="1302">
        <v>0.0392648287385129</v>
      </c>
      <c r="K581" s="1302">
        <v>0.0516746411483254</v>
      </c>
      <c r="L581" s="1302">
        <f>L579/L$570</f>
        <v>0.0450490633363069</v>
      </c>
      <c r="M581" s="1302">
        <v>0.0591032608695652</v>
      </c>
      <c r="N581" s="1302">
        <f>N579/N$570</f>
        <v>0.0506192784060312</v>
      </c>
      <c r="O581" s="1302">
        <v>0.03714859437751</v>
      </c>
      <c r="P581" s="1302">
        <f>P579/P$570</f>
        <v>0.0535290308655299</v>
      </c>
      <c r="Q581" s="1302">
        <f>Q579/Q$570</f>
        <v>0.0477707006369427</v>
      </c>
      <c r="R581" s="1302">
        <v>0.0332749562171629</v>
      </c>
      <c r="S581" s="1302">
        <v>0.0364400840925018</v>
      </c>
      <c r="T581" s="1302">
        <f>T579/T$570</f>
        <v>0.0347133757961783</v>
      </c>
      <c r="U581" s="1302">
        <v>0.0368470149253731</v>
      </c>
      <c r="V581" s="1302">
        <f>V579/V$570</f>
        <v>0.0355791067373202</v>
      </c>
      <c r="W581" s="1302">
        <v>0.0364214992927864</v>
      </c>
      <c r="X581" s="1302">
        <f>X579/X$570</f>
        <v>0.0400306748466258</v>
      </c>
      <c r="Y581" s="1302">
        <f>Y579/Y$570</f>
        <v>0.035756942370857</v>
      </c>
      <c r="Z581" s="1302">
        <v>0.136928104575163</v>
      </c>
      <c r="AA581" s="1302">
        <v>0.133601609657948</v>
      </c>
      <c r="AB581" s="1302">
        <f>AB579/AB$570</f>
        <v>0.135437330928765</v>
      </c>
      <c r="AC581" s="1302">
        <v>0.142301943198804</v>
      </c>
      <c r="AD581" s="1302">
        <f>AD579/AD$570</f>
        <v>0.138020247469066</v>
      </c>
      <c r="AE581" s="1302">
        <v>0.215335077480378</v>
      </c>
      <c r="AF581" s="1302">
        <f>AF579/AF$570</f>
        <v>0.178732431715725</v>
      </c>
      <c r="AG581" s="1302">
        <f>AG579/AG$570</f>
        <v>0.154907908039914</v>
      </c>
      <c r="AH581" s="1302">
        <v>0.0568754499640029</v>
      </c>
      <c r="AI581" s="1302">
        <v>0.0979571332886805</v>
      </c>
      <c r="AJ581" s="1302">
        <f>AJ579/AJ$570</f>
        <v>0.0758690098320043</v>
      </c>
      <c r="AK581" s="1302">
        <v>0.0507936507936508</v>
      </c>
      <c r="AL581" s="1302">
        <f>AL579/AL$570</f>
        <v>0.0663716814159292</v>
      </c>
      <c r="AM581" s="1302">
        <v>0.0426065162907268</v>
      </c>
      <c r="AN581" s="1302">
        <f>AN579/AN$570</f>
        <v>0.04860853432282</v>
      </c>
      <c r="AO581" s="1302">
        <f>AO579/AO$570</f>
        <v>0.0610598648093513</v>
      </c>
      <c r="AP581" s="1302">
        <v>0.0823994726433751</v>
      </c>
      <c r="AQ581" s="1302">
        <v>0.111378205128205</v>
      </c>
      <c r="AR581" s="1302">
        <f>AR579/AR$570</f>
        <v>0.0954792043399638</v>
      </c>
      <c r="AS581" s="1302">
        <v>0.0566487775790101</v>
      </c>
      <c r="AT581" s="1302">
        <f>AT579/AT$570</f>
        <v>0.0808194506978838</v>
      </c>
      <c r="AU581" s="1302">
        <v>0.0588657573582197</v>
      </c>
      <c r="AV581" s="1302">
        <f>AV579/AV$570</f>
        <v>0.0592171294747407</v>
      </c>
      <c r="AW581" s="1302">
        <f>AW579/AW$570</f>
        <v>0.0755784061696658</v>
      </c>
      <c r="AX581" s="1303">
        <v>0.0988446726572529</v>
      </c>
      <c r="AY581" s="1302">
        <v>0.125</v>
      </c>
      <c r="AZ581" s="1302">
        <f>AZ579/AZ$570</f>
        <v>0.111073137388927</v>
      </c>
      <c r="BA581" s="1302">
        <v>0.0631284916201117</v>
      </c>
      <c r="BB581" s="1302">
        <f>BB579/BB$570</f>
        <v>0.0899303356554781</v>
      </c>
      <c r="BC581" s="1302">
        <v>0.0767025089605735</v>
      </c>
      <c r="BD581" s="1302">
        <f>BD579/BD$570</f>
        <v>0.0716845878136201</v>
      </c>
      <c r="BE581" s="1304">
        <f>BE579/BE$570</f>
        <v>0.0858774434438831</v>
      </c>
      <c r="BF581" s="1302">
        <v>0.107448107448107</v>
      </c>
      <c r="BG581" s="1302">
        <v>0.134704711347047</v>
      </c>
      <c r="BH581" s="1302">
        <f>BH579/BH$570</f>
        <v>0.120508744038156</v>
      </c>
      <c r="BI581" s="1302">
        <v>0.0734190782422294</v>
      </c>
      <c r="BJ581" s="1302">
        <f>BJ579/BJ$570</f>
        <v>0.102973458391539</v>
      </c>
      <c r="BK581" s="1302">
        <v>0.126406353408339</v>
      </c>
      <c r="BL581" s="1302">
        <f>BL579/BL$570</f>
        <v>0.100305810397554</v>
      </c>
      <c r="BM581" s="1302">
        <f>BM579/BM$570</f>
        <v>0.108402330573444</v>
      </c>
      <c r="BN581" s="1303">
        <v>0.0802875973636908</v>
      </c>
      <c r="BO581" s="1302">
        <v>0.127155172413793</v>
      </c>
      <c r="BP581" s="1302">
        <f>BP579/BP$570</f>
        <v>0.101600784057498</v>
      </c>
      <c r="BQ581" s="1302">
        <v>0.0949811117107393</v>
      </c>
      <c r="BR581" s="1302">
        <f>BR579/BR$570</f>
        <v>0.0991045991045991</v>
      </c>
      <c r="BS581" s="1302">
        <v>0.110782865583456</v>
      </c>
      <c r="BT581" s="1302">
        <f>BT579/BT$570</f>
        <v>0.104086845466156</v>
      </c>
      <c r="BU581" s="1304">
        <f>BU579/BU$570</f>
        <v>0.101627313337588</v>
      </c>
      <c r="BV581" s="1303">
        <f t="shared" ref="BV581:CN581" si="4265">BV782</f>
        <v>0.443</v>
      </c>
      <c r="BW581" s="1302">
        <f t="shared" si="4265"/>
        <v>0.494956989247312</v>
      </c>
      <c r="BX581" s="1302">
        <f t="shared" si="4265"/>
        <v>0.475</v>
      </c>
      <c r="BY581" s="1302">
        <f t="shared" si="4265"/>
        <v>0.477725714285714</v>
      </c>
      <c r="BZ581" s="1302">
        <f t="shared" si="4265"/>
        <v>0.476</v>
      </c>
      <c r="CA581" s="1302">
        <f t="shared" si="4265"/>
        <v>0.451653846153846</v>
      </c>
      <c r="CB581" s="1302">
        <f t="shared" si="4265"/>
        <v>0.465438066465257</v>
      </c>
      <c r="CC581" s="1304">
        <f t="shared" si="4265"/>
        <v>0.47</v>
      </c>
      <c r="CD581" s="1303">
        <f t="shared" si="4265"/>
        <v>0.427</v>
      </c>
      <c r="CE581" s="1302">
        <f t="shared" si="4265"/>
        <v>0.494767326732673</v>
      </c>
      <c r="CF581" s="1302">
        <f t="shared" si="4265"/>
        <v>0.466</v>
      </c>
      <c r="CG581" s="1302">
        <f t="shared" si="4265"/>
        <v>0.439152542372881</v>
      </c>
      <c r="CH581" s="1302">
        <f t="shared" si="4265"/>
        <v>0.457</v>
      </c>
      <c r="CI581" s="1302">
        <f t="shared" si="4265"/>
        <v>0.390408839779005</v>
      </c>
      <c r="CJ581" s="1302">
        <f t="shared" si="4265"/>
        <v>0.414508379888268</v>
      </c>
      <c r="CK581" s="1304">
        <f t="shared" si="4265"/>
        <v>0.44</v>
      </c>
      <c r="CL581" s="1303">
        <f t="shared" si="4265"/>
        <v>0.429</v>
      </c>
      <c r="CM581" s="1302">
        <f t="shared" si="4265"/>
        <v>0.450171102661597</v>
      </c>
      <c r="CN581" s="1302">
        <f t="shared" si="4265"/>
        <v>0.441</v>
      </c>
      <c r="CO581" s="1302">
        <f>CO579/CO557</f>
        <v>0.437181347150259</v>
      </c>
      <c r="CP581" s="1302">
        <f>CP579/CP557</f>
        <v>0.439209726443769</v>
      </c>
      <c r="CQ581" s="1302">
        <f t="shared" si="4261"/>
        <v>0.439393939393939</v>
      </c>
      <c r="CR581" s="1302">
        <f t="shared" si="4261"/>
        <v>0.440969827586207</v>
      </c>
      <c r="CS581" s="1304">
        <f t="shared" si="4261"/>
        <v>0.439252336448598</v>
      </c>
      <c r="CT581" s="1303">
        <f t="shared" ref="CT581:DI581" si="4266">CT579/CT557</f>
        <v>0.438888888888889</v>
      </c>
      <c r="CU581" s="1302">
        <f t="shared" si="4266"/>
        <v>0.447698744769874</v>
      </c>
      <c r="CV581" s="1302">
        <f t="shared" si="4266"/>
        <v>0.443914081145585</v>
      </c>
      <c r="CW581" s="1302">
        <f t="shared" si="4266"/>
        <v>0.442105263157895</v>
      </c>
      <c r="CX581" s="1302">
        <f t="shared" si="4266"/>
        <v>0.443349753694581</v>
      </c>
      <c r="CY581" s="1302">
        <f t="shared" si="4266"/>
        <v>0.461538461538462</v>
      </c>
      <c r="CZ581" s="1302">
        <f t="shared" si="4266"/>
        <v>0.451948051948052</v>
      </c>
      <c r="DA581" s="1304">
        <f t="shared" si="4266"/>
        <v>0.447761194029851</v>
      </c>
      <c r="DB581" s="1109">
        <f t="shared" si="4266"/>
        <v>0.465968586387435</v>
      </c>
      <c r="DC581" s="1082">
        <f t="shared" si="4266"/>
        <v>0.464601769911504</v>
      </c>
      <c r="DD581" s="1082">
        <f t="shared" si="4266"/>
        <v>0.465227817745803</v>
      </c>
      <c r="DE581" s="1082">
        <f t="shared" si="4266"/>
        <v>0.426395939086294</v>
      </c>
      <c r="DF581" s="1082">
        <f t="shared" si="4266"/>
        <v>0.452768729641694</v>
      </c>
      <c r="DG581" s="1082">
        <f t="shared" si="4266"/>
        <v>0.409090909090909</v>
      </c>
      <c r="DH581" s="1082">
        <f t="shared" si="4266"/>
        <v>0.417721518987342</v>
      </c>
      <c r="DI581" s="1085">
        <f t="shared" si="4266"/>
        <v>0.442118226600985</v>
      </c>
      <c r="DJ581" s="1082">
        <v>0.396907216494845</v>
      </c>
      <c r="DK581" s="1082">
        <v>0.392156862745098</v>
      </c>
      <c r="DL581" s="1082">
        <f>DL579/DL557</f>
        <v>0.394209354120267</v>
      </c>
      <c r="DM581" s="1082">
        <f>DM579/DM557</f>
        <v>0.391304347826087</v>
      </c>
      <c r="DN581" s="1082">
        <f>DN579/DN557</f>
        <v>0.393364928909953</v>
      </c>
      <c r="DO581" s="1488">
        <v>0.38</v>
      </c>
      <c r="DP581" s="1082" t="e">
        <f>DP579/DP557</f>
        <v>#REF!</v>
      </c>
      <c r="DQ581" s="1085" t="e">
        <f>DQ579/DQ557</f>
        <v>#REF!</v>
      </c>
      <c r="DR581" s="1488"/>
      <c r="DS581" s="1488"/>
      <c r="DT581" s="1082"/>
      <c r="DU581" s="1488"/>
      <c r="DV581" s="1082"/>
      <c r="DW581" s="1488"/>
      <c r="DX581" s="1082"/>
      <c r="DY581" s="1085"/>
      <c r="DZ581" s="1488"/>
      <c r="EA581" s="1488"/>
      <c r="EB581" s="1082"/>
      <c r="EC581" s="1488"/>
      <c r="ED581" s="1082"/>
      <c r="EE581" s="1488"/>
      <c r="EF581" s="1082"/>
      <c r="EG581" s="1085"/>
      <c r="EH581" s="1488"/>
      <c r="EI581" s="1488"/>
      <c r="EJ581" s="1082"/>
      <c r="EK581" s="1488"/>
      <c r="EL581" s="1082"/>
      <c r="EM581" s="1488"/>
      <c r="EN581" s="1082"/>
      <c r="EO581" s="1085"/>
      <c r="EP581" s="1082"/>
      <c r="EQ581" s="1082"/>
      <c r="ER581" s="1082"/>
      <c r="ES581" s="1082"/>
      <c r="ET581" s="1082"/>
      <c r="EU581" s="1082"/>
      <c r="EV581" s="1082"/>
      <c r="IX581" s="1049"/>
      <c r="IY581" s="1049"/>
      <c r="IZ581" s="1049"/>
      <c r="JA581" s="1049"/>
      <c r="JB581" s="1049"/>
      <c r="JC581" s="1049"/>
      <c r="JD581" s="1094"/>
      <c r="JE581" s="1037"/>
      <c r="JF581" s="1037"/>
      <c r="JG581" s="1037"/>
      <c r="JH581" s="1037"/>
      <c r="JI581" s="1035"/>
      <c r="JJ581" s="1035"/>
      <c r="JK581" s="1035"/>
      <c r="JL581" s="1035"/>
      <c r="JM581" s="1035"/>
      <c r="JN581" s="1035"/>
      <c r="JO581" s="1035"/>
      <c r="JP581" s="1035"/>
      <c r="JQ581" s="1035"/>
      <c r="JR581" s="1035"/>
      <c r="JS581" s="1035"/>
      <c r="JT581" s="1035"/>
      <c r="JU581" s="1035"/>
      <c r="JV581" s="1035"/>
      <c r="JW581" s="1035"/>
      <c r="JX581" s="1035"/>
      <c r="JY581" s="1035"/>
      <c r="KP581" s="1179"/>
    </row>
    <row r="582" spans="1:302">
      <c r="A582" s="1306" t="s">
        <v>82</v>
      </c>
      <c r="B582" s="1307"/>
      <c r="C582" s="1307"/>
      <c r="D582" s="1307"/>
      <c r="E582" s="1307"/>
      <c r="F582" s="1307"/>
      <c r="G582" s="1307"/>
      <c r="H582" s="1307"/>
      <c r="I582" s="1307"/>
      <c r="J582" s="1307"/>
      <c r="K582" s="1307"/>
      <c r="L582" s="1307"/>
      <c r="M582" s="1307"/>
      <c r="N582" s="1307"/>
      <c r="O582" s="1307"/>
      <c r="P582" s="1307"/>
      <c r="Q582" s="1307"/>
      <c r="R582" s="1307"/>
      <c r="S582" s="1307"/>
      <c r="T582" s="1307"/>
      <c r="U582" s="1307"/>
      <c r="V582" s="1307"/>
      <c r="W582" s="1307"/>
      <c r="X582" s="1307"/>
      <c r="Y582" s="1307"/>
      <c r="Z582" s="1307"/>
      <c r="AA582" s="1307"/>
      <c r="AB582" s="1307"/>
      <c r="AC582" s="1307"/>
      <c r="AD582" s="1307"/>
      <c r="AE582" s="1307"/>
      <c r="AF582" s="1307"/>
      <c r="AG582" s="1307"/>
      <c r="AH582" s="1307"/>
      <c r="AI582" s="1307"/>
      <c r="AJ582" s="1307"/>
      <c r="AK582" s="1307"/>
      <c r="AL582" s="1307"/>
      <c r="AM582" s="1307"/>
      <c r="AN582" s="1307"/>
      <c r="AO582" s="1307"/>
      <c r="AP582" s="1307"/>
      <c r="AQ582" s="1307"/>
      <c r="AR582" s="1307"/>
      <c r="AS582" s="1307"/>
      <c r="AT582" s="1307"/>
      <c r="AU582" s="1307"/>
      <c r="AV582" s="1307"/>
      <c r="AW582" s="1307"/>
      <c r="AX582" s="1308"/>
      <c r="AY582" s="1307"/>
      <c r="AZ582" s="1307"/>
      <c r="BA582" s="1307"/>
      <c r="BB582" s="1307"/>
      <c r="BC582" s="1307"/>
      <c r="BD582" s="1307"/>
      <c r="BE582" s="1309"/>
      <c r="BF582" s="1307"/>
      <c r="BG582" s="1307"/>
      <c r="BH582" s="1307"/>
      <c r="BI582" s="1307"/>
      <c r="BJ582" s="1307"/>
      <c r="BK582" s="1307"/>
      <c r="BL582" s="1307"/>
      <c r="BM582" s="1307"/>
      <c r="BN582" s="1308"/>
      <c r="BO582" s="1307"/>
      <c r="BP582" s="1307"/>
      <c r="BQ582" s="1307"/>
      <c r="BR582" s="1307"/>
      <c r="BS582" s="1307"/>
      <c r="BT582" s="1307"/>
      <c r="BU582" s="1309"/>
      <c r="BV582" s="1308"/>
      <c r="BW582" s="1307"/>
      <c r="BX582" s="1307"/>
      <c r="BY582" s="1307"/>
      <c r="BZ582" s="1307"/>
      <c r="CA582" s="1307"/>
      <c r="CB582" s="1307"/>
      <c r="CC582" s="1309"/>
      <c r="CD582" s="1308" t="s">
        <v>173</v>
      </c>
      <c r="CE582" s="1307" t="s">
        <v>173</v>
      </c>
      <c r="CF582" s="1307" t="s">
        <v>173</v>
      </c>
      <c r="CG582" s="1307" t="s">
        <v>173</v>
      </c>
      <c r="CH582" s="1307" t="s">
        <v>173</v>
      </c>
      <c r="CI582" s="1307" t="s">
        <v>173</v>
      </c>
      <c r="CJ582" s="1307" t="s">
        <v>173</v>
      </c>
      <c r="CK582" s="1309" t="s">
        <v>173</v>
      </c>
      <c r="CL582" s="1308">
        <f t="shared" ref="CL582:CN584" si="4267">CL713</f>
        <v>162.078</v>
      </c>
      <c r="CM582" s="1307">
        <f t="shared" si="4267"/>
        <v>190.722</v>
      </c>
      <c r="CN582" s="1307">
        <f t="shared" si="4267"/>
        <v>352.8</v>
      </c>
      <c r="CO582" s="1307">
        <f>CP582-CN582</f>
        <v>283.2</v>
      </c>
      <c r="CP582" s="1307">
        <f>CP713</f>
        <v>636</v>
      </c>
      <c r="CQ582" s="1307">
        <f>CQ713</f>
        <v>229</v>
      </c>
      <c r="CR582" s="1307">
        <f>CR713</f>
        <v>352.8</v>
      </c>
      <c r="CS582" s="1309">
        <f>CS713</f>
        <v>865</v>
      </c>
      <c r="CT582" s="1308">
        <f>CT713</f>
        <v>193</v>
      </c>
      <c r="CU582" s="1307">
        <f>+CU713</f>
        <v>201</v>
      </c>
      <c r="CV582" s="1307">
        <f>+CU582+CT582</f>
        <v>394</v>
      </c>
      <c r="CW582" s="1307">
        <f>CX582-CV582</f>
        <v>292</v>
      </c>
      <c r="CX582" s="1307">
        <v>686</v>
      </c>
      <c r="CY582" s="1307">
        <f>DA582-CX582</f>
        <v>216</v>
      </c>
      <c r="CZ582" s="1307">
        <f>CY582+CW582</f>
        <v>508</v>
      </c>
      <c r="DA582" s="1309">
        <v>902</v>
      </c>
      <c r="DB582" s="1332">
        <v>168</v>
      </c>
      <c r="DC582" s="1311">
        <f>DC717</f>
        <v>193</v>
      </c>
      <c r="DD582" s="1311">
        <f>DD717</f>
        <v>361</v>
      </c>
      <c r="DE582" s="1311">
        <f>DF582-DD582</f>
        <v>242</v>
      </c>
      <c r="DF582" s="1311">
        <v>603</v>
      </c>
      <c r="DG582" s="1311">
        <f>DI582-DF582</f>
        <v>192</v>
      </c>
      <c r="DH582" s="1311">
        <f>DI582-DD582</f>
        <v>434</v>
      </c>
      <c r="DI582" s="1312">
        <v>795</v>
      </c>
      <c r="DJ582" s="1311">
        <f>DJ584*DJ562</f>
        <v>135</v>
      </c>
      <c r="DK582" s="1311">
        <f>DK584*DK562</f>
        <v>148</v>
      </c>
      <c r="DL582" s="1311">
        <f>DJ582+DK582</f>
        <v>283</v>
      </c>
      <c r="DM582" s="1311">
        <f>DN582-DL582</f>
        <v>204</v>
      </c>
      <c r="DN582" s="1311">
        <v>487</v>
      </c>
      <c r="DO582" s="1311" t="e">
        <f>DO584*DO562</f>
        <v>#REF!</v>
      </c>
      <c r="DP582" s="1311" t="e">
        <f>DO582+DM582</f>
        <v>#REF!</v>
      </c>
      <c r="DQ582" s="1312" t="e">
        <f>DP582+DL582</f>
        <v>#REF!</v>
      </c>
      <c r="DR582" s="1311"/>
      <c r="DS582" s="1311"/>
      <c r="DT582" s="1311"/>
      <c r="DU582" s="1311"/>
      <c r="DV582" s="1311"/>
      <c r="DW582" s="1311"/>
      <c r="DX582" s="1311"/>
      <c r="DY582" s="1312"/>
      <c r="DZ582" s="1311"/>
      <c r="EA582" s="1311"/>
      <c r="EB582" s="1311"/>
      <c r="EC582" s="1311"/>
      <c r="ED582" s="1311"/>
      <c r="EE582" s="1311"/>
      <c r="EF582" s="1311"/>
      <c r="EG582" s="1312"/>
      <c r="EH582" s="1311"/>
      <c r="EI582" s="1311"/>
      <c r="EJ582" s="1311"/>
      <c r="EK582" s="1311"/>
      <c r="EL582" s="1311"/>
      <c r="EM582" s="1311"/>
      <c r="EN582" s="1311"/>
      <c r="EO582" s="1312"/>
      <c r="EP582" s="1311"/>
      <c r="EQ582" s="1311"/>
      <c r="ER582" s="1311"/>
      <c r="ES582" s="1311"/>
      <c r="ET582" s="1311"/>
      <c r="EU582" s="1311"/>
      <c r="EV582" s="1311"/>
      <c r="IX582" s="1049"/>
      <c r="IY582" s="1049"/>
      <c r="IZ582" s="1049"/>
      <c r="JA582" s="1049"/>
      <c r="JB582" s="1049"/>
      <c r="JC582" s="1049"/>
      <c r="JD582" s="1412"/>
      <c r="JE582" s="1037"/>
      <c r="JF582" s="1037"/>
      <c r="JG582" s="1037"/>
      <c r="JH582" s="1037"/>
      <c r="JI582" s="1035"/>
      <c r="JJ582" s="1035"/>
      <c r="JK582" s="1035"/>
      <c r="JL582" s="1035"/>
      <c r="JM582" s="1035"/>
      <c r="JN582" s="1035"/>
      <c r="JO582" s="1035"/>
      <c r="JP582" s="1035"/>
      <c r="JQ582" s="1035"/>
      <c r="JR582" s="1035"/>
      <c r="JS582" s="1035"/>
      <c r="JT582" s="1035"/>
      <c r="JU582" s="1035"/>
      <c r="JV582" s="1035"/>
      <c r="JW582" s="1035"/>
      <c r="JX582" s="1035"/>
      <c r="JY582" s="1035"/>
      <c r="KP582" s="967"/>
    </row>
    <row r="583" spans="1:302">
      <c r="A583" s="1035" t="s">
        <v>142</v>
      </c>
      <c r="B583" s="1302"/>
      <c r="C583" s="1302"/>
      <c r="D583" s="1302"/>
      <c r="E583" s="1302"/>
      <c r="F583" s="1302"/>
      <c r="G583" s="1302"/>
      <c r="H583" s="1302"/>
      <c r="I583" s="1302"/>
      <c r="J583" s="1302"/>
      <c r="K583" s="1302"/>
      <c r="L583" s="1302"/>
      <c r="M583" s="1302"/>
      <c r="N583" s="1302"/>
      <c r="O583" s="1302"/>
      <c r="P583" s="1302"/>
      <c r="Q583" s="1302"/>
      <c r="R583" s="1302"/>
      <c r="S583" s="1302"/>
      <c r="T583" s="1302"/>
      <c r="U583" s="1302"/>
      <c r="V583" s="1302"/>
      <c r="W583" s="1302"/>
      <c r="X583" s="1302"/>
      <c r="Y583" s="1302"/>
      <c r="Z583" s="1302"/>
      <c r="AA583" s="1302"/>
      <c r="AB583" s="1302"/>
      <c r="AC583" s="1302"/>
      <c r="AD583" s="1302"/>
      <c r="AE583" s="1302"/>
      <c r="AF583" s="1302"/>
      <c r="AG583" s="1302"/>
      <c r="AH583" s="1302"/>
      <c r="AI583" s="1302"/>
      <c r="AJ583" s="1302"/>
      <c r="AK583" s="1302"/>
      <c r="AL583" s="1302"/>
      <c r="AM583" s="1302"/>
      <c r="AN583" s="1302"/>
      <c r="AO583" s="1302"/>
      <c r="AP583" s="1302"/>
      <c r="AQ583" s="1302"/>
      <c r="AR583" s="1302"/>
      <c r="AS583" s="1302"/>
      <c r="AT583" s="1302"/>
      <c r="AU583" s="1302"/>
      <c r="AV583" s="1302"/>
      <c r="AW583" s="1302"/>
      <c r="AX583" s="1303"/>
      <c r="AY583" s="1302"/>
      <c r="AZ583" s="1302"/>
      <c r="BA583" s="1302"/>
      <c r="BB583" s="1302"/>
      <c r="BC583" s="1302"/>
      <c r="BD583" s="1302"/>
      <c r="BE583" s="1304"/>
      <c r="BF583" s="1302"/>
      <c r="BG583" s="1302"/>
      <c r="BH583" s="1302"/>
      <c r="BI583" s="1302"/>
      <c r="BJ583" s="1302"/>
      <c r="BK583" s="1302"/>
      <c r="BL583" s="1302"/>
      <c r="BM583" s="1302"/>
      <c r="BN583" s="1303"/>
      <c r="BO583" s="1302"/>
      <c r="BP583" s="1302"/>
      <c r="BQ583" s="1302"/>
      <c r="BR583" s="1302"/>
      <c r="BS583" s="1302"/>
      <c r="BT583" s="1302"/>
      <c r="BU583" s="1304"/>
      <c r="BV583" s="1303"/>
      <c r="BW583" s="1302"/>
      <c r="BX583" s="1302"/>
      <c r="BY583" s="1302"/>
      <c r="BZ583" s="1302"/>
      <c r="CA583" s="1302"/>
      <c r="CB583" s="1302"/>
      <c r="CC583" s="1304"/>
      <c r="CD583" s="1408" t="s">
        <v>173</v>
      </c>
      <c r="CE583" s="1302" t="s">
        <v>173</v>
      </c>
      <c r="CF583" s="1302" t="s">
        <v>173</v>
      </c>
      <c r="CG583" s="1302" t="s">
        <v>173</v>
      </c>
      <c r="CH583" s="1302" t="s">
        <v>173</v>
      </c>
      <c r="CI583" s="1302" t="s">
        <v>173</v>
      </c>
      <c r="CJ583" s="1302" t="s">
        <v>173</v>
      </c>
      <c r="CK583" s="1304" t="s">
        <v>173</v>
      </c>
      <c r="CL583" s="1303" t="str">
        <f t="shared" si="4267"/>
        <v>na</v>
      </c>
      <c r="CM583" s="1302" t="str">
        <f t="shared" si="4267"/>
        <v>na</v>
      </c>
      <c r="CN583" s="1302" t="str">
        <f t="shared" si="4267"/>
        <v>na</v>
      </c>
      <c r="CO583" s="1302" t="str">
        <f>CO714</f>
        <v>na</v>
      </c>
      <c r="CP583" s="1302" t="str">
        <f>CP714</f>
        <v>na</v>
      </c>
      <c r="CQ583" s="1302" t="str">
        <f>CQ714</f>
        <v>na</v>
      </c>
      <c r="CR583" s="1302" t="str">
        <f>CR714</f>
        <v>na</v>
      </c>
      <c r="CS583" s="1304" t="str">
        <f>CS714</f>
        <v>na</v>
      </c>
      <c r="CT583" s="1303">
        <f t="shared" ref="CT583:DA583" si="4268">CT582/CL582-1</f>
        <v>0.19078468391762</v>
      </c>
      <c r="CU583" s="1302">
        <f t="shared" si="4268"/>
        <v>0.0538899550130556</v>
      </c>
      <c r="CV583" s="1302">
        <f t="shared" si="4268"/>
        <v>0.116780045351474</v>
      </c>
      <c r="CW583" s="1302">
        <f t="shared" si="4268"/>
        <v>0.0310734463276836</v>
      </c>
      <c r="CX583" s="1302">
        <f t="shared" si="4268"/>
        <v>0.078616352201258</v>
      </c>
      <c r="CY583" s="1302">
        <f t="shared" si="4268"/>
        <v>-0.0567685589519651</v>
      </c>
      <c r="CZ583" s="1302">
        <f t="shared" si="4268"/>
        <v>0.439909297052154</v>
      </c>
      <c r="DA583" s="1304">
        <f t="shared" si="4268"/>
        <v>0.0427745664739885</v>
      </c>
      <c r="DB583" s="1109">
        <f t="shared" ref="DB583:DI583" si="4269">DB582/CT582-1</f>
        <v>-0.129533678756477</v>
      </c>
      <c r="DC583" s="1082">
        <f t="shared" si="4269"/>
        <v>-0.0398009950248757</v>
      </c>
      <c r="DD583" s="1082">
        <f t="shared" si="4269"/>
        <v>-0.0837563451776649</v>
      </c>
      <c r="DE583" s="1082">
        <f t="shared" si="4269"/>
        <v>-0.171232876712329</v>
      </c>
      <c r="DF583" s="1082">
        <f t="shared" si="4269"/>
        <v>-0.120991253644315</v>
      </c>
      <c r="DG583" s="1082">
        <f t="shared" si="4269"/>
        <v>-0.111111111111111</v>
      </c>
      <c r="DH583" s="1082">
        <f t="shared" si="4269"/>
        <v>-0.145669291338583</v>
      </c>
      <c r="DI583" s="1085">
        <f t="shared" si="4269"/>
        <v>-0.118625277161863</v>
      </c>
      <c r="DJ583" s="1082">
        <f t="shared" ref="DJ583:DQ583" si="4270">DJ582/DB582-1</f>
        <v>-0.196428571428571</v>
      </c>
      <c r="DK583" s="1082">
        <f t="shared" si="4270"/>
        <v>-0.233160621761659</v>
      </c>
      <c r="DL583" s="1082">
        <f t="shared" si="4270"/>
        <v>-0.21606648199446</v>
      </c>
      <c r="DM583" s="1082">
        <f t="shared" si="4270"/>
        <v>-0.15702479338843</v>
      </c>
      <c r="DN583" s="1082">
        <f t="shared" si="4270"/>
        <v>-0.192371475953566</v>
      </c>
      <c r="DO583" s="1082" t="e">
        <f t="shared" si="4270"/>
        <v>#REF!</v>
      </c>
      <c r="DP583" s="1082" t="e">
        <f t="shared" si="4270"/>
        <v>#REF!</v>
      </c>
      <c r="DQ583" s="1085" t="e">
        <f t="shared" si="4270"/>
        <v>#REF!</v>
      </c>
      <c r="DR583" s="1082"/>
      <c r="DS583" s="1082"/>
      <c r="DT583" s="1082"/>
      <c r="DU583" s="1082"/>
      <c r="DV583" s="1082"/>
      <c r="DW583" s="1082"/>
      <c r="DX583" s="1082"/>
      <c r="DY583" s="1085"/>
      <c r="DZ583" s="1082"/>
      <c r="EA583" s="1082"/>
      <c r="EB583" s="1082"/>
      <c r="EC583" s="1082"/>
      <c r="ED583" s="1082"/>
      <c r="EE583" s="1082"/>
      <c r="EF583" s="1082"/>
      <c r="EG583" s="1085"/>
      <c r="EH583" s="1082"/>
      <c r="EI583" s="1082"/>
      <c r="EJ583" s="1082"/>
      <c r="EK583" s="1082"/>
      <c r="EL583" s="1082"/>
      <c r="EM583" s="1082"/>
      <c r="EN583" s="1082"/>
      <c r="EO583" s="1085"/>
      <c r="EP583" s="1082"/>
      <c r="EQ583" s="1082"/>
      <c r="ER583" s="1082"/>
      <c r="ES583" s="1082"/>
      <c r="ET583" s="1082"/>
      <c r="EU583" s="1082"/>
      <c r="EV583" s="1082"/>
      <c r="IX583" s="1049"/>
      <c r="IY583" s="1049"/>
      <c r="IZ583" s="1049"/>
      <c r="JA583" s="1049"/>
      <c r="JB583" s="1049"/>
      <c r="JC583" s="1049"/>
      <c r="JD583" s="1094"/>
      <c r="JE583" s="1037"/>
      <c r="JF583" s="1037"/>
      <c r="JG583" s="1037"/>
      <c r="JH583" s="1037"/>
      <c r="JI583" s="1035"/>
      <c r="JJ583" s="1035"/>
      <c r="JK583" s="1035"/>
      <c r="JL583" s="1035"/>
      <c r="JM583" s="1035"/>
      <c r="JN583" s="1035"/>
      <c r="JO583" s="1035"/>
      <c r="JP583" s="1035"/>
      <c r="JQ583" s="1035"/>
      <c r="JR583" s="1035"/>
      <c r="JS583" s="1035"/>
      <c r="JT583" s="1035"/>
      <c r="JU583" s="1035"/>
      <c r="JV583" s="1035"/>
      <c r="JW583" s="1035"/>
      <c r="JX583" s="1035"/>
      <c r="JY583" s="1035"/>
      <c r="KP583" s="1179"/>
    </row>
    <row r="584" spans="1:302">
      <c r="A584" s="1035" t="s">
        <v>631</v>
      </c>
      <c r="B584" s="1302"/>
      <c r="C584" s="1302"/>
      <c r="D584" s="1302"/>
      <c r="E584" s="1302"/>
      <c r="F584" s="1302"/>
      <c r="G584" s="1302"/>
      <c r="H584" s="1302">
        <f>H582/H$570</f>
        <v>0</v>
      </c>
      <c r="I584" s="1302"/>
      <c r="J584" s="1302"/>
      <c r="K584" s="1302"/>
      <c r="L584" s="1302"/>
      <c r="M584" s="1302"/>
      <c r="N584" s="1302"/>
      <c r="O584" s="1302"/>
      <c r="P584" s="1302">
        <f>P582/P$570</f>
        <v>0</v>
      </c>
      <c r="Q584" s="1302"/>
      <c r="R584" s="1302"/>
      <c r="S584" s="1302"/>
      <c r="T584" s="1302"/>
      <c r="U584" s="1302"/>
      <c r="V584" s="1302"/>
      <c r="W584" s="1302"/>
      <c r="X584" s="1302">
        <f>X582/X$570</f>
        <v>0</v>
      </c>
      <c r="Y584" s="1302"/>
      <c r="Z584" s="1302"/>
      <c r="AA584" s="1302"/>
      <c r="AB584" s="1302"/>
      <c r="AC584" s="1302"/>
      <c r="AD584" s="1302"/>
      <c r="AE584" s="1302"/>
      <c r="AF584" s="1302">
        <f>AF582/AF$570</f>
        <v>0</v>
      </c>
      <c r="AG584" s="1302"/>
      <c r="AH584" s="1302"/>
      <c r="AI584" s="1302"/>
      <c r="AJ584" s="1302"/>
      <c r="AK584" s="1302"/>
      <c r="AL584" s="1302"/>
      <c r="AM584" s="1302"/>
      <c r="AN584" s="1302">
        <f>AN582/AN$570</f>
        <v>0</v>
      </c>
      <c r="AO584" s="1302"/>
      <c r="AP584" s="1302"/>
      <c r="AQ584" s="1302"/>
      <c r="AR584" s="1302"/>
      <c r="AS584" s="1302"/>
      <c r="AT584" s="1302"/>
      <c r="AU584" s="1302"/>
      <c r="AV584" s="1302">
        <f>AV582/AV$570</f>
        <v>0</v>
      </c>
      <c r="AW584" s="1302"/>
      <c r="AX584" s="1303"/>
      <c r="AY584" s="1302"/>
      <c r="AZ584" s="1302"/>
      <c r="BA584" s="1302"/>
      <c r="BB584" s="1302"/>
      <c r="BC584" s="1302"/>
      <c r="BD584" s="1302">
        <f>BD582/BD$570</f>
        <v>0</v>
      </c>
      <c r="BE584" s="1304"/>
      <c r="BF584" s="1302"/>
      <c r="BG584" s="1302"/>
      <c r="BH584" s="1302"/>
      <c r="BI584" s="1302"/>
      <c r="BJ584" s="1302"/>
      <c r="BK584" s="1302"/>
      <c r="BL584" s="1302">
        <f>BL582/BL$570</f>
        <v>0</v>
      </c>
      <c r="BM584" s="1302"/>
      <c r="BN584" s="1303"/>
      <c r="BO584" s="1302"/>
      <c r="BP584" s="1302"/>
      <c r="BQ584" s="1302"/>
      <c r="BR584" s="1302"/>
      <c r="BS584" s="1302"/>
      <c r="BT584" s="1302"/>
      <c r="BU584" s="1304"/>
      <c r="BV584" s="1303"/>
      <c r="BW584" s="1302"/>
      <c r="BX584" s="1302"/>
      <c r="BY584" s="1302"/>
      <c r="BZ584" s="1302"/>
      <c r="CA584" s="1302"/>
      <c r="CB584" s="1302"/>
      <c r="CC584" s="1304"/>
      <c r="CD584" s="1408" t="s">
        <v>173</v>
      </c>
      <c r="CE584" s="1302" t="s">
        <v>173</v>
      </c>
      <c r="CF584" s="1302" t="s">
        <v>173</v>
      </c>
      <c r="CG584" s="1302" t="s">
        <v>173</v>
      </c>
      <c r="CH584" s="1302" t="s">
        <v>173</v>
      </c>
      <c r="CI584" s="1302" t="s">
        <v>173</v>
      </c>
      <c r="CJ584" s="1302" t="s">
        <v>173</v>
      </c>
      <c r="CK584" s="1304" t="s">
        <v>173</v>
      </c>
      <c r="CL584" s="1303">
        <f t="shared" si="4267"/>
        <v>0.357</v>
      </c>
      <c r="CM584" s="1302">
        <f t="shared" si="4267"/>
        <v>0.320003355704698</v>
      </c>
      <c r="CN584" s="1302">
        <f t="shared" si="4267"/>
        <v>0.336</v>
      </c>
      <c r="CO584" s="1302">
        <f>CO582/CO562</f>
        <v>0.363535578788562</v>
      </c>
      <c r="CP584" s="1302">
        <f>CP582/CP562</f>
        <v>0.347921225382932</v>
      </c>
      <c r="CQ584" s="1302">
        <f>CQ715</f>
        <v>0.355038759689922</v>
      </c>
      <c r="CR584" s="1302">
        <f>CR715</f>
        <v>0.247752808988764</v>
      </c>
      <c r="CS584" s="1304">
        <f>CS715</f>
        <v>0.349636216653193</v>
      </c>
      <c r="CT584" s="1303">
        <f t="shared" ref="CT584:DI584" si="4271">CT582/CT562</f>
        <v>0.368320610687023</v>
      </c>
      <c r="CU584" s="1302">
        <f t="shared" si="4271"/>
        <v>0.39112667834209</v>
      </c>
      <c r="CV584" s="1302">
        <f t="shared" si="4271"/>
        <v>0.379612679448887</v>
      </c>
      <c r="CW584" s="1302">
        <f t="shared" si="4271"/>
        <v>0.401595378902489</v>
      </c>
      <c r="CX584" s="1302">
        <f t="shared" si="4271"/>
        <v>0.388668555240793</v>
      </c>
      <c r="CY584" s="1302">
        <f t="shared" si="4271"/>
        <v>0.380281690140845</v>
      </c>
      <c r="CZ584" s="1302">
        <f t="shared" si="4271"/>
        <v>0.392247702880087</v>
      </c>
      <c r="DA584" s="1304">
        <f t="shared" si="4271"/>
        <v>0.386626660951565</v>
      </c>
      <c r="DB584" s="1109">
        <f t="shared" si="4271"/>
        <v>0.370044052863436</v>
      </c>
      <c r="DC584" s="1082">
        <f t="shared" si="4271"/>
        <v>0.411513859275053</v>
      </c>
      <c r="DD584" s="1082">
        <f t="shared" si="4271"/>
        <v>0.391115926327194</v>
      </c>
      <c r="DE584" s="1082">
        <f t="shared" si="4271"/>
        <v>0.364457831325301</v>
      </c>
      <c r="DF584" s="1082">
        <f t="shared" si="4271"/>
        <v>0.379962192816635</v>
      </c>
      <c r="DG584" s="1082">
        <f t="shared" si="4271"/>
        <v>0.342245989304813</v>
      </c>
      <c r="DH584" s="1082">
        <f t="shared" si="4271"/>
        <v>0.354285714285714</v>
      </c>
      <c r="DI584" s="1085">
        <f t="shared" si="4271"/>
        <v>0.370111731843575</v>
      </c>
      <c r="DJ584" s="1082">
        <v>0.294759825327511</v>
      </c>
      <c r="DK584" s="1082">
        <v>0.329621380846325</v>
      </c>
      <c r="DL584" s="1082">
        <f>DL582/DL562</f>
        <v>0.312017640573319</v>
      </c>
      <c r="DM584" s="1082">
        <f>DM582/DM562</f>
        <v>0.345177664974619</v>
      </c>
      <c r="DN584" s="1082">
        <f>DN582/DN562</f>
        <v>0.325100133511348</v>
      </c>
      <c r="DO584" s="1488">
        <v>0.34</v>
      </c>
      <c r="DP584" s="1082" t="e">
        <f>DP582/DP562</f>
        <v>#REF!</v>
      </c>
      <c r="DQ584" s="1085" t="e">
        <f>DQ582/DQ562</f>
        <v>#REF!</v>
      </c>
      <c r="DR584" s="1488"/>
      <c r="DS584" s="1488"/>
      <c r="DT584" s="1082"/>
      <c r="DU584" s="1488"/>
      <c r="DV584" s="1082"/>
      <c r="DW584" s="1488"/>
      <c r="DX584" s="1082"/>
      <c r="DY584" s="1085"/>
      <c r="DZ584" s="1488"/>
      <c r="EA584" s="1488"/>
      <c r="EB584" s="1082"/>
      <c r="EC584" s="1488"/>
      <c r="ED584" s="1082"/>
      <c r="EE584" s="1488"/>
      <c r="EF584" s="1082"/>
      <c r="EG584" s="1085"/>
      <c r="EH584" s="1488"/>
      <c r="EI584" s="1488"/>
      <c r="EJ584" s="1082"/>
      <c r="EK584" s="1488"/>
      <c r="EL584" s="1082"/>
      <c r="EM584" s="1488"/>
      <c r="EN584" s="1082"/>
      <c r="EO584" s="1085"/>
      <c r="EP584" s="1082"/>
      <c r="EQ584" s="1082"/>
      <c r="ER584" s="1082"/>
      <c r="ES584" s="1082"/>
      <c r="ET584" s="1082"/>
      <c r="EU584" s="1082"/>
      <c r="EV584" s="1082"/>
      <c r="IX584" s="1049"/>
      <c r="IY584" s="1049"/>
      <c r="IZ584" s="1049"/>
      <c r="JA584" s="1049"/>
      <c r="JB584" s="1049"/>
      <c r="JC584" s="1049"/>
      <c r="JD584" s="1094"/>
      <c r="JE584" s="1037"/>
      <c r="JF584" s="1037"/>
      <c r="JG584" s="1037"/>
      <c r="JH584" s="1037"/>
      <c r="JI584" s="1035"/>
      <c r="JJ584" s="1035"/>
      <c r="JK584" s="1035"/>
      <c r="JL584" s="1035"/>
      <c r="JM584" s="1035"/>
      <c r="JN584" s="1035"/>
      <c r="JO584" s="1035"/>
      <c r="JP584" s="1035"/>
      <c r="JQ584" s="1035"/>
      <c r="JR584" s="1035"/>
      <c r="JS584" s="1035"/>
      <c r="JT584" s="1035"/>
      <c r="JU584" s="1035"/>
      <c r="JV584" s="1035"/>
      <c r="JW584" s="1035"/>
      <c r="JX584" s="1035"/>
      <c r="JY584" s="1035"/>
      <c r="KP584" s="1179"/>
    </row>
    <row r="585" spans="1:302">
      <c r="A585" s="1306" t="s">
        <v>64</v>
      </c>
      <c r="B585" s="1307"/>
      <c r="C585" s="1307"/>
      <c r="D585" s="1307"/>
      <c r="E585" s="1307"/>
      <c r="F585" s="1307"/>
      <c r="G585" s="1307"/>
      <c r="H585" s="1307"/>
      <c r="I585" s="1307"/>
      <c r="J585" s="1307"/>
      <c r="K585" s="1307"/>
      <c r="L585" s="1307"/>
      <c r="M585" s="1307"/>
      <c r="N585" s="1307"/>
      <c r="O585" s="1307"/>
      <c r="P585" s="1307"/>
      <c r="Q585" s="1307"/>
      <c r="R585" s="1307"/>
      <c r="S585" s="1307"/>
      <c r="T585" s="1307"/>
      <c r="U585" s="1307"/>
      <c r="V585" s="1307"/>
      <c r="W585" s="1307"/>
      <c r="X585" s="1307"/>
      <c r="Y585" s="1307"/>
      <c r="Z585" s="1307">
        <v>179.9776</v>
      </c>
      <c r="AA585" s="1307">
        <v>125.2685</v>
      </c>
      <c r="AB585" s="1307">
        <f>Z585+AA585</f>
        <v>305.2461</v>
      </c>
      <c r="AC585" s="1307">
        <v>197.8731</v>
      </c>
      <c r="AD585" s="1307">
        <f>AB585+AC585</f>
        <v>503.1192</v>
      </c>
      <c r="AE585" s="1307">
        <v>247.21355</v>
      </c>
      <c r="AF585" s="1307">
        <f>AC585+AE585</f>
        <v>445.08665</v>
      </c>
      <c r="AG585" s="1307">
        <f>AD585+AE585</f>
        <v>750.33275</v>
      </c>
      <c r="AH585" s="1307">
        <v>15</v>
      </c>
      <c r="AI585" s="1307">
        <v>15.4000000000001</v>
      </c>
      <c r="AJ585" s="1307">
        <f>AH585+AI585</f>
        <v>30.4000000000001</v>
      </c>
      <c r="AK585" s="1307">
        <v>11</v>
      </c>
      <c r="AL585" s="1307">
        <f>AJ585+AK585</f>
        <v>41.4000000000001</v>
      </c>
      <c r="AM585" s="1307">
        <v>17</v>
      </c>
      <c r="AN585" s="1307">
        <f>AK585+AM585</f>
        <v>28</v>
      </c>
      <c r="AO585" s="1307">
        <f>AL585+AM585</f>
        <v>58.4000000000001</v>
      </c>
      <c r="AP585" s="1307">
        <v>26</v>
      </c>
      <c r="AQ585" s="1307">
        <v>14</v>
      </c>
      <c r="AR585" s="1307">
        <f>AP585+AQ585</f>
        <v>40</v>
      </c>
      <c r="AS585" s="1307">
        <v>18</v>
      </c>
      <c r="AT585" s="1307">
        <f>AR585+AS585</f>
        <v>58</v>
      </c>
      <c r="AU585" s="1307">
        <v>16</v>
      </c>
      <c r="AV585" s="1307">
        <f>AS585+AU585</f>
        <v>34</v>
      </c>
      <c r="AW585" s="1307">
        <f>AT585+AU585</f>
        <v>74</v>
      </c>
      <c r="AX585" s="1308">
        <v>22</v>
      </c>
      <c r="AY585" s="1307">
        <v>22</v>
      </c>
      <c r="AZ585" s="1307">
        <f>AX585+AY585</f>
        <v>44</v>
      </c>
      <c r="BA585" s="1307">
        <v>19</v>
      </c>
      <c r="BB585" s="1307">
        <f>AY585+BA585</f>
        <v>41</v>
      </c>
      <c r="BC585" s="1307">
        <v>23</v>
      </c>
      <c r="BD585" s="1307">
        <f>BA585+BC585</f>
        <v>42</v>
      </c>
      <c r="BE585" s="1309">
        <f>BB585+BC585</f>
        <v>64</v>
      </c>
      <c r="BF585" s="1307">
        <v>9</v>
      </c>
      <c r="BG585" s="1307">
        <v>9</v>
      </c>
      <c r="BH585" s="1307">
        <f>BF585+BG585</f>
        <v>18</v>
      </c>
      <c r="BI585" s="1307">
        <v>1</v>
      </c>
      <c r="BJ585" s="1307">
        <f>BH585+BI585</f>
        <v>19</v>
      </c>
      <c r="BK585" s="1307">
        <v>5</v>
      </c>
      <c r="BL585" s="1307">
        <f>BI585+BK585</f>
        <v>6</v>
      </c>
      <c r="BM585" s="1307">
        <f>BJ585+BK585</f>
        <v>24</v>
      </c>
      <c r="BN585" s="1308">
        <v>6</v>
      </c>
      <c r="BO585" s="1307">
        <v>11</v>
      </c>
      <c r="BP585" s="1307">
        <f>BN585+BO585</f>
        <v>17</v>
      </c>
      <c r="BQ585" s="1307">
        <v>3</v>
      </c>
      <c r="BR585" s="1307">
        <f>BP585+BQ585</f>
        <v>20</v>
      </c>
      <c r="BS585" s="1307">
        <v>3</v>
      </c>
      <c r="BT585" s="1307">
        <f>BQ585+BS585</f>
        <v>6</v>
      </c>
      <c r="BU585" s="1309">
        <f>BR585+BS585</f>
        <v>23</v>
      </c>
      <c r="BV585" s="1308"/>
      <c r="BW585" s="1307"/>
      <c r="BX585" s="1307"/>
      <c r="BY585" s="1307"/>
      <c r="BZ585" s="1307"/>
      <c r="CA585" s="1307"/>
      <c r="CB585" s="1307"/>
      <c r="CC585" s="1309"/>
      <c r="CD585" s="1308">
        <f t="shared" ref="CD585:CS585" si="4272">CD588-CD579-CD576</f>
        <v>28.225</v>
      </c>
      <c r="CE585" s="1307">
        <f t="shared" si="4272"/>
        <v>71.5689999999998</v>
      </c>
      <c r="CF585" s="1307">
        <f t="shared" si="4272"/>
        <v>99.7939999999999</v>
      </c>
      <c r="CG585" s="1307">
        <f t="shared" si="4272"/>
        <v>55.0939999999998</v>
      </c>
      <c r="CH585" s="1307">
        <f t="shared" si="4272"/>
        <v>154.888</v>
      </c>
      <c r="CI585" s="1307">
        <f t="shared" si="4272"/>
        <v>76.1520000000003</v>
      </c>
      <c r="CJ585" s="1307">
        <f t="shared" si="4272"/>
        <v>131.246</v>
      </c>
      <c r="CK585" s="1309">
        <f t="shared" si="4272"/>
        <v>231.04</v>
      </c>
      <c r="CL585" s="1308">
        <f t="shared" si="4272"/>
        <v>192.771</v>
      </c>
      <c r="CM585" s="1307">
        <f t="shared" si="4272"/>
        <v>256.605</v>
      </c>
      <c r="CN585" s="1307">
        <f t="shared" si="4272"/>
        <v>449.376</v>
      </c>
      <c r="CO585" s="1307">
        <f t="shared" si="4272"/>
        <v>317.624</v>
      </c>
      <c r="CP585" s="1307">
        <f t="shared" si="4272"/>
        <v>767</v>
      </c>
      <c r="CQ585" s="1307">
        <f t="shared" si="4272"/>
        <v>293</v>
      </c>
      <c r="CR585" s="1307">
        <f t="shared" si="4272"/>
        <v>562.40591075</v>
      </c>
      <c r="CS585" s="1309">
        <f t="shared" si="4272"/>
        <v>1060</v>
      </c>
      <c r="CT585" s="1308">
        <f>CT588-CT582-CT579-CT576</f>
        <v>57</v>
      </c>
      <c r="CU585" s="1307">
        <f>+CU588-CU582-CU579-CU576</f>
        <v>76</v>
      </c>
      <c r="CV585" s="1307">
        <f>+CT585+CU585</f>
        <v>133</v>
      </c>
      <c r="CW585" s="1307">
        <f>+CX585-CV585</f>
        <v>61</v>
      </c>
      <c r="CX585" s="1307">
        <f>+CX588-CX582-CX579-CX576</f>
        <v>194</v>
      </c>
      <c r="CY585" s="1307">
        <f>+CY588-CY582-CY579-CY576</f>
        <v>56</v>
      </c>
      <c r="CZ585" s="1307">
        <f>+CZ588-CZ582-CZ579-CZ576</f>
        <v>117</v>
      </c>
      <c r="DA585" s="1309">
        <f>+DA588-DA582-DA579-DA576</f>
        <v>250</v>
      </c>
      <c r="DB585" s="1332">
        <f>DB588-DB582-DB579-DB576</f>
        <v>67</v>
      </c>
      <c r="DC585" s="1311">
        <f>DC588-DC582-DC579-DC576</f>
        <v>-7</v>
      </c>
      <c r="DD585" s="1311">
        <f>DD588-DD582-DD579-DD576</f>
        <v>-1</v>
      </c>
      <c r="DE585" s="1311">
        <f>DF585-DD585</f>
        <v>37</v>
      </c>
      <c r="DF585" s="1311">
        <f>DF588-DF582-DF579-DF576</f>
        <v>36</v>
      </c>
      <c r="DG585" s="1311">
        <f>DI585-DF585</f>
        <v>264</v>
      </c>
      <c r="DH585" s="1311">
        <f>DI585-DD585</f>
        <v>301</v>
      </c>
      <c r="DI585" s="1312">
        <v>300</v>
      </c>
      <c r="DJ585" s="1311">
        <f>DJ587*DJ570</f>
        <v>50.9999999999999</v>
      </c>
      <c r="DK585" s="1311">
        <f>DK587*DK570</f>
        <v>45</v>
      </c>
      <c r="DL585" s="1311">
        <f>DJ585+DK585</f>
        <v>95.9999999999999</v>
      </c>
      <c r="DM585" s="1311">
        <f>DM588-DM582-DM579-DM576</f>
        <v>36</v>
      </c>
      <c r="DN585" s="1311">
        <f>DM585+DL585</f>
        <v>132</v>
      </c>
      <c r="DO585" s="1311" t="e">
        <f>DO587*DO570</f>
        <v>#REF!</v>
      </c>
      <c r="DP585" s="1311" t="e">
        <f>DO585+DM585</f>
        <v>#REF!</v>
      </c>
      <c r="DQ585" s="1312" t="e">
        <f>DP585+DL585</f>
        <v>#REF!</v>
      </c>
      <c r="DR585" s="1311"/>
      <c r="DS585" s="1311"/>
      <c r="DT585" s="1311"/>
      <c r="DU585" s="1311"/>
      <c r="DV585" s="1311"/>
      <c r="DW585" s="1311"/>
      <c r="DX585" s="1311"/>
      <c r="DY585" s="1312"/>
      <c r="DZ585" s="1311"/>
      <c r="EA585" s="1311"/>
      <c r="EB585" s="1311"/>
      <c r="EC585" s="1311"/>
      <c r="ED585" s="1311"/>
      <c r="EE585" s="1311"/>
      <c r="EF585" s="1311"/>
      <c r="EG585" s="1312"/>
      <c r="EH585" s="1311"/>
      <c r="EI585" s="1311"/>
      <c r="EJ585" s="1311"/>
      <c r="EK585" s="1311"/>
      <c r="EL585" s="1311"/>
      <c r="EM585" s="1311"/>
      <c r="EN585" s="1311"/>
      <c r="EO585" s="1312"/>
      <c r="EP585" s="1311"/>
      <c r="EQ585" s="1311"/>
      <c r="ER585" s="1311"/>
      <c r="ES585" s="1311"/>
      <c r="ET585" s="1311"/>
      <c r="EU585" s="1311"/>
      <c r="EV585" s="1311"/>
      <c r="IX585" s="1049"/>
      <c r="IY585" s="1049"/>
      <c r="IZ585" s="1049"/>
      <c r="JA585" s="1049"/>
      <c r="JB585" s="1049"/>
      <c r="JC585" s="1049"/>
      <c r="JD585" s="1412"/>
      <c r="JE585" s="1037"/>
      <c r="JF585" s="1037"/>
      <c r="JG585" s="1037"/>
      <c r="JH585" s="1037"/>
      <c r="JI585" s="1035"/>
      <c r="JJ585" s="1035"/>
      <c r="JK585" s="1035"/>
      <c r="JL585" s="1035"/>
      <c r="JM585" s="1035"/>
      <c r="JN585" s="1035"/>
      <c r="JO585" s="1035"/>
      <c r="JP585" s="1035"/>
      <c r="JQ585" s="1035"/>
      <c r="JR585" s="1035"/>
      <c r="JS585" s="1035"/>
      <c r="JT585" s="1035"/>
      <c r="JU585" s="1035"/>
      <c r="JV585" s="1035"/>
      <c r="JW585" s="1035"/>
      <c r="JX585" s="1035"/>
      <c r="JY585" s="1035"/>
      <c r="KP585" s="967"/>
    </row>
    <row r="586" spans="1:302">
      <c r="A586" s="1035" t="s">
        <v>142</v>
      </c>
      <c r="B586" s="1302"/>
      <c r="C586" s="1302"/>
      <c r="D586" s="1302"/>
      <c r="E586" s="1302"/>
      <c r="F586" s="1302"/>
      <c r="G586" s="1302"/>
      <c r="H586" s="1302"/>
      <c r="I586" s="1302"/>
      <c r="J586" s="1302"/>
      <c r="K586" s="1302"/>
      <c r="L586" s="1302"/>
      <c r="M586" s="1302"/>
      <c r="N586" s="1302"/>
      <c r="O586" s="1302"/>
      <c r="P586" s="1302"/>
      <c r="Q586" s="1302"/>
      <c r="R586" s="1302"/>
      <c r="S586" s="1302"/>
      <c r="T586" s="1302"/>
      <c r="U586" s="1302"/>
      <c r="V586" s="1302"/>
      <c r="W586" s="1302"/>
      <c r="X586" s="1302"/>
      <c r="Y586" s="1302"/>
      <c r="Z586" s="1302"/>
      <c r="AA586" s="1302"/>
      <c r="AB586" s="1302"/>
      <c r="AC586" s="1302"/>
      <c r="AD586" s="1302"/>
      <c r="AE586" s="1302"/>
      <c r="AF586" s="1302"/>
      <c r="AG586" s="1302"/>
      <c r="AH586" s="1302"/>
      <c r="AI586" s="1302"/>
      <c r="AJ586" s="1302"/>
      <c r="AK586" s="1302"/>
      <c r="AL586" s="1302"/>
      <c r="AM586" s="1302"/>
      <c r="AN586" s="1302"/>
      <c r="AO586" s="1302"/>
      <c r="AP586" s="1302"/>
      <c r="AQ586" s="1302"/>
      <c r="AR586" s="1302"/>
      <c r="AS586" s="1302"/>
      <c r="AT586" s="1302"/>
      <c r="AU586" s="1302"/>
      <c r="AV586" s="1302"/>
      <c r="AW586" s="1302"/>
      <c r="AX586" s="1303"/>
      <c r="AY586" s="1302"/>
      <c r="AZ586" s="1302"/>
      <c r="BA586" s="1302"/>
      <c r="BB586" s="1302"/>
      <c r="BC586" s="1302"/>
      <c r="BD586" s="1302"/>
      <c r="BE586" s="1304"/>
      <c r="BF586" s="1302"/>
      <c r="BG586" s="1302"/>
      <c r="BH586" s="1302"/>
      <c r="BI586" s="1302"/>
      <c r="BJ586" s="1302"/>
      <c r="BK586" s="1302"/>
      <c r="BL586" s="1302"/>
      <c r="BM586" s="1302"/>
      <c r="BN586" s="1303"/>
      <c r="BO586" s="1302"/>
      <c r="BP586" s="1302"/>
      <c r="BQ586" s="1302"/>
      <c r="BR586" s="1302"/>
      <c r="BS586" s="1302"/>
      <c r="BT586" s="1302"/>
      <c r="BU586" s="1304"/>
      <c r="BV586" s="1303"/>
      <c r="BW586" s="1302"/>
      <c r="BX586" s="1302"/>
      <c r="BY586" s="1302"/>
      <c r="BZ586" s="1302"/>
      <c r="CA586" s="1302"/>
      <c r="CB586" s="1302"/>
      <c r="CC586" s="1304"/>
      <c r="CD586" s="1303" t="e">
        <f t="shared" ref="CD586:CJ586" si="4273">CD585/BV585-1</f>
        <v>#DIV/0!</v>
      </c>
      <c r="CE586" s="1302" t="e">
        <f t="shared" si="4273"/>
        <v>#DIV/0!</v>
      </c>
      <c r="CF586" s="1302" t="e">
        <f t="shared" si="4273"/>
        <v>#DIV/0!</v>
      </c>
      <c r="CG586" s="1302" t="e">
        <f t="shared" si="4273"/>
        <v>#DIV/0!</v>
      </c>
      <c r="CH586" s="1302" t="e">
        <f t="shared" si="4273"/>
        <v>#DIV/0!</v>
      </c>
      <c r="CI586" s="1302" t="s">
        <v>173</v>
      </c>
      <c r="CJ586" s="1302" t="e">
        <f t="shared" si="4273"/>
        <v>#DIV/0!</v>
      </c>
      <c r="CK586" s="1304" t="s">
        <v>173</v>
      </c>
      <c r="CL586" s="1303">
        <v>-1.28</v>
      </c>
      <c r="CM586" s="1302">
        <f>CM585/CE585-1</f>
        <v>2.58542106219174</v>
      </c>
      <c r="CN586" s="1302">
        <f>CN585/CF585-1</f>
        <v>3.50303625468466</v>
      </c>
      <c r="CO586" s="1302">
        <f>CO585/CG585-1</f>
        <v>4.76512868914947</v>
      </c>
      <c r="CP586" s="1302">
        <f>CP585/CH585-1</f>
        <v>3.95196529104902</v>
      </c>
      <c r="CQ586" s="1302">
        <f>CQ585/CF585-1</f>
        <v>1.9360482594144</v>
      </c>
      <c r="CR586" s="1302">
        <f>CR585/CG585-1</f>
        <v>9.20811541637932</v>
      </c>
      <c r="CS586" s="1304">
        <f>CS585/CH585-1</f>
        <v>5.84365476989825</v>
      </c>
      <c r="CT586" s="1303">
        <f t="shared" ref="CT586:DA586" si="4274">CT585/CL585-1</f>
        <v>-0.704312370636662</v>
      </c>
      <c r="CU586" s="1302">
        <f t="shared" si="4274"/>
        <v>-0.703824944954307</v>
      </c>
      <c r="CV586" s="1302">
        <f t="shared" si="4274"/>
        <v>-0.704034038310902</v>
      </c>
      <c r="CW586" s="1302">
        <f t="shared" si="4274"/>
        <v>-0.807949021484523</v>
      </c>
      <c r="CX586" s="1302">
        <f t="shared" si="4274"/>
        <v>-0.747066492829205</v>
      </c>
      <c r="CY586" s="1302">
        <f t="shared" si="4274"/>
        <v>-0.808873720136519</v>
      </c>
      <c r="CZ586" s="1302">
        <f t="shared" si="4274"/>
        <v>-0.79196520206558</v>
      </c>
      <c r="DA586" s="1304">
        <f t="shared" si="4274"/>
        <v>-0.764150943396226</v>
      </c>
      <c r="DB586" s="1109">
        <f t="shared" ref="DB586:DI586" si="4275">DB585/CT585-1</f>
        <v>0.175438596491228</v>
      </c>
      <c r="DC586" s="1082">
        <f t="shared" si="4275"/>
        <v>-1.09210526315789</v>
      </c>
      <c r="DD586" s="1082">
        <f t="shared" si="4275"/>
        <v>-1.00751879699248</v>
      </c>
      <c r="DE586" s="1082">
        <f t="shared" si="4275"/>
        <v>-0.39344262295082</v>
      </c>
      <c r="DF586" s="1082">
        <f t="shared" si="4275"/>
        <v>-0.814432989690722</v>
      </c>
      <c r="DG586" s="1082">
        <f t="shared" si="4275"/>
        <v>3.71428571428571</v>
      </c>
      <c r="DH586" s="1082">
        <f t="shared" si="4275"/>
        <v>1.57264957264957</v>
      </c>
      <c r="DI586" s="1085">
        <f t="shared" si="4275"/>
        <v>0.2</v>
      </c>
      <c r="DJ586" s="1082">
        <f t="shared" ref="DJ586:DQ586" si="4276">DJ585/DB585-1</f>
        <v>-0.238805970149255</v>
      </c>
      <c r="DK586" s="1082">
        <f t="shared" si="4276"/>
        <v>-7.42857142857142</v>
      </c>
      <c r="DL586" s="1082">
        <f t="shared" si="4276"/>
        <v>-96.9999999999999</v>
      </c>
      <c r="DM586" s="1082">
        <f t="shared" si="4276"/>
        <v>-0.027027027027027</v>
      </c>
      <c r="DN586" s="1082">
        <f t="shared" si="4276"/>
        <v>2.66666666666666</v>
      </c>
      <c r="DO586" s="1082" t="e">
        <f t="shared" si="4276"/>
        <v>#REF!</v>
      </c>
      <c r="DP586" s="1082" t="e">
        <f t="shared" si="4276"/>
        <v>#REF!</v>
      </c>
      <c r="DQ586" s="1085" t="e">
        <f t="shared" si="4276"/>
        <v>#REF!</v>
      </c>
      <c r="DR586" s="1082"/>
      <c r="DS586" s="1082"/>
      <c r="DT586" s="1082"/>
      <c r="DU586" s="1082"/>
      <c r="DV586" s="1082"/>
      <c r="DW586" s="1082"/>
      <c r="DX586" s="1082"/>
      <c r="DY586" s="1085"/>
      <c r="DZ586" s="1082"/>
      <c r="EA586" s="1082"/>
      <c r="EB586" s="1082"/>
      <c r="EC586" s="1082"/>
      <c r="ED586" s="1082"/>
      <c r="EE586" s="1082"/>
      <c r="EF586" s="1082"/>
      <c r="EG586" s="1085"/>
      <c r="EH586" s="1082"/>
      <c r="EI586" s="1082"/>
      <c r="EJ586" s="1082"/>
      <c r="EK586" s="1082"/>
      <c r="EL586" s="1082"/>
      <c r="EM586" s="1082"/>
      <c r="EN586" s="1082"/>
      <c r="EO586" s="1085"/>
      <c r="EP586" s="1082"/>
      <c r="EQ586" s="1082"/>
      <c r="ER586" s="1082"/>
      <c r="ES586" s="1082"/>
      <c r="ET586" s="1082"/>
      <c r="EU586" s="1082"/>
      <c r="EV586" s="1082"/>
      <c r="IX586" s="1049"/>
      <c r="IY586" s="1049"/>
      <c r="IZ586" s="1049"/>
      <c r="JA586" s="1049"/>
      <c r="JB586" s="1049"/>
      <c r="JC586" s="1049"/>
      <c r="JD586" s="1094"/>
      <c r="JE586" s="1037"/>
      <c r="JF586" s="1037"/>
      <c r="JG586" s="1037"/>
      <c r="JH586" s="1037"/>
      <c r="JI586" s="1035"/>
      <c r="JJ586" s="1035"/>
      <c r="JK586" s="1035"/>
      <c r="JL586" s="1035"/>
      <c r="JM586" s="1035"/>
      <c r="JN586" s="1035"/>
      <c r="JO586" s="1035"/>
      <c r="JP586" s="1035"/>
      <c r="JQ586" s="1035"/>
      <c r="JR586" s="1035"/>
      <c r="JS586" s="1035"/>
      <c r="JT586" s="1035"/>
      <c r="JU586" s="1035"/>
      <c r="JV586" s="1035"/>
      <c r="JW586" s="1035"/>
      <c r="JX586" s="1035"/>
      <c r="JY586" s="1035"/>
      <c r="KP586" s="1179"/>
    </row>
    <row r="587" spans="1:302">
      <c r="A587" s="1035" t="s">
        <v>145</v>
      </c>
      <c r="B587" s="1302"/>
      <c r="C587" s="1302"/>
      <c r="D587" s="1302"/>
      <c r="E587" s="1302"/>
      <c r="F587" s="1302"/>
      <c r="G587" s="1302"/>
      <c r="H587" s="1302"/>
      <c r="I587" s="1302"/>
      <c r="J587" s="1302"/>
      <c r="K587" s="1302"/>
      <c r="L587" s="1302"/>
      <c r="M587" s="1302"/>
      <c r="N587" s="1302"/>
      <c r="O587" s="1302"/>
      <c r="P587" s="1302"/>
      <c r="Q587" s="1302"/>
      <c r="R587" s="1302"/>
      <c r="S587" s="1302"/>
      <c r="T587" s="1302"/>
      <c r="U587" s="1302"/>
      <c r="V587" s="1302"/>
      <c r="W587" s="1302"/>
      <c r="X587" s="1302"/>
      <c r="Y587" s="1302"/>
      <c r="Z587" s="1302">
        <v>0.115032679738562</v>
      </c>
      <c r="AA587" s="1302">
        <v>0.0985915492957747</v>
      </c>
      <c r="AB587" s="1302">
        <f>AB585/AB$570</f>
        <v>0.107664562669071</v>
      </c>
      <c r="AC587" s="1302">
        <v>0.115695067264574</v>
      </c>
      <c r="AD587" s="1302">
        <f>AD585/AD$570</f>
        <v>0.110686164229471</v>
      </c>
      <c r="AE587" s="1302">
        <v>0.194606560676192</v>
      </c>
      <c r="AF587" s="1302"/>
      <c r="AG587" s="1302">
        <f>AG585/AG$570</f>
        <v>0.12901666007297</v>
      </c>
      <c r="AH587" s="1302">
        <v>0.0107991360691145</v>
      </c>
      <c r="AI587" s="1302">
        <v>0.0128935030140657</v>
      </c>
      <c r="AJ587" s="1302">
        <f>AJ585/AJ$570</f>
        <v>0.0117674382596579</v>
      </c>
      <c r="AK587" s="1302">
        <v>0.00698412698412698</v>
      </c>
      <c r="AL587" s="1302">
        <f>AL585/AL$570</f>
        <v>0.0099557522123894</v>
      </c>
      <c r="AM587" s="1302">
        <v>0.0142021720969089</v>
      </c>
      <c r="AN587" s="1302"/>
      <c r="AO587" s="1302">
        <f>AO585/AO$570</f>
        <v>0.0109048810546365</v>
      </c>
      <c r="AP587" s="1302">
        <v>0.017139090309822</v>
      </c>
      <c r="AQ587" s="1302">
        <v>0.0112179487179487</v>
      </c>
      <c r="AR587" s="1302">
        <f>AR585/AR$570</f>
        <v>0.0144665461121157</v>
      </c>
      <c r="AS587" s="1302">
        <v>0.0107334525939177</v>
      </c>
      <c r="AT587" s="1302">
        <f>AT585/AT$570</f>
        <v>0.0130571814497974</v>
      </c>
      <c r="AU587" s="1302">
        <v>0.0114860014357502</v>
      </c>
      <c r="AV587" s="1302"/>
      <c r="AW587" s="1302">
        <f>AW585/AW$570</f>
        <v>0.0126820908311911</v>
      </c>
      <c r="AX587" s="1303">
        <v>0.0141206675224647</v>
      </c>
      <c r="AY587" s="1302">
        <v>0.0160818713450292</v>
      </c>
      <c r="AZ587" s="1302">
        <f>AZ585/AZ$570</f>
        <v>0.0150375939849624</v>
      </c>
      <c r="BA587" s="1302">
        <v>0.0106145251396648</v>
      </c>
      <c r="BB587" s="1302">
        <f>BB585/BB$570</f>
        <v>0.012982900569981</v>
      </c>
      <c r="BC587" s="1302">
        <v>0.0164874551971326</v>
      </c>
      <c r="BD587" s="1302"/>
      <c r="BE587" s="1304">
        <f>BE585/BE$570</f>
        <v>0.0140566659345486</v>
      </c>
      <c r="BF587" s="1302">
        <v>0.00549450549450549</v>
      </c>
      <c r="BG587" s="1302">
        <v>0.0059721300597213</v>
      </c>
      <c r="BH587" s="1302">
        <f>BH585/BH$570</f>
        <v>0.00572337042925278</v>
      </c>
      <c r="BI587" s="1302">
        <v>0.000535905680600214</v>
      </c>
      <c r="BJ587" s="1302">
        <f>BJ585/BJ$570</f>
        <v>0.00379165835162642</v>
      </c>
      <c r="BK587" s="1302">
        <v>0.00330906684315023</v>
      </c>
      <c r="BL587" s="1302"/>
      <c r="BM587" s="1302">
        <f>BM585/BM$570</f>
        <v>0.00367985280588776</v>
      </c>
      <c r="BN587" s="1303">
        <v>0.00359496704613541</v>
      </c>
      <c r="BO587" s="1302">
        <v>0.00790229885057471</v>
      </c>
      <c r="BP587" s="1302">
        <f>BP585/BP$570</f>
        <v>0.00555374060764456</v>
      </c>
      <c r="BQ587" s="1302">
        <v>0.00161899622234215</v>
      </c>
      <c r="BR587" s="1302">
        <f>BR585/BR$570</f>
        <v>0.00407000407000407</v>
      </c>
      <c r="BS587" s="1302">
        <v>0.00221565731166913</v>
      </c>
      <c r="BT587" s="1302"/>
      <c r="BU587" s="1304">
        <f>BU585/BU$570</f>
        <v>0.00366943203573708</v>
      </c>
      <c r="BV587" s="1303"/>
      <c r="BW587" s="1302"/>
      <c r="BX587" s="1302"/>
      <c r="BY587" s="1302"/>
      <c r="BZ587" s="1302"/>
      <c r="CA587" s="1302"/>
      <c r="CB587" s="1302"/>
      <c r="CC587" s="1304"/>
      <c r="CD587" s="1303">
        <v>-0.0597728631201435</v>
      </c>
      <c r="CE587" s="1302">
        <v>0.00659630606860158</v>
      </c>
      <c r="CF587" s="1302">
        <f>CF585/CF$570</f>
        <v>0.0312931953590467</v>
      </c>
      <c r="CG587" s="1302">
        <v>0.00935550935550936</v>
      </c>
      <c r="CH587" s="1302">
        <f>CH585/CH$570</f>
        <v>0.0302929786817915</v>
      </c>
      <c r="CI587" s="1302">
        <v>0.0157790927021696</v>
      </c>
      <c r="CJ587" s="1302">
        <f t="shared" ref="CJ587:DB587" si="4277">CJ585/CJ$570</f>
        <v>0.0380975326560232</v>
      </c>
      <c r="CK587" s="1304">
        <f t="shared" si="4277"/>
        <v>0.0348266505878806</v>
      </c>
      <c r="CL587" s="1303">
        <f t="shared" si="4277"/>
        <v>0.0783945698724695</v>
      </c>
      <c r="CM587" s="1302">
        <f t="shared" si="4277"/>
        <v>0.105685749588138</v>
      </c>
      <c r="CN587" s="1302">
        <f t="shared" si="4277"/>
        <v>0.0919536449869975</v>
      </c>
      <c r="CO587" s="1302">
        <f t="shared" si="4277"/>
        <v>0.107705081834984</v>
      </c>
      <c r="CP587" s="1302">
        <f t="shared" si="4277"/>
        <v>0.09788157223073</v>
      </c>
      <c r="CQ587" s="1302">
        <f t="shared" si="4277"/>
        <v>0.130338078291815</v>
      </c>
      <c r="CR587" s="1302">
        <f t="shared" si="4277"/>
        <v>0.108217084651726</v>
      </c>
      <c r="CS587" s="1304">
        <f t="shared" si="4277"/>
        <v>0.105117017056724</v>
      </c>
      <c r="CT587" s="1303">
        <f t="shared" si="4277"/>
        <v>0.0224586288416076</v>
      </c>
      <c r="CU587" s="1302">
        <f t="shared" si="4277"/>
        <v>0.0316666666666667</v>
      </c>
      <c r="CV587" s="1302">
        <f t="shared" si="4277"/>
        <v>0.0269345268231434</v>
      </c>
      <c r="CW587" s="1302">
        <f t="shared" si="4277"/>
        <v>0.020744065836904</v>
      </c>
      <c r="CX587" s="1302">
        <f t="shared" si="4277"/>
        <v>0.0246224140119304</v>
      </c>
      <c r="CY587" s="1302">
        <f t="shared" si="4277"/>
        <v>0.0231500620090947</v>
      </c>
      <c r="CZ587" s="1302">
        <f t="shared" si="4277"/>
        <v>0.021829987312486</v>
      </c>
      <c r="DA587" s="1304">
        <f t="shared" si="4277"/>
        <v>0.0242765585550592</v>
      </c>
      <c r="DB587" s="1109">
        <f t="shared" si="4277"/>
        <v>0.0255627623044639</v>
      </c>
      <c r="DC587" s="1082">
        <f t="shared" ref="DC587:DI587" si="4278">DC585/DC543</f>
        <v>-0.00277667592225307</v>
      </c>
      <c r="DD587" s="1082">
        <f t="shared" si="4278"/>
        <v>-0.000194476857253987</v>
      </c>
      <c r="DE587" s="1082">
        <f t="shared" si="4278"/>
        <v>0.0120168886001949</v>
      </c>
      <c r="DF587" s="1082">
        <f t="shared" si="4278"/>
        <v>0.0043870338776505</v>
      </c>
      <c r="DG587" s="1082">
        <f t="shared" si="4278"/>
        <v>0.101812572310066</v>
      </c>
      <c r="DH587" s="1082">
        <f t="shared" si="4278"/>
        <v>0.0532084143538978</v>
      </c>
      <c r="DI587" s="1085">
        <f t="shared" si="4278"/>
        <v>0.0277803500324104</v>
      </c>
      <c r="DJ587" s="1082">
        <v>0.019790454016298</v>
      </c>
      <c r="DK587" s="1082">
        <v>0.0183150183150183</v>
      </c>
      <c r="DL587" s="1082">
        <f>DL585/DL570</f>
        <v>0.0190703218116806</v>
      </c>
      <c r="DM587" s="1082">
        <f>DM585/DM570</f>
        <v>0.0124653739612188</v>
      </c>
      <c r="DN587" s="1082">
        <f>DN585/DN570</f>
        <v>0.0166624589750063</v>
      </c>
      <c r="DO587" s="1488">
        <v>0.015</v>
      </c>
      <c r="DP587" s="1082" t="e">
        <f>DP585/DP570</f>
        <v>#REF!</v>
      </c>
      <c r="DQ587" s="1085" t="e">
        <f>DQ585/DQ570</f>
        <v>#REF!</v>
      </c>
      <c r="DR587" s="1488"/>
      <c r="DS587" s="1488"/>
      <c r="DT587" s="1082"/>
      <c r="DU587" s="1488"/>
      <c r="DV587" s="1082"/>
      <c r="DW587" s="1488"/>
      <c r="DX587" s="1082"/>
      <c r="DY587" s="1085"/>
      <c r="DZ587" s="1488"/>
      <c r="EA587" s="1488"/>
      <c r="EB587" s="1082"/>
      <c r="EC587" s="1488"/>
      <c r="ED587" s="1082"/>
      <c r="EE587" s="1488"/>
      <c r="EF587" s="1082"/>
      <c r="EG587" s="1085"/>
      <c r="EH587" s="1488"/>
      <c r="EI587" s="1488"/>
      <c r="EJ587" s="1082"/>
      <c r="EK587" s="1488"/>
      <c r="EL587" s="1082"/>
      <c r="EM587" s="1488"/>
      <c r="EN587" s="1082"/>
      <c r="EO587" s="1085"/>
      <c r="EP587" s="1082"/>
      <c r="EQ587" s="1082"/>
      <c r="ER587" s="1082"/>
      <c r="ES587" s="1082"/>
      <c r="ET587" s="1082"/>
      <c r="EU587" s="1082"/>
      <c r="EV587" s="1082"/>
      <c r="IX587" s="1049"/>
      <c r="IY587" s="1049"/>
      <c r="IZ587" s="1049"/>
      <c r="JA587" s="1049"/>
      <c r="JB587" s="1049"/>
      <c r="JC587" s="1049"/>
      <c r="JD587" s="1094"/>
      <c r="JE587" s="1037"/>
      <c r="JF587" s="1037"/>
      <c r="JG587" s="1037"/>
      <c r="JH587" s="1037"/>
      <c r="JI587" s="1035"/>
      <c r="JJ587" s="1035"/>
      <c r="JK587" s="1035"/>
      <c r="JL587" s="1035"/>
      <c r="JM587" s="1035"/>
      <c r="JN587" s="1035"/>
      <c r="JO587" s="1035"/>
      <c r="JP587" s="1035"/>
      <c r="JQ587" s="1035"/>
      <c r="JR587" s="1035"/>
      <c r="JS587" s="1035"/>
      <c r="JT587" s="1035"/>
      <c r="JU587" s="1035"/>
      <c r="JV587" s="1035"/>
      <c r="JW587" s="1035"/>
      <c r="JX587" s="1035"/>
      <c r="JY587" s="1035"/>
      <c r="KP587" s="1179"/>
    </row>
    <row r="588" spans="1:302">
      <c r="A588" s="1191" t="s">
        <v>632</v>
      </c>
      <c r="B588" s="1499">
        <f t="shared" ref="B588:AG588" si="4279">B576+B509+B579+B585+B582</f>
        <v>510.2774</v>
      </c>
      <c r="C588" s="1499">
        <f t="shared" si="4279"/>
        <v>382.9637</v>
      </c>
      <c r="D588" s="1499">
        <f t="shared" si="4279"/>
        <v>893.2411</v>
      </c>
      <c r="E588" s="1499">
        <f t="shared" si="4279"/>
        <v>559.3622</v>
      </c>
      <c r="F588" s="1499">
        <f t="shared" si="4279"/>
        <v>1452.6033</v>
      </c>
      <c r="G588" s="1499">
        <f t="shared" si="4279"/>
        <v>337.04896</v>
      </c>
      <c r="H588" s="1499">
        <f t="shared" si="4279"/>
        <v>840.67946</v>
      </c>
      <c r="I588" s="1499">
        <f t="shared" si="4279"/>
        <v>1789.65226</v>
      </c>
      <c r="J588" s="1499">
        <f t="shared" si="4279"/>
        <v>612.0261</v>
      </c>
      <c r="K588" s="1499">
        <f t="shared" si="4279"/>
        <v>534.3085</v>
      </c>
      <c r="L588" s="1499">
        <f t="shared" si="4279"/>
        <v>1146.3346</v>
      </c>
      <c r="M588" s="1499">
        <f t="shared" si="4279"/>
        <v>752.6336</v>
      </c>
      <c r="N588" s="1499">
        <f t="shared" si="4279"/>
        <v>1898.9682</v>
      </c>
      <c r="O588" s="1499">
        <f t="shared" si="4279"/>
        <v>509.2548</v>
      </c>
      <c r="P588" s="1499">
        <f t="shared" si="4279"/>
        <v>1184.42645</v>
      </c>
      <c r="Q588" s="1499">
        <f t="shared" si="4279"/>
        <v>2408.223</v>
      </c>
      <c r="R588" s="1499">
        <f t="shared" si="4279"/>
        <v>875.8569</v>
      </c>
      <c r="S588" s="1499">
        <f t="shared" si="4279"/>
        <v>729.6251</v>
      </c>
      <c r="T588" s="1499">
        <f t="shared" si="4279"/>
        <v>1605.482</v>
      </c>
      <c r="U588" s="1499">
        <f t="shared" si="4279"/>
        <v>1096.2272</v>
      </c>
      <c r="V588" s="1499">
        <f t="shared" si="4279"/>
        <v>2701.7092</v>
      </c>
      <c r="W588" s="1499">
        <f t="shared" si="4279"/>
        <v>722.9782</v>
      </c>
      <c r="X588" s="1499">
        <f t="shared" si="4279"/>
        <v>1666.838</v>
      </c>
      <c r="Y588" s="1499">
        <f t="shared" si="4279"/>
        <v>3424.6874</v>
      </c>
      <c r="Z588" s="1499">
        <f t="shared" si="4279"/>
        <v>1564.578</v>
      </c>
      <c r="AA588" s="1499">
        <f t="shared" si="4279"/>
        <v>1270.5805</v>
      </c>
      <c r="AB588" s="1499">
        <f t="shared" si="4279"/>
        <v>2835.1585</v>
      </c>
      <c r="AC588" s="1499">
        <f t="shared" si="4279"/>
        <v>1710.2985</v>
      </c>
      <c r="AD588" s="1499">
        <f t="shared" si="4279"/>
        <v>4545.457</v>
      </c>
      <c r="AE588" s="1499">
        <f t="shared" si="4279"/>
        <v>1270.32485</v>
      </c>
      <c r="AF588" s="1499">
        <f t="shared" si="4279"/>
        <v>2892.16845</v>
      </c>
      <c r="AG588" s="1499">
        <f t="shared" si="4279"/>
        <v>5815.78185</v>
      </c>
      <c r="AH588" s="1499">
        <f t="shared" ref="AH588:BM588" si="4280">AH576+AH509+AH579+AH585+AH582</f>
        <v>1389</v>
      </c>
      <c r="AI588" s="1499">
        <f t="shared" si="4280"/>
        <v>1194.4</v>
      </c>
      <c r="AJ588" s="1499">
        <f t="shared" si="4280"/>
        <v>2583.4</v>
      </c>
      <c r="AK588" s="1499">
        <f t="shared" si="4280"/>
        <v>1575</v>
      </c>
      <c r="AL588" s="1499">
        <f t="shared" si="4280"/>
        <v>4158.4</v>
      </c>
      <c r="AM588" s="1499">
        <f t="shared" si="4280"/>
        <v>1197</v>
      </c>
      <c r="AN588" s="1499">
        <f t="shared" si="4280"/>
        <v>2695</v>
      </c>
      <c r="AO588" s="1499">
        <f t="shared" si="4280"/>
        <v>5355.4</v>
      </c>
      <c r="AP588" s="1499">
        <f t="shared" si="4280"/>
        <v>1517</v>
      </c>
      <c r="AQ588" s="1499">
        <f t="shared" si="4280"/>
        <v>1248</v>
      </c>
      <c r="AR588" s="1499">
        <f t="shared" si="4280"/>
        <v>2765</v>
      </c>
      <c r="AS588" s="1499">
        <f t="shared" si="4280"/>
        <v>1677</v>
      </c>
      <c r="AT588" s="1499">
        <f t="shared" si="4280"/>
        <v>4442</v>
      </c>
      <c r="AU588" s="1499">
        <f t="shared" si="4280"/>
        <v>1393</v>
      </c>
      <c r="AV588" s="1499">
        <f t="shared" si="4280"/>
        <v>2989</v>
      </c>
      <c r="AW588" s="1499">
        <f t="shared" si="4280"/>
        <v>5835</v>
      </c>
      <c r="AX588" s="1500">
        <f t="shared" si="4280"/>
        <v>1558</v>
      </c>
      <c r="AY588" s="1499">
        <f t="shared" si="4280"/>
        <v>1368</v>
      </c>
      <c r="AZ588" s="1499">
        <f t="shared" si="4280"/>
        <v>2926</v>
      </c>
      <c r="BA588" s="1499">
        <f t="shared" si="4280"/>
        <v>1790</v>
      </c>
      <c r="BB588" s="1499">
        <f t="shared" si="4280"/>
        <v>3158</v>
      </c>
      <c r="BC588" s="1499">
        <f t="shared" si="4280"/>
        <v>1395</v>
      </c>
      <c r="BD588" s="1499">
        <f t="shared" si="4280"/>
        <v>3069</v>
      </c>
      <c r="BE588" s="1501">
        <f t="shared" si="4280"/>
        <v>4553</v>
      </c>
      <c r="BF588" s="1499">
        <f t="shared" si="4280"/>
        <v>1638</v>
      </c>
      <c r="BG588" s="1499">
        <f t="shared" si="4280"/>
        <v>1507</v>
      </c>
      <c r="BH588" s="1499">
        <f t="shared" si="4280"/>
        <v>3145</v>
      </c>
      <c r="BI588" s="1499">
        <f t="shared" si="4280"/>
        <v>1866</v>
      </c>
      <c r="BJ588" s="1499">
        <f t="shared" si="4280"/>
        <v>5011</v>
      </c>
      <c r="BK588" s="1499">
        <f t="shared" si="4280"/>
        <v>1511</v>
      </c>
      <c r="BL588" s="1499">
        <f t="shared" si="4280"/>
        <v>3270</v>
      </c>
      <c r="BM588" s="1499">
        <f t="shared" si="4280"/>
        <v>6522</v>
      </c>
      <c r="BN588" s="1500">
        <f t="shared" ref="BN588:BU588" si="4281">BN576+BN509+BN579+BN585+BN582</f>
        <v>1669</v>
      </c>
      <c r="BO588" s="1499">
        <f t="shared" si="4281"/>
        <v>1392</v>
      </c>
      <c r="BP588" s="1499">
        <f t="shared" si="4281"/>
        <v>3061</v>
      </c>
      <c r="BQ588" s="1499">
        <f t="shared" si="4281"/>
        <v>1853</v>
      </c>
      <c r="BR588" s="1499">
        <f t="shared" si="4281"/>
        <v>4914</v>
      </c>
      <c r="BS588" s="1499">
        <f t="shared" si="4281"/>
        <v>1354</v>
      </c>
      <c r="BT588" s="1499">
        <f t="shared" si="4281"/>
        <v>3132</v>
      </c>
      <c r="BU588" s="1501">
        <f t="shared" si="4281"/>
        <v>6268</v>
      </c>
      <c r="BV588" s="1500">
        <f t="shared" ref="BV588:DA588" si="4282">BV395</f>
        <v>707</v>
      </c>
      <c r="BW588" s="1499">
        <f t="shared" si="4282"/>
        <v>687</v>
      </c>
      <c r="BX588" s="1499">
        <f t="shared" si="4282"/>
        <v>1394</v>
      </c>
      <c r="BY588" s="1499">
        <f t="shared" si="4282"/>
        <v>850</v>
      </c>
      <c r="BZ588" s="1499">
        <f t="shared" si="4282"/>
        <v>2244</v>
      </c>
      <c r="CA588" s="1499">
        <f t="shared" si="4282"/>
        <v>570</v>
      </c>
      <c r="CB588" s="1499">
        <f t="shared" si="4282"/>
        <v>1853</v>
      </c>
      <c r="CC588" s="1501">
        <f t="shared" si="4282"/>
        <v>2814</v>
      </c>
      <c r="CD588" s="1500">
        <f t="shared" si="4282"/>
        <v>804</v>
      </c>
      <c r="CE588" s="1499">
        <f t="shared" si="4282"/>
        <v>743</v>
      </c>
      <c r="CF588" s="1499">
        <f t="shared" si="4282"/>
        <v>1547</v>
      </c>
      <c r="CG588" s="1499">
        <f t="shared" si="4282"/>
        <v>934</v>
      </c>
      <c r="CH588" s="1499">
        <f t="shared" si="4282"/>
        <v>2481</v>
      </c>
      <c r="CI588" s="1499">
        <f t="shared" si="4282"/>
        <v>716</v>
      </c>
      <c r="CJ588" s="1499">
        <f t="shared" si="4282"/>
        <v>1650</v>
      </c>
      <c r="CK588" s="1501">
        <f t="shared" si="4282"/>
        <v>3197</v>
      </c>
      <c r="CL588" s="1500">
        <f t="shared" si="4282"/>
        <v>1107</v>
      </c>
      <c r="CM588" s="1499">
        <f t="shared" si="4282"/>
        <v>1084</v>
      </c>
      <c r="CN588" s="1499">
        <f t="shared" si="4282"/>
        <v>2191</v>
      </c>
      <c r="CO588" s="1499">
        <f t="shared" si="4282"/>
        <v>1327</v>
      </c>
      <c r="CP588" s="1499">
        <f t="shared" si="4282"/>
        <v>3518</v>
      </c>
      <c r="CQ588" s="1499">
        <f t="shared" si="4282"/>
        <v>977</v>
      </c>
      <c r="CR588" s="1499">
        <f t="shared" si="4282"/>
        <v>2304.01591075</v>
      </c>
      <c r="CS588" s="1501">
        <f t="shared" si="4282"/>
        <v>4495</v>
      </c>
      <c r="CT588" s="1500">
        <f t="shared" si="4282"/>
        <v>1188</v>
      </c>
      <c r="CU588" s="1499">
        <f t="shared" si="4282"/>
        <v>1138</v>
      </c>
      <c r="CV588" s="1499">
        <f t="shared" si="4282"/>
        <v>2326</v>
      </c>
      <c r="CW588" s="1499">
        <f t="shared" si="4282"/>
        <v>1429</v>
      </c>
      <c r="CX588" s="1499">
        <f t="shared" si="4282"/>
        <v>3755</v>
      </c>
      <c r="CY588" s="1499">
        <f t="shared" si="4282"/>
        <v>1127</v>
      </c>
      <c r="CZ588" s="1499">
        <f t="shared" si="4282"/>
        <v>2556</v>
      </c>
      <c r="DA588" s="1501">
        <f t="shared" si="4282"/>
        <v>4882</v>
      </c>
      <c r="DB588" s="1502">
        <v>1288</v>
      </c>
      <c r="DC588" s="1372">
        <f>DC395</f>
        <v>1170</v>
      </c>
      <c r="DD588" s="1372">
        <f>DD395</f>
        <v>2397</v>
      </c>
      <c r="DE588" s="1372">
        <f>DF588-DD588</f>
        <v>1467</v>
      </c>
      <c r="DF588" s="1372">
        <f>DF395</f>
        <v>3864</v>
      </c>
      <c r="DG588" s="1372">
        <f>DG582+DG579+DG576+DG585</f>
        <v>1392</v>
      </c>
      <c r="DH588" s="1372">
        <f>DI588-DD588</f>
        <v>2859</v>
      </c>
      <c r="DI588" s="1503">
        <v>5256</v>
      </c>
      <c r="DJ588" s="1372">
        <f t="shared" ref="DJ588:DQ588" si="4283">DJ582+DJ579+DJ576+DJ585</f>
        <v>1164</v>
      </c>
      <c r="DK588" s="1372">
        <f t="shared" si="4283"/>
        <v>1105</v>
      </c>
      <c r="DL588" s="1372">
        <f t="shared" si="4283"/>
        <v>2269</v>
      </c>
      <c r="DM588" s="1372">
        <f>DN588-DL588</f>
        <v>1307</v>
      </c>
      <c r="DN588" s="1372">
        <v>3576</v>
      </c>
      <c r="DO588" s="1372" t="e">
        <f t="shared" si="4283"/>
        <v>#REF!</v>
      </c>
      <c r="DP588" s="1372" t="e">
        <f t="shared" si="4283"/>
        <v>#REF!</v>
      </c>
      <c r="DQ588" s="1503" t="e">
        <f t="shared" si="4283"/>
        <v>#REF!</v>
      </c>
      <c r="DR588" s="1372"/>
      <c r="DS588" s="1372"/>
      <c r="DT588" s="1372"/>
      <c r="DU588" s="1372"/>
      <c r="DV588" s="1372"/>
      <c r="DW588" s="1372"/>
      <c r="DX588" s="1372"/>
      <c r="DY588" s="1503"/>
      <c r="DZ588" s="1372"/>
      <c r="EA588" s="1372"/>
      <c r="EB588" s="1372"/>
      <c r="EC588" s="1372"/>
      <c r="ED588" s="1372"/>
      <c r="EE588" s="1372"/>
      <c r="EF588" s="1372"/>
      <c r="EG588" s="1503"/>
      <c r="EH588" s="1372"/>
      <c r="EI588" s="1372"/>
      <c r="EJ588" s="1372"/>
      <c r="EK588" s="1372"/>
      <c r="EL588" s="1372"/>
      <c r="EM588" s="1372"/>
      <c r="EN588" s="1372"/>
      <c r="EO588" s="1503"/>
      <c r="EP588" s="1372"/>
      <c r="EQ588" s="1372"/>
      <c r="ER588" s="1372"/>
      <c r="ES588" s="1372"/>
      <c r="ET588" s="1372"/>
      <c r="EU588" s="1372"/>
      <c r="EV588" s="1372"/>
      <c r="IX588" s="1049"/>
      <c r="IY588" s="1049"/>
      <c r="IZ588" s="1049"/>
      <c r="JA588" s="1049"/>
      <c r="JB588" s="1049"/>
      <c r="JC588" s="1049"/>
      <c r="JD588" s="1518"/>
      <c r="JE588" s="1126"/>
      <c r="JF588" s="1126"/>
      <c r="JG588" s="1126"/>
      <c r="JH588" s="1126"/>
      <c r="JI588" s="1024"/>
      <c r="JJ588" s="1035"/>
      <c r="JK588" s="1035"/>
      <c r="JL588" s="1035"/>
      <c r="JM588" s="1035"/>
      <c r="JN588" s="1035"/>
      <c r="JO588" s="1035"/>
      <c r="JP588" s="1035"/>
      <c r="JQ588" s="1035"/>
      <c r="JR588" s="1035"/>
      <c r="JS588" s="1035"/>
      <c r="JT588" s="1035"/>
      <c r="JU588" s="1035"/>
      <c r="JV588" s="1035"/>
      <c r="JW588" s="1035"/>
      <c r="JX588" s="1035"/>
      <c r="JY588" s="1035"/>
      <c r="KP588" s="967"/>
    </row>
    <row r="589" spans="1:302">
      <c r="A589" s="1035" t="s">
        <v>142</v>
      </c>
      <c r="B589" s="1302" t="s">
        <v>173</v>
      </c>
      <c r="C589" s="1302" t="s">
        <v>173</v>
      </c>
      <c r="D589" s="1302" t="s">
        <v>173</v>
      </c>
      <c r="E589" s="1302" t="s">
        <v>173</v>
      </c>
      <c r="F589" s="1302" t="s">
        <v>173</v>
      </c>
      <c r="G589" s="1302" t="s">
        <v>173</v>
      </c>
      <c r="H589" s="1302" t="s">
        <v>173</v>
      </c>
      <c r="I589" s="1302" t="s">
        <v>173</v>
      </c>
      <c r="J589" s="1302">
        <f t="shared" ref="J589:AO589" si="4284">J588/B588-1</f>
        <v>0.199398797595191</v>
      </c>
      <c r="K589" s="1302">
        <f t="shared" si="4284"/>
        <v>0.395193591455274</v>
      </c>
      <c r="L589" s="1302">
        <f t="shared" si="4284"/>
        <v>0.283342873497424</v>
      </c>
      <c r="M589" s="1302">
        <f t="shared" si="4284"/>
        <v>0.345521023765996</v>
      </c>
      <c r="N589" s="1302">
        <f t="shared" si="4284"/>
        <v>0.307286166842661</v>
      </c>
      <c r="O589" s="1302">
        <f t="shared" si="4284"/>
        <v>0.510922330097087</v>
      </c>
      <c r="P589" s="1302">
        <f t="shared" si="4284"/>
        <v>0.408891862303856</v>
      </c>
      <c r="Q589" s="1302">
        <f t="shared" si="4284"/>
        <v>0.34563739214902</v>
      </c>
      <c r="R589" s="1302">
        <f t="shared" si="4284"/>
        <v>0.431077694235589</v>
      </c>
      <c r="S589" s="1302">
        <f t="shared" si="4284"/>
        <v>0.36555023923445</v>
      </c>
      <c r="T589" s="1302">
        <f t="shared" si="4284"/>
        <v>0.400535236396075</v>
      </c>
      <c r="U589" s="1302">
        <f t="shared" si="4284"/>
        <v>0.456521739130435</v>
      </c>
      <c r="V589" s="1302">
        <f t="shared" si="4284"/>
        <v>0.422724824986537</v>
      </c>
      <c r="W589" s="1302">
        <f t="shared" si="4284"/>
        <v>0.419678714859438</v>
      </c>
      <c r="X589" s="1302">
        <f t="shared" si="4284"/>
        <v>0.407295488884092</v>
      </c>
      <c r="Y589" s="1302">
        <f t="shared" si="4284"/>
        <v>0.42208067940552</v>
      </c>
      <c r="Z589" s="1302">
        <f t="shared" si="4284"/>
        <v>0.786339754816112</v>
      </c>
      <c r="AA589" s="1302">
        <f t="shared" si="4284"/>
        <v>0.741415557112824</v>
      </c>
      <c r="AB589" s="1302">
        <f t="shared" si="4284"/>
        <v>0.765923566878981</v>
      </c>
      <c r="AC589" s="1302">
        <f t="shared" si="4284"/>
        <v>0.560167910447761</v>
      </c>
      <c r="AD589" s="1302">
        <f t="shared" si="4284"/>
        <v>0.682437547312642</v>
      </c>
      <c r="AE589" s="1302">
        <f t="shared" si="4284"/>
        <v>0.757072135785007</v>
      </c>
      <c r="AF589" s="1302">
        <f t="shared" si="4284"/>
        <v>0.735122699386503</v>
      </c>
      <c r="AG589" s="1302">
        <f t="shared" si="4284"/>
        <v>0.698193490594207</v>
      </c>
      <c r="AH589" s="1302">
        <f t="shared" si="4284"/>
        <v>-0.112220675479267</v>
      </c>
      <c r="AI589" s="1302">
        <f t="shared" si="4284"/>
        <v>-0.0599572400174564</v>
      </c>
      <c r="AJ589" s="1302">
        <f t="shared" si="4284"/>
        <v>-0.0887987391181126</v>
      </c>
      <c r="AK589" s="1302">
        <f t="shared" si="4284"/>
        <v>-0.0791081206000005</v>
      </c>
      <c r="AL589" s="1302">
        <f t="shared" si="4284"/>
        <v>-0.0851524940176532</v>
      </c>
      <c r="AM589" s="1302">
        <f t="shared" si="4284"/>
        <v>-0.0577213379711496</v>
      </c>
      <c r="AN589" s="1302">
        <f t="shared" si="4284"/>
        <v>-0.0681732248341206</v>
      </c>
      <c r="AO589" s="1302">
        <f t="shared" si="4284"/>
        <v>-0.0791607838591813</v>
      </c>
      <c r="AP589" s="1302">
        <f t="shared" ref="AP589:BU589" si="4285">AP588/AH588-1</f>
        <v>0.0921526277897768</v>
      </c>
      <c r="AQ589" s="1302">
        <f t="shared" si="4285"/>
        <v>0.0448760884125921</v>
      </c>
      <c r="AR589" s="1302">
        <f t="shared" si="4285"/>
        <v>0.0702949601300611</v>
      </c>
      <c r="AS589" s="1302">
        <f t="shared" si="4285"/>
        <v>0.0647619047619048</v>
      </c>
      <c r="AT589" s="1302">
        <f t="shared" si="4285"/>
        <v>0.0681993074259331</v>
      </c>
      <c r="AU589" s="1302">
        <f t="shared" si="4285"/>
        <v>0.16374269005848</v>
      </c>
      <c r="AV589" s="1302">
        <f t="shared" si="4285"/>
        <v>0.109090909090909</v>
      </c>
      <c r="AW589" s="1302">
        <f t="shared" si="4285"/>
        <v>0.0895544683870486</v>
      </c>
      <c r="AX589" s="1303">
        <f t="shared" si="4285"/>
        <v>0.027027027027027</v>
      </c>
      <c r="AY589" s="1302">
        <f t="shared" si="4285"/>
        <v>0.0961538461538463</v>
      </c>
      <c r="AZ589" s="1302">
        <f t="shared" si="4285"/>
        <v>0.0582278481012659</v>
      </c>
      <c r="BA589" s="1302">
        <f t="shared" si="4285"/>
        <v>0.0673822301729279</v>
      </c>
      <c r="BB589" s="1302">
        <f t="shared" si="4285"/>
        <v>-0.289058982440342</v>
      </c>
      <c r="BC589" s="1302">
        <f t="shared" si="4285"/>
        <v>0.00143575017946884</v>
      </c>
      <c r="BD589" s="1302">
        <f t="shared" si="4285"/>
        <v>0.0267648042823687</v>
      </c>
      <c r="BE589" s="1304">
        <f t="shared" si="4285"/>
        <v>-0.219708654670094</v>
      </c>
      <c r="BF589" s="1302">
        <f t="shared" si="4285"/>
        <v>0.0513478818998716</v>
      </c>
      <c r="BG589" s="1302">
        <f t="shared" si="4285"/>
        <v>0.101608187134503</v>
      </c>
      <c r="BH589" s="1302">
        <f t="shared" si="4285"/>
        <v>0.0748462064251538</v>
      </c>
      <c r="BI589" s="1302">
        <f t="shared" si="4285"/>
        <v>0.0424581005586593</v>
      </c>
      <c r="BJ589" s="1302">
        <f t="shared" si="4285"/>
        <v>0.586763774540849</v>
      </c>
      <c r="BK589" s="1302">
        <f t="shared" si="4285"/>
        <v>0.0831541218637992</v>
      </c>
      <c r="BL589" s="1302">
        <f t="shared" si="4285"/>
        <v>0.0654936461388074</v>
      </c>
      <c r="BM589" s="1302">
        <f t="shared" si="4285"/>
        <v>0.432462112892598</v>
      </c>
      <c r="BN589" s="1303">
        <f t="shared" si="4285"/>
        <v>0.0189255189255189</v>
      </c>
      <c r="BO589" s="1302">
        <f t="shared" si="4285"/>
        <v>-0.0763105507631056</v>
      </c>
      <c r="BP589" s="1302">
        <f t="shared" si="4285"/>
        <v>-0.0267090620031797</v>
      </c>
      <c r="BQ589" s="1302">
        <f t="shared" si="4285"/>
        <v>-0.00696677384780275</v>
      </c>
      <c r="BR589" s="1302">
        <f t="shared" si="4285"/>
        <v>-0.0193574136898823</v>
      </c>
      <c r="BS589" s="1302">
        <f t="shared" si="4285"/>
        <v>-0.103904698874917</v>
      </c>
      <c r="BT589" s="1302">
        <f t="shared" si="4285"/>
        <v>-0.0422018348623853</v>
      </c>
      <c r="BU589" s="1304">
        <f t="shared" si="4285"/>
        <v>-0.0389451088623122</v>
      </c>
      <c r="BV589" s="1303">
        <f t="shared" ref="BV589:CC589" si="4286">BV588/BN588-1</f>
        <v>-0.576393049730378</v>
      </c>
      <c r="BW589" s="1302">
        <f t="shared" si="4286"/>
        <v>-0.506465517241379</v>
      </c>
      <c r="BX589" s="1302">
        <f t="shared" si="4286"/>
        <v>-0.544593270173146</v>
      </c>
      <c r="BY589" s="1302">
        <f t="shared" si="4286"/>
        <v>-0.541284403669725</v>
      </c>
      <c r="BZ589" s="1302">
        <f t="shared" si="4286"/>
        <v>-0.543345543345543</v>
      </c>
      <c r="CA589" s="1302">
        <f t="shared" si="4286"/>
        <v>-0.579025110782866</v>
      </c>
      <c r="CB589" s="1302">
        <f t="shared" si="4286"/>
        <v>-0.408365261813538</v>
      </c>
      <c r="CC589" s="1304">
        <f t="shared" si="4286"/>
        <v>-0.551052967453733</v>
      </c>
      <c r="CD589" s="1303">
        <f t="shared" ref="CD589:CK589" si="4287">CD588/BV588-1</f>
        <v>0.137199434229137</v>
      </c>
      <c r="CE589" s="1302">
        <f t="shared" si="4287"/>
        <v>0.0815138282387191</v>
      </c>
      <c r="CF589" s="1302">
        <f t="shared" si="4287"/>
        <v>0.109756097560976</v>
      </c>
      <c r="CG589" s="1302">
        <f t="shared" si="4287"/>
        <v>0.0988235294117648</v>
      </c>
      <c r="CH589" s="1302">
        <f t="shared" si="4287"/>
        <v>0.105614973262032</v>
      </c>
      <c r="CI589" s="1302">
        <f t="shared" si="4287"/>
        <v>0.256140350877193</v>
      </c>
      <c r="CJ589" s="1302">
        <f t="shared" si="4287"/>
        <v>-0.109552077711819</v>
      </c>
      <c r="CK589" s="1304">
        <f t="shared" si="4287"/>
        <v>0.136105188343994</v>
      </c>
      <c r="CL589" s="1303">
        <v>0.469805193813509</v>
      </c>
      <c r="CM589" s="1302">
        <f t="shared" ref="CM589:CS589" si="4288">CM588/CE588-1</f>
        <v>0.458950201884253</v>
      </c>
      <c r="CN589" s="1302">
        <f t="shared" si="4288"/>
        <v>0.416289592760181</v>
      </c>
      <c r="CO589" s="1302">
        <f t="shared" si="4288"/>
        <v>0.420770877944326</v>
      </c>
      <c r="CP589" s="1302">
        <f t="shared" si="4288"/>
        <v>0.417976622329706</v>
      </c>
      <c r="CQ589" s="1302">
        <f t="shared" si="4288"/>
        <v>0.364525139664804</v>
      </c>
      <c r="CR589" s="1302">
        <f t="shared" si="4288"/>
        <v>0.396373279242424</v>
      </c>
      <c r="CS589" s="1304">
        <f t="shared" si="4288"/>
        <v>0.406005630278386</v>
      </c>
      <c r="CT589" s="1303">
        <f t="shared" ref="CT589:DA589" si="4289">CT588/CL588-1</f>
        <v>0.0731707317073171</v>
      </c>
      <c r="CU589" s="1302">
        <f t="shared" si="4289"/>
        <v>0.0498154981549817</v>
      </c>
      <c r="CV589" s="1302">
        <f t="shared" si="4289"/>
        <v>0.0616157005933364</v>
      </c>
      <c r="CW589" s="1302">
        <f t="shared" si="4289"/>
        <v>0.0768651092690278</v>
      </c>
      <c r="CX589" s="1302">
        <f t="shared" si="4289"/>
        <v>0.0673678226264924</v>
      </c>
      <c r="CY589" s="1302">
        <f t="shared" si="4289"/>
        <v>0.15353121801433</v>
      </c>
      <c r="CZ589" s="1302">
        <f t="shared" si="4289"/>
        <v>0.109367339033685</v>
      </c>
      <c r="DA589" s="1304">
        <f t="shared" si="4289"/>
        <v>0.0860956618464961</v>
      </c>
      <c r="DB589" s="1109">
        <f t="shared" ref="DB589:DI589" si="4290">DB588/CT588-1</f>
        <v>0.0841750841750841</v>
      </c>
      <c r="DC589" s="1082">
        <f t="shared" si="4290"/>
        <v>0.0281195079086116</v>
      </c>
      <c r="DD589" s="1082">
        <f t="shared" si="4290"/>
        <v>0.030524505588994</v>
      </c>
      <c r="DE589" s="1082">
        <f t="shared" si="4290"/>
        <v>0.0265920223932821</v>
      </c>
      <c r="DF589" s="1082">
        <f t="shared" si="4290"/>
        <v>0.0290279627163781</v>
      </c>
      <c r="DG589" s="1082">
        <f t="shared" si="4290"/>
        <v>0.235137533274179</v>
      </c>
      <c r="DH589" s="1082">
        <f t="shared" si="4290"/>
        <v>0.118544600938967</v>
      </c>
      <c r="DI589" s="1085">
        <f t="shared" si="4290"/>
        <v>0.0766079475624744</v>
      </c>
      <c r="DJ589" s="1082">
        <f t="shared" ref="DJ589:DQ589" si="4291">DJ588/DB588-1</f>
        <v>-0.0962732919254655</v>
      </c>
      <c r="DK589" s="1082">
        <f t="shared" si="4291"/>
        <v>-0.0555555555555556</v>
      </c>
      <c r="DL589" s="1082">
        <f t="shared" si="4291"/>
        <v>-0.0534000834376301</v>
      </c>
      <c r="DM589" s="1082">
        <f t="shared" si="4291"/>
        <v>-0.10906612133606</v>
      </c>
      <c r="DN589" s="1082">
        <f t="shared" si="4291"/>
        <v>-0.0745341614906833</v>
      </c>
      <c r="DO589" s="1082" t="e">
        <f t="shared" si="4291"/>
        <v>#REF!</v>
      </c>
      <c r="DP589" s="1082" t="e">
        <f t="shared" si="4291"/>
        <v>#REF!</v>
      </c>
      <c r="DQ589" s="1085" t="e">
        <f t="shared" si="4291"/>
        <v>#REF!</v>
      </c>
      <c r="DR589" s="1082"/>
      <c r="DS589" s="1082"/>
      <c r="DT589" s="1082"/>
      <c r="DU589" s="1082"/>
      <c r="DV589" s="1082"/>
      <c r="DW589" s="1082"/>
      <c r="DX589" s="1082"/>
      <c r="DY589" s="1085"/>
      <c r="DZ589" s="1082"/>
      <c r="EA589" s="1082"/>
      <c r="EB589" s="1082"/>
      <c r="EC589" s="1082"/>
      <c r="ED589" s="1082"/>
      <c r="EE589" s="1082"/>
      <c r="EF589" s="1082"/>
      <c r="EG589" s="1085"/>
      <c r="EH589" s="1082"/>
      <c r="EI589" s="1082"/>
      <c r="EJ589" s="1082"/>
      <c r="EK589" s="1082"/>
      <c r="EL589" s="1082"/>
      <c r="EM589" s="1082"/>
      <c r="EN589" s="1082"/>
      <c r="EO589" s="1085"/>
      <c r="EP589" s="1082"/>
      <c r="EQ589" s="1082"/>
      <c r="ER589" s="1082"/>
      <c r="ES589" s="1082"/>
      <c r="ET589" s="1082"/>
      <c r="EU589" s="1082"/>
      <c r="EV589" s="1082"/>
      <c r="IX589" s="1049"/>
      <c r="IY589" s="1049"/>
      <c r="IZ589" s="1049"/>
      <c r="JA589" s="1049"/>
      <c r="JB589" s="1049"/>
      <c r="JC589" s="1049"/>
      <c r="JD589" s="1083"/>
      <c r="JE589" s="1126"/>
      <c r="JF589" s="1126"/>
      <c r="JG589" s="1126"/>
      <c r="JH589" s="1126"/>
      <c r="JI589" s="1024"/>
      <c r="JJ589" s="1035"/>
      <c r="JK589" s="1035"/>
      <c r="JL589" s="1035"/>
      <c r="JM589" s="1035"/>
      <c r="JN589" s="1035"/>
      <c r="JO589" s="1035"/>
      <c r="JP589" s="1035"/>
      <c r="JQ589" s="1035"/>
      <c r="JR589" s="1035"/>
      <c r="JS589" s="1035"/>
      <c r="JT589" s="1035"/>
      <c r="JU589" s="1035"/>
      <c r="JV589" s="1035"/>
      <c r="JW589" s="1035"/>
      <c r="JX589" s="1035"/>
      <c r="JY589" s="1035"/>
      <c r="KP589" s="1179"/>
    </row>
    <row r="590" spans="1:302">
      <c r="A590" s="1035" t="s">
        <v>631</v>
      </c>
      <c r="B590" s="1302"/>
      <c r="C590" s="1302"/>
      <c r="D590" s="1302"/>
      <c r="E590" s="1302"/>
      <c r="F590" s="1302"/>
      <c r="G590" s="1302"/>
      <c r="H590" s="1302"/>
      <c r="I590" s="1302"/>
      <c r="J590" s="1302"/>
      <c r="K590" s="1302"/>
      <c r="L590" s="1302"/>
      <c r="M590" s="1302"/>
      <c r="N590" s="1302"/>
      <c r="O590" s="1302"/>
      <c r="P590" s="1302"/>
      <c r="Q590" s="1302"/>
      <c r="R590" s="1302"/>
      <c r="S590" s="1302"/>
      <c r="T590" s="1302"/>
      <c r="U590" s="1302"/>
      <c r="V590" s="1302"/>
      <c r="W590" s="1302"/>
      <c r="X590" s="1302"/>
      <c r="Y590" s="1302"/>
      <c r="Z590" s="1302"/>
      <c r="AA590" s="1302"/>
      <c r="AB590" s="1302"/>
      <c r="AC590" s="1302"/>
      <c r="AD590" s="1302"/>
      <c r="AE590" s="1302"/>
      <c r="AF590" s="1302"/>
      <c r="AG590" s="1302"/>
      <c r="AH590" s="1302"/>
      <c r="AI590" s="1302"/>
      <c r="AJ590" s="1302"/>
      <c r="AK590" s="1302"/>
      <c r="AL590" s="1302"/>
      <c r="AM590" s="1302"/>
      <c r="AN590" s="1302"/>
      <c r="AO590" s="1302"/>
      <c r="AP590" s="1302"/>
      <c r="AQ590" s="1302"/>
      <c r="AR590" s="1302"/>
      <c r="AS590" s="1302"/>
      <c r="AT590" s="1302"/>
      <c r="AU590" s="1302"/>
      <c r="AV590" s="1302"/>
      <c r="AW590" s="1302"/>
      <c r="AX590" s="1303"/>
      <c r="AY590" s="1302"/>
      <c r="AZ590" s="1302"/>
      <c r="BA590" s="1302"/>
      <c r="BB590" s="1302"/>
      <c r="BC590" s="1302"/>
      <c r="BD590" s="1302"/>
      <c r="BE590" s="1304"/>
      <c r="BF590" s="1302"/>
      <c r="BG590" s="1302"/>
      <c r="BH590" s="1302"/>
      <c r="BI590" s="1302"/>
      <c r="BJ590" s="1302"/>
      <c r="BK590" s="1302"/>
      <c r="BL590" s="1302"/>
      <c r="BM590" s="1302"/>
      <c r="BN590" s="1303"/>
      <c r="BO590" s="1302"/>
      <c r="BP590" s="1302"/>
      <c r="BQ590" s="1302"/>
      <c r="BR590" s="1302"/>
      <c r="BS590" s="1302"/>
      <c r="BT590" s="1302"/>
      <c r="BU590" s="1304"/>
      <c r="BV590" s="1303">
        <f t="shared" ref="BV590:DI590" si="4292">BV588/BV388</f>
        <v>0.469767441860465</v>
      </c>
      <c r="BW590" s="1302">
        <f t="shared" si="4292"/>
        <v>0.490364025695931</v>
      </c>
      <c r="BX590" s="1302">
        <f t="shared" si="4292"/>
        <v>0.479697178251893</v>
      </c>
      <c r="BY590" s="1302">
        <f t="shared" si="4292"/>
        <v>0.483503981797497</v>
      </c>
      <c r="BZ590" s="1302">
        <f t="shared" si="4292"/>
        <v>0.481132075471698</v>
      </c>
      <c r="CA590" s="1302">
        <f t="shared" si="4292"/>
        <v>0.476588628762542</v>
      </c>
      <c r="CB590" s="1302">
        <f t="shared" si="4292"/>
        <v>0.547091821671095</v>
      </c>
      <c r="CC590" s="1304">
        <f t="shared" si="4292"/>
        <v>0.480204778156997</v>
      </c>
      <c r="CD590" s="1303">
        <f t="shared" si="4292"/>
        <v>0.480573819485953</v>
      </c>
      <c r="CE590" s="1302">
        <f t="shared" si="4292"/>
        <v>0.490105540897098</v>
      </c>
      <c r="CF590" s="1302">
        <f t="shared" si="4292"/>
        <v>0.485105048604578</v>
      </c>
      <c r="CG590" s="1302">
        <f t="shared" si="4292"/>
        <v>0.485446985446985</v>
      </c>
      <c r="CH590" s="1302">
        <f t="shared" si="4292"/>
        <v>0.485233717973792</v>
      </c>
      <c r="CI590" s="1302">
        <f t="shared" si="4292"/>
        <v>0.470742932281394</v>
      </c>
      <c r="CJ590" s="1302">
        <f t="shared" si="4292"/>
        <v>0.478955007256894</v>
      </c>
      <c r="CK590" s="1304">
        <f t="shared" si="4292"/>
        <v>0.48191136569189</v>
      </c>
      <c r="CL590" s="1303">
        <f t="shared" si="4292"/>
        <v>0.450183001220008</v>
      </c>
      <c r="CM590" s="1302">
        <f t="shared" si="4292"/>
        <v>0.446457990115321</v>
      </c>
      <c r="CN590" s="1302">
        <f t="shared" si="4292"/>
        <v>0.448332310210763</v>
      </c>
      <c r="CO590" s="1302">
        <f t="shared" si="4292"/>
        <v>0.449983045100034</v>
      </c>
      <c r="CP590" s="1302">
        <f t="shared" si="4292"/>
        <v>0.448953547728433</v>
      </c>
      <c r="CQ590" s="1302">
        <f t="shared" si="4292"/>
        <v>0.434608540925267</v>
      </c>
      <c r="CR590" s="1302">
        <f t="shared" si="4292"/>
        <v>0.443334396183809</v>
      </c>
      <c r="CS590" s="1304">
        <f t="shared" si="4292"/>
        <v>0.445755652518842</v>
      </c>
      <c r="CT590" s="1303">
        <f t="shared" si="4292"/>
        <v>0.468085106382979</v>
      </c>
      <c r="CU590" s="1302">
        <f t="shared" si="4292"/>
        <v>0.474166666666667</v>
      </c>
      <c r="CV590" s="1302">
        <f t="shared" si="4292"/>
        <v>0.471040907249899</v>
      </c>
      <c r="CW590" s="1302">
        <f t="shared" si="4292"/>
        <v>0.485889153349201</v>
      </c>
      <c r="CX590" s="1302">
        <f t="shared" si="4292"/>
        <v>0.476583322756695</v>
      </c>
      <c r="CY590" s="1302">
        <f t="shared" si="4292"/>
        <v>0.46589499793303</v>
      </c>
      <c r="CZ590" s="1302">
        <f t="shared" si="4292"/>
        <v>0.476865671641791</v>
      </c>
      <c r="DA590" s="1304">
        <f t="shared" si="4292"/>
        <v>0.474072635463197</v>
      </c>
      <c r="DB590" s="1109">
        <f t="shared" si="4292"/>
        <v>0.492920015308075</v>
      </c>
      <c r="DC590" s="1082">
        <f t="shared" si="4292"/>
        <v>0.465393794749403</v>
      </c>
      <c r="DD590" s="1082">
        <f t="shared" si="4292"/>
        <v>0.467524868344061</v>
      </c>
      <c r="DE590" s="1082">
        <f t="shared" si="4292"/>
        <v>0.476453393959078</v>
      </c>
      <c r="DF590" s="1082">
        <f t="shared" si="4292"/>
        <v>0.470874969534487</v>
      </c>
      <c r="DG590" s="1082">
        <f t="shared" si="4292"/>
        <v>0.540372670807453</v>
      </c>
      <c r="DH590" s="1082">
        <f t="shared" si="4292"/>
        <v>0.505570291777188</v>
      </c>
      <c r="DI590" s="1085">
        <f t="shared" si="4292"/>
        <v>0.552565363038635</v>
      </c>
      <c r="DJ590" s="1082">
        <f t="shared" ref="DJ590:DQ590" si="4293">DJ588/DJ570</f>
        <v>0.451688009313155</v>
      </c>
      <c r="DK590" s="1082">
        <f t="shared" si="4293"/>
        <v>0.44973544973545</v>
      </c>
      <c r="DL590" s="1082">
        <f t="shared" si="4293"/>
        <v>0.450735001986492</v>
      </c>
      <c r="DM590" s="1082">
        <f t="shared" si="4293"/>
        <v>0.452562326869806</v>
      </c>
      <c r="DN590" s="1082">
        <f t="shared" si="4293"/>
        <v>0.451401161322898</v>
      </c>
      <c r="DO590" s="1082" t="e">
        <f t="shared" si="4293"/>
        <v>#REF!</v>
      </c>
      <c r="DP590" s="1082" t="e">
        <f t="shared" si="4293"/>
        <v>#REF!</v>
      </c>
      <c r="DQ590" s="1085" t="e">
        <f t="shared" si="4293"/>
        <v>#REF!</v>
      </c>
      <c r="DR590" s="1082"/>
      <c r="DS590" s="1082"/>
      <c r="DT590" s="1082"/>
      <c r="DU590" s="1082"/>
      <c r="DV590" s="1082"/>
      <c r="DW590" s="1082"/>
      <c r="DX590" s="1082"/>
      <c r="DY590" s="1085"/>
      <c r="DZ590" s="1082"/>
      <c r="EA590" s="1082"/>
      <c r="EB590" s="1082"/>
      <c r="EC590" s="1082"/>
      <c r="ED590" s="1082"/>
      <c r="EE590" s="1082"/>
      <c r="EF590" s="1082"/>
      <c r="EG590" s="1085"/>
      <c r="EH590" s="1082"/>
      <c r="EI590" s="1082"/>
      <c r="EJ590" s="1082"/>
      <c r="EK590" s="1082"/>
      <c r="EL590" s="1082"/>
      <c r="EM590" s="1082"/>
      <c r="EN590" s="1082"/>
      <c r="EO590" s="1085"/>
      <c r="EP590" s="1082"/>
      <c r="EQ590" s="1082"/>
      <c r="ER590" s="1082"/>
      <c r="ES590" s="1082"/>
      <c r="ET590" s="1082"/>
      <c r="EU590" s="1082"/>
      <c r="EV590" s="1082"/>
      <c r="IX590" s="1049"/>
      <c r="IY590" s="1049"/>
      <c r="IZ590" s="1049"/>
      <c r="JA590" s="1049"/>
      <c r="JB590" s="1049"/>
      <c r="JC590" s="1049"/>
      <c r="JD590" s="1083"/>
      <c r="JE590" s="1126"/>
      <c r="JF590" s="1126"/>
      <c r="JG590" s="1126"/>
      <c r="JH590" s="1126"/>
      <c r="JI590" s="1024"/>
      <c r="JJ590" s="1035"/>
      <c r="JK590" s="1035"/>
      <c r="JL590" s="1035"/>
      <c r="JM590" s="1035"/>
      <c r="JN590" s="1035"/>
      <c r="JO590" s="1035"/>
      <c r="JP590" s="1035"/>
      <c r="JQ590" s="1035"/>
      <c r="JR590" s="1035"/>
      <c r="JS590" s="1035"/>
      <c r="JT590" s="1035"/>
      <c r="JU590" s="1035"/>
      <c r="JV590" s="1035"/>
      <c r="JW590" s="1035"/>
      <c r="JX590" s="1035"/>
      <c r="JY590" s="1035"/>
      <c r="KP590" s="1179"/>
    </row>
    <row r="591" spans="1:302">
      <c r="B591" s="1302"/>
      <c r="C591" s="1302"/>
      <c r="D591" s="1302"/>
      <c r="E591" s="1302"/>
      <c r="F591" s="1302"/>
      <c r="G591" s="1302"/>
      <c r="H591" s="1302"/>
      <c r="I591" s="1302"/>
      <c r="J591" s="1302"/>
      <c r="K591" s="1302"/>
      <c r="L591" s="1302"/>
      <c r="M591" s="1302"/>
      <c r="N591" s="1302"/>
      <c r="O591" s="1302"/>
      <c r="P591" s="1302"/>
      <c r="Q591" s="1302"/>
      <c r="R591" s="1302"/>
      <c r="S591" s="1302"/>
      <c r="T591" s="1302"/>
      <c r="U591" s="1302"/>
      <c r="V591" s="1302"/>
      <c r="W591" s="1302"/>
      <c r="X591" s="1302"/>
      <c r="Y591" s="1302"/>
      <c r="Z591" s="1302"/>
      <c r="AA591" s="1302"/>
      <c r="AB591" s="1302"/>
      <c r="AC591" s="1302"/>
      <c r="AD591" s="1302"/>
      <c r="AE591" s="1302"/>
      <c r="AF591" s="1302"/>
      <c r="AG591" s="1302"/>
      <c r="AH591" s="1302"/>
      <c r="AI591" s="1302"/>
      <c r="AJ591" s="1302"/>
      <c r="AK591" s="1302"/>
      <c r="AL591" s="1302"/>
      <c r="AM591" s="1302"/>
      <c r="AN591" s="1302"/>
      <c r="AO591" s="1302"/>
      <c r="AP591" s="1302"/>
      <c r="AQ591" s="1302"/>
      <c r="AR591" s="1302"/>
      <c r="AS591" s="1302"/>
      <c r="AT591" s="1302"/>
      <c r="AU591" s="1302"/>
      <c r="AV591" s="1302"/>
      <c r="AW591" s="1302"/>
      <c r="AX591" s="1303"/>
      <c r="AY591" s="1302"/>
      <c r="AZ591" s="1302"/>
      <c r="BA591" s="1302"/>
      <c r="BB591" s="1302"/>
      <c r="BC591" s="1302"/>
      <c r="BD591" s="1302"/>
      <c r="BE591" s="1304"/>
      <c r="BF591" s="1302"/>
      <c r="BG591" s="1302"/>
      <c r="BH591" s="1302"/>
      <c r="BI591" s="1302"/>
      <c r="BJ591" s="1302"/>
      <c r="BK591" s="1302"/>
      <c r="BL591" s="1302"/>
      <c r="BM591" s="1302"/>
      <c r="BN591" s="1303"/>
      <c r="BO591" s="1302"/>
      <c r="BP591" s="1302"/>
      <c r="BQ591" s="1302"/>
      <c r="BR591" s="1302"/>
      <c r="BS591" s="1302"/>
      <c r="BT591" s="1302"/>
      <c r="BU591" s="1304"/>
      <c r="BV591" s="1303"/>
      <c r="BW591" s="1302"/>
      <c r="BX591" s="1302"/>
      <c r="BY591" s="1302"/>
      <c r="BZ591" s="1302"/>
      <c r="CA591" s="1302"/>
      <c r="CB591" s="1302"/>
      <c r="CC591" s="1304"/>
      <c r="CD591" s="1303"/>
      <c r="CE591" s="1302"/>
      <c r="CF591" s="1302"/>
      <c r="CG591" s="1302"/>
      <c r="CH591" s="1302"/>
      <c r="CI591" s="1302"/>
      <c r="CJ591" s="1302"/>
      <c r="CK591" s="1304"/>
      <c r="CL591" s="1303"/>
      <c r="CM591" s="1302"/>
      <c r="CN591" s="1302"/>
      <c r="CO591" s="1302"/>
      <c r="CP591" s="1302"/>
      <c r="CQ591" s="1302"/>
      <c r="CR591" s="1302"/>
      <c r="CS591" s="1304"/>
      <c r="CT591" s="1303"/>
      <c r="CU591" s="1302"/>
      <c r="CV591" s="1302"/>
      <c r="CW591" s="1302"/>
      <c r="CX591" s="1302"/>
      <c r="CY591" s="1302"/>
      <c r="CZ591" s="1302"/>
      <c r="DA591" s="1304"/>
      <c r="DB591" s="1109"/>
      <c r="DC591" s="1082"/>
      <c r="DD591" s="1082"/>
      <c r="DE591" s="1082"/>
      <c r="DF591" s="1082"/>
      <c r="DG591" s="1082"/>
      <c r="DH591" s="1082"/>
      <c r="DI591" s="1085"/>
      <c r="DJ591" s="1519">
        <f t="shared" ref="DJ591:DQ591" si="4294">(DJ590-DB590)*10000</f>
        <v>-412.3200599492</v>
      </c>
      <c r="DK591" s="1519">
        <f t="shared" si="4294"/>
        <v>-156.583450139536</v>
      </c>
      <c r="DL591" s="1519">
        <f t="shared" si="4294"/>
        <v>-167.898663575689</v>
      </c>
      <c r="DM591" s="1519">
        <f t="shared" si="4294"/>
        <v>-238.910670892716</v>
      </c>
      <c r="DN591" s="1519">
        <f t="shared" si="4294"/>
        <v>-194.738082115887</v>
      </c>
      <c r="DO591" s="1519" t="e">
        <f t="shared" si="4294"/>
        <v>#REF!</v>
      </c>
      <c r="DP591" s="1519" t="e">
        <f t="shared" si="4294"/>
        <v>#REF!</v>
      </c>
      <c r="DQ591" s="1520" t="e">
        <f t="shared" si="4294"/>
        <v>#REF!</v>
      </c>
      <c r="DR591" s="1519"/>
      <c r="DS591" s="1519"/>
      <c r="DT591" s="1519"/>
      <c r="DU591" s="1519"/>
      <c r="DV591" s="1519"/>
      <c r="DW591" s="1519"/>
      <c r="DX591" s="1519"/>
      <c r="DY591" s="1520"/>
      <c r="DZ591" s="1519"/>
      <c r="EA591" s="1519"/>
      <c r="EB591" s="1519"/>
      <c r="EC591" s="1519"/>
      <c r="ED591" s="1519"/>
      <c r="EE591" s="1519"/>
      <c r="EF591" s="1519"/>
      <c r="EG591" s="1520"/>
      <c r="EH591" s="1519"/>
      <c r="EI591" s="1519"/>
      <c r="EJ591" s="1519"/>
      <c r="EK591" s="1519"/>
      <c r="EL591" s="1519"/>
      <c r="EM591" s="1519"/>
      <c r="EN591" s="1519"/>
      <c r="EO591" s="1520"/>
      <c r="EP591" s="1519"/>
      <c r="EQ591" s="1519"/>
      <c r="ER591" s="1519"/>
      <c r="ES591" s="1519"/>
      <c r="ET591" s="1519"/>
      <c r="EU591" s="1519"/>
      <c r="EV591" s="1519"/>
      <c r="IX591" s="1049"/>
      <c r="IY591" s="1049"/>
      <c r="IZ591" s="1049"/>
      <c r="JA591" s="1049"/>
      <c r="JB591" s="1049"/>
      <c r="JC591" s="1049"/>
      <c r="JD591" s="1521"/>
      <c r="JE591" s="1126"/>
      <c r="JF591" s="1126"/>
      <c r="JG591" s="1126"/>
      <c r="JH591" s="1126"/>
      <c r="JI591" s="1024"/>
      <c r="JJ591" s="1035"/>
      <c r="JK591" s="1035"/>
      <c r="JL591" s="1035"/>
      <c r="JM591" s="1035"/>
      <c r="JN591" s="1035"/>
      <c r="JO591" s="1035"/>
      <c r="JP591" s="1035"/>
      <c r="JQ591" s="1035"/>
      <c r="JR591" s="1035"/>
      <c r="JS591" s="1035"/>
      <c r="JT591" s="1035"/>
      <c r="JU591" s="1035"/>
      <c r="JV591" s="1035"/>
      <c r="JW591" s="1035"/>
      <c r="JX591" s="1035"/>
      <c r="JY591" s="1035"/>
      <c r="KP591" s="1180"/>
    </row>
    <row r="592" spans="1:302">
      <c r="A592" s="1051" t="s">
        <v>633</v>
      </c>
      <c r="B592" s="1482" t="s">
        <v>259</v>
      </c>
      <c r="C592" s="1482" t="s">
        <v>260</v>
      </c>
      <c r="D592" s="1482" t="s">
        <v>261</v>
      </c>
      <c r="E592" s="1482" t="s">
        <v>262</v>
      </c>
      <c r="F592" s="1482" t="s">
        <v>263</v>
      </c>
      <c r="G592" s="1482" t="s">
        <v>264</v>
      </c>
      <c r="H592" s="1482" t="s">
        <v>265</v>
      </c>
      <c r="I592" s="1482" t="s">
        <v>14</v>
      </c>
      <c r="J592" s="1482" t="s">
        <v>266</v>
      </c>
      <c r="K592" s="1482" t="s">
        <v>267</v>
      </c>
      <c r="L592" s="1482" t="s">
        <v>268</v>
      </c>
      <c r="M592" s="1482" t="s">
        <v>269</v>
      </c>
      <c r="N592" s="1482" t="s">
        <v>270</v>
      </c>
      <c r="O592" s="1482" t="s">
        <v>271</v>
      </c>
      <c r="P592" s="1482" t="s">
        <v>272</v>
      </c>
      <c r="Q592" s="1482" t="s">
        <v>15</v>
      </c>
      <c r="R592" s="1482" t="s">
        <v>273</v>
      </c>
      <c r="S592" s="1482" t="s">
        <v>274</v>
      </c>
      <c r="T592" s="1482" t="s">
        <v>275</v>
      </c>
      <c r="U592" s="1482" t="s">
        <v>276</v>
      </c>
      <c r="V592" s="1482" t="s">
        <v>277</v>
      </c>
      <c r="W592" s="1482" t="s">
        <v>278</v>
      </c>
      <c r="X592" s="1482" t="s">
        <v>279</v>
      </c>
      <c r="Y592" s="1482" t="s">
        <v>16</v>
      </c>
      <c r="Z592" s="1482" t="s">
        <v>280</v>
      </c>
      <c r="AA592" s="1482" t="s">
        <v>281</v>
      </c>
      <c r="AB592" s="1482" t="s">
        <v>282</v>
      </c>
      <c r="AC592" s="1482" t="s">
        <v>283</v>
      </c>
      <c r="AD592" s="1482" t="s">
        <v>277</v>
      </c>
      <c r="AE592" s="1482" t="s">
        <v>284</v>
      </c>
      <c r="AF592" s="1482" t="s">
        <v>285</v>
      </c>
      <c r="AG592" s="1482" t="s">
        <v>17</v>
      </c>
      <c r="AH592" s="1482" t="s">
        <v>286</v>
      </c>
      <c r="AI592" s="1482" t="s">
        <v>287</v>
      </c>
      <c r="AJ592" s="1482" t="s">
        <v>288</v>
      </c>
      <c r="AK592" s="1482" t="s">
        <v>289</v>
      </c>
      <c r="AL592" s="1482" t="s">
        <v>290</v>
      </c>
      <c r="AM592" s="1482" t="s">
        <v>291</v>
      </c>
      <c r="AN592" s="1482" t="s">
        <v>292</v>
      </c>
      <c r="AO592" s="1482" t="s">
        <v>18</v>
      </c>
      <c r="AP592" s="1482" t="s">
        <v>293</v>
      </c>
      <c r="AQ592" s="1482" t="s">
        <v>294</v>
      </c>
      <c r="AR592" s="1482" t="s">
        <v>295</v>
      </c>
      <c r="AS592" s="1482" t="s">
        <v>296</v>
      </c>
      <c r="AT592" s="1482" t="s">
        <v>297</v>
      </c>
      <c r="AU592" s="1482" t="s">
        <v>298</v>
      </c>
      <c r="AV592" s="1482" t="s">
        <v>299</v>
      </c>
      <c r="AW592" s="1482" t="s">
        <v>19</v>
      </c>
      <c r="AX592" s="1483" t="s">
        <v>300</v>
      </c>
      <c r="AY592" s="1482" t="s">
        <v>301</v>
      </c>
      <c r="AZ592" s="1482" t="s">
        <v>302</v>
      </c>
      <c r="BA592" s="1482" t="s">
        <v>303</v>
      </c>
      <c r="BB592" s="1482" t="s">
        <v>304</v>
      </c>
      <c r="BC592" s="1482" t="s">
        <v>305</v>
      </c>
      <c r="BD592" s="1482" t="s">
        <v>306</v>
      </c>
      <c r="BE592" s="1484" t="s">
        <v>20</v>
      </c>
      <c r="BF592" s="1482" t="s">
        <v>307</v>
      </c>
      <c r="BG592" s="1482" t="s">
        <v>308</v>
      </c>
      <c r="BH592" s="1482" t="s">
        <v>309</v>
      </c>
      <c r="BI592" s="1482" t="s">
        <v>310</v>
      </c>
      <c r="BJ592" s="1482" t="s">
        <v>311</v>
      </c>
      <c r="BK592" s="1482" t="s">
        <v>312</v>
      </c>
      <c r="BL592" s="1482" t="s">
        <v>313</v>
      </c>
      <c r="BM592" s="1482" t="s">
        <v>21</v>
      </c>
      <c r="BN592" s="1483" t="s">
        <v>314</v>
      </c>
      <c r="BO592" s="1482" t="s">
        <v>315</v>
      </c>
      <c r="BP592" s="1482" t="s">
        <v>316</v>
      </c>
      <c r="BQ592" s="1482" t="s">
        <v>317</v>
      </c>
      <c r="BR592" s="1482" t="s">
        <v>318</v>
      </c>
      <c r="BS592" s="1482" t="s">
        <v>319</v>
      </c>
      <c r="BT592" s="1482" t="s">
        <v>320</v>
      </c>
      <c r="BU592" s="1484" t="s">
        <v>22</v>
      </c>
      <c r="BV592" s="1483" t="s">
        <v>321</v>
      </c>
      <c r="BW592" s="1482" t="s">
        <v>322</v>
      </c>
      <c r="BX592" s="1482" t="s">
        <v>323</v>
      </c>
      <c r="BY592" s="1482" t="s">
        <v>324</v>
      </c>
      <c r="BZ592" s="1482" t="s">
        <v>325</v>
      </c>
      <c r="CA592" s="1482" t="s">
        <v>326</v>
      </c>
      <c r="CB592" s="1482" t="s">
        <v>327</v>
      </c>
      <c r="CC592" s="1484" t="s">
        <v>23</v>
      </c>
      <c r="CD592" s="1483" t="s">
        <v>328</v>
      </c>
      <c r="CE592" s="1482" t="s">
        <v>329</v>
      </c>
      <c r="CF592" s="1482" t="s">
        <v>330</v>
      </c>
      <c r="CG592" s="1482" t="s">
        <v>331</v>
      </c>
      <c r="CH592" s="1482" t="s">
        <v>332</v>
      </c>
      <c r="CI592" s="1482" t="s">
        <v>333</v>
      </c>
      <c r="CJ592" s="1482" t="s">
        <v>334</v>
      </c>
      <c r="CK592" s="1484" t="s">
        <v>24</v>
      </c>
      <c r="CL592" s="1483" t="s">
        <v>335</v>
      </c>
      <c r="CM592" s="1482" t="s">
        <v>336</v>
      </c>
      <c r="CN592" s="1482" t="s">
        <v>337</v>
      </c>
      <c r="CO592" s="1482" t="s">
        <v>338</v>
      </c>
      <c r="CP592" s="1482" t="str">
        <f t="shared" ref="CP592:DU592" si="4295">CP2</f>
        <v>9M 06</v>
      </c>
      <c r="CQ592" s="1482" t="str">
        <f t="shared" si="4295"/>
        <v>Q4 06</v>
      </c>
      <c r="CR592" s="1482" t="str">
        <f t="shared" si="4295"/>
        <v>H2 06</v>
      </c>
      <c r="CS592" s="1484" t="str">
        <f t="shared" si="4295"/>
        <v>FY 06</v>
      </c>
      <c r="CT592" s="1483" t="str">
        <f t="shared" si="4295"/>
        <v>Q1 07</v>
      </c>
      <c r="CU592" s="1482" t="str">
        <f t="shared" si="4295"/>
        <v>Q2 07</v>
      </c>
      <c r="CV592" s="1482" t="str">
        <f t="shared" si="4295"/>
        <v>H1 07</v>
      </c>
      <c r="CW592" s="1482" t="str">
        <f t="shared" si="4295"/>
        <v>Q3 07</v>
      </c>
      <c r="CX592" s="1482" t="str">
        <f t="shared" si="4295"/>
        <v>9M 07</v>
      </c>
      <c r="CY592" s="1482" t="str">
        <f t="shared" si="4295"/>
        <v>Q4 07</v>
      </c>
      <c r="CZ592" s="1482" t="str">
        <f t="shared" si="4295"/>
        <v>H2 07</v>
      </c>
      <c r="DA592" s="1484" t="str">
        <f t="shared" si="4295"/>
        <v>FY 07</v>
      </c>
      <c r="DB592" s="1485" t="str">
        <f t="shared" si="4295"/>
        <v>Q1 08</v>
      </c>
      <c r="DC592" s="1486" t="str">
        <f t="shared" si="4295"/>
        <v>Q2 08</v>
      </c>
      <c r="DD592" s="1486" t="str">
        <f t="shared" si="4295"/>
        <v>H1 08</v>
      </c>
      <c r="DE592" s="1486" t="str">
        <f t="shared" si="4295"/>
        <v>Q3 08</v>
      </c>
      <c r="DF592" s="1486" t="str">
        <f t="shared" si="4295"/>
        <v>9M 08</v>
      </c>
      <c r="DG592" s="1486" t="str">
        <f t="shared" si="4295"/>
        <v>Q4 08</v>
      </c>
      <c r="DH592" s="1486" t="str">
        <f t="shared" si="4295"/>
        <v>H2 08</v>
      </c>
      <c r="DI592" s="1487" t="str">
        <f t="shared" si="4295"/>
        <v>FY 08</v>
      </c>
      <c r="DJ592" s="1486" t="str">
        <f t="shared" si="4295"/>
        <v>Q1 09</v>
      </c>
      <c r="DK592" s="1486" t="str">
        <f t="shared" si="4295"/>
        <v>Q2 09</v>
      </c>
      <c r="DL592" s="1486" t="str">
        <f t="shared" si="4295"/>
        <v>H1 09</v>
      </c>
      <c r="DM592" s="1486" t="str">
        <f t="shared" si="4295"/>
        <v>Q3 09</v>
      </c>
      <c r="DN592" s="1486" t="str">
        <f t="shared" si="4295"/>
        <v>9M 09</v>
      </c>
      <c r="DO592" s="1486" t="str">
        <f t="shared" si="4295"/>
        <v>Q4 09</v>
      </c>
      <c r="DP592" s="1486" t="str">
        <f t="shared" si="4295"/>
        <v>H2 09</v>
      </c>
      <c r="DQ592" s="1487" t="str">
        <f t="shared" si="4295"/>
        <v>FY 09</v>
      </c>
      <c r="DR592" s="1486" t="str">
        <f t="shared" si="4295"/>
        <v>Q1 10</v>
      </c>
      <c r="DS592" s="1486" t="str">
        <f t="shared" si="4295"/>
        <v>Q2 10</v>
      </c>
      <c r="DT592" s="1486" t="str">
        <f t="shared" si="4295"/>
        <v>H1 10</v>
      </c>
      <c r="DU592" s="1486" t="str">
        <f t="shared" si="4295"/>
        <v>Q3 10</v>
      </c>
      <c r="DV592" s="1486" t="str">
        <f t="shared" ref="DV592:EO592" si="4296">DV2</f>
        <v>9M 10</v>
      </c>
      <c r="DW592" s="1486" t="str">
        <f t="shared" si="4296"/>
        <v>Q4 10</v>
      </c>
      <c r="DX592" s="1486" t="str">
        <f t="shared" si="4296"/>
        <v>H2 10</v>
      </c>
      <c r="DY592" s="1487" t="str">
        <f t="shared" si="4296"/>
        <v>FY 10</v>
      </c>
      <c r="DZ592" s="1486" t="str">
        <f t="shared" si="4296"/>
        <v>Q1 11</v>
      </c>
      <c r="EA592" s="1486" t="str">
        <f t="shared" si="4296"/>
        <v>Q2 11</v>
      </c>
      <c r="EB592" s="1486" t="str">
        <f t="shared" si="4296"/>
        <v>H1 11</v>
      </c>
      <c r="EC592" s="1486" t="str">
        <f t="shared" si="4296"/>
        <v>Q3 11</v>
      </c>
      <c r="ED592" s="1486" t="str">
        <f t="shared" si="4296"/>
        <v>9M 11</v>
      </c>
      <c r="EE592" s="1486" t="str">
        <f t="shared" si="4296"/>
        <v>Q4 11</v>
      </c>
      <c r="EF592" s="1486" t="str">
        <f t="shared" si="4296"/>
        <v>H2 11</v>
      </c>
      <c r="EG592" s="1487" t="str">
        <f t="shared" si="4296"/>
        <v>FY 11</v>
      </c>
      <c r="EH592" s="1486" t="str">
        <f t="shared" si="4296"/>
        <v>Q1 12</v>
      </c>
      <c r="EI592" s="1486" t="str">
        <f t="shared" si="4296"/>
        <v>Q2 12</v>
      </c>
      <c r="EJ592" s="1486" t="str">
        <f t="shared" si="4296"/>
        <v>H1 12</v>
      </c>
      <c r="EK592" s="1486" t="str">
        <f t="shared" si="4296"/>
        <v>Q3 12</v>
      </c>
      <c r="EL592" s="1486" t="str">
        <f t="shared" si="4296"/>
        <v>9M 12</v>
      </c>
      <c r="EM592" s="1486" t="str">
        <f t="shared" si="4296"/>
        <v>Q4 12</v>
      </c>
      <c r="EN592" s="1486" t="str">
        <f t="shared" si="4296"/>
        <v>H2 12</v>
      </c>
      <c r="EO592" s="1487" t="str">
        <f t="shared" si="4296"/>
        <v>FY 12</v>
      </c>
      <c r="EP592" s="1486"/>
      <c r="EQ592" s="1486"/>
      <c r="ER592" s="1486"/>
      <c r="ES592" s="1486"/>
      <c r="ET592" s="1486"/>
      <c r="EU592" s="1486"/>
      <c r="EV592" s="1486"/>
      <c r="IX592" s="1049"/>
      <c r="IY592" s="1049"/>
      <c r="IZ592" s="1049"/>
      <c r="JA592" s="1049"/>
      <c r="JB592" s="1049"/>
      <c r="JC592" s="1049"/>
      <c r="JD592" s="1522"/>
      <c r="JE592" s="1126"/>
      <c r="JF592" s="1523"/>
      <c r="JG592" s="1523"/>
      <c r="JH592" s="1126"/>
      <c r="JI592" s="1024"/>
      <c r="JJ592" s="1035"/>
      <c r="JK592" s="1035"/>
      <c r="JL592" s="1035"/>
      <c r="JM592" s="1035"/>
      <c r="JN592" s="1035"/>
      <c r="JO592" s="1035"/>
      <c r="JP592" s="1035"/>
      <c r="JQ592" s="1035"/>
      <c r="JR592" s="1035"/>
      <c r="JS592" s="1035"/>
      <c r="JT592" s="1035"/>
      <c r="JU592" s="1035"/>
      <c r="JV592" s="1035"/>
      <c r="JW592" s="1035"/>
      <c r="JX592" s="1035"/>
      <c r="JY592" s="1035"/>
      <c r="KP592" s="1179"/>
    </row>
    <row r="593" spans="1:302">
      <c r="A593" s="1306" t="s">
        <v>80</v>
      </c>
      <c r="B593" s="1307"/>
      <c r="C593" s="1307"/>
      <c r="D593" s="1307"/>
      <c r="E593" s="1307"/>
      <c r="F593" s="1307"/>
      <c r="G593" s="1307"/>
      <c r="H593" s="1307"/>
      <c r="I593" s="1307"/>
      <c r="J593" s="1307"/>
      <c r="K593" s="1307"/>
      <c r="L593" s="1307"/>
      <c r="M593" s="1307"/>
      <c r="N593" s="1307"/>
      <c r="O593" s="1307"/>
      <c r="P593" s="1307"/>
      <c r="Q593" s="1307"/>
      <c r="R593" s="1307"/>
      <c r="S593" s="1307"/>
      <c r="T593" s="1307"/>
      <c r="U593" s="1307"/>
      <c r="V593" s="1307"/>
      <c r="W593" s="1307"/>
      <c r="X593" s="1307"/>
      <c r="Y593" s="1307"/>
      <c r="Z593" s="1307"/>
      <c r="AA593" s="1307"/>
      <c r="AB593" s="1307"/>
      <c r="AC593" s="1307"/>
      <c r="AD593" s="1307"/>
      <c r="AE593" s="1307"/>
      <c r="AF593" s="1307"/>
      <c r="AG593" s="1307"/>
      <c r="AH593" s="1307"/>
      <c r="AI593" s="1307"/>
      <c r="AJ593" s="1307"/>
      <c r="AK593" s="1307"/>
      <c r="AL593" s="1307"/>
      <c r="AM593" s="1307"/>
      <c r="AN593" s="1307"/>
      <c r="AO593" s="1307"/>
      <c r="AP593" s="1307"/>
      <c r="AQ593" s="1307"/>
      <c r="AR593" s="1307"/>
      <c r="AS593" s="1307"/>
      <c r="AT593" s="1307"/>
      <c r="AU593" s="1307"/>
      <c r="AV593" s="1307"/>
      <c r="AW593" s="1307"/>
      <c r="AX593" s="1308"/>
      <c r="AY593" s="1307"/>
      <c r="AZ593" s="1307"/>
      <c r="BA593" s="1307"/>
      <c r="BB593" s="1307"/>
      <c r="BC593" s="1307"/>
      <c r="BD593" s="1307"/>
      <c r="BE593" s="1309"/>
      <c r="BF593" s="1307"/>
      <c r="BG593" s="1307"/>
      <c r="BH593" s="1307"/>
      <c r="BI593" s="1307"/>
      <c r="BJ593" s="1307"/>
      <c r="BK593" s="1307"/>
      <c r="BL593" s="1307"/>
      <c r="BM593" s="1307"/>
      <c r="BN593" s="1308"/>
      <c r="BO593" s="1307"/>
      <c r="BP593" s="1307"/>
      <c r="BQ593" s="1307"/>
      <c r="BR593" s="1307"/>
      <c r="BS593" s="1307"/>
      <c r="BT593" s="1307"/>
      <c r="BU593" s="1309"/>
      <c r="BV593" s="1308">
        <f t="shared" ref="BV593:CT593" si="4297">BV657</f>
        <v>192</v>
      </c>
      <c r="BW593" s="1307">
        <f t="shared" si="4297"/>
        <v>93</v>
      </c>
      <c r="BX593" s="1307">
        <f t="shared" si="4297"/>
        <v>285</v>
      </c>
      <c r="BY593" s="1307">
        <f t="shared" si="4297"/>
        <v>269</v>
      </c>
      <c r="BZ593" s="1307">
        <f t="shared" si="4297"/>
        <v>554</v>
      </c>
      <c r="CA593" s="1307">
        <f t="shared" si="4297"/>
        <v>10</v>
      </c>
      <c r="CB593" s="1307">
        <f t="shared" si="4297"/>
        <v>279</v>
      </c>
      <c r="CC593" s="1309">
        <f t="shared" si="4297"/>
        <v>564</v>
      </c>
      <c r="CD593" s="1308">
        <f t="shared" si="4297"/>
        <v>258</v>
      </c>
      <c r="CE593" s="1307">
        <f t="shared" si="4297"/>
        <v>92</v>
      </c>
      <c r="CF593" s="1307">
        <f t="shared" si="4297"/>
        <v>350</v>
      </c>
      <c r="CG593" s="1307">
        <f t="shared" si="4297"/>
        <v>324</v>
      </c>
      <c r="CH593" s="1307">
        <f t="shared" si="4297"/>
        <v>674</v>
      </c>
      <c r="CI593" s="1307">
        <f t="shared" si="4297"/>
        <v>19</v>
      </c>
      <c r="CJ593" s="1307">
        <f t="shared" si="4297"/>
        <v>343</v>
      </c>
      <c r="CK593" s="1309">
        <f t="shared" si="4297"/>
        <v>693</v>
      </c>
      <c r="CL593" s="1308">
        <f t="shared" si="4297"/>
        <v>279</v>
      </c>
      <c r="CM593" s="1307">
        <f t="shared" si="4297"/>
        <v>135</v>
      </c>
      <c r="CN593" s="1307">
        <f t="shared" si="4297"/>
        <v>414</v>
      </c>
      <c r="CO593" s="1307">
        <f t="shared" si="4297"/>
        <v>365</v>
      </c>
      <c r="CP593" s="1307">
        <f t="shared" si="4297"/>
        <v>778</v>
      </c>
      <c r="CQ593" s="1307">
        <f t="shared" si="4297"/>
        <v>10</v>
      </c>
      <c r="CR593" s="1307">
        <f t="shared" si="4297"/>
        <v>413</v>
      </c>
      <c r="CS593" s="1309">
        <f t="shared" si="4297"/>
        <v>788</v>
      </c>
      <c r="CT593" s="1308">
        <f t="shared" si="4297"/>
        <v>270</v>
      </c>
      <c r="CU593" s="1307">
        <f>CV593-CT593</f>
        <v>191</v>
      </c>
      <c r="CV593" s="1307">
        <v>461</v>
      </c>
      <c r="CW593" s="1307">
        <f>+CX593-CV593</f>
        <v>395</v>
      </c>
      <c r="CX593" s="1307">
        <v>856</v>
      </c>
      <c r="CY593" s="1307">
        <f>DA593-CX593</f>
        <v>64</v>
      </c>
      <c r="CZ593" s="1307">
        <f>CY593+CW593</f>
        <v>459</v>
      </c>
      <c r="DA593" s="1309">
        <v>920</v>
      </c>
      <c r="DB593" s="1332">
        <v>336</v>
      </c>
      <c r="DC593" s="1311">
        <f>DC657</f>
        <v>175</v>
      </c>
      <c r="DD593" s="1311">
        <f>DD657</f>
        <v>512</v>
      </c>
      <c r="DE593" s="1311">
        <f>DF593-DD593</f>
        <v>439</v>
      </c>
      <c r="DF593" s="1311">
        <v>951</v>
      </c>
      <c r="DG593" s="1311">
        <f>DI593-DF593</f>
        <v>147</v>
      </c>
      <c r="DH593" s="1311">
        <f>DI593-DD593</f>
        <v>586</v>
      </c>
      <c r="DI593" s="1312">
        <v>1098</v>
      </c>
      <c r="DJ593" s="1311">
        <f>DJ595*DJ549</f>
        <v>227.999999999999</v>
      </c>
      <c r="DK593" s="1311">
        <f>DK595*DK549</f>
        <v>187.999999999999</v>
      </c>
      <c r="DL593" s="1311">
        <f>DK593+DJ593</f>
        <v>415.999999999999</v>
      </c>
      <c r="DM593" s="1311">
        <f>DN593-DL593</f>
        <v>373.000000000001</v>
      </c>
      <c r="DN593" s="1311">
        <v>789</v>
      </c>
      <c r="DO593" s="1311" t="e">
        <f>DO595*DO549</f>
        <v>#REF!</v>
      </c>
      <c r="DP593" s="1311" t="e">
        <f>DO593+DM593</f>
        <v>#REF!</v>
      </c>
      <c r="DQ593" s="1312" t="e">
        <f>DP593+DL593</f>
        <v>#REF!</v>
      </c>
      <c r="DR593" s="1311"/>
      <c r="DS593" s="1311"/>
      <c r="DT593" s="1311"/>
      <c r="DU593" s="1311"/>
      <c r="DV593" s="1311"/>
      <c r="DW593" s="1311"/>
      <c r="DX593" s="1311"/>
      <c r="DY593" s="1312"/>
      <c r="DZ593" s="1311"/>
      <c r="EA593" s="1311"/>
      <c r="EB593" s="1311"/>
      <c r="EC593" s="1311"/>
      <c r="ED593" s="1311"/>
      <c r="EE593" s="1311"/>
      <c r="EF593" s="1311"/>
      <c r="EG593" s="1312"/>
      <c r="EH593" s="1311"/>
      <c r="EI593" s="1311"/>
      <c r="EJ593" s="1311"/>
      <c r="EK593" s="1311"/>
      <c r="EL593" s="1311"/>
      <c r="EM593" s="1311"/>
      <c r="EN593" s="1311"/>
      <c r="EO593" s="1312"/>
      <c r="EP593" s="1311"/>
      <c r="EQ593" s="1311"/>
      <c r="ER593" s="1311"/>
      <c r="ES593" s="1311"/>
      <c r="ET593" s="1311"/>
      <c r="EU593" s="1311"/>
      <c r="EV593" s="1311"/>
      <c r="IX593" s="1049"/>
      <c r="IY593" s="1049"/>
      <c r="IZ593" s="1049"/>
      <c r="JA593" s="1049"/>
      <c r="JB593" s="1049"/>
      <c r="JC593" s="1049"/>
      <c r="JD593" s="1518"/>
      <c r="JE593" s="1126"/>
      <c r="JF593" s="1126"/>
      <c r="JG593" s="1126"/>
      <c r="JH593" s="1126"/>
      <c r="JI593" s="1024"/>
      <c r="JJ593" s="1035"/>
      <c r="JK593" s="1035"/>
      <c r="JL593" s="1035"/>
      <c r="JM593" s="1035"/>
      <c r="JN593" s="1035"/>
      <c r="JO593" s="1035"/>
      <c r="JP593" s="1035"/>
      <c r="JQ593" s="1035"/>
      <c r="JR593" s="1035"/>
      <c r="JS593" s="1035"/>
      <c r="JT593" s="1035"/>
      <c r="JU593" s="1035"/>
      <c r="JV593" s="1035"/>
      <c r="JW593" s="1035"/>
      <c r="JX593" s="1035"/>
      <c r="JY593" s="1035"/>
      <c r="KP593" s="1179"/>
    </row>
    <row r="594" spans="1:302">
      <c r="A594" s="1035" t="s">
        <v>142</v>
      </c>
      <c r="B594" s="1302"/>
      <c r="C594" s="1302"/>
      <c r="D594" s="1302"/>
      <c r="E594" s="1302"/>
      <c r="F594" s="1302"/>
      <c r="G594" s="1302"/>
      <c r="H594" s="1302"/>
      <c r="I594" s="1302"/>
      <c r="J594" s="1302"/>
      <c r="K594" s="1302"/>
      <c r="L594" s="1302"/>
      <c r="M594" s="1302"/>
      <c r="N594" s="1302"/>
      <c r="O594" s="1302"/>
      <c r="P594" s="1302"/>
      <c r="Q594" s="1302"/>
      <c r="R594" s="1302"/>
      <c r="S594" s="1302"/>
      <c r="T594" s="1302"/>
      <c r="U594" s="1302"/>
      <c r="V594" s="1302"/>
      <c r="W594" s="1302"/>
      <c r="X594" s="1302"/>
      <c r="Y594" s="1302"/>
      <c r="Z594" s="1302"/>
      <c r="AA594" s="1302"/>
      <c r="AB594" s="1302"/>
      <c r="AC594" s="1302"/>
      <c r="AD594" s="1302"/>
      <c r="AE594" s="1302"/>
      <c r="AF594" s="1302"/>
      <c r="AG594" s="1302"/>
      <c r="AH594" s="1302"/>
      <c r="AI594" s="1302"/>
      <c r="AJ594" s="1302"/>
      <c r="AK594" s="1302"/>
      <c r="AL594" s="1302"/>
      <c r="AM594" s="1302"/>
      <c r="AN594" s="1302"/>
      <c r="AO594" s="1302"/>
      <c r="AP594" s="1302"/>
      <c r="AQ594" s="1302"/>
      <c r="AR594" s="1302"/>
      <c r="AS594" s="1302"/>
      <c r="AT594" s="1302"/>
      <c r="AU594" s="1302"/>
      <c r="AV594" s="1302"/>
      <c r="AW594" s="1302"/>
      <c r="AX594" s="1303"/>
      <c r="AY594" s="1302"/>
      <c r="AZ594" s="1302"/>
      <c r="BA594" s="1302"/>
      <c r="BB594" s="1302"/>
      <c r="BC594" s="1302"/>
      <c r="BD594" s="1302"/>
      <c r="BE594" s="1304"/>
      <c r="BF594" s="1302"/>
      <c r="BG594" s="1302"/>
      <c r="BH594" s="1302"/>
      <c r="BI594" s="1302"/>
      <c r="BJ594" s="1302"/>
      <c r="BK594" s="1302"/>
      <c r="BL594" s="1302"/>
      <c r="BM594" s="1302"/>
      <c r="BN594" s="1303"/>
      <c r="BO594" s="1302"/>
      <c r="BP594" s="1302"/>
      <c r="BQ594" s="1302"/>
      <c r="BR594" s="1302"/>
      <c r="BS594" s="1302"/>
      <c r="BT594" s="1302"/>
      <c r="BU594" s="1304"/>
      <c r="BV594" s="1303" t="e">
        <f t="shared" ref="BV594:CT594" si="4298">BV593/BN593-1</f>
        <v>#DIV/0!</v>
      </c>
      <c r="BW594" s="1302" t="e">
        <f t="shared" si="4298"/>
        <v>#DIV/0!</v>
      </c>
      <c r="BX594" s="1302" t="e">
        <f t="shared" si="4298"/>
        <v>#DIV/0!</v>
      </c>
      <c r="BY594" s="1302" t="e">
        <f t="shared" si="4298"/>
        <v>#DIV/0!</v>
      </c>
      <c r="BZ594" s="1302" t="e">
        <f t="shared" si="4298"/>
        <v>#DIV/0!</v>
      </c>
      <c r="CA594" s="1302" t="e">
        <f t="shared" si="4298"/>
        <v>#DIV/0!</v>
      </c>
      <c r="CB594" s="1302" t="e">
        <f t="shared" si="4298"/>
        <v>#DIV/0!</v>
      </c>
      <c r="CC594" s="1304" t="e">
        <f t="shared" si="4298"/>
        <v>#DIV/0!</v>
      </c>
      <c r="CD594" s="1303">
        <f t="shared" si="4298"/>
        <v>0.34375</v>
      </c>
      <c r="CE594" s="1302">
        <f t="shared" si="4298"/>
        <v>-0.010752688172043</v>
      </c>
      <c r="CF594" s="1302">
        <f t="shared" si="4298"/>
        <v>0.228070175438597</v>
      </c>
      <c r="CG594" s="1302">
        <f t="shared" si="4298"/>
        <v>0.204460966542751</v>
      </c>
      <c r="CH594" s="1302">
        <f t="shared" si="4298"/>
        <v>0.216606498194946</v>
      </c>
      <c r="CI594" s="1302">
        <f t="shared" si="4298"/>
        <v>0.9</v>
      </c>
      <c r="CJ594" s="1302">
        <f t="shared" si="4298"/>
        <v>0.229390681003584</v>
      </c>
      <c r="CK594" s="1304">
        <f t="shared" si="4298"/>
        <v>0.228723404255319</v>
      </c>
      <c r="CL594" s="1303">
        <f t="shared" si="4298"/>
        <v>0.0813953488372092</v>
      </c>
      <c r="CM594" s="1302">
        <f t="shared" si="4298"/>
        <v>0.467391304347826</v>
      </c>
      <c r="CN594" s="1302">
        <f t="shared" si="4298"/>
        <v>0.182857142857143</v>
      </c>
      <c r="CO594" s="1302">
        <f t="shared" si="4298"/>
        <v>0.126543209876543</v>
      </c>
      <c r="CP594" s="1302">
        <f t="shared" si="4298"/>
        <v>0.154302670623145</v>
      </c>
      <c r="CQ594" s="1302">
        <f t="shared" si="4298"/>
        <v>-0.473684210526316</v>
      </c>
      <c r="CR594" s="1302">
        <f t="shared" si="4298"/>
        <v>0.204081632653061</v>
      </c>
      <c r="CS594" s="1304">
        <f t="shared" si="4298"/>
        <v>0.137085137085137</v>
      </c>
      <c r="CT594" s="1303">
        <f t="shared" si="4298"/>
        <v>-0.032258064516129</v>
      </c>
      <c r="CU594" s="1302">
        <f t="shared" ref="CU594:DA594" si="4299">CU593/CM593-1</f>
        <v>0.414814814814815</v>
      </c>
      <c r="CV594" s="1302">
        <f t="shared" si="4299"/>
        <v>0.113526570048309</v>
      </c>
      <c r="CW594" s="1302">
        <f t="shared" si="4299"/>
        <v>0.0821917808219179</v>
      </c>
      <c r="CX594" s="1302">
        <f t="shared" si="4299"/>
        <v>0.10025706940874</v>
      </c>
      <c r="CY594" s="1302">
        <f t="shared" si="4299"/>
        <v>5.4</v>
      </c>
      <c r="CZ594" s="1302">
        <f t="shared" si="4299"/>
        <v>0.11138014527845</v>
      </c>
      <c r="DA594" s="1304">
        <f t="shared" si="4299"/>
        <v>0.16751269035533</v>
      </c>
      <c r="DB594" s="1109">
        <f t="shared" ref="DB594:DI594" si="4300">DB593/CT593-1</f>
        <v>0.244444444444444</v>
      </c>
      <c r="DC594" s="1082">
        <f t="shared" si="4300"/>
        <v>-0.0837696335078534</v>
      </c>
      <c r="DD594" s="1082">
        <f t="shared" si="4300"/>
        <v>0.110629067245119</v>
      </c>
      <c r="DE594" s="1082">
        <f t="shared" si="4300"/>
        <v>0.111392405063291</v>
      </c>
      <c r="DF594" s="1082">
        <f t="shared" si="4300"/>
        <v>0.110981308411215</v>
      </c>
      <c r="DG594" s="1082">
        <f t="shared" si="4300"/>
        <v>1.296875</v>
      </c>
      <c r="DH594" s="1082">
        <f t="shared" si="4300"/>
        <v>0.276688453159041</v>
      </c>
      <c r="DI594" s="1085">
        <f t="shared" si="4300"/>
        <v>0.193478260869565</v>
      </c>
      <c r="DJ594" s="1082">
        <f t="shared" ref="DJ594:DQ594" si="4301">DJ593/DB593-1</f>
        <v>-0.321428571428574</v>
      </c>
      <c r="DK594" s="1082">
        <f t="shared" si="4301"/>
        <v>0.0742857142857101</v>
      </c>
      <c r="DL594" s="1082">
        <f t="shared" si="4301"/>
        <v>-0.187500000000003</v>
      </c>
      <c r="DM594" s="1082">
        <f t="shared" si="4301"/>
        <v>-0.150341685649199</v>
      </c>
      <c r="DN594" s="1082">
        <f t="shared" si="4301"/>
        <v>-0.170347003154574</v>
      </c>
      <c r="DO594" s="1082" t="e">
        <f t="shared" si="4301"/>
        <v>#REF!</v>
      </c>
      <c r="DP594" s="1082" t="e">
        <f t="shared" si="4301"/>
        <v>#REF!</v>
      </c>
      <c r="DQ594" s="1085" t="e">
        <f t="shared" si="4301"/>
        <v>#REF!</v>
      </c>
      <c r="DR594" s="1082"/>
      <c r="DS594" s="1082"/>
      <c r="DT594" s="1082"/>
      <c r="DU594" s="1082"/>
      <c r="DV594" s="1082"/>
      <c r="DW594" s="1082"/>
      <c r="DX594" s="1082"/>
      <c r="DY594" s="1085"/>
      <c r="DZ594" s="1082"/>
      <c r="EA594" s="1082"/>
      <c r="EB594" s="1082"/>
      <c r="EC594" s="1082"/>
      <c r="ED594" s="1082"/>
      <c r="EE594" s="1082"/>
      <c r="EF594" s="1082"/>
      <c r="EG594" s="1085"/>
      <c r="EH594" s="1082"/>
      <c r="EI594" s="1082"/>
      <c r="EJ594" s="1082"/>
      <c r="EK594" s="1082"/>
      <c r="EL594" s="1082"/>
      <c r="EM594" s="1082"/>
      <c r="EN594" s="1082"/>
      <c r="EO594" s="1085"/>
      <c r="EP594" s="1082"/>
      <c r="EQ594" s="1082"/>
      <c r="ER594" s="1082"/>
      <c r="ES594" s="1082"/>
      <c r="ET594" s="1082"/>
      <c r="EU594" s="1082"/>
      <c r="EV594" s="1082"/>
      <c r="IX594" s="1049"/>
      <c r="IY594" s="1049"/>
      <c r="IZ594" s="1049"/>
      <c r="JA594" s="1049"/>
      <c r="JB594" s="1049"/>
      <c r="JC594" s="1049"/>
      <c r="JD594" s="1518"/>
      <c r="JE594" s="1126"/>
      <c r="JF594" s="1126"/>
      <c r="JG594" s="1126"/>
      <c r="JH594" s="1126"/>
      <c r="JI594" s="1024"/>
      <c r="JJ594" s="1035"/>
      <c r="JK594" s="1035"/>
      <c r="JL594" s="1035"/>
      <c r="JM594" s="1035"/>
      <c r="JN594" s="1035"/>
      <c r="JO594" s="1035"/>
      <c r="JP594" s="1035"/>
      <c r="JQ594" s="1035"/>
      <c r="JR594" s="1035"/>
      <c r="JS594" s="1035"/>
      <c r="JT594" s="1035"/>
      <c r="JU594" s="1035"/>
      <c r="JV594" s="1035"/>
      <c r="JW594" s="1035"/>
      <c r="JX594" s="1035"/>
      <c r="JY594" s="1035"/>
      <c r="KP594" s="967"/>
    </row>
    <row r="595" spans="1:302">
      <c r="A595" s="1035" t="s">
        <v>634</v>
      </c>
      <c r="B595" s="1302"/>
      <c r="C595" s="1302"/>
      <c r="D595" s="1302"/>
      <c r="E595" s="1302"/>
      <c r="F595" s="1302"/>
      <c r="G595" s="1302"/>
      <c r="H595" s="1302"/>
      <c r="I595" s="1302"/>
      <c r="J595" s="1302"/>
      <c r="K595" s="1302"/>
      <c r="L595" s="1302"/>
      <c r="M595" s="1302"/>
      <c r="N595" s="1302"/>
      <c r="O595" s="1302"/>
      <c r="P595" s="1302"/>
      <c r="Q595" s="1302"/>
      <c r="R595" s="1302"/>
      <c r="S595" s="1302"/>
      <c r="T595" s="1302"/>
      <c r="U595" s="1302"/>
      <c r="V595" s="1302"/>
      <c r="W595" s="1302"/>
      <c r="X595" s="1302"/>
      <c r="Y595" s="1302"/>
      <c r="Z595" s="1302"/>
      <c r="AA595" s="1302"/>
      <c r="AB595" s="1302"/>
      <c r="AC595" s="1302"/>
      <c r="AD595" s="1302"/>
      <c r="AE595" s="1302"/>
      <c r="AF595" s="1302"/>
      <c r="AG595" s="1302"/>
      <c r="AH595" s="1302"/>
      <c r="AI595" s="1302"/>
      <c r="AJ595" s="1302"/>
      <c r="AK595" s="1302"/>
      <c r="AL595" s="1302"/>
      <c r="AM595" s="1302"/>
      <c r="AN595" s="1302"/>
      <c r="AO595" s="1302"/>
      <c r="AP595" s="1302"/>
      <c r="AQ595" s="1302"/>
      <c r="AR595" s="1302"/>
      <c r="AS595" s="1302"/>
      <c r="AT595" s="1302"/>
      <c r="AU595" s="1302"/>
      <c r="AV595" s="1302"/>
      <c r="AW595" s="1302"/>
      <c r="AX595" s="1303"/>
      <c r="AY595" s="1302"/>
      <c r="AZ595" s="1302"/>
      <c r="BA595" s="1302"/>
      <c r="BB595" s="1302"/>
      <c r="BC595" s="1302"/>
      <c r="BD595" s="1302"/>
      <c r="BE595" s="1304"/>
      <c r="BF595" s="1302"/>
      <c r="BG595" s="1302"/>
      <c r="BH595" s="1302"/>
      <c r="BI595" s="1302"/>
      <c r="BJ595" s="1302"/>
      <c r="BK595" s="1302"/>
      <c r="BL595" s="1302"/>
      <c r="BM595" s="1302"/>
      <c r="BN595" s="1303"/>
      <c r="BO595" s="1302"/>
      <c r="BP595" s="1302"/>
      <c r="BQ595" s="1302"/>
      <c r="BR595" s="1302"/>
      <c r="BS595" s="1302"/>
      <c r="BT595" s="1302"/>
      <c r="BU595" s="1304"/>
      <c r="BV595" s="1303">
        <f t="shared" ref="BV595:DI595" si="4302">BV593/BV549</f>
        <v>0.13933236574746</v>
      </c>
      <c r="BW595" s="1302">
        <f t="shared" si="4302"/>
        <v>0.0770505385252693</v>
      </c>
      <c r="BX595" s="1302">
        <f t="shared" si="4302"/>
        <v>0.110251450676983</v>
      </c>
      <c r="BY595" s="1302">
        <f t="shared" si="4302"/>
        <v>0.171337579617834</v>
      </c>
      <c r="BZ595" s="1302">
        <f t="shared" si="4302"/>
        <v>0.133333333333333</v>
      </c>
      <c r="CA595" s="1302">
        <f t="shared" si="4302"/>
        <v>0.00980392156862745</v>
      </c>
      <c r="CB595" s="1302">
        <f t="shared" si="4302"/>
        <v>0.107722007722008</v>
      </c>
      <c r="CC595" s="1304">
        <f t="shared" si="4302"/>
        <v>0.108985507246377</v>
      </c>
      <c r="CD595" s="1303">
        <f t="shared" si="4302"/>
        <v>0.170634920634921</v>
      </c>
      <c r="CE595" s="1302">
        <f t="shared" si="4302"/>
        <v>0.0705521472392638</v>
      </c>
      <c r="CF595" s="1302">
        <f t="shared" si="4302"/>
        <v>0.124289772727273</v>
      </c>
      <c r="CG595" s="1302">
        <f t="shared" si="4302"/>
        <v>0.187391555812608</v>
      </c>
      <c r="CH595" s="1302">
        <f t="shared" si="4302"/>
        <v>0.148294829482948</v>
      </c>
      <c r="CI595" s="1302">
        <f t="shared" si="4302"/>
        <v>0.0144376899696049</v>
      </c>
      <c r="CJ595" s="1302">
        <f t="shared" si="4302"/>
        <v>0.11264367816092</v>
      </c>
      <c r="CK595" s="1304">
        <f t="shared" si="4302"/>
        <v>0.118239208326224</v>
      </c>
      <c r="CL595" s="1303">
        <f t="shared" si="4302"/>
        <v>0.157094594594595</v>
      </c>
      <c r="CM595" s="1302">
        <f t="shared" si="4302"/>
        <v>0.0881201044386423</v>
      </c>
      <c r="CN595" s="1302">
        <f t="shared" si="4302"/>
        <v>0.125151148730351</v>
      </c>
      <c r="CO595" s="1302">
        <f t="shared" si="4302"/>
        <v>0.188144329896907</v>
      </c>
      <c r="CP595" s="1302">
        <f t="shared" si="4302"/>
        <v>0.148246951219512</v>
      </c>
      <c r="CQ595" s="1302">
        <f t="shared" si="4302"/>
        <v>0.00725689404934688</v>
      </c>
      <c r="CR595" s="1302">
        <f t="shared" si="4302"/>
        <v>0.124472573839662</v>
      </c>
      <c r="CS595" s="1304">
        <f t="shared" si="4302"/>
        <v>0.118925445215816</v>
      </c>
      <c r="CT595" s="1303">
        <f t="shared" si="4302"/>
        <v>0.148433205057724</v>
      </c>
      <c r="CU595" s="1302">
        <f t="shared" si="4302"/>
        <v>0.116819571865443</v>
      </c>
      <c r="CV595" s="1302">
        <f t="shared" si="4302"/>
        <v>0.13346844238564</v>
      </c>
      <c r="CW595" s="1302">
        <f t="shared" si="4302"/>
        <v>0.196419691695674</v>
      </c>
      <c r="CX595" s="1302">
        <f t="shared" si="4302"/>
        <v>0.156633119853614</v>
      </c>
      <c r="CY595" s="1302">
        <f t="shared" si="4302"/>
        <v>0.0388349514563107</v>
      </c>
      <c r="CZ595" s="1302">
        <f t="shared" si="4302"/>
        <v>0.125444110412681</v>
      </c>
      <c r="DA595" s="1304">
        <f t="shared" si="4302"/>
        <v>0.129340643891466</v>
      </c>
      <c r="DB595" s="1109">
        <f t="shared" si="4302"/>
        <v>0.170731707317073</v>
      </c>
      <c r="DC595" s="1082">
        <f t="shared" si="4302"/>
        <v>0.0962596259625963</v>
      </c>
      <c r="DD595" s="1082">
        <f t="shared" si="4302"/>
        <v>0.135199366252971</v>
      </c>
      <c r="DE595" s="1082">
        <f t="shared" si="4302"/>
        <v>0.198015336039693</v>
      </c>
      <c r="DF595" s="1082">
        <f t="shared" si="4302"/>
        <v>0.158394403730846</v>
      </c>
      <c r="DG595" s="1082">
        <f t="shared" si="4302"/>
        <v>0.0809025866813429</v>
      </c>
      <c r="DH595" s="1082">
        <f t="shared" si="4302"/>
        <v>0.145265245413981</v>
      </c>
      <c r="DI595" s="1085">
        <f t="shared" si="4302"/>
        <v>0.140391254315305</v>
      </c>
      <c r="DJ595" s="1082">
        <v>0.118935837245696</v>
      </c>
      <c r="DK595" s="1082">
        <v>0.107428571428571</v>
      </c>
      <c r="DL595" s="1082">
        <f>DL593/DL549</f>
        <v>0.113444232342514</v>
      </c>
      <c r="DM595" s="1082">
        <f>DM593/DM549</f>
        <v>0.176693510184747</v>
      </c>
      <c r="DN595" s="1082">
        <f>DN593/DN549</f>
        <v>0.136552440290758</v>
      </c>
      <c r="DO595" s="1488">
        <v>0.063</v>
      </c>
      <c r="DP595" s="1082" t="e">
        <f>DP593/DP549</f>
        <v>#REF!</v>
      </c>
      <c r="DQ595" s="1085" t="e">
        <f>DQ593/DQ549</f>
        <v>#REF!</v>
      </c>
      <c r="DR595" s="1488"/>
      <c r="DS595" s="1488"/>
      <c r="DT595" s="1082"/>
      <c r="DU595" s="1488"/>
      <c r="DV595" s="1082"/>
      <c r="DW595" s="1488"/>
      <c r="DX595" s="1082"/>
      <c r="DY595" s="1085"/>
      <c r="DZ595" s="1488"/>
      <c r="EA595" s="1488"/>
      <c r="EB595" s="1082"/>
      <c r="EC595" s="1488"/>
      <c r="ED595" s="1082"/>
      <c r="EE595" s="1488"/>
      <c r="EF595" s="1082"/>
      <c r="EG595" s="1085"/>
      <c r="EH595" s="1488"/>
      <c r="EI595" s="1488"/>
      <c r="EJ595" s="1082"/>
      <c r="EK595" s="1488"/>
      <c r="EL595" s="1082"/>
      <c r="EM595" s="1488"/>
      <c r="EN595" s="1082"/>
      <c r="EO595" s="1085"/>
      <c r="EP595" s="1082"/>
      <c r="EQ595" s="1082"/>
      <c r="ER595" s="1082"/>
      <c r="ES595" s="1082"/>
      <c r="ET595" s="1082"/>
      <c r="EU595" s="1082"/>
      <c r="EV595" s="1082"/>
      <c r="IX595" s="1049"/>
      <c r="IY595" s="1049"/>
      <c r="IZ595" s="1049"/>
      <c r="JA595" s="1049"/>
      <c r="JB595" s="1049"/>
      <c r="JC595" s="1049"/>
      <c r="JD595" s="1518"/>
      <c r="JE595" s="1126"/>
      <c r="JF595" s="1126"/>
      <c r="JG595" s="1126"/>
      <c r="JH595" s="1126"/>
      <c r="JI595" s="1024"/>
      <c r="JJ595" s="1035"/>
      <c r="JK595" s="1035"/>
      <c r="JL595" s="1035"/>
      <c r="JM595" s="1035"/>
      <c r="JN595" s="1035"/>
      <c r="JO595" s="1035"/>
      <c r="JP595" s="1035"/>
      <c r="JQ595" s="1035"/>
      <c r="JR595" s="1035"/>
      <c r="JS595" s="1035"/>
      <c r="JT595" s="1035"/>
      <c r="JU595" s="1035"/>
      <c r="JV595" s="1035"/>
      <c r="JW595" s="1035"/>
      <c r="JX595" s="1035"/>
      <c r="JY595" s="1035"/>
    </row>
    <row r="596" collapsed="1" spans="1:302">
      <c r="A596" s="1306" t="s">
        <v>629</v>
      </c>
      <c r="B596" s="1307"/>
      <c r="C596" s="1307"/>
      <c r="D596" s="1307"/>
      <c r="E596" s="1307"/>
      <c r="F596" s="1307"/>
      <c r="G596" s="1307"/>
      <c r="H596" s="1307"/>
      <c r="I596" s="1307"/>
      <c r="J596" s="1307"/>
      <c r="K596" s="1307"/>
      <c r="L596" s="1307"/>
      <c r="M596" s="1307"/>
      <c r="N596" s="1307"/>
      <c r="O596" s="1307"/>
      <c r="P596" s="1307"/>
      <c r="Q596" s="1307"/>
      <c r="R596" s="1307"/>
      <c r="S596" s="1307"/>
      <c r="T596" s="1307"/>
      <c r="U596" s="1307"/>
      <c r="V596" s="1307"/>
      <c r="W596" s="1307"/>
      <c r="X596" s="1307"/>
      <c r="Y596" s="1307"/>
      <c r="Z596" s="1307"/>
      <c r="AA596" s="1307"/>
      <c r="AB596" s="1307"/>
      <c r="AC596" s="1307"/>
      <c r="AD596" s="1307"/>
      <c r="AE596" s="1307"/>
      <c r="AF596" s="1307"/>
      <c r="AG596" s="1307"/>
      <c r="AH596" s="1307"/>
      <c r="AI596" s="1307"/>
      <c r="AJ596" s="1307"/>
      <c r="AK596" s="1307"/>
      <c r="AL596" s="1307"/>
      <c r="AM596" s="1307"/>
      <c r="AN596" s="1307"/>
      <c r="AO596" s="1307"/>
      <c r="AP596" s="1307"/>
      <c r="AQ596" s="1307"/>
      <c r="AR596" s="1307"/>
      <c r="AS596" s="1307"/>
      <c r="AT596" s="1307"/>
      <c r="AU596" s="1307"/>
      <c r="AV596" s="1307"/>
      <c r="AW596" s="1307"/>
      <c r="AX596" s="1308"/>
      <c r="AY596" s="1307"/>
      <c r="AZ596" s="1307"/>
      <c r="BA596" s="1307"/>
      <c r="BB596" s="1307"/>
      <c r="BC596" s="1307"/>
      <c r="BD596" s="1307"/>
      <c r="BE596" s="1309"/>
      <c r="BF596" s="1307"/>
      <c r="BG596" s="1307"/>
      <c r="BH596" s="1307"/>
      <c r="BI596" s="1307"/>
      <c r="BJ596" s="1307"/>
      <c r="BK596" s="1307"/>
      <c r="BL596" s="1307"/>
      <c r="BM596" s="1307"/>
      <c r="BN596" s="1308"/>
      <c r="BO596" s="1307"/>
      <c r="BP596" s="1307"/>
      <c r="BQ596" s="1307"/>
      <c r="BR596" s="1307"/>
      <c r="BS596" s="1307"/>
      <c r="BT596" s="1307"/>
      <c r="BU596" s="1309"/>
      <c r="BV596" s="1308">
        <f t="shared" ref="BV596:CV596" si="4303">BV783</f>
        <v>-16</v>
      </c>
      <c r="BW596" s="1307">
        <f t="shared" si="4303"/>
        <v>26</v>
      </c>
      <c r="BX596" s="1307">
        <f t="shared" si="4303"/>
        <v>10</v>
      </c>
      <c r="BY596" s="1307">
        <f t="shared" si="4303"/>
        <v>23</v>
      </c>
      <c r="BZ596" s="1307">
        <f t="shared" si="4303"/>
        <v>33</v>
      </c>
      <c r="CA596" s="1307">
        <f t="shared" si="4303"/>
        <v>15</v>
      </c>
      <c r="CB596" s="1307">
        <f t="shared" si="4303"/>
        <v>38</v>
      </c>
      <c r="CC596" s="1309">
        <f t="shared" si="4303"/>
        <v>48</v>
      </c>
      <c r="CD596" s="1308">
        <f t="shared" si="4303"/>
        <v>-1</v>
      </c>
      <c r="CE596" s="1307">
        <f t="shared" si="4303"/>
        <v>30</v>
      </c>
      <c r="CF596" s="1307">
        <f t="shared" si="4303"/>
        <v>29</v>
      </c>
      <c r="CG596" s="1307">
        <f t="shared" si="4303"/>
        <v>10</v>
      </c>
      <c r="CH596" s="1307">
        <f t="shared" si="4303"/>
        <v>39</v>
      </c>
      <c r="CI596" s="1307">
        <f t="shared" si="4303"/>
        <v>11</v>
      </c>
      <c r="CJ596" s="1307">
        <f t="shared" si="4303"/>
        <v>21</v>
      </c>
      <c r="CK596" s="1309">
        <f t="shared" si="4303"/>
        <v>50</v>
      </c>
      <c r="CL596" s="1308">
        <f t="shared" si="4303"/>
        <v>2</v>
      </c>
      <c r="CM596" s="1307">
        <f t="shared" si="4303"/>
        <v>33</v>
      </c>
      <c r="CN596" s="1307">
        <f t="shared" si="4303"/>
        <v>35</v>
      </c>
      <c r="CO596" s="1307">
        <f t="shared" si="4303"/>
        <v>15</v>
      </c>
      <c r="CP596" s="1307">
        <f t="shared" si="4303"/>
        <v>50</v>
      </c>
      <c r="CQ596" s="1307">
        <f t="shared" si="4303"/>
        <v>23</v>
      </c>
      <c r="CR596" s="1307">
        <f t="shared" si="4303"/>
        <v>35</v>
      </c>
      <c r="CS596" s="1309">
        <f t="shared" si="4303"/>
        <v>73</v>
      </c>
      <c r="CT596" s="1308">
        <f t="shared" si="4303"/>
        <v>-1</v>
      </c>
      <c r="CU596" s="1307">
        <f t="shared" si="4303"/>
        <v>28</v>
      </c>
      <c r="CV596" s="1307">
        <f t="shared" si="4303"/>
        <v>27</v>
      </c>
      <c r="CW596" s="1307">
        <f>+CX596-CV596</f>
        <v>15</v>
      </c>
      <c r="CX596" s="1307">
        <v>42</v>
      </c>
      <c r="CY596" s="1307">
        <f>DA596-CX596</f>
        <v>23</v>
      </c>
      <c r="CZ596" s="1307">
        <f>CY596+CW596</f>
        <v>38</v>
      </c>
      <c r="DA596" s="1309">
        <v>65</v>
      </c>
      <c r="DB596" s="1332">
        <v>23</v>
      </c>
      <c r="DC596" s="1311">
        <f>DC783</f>
        <v>19</v>
      </c>
      <c r="DD596" s="1311">
        <f>DD783</f>
        <v>43</v>
      </c>
      <c r="DE596" s="1311">
        <f>DF596-DD596</f>
        <v>11</v>
      </c>
      <c r="DF596" s="1311">
        <v>54</v>
      </c>
      <c r="DG596" s="1311">
        <f>DI596-DF596</f>
        <v>24</v>
      </c>
      <c r="DH596" s="1311">
        <f>DI596-DD596</f>
        <v>35</v>
      </c>
      <c r="DI596" s="1312">
        <v>78</v>
      </c>
      <c r="DJ596" s="1311">
        <f>DJ598*DJ557</f>
        <v>-20.9999999999999</v>
      </c>
      <c r="DK596" s="1311">
        <f>DK598*DK557</f>
        <v>2.99999999999999</v>
      </c>
      <c r="DL596" s="1311">
        <f>DK596+DJ596</f>
        <v>-17.9999999999999</v>
      </c>
      <c r="DM596" s="1311">
        <f>DN596-DL596</f>
        <v>-5.00000000000006</v>
      </c>
      <c r="DN596" s="1311">
        <v>-23</v>
      </c>
      <c r="DO596" s="1311" t="e">
        <f>DO598*DO557</f>
        <v>#REF!</v>
      </c>
      <c r="DP596" s="1311" t="e">
        <f>DO596+DM596</f>
        <v>#REF!</v>
      </c>
      <c r="DQ596" s="1312" t="e">
        <f>DP596+DL596</f>
        <v>#REF!</v>
      </c>
      <c r="DR596" s="1311"/>
      <c r="DS596" s="1311"/>
      <c r="DT596" s="1311"/>
      <c r="DU596" s="1311"/>
      <c r="DV596" s="1311"/>
      <c r="DW596" s="1311"/>
      <c r="DX596" s="1311"/>
      <c r="DY596" s="1312"/>
      <c r="DZ596" s="1311"/>
      <c r="EA596" s="1311"/>
      <c r="EB596" s="1311"/>
      <c r="EC596" s="1311"/>
      <c r="ED596" s="1311"/>
      <c r="EE596" s="1311"/>
      <c r="EF596" s="1311"/>
      <c r="EG596" s="1312"/>
      <c r="EH596" s="1311"/>
      <c r="EI596" s="1311"/>
      <c r="EJ596" s="1311"/>
      <c r="EK596" s="1311"/>
      <c r="EL596" s="1311"/>
      <c r="EM596" s="1311"/>
      <c r="EN596" s="1311"/>
      <c r="EO596" s="1312"/>
      <c r="EP596" s="1311"/>
      <c r="EQ596" s="1311"/>
      <c r="ER596" s="1311"/>
      <c r="ES596" s="1311"/>
      <c r="ET596" s="1311"/>
      <c r="EU596" s="1311"/>
      <c r="EV596" s="1311"/>
      <c r="IX596" s="1049"/>
      <c r="IY596" s="1049"/>
      <c r="IZ596" s="1049"/>
      <c r="JA596" s="1049"/>
      <c r="JB596" s="1049"/>
      <c r="JC596" s="1049"/>
      <c r="JD596" s="1518"/>
      <c r="JE596" s="1126"/>
      <c r="JF596" s="1126"/>
      <c r="JG596" s="1126"/>
      <c r="JH596" s="1126"/>
      <c r="JI596" s="1024"/>
      <c r="JJ596" s="1035"/>
      <c r="JK596" s="1035"/>
      <c r="JL596" s="1035"/>
      <c r="JM596" s="1035"/>
      <c r="JN596" s="1035"/>
      <c r="JO596" s="1035"/>
      <c r="JP596" s="1035"/>
      <c r="JQ596" s="1035"/>
      <c r="JR596" s="1035"/>
      <c r="JS596" s="1035"/>
      <c r="JT596" s="1035"/>
      <c r="JU596" s="1035"/>
      <c r="JV596" s="1035"/>
      <c r="JW596" s="1035"/>
      <c r="JX596" s="1035"/>
      <c r="JY596" s="1035"/>
      <c r="KP596" s="1110"/>
    </row>
    <row r="597" spans="1:302">
      <c r="A597" s="1035" t="s">
        <v>142</v>
      </c>
      <c r="B597" s="1302"/>
      <c r="C597" s="1302"/>
      <c r="D597" s="1302"/>
      <c r="E597" s="1302"/>
      <c r="F597" s="1302"/>
      <c r="G597" s="1302"/>
      <c r="H597" s="1302"/>
      <c r="I597" s="1302"/>
      <c r="J597" s="1302"/>
      <c r="K597" s="1302"/>
      <c r="L597" s="1302"/>
      <c r="M597" s="1302"/>
      <c r="N597" s="1302"/>
      <c r="O597" s="1302"/>
      <c r="P597" s="1302"/>
      <c r="Q597" s="1302"/>
      <c r="R597" s="1302"/>
      <c r="S597" s="1302"/>
      <c r="T597" s="1302"/>
      <c r="U597" s="1302"/>
      <c r="V597" s="1302"/>
      <c r="W597" s="1302"/>
      <c r="X597" s="1302"/>
      <c r="Y597" s="1302"/>
      <c r="Z597" s="1302"/>
      <c r="AA597" s="1302"/>
      <c r="AB597" s="1302"/>
      <c r="AC597" s="1302"/>
      <c r="AD597" s="1302"/>
      <c r="AE597" s="1302"/>
      <c r="AF597" s="1302"/>
      <c r="AG597" s="1302"/>
      <c r="AH597" s="1302"/>
      <c r="AI597" s="1302"/>
      <c r="AJ597" s="1302"/>
      <c r="AK597" s="1302"/>
      <c r="AL597" s="1302"/>
      <c r="AM597" s="1302"/>
      <c r="AN597" s="1302"/>
      <c r="AO597" s="1302"/>
      <c r="AP597" s="1302"/>
      <c r="AQ597" s="1302"/>
      <c r="AR597" s="1302"/>
      <c r="AS597" s="1302"/>
      <c r="AT597" s="1302"/>
      <c r="AU597" s="1302"/>
      <c r="AV597" s="1302"/>
      <c r="AW597" s="1302"/>
      <c r="AX597" s="1303"/>
      <c r="AY597" s="1302"/>
      <c r="AZ597" s="1302"/>
      <c r="BA597" s="1302"/>
      <c r="BB597" s="1302"/>
      <c r="BC597" s="1302"/>
      <c r="BD597" s="1302"/>
      <c r="BE597" s="1304"/>
      <c r="BF597" s="1302"/>
      <c r="BG597" s="1302"/>
      <c r="BH597" s="1302"/>
      <c r="BI597" s="1302"/>
      <c r="BJ597" s="1302"/>
      <c r="BK597" s="1302"/>
      <c r="BL597" s="1302"/>
      <c r="BM597" s="1302"/>
      <c r="BN597" s="1303"/>
      <c r="BO597" s="1302"/>
      <c r="BP597" s="1302"/>
      <c r="BQ597" s="1302"/>
      <c r="BR597" s="1302"/>
      <c r="BS597" s="1302"/>
      <c r="BT597" s="1302"/>
      <c r="BU597" s="1304"/>
      <c r="BV597" s="1303" t="e">
        <f t="shared" ref="BV597:CT597" si="4304">BV596/BN596-1</f>
        <v>#DIV/0!</v>
      </c>
      <c r="BW597" s="1302" t="e">
        <f t="shared" si="4304"/>
        <v>#DIV/0!</v>
      </c>
      <c r="BX597" s="1302" t="e">
        <f t="shared" si="4304"/>
        <v>#DIV/0!</v>
      </c>
      <c r="BY597" s="1302" t="e">
        <f t="shared" si="4304"/>
        <v>#DIV/0!</v>
      </c>
      <c r="BZ597" s="1302" t="e">
        <f t="shared" si="4304"/>
        <v>#DIV/0!</v>
      </c>
      <c r="CA597" s="1302" t="e">
        <f t="shared" si="4304"/>
        <v>#DIV/0!</v>
      </c>
      <c r="CB597" s="1302" t="e">
        <f t="shared" si="4304"/>
        <v>#DIV/0!</v>
      </c>
      <c r="CC597" s="1304" t="e">
        <f t="shared" si="4304"/>
        <v>#DIV/0!</v>
      </c>
      <c r="CD597" s="1303">
        <f t="shared" si="4304"/>
        <v>-0.9375</v>
      </c>
      <c r="CE597" s="1302">
        <f t="shared" si="4304"/>
        <v>0.153846153846154</v>
      </c>
      <c r="CF597" s="1302">
        <f t="shared" si="4304"/>
        <v>1.9</v>
      </c>
      <c r="CG597" s="1302">
        <f t="shared" si="4304"/>
        <v>-0.565217391304348</v>
      </c>
      <c r="CH597" s="1302">
        <f t="shared" si="4304"/>
        <v>0.181818181818182</v>
      </c>
      <c r="CI597" s="1302">
        <f t="shared" si="4304"/>
        <v>-0.266666666666667</v>
      </c>
      <c r="CJ597" s="1302">
        <f t="shared" si="4304"/>
        <v>-0.447368421052632</v>
      </c>
      <c r="CK597" s="1304">
        <f t="shared" si="4304"/>
        <v>0.0416666666666667</v>
      </c>
      <c r="CL597" s="1303">
        <f t="shared" si="4304"/>
        <v>-3</v>
      </c>
      <c r="CM597" s="1302">
        <f t="shared" si="4304"/>
        <v>0.1</v>
      </c>
      <c r="CN597" s="1302">
        <f t="shared" si="4304"/>
        <v>0.206896551724138</v>
      </c>
      <c r="CO597" s="1302">
        <f t="shared" si="4304"/>
        <v>0.5</v>
      </c>
      <c r="CP597" s="1302">
        <f t="shared" si="4304"/>
        <v>0.282051282051282</v>
      </c>
      <c r="CQ597" s="1302">
        <f t="shared" si="4304"/>
        <v>1.09090909090909</v>
      </c>
      <c r="CR597" s="1302">
        <f t="shared" si="4304"/>
        <v>0.666666666666667</v>
      </c>
      <c r="CS597" s="1304">
        <f t="shared" si="4304"/>
        <v>0.46</v>
      </c>
      <c r="CT597" s="1303">
        <f t="shared" si="4304"/>
        <v>-1.5</v>
      </c>
      <c r="CU597" s="1302">
        <f t="shared" ref="CU597:DA597" si="4305">CU596/CM596-1</f>
        <v>-0.151515151515151</v>
      </c>
      <c r="CV597" s="1302">
        <f t="shared" si="4305"/>
        <v>-0.228571428571429</v>
      </c>
      <c r="CW597" s="1302">
        <f t="shared" si="4305"/>
        <v>0</v>
      </c>
      <c r="CX597" s="1302">
        <f t="shared" si="4305"/>
        <v>-0.16</v>
      </c>
      <c r="CY597" s="1302">
        <f t="shared" si="4305"/>
        <v>0</v>
      </c>
      <c r="CZ597" s="1302">
        <f t="shared" si="4305"/>
        <v>0.0857142857142856</v>
      </c>
      <c r="DA597" s="1304">
        <f t="shared" si="4305"/>
        <v>-0.10958904109589</v>
      </c>
      <c r="DB597" s="1109">
        <f t="shared" ref="DB597:DI597" si="4306">DB596/CT596-1</f>
        <v>-24</v>
      </c>
      <c r="DC597" s="1082">
        <f t="shared" si="4306"/>
        <v>-0.321428571428571</v>
      </c>
      <c r="DD597" s="1082">
        <f t="shared" si="4306"/>
        <v>0.592592592592593</v>
      </c>
      <c r="DE597" s="1082">
        <f t="shared" si="4306"/>
        <v>-0.266666666666667</v>
      </c>
      <c r="DF597" s="1082">
        <f t="shared" si="4306"/>
        <v>0.285714285714286</v>
      </c>
      <c r="DG597" s="1082">
        <f t="shared" si="4306"/>
        <v>0.0434782608695652</v>
      </c>
      <c r="DH597" s="1082">
        <f t="shared" si="4306"/>
        <v>-0.0789473684210527</v>
      </c>
      <c r="DI597" s="1085">
        <f t="shared" si="4306"/>
        <v>0.2</v>
      </c>
      <c r="DJ597" s="1082">
        <f t="shared" ref="DJ597:DQ597" si="4307">DJ596/DB596-1</f>
        <v>-1.91304347826087</v>
      </c>
      <c r="DK597" s="1082">
        <f t="shared" si="4307"/>
        <v>-0.842105263157895</v>
      </c>
      <c r="DL597" s="1082">
        <f t="shared" si="4307"/>
        <v>-1.41860465116279</v>
      </c>
      <c r="DM597" s="1082">
        <f t="shared" si="4307"/>
        <v>-1.45454545454546</v>
      </c>
      <c r="DN597" s="1082">
        <f t="shared" si="4307"/>
        <v>-1.42592592592593</v>
      </c>
      <c r="DO597" s="1082" t="e">
        <f t="shared" si="4307"/>
        <v>#REF!</v>
      </c>
      <c r="DP597" s="1082" t="e">
        <f t="shared" si="4307"/>
        <v>#REF!</v>
      </c>
      <c r="DQ597" s="1085" t="e">
        <f t="shared" si="4307"/>
        <v>#REF!</v>
      </c>
      <c r="DR597" s="1082"/>
      <c r="DS597" s="1082"/>
      <c r="DT597" s="1082"/>
      <c r="DU597" s="1082"/>
      <c r="DV597" s="1082"/>
      <c r="DW597" s="1082"/>
      <c r="DX597" s="1082"/>
      <c r="DY597" s="1085"/>
      <c r="DZ597" s="1082"/>
      <c r="EA597" s="1082"/>
      <c r="EB597" s="1082"/>
      <c r="EC597" s="1082"/>
      <c r="ED597" s="1082"/>
      <c r="EE597" s="1082"/>
      <c r="EF597" s="1082"/>
      <c r="EG597" s="1085"/>
      <c r="EH597" s="1082"/>
      <c r="EI597" s="1082"/>
      <c r="EJ597" s="1082"/>
      <c r="EK597" s="1082"/>
      <c r="EL597" s="1082"/>
      <c r="EM597" s="1082"/>
      <c r="EN597" s="1082"/>
      <c r="EO597" s="1085"/>
      <c r="EP597" s="1082"/>
      <c r="EQ597" s="1082"/>
      <c r="ER597" s="1082"/>
      <c r="ES597" s="1082"/>
      <c r="ET597" s="1082"/>
      <c r="EU597" s="1082"/>
      <c r="EV597" s="1082"/>
      <c r="IX597" s="1049"/>
      <c r="IY597" s="1049"/>
      <c r="IZ597" s="1049"/>
      <c r="JA597" s="1049"/>
      <c r="JB597" s="1049"/>
      <c r="JC597" s="1049"/>
      <c r="JD597" s="1518"/>
      <c r="JE597" s="1126"/>
      <c r="JF597" s="1119"/>
      <c r="JG597" s="1119"/>
      <c r="JH597" s="1126"/>
      <c r="JI597" s="1024"/>
      <c r="JJ597" s="1035"/>
      <c r="JK597" s="1035"/>
      <c r="JL597" s="1035"/>
      <c r="JM597" s="1035"/>
      <c r="JN597" s="1035"/>
      <c r="JO597" s="1035"/>
      <c r="JP597" s="1035"/>
      <c r="JQ597" s="1035"/>
      <c r="JR597" s="1035"/>
      <c r="JS597" s="1035"/>
      <c r="JT597" s="1035"/>
      <c r="JU597" s="1035"/>
      <c r="JV597" s="1035"/>
      <c r="JW597" s="1035"/>
      <c r="JX597" s="1035"/>
      <c r="JY597" s="1035"/>
      <c r="KP597" s="1180"/>
    </row>
    <row r="598" spans="1:302">
      <c r="A598" s="1035" t="s">
        <v>634</v>
      </c>
      <c r="B598" s="1302"/>
      <c r="C598" s="1302"/>
      <c r="D598" s="1302"/>
      <c r="E598" s="1302"/>
      <c r="F598" s="1302"/>
      <c r="G598" s="1302"/>
      <c r="H598" s="1302"/>
      <c r="I598" s="1302"/>
      <c r="J598" s="1302"/>
      <c r="K598" s="1302"/>
      <c r="L598" s="1302"/>
      <c r="M598" s="1302"/>
      <c r="N598" s="1302"/>
      <c r="O598" s="1302"/>
      <c r="P598" s="1302"/>
      <c r="Q598" s="1302"/>
      <c r="R598" s="1302"/>
      <c r="S598" s="1302"/>
      <c r="T598" s="1302"/>
      <c r="U598" s="1302"/>
      <c r="V598" s="1302"/>
      <c r="W598" s="1302"/>
      <c r="X598" s="1302"/>
      <c r="Y598" s="1302"/>
      <c r="Z598" s="1302"/>
      <c r="AA598" s="1302"/>
      <c r="AB598" s="1302"/>
      <c r="AC598" s="1302"/>
      <c r="AD598" s="1302"/>
      <c r="AE598" s="1302"/>
      <c r="AF598" s="1302"/>
      <c r="AG598" s="1302"/>
      <c r="AH598" s="1302"/>
      <c r="AI598" s="1302"/>
      <c r="AJ598" s="1302"/>
      <c r="AK598" s="1302"/>
      <c r="AL598" s="1302"/>
      <c r="AM598" s="1302"/>
      <c r="AN598" s="1302"/>
      <c r="AO598" s="1302"/>
      <c r="AP598" s="1302"/>
      <c r="AQ598" s="1302"/>
      <c r="AR598" s="1302"/>
      <c r="AS598" s="1302"/>
      <c r="AT598" s="1302"/>
      <c r="AU598" s="1302"/>
      <c r="AV598" s="1302"/>
      <c r="AW598" s="1302"/>
      <c r="AX598" s="1303"/>
      <c r="AY598" s="1302"/>
      <c r="AZ598" s="1302"/>
      <c r="BA598" s="1302"/>
      <c r="BB598" s="1302"/>
      <c r="BC598" s="1302"/>
      <c r="BD598" s="1302"/>
      <c r="BE598" s="1304"/>
      <c r="BF598" s="1302"/>
      <c r="BG598" s="1302"/>
      <c r="BH598" s="1302"/>
      <c r="BI598" s="1302"/>
      <c r="BJ598" s="1302"/>
      <c r="BK598" s="1302"/>
      <c r="BL598" s="1302"/>
      <c r="BM598" s="1302"/>
      <c r="BN598" s="1303"/>
      <c r="BO598" s="1302"/>
      <c r="BP598" s="1302"/>
      <c r="BQ598" s="1302"/>
      <c r="BR598" s="1302"/>
      <c r="BS598" s="1302"/>
      <c r="BT598" s="1302"/>
      <c r="BU598" s="1304"/>
      <c r="BV598" s="1303">
        <f t="shared" ref="BV598:DI598" si="4308">BV596/BV557</f>
        <v>-0.137931034482759</v>
      </c>
      <c r="BW598" s="1302">
        <f t="shared" si="4308"/>
        <v>0.140540540540541</v>
      </c>
      <c r="BX598" s="1302">
        <f t="shared" si="4308"/>
        <v>0.0332225913621262</v>
      </c>
      <c r="BY598" s="1302">
        <f t="shared" si="4308"/>
        <v>0.130681818181818</v>
      </c>
      <c r="BZ598" s="1302">
        <f t="shared" si="4308"/>
        <v>0.0691823899371069</v>
      </c>
      <c r="CA598" s="1302">
        <f t="shared" si="4308"/>
        <v>0.0967741935483871</v>
      </c>
      <c r="CB598" s="1302">
        <f t="shared" si="4308"/>
        <v>0.114803625377644</v>
      </c>
      <c r="CC598" s="1304">
        <f t="shared" si="4308"/>
        <v>0.0759493670886076</v>
      </c>
      <c r="CD598" s="1303">
        <f t="shared" si="4308"/>
        <v>-0.00671140939597315</v>
      </c>
      <c r="CE598" s="1302">
        <f t="shared" si="4308"/>
        <v>0.148514851485149</v>
      </c>
      <c r="CF598" s="1302">
        <f t="shared" si="4308"/>
        <v>0.0826210826210826</v>
      </c>
      <c r="CG598" s="1302">
        <f t="shared" si="4308"/>
        <v>0.0564971751412429</v>
      </c>
      <c r="CH598" s="1302">
        <f t="shared" si="4308"/>
        <v>0.0738636363636364</v>
      </c>
      <c r="CI598" s="1302">
        <f t="shared" si="4308"/>
        <v>0.0607734806629834</v>
      </c>
      <c r="CJ598" s="1302">
        <f t="shared" si="4308"/>
        <v>0.058659217877095</v>
      </c>
      <c r="CK598" s="1304">
        <f t="shared" si="4308"/>
        <v>0.0705218617771509</v>
      </c>
      <c r="CL598" s="1303">
        <f t="shared" si="4308"/>
        <v>0.00995024875621891</v>
      </c>
      <c r="CM598" s="1302">
        <f t="shared" si="4308"/>
        <v>0.125</v>
      </c>
      <c r="CN598" s="1302">
        <f t="shared" si="4308"/>
        <v>0.0752688172043011</v>
      </c>
      <c r="CO598" s="1302">
        <f t="shared" si="4308"/>
        <v>0.077720207253886</v>
      </c>
      <c r="CP598" s="1302">
        <f t="shared" si="4308"/>
        <v>0.0759878419452888</v>
      </c>
      <c r="CQ598" s="1302">
        <f t="shared" si="4308"/>
        <v>0.116161616161616</v>
      </c>
      <c r="CR598" s="1302">
        <f t="shared" si="4308"/>
        <v>0.0895140664961637</v>
      </c>
      <c r="CS598" s="1304">
        <f t="shared" si="4308"/>
        <v>0.0852803738317757</v>
      </c>
      <c r="CT598" s="1303">
        <f t="shared" si="4308"/>
        <v>-0.00555555555555556</v>
      </c>
      <c r="CU598" s="1302">
        <f t="shared" si="4308"/>
        <v>0.117154811715481</v>
      </c>
      <c r="CV598" s="1302">
        <f t="shared" si="4308"/>
        <v>0.0644391408114559</v>
      </c>
      <c r="CW598" s="1302">
        <f t="shared" si="4308"/>
        <v>0.0789473684210526</v>
      </c>
      <c r="CX598" s="1302">
        <f t="shared" si="4308"/>
        <v>0.0689655172413793</v>
      </c>
      <c r="CY598" s="1302">
        <f t="shared" si="4308"/>
        <v>0.117948717948718</v>
      </c>
      <c r="CZ598" s="1302">
        <f t="shared" si="4308"/>
        <v>0.0987012987012987</v>
      </c>
      <c r="DA598" s="1304">
        <f t="shared" si="4308"/>
        <v>0.0808457711442786</v>
      </c>
      <c r="DB598" s="1109">
        <f t="shared" si="4308"/>
        <v>0.120418848167539</v>
      </c>
      <c r="DC598" s="1082">
        <f t="shared" si="4308"/>
        <v>0.084070796460177</v>
      </c>
      <c r="DD598" s="1082">
        <f t="shared" si="4308"/>
        <v>0.103117505995204</v>
      </c>
      <c r="DE598" s="1082">
        <f t="shared" si="4308"/>
        <v>0.0558375634517767</v>
      </c>
      <c r="DF598" s="1082">
        <f t="shared" si="4308"/>
        <v>0.0879478827361563</v>
      </c>
      <c r="DG598" s="1082">
        <f t="shared" si="4308"/>
        <v>0.121212121212121</v>
      </c>
      <c r="DH598" s="1082">
        <f t="shared" si="4308"/>
        <v>0.0886075949367089</v>
      </c>
      <c r="DI598" s="1085">
        <f t="shared" si="4308"/>
        <v>0.0960591133004926</v>
      </c>
      <c r="DJ598" s="1082">
        <v>-0.108247422680412</v>
      </c>
      <c r="DK598" s="1082">
        <v>0.0117647058823529</v>
      </c>
      <c r="DL598" s="1082">
        <f>DL596/DL557</f>
        <v>-0.0400890868596881</v>
      </c>
      <c r="DM598" s="1082">
        <f>DM596/DM557</f>
        <v>-0.0271739130434786</v>
      </c>
      <c r="DN598" s="1082">
        <f>DN596/DN557</f>
        <v>-0.0363349131121643</v>
      </c>
      <c r="DO598" s="1488">
        <v>0.01</v>
      </c>
      <c r="DP598" s="1082" t="e">
        <f>DP596/DP557</f>
        <v>#REF!</v>
      </c>
      <c r="DQ598" s="1085" t="e">
        <f>DQ596/DQ557</f>
        <v>#REF!</v>
      </c>
      <c r="DR598" s="1488"/>
      <c r="DS598" s="1488"/>
      <c r="DT598" s="1082"/>
      <c r="DU598" s="1488"/>
      <c r="DV598" s="1082"/>
      <c r="DW598" s="1488"/>
      <c r="DX598" s="1082"/>
      <c r="DY598" s="1085"/>
      <c r="DZ598" s="1488"/>
      <c r="EA598" s="1488"/>
      <c r="EB598" s="1082"/>
      <c r="EC598" s="1488"/>
      <c r="ED598" s="1082"/>
      <c r="EE598" s="1488"/>
      <c r="EF598" s="1082"/>
      <c r="EG598" s="1085"/>
      <c r="EH598" s="1488"/>
      <c r="EI598" s="1488"/>
      <c r="EJ598" s="1082"/>
      <c r="EK598" s="1488"/>
      <c r="EL598" s="1082"/>
      <c r="EM598" s="1488"/>
      <c r="EN598" s="1082"/>
      <c r="EO598" s="1085"/>
      <c r="EP598" s="1082"/>
      <c r="EQ598" s="1082"/>
      <c r="ER598" s="1082"/>
      <c r="ES598" s="1082"/>
      <c r="ET598" s="1082"/>
      <c r="EU598" s="1082"/>
      <c r="EV598" s="1082"/>
      <c r="IX598" s="1049"/>
      <c r="IY598" s="1049"/>
      <c r="IZ598" s="1049"/>
      <c r="JA598" s="1049"/>
      <c r="JB598" s="1049"/>
      <c r="JC598" s="1049"/>
      <c r="JD598" s="1518"/>
      <c r="JE598" s="1126"/>
      <c r="JF598" s="1126"/>
      <c r="JG598" s="1126"/>
      <c r="JH598" s="1126"/>
      <c r="JI598" s="1024"/>
      <c r="JJ598" s="1035"/>
      <c r="JK598" s="1035"/>
      <c r="JL598" s="1035"/>
      <c r="JM598" s="1035"/>
      <c r="JN598" s="1035"/>
      <c r="JO598" s="1035"/>
      <c r="JP598" s="1035"/>
      <c r="JQ598" s="1035"/>
      <c r="JR598" s="1035"/>
      <c r="JS598" s="1035"/>
      <c r="JT598" s="1035"/>
      <c r="JU598" s="1035"/>
      <c r="JV598" s="1035"/>
      <c r="JW598" s="1035"/>
      <c r="JX598" s="1035"/>
      <c r="JY598" s="1035"/>
      <c r="KP598" s="967"/>
    </row>
    <row r="599" spans="1:302">
      <c r="A599" s="1306" t="s">
        <v>82</v>
      </c>
      <c r="B599" s="1307"/>
      <c r="C599" s="1307"/>
      <c r="D599" s="1307"/>
      <c r="E599" s="1307"/>
      <c r="F599" s="1307"/>
      <c r="G599" s="1307"/>
      <c r="H599" s="1307"/>
      <c r="I599" s="1307"/>
      <c r="J599" s="1307"/>
      <c r="K599" s="1307"/>
      <c r="L599" s="1307"/>
      <c r="M599" s="1307"/>
      <c r="N599" s="1307"/>
      <c r="O599" s="1307"/>
      <c r="P599" s="1307"/>
      <c r="Q599" s="1307"/>
      <c r="R599" s="1307"/>
      <c r="S599" s="1307"/>
      <c r="T599" s="1307"/>
      <c r="U599" s="1307"/>
      <c r="V599" s="1307"/>
      <c r="W599" s="1307"/>
      <c r="X599" s="1307"/>
      <c r="Y599" s="1307"/>
      <c r="Z599" s="1307"/>
      <c r="AA599" s="1307"/>
      <c r="AB599" s="1307"/>
      <c r="AC599" s="1307"/>
      <c r="AD599" s="1307"/>
      <c r="AE599" s="1307"/>
      <c r="AF599" s="1307"/>
      <c r="AG599" s="1307"/>
      <c r="AH599" s="1307"/>
      <c r="AI599" s="1307"/>
      <c r="AJ599" s="1307"/>
      <c r="AK599" s="1307"/>
      <c r="AL599" s="1307"/>
      <c r="AM599" s="1307"/>
      <c r="AN599" s="1307"/>
      <c r="AO599" s="1307"/>
      <c r="AP599" s="1307"/>
      <c r="AQ599" s="1307"/>
      <c r="AR599" s="1307"/>
      <c r="AS599" s="1307"/>
      <c r="AT599" s="1307"/>
      <c r="AU599" s="1307"/>
      <c r="AV599" s="1307"/>
      <c r="AW599" s="1307"/>
      <c r="AX599" s="1308"/>
      <c r="AY599" s="1307"/>
      <c r="AZ599" s="1307"/>
      <c r="BA599" s="1307"/>
      <c r="BB599" s="1307"/>
      <c r="BC599" s="1307"/>
      <c r="BD599" s="1307"/>
      <c r="BE599" s="1309"/>
      <c r="BF599" s="1307"/>
      <c r="BG599" s="1307"/>
      <c r="BH599" s="1307"/>
      <c r="BI599" s="1307"/>
      <c r="BJ599" s="1307"/>
      <c r="BK599" s="1307"/>
      <c r="BL599" s="1307"/>
      <c r="BM599" s="1307"/>
      <c r="BN599" s="1308"/>
      <c r="BO599" s="1307"/>
      <c r="BP599" s="1307"/>
      <c r="BQ599" s="1307"/>
      <c r="BR599" s="1307"/>
      <c r="BS599" s="1307"/>
      <c r="BT599" s="1307"/>
      <c r="BU599" s="1309"/>
      <c r="BV599" s="1308" t="s">
        <v>173</v>
      </c>
      <c r="BW599" s="1307" t="s">
        <v>173</v>
      </c>
      <c r="BX599" s="1307" t="s">
        <v>173</v>
      </c>
      <c r="BY599" s="1307" t="s">
        <v>173</v>
      </c>
      <c r="BZ599" s="1307" t="s">
        <v>173</v>
      </c>
      <c r="CA599" s="1307" t="s">
        <v>173</v>
      </c>
      <c r="CB599" s="1307" t="s">
        <v>173</v>
      </c>
      <c r="CC599" s="1309" t="s">
        <v>173</v>
      </c>
      <c r="CD599" s="1308" t="s">
        <v>173</v>
      </c>
      <c r="CE599" s="1307" t="s">
        <v>173</v>
      </c>
      <c r="CF599" s="1307" t="s">
        <v>173</v>
      </c>
      <c r="CG599" s="1307" t="s">
        <v>173</v>
      </c>
      <c r="CH599" s="1307" t="s">
        <v>173</v>
      </c>
      <c r="CI599" s="1307" t="s">
        <v>173</v>
      </c>
      <c r="CJ599" s="1307" t="s">
        <v>173</v>
      </c>
      <c r="CK599" s="1309" t="s">
        <v>173</v>
      </c>
      <c r="CL599" s="1308">
        <f t="shared" ref="CL599:CV599" si="4309">CL720</f>
        <v>17</v>
      </c>
      <c r="CM599" s="1307">
        <f t="shared" si="4309"/>
        <v>-4</v>
      </c>
      <c r="CN599" s="1307">
        <f t="shared" si="4309"/>
        <v>13</v>
      </c>
      <c r="CO599" s="1307">
        <f t="shared" si="4309"/>
        <v>58</v>
      </c>
      <c r="CP599" s="1307">
        <f t="shared" si="4309"/>
        <v>71</v>
      </c>
      <c r="CQ599" s="1307">
        <f t="shared" si="4309"/>
        <v>15</v>
      </c>
      <c r="CR599" s="1307">
        <f t="shared" si="4309"/>
        <v>13</v>
      </c>
      <c r="CS599" s="1309">
        <f t="shared" si="4309"/>
        <v>86</v>
      </c>
      <c r="CT599" s="1308">
        <f t="shared" si="4309"/>
        <v>6</v>
      </c>
      <c r="CU599" s="1307">
        <f t="shared" si="4309"/>
        <v>-2</v>
      </c>
      <c r="CV599" s="1307">
        <f t="shared" si="4309"/>
        <v>4</v>
      </c>
      <c r="CW599" s="1307">
        <f>+CX599-CV599</f>
        <v>85</v>
      </c>
      <c r="CX599" s="1307">
        <v>89</v>
      </c>
      <c r="CY599" s="1307">
        <f>DA599-CX599</f>
        <v>20</v>
      </c>
      <c r="CZ599" s="1307">
        <f>CY599+CW599</f>
        <v>105</v>
      </c>
      <c r="DA599" s="1309">
        <v>109</v>
      </c>
      <c r="DB599" s="1332">
        <v>-13</v>
      </c>
      <c r="DC599" s="1311">
        <f>DC724</f>
        <v>-11</v>
      </c>
      <c r="DD599" s="1311">
        <f>DD724</f>
        <v>-24</v>
      </c>
      <c r="DE599" s="1311">
        <f>DF599-DD599</f>
        <v>26</v>
      </c>
      <c r="DF599" s="1311">
        <v>2</v>
      </c>
      <c r="DG599" s="1311">
        <f>DI599-DF599</f>
        <v>-9</v>
      </c>
      <c r="DH599" s="1311">
        <f>DI599-DD599</f>
        <v>17</v>
      </c>
      <c r="DI599" s="1312">
        <v>-7</v>
      </c>
      <c r="DJ599" s="1311">
        <f>DJ601*DJ562</f>
        <v>-95.9999999999999</v>
      </c>
      <c r="DK599" s="1311">
        <f>DK601*DK562</f>
        <v>-51</v>
      </c>
      <c r="DL599" s="1311">
        <f>DK599+DJ599</f>
        <v>-147</v>
      </c>
      <c r="DM599" s="1311">
        <f>DN599-DL599</f>
        <v>16.9999999999999</v>
      </c>
      <c r="DN599" s="1311">
        <v>-130</v>
      </c>
      <c r="DO599" s="1311" t="e">
        <f>DO601*DO562</f>
        <v>#REF!</v>
      </c>
      <c r="DP599" s="1311" t="e">
        <f>DO599+DM599</f>
        <v>#REF!</v>
      </c>
      <c r="DQ599" s="1312" t="e">
        <f>DP599+DL599</f>
        <v>#REF!</v>
      </c>
      <c r="DR599" s="1311"/>
      <c r="DS599" s="1311"/>
      <c r="DT599" s="1311"/>
      <c r="DU599" s="1311"/>
      <c r="DV599" s="1311"/>
      <c r="DW599" s="1311"/>
      <c r="DX599" s="1311"/>
      <c r="DY599" s="1312"/>
      <c r="DZ599" s="1311"/>
      <c r="EA599" s="1311"/>
      <c r="EB599" s="1311"/>
      <c r="EC599" s="1311"/>
      <c r="ED599" s="1311"/>
      <c r="EE599" s="1311"/>
      <c r="EF599" s="1311"/>
      <c r="EG599" s="1312"/>
      <c r="EH599" s="1311"/>
      <c r="EI599" s="1311"/>
      <c r="EJ599" s="1311"/>
      <c r="EK599" s="1311"/>
      <c r="EL599" s="1311"/>
      <c r="EM599" s="1311"/>
      <c r="EN599" s="1311"/>
      <c r="EO599" s="1312"/>
      <c r="EP599" s="1311"/>
      <c r="EQ599" s="1311"/>
      <c r="ER599" s="1311"/>
      <c r="ES599" s="1311"/>
      <c r="ET599" s="1311"/>
      <c r="EU599" s="1311"/>
      <c r="EV599" s="1311"/>
      <c r="IX599" s="1049"/>
      <c r="IY599" s="1049"/>
      <c r="IZ599" s="1049"/>
      <c r="JA599" s="1049"/>
      <c r="JB599" s="1049"/>
      <c r="JC599" s="1049"/>
      <c r="JD599" s="1518"/>
      <c r="JE599" s="1126"/>
      <c r="JF599" s="1523"/>
      <c r="JG599" s="1523"/>
      <c r="JH599" s="1126"/>
      <c r="JI599" s="1024"/>
      <c r="JJ599" s="1035"/>
      <c r="JK599" s="1035"/>
      <c r="JL599" s="1035"/>
      <c r="JM599" s="1035"/>
      <c r="JN599" s="1035"/>
      <c r="JO599" s="1035"/>
      <c r="JP599" s="1035"/>
      <c r="JQ599" s="1035"/>
      <c r="JR599" s="1035"/>
      <c r="JS599" s="1035"/>
      <c r="JT599" s="1035"/>
      <c r="JU599" s="1035"/>
      <c r="JV599" s="1035"/>
      <c r="JW599" s="1035"/>
      <c r="JX599" s="1035"/>
      <c r="JY599" s="1035"/>
      <c r="KP599" s="967"/>
    </row>
    <row r="600" spans="1:302">
      <c r="A600" s="1035" t="s">
        <v>142</v>
      </c>
      <c r="B600" s="1302"/>
      <c r="C600" s="1302"/>
      <c r="D600" s="1302"/>
      <c r="E600" s="1302"/>
      <c r="F600" s="1302"/>
      <c r="G600" s="1302"/>
      <c r="H600" s="1302"/>
      <c r="I600" s="1302"/>
      <c r="J600" s="1302"/>
      <c r="K600" s="1302"/>
      <c r="L600" s="1302"/>
      <c r="M600" s="1302"/>
      <c r="N600" s="1302"/>
      <c r="O600" s="1302"/>
      <c r="P600" s="1302"/>
      <c r="Q600" s="1302"/>
      <c r="R600" s="1302"/>
      <c r="S600" s="1302"/>
      <c r="T600" s="1302"/>
      <c r="U600" s="1302"/>
      <c r="V600" s="1302"/>
      <c r="W600" s="1302"/>
      <c r="X600" s="1302"/>
      <c r="Y600" s="1302"/>
      <c r="Z600" s="1302"/>
      <c r="AA600" s="1302"/>
      <c r="AB600" s="1302"/>
      <c r="AC600" s="1302"/>
      <c r="AD600" s="1302"/>
      <c r="AE600" s="1302"/>
      <c r="AF600" s="1302"/>
      <c r="AG600" s="1302"/>
      <c r="AH600" s="1302"/>
      <c r="AI600" s="1302"/>
      <c r="AJ600" s="1302"/>
      <c r="AK600" s="1302"/>
      <c r="AL600" s="1302"/>
      <c r="AM600" s="1302"/>
      <c r="AN600" s="1302"/>
      <c r="AO600" s="1302"/>
      <c r="AP600" s="1302"/>
      <c r="AQ600" s="1302"/>
      <c r="AR600" s="1302"/>
      <c r="AS600" s="1302"/>
      <c r="AT600" s="1302"/>
      <c r="AU600" s="1302"/>
      <c r="AV600" s="1302"/>
      <c r="AW600" s="1302"/>
      <c r="AX600" s="1303"/>
      <c r="AY600" s="1302"/>
      <c r="AZ600" s="1302"/>
      <c r="BA600" s="1302"/>
      <c r="BB600" s="1302"/>
      <c r="BC600" s="1302"/>
      <c r="BD600" s="1302"/>
      <c r="BE600" s="1304"/>
      <c r="BF600" s="1302"/>
      <c r="BG600" s="1302"/>
      <c r="BH600" s="1302"/>
      <c r="BI600" s="1302"/>
      <c r="BJ600" s="1302"/>
      <c r="BK600" s="1302"/>
      <c r="BL600" s="1302"/>
      <c r="BM600" s="1302"/>
      <c r="BN600" s="1303"/>
      <c r="BO600" s="1302"/>
      <c r="BP600" s="1302"/>
      <c r="BQ600" s="1302"/>
      <c r="BR600" s="1302"/>
      <c r="BS600" s="1302"/>
      <c r="BT600" s="1302"/>
      <c r="BU600" s="1304"/>
      <c r="BV600" s="1408" t="s">
        <v>173</v>
      </c>
      <c r="BW600" s="1409" t="s">
        <v>173</v>
      </c>
      <c r="BX600" s="1409" t="s">
        <v>173</v>
      </c>
      <c r="BY600" s="1409" t="s">
        <v>173</v>
      </c>
      <c r="BZ600" s="1409" t="s">
        <v>173</v>
      </c>
      <c r="CA600" s="1409" t="s">
        <v>173</v>
      </c>
      <c r="CB600" s="1409" t="s">
        <v>173</v>
      </c>
      <c r="CC600" s="1410" t="s">
        <v>173</v>
      </c>
      <c r="CD600" s="1408" t="s">
        <v>173</v>
      </c>
      <c r="CE600" s="1302" t="s">
        <v>173</v>
      </c>
      <c r="CF600" s="1302" t="s">
        <v>173</v>
      </c>
      <c r="CG600" s="1302" t="s">
        <v>173</v>
      </c>
      <c r="CH600" s="1302" t="s">
        <v>173</v>
      </c>
      <c r="CI600" s="1302" t="s">
        <v>173</v>
      </c>
      <c r="CJ600" s="1302" t="s">
        <v>173</v>
      </c>
      <c r="CK600" s="1304" t="s">
        <v>173</v>
      </c>
      <c r="CL600" s="1303" t="s">
        <v>173</v>
      </c>
      <c r="CM600" s="1302" t="s">
        <v>173</v>
      </c>
      <c r="CN600" s="1302" t="s">
        <v>173</v>
      </c>
      <c r="CO600" s="1302" t="s">
        <v>173</v>
      </c>
      <c r="CP600" s="1302" t="s">
        <v>173</v>
      </c>
      <c r="CQ600" s="1302" t="s">
        <v>173</v>
      </c>
      <c r="CR600" s="1302" t="s">
        <v>173</v>
      </c>
      <c r="CS600" s="1304" t="s">
        <v>173</v>
      </c>
      <c r="CT600" s="1303">
        <f t="shared" ref="CT600:DA600" si="4310">CT599/CL599-1</f>
        <v>-0.647058823529412</v>
      </c>
      <c r="CU600" s="1302">
        <f t="shared" si="4310"/>
        <v>-0.5</v>
      </c>
      <c r="CV600" s="1302">
        <f t="shared" si="4310"/>
        <v>-0.692307692307692</v>
      </c>
      <c r="CW600" s="1302">
        <f t="shared" si="4310"/>
        <v>0.46551724137931</v>
      </c>
      <c r="CX600" s="1302">
        <f t="shared" si="4310"/>
        <v>0.253521126760563</v>
      </c>
      <c r="CY600" s="1302">
        <f t="shared" si="4310"/>
        <v>0.333333333333333</v>
      </c>
      <c r="CZ600" s="1302">
        <f t="shared" si="4310"/>
        <v>7.07692307692308</v>
      </c>
      <c r="DA600" s="1304">
        <f t="shared" si="4310"/>
        <v>0.267441860465116</v>
      </c>
      <c r="DB600" s="1109">
        <f t="shared" ref="DB600:DI600" si="4311">DB599/CT599-1</f>
        <v>-3.16666666666667</v>
      </c>
      <c r="DC600" s="1082">
        <f t="shared" si="4311"/>
        <v>4.5</v>
      </c>
      <c r="DD600" s="1082">
        <f t="shared" si="4311"/>
        <v>-7</v>
      </c>
      <c r="DE600" s="1082">
        <f t="shared" si="4311"/>
        <v>-0.694117647058824</v>
      </c>
      <c r="DF600" s="1082">
        <f t="shared" si="4311"/>
        <v>-0.97752808988764</v>
      </c>
      <c r="DG600" s="1082">
        <f t="shared" si="4311"/>
        <v>-1.45</v>
      </c>
      <c r="DH600" s="1082">
        <f t="shared" si="4311"/>
        <v>-0.838095238095238</v>
      </c>
      <c r="DI600" s="1085">
        <f t="shared" si="4311"/>
        <v>-1.06422018348624</v>
      </c>
      <c r="DJ600" s="1082">
        <f t="shared" ref="DJ600:DQ600" si="4312">DJ599/DB599-1</f>
        <v>6.38461538461537</v>
      </c>
      <c r="DK600" s="1082">
        <f t="shared" si="4312"/>
        <v>3.63636363636364</v>
      </c>
      <c r="DL600" s="1082">
        <f t="shared" si="4312"/>
        <v>5.125</v>
      </c>
      <c r="DM600" s="1082">
        <f t="shared" si="4312"/>
        <v>-0.346153846153849</v>
      </c>
      <c r="DN600" s="1082">
        <f t="shared" si="4312"/>
        <v>-66</v>
      </c>
      <c r="DO600" s="1082" t="e">
        <f t="shared" si="4312"/>
        <v>#REF!</v>
      </c>
      <c r="DP600" s="1082" t="e">
        <f t="shared" si="4312"/>
        <v>#REF!</v>
      </c>
      <c r="DQ600" s="1085" t="e">
        <f t="shared" si="4312"/>
        <v>#REF!</v>
      </c>
      <c r="DR600" s="1082"/>
      <c r="DS600" s="1082"/>
      <c r="DT600" s="1082"/>
      <c r="DU600" s="1082"/>
      <c r="DV600" s="1082"/>
      <c r="DW600" s="1082"/>
      <c r="DX600" s="1082"/>
      <c r="DY600" s="1085"/>
      <c r="DZ600" s="1082"/>
      <c r="EA600" s="1082"/>
      <c r="EB600" s="1082"/>
      <c r="EC600" s="1082"/>
      <c r="ED600" s="1082"/>
      <c r="EE600" s="1082"/>
      <c r="EF600" s="1082"/>
      <c r="EG600" s="1085"/>
      <c r="EH600" s="1082"/>
      <c r="EI600" s="1082"/>
      <c r="EJ600" s="1082"/>
      <c r="EK600" s="1082"/>
      <c r="EL600" s="1082"/>
      <c r="EM600" s="1082"/>
      <c r="EN600" s="1082"/>
      <c r="EO600" s="1085"/>
      <c r="EP600" s="1082"/>
      <c r="EQ600" s="1082"/>
      <c r="ER600" s="1082"/>
      <c r="ES600" s="1082"/>
      <c r="ET600" s="1082"/>
      <c r="EU600" s="1082"/>
      <c r="EV600" s="1082"/>
      <c r="IX600" s="1049"/>
      <c r="IY600" s="1049"/>
      <c r="IZ600" s="1049"/>
      <c r="JA600" s="1049"/>
      <c r="JB600" s="1049"/>
      <c r="JC600" s="1049"/>
      <c r="JD600" s="1518"/>
      <c r="JE600" s="1126"/>
      <c r="JF600" s="1524"/>
      <c r="JG600" s="1126"/>
      <c r="JH600" s="1126"/>
      <c r="JI600" s="1024"/>
      <c r="JJ600" s="1035"/>
      <c r="JK600" s="1035"/>
      <c r="JL600" s="1035"/>
      <c r="JM600" s="1035"/>
      <c r="JN600" s="1035"/>
      <c r="JO600" s="1035"/>
      <c r="JP600" s="1035"/>
      <c r="JQ600" s="1035"/>
      <c r="JR600" s="1035"/>
      <c r="JS600" s="1035"/>
      <c r="JT600" s="1035"/>
      <c r="JU600" s="1035"/>
      <c r="JV600" s="1035"/>
      <c r="JW600" s="1035"/>
      <c r="JX600" s="1035"/>
      <c r="JY600" s="1035"/>
      <c r="KP600" s="967"/>
    </row>
    <row r="601" spans="1:302">
      <c r="A601" s="1035" t="s">
        <v>634</v>
      </c>
      <c r="B601" s="1302"/>
      <c r="C601" s="1302"/>
      <c r="D601" s="1302"/>
      <c r="E601" s="1302"/>
      <c r="F601" s="1302"/>
      <c r="G601" s="1302"/>
      <c r="H601" s="1302"/>
      <c r="I601" s="1302"/>
      <c r="J601" s="1302"/>
      <c r="K601" s="1302"/>
      <c r="L601" s="1302"/>
      <c r="M601" s="1302"/>
      <c r="N601" s="1302"/>
      <c r="O601" s="1302"/>
      <c r="P601" s="1302"/>
      <c r="Q601" s="1302"/>
      <c r="R601" s="1302"/>
      <c r="S601" s="1302"/>
      <c r="T601" s="1302"/>
      <c r="U601" s="1302"/>
      <c r="V601" s="1302"/>
      <c r="W601" s="1302"/>
      <c r="X601" s="1302"/>
      <c r="Y601" s="1302"/>
      <c r="Z601" s="1302"/>
      <c r="AA601" s="1302"/>
      <c r="AB601" s="1302"/>
      <c r="AC601" s="1302"/>
      <c r="AD601" s="1302"/>
      <c r="AE601" s="1302"/>
      <c r="AF601" s="1302"/>
      <c r="AG601" s="1302"/>
      <c r="AH601" s="1302"/>
      <c r="AI601" s="1302"/>
      <c r="AJ601" s="1302"/>
      <c r="AK601" s="1302"/>
      <c r="AL601" s="1302"/>
      <c r="AM601" s="1302"/>
      <c r="AN601" s="1302"/>
      <c r="AO601" s="1302"/>
      <c r="AP601" s="1302"/>
      <c r="AQ601" s="1302"/>
      <c r="AR601" s="1302"/>
      <c r="AS601" s="1302"/>
      <c r="AT601" s="1302"/>
      <c r="AU601" s="1302"/>
      <c r="AV601" s="1302"/>
      <c r="AW601" s="1302"/>
      <c r="AX601" s="1303"/>
      <c r="AY601" s="1302"/>
      <c r="AZ601" s="1302"/>
      <c r="BA601" s="1302"/>
      <c r="BB601" s="1302"/>
      <c r="BC601" s="1302"/>
      <c r="BD601" s="1302"/>
      <c r="BE601" s="1304"/>
      <c r="BF601" s="1302"/>
      <c r="BG601" s="1302"/>
      <c r="BH601" s="1302"/>
      <c r="BI601" s="1302"/>
      <c r="BJ601" s="1302"/>
      <c r="BK601" s="1302"/>
      <c r="BL601" s="1302"/>
      <c r="BM601" s="1302"/>
      <c r="BN601" s="1303"/>
      <c r="BO601" s="1302"/>
      <c r="BP601" s="1302"/>
      <c r="BQ601" s="1302"/>
      <c r="BR601" s="1302"/>
      <c r="BS601" s="1302"/>
      <c r="BT601" s="1302"/>
      <c r="BU601" s="1304"/>
      <c r="BV601" s="1408" t="s">
        <v>173</v>
      </c>
      <c r="BW601" s="1409" t="s">
        <v>173</v>
      </c>
      <c r="BX601" s="1409" t="s">
        <v>173</v>
      </c>
      <c r="BY601" s="1409" t="s">
        <v>173</v>
      </c>
      <c r="BZ601" s="1409" t="s">
        <v>173</v>
      </c>
      <c r="CA601" s="1409" t="s">
        <v>173</v>
      </c>
      <c r="CB601" s="1409" t="s">
        <v>173</v>
      </c>
      <c r="CC601" s="1410" t="s">
        <v>173</v>
      </c>
      <c r="CD601" s="1408" t="s">
        <v>173</v>
      </c>
      <c r="CE601" s="1302" t="s">
        <v>173</v>
      </c>
      <c r="CF601" s="1302" t="s">
        <v>173</v>
      </c>
      <c r="CG601" s="1302" t="s">
        <v>173</v>
      </c>
      <c r="CH601" s="1302" t="s">
        <v>173</v>
      </c>
      <c r="CI601" s="1302" t="s">
        <v>173</v>
      </c>
      <c r="CJ601" s="1302" t="s">
        <v>173</v>
      </c>
      <c r="CK601" s="1304" t="s">
        <v>173</v>
      </c>
      <c r="CL601" s="1303">
        <f t="shared" ref="CL601:DI601" si="4313">CL599/CL562</f>
        <v>0.0374462462507985</v>
      </c>
      <c r="CM601" s="1302">
        <f t="shared" si="4313"/>
        <v>-0.00672268907563025</v>
      </c>
      <c r="CN601" s="1302">
        <f t="shared" si="4313"/>
        <v>0.0123929429752311</v>
      </c>
      <c r="CO601" s="1302">
        <f t="shared" si="4313"/>
        <v>0.0744529080852281</v>
      </c>
      <c r="CP601" s="1302">
        <f t="shared" si="4313"/>
        <v>0.0388402625820569</v>
      </c>
      <c r="CQ601" s="1302">
        <f t="shared" si="4313"/>
        <v>0.0232558139534884</v>
      </c>
      <c r="CR601" s="1302">
        <f t="shared" si="4313"/>
        <v>0.00912911148103195</v>
      </c>
      <c r="CS601" s="1304">
        <f t="shared" si="4313"/>
        <v>0.0347755762232107</v>
      </c>
      <c r="CT601" s="1303">
        <f t="shared" si="4313"/>
        <v>0.0114503816793893</v>
      </c>
      <c r="CU601" s="1302">
        <f t="shared" si="4313"/>
        <v>-0.00389180774469741</v>
      </c>
      <c r="CV601" s="1302">
        <f t="shared" si="4313"/>
        <v>0.0038539358319684</v>
      </c>
      <c r="CW601" s="1302">
        <f t="shared" si="4313"/>
        <v>0.116902764406547</v>
      </c>
      <c r="CX601" s="1302">
        <f t="shared" si="4313"/>
        <v>0.0504249291784703</v>
      </c>
      <c r="CY601" s="1302">
        <f t="shared" si="4313"/>
        <v>0.0352112676056338</v>
      </c>
      <c r="CZ601" s="1302">
        <f t="shared" si="4313"/>
        <v>0.0810748204771832</v>
      </c>
      <c r="DA601" s="1304">
        <f t="shared" si="4313"/>
        <v>0.0467209601371625</v>
      </c>
      <c r="DB601" s="1109">
        <f t="shared" si="4313"/>
        <v>-0.0286343612334802</v>
      </c>
      <c r="DC601" s="1082">
        <f t="shared" si="4313"/>
        <v>-0.023454157782516</v>
      </c>
      <c r="DD601" s="1082">
        <f t="shared" si="4313"/>
        <v>-0.0260021668472373</v>
      </c>
      <c r="DE601" s="1082">
        <f t="shared" si="4313"/>
        <v>0.0391566265060241</v>
      </c>
      <c r="DF601" s="1082">
        <f t="shared" si="4313"/>
        <v>0.00126023944549464</v>
      </c>
      <c r="DG601" s="1082">
        <f t="shared" si="4313"/>
        <v>-0.0160427807486631</v>
      </c>
      <c r="DH601" s="1082">
        <f t="shared" si="4313"/>
        <v>0.0138775510204082</v>
      </c>
      <c r="DI601" s="1085">
        <f t="shared" si="4313"/>
        <v>-0.00325884543761639</v>
      </c>
      <c r="DJ601" s="1082">
        <v>-0.209606986899563</v>
      </c>
      <c r="DK601" s="1082">
        <v>-0.11358574610245</v>
      </c>
      <c r="DL601" s="1082">
        <f>DL599/DL562</f>
        <v>-0.162072767364939</v>
      </c>
      <c r="DM601" s="1082">
        <f>DM599/DM562</f>
        <v>0.0287648054145515</v>
      </c>
      <c r="DN601" s="1082">
        <f>DN599/DN562</f>
        <v>-0.0867823765020027</v>
      </c>
      <c r="DO601" s="1488">
        <v>0.01</v>
      </c>
      <c r="DP601" s="1082" t="e">
        <f>DP599/DP562</f>
        <v>#REF!</v>
      </c>
      <c r="DQ601" s="1085" t="e">
        <f>DQ599/DQ562</f>
        <v>#REF!</v>
      </c>
      <c r="DR601" s="1488"/>
      <c r="DS601" s="1488"/>
      <c r="DT601" s="1082"/>
      <c r="DU601" s="1488"/>
      <c r="DV601" s="1082"/>
      <c r="DW601" s="1488"/>
      <c r="DX601" s="1082"/>
      <c r="DY601" s="1085"/>
      <c r="DZ601" s="1488"/>
      <c r="EA601" s="1488"/>
      <c r="EB601" s="1082"/>
      <c r="EC601" s="1488"/>
      <c r="ED601" s="1082"/>
      <c r="EE601" s="1488"/>
      <c r="EF601" s="1082"/>
      <c r="EG601" s="1085"/>
      <c r="EH601" s="1488"/>
      <c r="EI601" s="1488"/>
      <c r="EJ601" s="1082"/>
      <c r="EK601" s="1488"/>
      <c r="EL601" s="1082"/>
      <c r="EM601" s="1488"/>
      <c r="EN601" s="1082"/>
      <c r="EO601" s="1085"/>
      <c r="EP601" s="1082"/>
      <c r="EQ601" s="1082"/>
      <c r="ER601" s="1082"/>
      <c r="ES601" s="1082"/>
      <c r="ET601" s="1082"/>
      <c r="EU601" s="1082"/>
      <c r="EV601" s="1082"/>
      <c r="IX601" s="1049"/>
      <c r="IY601" s="1049"/>
      <c r="IZ601" s="1049"/>
      <c r="JA601" s="1049"/>
      <c r="JB601" s="1049"/>
      <c r="JC601" s="1049"/>
      <c r="JD601" s="1518"/>
      <c r="JE601" s="1126"/>
      <c r="JF601" s="1524"/>
      <c r="JG601" s="1126"/>
      <c r="JH601" s="1126"/>
      <c r="JI601" s="1024"/>
      <c r="JJ601" s="1035"/>
      <c r="JK601" s="1035"/>
      <c r="JL601" s="1035"/>
      <c r="JM601" s="1035"/>
      <c r="JN601" s="1035"/>
      <c r="JO601" s="1035"/>
      <c r="JP601" s="1035"/>
      <c r="JQ601" s="1035"/>
      <c r="JR601" s="1035"/>
      <c r="JS601" s="1035"/>
      <c r="JT601" s="1035"/>
      <c r="JU601" s="1035"/>
      <c r="JV601" s="1035"/>
      <c r="JW601" s="1035"/>
      <c r="JX601" s="1035"/>
      <c r="JY601" s="1035"/>
      <c r="KP601" s="967"/>
    </row>
    <row r="602" spans="1:302">
      <c r="A602" s="1306" t="s">
        <v>64</v>
      </c>
      <c r="B602" s="1307"/>
      <c r="C602" s="1307"/>
      <c r="D602" s="1307"/>
      <c r="E602" s="1307"/>
      <c r="F602" s="1307"/>
      <c r="G602" s="1307"/>
      <c r="H602" s="1307"/>
      <c r="I602" s="1307"/>
      <c r="J602" s="1307"/>
      <c r="K602" s="1307"/>
      <c r="L602" s="1307"/>
      <c r="M602" s="1307"/>
      <c r="N602" s="1307"/>
      <c r="O602" s="1307"/>
      <c r="P602" s="1307"/>
      <c r="Q602" s="1307"/>
      <c r="R602" s="1307"/>
      <c r="S602" s="1307"/>
      <c r="T602" s="1307"/>
      <c r="U602" s="1307"/>
      <c r="V602" s="1307"/>
      <c r="W602" s="1307"/>
      <c r="X602" s="1307"/>
      <c r="Y602" s="1307"/>
      <c r="Z602" s="1307"/>
      <c r="AA602" s="1307"/>
      <c r="AB602" s="1307"/>
      <c r="AC602" s="1307"/>
      <c r="AD602" s="1307"/>
      <c r="AE602" s="1307"/>
      <c r="AF602" s="1307"/>
      <c r="AG602" s="1307"/>
      <c r="AH602" s="1307"/>
      <c r="AI602" s="1307"/>
      <c r="AJ602" s="1307"/>
      <c r="AK602" s="1307"/>
      <c r="AL602" s="1307"/>
      <c r="AM602" s="1307"/>
      <c r="AN602" s="1307"/>
      <c r="AO602" s="1307"/>
      <c r="AP602" s="1307"/>
      <c r="AQ602" s="1307"/>
      <c r="AR602" s="1307"/>
      <c r="AS602" s="1307"/>
      <c r="AT602" s="1307"/>
      <c r="AU602" s="1307"/>
      <c r="AV602" s="1307"/>
      <c r="AW602" s="1307"/>
      <c r="AX602" s="1308"/>
      <c r="AY602" s="1307"/>
      <c r="AZ602" s="1307"/>
      <c r="BA602" s="1307"/>
      <c r="BB602" s="1307"/>
      <c r="BC602" s="1307"/>
      <c r="BD602" s="1307"/>
      <c r="BE602" s="1309"/>
      <c r="BF602" s="1307"/>
      <c r="BG602" s="1307"/>
      <c r="BH602" s="1307"/>
      <c r="BI602" s="1307"/>
      <c r="BJ602" s="1307"/>
      <c r="BK602" s="1307"/>
      <c r="BL602" s="1307"/>
      <c r="BM602" s="1307"/>
      <c r="BN602" s="1308"/>
      <c r="BO602" s="1307"/>
      <c r="BP602" s="1307"/>
      <c r="BQ602" s="1307"/>
      <c r="BR602" s="1307"/>
      <c r="BS602" s="1307"/>
      <c r="BT602" s="1307"/>
      <c r="BU602" s="1309"/>
      <c r="BV602" s="1308">
        <f t="shared" ref="BV602:CK602" si="4314">BV605-BV596-BV593</f>
        <v>-16</v>
      </c>
      <c r="BW602" s="1307">
        <f t="shared" si="4314"/>
        <v>4</v>
      </c>
      <c r="BX602" s="1307">
        <f t="shared" si="4314"/>
        <v>-12</v>
      </c>
      <c r="BY602" s="1307">
        <f t="shared" si="4314"/>
        <v>-12</v>
      </c>
      <c r="BZ602" s="1307">
        <f t="shared" si="4314"/>
        <v>-24</v>
      </c>
      <c r="CA602" s="1307">
        <f t="shared" si="4314"/>
        <v>-4</v>
      </c>
      <c r="CB602" s="1307">
        <f t="shared" si="4314"/>
        <v>-16</v>
      </c>
      <c r="CC602" s="1309">
        <f t="shared" si="4314"/>
        <v>-28</v>
      </c>
      <c r="CD602" s="1308">
        <f t="shared" si="4314"/>
        <v>-53</v>
      </c>
      <c r="CE602" s="1307">
        <f t="shared" si="4314"/>
        <v>31</v>
      </c>
      <c r="CF602" s="1307">
        <f t="shared" si="4314"/>
        <v>-22</v>
      </c>
      <c r="CG602" s="1307">
        <f t="shared" si="4314"/>
        <v>-19</v>
      </c>
      <c r="CH602" s="1307">
        <f t="shared" si="4314"/>
        <v>-41</v>
      </c>
      <c r="CI602" s="1307">
        <f t="shared" si="4314"/>
        <v>5</v>
      </c>
      <c r="CJ602" s="1307">
        <f t="shared" si="4314"/>
        <v>-14</v>
      </c>
      <c r="CK602" s="1309">
        <f t="shared" si="4314"/>
        <v>-36</v>
      </c>
      <c r="CL602" s="1308">
        <f t="shared" ref="CL602:CV602" si="4315">CL605-CL599-CL596-CL593</f>
        <v>-50</v>
      </c>
      <c r="CM602" s="1307">
        <f t="shared" si="4315"/>
        <v>8.69999999999999</v>
      </c>
      <c r="CN602" s="1307">
        <f t="shared" si="4315"/>
        <v>-42</v>
      </c>
      <c r="CO602" s="1307">
        <f t="shared" si="4315"/>
        <v>-28</v>
      </c>
      <c r="CP602" s="1307">
        <f t="shared" si="4315"/>
        <v>-69</v>
      </c>
      <c r="CQ602" s="1307">
        <f t="shared" si="4315"/>
        <v>4</v>
      </c>
      <c r="CR602" s="1307">
        <f t="shared" si="4315"/>
        <v>72.0159107500003</v>
      </c>
      <c r="CS602" s="1309">
        <f t="shared" si="4315"/>
        <v>-66</v>
      </c>
      <c r="CT602" s="1308">
        <f t="shared" si="4315"/>
        <v>-46</v>
      </c>
      <c r="CU602" s="1307">
        <f t="shared" si="4315"/>
        <v>-29</v>
      </c>
      <c r="CV602" s="1307">
        <f t="shared" si="4315"/>
        <v>-75</v>
      </c>
      <c r="CW602" s="1307">
        <f>+CW605-CW599-CW596-CW593</f>
        <v>-23</v>
      </c>
      <c r="CX602" s="1307">
        <f>CX605-CX599-CX596-CX593</f>
        <v>-98</v>
      </c>
      <c r="CY602" s="1307">
        <f>CY605-CY599-CY596-CY593</f>
        <v>-47</v>
      </c>
      <c r="CZ602" s="1307">
        <f>CZ605-CZ599-CZ596-CZ593</f>
        <v>-70</v>
      </c>
      <c r="DA602" s="1309">
        <f>DA605-DA599-DA596-DA593</f>
        <v>-145</v>
      </c>
      <c r="DB602" s="1332">
        <f>DB605-DB599-DB596-DB593</f>
        <v>-64</v>
      </c>
      <c r="DC602" s="1311">
        <v>24</v>
      </c>
      <c r="DD602" s="1311">
        <v>-41</v>
      </c>
      <c r="DE602" s="1311">
        <f>DE605-DE599-DE596-DE593</f>
        <v>-3</v>
      </c>
      <c r="DF602" s="1311">
        <f>DF605-DF599-DF596-DF593</f>
        <v>-44</v>
      </c>
      <c r="DG602" s="1311">
        <f>DI602-DF602</f>
        <v>-55</v>
      </c>
      <c r="DH602" s="1311">
        <f>DI602-DD602</f>
        <v>-58</v>
      </c>
      <c r="DI602" s="1312">
        <v>-99</v>
      </c>
      <c r="DJ602" s="1311">
        <f t="shared" ref="DJ602:DQ602" si="4316">DJ605-DJ599-DJ596-DJ593</f>
        <v>-52.9999999999995</v>
      </c>
      <c r="DK602" s="1311">
        <f t="shared" si="4316"/>
        <v>-67.9999999999992</v>
      </c>
      <c r="DL602" s="1311">
        <f t="shared" si="4316"/>
        <v>-120.999999999999</v>
      </c>
      <c r="DM602" s="1311">
        <f t="shared" si="4316"/>
        <v>-49.0000000000013</v>
      </c>
      <c r="DN602" s="1311">
        <f t="shared" si="4316"/>
        <v>-170</v>
      </c>
      <c r="DO602" s="1311" t="e">
        <f t="shared" si="4316"/>
        <v>#REF!</v>
      </c>
      <c r="DP602" s="1311" t="e">
        <f t="shared" si="4316"/>
        <v>#REF!</v>
      </c>
      <c r="DQ602" s="1312" t="e">
        <f t="shared" si="4316"/>
        <v>#REF!</v>
      </c>
      <c r="DR602" s="1311"/>
      <c r="DS602" s="1311"/>
      <c r="DT602" s="1311"/>
      <c r="DU602" s="1311"/>
      <c r="DV602" s="1311"/>
      <c r="DW602" s="1311"/>
      <c r="DX602" s="1311"/>
      <c r="DY602" s="1312"/>
      <c r="DZ602" s="1311"/>
      <c r="EA602" s="1311"/>
      <c r="EB602" s="1311"/>
      <c r="EC602" s="1311"/>
      <c r="ED602" s="1311"/>
      <c r="EE602" s="1311"/>
      <c r="EF602" s="1311"/>
      <c r="EG602" s="1312"/>
      <c r="EH602" s="1311"/>
      <c r="EI602" s="1311"/>
      <c r="EJ602" s="1311"/>
      <c r="EK602" s="1311"/>
      <c r="EL602" s="1311"/>
      <c r="EM602" s="1311"/>
      <c r="EN602" s="1311"/>
      <c r="EO602" s="1312"/>
      <c r="EP602" s="1311"/>
      <c r="EQ602" s="1311"/>
      <c r="ER602" s="1311"/>
      <c r="ES602" s="1311"/>
      <c r="ET602" s="1311"/>
      <c r="EU602" s="1311"/>
      <c r="EV602" s="1311"/>
      <c r="IX602" s="1049"/>
      <c r="IY602" s="1049"/>
      <c r="IZ602" s="1049"/>
      <c r="JA602" s="1049"/>
      <c r="JB602" s="1049"/>
      <c r="JC602" s="1049"/>
      <c r="JD602" s="1518"/>
      <c r="JE602" s="1126"/>
      <c r="JF602" s="1524"/>
      <c r="JG602" s="1126"/>
      <c r="JH602" s="1126"/>
      <c r="JI602" s="1024"/>
      <c r="JJ602" s="1035"/>
      <c r="JK602" s="1035"/>
      <c r="JL602" s="1035"/>
      <c r="JM602" s="1035"/>
      <c r="JN602" s="1035"/>
      <c r="JO602" s="1035"/>
      <c r="JP602" s="1035"/>
      <c r="JQ602" s="1035"/>
      <c r="JR602" s="1035"/>
      <c r="JS602" s="1035"/>
      <c r="JT602" s="1035"/>
      <c r="JU602" s="1035"/>
      <c r="JV602" s="1035"/>
      <c r="JW602" s="1035"/>
      <c r="JX602" s="1035"/>
      <c r="JY602" s="1035"/>
      <c r="KP602" s="1180"/>
    </row>
    <row r="603" spans="1:302">
      <c r="A603" s="1035" t="s">
        <v>142</v>
      </c>
      <c r="B603" s="1302"/>
      <c r="C603" s="1302"/>
      <c r="D603" s="1302"/>
      <c r="E603" s="1302"/>
      <c r="F603" s="1302"/>
      <c r="G603" s="1302"/>
      <c r="H603" s="1302"/>
      <c r="I603" s="1302"/>
      <c r="J603" s="1302"/>
      <c r="K603" s="1302"/>
      <c r="L603" s="1302"/>
      <c r="M603" s="1302"/>
      <c r="N603" s="1302"/>
      <c r="O603" s="1302"/>
      <c r="P603" s="1302"/>
      <c r="Q603" s="1302"/>
      <c r="R603" s="1302"/>
      <c r="S603" s="1302"/>
      <c r="T603" s="1302"/>
      <c r="U603" s="1302"/>
      <c r="V603" s="1302"/>
      <c r="W603" s="1302"/>
      <c r="X603" s="1302"/>
      <c r="Y603" s="1302"/>
      <c r="Z603" s="1302"/>
      <c r="AA603" s="1302"/>
      <c r="AB603" s="1302"/>
      <c r="AC603" s="1302"/>
      <c r="AD603" s="1302"/>
      <c r="AE603" s="1302"/>
      <c r="AF603" s="1302"/>
      <c r="AG603" s="1302"/>
      <c r="AH603" s="1302"/>
      <c r="AI603" s="1302"/>
      <c r="AJ603" s="1302"/>
      <c r="AK603" s="1302"/>
      <c r="AL603" s="1302"/>
      <c r="AM603" s="1302"/>
      <c r="AN603" s="1302"/>
      <c r="AO603" s="1302"/>
      <c r="AP603" s="1302"/>
      <c r="AQ603" s="1302"/>
      <c r="AR603" s="1302"/>
      <c r="AS603" s="1302"/>
      <c r="AT603" s="1302"/>
      <c r="AU603" s="1302"/>
      <c r="AV603" s="1302"/>
      <c r="AW603" s="1302"/>
      <c r="AX603" s="1303"/>
      <c r="AY603" s="1302"/>
      <c r="AZ603" s="1302"/>
      <c r="BA603" s="1302"/>
      <c r="BB603" s="1302"/>
      <c r="BC603" s="1302"/>
      <c r="BD603" s="1302"/>
      <c r="BE603" s="1304"/>
      <c r="BF603" s="1302"/>
      <c r="BG603" s="1302"/>
      <c r="BH603" s="1302"/>
      <c r="BI603" s="1302"/>
      <c r="BJ603" s="1302"/>
      <c r="BK603" s="1302"/>
      <c r="BL603" s="1302"/>
      <c r="BM603" s="1302"/>
      <c r="BN603" s="1303"/>
      <c r="BO603" s="1302"/>
      <c r="BP603" s="1302"/>
      <c r="BQ603" s="1302"/>
      <c r="BR603" s="1302"/>
      <c r="BS603" s="1302"/>
      <c r="BT603" s="1302"/>
      <c r="BU603" s="1304"/>
      <c r="BV603" s="1303"/>
      <c r="BW603" s="1302"/>
      <c r="BX603" s="1302"/>
      <c r="BY603" s="1302"/>
      <c r="BZ603" s="1302"/>
      <c r="CA603" s="1302"/>
      <c r="CB603" s="1302"/>
      <c r="CC603" s="1304"/>
      <c r="CD603" s="1303">
        <f>CD602/BV602-1</f>
        <v>2.3125</v>
      </c>
      <c r="CE603" s="1302">
        <f>CE602/BW602-1</f>
        <v>6.75</v>
      </c>
      <c r="CF603" s="1302">
        <f>CF602/BX602-1</f>
        <v>0.833333333333333</v>
      </c>
      <c r="CG603" s="1302">
        <f>CG602/BY602-1</f>
        <v>0.583333333333333</v>
      </c>
      <c r="CH603" s="1302">
        <f>CH602/BZ602-1</f>
        <v>0.708333333333333</v>
      </c>
      <c r="CI603" s="1302" t="s">
        <v>173</v>
      </c>
      <c r="CJ603" s="1302">
        <f>CJ602/CB602-1</f>
        <v>-0.125</v>
      </c>
      <c r="CK603" s="1304" t="s">
        <v>173</v>
      </c>
      <c r="CL603" s="1303">
        <v>-1.28</v>
      </c>
      <c r="CM603" s="1302">
        <f>CM602/CE602-1</f>
        <v>-0.719354838709678</v>
      </c>
      <c r="CN603" s="1302">
        <f>CN602/CF602-1</f>
        <v>0.909090909090909</v>
      </c>
      <c r="CO603" s="1302">
        <f>CO602/CG602-1</f>
        <v>0.473684210526316</v>
      </c>
      <c r="CP603" s="1302">
        <f>CP602/CH602-1</f>
        <v>0.682926829268293</v>
      </c>
      <c r="CQ603" s="1302">
        <f>CQ602/CF602-1</f>
        <v>-1.18181818181818</v>
      </c>
      <c r="CR603" s="1302">
        <f>CR602/CG602-1</f>
        <v>-4.79031109210528</v>
      </c>
      <c r="CS603" s="1304">
        <f>CS602/CH602-1</f>
        <v>0.609756097560976</v>
      </c>
      <c r="CT603" s="1303">
        <f t="shared" ref="CT603:DA603" si="4317">CT602/CL602-1</f>
        <v>-0.08</v>
      </c>
      <c r="CU603" s="1302">
        <f t="shared" si="4317"/>
        <v>-4.33333333333334</v>
      </c>
      <c r="CV603" s="1302">
        <f t="shared" si="4317"/>
        <v>0.785714285714286</v>
      </c>
      <c r="CW603" s="1302">
        <f t="shared" si="4317"/>
        <v>-0.178571428571429</v>
      </c>
      <c r="CX603" s="1302">
        <f t="shared" si="4317"/>
        <v>0.420289855072464</v>
      </c>
      <c r="CY603" s="1302">
        <f t="shared" si="4317"/>
        <v>-12.75</v>
      </c>
      <c r="CZ603" s="1302">
        <f t="shared" si="4317"/>
        <v>-1.97200742545632</v>
      </c>
      <c r="DA603" s="1304">
        <f t="shared" si="4317"/>
        <v>1.1969696969697</v>
      </c>
      <c r="DB603" s="1109">
        <f t="shared" ref="DB603:DI603" si="4318">DB602/CT602-1</f>
        <v>0.391304347826087</v>
      </c>
      <c r="DC603" s="1082">
        <f t="shared" si="4318"/>
        <v>-1.82758620689655</v>
      </c>
      <c r="DD603" s="1082">
        <f t="shared" si="4318"/>
        <v>-0.453333333333333</v>
      </c>
      <c r="DE603" s="1082">
        <f t="shared" si="4318"/>
        <v>-0.869565217391304</v>
      </c>
      <c r="DF603" s="1082">
        <f t="shared" si="4318"/>
        <v>-0.551020408163265</v>
      </c>
      <c r="DG603" s="1082">
        <f t="shared" si="4318"/>
        <v>0.170212765957447</v>
      </c>
      <c r="DH603" s="1082">
        <f t="shared" si="4318"/>
        <v>-0.171428571428571</v>
      </c>
      <c r="DI603" s="1085">
        <f t="shared" si="4318"/>
        <v>-0.317241379310345</v>
      </c>
      <c r="DJ603" s="1082">
        <f t="shared" ref="DJ603:DQ603" si="4319">DJ602/DB602-1</f>
        <v>-0.171875000000008</v>
      </c>
      <c r="DK603" s="1082">
        <f t="shared" si="4319"/>
        <v>-3.8333333333333</v>
      </c>
      <c r="DL603" s="1082">
        <f t="shared" si="4319"/>
        <v>1.95121951219509</v>
      </c>
      <c r="DM603" s="1082">
        <f t="shared" si="4319"/>
        <v>15.3333333333338</v>
      </c>
      <c r="DN603" s="1082">
        <f t="shared" si="4319"/>
        <v>2.86363636363636</v>
      </c>
      <c r="DO603" s="1082" t="e">
        <f t="shared" si="4319"/>
        <v>#REF!</v>
      </c>
      <c r="DP603" s="1082" t="e">
        <f t="shared" si="4319"/>
        <v>#REF!</v>
      </c>
      <c r="DQ603" s="1085" t="e">
        <f t="shared" si="4319"/>
        <v>#REF!</v>
      </c>
      <c r="DR603" s="1082"/>
      <c r="DS603" s="1082"/>
      <c r="DT603" s="1082"/>
      <c r="DU603" s="1082"/>
      <c r="DV603" s="1082"/>
      <c r="DW603" s="1082"/>
      <c r="DX603" s="1082"/>
      <c r="DY603" s="1085"/>
      <c r="DZ603" s="1082"/>
      <c r="EA603" s="1082"/>
      <c r="EB603" s="1082"/>
      <c r="EC603" s="1082"/>
      <c r="ED603" s="1082"/>
      <c r="EE603" s="1082"/>
      <c r="EF603" s="1082"/>
      <c r="EG603" s="1085"/>
      <c r="EH603" s="1082"/>
      <c r="EI603" s="1082"/>
      <c r="EJ603" s="1082"/>
      <c r="EK603" s="1082"/>
      <c r="EL603" s="1082"/>
      <c r="EM603" s="1082"/>
      <c r="EN603" s="1082"/>
      <c r="EO603" s="1085"/>
      <c r="EP603" s="1082"/>
      <c r="EQ603" s="1082"/>
      <c r="ER603" s="1082"/>
      <c r="ES603" s="1082"/>
      <c r="ET603" s="1082"/>
      <c r="EU603" s="1082"/>
      <c r="EV603" s="1082"/>
      <c r="IX603" s="1049"/>
      <c r="IY603" s="1049"/>
      <c r="IZ603" s="1049"/>
      <c r="JA603" s="1049"/>
      <c r="JB603" s="1049"/>
      <c r="JC603" s="1049"/>
      <c r="JD603" s="1518"/>
      <c r="JE603" s="1126"/>
      <c r="JF603" s="1525"/>
      <c r="JG603" s="1119"/>
      <c r="JH603" s="1126"/>
      <c r="JI603" s="1024"/>
      <c r="JJ603" s="1035"/>
      <c r="JK603" s="1035"/>
      <c r="JL603" s="1035"/>
      <c r="JM603" s="1035"/>
      <c r="JN603" s="1035"/>
      <c r="JO603" s="1035"/>
      <c r="JP603" s="1035"/>
      <c r="JQ603" s="1035"/>
      <c r="JR603" s="1035"/>
      <c r="JS603" s="1035"/>
      <c r="JT603" s="1035"/>
      <c r="JU603" s="1035"/>
      <c r="JV603" s="1035"/>
      <c r="JW603" s="1035"/>
      <c r="JX603" s="1035"/>
      <c r="JY603" s="1035"/>
      <c r="KP603" s="967"/>
    </row>
    <row r="604" spans="1:302">
      <c r="A604" s="1035" t="s">
        <v>635</v>
      </c>
      <c r="B604" s="1302"/>
      <c r="C604" s="1302"/>
      <c r="D604" s="1302"/>
      <c r="E604" s="1302"/>
      <c r="F604" s="1302"/>
      <c r="G604" s="1302"/>
      <c r="H604" s="1302"/>
      <c r="I604" s="1302"/>
      <c r="J604" s="1302"/>
      <c r="K604" s="1302"/>
      <c r="L604" s="1302"/>
      <c r="M604" s="1302"/>
      <c r="N604" s="1302"/>
      <c r="O604" s="1302"/>
      <c r="P604" s="1302"/>
      <c r="Q604" s="1302"/>
      <c r="R604" s="1302"/>
      <c r="S604" s="1302"/>
      <c r="T604" s="1302"/>
      <c r="U604" s="1302"/>
      <c r="V604" s="1302"/>
      <c r="W604" s="1302"/>
      <c r="X604" s="1302"/>
      <c r="Y604" s="1302"/>
      <c r="Z604" s="1302">
        <v>0.115032679738562</v>
      </c>
      <c r="AA604" s="1302">
        <v>0.0985915492957747</v>
      </c>
      <c r="AB604" s="1302">
        <f>AB602/AB$570</f>
        <v>0</v>
      </c>
      <c r="AC604" s="1302">
        <v>0.115695067264574</v>
      </c>
      <c r="AD604" s="1302">
        <f>AD602/AD$570</f>
        <v>0</v>
      </c>
      <c r="AE604" s="1302">
        <v>0.194606560676192</v>
      </c>
      <c r="AF604" s="1302"/>
      <c r="AG604" s="1302">
        <f>AG602/AG$570</f>
        <v>0</v>
      </c>
      <c r="AH604" s="1302">
        <v>0.0107991360691145</v>
      </c>
      <c r="AI604" s="1302">
        <v>0.0128935030140657</v>
      </c>
      <c r="AJ604" s="1302">
        <f>AJ602/AJ$570</f>
        <v>0</v>
      </c>
      <c r="AK604" s="1302">
        <v>0.00698412698412698</v>
      </c>
      <c r="AL604" s="1302">
        <f>AL602/AL$570</f>
        <v>0</v>
      </c>
      <c r="AM604" s="1302">
        <v>0.0142021720969089</v>
      </c>
      <c r="AN604" s="1302"/>
      <c r="AO604" s="1302">
        <f>AO602/AO$570</f>
        <v>0</v>
      </c>
      <c r="AP604" s="1302">
        <v>0.017139090309822</v>
      </c>
      <c r="AQ604" s="1302">
        <v>0.0112179487179487</v>
      </c>
      <c r="AR604" s="1302">
        <f>AR602/AR$570</f>
        <v>0</v>
      </c>
      <c r="AS604" s="1302">
        <v>0.0107334525939177</v>
      </c>
      <c r="AT604" s="1302">
        <f>AT602/AT$570</f>
        <v>0</v>
      </c>
      <c r="AU604" s="1302">
        <v>0.0114860014357502</v>
      </c>
      <c r="AV604" s="1302"/>
      <c r="AW604" s="1302">
        <f>AW602/AW$570</f>
        <v>0</v>
      </c>
      <c r="AX604" s="1303">
        <v>0.0141206675224647</v>
      </c>
      <c r="AY604" s="1302">
        <v>0.0160818713450292</v>
      </c>
      <c r="AZ604" s="1302">
        <f>AZ602/AZ$570</f>
        <v>0</v>
      </c>
      <c r="BA604" s="1302">
        <v>0.0106145251396648</v>
      </c>
      <c r="BB604" s="1302">
        <f>BB602/BB$570</f>
        <v>0</v>
      </c>
      <c r="BC604" s="1302">
        <v>0.0164874551971326</v>
      </c>
      <c r="BD604" s="1302"/>
      <c r="BE604" s="1304">
        <f>BE602/BE$570</f>
        <v>0</v>
      </c>
      <c r="BF604" s="1302">
        <v>0.00549450549450549</v>
      </c>
      <c r="BG604" s="1302">
        <v>0.0059721300597213</v>
      </c>
      <c r="BH604" s="1302">
        <f>BH602/BH$570</f>
        <v>0</v>
      </c>
      <c r="BI604" s="1302">
        <v>0.000535905680600214</v>
      </c>
      <c r="BJ604" s="1302">
        <f>BJ602/BJ$570</f>
        <v>0</v>
      </c>
      <c r="BK604" s="1302">
        <v>0.00330906684315023</v>
      </c>
      <c r="BL604" s="1302"/>
      <c r="BM604" s="1302">
        <f>BM602/BM$570</f>
        <v>0</v>
      </c>
      <c r="BN604" s="1303">
        <v>0.00359496704613541</v>
      </c>
      <c r="BO604" s="1302">
        <v>0.00790229885057471</v>
      </c>
      <c r="BP604" s="1302">
        <f>BP602/BP$570</f>
        <v>0</v>
      </c>
      <c r="BQ604" s="1302">
        <v>0.00161899622234215</v>
      </c>
      <c r="BR604" s="1302">
        <f>BR602/BR$570</f>
        <v>0</v>
      </c>
      <c r="BS604" s="1302">
        <v>0.00221565731166913</v>
      </c>
      <c r="BT604" s="1302"/>
      <c r="BU604" s="1304">
        <f>BU602/BU$570</f>
        <v>0</v>
      </c>
      <c r="BV604" s="1303"/>
      <c r="BW604" s="1302"/>
      <c r="BX604" s="1302"/>
      <c r="BY604" s="1302"/>
      <c r="BZ604" s="1302"/>
      <c r="CA604" s="1302"/>
      <c r="CB604" s="1302"/>
      <c r="CC604" s="1304"/>
      <c r="CD604" s="1303">
        <v>-0.0597728631201435</v>
      </c>
      <c r="CE604" s="1302">
        <v>0.00659630606860158</v>
      </c>
      <c r="CF604" s="1302">
        <f>CF602/CF$570</f>
        <v>-0.00689871433051113</v>
      </c>
      <c r="CG604" s="1302">
        <v>0.00935550935550936</v>
      </c>
      <c r="CH604" s="1302">
        <f>CH602/CH$570</f>
        <v>-0.00801877566986114</v>
      </c>
      <c r="CI604" s="1302">
        <v>0.0157790927021696</v>
      </c>
      <c r="CJ604" s="1302">
        <f>CJ602/CJ$570</f>
        <v>-0.00406386066763425</v>
      </c>
      <c r="CK604" s="1304">
        <f>CK602/CK$570</f>
        <v>-0.00542659029243292</v>
      </c>
      <c r="CL604" s="1303">
        <v>0.0113868162557083</v>
      </c>
      <c r="CM604" s="1302">
        <f t="shared" ref="CM604:DB604" si="4320">CM602/CM$570</f>
        <v>0.0035831960461285</v>
      </c>
      <c r="CN604" s="1302">
        <f t="shared" si="4320"/>
        <v>-0.00859425756928251</v>
      </c>
      <c r="CO604" s="1302">
        <f t="shared" si="4320"/>
        <v>-0.00949469275426153</v>
      </c>
      <c r="CP604" s="1302">
        <f t="shared" si="4320"/>
        <v>-0.00880551301684533</v>
      </c>
      <c r="CQ604" s="1302">
        <f t="shared" si="4320"/>
        <v>0.00177935943060498</v>
      </c>
      <c r="CR604" s="1302">
        <f t="shared" si="4320"/>
        <v>0.0138571657248606</v>
      </c>
      <c r="CS604" s="1304">
        <f t="shared" si="4320"/>
        <v>-0.00654502181673939</v>
      </c>
      <c r="CT604" s="1303">
        <f t="shared" si="4320"/>
        <v>-0.0181245074862096</v>
      </c>
      <c r="CU604" s="1302">
        <f t="shared" si="4320"/>
        <v>-0.0120833333333333</v>
      </c>
      <c r="CV604" s="1302">
        <f t="shared" si="4320"/>
        <v>-0.0151886429453816</v>
      </c>
      <c r="CW604" s="1302">
        <f t="shared" si="4320"/>
        <v>-0.00782153302047201</v>
      </c>
      <c r="CX604" s="1302">
        <f t="shared" si="4320"/>
        <v>-0.0124381266658205</v>
      </c>
      <c r="CY604" s="1302">
        <f t="shared" si="4320"/>
        <v>-0.0194295163290616</v>
      </c>
      <c r="CZ604" s="1302">
        <f t="shared" si="4320"/>
        <v>-0.0130606761698634</v>
      </c>
      <c r="DA604" s="1304">
        <f t="shared" si="4320"/>
        <v>-0.0140804039619344</v>
      </c>
      <c r="DB604" s="1109">
        <f t="shared" si="4320"/>
        <v>-0.0244181610072491</v>
      </c>
      <c r="DC604" s="1082">
        <f t="shared" ref="DC604:DI604" si="4321">DC602/DC543</f>
        <v>0.00952003173343911</v>
      </c>
      <c r="DD604" s="1082">
        <f t="shared" si="4321"/>
        <v>-0.00797355114741346</v>
      </c>
      <c r="DE604" s="1082">
        <f t="shared" si="4321"/>
        <v>-0.000974342318934719</v>
      </c>
      <c r="DF604" s="1082">
        <f t="shared" si="4321"/>
        <v>-0.00536193029490617</v>
      </c>
      <c r="DG604" s="1082">
        <f t="shared" si="4321"/>
        <v>-0.021210952564597</v>
      </c>
      <c r="DH604" s="1082">
        <f t="shared" si="4321"/>
        <v>-0.0102527841612162</v>
      </c>
      <c r="DI604" s="1085">
        <f t="shared" si="4321"/>
        <v>-0.00916751551069543</v>
      </c>
      <c r="DJ604" s="1082">
        <f t="shared" ref="DJ604:DQ604" si="4322">DJ602/DJ570</f>
        <v>-0.0205665502522311</v>
      </c>
      <c r="DK604" s="1082">
        <f t="shared" si="4322"/>
        <v>-0.0276760276760273</v>
      </c>
      <c r="DL604" s="1082">
        <f t="shared" si="4322"/>
        <v>-0.0240365514501388</v>
      </c>
      <c r="DM604" s="1082">
        <f t="shared" si="4322"/>
        <v>-0.0169667590027705</v>
      </c>
      <c r="DN604" s="1082">
        <f t="shared" si="4322"/>
        <v>-0.0214592274678112</v>
      </c>
      <c r="DO604" s="1082" t="e">
        <f t="shared" si="4322"/>
        <v>#REF!</v>
      </c>
      <c r="DP604" s="1082" t="e">
        <f t="shared" si="4322"/>
        <v>#REF!</v>
      </c>
      <c r="DQ604" s="1085" t="e">
        <f t="shared" si="4322"/>
        <v>#REF!</v>
      </c>
      <c r="DR604" s="1082"/>
      <c r="DS604" s="1082"/>
      <c r="DT604" s="1082"/>
      <c r="DU604" s="1082"/>
      <c r="DV604" s="1082"/>
      <c r="DW604" s="1082"/>
      <c r="DX604" s="1082"/>
      <c r="DY604" s="1085"/>
      <c r="DZ604" s="1082"/>
      <c r="EA604" s="1082"/>
      <c r="EB604" s="1082"/>
      <c r="EC604" s="1082"/>
      <c r="ED604" s="1082"/>
      <c r="EE604" s="1082"/>
      <c r="EF604" s="1082"/>
      <c r="EG604" s="1085"/>
      <c r="EH604" s="1082"/>
      <c r="EI604" s="1082"/>
      <c r="EJ604" s="1082"/>
      <c r="EK604" s="1082"/>
      <c r="EL604" s="1082"/>
      <c r="EM604" s="1082"/>
      <c r="EN604" s="1082"/>
      <c r="EO604" s="1085"/>
      <c r="EP604" s="1082"/>
      <c r="EQ604" s="1082"/>
      <c r="ER604" s="1082"/>
      <c r="ES604" s="1082"/>
      <c r="ET604" s="1082"/>
      <c r="EU604" s="1082"/>
      <c r="EV604" s="1082"/>
      <c r="IX604" s="1049"/>
      <c r="IY604" s="1049"/>
      <c r="IZ604" s="1049"/>
      <c r="JA604" s="1049"/>
      <c r="JB604" s="1049"/>
      <c r="JC604" s="1049"/>
      <c r="JD604" s="1518"/>
      <c r="JE604" s="1126"/>
      <c r="JF604" s="1126"/>
      <c r="JG604" s="1126"/>
      <c r="JH604" s="1126"/>
      <c r="JI604" s="1024"/>
      <c r="JJ604" s="1035"/>
      <c r="JK604" s="1035"/>
      <c r="JL604" s="1035"/>
      <c r="JM604" s="1035"/>
      <c r="JN604" s="1035"/>
      <c r="JO604" s="1035"/>
      <c r="JP604" s="1035"/>
      <c r="JQ604" s="1035"/>
      <c r="JR604" s="1035"/>
      <c r="JS604" s="1035"/>
      <c r="JT604" s="1035"/>
      <c r="JU604" s="1035"/>
      <c r="JV604" s="1035"/>
      <c r="JW604" s="1035"/>
      <c r="JX604" s="1035"/>
      <c r="JY604" s="1035"/>
      <c r="KP604" s="967"/>
    </row>
    <row r="605" spans="1:302">
      <c r="A605" s="1191" t="s">
        <v>636</v>
      </c>
      <c r="B605" s="1499">
        <f t="shared" ref="B605:AG605" si="4323">B426</f>
        <v>120</v>
      </c>
      <c r="C605" s="1499">
        <f t="shared" si="4323"/>
        <v>67</v>
      </c>
      <c r="D605" s="1499">
        <f t="shared" si="4323"/>
        <v>187</v>
      </c>
      <c r="E605" s="1499">
        <f t="shared" si="4323"/>
        <v>160</v>
      </c>
      <c r="F605" s="1499">
        <f t="shared" si="4323"/>
        <v>347</v>
      </c>
      <c r="G605" s="1499">
        <f t="shared" si="4323"/>
        <v>-4</v>
      </c>
      <c r="H605" s="1499">
        <f t="shared" si="4323"/>
        <v>-700.6911</v>
      </c>
      <c r="I605" s="1499">
        <f t="shared" si="4323"/>
        <v>343</v>
      </c>
      <c r="J605" s="1499">
        <f t="shared" si="4323"/>
        <v>91.3693100000001</v>
      </c>
      <c r="K605" s="1499">
        <f t="shared" si="4323"/>
        <v>41.26191</v>
      </c>
      <c r="L605" s="1499">
        <f t="shared" si="4323"/>
        <v>132.63122</v>
      </c>
      <c r="M605" s="1499">
        <f t="shared" si="4323"/>
        <v>97.147</v>
      </c>
      <c r="N605" s="1499">
        <f t="shared" si="4323"/>
        <v>229.77822</v>
      </c>
      <c r="O605" s="1499">
        <f t="shared" si="4323"/>
        <v>3.60466500000002</v>
      </c>
      <c r="P605" s="1499">
        <f t="shared" si="4323"/>
        <v>101.007315</v>
      </c>
      <c r="Q605" s="1499">
        <f t="shared" si="4323"/>
        <v>233.382885</v>
      </c>
      <c r="R605" s="1499">
        <f t="shared" si="4323"/>
        <v>122.96765</v>
      </c>
      <c r="S605" s="1499">
        <f t="shared" si="4323"/>
        <v>48.082652</v>
      </c>
      <c r="T605" s="1499">
        <f t="shared" si="4323"/>
        <v>171.050302</v>
      </c>
      <c r="U605" s="1499">
        <f t="shared" si="4323"/>
        <v>157.4804</v>
      </c>
      <c r="V605" s="1499">
        <f t="shared" si="4323"/>
        <v>328.530702000001</v>
      </c>
      <c r="W605" s="1499">
        <f t="shared" si="4323"/>
        <v>21.9859000000001</v>
      </c>
      <c r="X605" s="1499">
        <f t="shared" si="4323"/>
        <v>179.4663</v>
      </c>
      <c r="Y605" s="1499">
        <f t="shared" si="4323"/>
        <v>350.516602000001</v>
      </c>
      <c r="Z605" s="1499">
        <f t="shared" si="4323"/>
        <v>164.1273</v>
      </c>
      <c r="AA605" s="1499">
        <f t="shared" si="4323"/>
        <v>56.2429999999999</v>
      </c>
      <c r="AB605" s="1499">
        <f t="shared" si="4323"/>
        <v>220.3703</v>
      </c>
      <c r="AC605" s="1499">
        <f t="shared" si="4323"/>
        <v>206.5652</v>
      </c>
      <c r="AD605" s="1499">
        <f t="shared" si="4323"/>
        <v>426.9355</v>
      </c>
      <c r="AE605" s="1499">
        <f t="shared" si="4323"/>
        <v>-5.60384799999979</v>
      </c>
      <c r="AF605" s="1499">
        <f t="shared" si="4323"/>
        <v>200.983952</v>
      </c>
      <c r="AG605" s="1499">
        <f t="shared" si="4323"/>
        <v>421.331652</v>
      </c>
      <c r="AH605" s="1499">
        <f t="shared" ref="AH605:BM605" si="4324">AH426</f>
        <v>120.6668</v>
      </c>
      <c r="AI605" s="1499">
        <f t="shared" si="4324"/>
        <v>78.2281000000001</v>
      </c>
      <c r="AJ605" s="1499">
        <f t="shared" si="4324"/>
        <v>198.8949</v>
      </c>
      <c r="AK605" s="1499">
        <f t="shared" si="4324"/>
        <v>240</v>
      </c>
      <c r="AL605" s="1499">
        <f t="shared" si="4324"/>
        <v>438.8949</v>
      </c>
      <c r="AM605" s="1499">
        <f t="shared" si="4324"/>
        <v>37</v>
      </c>
      <c r="AN605" s="1499">
        <f t="shared" si="4324"/>
        <v>279</v>
      </c>
      <c r="AO605" s="1499">
        <f t="shared" si="4324"/>
        <v>475.8949</v>
      </c>
      <c r="AP605" s="1499">
        <f t="shared" si="4324"/>
        <v>113</v>
      </c>
      <c r="AQ605" s="1499">
        <f t="shared" si="4324"/>
        <v>56</v>
      </c>
      <c r="AR605" s="1499">
        <f t="shared" si="4324"/>
        <v>169</v>
      </c>
      <c r="AS605" s="1499">
        <f t="shared" si="4324"/>
        <v>215</v>
      </c>
      <c r="AT605" s="1499">
        <f t="shared" si="4324"/>
        <v>384</v>
      </c>
      <c r="AU605" s="1499">
        <f t="shared" si="4324"/>
        <v>54</v>
      </c>
      <c r="AV605" s="1499">
        <f t="shared" si="4324"/>
        <v>269</v>
      </c>
      <c r="AW605" s="1499">
        <f t="shared" si="4324"/>
        <v>438</v>
      </c>
      <c r="AX605" s="1500">
        <f t="shared" si="4324"/>
        <v>124</v>
      </c>
      <c r="AY605" s="1499">
        <f t="shared" si="4324"/>
        <v>73.5</v>
      </c>
      <c r="AZ605" s="1499">
        <f t="shared" si="4324"/>
        <v>197.5</v>
      </c>
      <c r="BA605" s="1499">
        <f t="shared" si="4324"/>
        <v>220</v>
      </c>
      <c r="BB605" s="1499">
        <f t="shared" si="4324"/>
        <v>293.5</v>
      </c>
      <c r="BC605" s="1499">
        <f t="shared" si="4324"/>
        <v>59</v>
      </c>
      <c r="BD605" s="1499">
        <f t="shared" si="4324"/>
        <v>278.5</v>
      </c>
      <c r="BE605" s="1501">
        <f t="shared" si="4324"/>
        <v>352.5</v>
      </c>
      <c r="BF605" s="1499">
        <f t="shared" si="4324"/>
        <v>98</v>
      </c>
      <c r="BG605" s="1499">
        <f t="shared" si="4324"/>
        <v>68.9845</v>
      </c>
      <c r="BH605" s="1499">
        <f t="shared" si="4324"/>
        <v>166.9845</v>
      </c>
      <c r="BI605" s="1499">
        <f t="shared" si="4324"/>
        <v>241.5</v>
      </c>
      <c r="BJ605" s="1499">
        <f t="shared" si="4324"/>
        <v>408.4845</v>
      </c>
      <c r="BK605" s="1499">
        <f t="shared" si="4324"/>
        <v>67</v>
      </c>
      <c r="BL605" s="1499">
        <f t="shared" si="4324"/>
        <v>308.5</v>
      </c>
      <c r="BM605" s="1499">
        <f t="shared" si="4324"/>
        <v>475.4845</v>
      </c>
      <c r="BN605" s="1500">
        <f t="shared" ref="BN605:CS605" si="4325">BN426</f>
        <v>117</v>
      </c>
      <c r="BO605" s="1499">
        <f t="shared" si="4325"/>
        <v>60</v>
      </c>
      <c r="BP605" s="1499">
        <f t="shared" si="4325"/>
        <v>177</v>
      </c>
      <c r="BQ605" s="1499">
        <f t="shared" si="4325"/>
        <v>270</v>
      </c>
      <c r="BR605" s="1499">
        <f t="shared" si="4325"/>
        <v>447</v>
      </c>
      <c r="BS605" s="1499">
        <f t="shared" si="4325"/>
        <v>42</v>
      </c>
      <c r="BT605" s="1499">
        <f t="shared" si="4325"/>
        <v>312</v>
      </c>
      <c r="BU605" s="1501">
        <f t="shared" si="4325"/>
        <v>489</v>
      </c>
      <c r="BV605" s="1500">
        <f t="shared" si="4325"/>
        <v>160</v>
      </c>
      <c r="BW605" s="1499">
        <f t="shared" si="4325"/>
        <v>123</v>
      </c>
      <c r="BX605" s="1499">
        <f t="shared" si="4325"/>
        <v>283</v>
      </c>
      <c r="BY605" s="1499">
        <f t="shared" si="4325"/>
        <v>280</v>
      </c>
      <c r="BZ605" s="1499">
        <f t="shared" si="4325"/>
        <v>563</v>
      </c>
      <c r="CA605" s="1499">
        <f t="shared" si="4325"/>
        <v>21</v>
      </c>
      <c r="CB605" s="1499">
        <f t="shared" si="4325"/>
        <v>301</v>
      </c>
      <c r="CC605" s="1501">
        <f t="shared" si="4325"/>
        <v>584</v>
      </c>
      <c r="CD605" s="1500">
        <f t="shared" si="4325"/>
        <v>204</v>
      </c>
      <c r="CE605" s="1499">
        <f t="shared" si="4325"/>
        <v>153</v>
      </c>
      <c r="CF605" s="1499">
        <f t="shared" si="4325"/>
        <v>357</v>
      </c>
      <c r="CG605" s="1499">
        <f t="shared" si="4325"/>
        <v>315</v>
      </c>
      <c r="CH605" s="1499">
        <f t="shared" si="4325"/>
        <v>672</v>
      </c>
      <c r="CI605" s="1499">
        <f t="shared" si="4325"/>
        <v>35</v>
      </c>
      <c r="CJ605" s="1499">
        <f t="shared" si="4325"/>
        <v>350</v>
      </c>
      <c r="CK605" s="1501">
        <f t="shared" si="4325"/>
        <v>707</v>
      </c>
      <c r="CL605" s="1500">
        <f t="shared" si="4325"/>
        <v>248</v>
      </c>
      <c r="CM605" s="1499">
        <f t="shared" si="4325"/>
        <v>172.7</v>
      </c>
      <c r="CN605" s="1499">
        <f t="shared" si="4325"/>
        <v>420</v>
      </c>
      <c r="CO605" s="1499">
        <f t="shared" si="4325"/>
        <v>410</v>
      </c>
      <c r="CP605" s="1499">
        <f t="shared" si="4325"/>
        <v>830</v>
      </c>
      <c r="CQ605" s="1499">
        <f t="shared" si="4325"/>
        <v>52</v>
      </c>
      <c r="CR605" s="1499">
        <f t="shared" si="4325"/>
        <v>533.01591075</v>
      </c>
      <c r="CS605" s="1501">
        <f t="shared" si="4325"/>
        <v>881</v>
      </c>
      <c r="CT605" s="1500">
        <f t="shared" ref="CT605:DA605" si="4326">CT426</f>
        <v>229</v>
      </c>
      <c r="CU605" s="1499">
        <f t="shared" si="4326"/>
        <v>188</v>
      </c>
      <c r="CV605" s="1499">
        <f t="shared" si="4326"/>
        <v>417</v>
      </c>
      <c r="CW605" s="1499">
        <f t="shared" si="4326"/>
        <v>472</v>
      </c>
      <c r="CX605" s="1499">
        <f t="shared" si="4326"/>
        <v>889</v>
      </c>
      <c r="CY605" s="1499">
        <f t="shared" si="4326"/>
        <v>60</v>
      </c>
      <c r="CZ605" s="1499">
        <f t="shared" si="4326"/>
        <v>532</v>
      </c>
      <c r="DA605" s="1501">
        <f t="shared" si="4326"/>
        <v>949</v>
      </c>
      <c r="DB605" s="1502">
        <v>282</v>
      </c>
      <c r="DC605" s="1372">
        <f>DC602+DC599+DC596+DC593</f>
        <v>207</v>
      </c>
      <c r="DD605" s="1372">
        <f>DD602+DD599+DD596+DD593</f>
        <v>490</v>
      </c>
      <c r="DE605" s="1372">
        <f>DF605-DD605</f>
        <v>473</v>
      </c>
      <c r="DF605" s="1372">
        <f>DF426</f>
        <v>963</v>
      </c>
      <c r="DG605" s="1372">
        <f>DI605-DF605</f>
        <v>107</v>
      </c>
      <c r="DH605" s="1372">
        <f>DI605-DD605</f>
        <v>580</v>
      </c>
      <c r="DI605" s="1503">
        <v>1070</v>
      </c>
      <c r="DJ605" s="1372">
        <f t="shared" ref="DJ605:DQ605" si="4327">DJ426</f>
        <v>58</v>
      </c>
      <c r="DK605" s="1372">
        <f t="shared" si="4327"/>
        <v>72</v>
      </c>
      <c r="DL605" s="1372">
        <f t="shared" si="4327"/>
        <v>130</v>
      </c>
      <c r="DM605" s="1372">
        <f t="shared" si="4327"/>
        <v>336</v>
      </c>
      <c r="DN605" s="1372">
        <f t="shared" si="4327"/>
        <v>466</v>
      </c>
      <c r="DO605" s="1372">
        <f t="shared" si="4327"/>
        <v>42</v>
      </c>
      <c r="DP605" s="1372">
        <f t="shared" si="4327"/>
        <v>326.43199998426</v>
      </c>
      <c r="DQ605" s="1503">
        <f t="shared" si="4327"/>
        <v>508</v>
      </c>
      <c r="DR605" s="1372"/>
      <c r="DS605" s="1372"/>
      <c r="DT605" s="1372"/>
      <c r="DU605" s="1372"/>
      <c r="DV605" s="1372"/>
      <c r="DW605" s="1372"/>
      <c r="DX605" s="1372"/>
      <c r="DY605" s="1503"/>
      <c r="DZ605" s="1372"/>
      <c r="EA605" s="1372"/>
      <c r="EB605" s="1372"/>
      <c r="EC605" s="1372"/>
      <c r="ED605" s="1372"/>
      <c r="EE605" s="1372"/>
      <c r="EF605" s="1372"/>
      <c r="EG605" s="1503"/>
      <c r="EH605" s="1372"/>
      <c r="EI605" s="1372"/>
      <c r="EJ605" s="1372"/>
      <c r="EK605" s="1372"/>
      <c r="EL605" s="1372"/>
      <c r="EM605" s="1372"/>
      <c r="EN605" s="1372"/>
      <c r="EO605" s="1503"/>
      <c r="EP605" s="1372"/>
      <c r="EQ605" s="1372"/>
      <c r="ER605" s="1372"/>
      <c r="ES605" s="1372"/>
      <c r="ET605" s="1372"/>
      <c r="EU605" s="1372"/>
      <c r="EV605" s="1372"/>
      <c r="IX605" s="1049"/>
      <c r="IY605" s="1049"/>
      <c r="IZ605" s="1049"/>
      <c r="JA605" s="1049"/>
      <c r="JB605" s="1049"/>
      <c r="JC605" s="1049"/>
      <c r="JD605" s="1518"/>
      <c r="JE605" s="1126"/>
      <c r="JF605" s="1126"/>
      <c r="JG605" s="1126"/>
      <c r="JH605" s="1126"/>
      <c r="JI605" s="1024"/>
      <c r="JJ605" s="1035"/>
      <c r="JK605" s="1035"/>
      <c r="JL605" s="1035"/>
      <c r="JM605" s="1035"/>
      <c r="JN605" s="1035"/>
      <c r="JO605" s="1035"/>
      <c r="JP605" s="1035"/>
      <c r="JQ605" s="1035"/>
      <c r="JR605" s="1035"/>
      <c r="JS605" s="1035"/>
      <c r="JT605" s="1035"/>
      <c r="JU605" s="1035"/>
      <c r="JV605" s="1035"/>
      <c r="JW605" s="1035"/>
      <c r="JX605" s="1035"/>
      <c r="JY605" s="1035"/>
      <c r="KP605" s="967"/>
    </row>
    <row r="606" spans="1:302">
      <c r="A606" s="1035" t="s">
        <v>142</v>
      </c>
      <c r="B606" s="1302" t="s">
        <v>173</v>
      </c>
      <c r="C606" s="1302" t="s">
        <v>173</v>
      </c>
      <c r="D606" s="1302" t="s">
        <v>173</v>
      </c>
      <c r="E606" s="1302" t="s">
        <v>173</v>
      </c>
      <c r="F606" s="1302" t="s">
        <v>173</v>
      </c>
      <c r="G606" s="1302" t="s">
        <v>173</v>
      </c>
      <c r="H606" s="1302" t="s">
        <v>173</v>
      </c>
      <c r="I606" s="1302" t="s">
        <v>173</v>
      </c>
      <c r="J606" s="1302">
        <f t="shared" ref="J606:AO606" si="4328">J605/B605-1</f>
        <v>-0.238589083333333</v>
      </c>
      <c r="K606" s="1302">
        <f t="shared" si="4328"/>
        <v>-0.384150597014925</v>
      </c>
      <c r="L606" s="1302">
        <f t="shared" si="4328"/>
        <v>-0.290742139037434</v>
      </c>
      <c r="M606" s="1302">
        <f t="shared" si="4328"/>
        <v>-0.39283125</v>
      </c>
      <c r="N606" s="1302">
        <f t="shared" si="4328"/>
        <v>-0.33781492795389</v>
      </c>
      <c r="O606" s="1302">
        <f t="shared" si="4328"/>
        <v>-1.90116625</v>
      </c>
      <c r="P606" s="1302">
        <f t="shared" si="4328"/>
        <v>-1.14415384325561</v>
      </c>
      <c r="Q606" s="1302">
        <f t="shared" si="4328"/>
        <v>-0.319583425655976</v>
      </c>
      <c r="R606" s="1302">
        <f t="shared" si="4328"/>
        <v>0.34583100167879</v>
      </c>
      <c r="S606" s="1302">
        <f t="shared" si="4328"/>
        <v>0.165303593556383</v>
      </c>
      <c r="T606" s="1302">
        <f t="shared" si="4328"/>
        <v>0.289668465690056</v>
      </c>
      <c r="U606" s="1302">
        <f t="shared" si="4328"/>
        <v>0.621052631578948</v>
      </c>
      <c r="V606" s="1302">
        <f t="shared" si="4328"/>
        <v>0.429773030707612</v>
      </c>
      <c r="W606" s="1302">
        <f t="shared" si="4328"/>
        <v>5.09929078014183</v>
      </c>
      <c r="X606" s="1302">
        <f t="shared" si="4328"/>
        <v>0.776765375854206</v>
      </c>
      <c r="Y606" s="1302">
        <f t="shared" si="4328"/>
        <v>0.501895059699859</v>
      </c>
      <c r="Z606" s="1302">
        <f t="shared" si="4328"/>
        <v>0.334719334719335</v>
      </c>
      <c r="AA606" s="1302">
        <f t="shared" si="4328"/>
        <v>0.169715014887278</v>
      </c>
      <c r="AB606" s="1302">
        <f t="shared" si="4328"/>
        <v>0.288336222873198</v>
      </c>
      <c r="AC606" s="1302">
        <f t="shared" si="4328"/>
        <v>0.31168831168831</v>
      </c>
      <c r="AD606" s="1302">
        <f t="shared" si="4328"/>
        <v>0.299529990350794</v>
      </c>
      <c r="AE606" s="1302">
        <f t="shared" si="4328"/>
        <v>-1.25488372093022</v>
      </c>
      <c r="AF606" s="1302">
        <f t="shared" si="4328"/>
        <v>0.119898008706929</v>
      </c>
      <c r="AG606" s="1302">
        <f t="shared" si="4328"/>
        <v>0.202030516089505</v>
      </c>
      <c r="AH606" s="1302">
        <f t="shared" si="4328"/>
        <v>-0.264797507788161</v>
      </c>
      <c r="AI606" s="1302">
        <f t="shared" si="4328"/>
        <v>0.390894866916776</v>
      </c>
      <c r="AJ606" s="1302">
        <f t="shared" si="4328"/>
        <v>-0.0974514260769248</v>
      </c>
      <c r="AK606" s="1302">
        <f t="shared" si="4328"/>
        <v>0.161860758733805</v>
      </c>
      <c r="AL606" s="1302">
        <f t="shared" si="4328"/>
        <v>0.0280121938794025</v>
      </c>
      <c r="AM606" s="1302">
        <f t="shared" si="4328"/>
        <v>-7.60260592364414</v>
      </c>
      <c r="AN606" s="1302">
        <f t="shared" si="4328"/>
        <v>0.388170534132992</v>
      </c>
      <c r="AO606" s="1302">
        <f t="shared" si="4328"/>
        <v>0.129501896524973</v>
      </c>
      <c r="AP606" s="1302">
        <f t="shared" ref="AP606:BU606" si="4329">AP605/AH605-1</f>
        <v>-0.0635369463680167</v>
      </c>
      <c r="AQ606" s="1302">
        <f t="shared" si="4329"/>
        <v>-0.284144699922407</v>
      </c>
      <c r="AR606" s="1302">
        <f t="shared" si="4329"/>
        <v>-0.150305010334605</v>
      </c>
      <c r="AS606" s="1302">
        <f t="shared" si="4329"/>
        <v>-0.104166666666667</v>
      </c>
      <c r="AT606" s="1302">
        <f t="shared" si="4329"/>
        <v>-0.125075274285484</v>
      </c>
      <c r="AU606" s="1302">
        <f t="shared" si="4329"/>
        <v>0.459459459459459</v>
      </c>
      <c r="AV606" s="1302">
        <f t="shared" si="4329"/>
        <v>-0.03584229390681</v>
      </c>
      <c r="AW606" s="1302">
        <f t="shared" si="4329"/>
        <v>-0.0796287163405198</v>
      </c>
      <c r="AX606" s="1303">
        <f t="shared" si="4329"/>
        <v>0.0973451327433628</v>
      </c>
      <c r="AY606" s="1302">
        <f t="shared" si="4329"/>
        <v>0.3125</v>
      </c>
      <c r="AZ606" s="1302">
        <f t="shared" si="4329"/>
        <v>0.168639053254438</v>
      </c>
      <c r="BA606" s="1302">
        <f t="shared" si="4329"/>
        <v>0.0232558139534884</v>
      </c>
      <c r="BB606" s="1302">
        <f t="shared" si="4329"/>
        <v>-0.235677083333333</v>
      </c>
      <c r="BC606" s="1302">
        <f t="shared" si="4329"/>
        <v>0.0925925925925926</v>
      </c>
      <c r="BD606" s="1302">
        <f t="shared" si="4329"/>
        <v>0.0353159851301115</v>
      </c>
      <c r="BE606" s="1304">
        <f t="shared" si="4329"/>
        <v>-0.195205479452055</v>
      </c>
      <c r="BF606" s="1302">
        <f t="shared" si="4329"/>
        <v>-0.209677419354839</v>
      </c>
      <c r="BG606" s="1302">
        <f t="shared" si="4329"/>
        <v>-0.0614353741496595</v>
      </c>
      <c r="BH606" s="1302">
        <f t="shared" si="4329"/>
        <v>-0.154508860759494</v>
      </c>
      <c r="BI606" s="1302">
        <f t="shared" si="4329"/>
        <v>0.0977272727272727</v>
      </c>
      <c r="BJ606" s="1302">
        <f t="shared" si="4329"/>
        <v>0.391770017035775</v>
      </c>
      <c r="BK606" s="1302">
        <f t="shared" si="4329"/>
        <v>0.135593220338983</v>
      </c>
      <c r="BL606" s="1302">
        <f t="shared" si="4329"/>
        <v>0.107719928186714</v>
      </c>
      <c r="BM606" s="1302">
        <f t="shared" si="4329"/>
        <v>0.34889219858156</v>
      </c>
      <c r="BN606" s="1303">
        <f t="shared" si="4329"/>
        <v>0.193877551020408</v>
      </c>
      <c r="BO606" s="1302">
        <f t="shared" si="4329"/>
        <v>-0.130239401604709</v>
      </c>
      <c r="BP606" s="1302">
        <f t="shared" si="4329"/>
        <v>0.0599786207701911</v>
      </c>
      <c r="BQ606" s="1302">
        <f t="shared" si="4329"/>
        <v>0.118012422360248</v>
      </c>
      <c r="BR606" s="1302">
        <f t="shared" si="4329"/>
        <v>0.0942887673828505</v>
      </c>
      <c r="BS606" s="1302">
        <f t="shared" si="4329"/>
        <v>-0.373134328358209</v>
      </c>
      <c r="BT606" s="1302">
        <f t="shared" si="4329"/>
        <v>0.0113452188006482</v>
      </c>
      <c r="BU606" s="1304">
        <f t="shared" si="4329"/>
        <v>0.02842469102568</v>
      </c>
      <c r="BV606" s="1303">
        <f t="shared" ref="BV606:CK606" si="4330">BV605/BN605-1</f>
        <v>0.367521367521368</v>
      </c>
      <c r="BW606" s="1302">
        <f t="shared" si="4330"/>
        <v>1.05</v>
      </c>
      <c r="BX606" s="1302">
        <f t="shared" si="4330"/>
        <v>0.598870056497175</v>
      </c>
      <c r="BY606" s="1302">
        <f t="shared" si="4330"/>
        <v>0.037037037037037</v>
      </c>
      <c r="BZ606" s="1302">
        <f t="shared" si="4330"/>
        <v>0.259507829977629</v>
      </c>
      <c r="CA606" s="1302">
        <f t="shared" si="4330"/>
        <v>-0.5</v>
      </c>
      <c r="CB606" s="1302">
        <f t="shared" si="4330"/>
        <v>-0.0352564102564102</v>
      </c>
      <c r="CC606" s="1304">
        <f t="shared" si="4330"/>
        <v>0.194274028629857</v>
      </c>
      <c r="CD606" s="1303">
        <f t="shared" si="4330"/>
        <v>0.275</v>
      </c>
      <c r="CE606" s="1302">
        <f t="shared" si="4330"/>
        <v>0.24390243902439</v>
      </c>
      <c r="CF606" s="1302">
        <f t="shared" si="4330"/>
        <v>0.261484098939929</v>
      </c>
      <c r="CG606" s="1302">
        <f t="shared" si="4330"/>
        <v>0.125</v>
      </c>
      <c r="CH606" s="1302">
        <f t="shared" si="4330"/>
        <v>0.19360568383659</v>
      </c>
      <c r="CI606" s="1302">
        <f t="shared" si="4330"/>
        <v>0.666666666666667</v>
      </c>
      <c r="CJ606" s="1302">
        <f t="shared" si="4330"/>
        <v>0.162790697674419</v>
      </c>
      <c r="CK606" s="1304">
        <f t="shared" si="4330"/>
        <v>0.210616438356164</v>
      </c>
      <c r="CL606" s="1303">
        <v>0.469805193813509</v>
      </c>
      <c r="CM606" s="1302">
        <f t="shared" ref="CM606:CT606" si="4331">CM605/CE605-1</f>
        <v>0.128758169934641</v>
      </c>
      <c r="CN606" s="1302">
        <f t="shared" si="4331"/>
        <v>0.176470588235294</v>
      </c>
      <c r="CO606" s="1302">
        <f t="shared" si="4331"/>
        <v>0.301587301587302</v>
      </c>
      <c r="CP606" s="1302">
        <f t="shared" si="4331"/>
        <v>0.235119047619048</v>
      </c>
      <c r="CQ606" s="1302">
        <f t="shared" si="4331"/>
        <v>0.485714285714286</v>
      </c>
      <c r="CR606" s="1302">
        <f t="shared" si="4331"/>
        <v>0.522902602142858</v>
      </c>
      <c r="CS606" s="1304">
        <f t="shared" si="4331"/>
        <v>0.246110325318246</v>
      </c>
      <c r="CT606" s="1303">
        <f t="shared" si="4331"/>
        <v>-0.0766129032258065</v>
      </c>
      <c r="CU606" s="1302">
        <f t="shared" ref="CU606:DA606" si="4332">CU605/CM605-1</f>
        <v>0.0885929357266937</v>
      </c>
      <c r="CV606" s="1302">
        <f t="shared" si="4332"/>
        <v>-0.00714285714285712</v>
      </c>
      <c r="CW606" s="1302">
        <f t="shared" si="4332"/>
        <v>0.151219512195122</v>
      </c>
      <c r="CX606" s="1302">
        <f t="shared" si="4332"/>
        <v>0.0710843373493977</v>
      </c>
      <c r="CY606" s="1302">
        <f t="shared" si="4332"/>
        <v>0.153846153846154</v>
      </c>
      <c r="CZ606" s="1302">
        <f t="shared" si="4332"/>
        <v>-0.00190596702558254</v>
      </c>
      <c r="DA606" s="1304">
        <f t="shared" si="4332"/>
        <v>0.0771850170261068</v>
      </c>
      <c r="DB606" s="1109">
        <f t="shared" ref="DB606:DI606" si="4333">DB605/CT605-1</f>
        <v>0.231441048034934</v>
      </c>
      <c r="DC606" s="1082">
        <f t="shared" si="4333"/>
        <v>0.101063829787234</v>
      </c>
      <c r="DD606" s="1082">
        <f t="shared" si="4333"/>
        <v>0.175059952038369</v>
      </c>
      <c r="DE606" s="1082">
        <f t="shared" si="4333"/>
        <v>0.00211864406779672</v>
      </c>
      <c r="DF606" s="1082">
        <f t="shared" si="4333"/>
        <v>0.0832395950506186</v>
      </c>
      <c r="DG606" s="1082">
        <f t="shared" si="4333"/>
        <v>0.783333333333333</v>
      </c>
      <c r="DH606" s="1082">
        <f t="shared" si="4333"/>
        <v>0.0902255639097744</v>
      </c>
      <c r="DI606" s="1085">
        <f t="shared" si="4333"/>
        <v>0.127502634351949</v>
      </c>
      <c r="DJ606" s="1082">
        <f t="shared" ref="DJ606:DQ606" si="4334">DJ605/DB605-1</f>
        <v>-0.794326241134752</v>
      </c>
      <c r="DK606" s="1082">
        <f t="shared" si="4334"/>
        <v>-0.652173913043478</v>
      </c>
      <c r="DL606" s="1082">
        <f t="shared" si="4334"/>
        <v>-0.73469387755102</v>
      </c>
      <c r="DM606" s="1082">
        <f t="shared" si="4334"/>
        <v>-0.289640591966173</v>
      </c>
      <c r="DN606" s="1082">
        <f t="shared" si="4334"/>
        <v>-0.516095534787124</v>
      </c>
      <c r="DO606" s="1082">
        <f t="shared" si="4334"/>
        <v>-0.607476635514019</v>
      </c>
      <c r="DP606" s="1082">
        <f t="shared" si="4334"/>
        <v>-0.437186206923689</v>
      </c>
      <c r="DQ606" s="1085">
        <f t="shared" si="4334"/>
        <v>-0.525233644859813</v>
      </c>
      <c r="DR606" s="1082"/>
      <c r="DS606" s="1082"/>
      <c r="DT606" s="1082"/>
      <c r="DU606" s="1082"/>
      <c r="DV606" s="1082"/>
      <c r="DW606" s="1082"/>
      <c r="DX606" s="1082"/>
      <c r="DY606" s="1085"/>
      <c r="DZ606" s="1082"/>
      <c r="EA606" s="1082"/>
      <c r="EB606" s="1082"/>
      <c r="EC606" s="1082"/>
      <c r="ED606" s="1082"/>
      <c r="EE606" s="1082"/>
      <c r="EF606" s="1082"/>
      <c r="EG606" s="1085"/>
      <c r="EH606" s="1082"/>
      <c r="EI606" s="1082"/>
      <c r="EJ606" s="1082"/>
      <c r="EK606" s="1082"/>
      <c r="EL606" s="1082"/>
      <c r="EM606" s="1082"/>
      <c r="EN606" s="1082"/>
      <c r="EO606" s="1085"/>
      <c r="EP606" s="1082"/>
      <c r="EQ606" s="1082"/>
      <c r="ER606" s="1082"/>
      <c r="ES606" s="1082"/>
      <c r="ET606" s="1082"/>
      <c r="EU606" s="1082"/>
      <c r="EV606" s="1082"/>
      <c r="IX606" s="1049"/>
      <c r="IY606" s="1049"/>
      <c r="IZ606" s="1049"/>
      <c r="JA606" s="1049"/>
      <c r="JB606" s="1049"/>
      <c r="JC606" s="1049"/>
      <c r="JD606" s="1521"/>
      <c r="JE606" s="1126"/>
      <c r="JF606" s="1126"/>
      <c r="JG606" s="1126"/>
      <c r="JH606" s="1126"/>
      <c r="JI606" s="1024"/>
      <c r="JJ606" s="1035"/>
      <c r="JK606" s="1035"/>
      <c r="JL606" s="1035"/>
      <c r="JM606" s="1035"/>
      <c r="JN606" s="1035"/>
      <c r="JO606" s="1035"/>
      <c r="JP606" s="1035"/>
      <c r="JQ606" s="1035"/>
      <c r="JR606" s="1035"/>
      <c r="JS606" s="1035"/>
      <c r="JT606" s="1035"/>
      <c r="JU606" s="1035"/>
      <c r="JV606" s="1035"/>
      <c r="JW606" s="1035"/>
      <c r="JX606" s="1035"/>
      <c r="JY606" s="1035"/>
      <c r="KP606" s="967"/>
    </row>
    <row r="607" spans="1:302">
      <c r="A607" s="1035" t="s">
        <v>634</v>
      </c>
      <c r="B607" s="1302">
        <f t="shared" ref="B607:AG607" si="4335">B605/B388</f>
        <v>0.120103529242207</v>
      </c>
      <c r="C607" s="1302">
        <f t="shared" si="4335"/>
        <v>0.0893434589253449</v>
      </c>
      <c r="D607" s="1302">
        <f t="shared" si="4335"/>
        <v>0.106914999145252</v>
      </c>
      <c r="E607" s="1302">
        <f t="shared" si="4335"/>
        <v>0.146214729123507</v>
      </c>
      <c r="F607" s="1302">
        <f t="shared" si="4335"/>
        <v>0.122039830705784</v>
      </c>
      <c r="G607" s="1302">
        <f t="shared" si="4335"/>
        <v>-0.00606251667192085</v>
      </c>
      <c r="H607" s="1302">
        <f t="shared" si="4335"/>
        <v>-0.781751804539707</v>
      </c>
      <c r="I607" s="1302">
        <f t="shared" si="4335"/>
        <v>0.0979125501052489</v>
      </c>
      <c r="J607" s="1302">
        <f t="shared" si="4335"/>
        <v>0.149264951553625</v>
      </c>
      <c r="K607" s="1302">
        <f t="shared" si="4335"/>
        <v>0.0772101033295063</v>
      </c>
      <c r="L607" s="1302">
        <f t="shared" si="4335"/>
        <v>0.115679628968962</v>
      </c>
      <c r="M607" s="1302">
        <f t="shared" si="4335"/>
        <v>0.129076086956522</v>
      </c>
      <c r="N607" s="1302">
        <f t="shared" si="4335"/>
        <v>0.120988584966616</v>
      </c>
      <c r="O607" s="1302">
        <f t="shared" si="4335"/>
        <v>0.00708898944193065</v>
      </c>
      <c r="P607" s="1302">
        <f t="shared" si="4335"/>
        <v>0.080077016619376</v>
      </c>
      <c r="Q607" s="1302">
        <f t="shared" si="4335"/>
        <v>0.0969334664146616</v>
      </c>
      <c r="R607" s="1302">
        <f t="shared" si="4335"/>
        <v>0.140396964389959</v>
      </c>
      <c r="S607" s="1302">
        <f t="shared" si="4335"/>
        <v>0.0659004905395936</v>
      </c>
      <c r="T607" s="1302">
        <f t="shared" si="4335"/>
        <v>0.106541401273885</v>
      </c>
      <c r="U607" s="1302">
        <f t="shared" si="4335"/>
        <v>0.143656716417911</v>
      </c>
      <c r="V607" s="1302">
        <f t="shared" si="4335"/>
        <v>0.12160105980318</v>
      </c>
      <c r="W607" s="1302">
        <f t="shared" si="4335"/>
        <v>0.0304101838755305</v>
      </c>
      <c r="X607" s="1302">
        <f t="shared" si="4335"/>
        <v>0.0986509274873524</v>
      </c>
      <c r="Y607" s="1302">
        <f t="shared" si="4335"/>
        <v>0.102349955210511</v>
      </c>
      <c r="Z607" s="1302">
        <f t="shared" si="4335"/>
        <v>0.118537666174298</v>
      </c>
      <c r="AA607" s="1302">
        <f t="shared" si="4335"/>
        <v>0.0491071428571428</v>
      </c>
      <c r="AB607" s="1302">
        <f t="shared" si="4335"/>
        <v>0.0871059013742927</v>
      </c>
      <c r="AC607" s="1302">
        <f t="shared" si="4335"/>
        <v>0.13657876943881</v>
      </c>
      <c r="AD607" s="1302">
        <f t="shared" si="4335"/>
        <v>0.105615987857324</v>
      </c>
      <c r="AE607" s="1302">
        <f t="shared" si="4335"/>
        <v>-0.00547726136931514</v>
      </c>
      <c r="AF607" s="1302">
        <f t="shared" si="4335"/>
        <v>0.0792661216797415</v>
      </c>
      <c r="AG607" s="1302">
        <f t="shared" si="4335"/>
        <v>0.0831775512264056</v>
      </c>
      <c r="AH607" s="1302">
        <f t="shared" ref="AH607:BM607" si="4336">AH605/AH388</f>
        <v>0.0868285504047095</v>
      </c>
      <c r="AI607" s="1302">
        <f t="shared" si="4336"/>
        <v>0.065495905548307</v>
      </c>
      <c r="AJ607" s="1302">
        <f t="shared" si="4336"/>
        <v>0.0769684280492373</v>
      </c>
      <c r="AK607" s="1302">
        <f t="shared" si="4336"/>
        <v>0.152380952380952</v>
      </c>
      <c r="AL607" s="1302">
        <f t="shared" si="4336"/>
        <v>0.105526153166127</v>
      </c>
      <c r="AM607" s="1302">
        <f t="shared" si="4336"/>
        <v>0.0309623430962343</v>
      </c>
      <c r="AN607" s="1302">
        <f t="shared" si="4336"/>
        <v>0.100649350649351</v>
      </c>
      <c r="AO607" s="1302">
        <f t="shared" si="4336"/>
        <v>0.0888840315613975</v>
      </c>
      <c r="AP607" s="1302">
        <f t="shared" si="4336"/>
        <v>0.0744891232696111</v>
      </c>
      <c r="AQ607" s="1302">
        <f t="shared" si="4336"/>
        <v>0.0448717948717949</v>
      </c>
      <c r="AR607" s="1302">
        <f t="shared" si="4336"/>
        <v>0.061121157323689</v>
      </c>
      <c r="AS607" s="1302">
        <f t="shared" si="4336"/>
        <v>0.128205128205128</v>
      </c>
      <c r="AT607" s="1302">
        <f t="shared" si="4336"/>
        <v>0.0864475461503827</v>
      </c>
      <c r="AU607" s="1302">
        <f t="shared" si="4336"/>
        <v>0.0387652548456569</v>
      </c>
      <c r="AV607" s="1302">
        <f t="shared" si="4336"/>
        <v>0.0876221498371336</v>
      </c>
      <c r="AW607" s="1302">
        <f t="shared" si="4336"/>
        <v>0.0750642673521851</v>
      </c>
      <c r="AX607" s="1303">
        <f t="shared" si="4336"/>
        <v>0.079589216944801</v>
      </c>
      <c r="AY607" s="1302">
        <f t="shared" si="4336"/>
        <v>0.0537280701754386</v>
      </c>
      <c r="AZ607" s="1302">
        <f t="shared" si="4336"/>
        <v>0.0674982911825017</v>
      </c>
      <c r="BA607" s="1302">
        <f t="shared" si="4336"/>
        <v>0.122905027932961</v>
      </c>
      <c r="BB607" s="1302">
        <f t="shared" si="4336"/>
        <v>0.0929385687143762</v>
      </c>
      <c r="BC607" s="1302">
        <f t="shared" si="4336"/>
        <v>0.042278753135077</v>
      </c>
      <c r="BD607" s="1302">
        <f t="shared" si="4336"/>
        <v>0.0874411302982732</v>
      </c>
      <c r="BE607" s="1304">
        <f t="shared" si="4336"/>
        <v>0.077412979027122</v>
      </c>
      <c r="BF607" s="1302">
        <f t="shared" si="4336"/>
        <v>0.0598290598290598</v>
      </c>
      <c r="BG607" s="1302">
        <f t="shared" si="4336"/>
        <v>0.0457912379688019</v>
      </c>
      <c r="BH607" s="1302">
        <f t="shared" si="4336"/>
        <v>0.0531036730799809</v>
      </c>
      <c r="BI607" s="1302">
        <f t="shared" si="4336"/>
        <v>0.129421221864952</v>
      </c>
      <c r="BJ607" s="1302">
        <f t="shared" si="4336"/>
        <v>0.0815256960383195</v>
      </c>
      <c r="BK607" s="1302">
        <f t="shared" si="4336"/>
        <v>0.0443414956982131</v>
      </c>
      <c r="BL607" s="1302">
        <f t="shared" si="4336"/>
        <v>0.0913532721350311</v>
      </c>
      <c r="BM607" s="1302">
        <f t="shared" si="4336"/>
        <v>0.0729102967108794</v>
      </c>
      <c r="BN607" s="1303">
        <f t="shared" ref="BN607:CS607" si="4337">BN605/BN388</f>
        <v>0.0701018573996405</v>
      </c>
      <c r="BO607" s="1302">
        <f t="shared" si="4337"/>
        <v>0.0431034482758621</v>
      </c>
      <c r="BP607" s="1302">
        <f t="shared" si="4337"/>
        <v>0.0578242404442992</v>
      </c>
      <c r="BQ607" s="1302">
        <f t="shared" si="4337"/>
        <v>0.145709660010793</v>
      </c>
      <c r="BR607" s="1302">
        <f t="shared" si="4337"/>
        <v>0.090964590964591</v>
      </c>
      <c r="BS607" s="1302">
        <f t="shared" si="4337"/>
        <v>0.0310192023633678</v>
      </c>
      <c r="BT607" s="1302">
        <f t="shared" si="4337"/>
        <v>0.0972871842843779</v>
      </c>
      <c r="BU607" s="1304">
        <f t="shared" si="4337"/>
        <v>0.0780153158902361</v>
      </c>
      <c r="BV607" s="1303">
        <f t="shared" si="4337"/>
        <v>0.106312292358804</v>
      </c>
      <c r="BW607" s="1302">
        <f t="shared" si="4337"/>
        <v>0.0877944325481799</v>
      </c>
      <c r="BX607" s="1302">
        <f t="shared" si="4337"/>
        <v>0.0973847212663455</v>
      </c>
      <c r="BY607" s="1302">
        <f t="shared" si="4337"/>
        <v>0.159271899886234</v>
      </c>
      <c r="BZ607" s="1302">
        <f t="shared" si="4337"/>
        <v>0.120711835334477</v>
      </c>
      <c r="CA607" s="1302">
        <f t="shared" si="4337"/>
        <v>0.0175585284280936</v>
      </c>
      <c r="CB607" s="1302">
        <f t="shared" si="4337"/>
        <v>0.088869205786832</v>
      </c>
      <c r="CC607" s="1304">
        <f t="shared" si="4337"/>
        <v>0.0996587030716723</v>
      </c>
      <c r="CD607" s="1303">
        <f t="shared" si="4337"/>
        <v>0.121936640765093</v>
      </c>
      <c r="CE607" s="1302">
        <f t="shared" si="4337"/>
        <v>0.100923482849604</v>
      </c>
      <c r="CF607" s="1302">
        <f t="shared" si="4337"/>
        <v>0.111947318908749</v>
      </c>
      <c r="CG607" s="1302">
        <f t="shared" si="4337"/>
        <v>0.163721413721414</v>
      </c>
      <c r="CH607" s="1302">
        <f t="shared" si="4337"/>
        <v>0.131429689027968</v>
      </c>
      <c r="CI607" s="1302">
        <f t="shared" si="4337"/>
        <v>0.0230111768573307</v>
      </c>
      <c r="CJ607" s="1302">
        <f t="shared" si="4337"/>
        <v>0.101596516690856</v>
      </c>
      <c r="CK607" s="1304">
        <f t="shared" si="4337"/>
        <v>0.106572203798613</v>
      </c>
      <c r="CL607" s="1303">
        <f t="shared" si="4337"/>
        <v>0.100854005693371</v>
      </c>
      <c r="CM607" s="1302">
        <f t="shared" si="4337"/>
        <v>0.0711285008237232</v>
      </c>
      <c r="CN607" s="1302">
        <f t="shared" si="4337"/>
        <v>0.0859422958870473</v>
      </c>
      <c r="CO607" s="1302">
        <f t="shared" si="4337"/>
        <v>0.13903017972194</v>
      </c>
      <c r="CP607" s="1302">
        <f t="shared" si="4337"/>
        <v>0.105921388463502</v>
      </c>
      <c r="CQ607" s="1302">
        <f t="shared" si="4337"/>
        <v>0.0231316725978648</v>
      </c>
      <c r="CR607" s="1302">
        <f t="shared" si="4337"/>
        <v>0.102561916281122</v>
      </c>
      <c r="CS607" s="1304">
        <f t="shared" si="4337"/>
        <v>0.0873661245537485</v>
      </c>
      <c r="CT607" s="1303">
        <f t="shared" ref="CT607:DQ607" si="4338">CT605/CT388</f>
        <v>0.0902285263987392</v>
      </c>
      <c r="CU607" s="1302">
        <f t="shared" si="4338"/>
        <v>0.0783333333333333</v>
      </c>
      <c r="CV607" s="1302">
        <f t="shared" si="4338"/>
        <v>0.0844471445929526</v>
      </c>
      <c r="CW607" s="1302">
        <f t="shared" si="4338"/>
        <v>0.160489629377763</v>
      </c>
      <c r="CX607" s="1302">
        <f t="shared" si="4338"/>
        <v>0.112831577611372</v>
      </c>
      <c r="CY607" s="1302">
        <f t="shared" si="4338"/>
        <v>0.0248036378668871</v>
      </c>
      <c r="CZ607" s="1302">
        <f t="shared" si="4338"/>
        <v>0.0992537313432836</v>
      </c>
      <c r="DA607" s="1304">
        <f t="shared" si="4338"/>
        <v>0.0921538162750049</v>
      </c>
      <c r="DB607" s="1109">
        <f t="shared" si="4338"/>
        <v>0.107921928817451</v>
      </c>
      <c r="DC607" s="1082">
        <f t="shared" si="4338"/>
        <v>0.0823389021479714</v>
      </c>
      <c r="DD607" s="1082">
        <f t="shared" si="4338"/>
        <v>0.0955724595279891</v>
      </c>
      <c r="DE607" s="1082">
        <f t="shared" si="4338"/>
        <v>0.153621305618707</v>
      </c>
      <c r="DF607" s="1082">
        <f t="shared" si="4338"/>
        <v>0.117353156227151</v>
      </c>
      <c r="DG607" s="1082">
        <f t="shared" si="4338"/>
        <v>0.0415372670807453</v>
      </c>
      <c r="DH607" s="1082">
        <f t="shared" si="4338"/>
        <v>0.102564102564103</v>
      </c>
      <c r="DI607" s="1085">
        <f t="shared" si="4338"/>
        <v>0.112489524058474</v>
      </c>
      <c r="DJ607" s="1082">
        <f t="shared" si="4338"/>
        <v>0.0225067908420644</v>
      </c>
      <c r="DK607" s="1082">
        <f t="shared" si="4338"/>
        <v>0.0293040293040293</v>
      </c>
      <c r="DL607" s="1082">
        <f t="shared" si="4338"/>
        <v>0.0258243941199841</v>
      </c>
      <c r="DM607" s="1082">
        <f t="shared" si="4338"/>
        <v>0.116343490304709</v>
      </c>
      <c r="DN607" s="1082">
        <f t="shared" si="4338"/>
        <v>0.0588161050107283</v>
      </c>
      <c r="DO607" s="1082">
        <f t="shared" si="4338"/>
        <v>0.0170870626525631</v>
      </c>
      <c r="DP607" s="1082">
        <f t="shared" si="4338"/>
        <v>0.061118142666965</v>
      </c>
      <c r="DQ607" s="1085">
        <f t="shared" si="4338"/>
        <v>0.0489355553414893</v>
      </c>
      <c r="DR607" s="1082"/>
      <c r="DS607" s="1082"/>
      <c r="DT607" s="1082"/>
      <c r="DU607" s="1082"/>
      <c r="DV607" s="1082"/>
      <c r="DW607" s="1082"/>
      <c r="DX607" s="1082"/>
      <c r="DY607" s="1085"/>
      <c r="DZ607" s="1082"/>
      <c r="EA607" s="1082"/>
      <c r="EB607" s="1082"/>
      <c r="EC607" s="1082"/>
      <c r="ED607" s="1082"/>
      <c r="EE607" s="1082"/>
      <c r="EF607" s="1082"/>
      <c r="EG607" s="1085"/>
      <c r="EH607" s="1082"/>
      <c r="EI607" s="1082"/>
      <c r="EJ607" s="1082"/>
      <c r="EK607" s="1082"/>
      <c r="EL607" s="1082"/>
      <c r="EM607" s="1082"/>
      <c r="EN607" s="1082"/>
      <c r="EO607" s="1085"/>
      <c r="EP607" s="1082"/>
      <c r="EQ607" s="1082"/>
      <c r="ER607" s="1082"/>
      <c r="ES607" s="1082"/>
      <c r="ET607" s="1082"/>
      <c r="EU607" s="1082"/>
      <c r="EV607" s="1082"/>
      <c r="IX607" s="1049"/>
      <c r="IY607" s="1049"/>
      <c r="IZ607" s="1049"/>
      <c r="JA607" s="1049"/>
      <c r="JB607" s="1049"/>
      <c r="JC607" s="1049"/>
      <c r="JD607" s="1521"/>
      <c r="JE607" s="1126"/>
      <c r="JF607" s="1126"/>
      <c r="JG607" s="1126"/>
      <c r="JH607" s="1126"/>
      <c r="JI607" s="1024"/>
      <c r="JJ607" s="1035"/>
      <c r="JK607" s="1035"/>
      <c r="JL607" s="1035"/>
      <c r="JM607" s="1035"/>
      <c r="JN607" s="1035"/>
      <c r="JO607" s="1035"/>
      <c r="JP607" s="1035"/>
      <c r="JQ607" s="1035"/>
      <c r="JR607" s="1035"/>
      <c r="JS607" s="1035"/>
      <c r="JT607" s="1035"/>
      <c r="JU607" s="1035"/>
      <c r="JV607" s="1035"/>
      <c r="JW607" s="1035"/>
      <c r="JX607" s="1035"/>
      <c r="JY607" s="1035"/>
      <c r="KP607" s="1180"/>
    </row>
    <row r="608" spans="1:302">
      <c r="B608" s="1302"/>
      <c r="C608" s="1302"/>
      <c r="D608" s="1302"/>
      <c r="E608" s="1302"/>
      <c r="F608" s="1302"/>
      <c r="G608" s="1302"/>
      <c r="H608" s="1302"/>
      <c r="I608" s="1302"/>
      <c r="J608" s="1302"/>
      <c r="K608" s="1302"/>
      <c r="L608" s="1302"/>
      <c r="M608" s="1302"/>
      <c r="N608" s="1302"/>
      <c r="O608" s="1302"/>
      <c r="P608" s="1302"/>
      <c r="Q608" s="1302"/>
      <c r="R608" s="1302"/>
      <c r="S608" s="1302"/>
      <c r="T608" s="1302"/>
      <c r="U608" s="1302"/>
      <c r="V608" s="1302"/>
      <c r="W608" s="1302"/>
      <c r="X608" s="1302"/>
      <c r="Y608" s="1302"/>
      <c r="Z608" s="1302"/>
      <c r="AA608" s="1302"/>
      <c r="AB608" s="1302"/>
      <c r="AC608" s="1302"/>
      <c r="AD608" s="1302"/>
      <c r="AE608" s="1302"/>
      <c r="AF608" s="1302"/>
      <c r="AG608" s="1302"/>
      <c r="AH608" s="1302"/>
      <c r="AI608" s="1302"/>
      <c r="AJ608" s="1302"/>
      <c r="AK608" s="1302"/>
      <c r="AL608" s="1302"/>
      <c r="AM608" s="1302"/>
      <c r="AN608" s="1302"/>
      <c r="AO608" s="1302"/>
      <c r="AP608" s="1302"/>
      <c r="AQ608" s="1302"/>
      <c r="AR608" s="1302"/>
      <c r="AS608" s="1302"/>
      <c r="AT608" s="1302"/>
      <c r="AU608" s="1302"/>
      <c r="AV608" s="1302"/>
      <c r="AW608" s="1302"/>
      <c r="AX608" s="1303"/>
      <c r="AY608" s="1302"/>
      <c r="AZ608" s="1302"/>
      <c r="BA608" s="1302"/>
      <c r="BB608" s="1302"/>
      <c r="BC608" s="1302"/>
      <c r="BD608" s="1302"/>
      <c r="BE608" s="1304"/>
      <c r="BF608" s="1302"/>
      <c r="BG608" s="1302"/>
      <c r="BH608" s="1302"/>
      <c r="BI608" s="1302"/>
      <c r="BJ608" s="1302"/>
      <c r="BK608" s="1302"/>
      <c r="BL608" s="1302"/>
      <c r="BM608" s="1302"/>
      <c r="BN608" s="1303"/>
      <c r="BO608" s="1302"/>
      <c r="BP608" s="1302"/>
      <c r="BQ608" s="1302"/>
      <c r="BR608" s="1302"/>
      <c r="BS608" s="1302"/>
      <c r="BT608" s="1302"/>
      <c r="BU608" s="1304"/>
      <c r="BV608" s="1303"/>
      <c r="BW608" s="1302"/>
      <c r="BX608" s="1302"/>
      <c r="BY608" s="1302"/>
      <c r="BZ608" s="1302"/>
      <c r="CA608" s="1302"/>
      <c r="CB608" s="1302"/>
      <c r="CC608" s="1304"/>
      <c r="CD608" s="1303"/>
      <c r="CE608" s="1302"/>
      <c r="CF608" s="1302"/>
      <c r="CG608" s="1302"/>
      <c r="CH608" s="1302"/>
      <c r="CI608" s="1302"/>
      <c r="CJ608" s="1302"/>
      <c r="CK608" s="1304"/>
      <c r="CL608" s="1303"/>
      <c r="CM608" s="1302"/>
      <c r="CN608" s="1302"/>
      <c r="CO608" s="1302"/>
      <c r="CP608" s="1302"/>
      <c r="CQ608" s="1302"/>
      <c r="CR608" s="1302"/>
      <c r="CS608" s="1304"/>
      <c r="CT608" s="1303"/>
      <c r="CU608" s="1302"/>
      <c r="CV608" s="1302"/>
      <c r="CW608" s="1302"/>
      <c r="CX608" s="1302"/>
      <c r="CY608" s="1302"/>
      <c r="CZ608" s="1302"/>
      <c r="DA608" s="1304"/>
      <c r="DB608" s="1109"/>
      <c r="DC608" s="1082"/>
      <c r="DD608" s="1082"/>
      <c r="DE608" s="1082"/>
      <c r="DF608" s="1082"/>
      <c r="DG608" s="1082"/>
      <c r="DH608" s="1082"/>
      <c r="DI608" s="1085"/>
      <c r="DJ608" s="1082"/>
      <c r="DK608" s="1082"/>
      <c r="DL608" s="1082"/>
      <c r="DM608" s="1082"/>
      <c r="DN608" s="1082"/>
      <c r="DO608" s="1082"/>
      <c r="DP608" s="1082"/>
      <c r="DQ608" s="1085"/>
      <c r="DR608" s="1082"/>
      <c r="DS608" s="1082"/>
      <c r="DT608" s="1082"/>
      <c r="DU608" s="1082"/>
      <c r="DV608" s="1082"/>
      <c r="DW608" s="1082"/>
      <c r="DX608" s="1082"/>
      <c r="DY608" s="1085"/>
      <c r="DZ608" s="1082"/>
      <c r="EA608" s="1082"/>
      <c r="EB608" s="1082"/>
      <c r="EC608" s="1082"/>
      <c r="ED608" s="1082"/>
      <c r="EE608" s="1082"/>
      <c r="EF608" s="1082"/>
      <c r="EG608" s="1085"/>
      <c r="EH608" s="1082"/>
      <c r="EI608" s="1082"/>
      <c r="EJ608" s="1082"/>
      <c r="EK608" s="1082"/>
      <c r="EL608" s="1082"/>
      <c r="EM608" s="1082"/>
      <c r="EN608" s="1082"/>
      <c r="EO608" s="1085"/>
      <c r="EP608" s="1082"/>
      <c r="EQ608" s="1082"/>
      <c r="ER608" s="1082"/>
      <c r="ES608" s="1082"/>
      <c r="ET608" s="1082"/>
      <c r="EU608" s="1082"/>
      <c r="EV608" s="1082"/>
      <c r="IX608" s="1049"/>
      <c r="IY608" s="1049"/>
      <c r="IZ608" s="1049"/>
      <c r="JA608" s="1049"/>
      <c r="JB608" s="1049"/>
      <c r="JC608" s="1049"/>
      <c r="JD608" s="1521"/>
      <c r="JE608" s="1126"/>
      <c r="JF608" s="1126"/>
      <c r="JG608" s="1126"/>
      <c r="JH608" s="1126"/>
      <c r="JI608" s="1024"/>
      <c r="JJ608" s="1035"/>
      <c r="JK608" s="1035"/>
      <c r="JL608" s="1035"/>
      <c r="JM608" s="1035"/>
      <c r="JN608" s="1035"/>
      <c r="JO608" s="1035"/>
      <c r="JP608" s="1035"/>
      <c r="JQ608" s="1035"/>
      <c r="JR608" s="1035"/>
      <c r="JS608" s="1035"/>
      <c r="JT608" s="1035"/>
      <c r="JU608" s="1035"/>
      <c r="JV608" s="1035"/>
      <c r="JW608" s="1035"/>
      <c r="JX608" s="1035"/>
      <c r="JY608" s="1035"/>
      <c r="KP608" s="1180"/>
    </row>
    <row r="609" spans="1:285">
      <c r="A609" s="969" t="s">
        <v>637</v>
      </c>
      <c r="AX609" s="1059"/>
      <c r="BE609" s="1060"/>
      <c r="BN609" s="1059"/>
      <c r="BU609" s="1060"/>
      <c r="BV609" s="1059"/>
      <c r="CC609" s="1060"/>
      <c r="CD609" s="1059"/>
      <c r="CK609" s="1060"/>
      <c r="CL609" s="1059"/>
      <c r="CM609" s="1403"/>
      <c r="CN609" s="1403"/>
      <c r="CS609" s="1060"/>
      <c r="CT609" s="1059"/>
      <c r="DA609" s="1060"/>
      <c r="DB609" s="1063"/>
      <c r="IX609" s="1049"/>
      <c r="IY609" s="1049"/>
      <c r="IZ609" s="1049"/>
      <c r="JA609" s="1049"/>
      <c r="JB609" s="1049"/>
      <c r="JC609" s="1049"/>
      <c r="JD609" s="1125"/>
      <c r="JE609" s="1126"/>
      <c r="JF609" s="1126"/>
      <c r="JG609" s="1126"/>
      <c r="JH609" s="1126"/>
      <c r="JI609" s="1024"/>
      <c r="JJ609" s="1035"/>
      <c r="JK609" s="1035"/>
      <c r="JL609" s="1035"/>
      <c r="JM609" s="1035"/>
      <c r="JN609" s="1035"/>
      <c r="JO609" s="1035"/>
      <c r="JP609" s="1035"/>
      <c r="JQ609" s="1035"/>
      <c r="JR609" s="1035"/>
      <c r="JS609" s="1035"/>
      <c r="JT609" s="1035"/>
      <c r="JU609" s="1035"/>
      <c r="JV609" s="1035"/>
      <c r="JW609" s="1035"/>
      <c r="JX609" s="1035"/>
      <c r="JY609" s="1035"/>
    </row>
    <row r="610" spans="1:285">
      <c r="AX610" s="1059"/>
      <c r="BE610" s="1060"/>
      <c r="BN610" s="1059"/>
      <c r="BU610" s="1060"/>
      <c r="BV610" s="1059"/>
      <c r="CC610" s="1060"/>
      <c r="CD610" s="1059"/>
      <c r="CK610" s="1060"/>
      <c r="CL610" s="1059"/>
      <c r="CM610" s="1403"/>
      <c r="CN610" s="1403"/>
      <c r="CS610" s="1060"/>
      <c r="CT610" s="1059"/>
      <c r="DA610" s="1060"/>
      <c r="DB610" s="1063"/>
      <c r="IX610" s="1049"/>
      <c r="IY610" s="1049"/>
      <c r="IZ610" s="1049"/>
      <c r="JA610" s="1049"/>
      <c r="JB610" s="1049"/>
      <c r="JC610" s="1049"/>
      <c r="JD610" s="1125"/>
      <c r="JE610" s="1126"/>
      <c r="JF610" s="1126"/>
      <c r="JG610" s="1126"/>
      <c r="JH610" s="1126"/>
      <c r="JI610" s="1024"/>
      <c r="JJ610" s="1035"/>
      <c r="JK610" s="1035"/>
      <c r="JL610" s="1035"/>
      <c r="JM610" s="1035"/>
      <c r="JN610" s="1035"/>
      <c r="JO610" s="1035"/>
      <c r="JP610" s="1035"/>
      <c r="JQ610" s="1035"/>
      <c r="JR610" s="1035"/>
      <c r="JS610" s="1035"/>
      <c r="JT610" s="1035"/>
      <c r="JU610" s="1035"/>
      <c r="JV610" s="1035"/>
      <c r="JW610" s="1035"/>
      <c r="JX610" s="1035"/>
      <c r="JY610" s="1035"/>
    </row>
    <row r="611" spans="1:285">
      <c r="A611" s="1051" t="s">
        <v>638</v>
      </c>
      <c r="B611" s="1482" t="s">
        <v>259</v>
      </c>
      <c r="C611" s="1482" t="s">
        <v>260</v>
      </c>
      <c r="D611" s="1482" t="s">
        <v>261</v>
      </c>
      <c r="E611" s="1482" t="s">
        <v>262</v>
      </c>
      <c r="F611" s="1482" t="s">
        <v>263</v>
      </c>
      <c r="G611" s="1482" t="s">
        <v>264</v>
      </c>
      <c r="H611" s="1482" t="s">
        <v>327</v>
      </c>
      <c r="I611" s="1482" t="s">
        <v>14</v>
      </c>
      <c r="J611" s="1482" t="s">
        <v>266</v>
      </c>
      <c r="K611" s="1482" t="s">
        <v>267</v>
      </c>
      <c r="L611" s="1482" t="s">
        <v>268</v>
      </c>
      <c r="M611" s="1482" t="s">
        <v>269</v>
      </c>
      <c r="N611" s="1482" t="s">
        <v>270</v>
      </c>
      <c r="O611" s="1482" t="s">
        <v>271</v>
      </c>
      <c r="P611" s="1482" t="s">
        <v>327</v>
      </c>
      <c r="Q611" s="1482" t="s">
        <v>15</v>
      </c>
      <c r="R611" s="1482" t="s">
        <v>273</v>
      </c>
      <c r="S611" s="1482" t="s">
        <v>274</v>
      </c>
      <c r="T611" s="1482" t="s">
        <v>275</v>
      </c>
      <c r="U611" s="1482" t="s">
        <v>276</v>
      </c>
      <c r="V611" s="1482" t="s">
        <v>277</v>
      </c>
      <c r="W611" s="1482" t="s">
        <v>278</v>
      </c>
      <c r="X611" s="1482" t="s">
        <v>327</v>
      </c>
      <c r="Y611" s="1482" t="s">
        <v>16</v>
      </c>
      <c r="Z611" s="1482" t="s">
        <v>280</v>
      </c>
      <c r="AA611" s="1482" t="s">
        <v>281</v>
      </c>
      <c r="AB611" s="1482" t="s">
        <v>282</v>
      </c>
      <c r="AC611" s="1482" t="s">
        <v>283</v>
      </c>
      <c r="AD611" s="1482" t="s">
        <v>277</v>
      </c>
      <c r="AE611" s="1482" t="s">
        <v>284</v>
      </c>
      <c r="AF611" s="1482" t="s">
        <v>327</v>
      </c>
      <c r="AG611" s="1482" t="s">
        <v>17</v>
      </c>
      <c r="AH611" s="1482" t="s">
        <v>286</v>
      </c>
      <c r="AI611" s="1482" t="s">
        <v>287</v>
      </c>
      <c r="AJ611" s="1482" t="s">
        <v>288</v>
      </c>
      <c r="AK611" s="1482" t="s">
        <v>289</v>
      </c>
      <c r="AL611" s="1482" t="s">
        <v>290</v>
      </c>
      <c r="AM611" s="1482" t="s">
        <v>291</v>
      </c>
      <c r="AN611" s="1482" t="s">
        <v>327</v>
      </c>
      <c r="AO611" s="1482" t="s">
        <v>18</v>
      </c>
      <c r="AP611" s="1482" t="s">
        <v>293</v>
      </c>
      <c r="AQ611" s="1482" t="s">
        <v>294</v>
      </c>
      <c r="AR611" s="1482" t="s">
        <v>295</v>
      </c>
      <c r="AS611" s="1482" t="s">
        <v>296</v>
      </c>
      <c r="AT611" s="1482" t="s">
        <v>297</v>
      </c>
      <c r="AU611" s="1482" t="s">
        <v>298</v>
      </c>
      <c r="AV611" s="1482" t="s">
        <v>327</v>
      </c>
      <c r="AW611" s="1482" t="s">
        <v>19</v>
      </c>
      <c r="AX611" s="1483" t="s">
        <v>300</v>
      </c>
      <c r="AY611" s="1482" t="s">
        <v>301</v>
      </c>
      <c r="AZ611" s="1482" t="s">
        <v>302</v>
      </c>
      <c r="BA611" s="1482" t="s">
        <v>303</v>
      </c>
      <c r="BB611" s="1482" t="s">
        <v>304</v>
      </c>
      <c r="BC611" s="1482" t="s">
        <v>305</v>
      </c>
      <c r="BD611" s="1482" t="s">
        <v>327</v>
      </c>
      <c r="BE611" s="1484" t="s">
        <v>20</v>
      </c>
      <c r="BF611" s="1482" t="s">
        <v>307</v>
      </c>
      <c r="BG611" s="1482" t="s">
        <v>308</v>
      </c>
      <c r="BH611" s="1482" t="s">
        <v>309</v>
      </c>
      <c r="BI611" s="1482" t="s">
        <v>310</v>
      </c>
      <c r="BJ611" s="1482" t="s">
        <v>311</v>
      </c>
      <c r="BK611" s="1482" t="s">
        <v>312</v>
      </c>
      <c r="BL611" s="1482" t="s">
        <v>327</v>
      </c>
      <c r="BM611" s="1482" t="s">
        <v>21</v>
      </c>
      <c r="BN611" s="1483" t="s">
        <v>314</v>
      </c>
      <c r="BO611" s="1482" t="s">
        <v>315</v>
      </c>
      <c r="BP611" s="1482" t="s">
        <v>316</v>
      </c>
      <c r="BQ611" s="1482" t="s">
        <v>317</v>
      </c>
      <c r="BR611" s="1482" t="s">
        <v>318</v>
      </c>
      <c r="BS611" s="1482" t="s">
        <v>319</v>
      </c>
      <c r="BT611" s="1482" t="s">
        <v>327</v>
      </c>
      <c r="BU611" s="1484" t="s">
        <v>22</v>
      </c>
      <c r="BV611" s="1483" t="s">
        <v>321</v>
      </c>
      <c r="BW611" s="1482" t="s">
        <v>322</v>
      </c>
      <c r="BX611" s="1482" t="s">
        <v>323</v>
      </c>
      <c r="BY611" s="1482" t="s">
        <v>324</v>
      </c>
      <c r="BZ611" s="1482" t="s">
        <v>325</v>
      </c>
      <c r="CA611" s="1482" t="s">
        <v>326</v>
      </c>
      <c r="CB611" s="1482" t="s">
        <v>327</v>
      </c>
      <c r="CC611" s="1484" t="s">
        <v>23</v>
      </c>
      <c r="CD611" s="1483" t="s">
        <v>328</v>
      </c>
      <c r="CE611" s="1482" t="s">
        <v>329</v>
      </c>
      <c r="CF611" s="1482" t="s">
        <v>330</v>
      </c>
      <c r="CG611" s="1482" t="s">
        <v>331</v>
      </c>
      <c r="CH611" s="1482" t="s">
        <v>332</v>
      </c>
      <c r="CI611" s="1482" t="s">
        <v>333</v>
      </c>
      <c r="CJ611" s="1482" t="s">
        <v>334</v>
      </c>
      <c r="CK611" s="1484" t="s">
        <v>24</v>
      </c>
      <c r="CL611" s="1483" t="s">
        <v>335</v>
      </c>
      <c r="CM611" s="1482" t="s">
        <v>336</v>
      </c>
      <c r="CN611" s="1482" t="s">
        <v>337</v>
      </c>
      <c r="CO611" s="1482" t="s">
        <v>338</v>
      </c>
      <c r="CP611" s="1482" t="str">
        <f t="shared" ref="CP611:DU611" si="4339">CP2</f>
        <v>9M 06</v>
      </c>
      <c r="CQ611" s="1482" t="str">
        <f t="shared" si="4339"/>
        <v>Q4 06</v>
      </c>
      <c r="CR611" s="1482" t="str">
        <f t="shared" si="4339"/>
        <v>H2 06</v>
      </c>
      <c r="CS611" s="1484" t="str">
        <f t="shared" si="4339"/>
        <v>FY 06</v>
      </c>
      <c r="CT611" s="1483" t="str">
        <f t="shared" si="4339"/>
        <v>Q1 07</v>
      </c>
      <c r="CU611" s="1482" t="str">
        <f t="shared" si="4339"/>
        <v>Q2 07</v>
      </c>
      <c r="CV611" s="1482" t="str">
        <f t="shared" si="4339"/>
        <v>H1 07</v>
      </c>
      <c r="CW611" s="1482" t="str">
        <f t="shared" si="4339"/>
        <v>Q3 07</v>
      </c>
      <c r="CX611" s="1482" t="str">
        <f t="shared" si="4339"/>
        <v>9M 07</v>
      </c>
      <c r="CY611" s="1482" t="str">
        <f t="shared" si="4339"/>
        <v>Q4 07</v>
      </c>
      <c r="CZ611" s="1482" t="str">
        <f t="shared" si="4339"/>
        <v>H2 07</v>
      </c>
      <c r="DA611" s="1484" t="str">
        <f t="shared" si="4339"/>
        <v>FY 07</v>
      </c>
      <c r="DB611" s="1485" t="str">
        <f t="shared" si="4339"/>
        <v>Q1 08</v>
      </c>
      <c r="DC611" s="1486" t="str">
        <f t="shared" si="4339"/>
        <v>Q2 08</v>
      </c>
      <c r="DD611" s="1486" t="str">
        <f t="shared" si="4339"/>
        <v>H1 08</v>
      </c>
      <c r="DE611" s="1486" t="str">
        <f t="shared" si="4339"/>
        <v>Q3 08</v>
      </c>
      <c r="DF611" s="1486" t="str">
        <f t="shared" si="4339"/>
        <v>9M 08</v>
      </c>
      <c r="DG611" s="1486" t="str">
        <f t="shared" si="4339"/>
        <v>Q4 08</v>
      </c>
      <c r="DH611" s="1486" t="str">
        <f t="shared" si="4339"/>
        <v>H2 08</v>
      </c>
      <c r="DI611" s="1487" t="str">
        <f t="shared" si="4339"/>
        <v>FY 08</v>
      </c>
      <c r="DJ611" s="1486" t="str">
        <f t="shared" si="4339"/>
        <v>Q1 09</v>
      </c>
      <c r="DK611" s="1486" t="str">
        <f t="shared" si="4339"/>
        <v>Q2 09</v>
      </c>
      <c r="DL611" s="1486" t="str">
        <f t="shared" si="4339"/>
        <v>H1 09</v>
      </c>
      <c r="DM611" s="1486" t="str">
        <f t="shared" si="4339"/>
        <v>Q3 09</v>
      </c>
      <c r="DN611" s="1486" t="str">
        <f t="shared" si="4339"/>
        <v>9M 09</v>
      </c>
      <c r="DO611" s="1486" t="str">
        <f t="shared" si="4339"/>
        <v>Q4 09</v>
      </c>
      <c r="DP611" s="1486" t="str">
        <f t="shared" si="4339"/>
        <v>H2 09</v>
      </c>
      <c r="DQ611" s="1487" t="str">
        <f t="shared" si="4339"/>
        <v>FY 09</v>
      </c>
      <c r="DR611" s="1486" t="str">
        <f t="shared" si="4339"/>
        <v>Q1 10</v>
      </c>
      <c r="DS611" s="1486" t="str">
        <f t="shared" si="4339"/>
        <v>Q2 10</v>
      </c>
      <c r="DT611" s="1486" t="str">
        <f t="shared" si="4339"/>
        <v>H1 10</v>
      </c>
      <c r="DU611" s="1486" t="str">
        <f t="shared" si="4339"/>
        <v>Q3 10</v>
      </c>
      <c r="DV611" s="1486" t="str">
        <f t="shared" ref="DV611:EO611" si="4340">DV2</f>
        <v>9M 10</v>
      </c>
      <c r="DW611" s="1486" t="str">
        <f t="shared" si="4340"/>
        <v>Q4 10</v>
      </c>
      <c r="DX611" s="1486" t="str">
        <f t="shared" si="4340"/>
        <v>H2 10</v>
      </c>
      <c r="DY611" s="1487" t="str">
        <f t="shared" si="4340"/>
        <v>FY 10</v>
      </c>
      <c r="DZ611" s="1486" t="str">
        <f t="shared" si="4340"/>
        <v>Q1 11</v>
      </c>
      <c r="EA611" s="1486" t="str">
        <f t="shared" si="4340"/>
        <v>Q2 11</v>
      </c>
      <c r="EB611" s="1486" t="str">
        <f t="shared" si="4340"/>
        <v>H1 11</v>
      </c>
      <c r="EC611" s="1486" t="str">
        <f t="shared" si="4340"/>
        <v>Q3 11</v>
      </c>
      <c r="ED611" s="1486" t="str">
        <f t="shared" si="4340"/>
        <v>9M 11</v>
      </c>
      <c r="EE611" s="1486" t="str">
        <f t="shared" si="4340"/>
        <v>Q4 11</v>
      </c>
      <c r="EF611" s="1486" t="str">
        <f t="shared" si="4340"/>
        <v>H2 11</v>
      </c>
      <c r="EG611" s="1487" t="str">
        <f t="shared" si="4340"/>
        <v>FY 11</v>
      </c>
      <c r="EH611" s="1486" t="str">
        <f t="shared" si="4340"/>
        <v>Q1 12</v>
      </c>
      <c r="EI611" s="1486" t="str">
        <f t="shared" si="4340"/>
        <v>Q2 12</v>
      </c>
      <c r="EJ611" s="1486" t="str">
        <f t="shared" si="4340"/>
        <v>H1 12</v>
      </c>
      <c r="EK611" s="1486" t="str">
        <f t="shared" si="4340"/>
        <v>Q3 12</v>
      </c>
      <c r="EL611" s="1486" t="str">
        <f t="shared" si="4340"/>
        <v>9M 12</v>
      </c>
      <c r="EM611" s="1486" t="str">
        <f t="shared" si="4340"/>
        <v>Q4 12</v>
      </c>
      <c r="EN611" s="1486" t="str">
        <f t="shared" si="4340"/>
        <v>H2 12</v>
      </c>
      <c r="EO611" s="1487" t="str">
        <f t="shared" si="4340"/>
        <v>FY 12</v>
      </c>
      <c r="EP611" s="1486"/>
      <c r="EQ611" s="1486"/>
      <c r="ER611" s="1486"/>
      <c r="ES611" s="1486"/>
      <c r="ET611" s="1486"/>
      <c r="EU611" s="1486"/>
      <c r="EV611" s="1486"/>
      <c r="IX611" s="1049"/>
      <c r="IY611" s="1049"/>
      <c r="IZ611" s="1049"/>
      <c r="JA611" s="1049"/>
      <c r="JB611" s="1049"/>
      <c r="JC611" s="1049"/>
      <c r="JD611" s="1522"/>
      <c r="JE611" s="1126"/>
      <c r="JF611" s="1126"/>
      <c r="JG611" s="1126"/>
      <c r="JH611" s="1126"/>
      <c r="JI611" s="1024"/>
      <c r="JJ611" s="1035"/>
      <c r="JK611" s="1035"/>
      <c r="JL611" s="1035"/>
      <c r="JM611" s="1035"/>
      <c r="JN611" s="1035"/>
      <c r="JO611" s="1035"/>
      <c r="JP611" s="1035"/>
      <c r="JQ611" s="1035"/>
      <c r="JR611" s="1035"/>
      <c r="JS611" s="1035"/>
      <c r="JT611" s="1035"/>
      <c r="JU611" s="1035"/>
      <c r="JV611" s="1035"/>
      <c r="JW611" s="1035"/>
      <c r="JX611" s="1035"/>
      <c r="JY611" s="1035"/>
    </row>
    <row r="612" spans="1:285">
      <c r="A612" s="1306" t="s">
        <v>209</v>
      </c>
      <c r="B612" s="1307"/>
      <c r="C612" s="1307"/>
      <c r="D612" s="1307"/>
      <c r="E612" s="1307"/>
      <c r="F612" s="1307"/>
      <c r="G612" s="1307"/>
      <c r="H612" s="1307"/>
      <c r="I612" s="1307"/>
      <c r="J612" s="1307"/>
      <c r="K612" s="1307"/>
      <c r="L612" s="1307"/>
      <c r="M612" s="1307"/>
      <c r="N612" s="1307"/>
      <c r="O612" s="1307"/>
      <c r="P612" s="1307"/>
      <c r="Q612" s="1307"/>
      <c r="R612" s="1307"/>
      <c r="S612" s="1307"/>
      <c r="T612" s="1307"/>
      <c r="U612" s="1307"/>
      <c r="V612" s="1307"/>
      <c r="W612" s="1307"/>
      <c r="X612" s="1307"/>
      <c r="Y612" s="1307"/>
      <c r="Z612" s="1307"/>
      <c r="AA612" s="1307"/>
      <c r="AB612" s="1307"/>
      <c r="AC612" s="1307"/>
      <c r="AD612" s="1307"/>
      <c r="AE612" s="1307"/>
      <c r="AF612" s="1307"/>
      <c r="AG612" s="1307"/>
      <c r="AH612" s="1307"/>
      <c r="AI612" s="1307"/>
      <c r="AJ612" s="1307"/>
      <c r="AK612" s="1307"/>
      <c r="AL612" s="1307"/>
      <c r="AM612" s="1307"/>
      <c r="AN612" s="1307"/>
      <c r="AO612" s="1307"/>
      <c r="AP612" s="1307"/>
      <c r="AQ612" s="1307"/>
      <c r="AR612" s="1307"/>
      <c r="AS612" s="1307"/>
      <c r="AT612" s="1307"/>
      <c r="AU612" s="1307"/>
      <c r="AV612" s="1307"/>
      <c r="AW612" s="1307"/>
      <c r="AX612" s="1308"/>
      <c r="AY612" s="1307"/>
      <c r="AZ612" s="1307"/>
      <c r="BA612" s="1307"/>
      <c r="BB612" s="1307"/>
      <c r="BC612" s="1307"/>
      <c r="BD612" s="1307"/>
      <c r="BE612" s="1309"/>
      <c r="BF612" s="1307"/>
      <c r="BG612" s="1307"/>
      <c r="BH612" s="1307"/>
      <c r="BI612" s="1307"/>
      <c r="BJ612" s="1307"/>
      <c r="BK612" s="1307"/>
      <c r="BL612" s="1307"/>
      <c r="BM612" s="1307"/>
      <c r="BN612" s="1308"/>
      <c r="BO612" s="1307"/>
      <c r="BP612" s="1307"/>
      <c r="BQ612" s="1307"/>
      <c r="BR612" s="1307"/>
      <c r="BS612" s="1307"/>
      <c r="BT612" s="1307"/>
      <c r="BU612" s="1309"/>
      <c r="BV612" s="1308">
        <v>845</v>
      </c>
      <c r="BW612" s="1307">
        <f>BX612-BV612</f>
        <v>665</v>
      </c>
      <c r="BX612" s="1307">
        <v>1510</v>
      </c>
      <c r="BY612" s="1307">
        <f>BZ612-BX612</f>
        <v>935</v>
      </c>
      <c r="BZ612" s="1307">
        <v>2445</v>
      </c>
      <c r="CA612" s="1307">
        <v>502</v>
      </c>
      <c r="CB612" s="1307">
        <f>BY612+CA612</f>
        <v>1437</v>
      </c>
      <c r="CC612" s="1309">
        <f>BZ612+CA612</f>
        <v>2947</v>
      </c>
      <c r="CD612" s="1308">
        <v>848</v>
      </c>
      <c r="CE612" s="1307">
        <f>CF612-CD612</f>
        <v>658</v>
      </c>
      <c r="CF612" s="1307">
        <v>1506</v>
      </c>
      <c r="CG612" s="1307">
        <f>CH612-CF612</f>
        <v>932</v>
      </c>
      <c r="CH612" s="1307">
        <v>2438</v>
      </c>
      <c r="CI612" s="1307">
        <v>604</v>
      </c>
      <c r="CJ612" s="1307">
        <f>CG612+CI612</f>
        <v>1536</v>
      </c>
      <c r="CK612" s="1309">
        <f>CH612+CI612</f>
        <v>3042</v>
      </c>
      <c r="CL612" s="1308">
        <v>905</v>
      </c>
      <c r="CM612" s="1307">
        <f>CN612-CL612</f>
        <v>744</v>
      </c>
      <c r="CN612" s="1307">
        <v>1649</v>
      </c>
      <c r="CO612" s="1307">
        <f>CP612-CN612</f>
        <v>1066</v>
      </c>
      <c r="CP612" s="1307">
        <v>2715</v>
      </c>
      <c r="CQ612" s="1307">
        <f>CS612-CP612</f>
        <v>587</v>
      </c>
      <c r="CR612" s="1307">
        <f>CS612-CQ612-CO612</f>
        <v>1649</v>
      </c>
      <c r="CS612" s="1309">
        <v>3302</v>
      </c>
      <c r="CT612" s="1308">
        <v>936</v>
      </c>
      <c r="CU612" s="1307">
        <f>+CV612-CT612</f>
        <v>786</v>
      </c>
      <c r="CV612" s="1307">
        <v>1722</v>
      </c>
      <c r="CW612" s="1307">
        <f>CX612-CV612</f>
        <v>1073</v>
      </c>
      <c r="CX612" s="1307">
        <v>2795</v>
      </c>
      <c r="CY612" s="1307">
        <f>DA612-CX612</f>
        <v>731</v>
      </c>
      <c r="CZ612" s="1307">
        <f>CY612+CW612</f>
        <v>1804</v>
      </c>
      <c r="DA612" s="1309">
        <v>3526</v>
      </c>
      <c r="DB612" s="1332">
        <v>1050</v>
      </c>
      <c r="DC612" s="1311">
        <f>DD612-DB612</f>
        <v>926</v>
      </c>
      <c r="DD612" s="1311">
        <v>1976</v>
      </c>
      <c r="DE612" s="1311">
        <f>DF612-DD612</f>
        <v>1183</v>
      </c>
      <c r="DF612" s="1311">
        <v>3159</v>
      </c>
      <c r="DG612" s="1311">
        <f>DI612-DF612</f>
        <v>720</v>
      </c>
      <c r="DH612" s="1311">
        <f>DI612-DD612</f>
        <v>1903</v>
      </c>
      <c r="DI612" s="1312">
        <v>3879</v>
      </c>
      <c r="DJ612" s="1311">
        <f>DB612*(1+DJ613)</f>
        <v>986</v>
      </c>
      <c r="DK612" s="1311">
        <f>DC612*(1+DK613)</f>
        <v>803</v>
      </c>
      <c r="DL612" s="1311">
        <f>DK612+DJ612</f>
        <v>1789</v>
      </c>
      <c r="DM612" s="1311">
        <f>DN612-DL612</f>
        <v>1085</v>
      </c>
      <c r="DN612" s="1311">
        <v>2874</v>
      </c>
      <c r="DO612" s="1311">
        <v>0</v>
      </c>
      <c r="DP612" s="1311">
        <f>DO612+DM612</f>
        <v>1085</v>
      </c>
      <c r="DQ612" s="1312">
        <f>DP612+DL612</f>
        <v>2874</v>
      </c>
      <c r="DR612" s="1311"/>
      <c r="DS612" s="1311"/>
      <c r="DT612" s="1311"/>
      <c r="DU612" s="1311"/>
      <c r="DV612" s="1311"/>
      <c r="DW612" s="1311"/>
      <c r="DX612" s="1311"/>
      <c r="DY612" s="1312"/>
      <c r="DZ612" s="1311"/>
      <c r="EA612" s="1311"/>
      <c r="EB612" s="1311"/>
      <c r="EC612" s="1311"/>
      <c r="ED612" s="1311"/>
      <c r="EE612" s="1311"/>
      <c r="EF612" s="1311"/>
      <c r="EG612" s="1312"/>
      <c r="EH612" s="1311"/>
      <c r="EI612" s="1311"/>
      <c r="EJ612" s="1311"/>
      <c r="EK612" s="1311"/>
      <c r="EL612" s="1311"/>
      <c r="EM612" s="1311"/>
      <c r="EN612" s="1311"/>
      <c r="EO612" s="1312"/>
      <c r="EP612" s="1311"/>
      <c r="EQ612" s="1311"/>
      <c r="ER612" s="1311"/>
      <c r="ES612" s="1311"/>
      <c r="ET612" s="1311"/>
      <c r="EU612" s="1311"/>
      <c r="EV612" s="1311"/>
      <c r="IX612" s="1049"/>
      <c r="IY612" s="1049"/>
      <c r="IZ612" s="1049"/>
      <c r="JA612" s="1049"/>
      <c r="JB612" s="1049"/>
      <c r="JC612" s="1049"/>
      <c r="JD612" s="1518"/>
      <c r="JE612" s="1126"/>
      <c r="JF612" s="1126"/>
      <c r="JG612" s="1126"/>
      <c r="JH612" s="1126"/>
      <c r="JI612" s="1024"/>
      <c r="JJ612" s="1035"/>
      <c r="JK612" s="1035"/>
      <c r="JL612" s="1035"/>
      <c r="JM612" s="1035"/>
      <c r="JN612" s="1035"/>
      <c r="JO612" s="1035"/>
      <c r="JP612" s="1035"/>
      <c r="JQ612" s="1035"/>
      <c r="JR612" s="1035"/>
      <c r="JS612" s="1035"/>
      <c r="JT612" s="1035"/>
      <c r="JU612" s="1035"/>
      <c r="JV612" s="1035"/>
      <c r="JW612" s="1035"/>
      <c r="JX612" s="1035"/>
      <c r="JY612" s="1035"/>
    </row>
    <row r="613" spans="1:285">
      <c r="A613" s="1339" t="s">
        <v>639</v>
      </c>
      <c r="B613" s="1409"/>
      <c r="C613" s="1409"/>
      <c r="D613" s="1409"/>
      <c r="E613" s="1409"/>
      <c r="F613" s="1409"/>
      <c r="G613" s="1409"/>
      <c r="H613" s="1409"/>
      <c r="I613" s="1409"/>
      <c r="J613" s="1409"/>
      <c r="K613" s="1409"/>
      <c r="L613" s="1409"/>
      <c r="M613" s="1409"/>
      <c r="N613" s="1409"/>
      <c r="O613" s="1409"/>
      <c r="P613" s="1409"/>
      <c r="Q613" s="1409"/>
      <c r="R613" s="1409"/>
      <c r="S613" s="1409"/>
      <c r="T613" s="1409"/>
      <c r="U613" s="1409"/>
      <c r="V613" s="1409"/>
      <c r="W613" s="1409"/>
      <c r="X613" s="1409"/>
      <c r="Y613" s="1409"/>
      <c r="Z613" s="1409"/>
      <c r="AA613" s="1409"/>
      <c r="AB613" s="1409"/>
      <c r="AC613" s="1409"/>
      <c r="AD613" s="1409"/>
      <c r="AE613" s="1409"/>
      <c r="AF613" s="1409"/>
      <c r="AG613" s="1409"/>
      <c r="AH613" s="1409"/>
      <c r="AI613" s="1409"/>
      <c r="AJ613" s="1409"/>
      <c r="AK613" s="1409"/>
      <c r="AL613" s="1409"/>
      <c r="AM613" s="1409"/>
      <c r="AN613" s="1409"/>
      <c r="AO613" s="1409"/>
      <c r="AP613" s="1409"/>
      <c r="AQ613" s="1409"/>
      <c r="AR613" s="1409"/>
      <c r="AS613" s="1409"/>
      <c r="AT613" s="1409"/>
      <c r="AU613" s="1409"/>
      <c r="AV613" s="1409"/>
      <c r="AW613" s="1409"/>
      <c r="AX613" s="1408"/>
      <c r="AY613" s="1409"/>
      <c r="AZ613" s="1409"/>
      <c r="BA613" s="1409"/>
      <c r="BB613" s="1409"/>
      <c r="BC613" s="1409"/>
      <c r="BD613" s="1409"/>
      <c r="BE613" s="1410"/>
      <c r="BF613" s="1409"/>
      <c r="BG613" s="1409"/>
      <c r="BH613" s="1409"/>
      <c r="BI613" s="1409"/>
      <c r="BJ613" s="1409"/>
      <c r="BK613" s="1409"/>
      <c r="BL613" s="1409"/>
      <c r="BM613" s="1409"/>
      <c r="BN613" s="1408"/>
      <c r="BO613" s="1409"/>
      <c r="BP613" s="1409"/>
      <c r="BQ613" s="1409"/>
      <c r="BR613" s="1409"/>
      <c r="BS613" s="1409"/>
      <c r="BT613" s="1409"/>
      <c r="BU613" s="1410"/>
      <c r="BV613" s="1526" t="s">
        <v>173</v>
      </c>
      <c r="BW613" s="1061" t="s">
        <v>173</v>
      </c>
      <c r="BX613" s="1061" t="s">
        <v>173</v>
      </c>
      <c r="BY613" s="1061" t="s">
        <v>173</v>
      </c>
      <c r="BZ613" s="1061" t="s">
        <v>173</v>
      </c>
      <c r="CA613" s="1061" t="s">
        <v>173</v>
      </c>
      <c r="CB613" s="1061" t="s">
        <v>173</v>
      </c>
      <c r="CC613" s="1527" t="s">
        <v>173</v>
      </c>
      <c r="CD613" s="1526">
        <f t="shared" ref="CD613:CN613" si="4341">CD612/BV612-1</f>
        <v>0.00355029585798827</v>
      </c>
      <c r="CE613" s="1061">
        <f t="shared" si="4341"/>
        <v>-0.0105263157894737</v>
      </c>
      <c r="CF613" s="1061">
        <f t="shared" si="4341"/>
        <v>-0.00264900662251655</v>
      </c>
      <c r="CG613" s="1061">
        <f t="shared" si="4341"/>
        <v>-0.00320855614973259</v>
      </c>
      <c r="CH613" s="1061">
        <f t="shared" si="4341"/>
        <v>-0.0028629856850716</v>
      </c>
      <c r="CI613" s="1061">
        <f t="shared" si="4341"/>
        <v>0.203187250996016</v>
      </c>
      <c r="CJ613" s="1061">
        <f t="shared" si="4341"/>
        <v>0.068893528183716</v>
      </c>
      <c r="CK613" s="1527">
        <f t="shared" si="4341"/>
        <v>0.0322361723786901</v>
      </c>
      <c r="CL613" s="1526">
        <f t="shared" si="4341"/>
        <v>0.0672169811320755</v>
      </c>
      <c r="CM613" s="1061">
        <f t="shared" si="4341"/>
        <v>0.130699088145897</v>
      </c>
      <c r="CN613" s="1061">
        <f t="shared" si="4341"/>
        <v>0.094953519256308</v>
      </c>
      <c r="CO613" s="1061">
        <f t="shared" ref="CO613:CV613" si="4342">CO612/CG612-1</f>
        <v>0.143776824034335</v>
      </c>
      <c r="CP613" s="1061">
        <f t="shared" si="4342"/>
        <v>0.113617719442166</v>
      </c>
      <c r="CQ613" s="1061">
        <f t="shared" si="4342"/>
        <v>-0.0281456953642384</v>
      </c>
      <c r="CR613" s="1061">
        <f t="shared" si="4342"/>
        <v>0.0735677083333333</v>
      </c>
      <c r="CS613" s="1527">
        <f t="shared" si="4342"/>
        <v>0.0854700854700854</v>
      </c>
      <c r="CT613" s="1526">
        <f t="shared" si="4342"/>
        <v>0.0342541436464088</v>
      </c>
      <c r="CU613" s="1302">
        <f t="shared" si="4342"/>
        <v>0.0564516129032258</v>
      </c>
      <c r="CV613" s="1302">
        <f t="shared" si="4342"/>
        <v>0.04426925409339</v>
      </c>
      <c r="CW613" s="1302">
        <f t="shared" ref="CW613:DB613" si="4343">CW612/CO612-1</f>
        <v>0.00656660412757981</v>
      </c>
      <c r="CX613" s="1302">
        <f t="shared" si="4343"/>
        <v>0.0294659300184161</v>
      </c>
      <c r="CY613" s="1302">
        <f t="shared" si="4343"/>
        <v>0.245315161839864</v>
      </c>
      <c r="CZ613" s="1302">
        <f t="shared" si="4343"/>
        <v>0.0939963614311705</v>
      </c>
      <c r="DA613" s="1304">
        <f t="shared" si="4343"/>
        <v>0.0678376741368867</v>
      </c>
      <c r="DB613" s="1109">
        <f t="shared" si="4343"/>
        <v>0.121794871794872</v>
      </c>
      <c r="DC613" s="1082">
        <f t="shared" ref="DC613:DI613" si="4344">DC612/CU612-1</f>
        <v>0.178117048346056</v>
      </c>
      <c r="DD613" s="1082">
        <f t="shared" si="4344"/>
        <v>0.147502903600464</v>
      </c>
      <c r="DE613" s="1082">
        <f t="shared" si="4344"/>
        <v>0.102516309412861</v>
      </c>
      <c r="DF613" s="1082">
        <f t="shared" si="4344"/>
        <v>0.130232558139535</v>
      </c>
      <c r="DG613" s="1082">
        <f t="shared" si="4344"/>
        <v>-0.0150478796169631</v>
      </c>
      <c r="DH613" s="1082">
        <f t="shared" si="4344"/>
        <v>0.0548780487804879</v>
      </c>
      <c r="DI613" s="1085">
        <f t="shared" si="4344"/>
        <v>0.100113442994895</v>
      </c>
      <c r="DJ613" s="1082">
        <f>SUM(DJ614:DJ615)</f>
        <v>-0.060952380952381</v>
      </c>
      <c r="DK613" s="1082">
        <f>SUM(DK614:DK615)</f>
        <v>-0.132829373650108</v>
      </c>
      <c r="DL613" s="1082">
        <f t="shared" ref="DL613:DQ613" si="4345">DL612/DD612-1</f>
        <v>-0.0946356275303644</v>
      </c>
      <c r="DM613" s="1082">
        <f t="shared" si="4345"/>
        <v>-0.0828402366863905</v>
      </c>
      <c r="DN613" s="1082">
        <f t="shared" si="4345"/>
        <v>-0.0902184235517569</v>
      </c>
      <c r="DO613" s="1082">
        <f t="shared" si="4345"/>
        <v>-1</v>
      </c>
      <c r="DP613" s="1082">
        <f t="shared" si="4345"/>
        <v>-0.429847609038361</v>
      </c>
      <c r="DQ613" s="1085">
        <f t="shared" si="4345"/>
        <v>-0.259087393658159</v>
      </c>
      <c r="DR613" s="1082"/>
      <c r="DS613" s="1082"/>
      <c r="DT613" s="1082"/>
      <c r="DU613" s="1082"/>
      <c r="DV613" s="1082"/>
      <c r="DW613" s="1082"/>
      <c r="DX613" s="1082"/>
      <c r="DY613" s="1085"/>
      <c r="DZ613" s="1082"/>
      <c r="EA613" s="1082"/>
      <c r="EB613" s="1082"/>
      <c r="EC613" s="1082"/>
      <c r="ED613" s="1082"/>
      <c r="EE613" s="1082"/>
      <c r="EF613" s="1082"/>
      <c r="EG613" s="1085"/>
      <c r="EH613" s="1082"/>
      <c r="EI613" s="1082"/>
      <c r="EJ613" s="1082"/>
      <c r="EK613" s="1082"/>
      <c r="EL613" s="1082"/>
      <c r="EM613" s="1082"/>
      <c r="EN613" s="1082"/>
      <c r="EO613" s="1085"/>
      <c r="EP613" s="1082"/>
      <c r="EQ613" s="1082"/>
      <c r="ER613" s="1082"/>
      <c r="ES613" s="1082"/>
      <c r="ET613" s="1082"/>
      <c r="EU613" s="1082"/>
      <c r="EV613" s="1082"/>
      <c r="IX613" s="1049"/>
      <c r="IY613" s="1049"/>
      <c r="IZ613" s="1049"/>
      <c r="JA613" s="1049"/>
      <c r="JB613" s="1049"/>
      <c r="JC613" s="1049"/>
      <c r="JD613" s="1521"/>
      <c r="JE613" s="1126"/>
      <c r="JF613" s="1126"/>
      <c r="JG613" s="1126"/>
      <c r="JH613" s="1126"/>
      <c r="JI613" s="1024"/>
      <c r="JJ613" s="1035"/>
      <c r="JK613" s="1035"/>
      <c r="JL613" s="1035"/>
      <c r="JM613" s="1035"/>
      <c r="JN613" s="1035"/>
      <c r="JO613" s="1035"/>
      <c r="JP613" s="1035"/>
      <c r="JQ613" s="1035"/>
      <c r="JR613" s="1035"/>
      <c r="JS613" s="1035"/>
      <c r="JT613" s="1035"/>
      <c r="JU613" s="1035"/>
      <c r="JV613" s="1035"/>
      <c r="JW613" s="1035"/>
      <c r="JX613" s="1035"/>
      <c r="JY613" s="1035"/>
    </row>
    <row r="614" spans="1:285">
      <c r="A614" s="1339" t="s">
        <v>640</v>
      </c>
      <c r="B614" s="1409"/>
      <c r="C614" s="1409"/>
      <c r="D614" s="1409"/>
      <c r="E614" s="1409"/>
      <c r="F614" s="1409"/>
      <c r="G614" s="1409"/>
      <c r="H614" s="1409"/>
      <c r="I614" s="1409"/>
      <c r="J614" s="1409"/>
      <c r="K614" s="1409"/>
      <c r="L614" s="1409"/>
      <c r="M614" s="1409"/>
      <c r="N614" s="1409"/>
      <c r="O614" s="1409"/>
      <c r="P614" s="1409"/>
      <c r="Q614" s="1409"/>
      <c r="R614" s="1409"/>
      <c r="S614" s="1409"/>
      <c r="T614" s="1409"/>
      <c r="U614" s="1409"/>
      <c r="V614" s="1409"/>
      <c r="W614" s="1409"/>
      <c r="X614" s="1409"/>
      <c r="Y614" s="1409"/>
      <c r="Z614" s="1409"/>
      <c r="AA614" s="1409"/>
      <c r="AB614" s="1409"/>
      <c r="AC614" s="1409"/>
      <c r="AD614" s="1409"/>
      <c r="AE614" s="1409"/>
      <c r="AF614" s="1409"/>
      <c r="AG614" s="1409"/>
      <c r="AH614" s="1409"/>
      <c r="AI614" s="1409"/>
      <c r="AJ614" s="1409"/>
      <c r="AK614" s="1409"/>
      <c r="AL614" s="1409"/>
      <c r="AM614" s="1409"/>
      <c r="AN614" s="1409"/>
      <c r="AO614" s="1409"/>
      <c r="AP614" s="1409"/>
      <c r="AQ614" s="1409"/>
      <c r="AR614" s="1409"/>
      <c r="AS614" s="1409"/>
      <c r="AT614" s="1409"/>
      <c r="AU614" s="1409"/>
      <c r="AV614" s="1409"/>
      <c r="AW614" s="1409"/>
      <c r="AX614" s="1408"/>
      <c r="AY614" s="1409"/>
      <c r="AZ614" s="1409"/>
      <c r="BA614" s="1409"/>
      <c r="BB614" s="1409"/>
      <c r="BC614" s="1409"/>
      <c r="BD614" s="1409"/>
      <c r="BE614" s="1410"/>
      <c r="BF614" s="1409"/>
      <c r="BG614" s="1409"/>
      <c r="BH614" s="1409"/>
      <c r="BI614" s="1409"/>
      <c r="BJ614" s="1409"/>
      <c r="BK614" s="1409"/>
      <c r="BL614" s="1409"/>
      <c r="BM614" s="1409"/>
      <c r="BN614" s="1408"/>
      <c r="BO614" s="1409"/>
      <c r="BP614" s="1409"/>
      <c r="BQ614" s="1409"/>
      <c r="BR614" s="1409"/>
      <c r="BS614" s="1409"/>
      <c r="BT614" s="1409"/>
      <c r="BU614" s="1410"/>
      <c r="BV614" s="1526" t="s">
        <v>173</v>
      </c>
      <c r="BW614" s="1061" t="s">
        <v>173</v>
      </c>
      <c r="BX614" s="1061" t="s">
        <v>173</v>
      </c>
      <c r="BY614" s="1061" t="s">
        <v>173</v>
      </c>
      <c r="BZ614" s="1061" t="s">
        <v>173</v>
      </c>
      <c r="CA614" s="1061" t="s">
        <v>173</v>
      </c>
      <c r="CB614" s="1061" t="s">
        <v>173</v>
      </c>
      <c r="CC614" s="1527" t="s">
        <v>173</v>
      </c>
      <c r="CD614" s="1526">
        <f>CD613-CD615</f>
        <v>0.00355029585798827</v>
      </c>
      <c r="CE614" s="1061">
        <f t="shared" ref="CE614:CW614" si="4346">CE613-CE615</f>
        <v>-0.0105263157894737</v>
      </c>
      <c r="CF614" s="1061">
        <f t="shared" si="4346"/>
        <v>-0.00264900662251655</v>
      </c>
      <c r="CG614" s="1061">
        <f t="shared" si="4346"/>
        <v>-0.00320855614973259</v>
      </c>
      <c r="CH614" s="1061">
        <f t="shared" si="4346"/>
        <v>-0.0028629856850716</v>
      </c>
      <c r="CI614" s="1061">
        <f t="shared" si="4346"/>
        <v>0.0857768924302789</v>
      </c>
      <c r="CJ614" s="1061">
        <f t="shared" si="4346"/>
        <v>0.0278775226165622</v>
      </c>
      <c r="CK614" s="1527">
        <f t="shared" si="4346"/>
        <v>0.0122361723786901</v>
      </c>
      <c r="CL614" s="1526">
        <f t="shared" si="4346"/>
        <v>0.0172169811320755</v>
      </c>
      <c r="CM614" s="1061">
        <f t="shared" si="4346"/>
        <v>-0.0108510638297872</v>
      </c>
      <c r="CN614" s="1061">
        <f t="shared" si="4346"/>
        <v>0.00495351925630802</v>
      </c>
      <c r="CO614" s="1061">
        <f t="shared" si="4346"/>
        <v>0.00145922746781108</v>
      </c>
      <c r="CP614" s="1061">
        <f t="shared" si="4346"/>
        <v>0.0036177194421657</v>
      </c>
      <c r="CQ614" s="1061">
        <f t="shared" si="4346"/>
        <v>-0.0374172185430464</v>
      </c>
      <c r="CR614" s="1061">
        <f t="shared" si="4346"/>
        <v>-0.0164322916666668</v>
      </c>
      <c r="CS614" s="1527">
        <f t="shared" si="4346"/>
        <v>-0.00452991452991461</v>
      </c>
      <c r="CT614" s="1526">
        <f t="shared" si="4346"/>
        <v>-0.0257458563535912</v>
      </c>
      <c r="CU614" s="1302">
        <f t="shared" si="4346"/>
        <v>-0.00354838709677424</v>
      </c>
      <c r="CV614" s="1302">
        <f t="shared" si="4346"/>
        <v>-0.01573074590661</v>
      </c>
      <c r="CW614" s="1302">
        <f t="shared" si="4346"/>
        <v>-0.00249530956848024</v>
      </c>
      <c r="CX614" s="1302">
        <v>0.05</v>
      </c>
      <c r="CY614" s="1302">
        <f t="shared" ref="CY614:DI614" si="4347">CY613-CY615</f>
        <v>-0.0196933560477002</v>
      </c>
      <c r="CZ614" s="1302">
        <f t="shared" si="4347"/>
        <v>-0.00619769557307449</v>
      </c>
      <c r="DA614" s="1304">
        <f t="shared" si="4347"/>
        <v>-0.0121623258631133</v>
      </c>
      <c r="DB614" s="1109">
        <f t="shared" si="4347"/>
        <v>-0.0282051282051282</v>
      </c>
      <c r="DC614" s="1082">
        <f t="shared" si="4347"/>
        <v>-0.0595165394402036</v>
      </c>
      <c r="DD614" s="1082">
        <f t="shared" si="4347"/>
        <v>-0.0424970963995355</v>
      </c>
      <c r="DE614" s="1082">
        <f t="shared" si="4347"/>
        <v>-0.0353867660764212</v>
      </c>
      <c r="DF614" s="1082">
        <f t="shared" si="4347"/>
        <v>-0.0397674418604651</v>
      </c>
      <c r="DG614" s="1082">
        <f t="shared" si="4347"/>
        <v>0.00789329685362521</v>
      </c>
      <c r="DH614" s="1082">
        <f t="shared" si="4347"/>
        <v>-0.0178492239467849</v>
      </c>
      <c r="DI614" s="1085">
        <f t="shared" si="4347"/>
        <v>-0.0298865570051049</v>
      </c>
      <c r="DJ614" s="1082">
        <v>-0.000952380952380982</v>
      </c>
      <c r="DK614" s="1082">
        <v>-0.00881209503239735</v>
      </c>
      <c r="DL614" s="1082">
        <f t="shared" ref="DL614:DQ614" si="4348">DL613-DL615</f>
        <v>-0.00463562753036437</v>
      </c>
      <c r="DM614" s="1082">
        <f t="shared" si="4348"/>
        <v>-0.0195435333896872</v>
      </c>
      <c r="DN614" s="1082">
        <f t="shared" si="4348"/>
        <v>-0.0102184235517569</v>
      </c>
      <c r="DO614" s="1082">
        <f t="shared" si="4348"/>
        <v>-1</v>
      </c>
      <c r="DP614" s="1082">
        <f t="shared" si="4348"/>
        <v>-0.390499211770888</v>
      </c>
      <c r="DQ614" s="1085">
        <f t="shared" si="4348"/>
        <v>-0.193936581593194</v>
      </c>
      <c r="DR614" s="1488"/>
      <c r="DS614" s="1488"/>
      <c r="DT614" s="1082"/>
      <c r="DU614" s="1488"/>
      <c r="DV614" s="1082"/>
      <c r="DW614" s="1488"/>
      <c r="DX614" s="1082"/>
      <c r="DY614" s="1085"/>
      <c r="DZ614" s="1488"/>
      <c r="EA614" s="1488"/>
      <c r="EB614" s="1082"/>
      <c r="EC614" s="1488"/>
      <c r="ED614" s="1082"/>
      <c r="EE614" s="1488"/>
      <c r="EF614" s="1082"/>
      <c r="EG614" s="1085"/>
      <c r="EH614" s="1488"/>
      <c r="EI614" s="1488"/>
      <c r="EJ614" s="1082"/>
      <c r="EK614" s="1488"/>
      <c r="EL614" s="1082"/>
      <c r="EM614" s="1488"/>
      <c r="EN614" s="1082"/>
      <c r="EO614" s="1085"/>
      <c r="EP614" s="1082"/>
      <c r="EQ614" s="1082"/>
      <c r="ER614" s="1082"/>
      <c r="ES614" s="1082"/>
      <c r="ET614" s="1082"/>
      <c r="EU614" s="1082"/>
      <c r="EV614" s="1082"/>
      <c r="IX614" s="1049"/>
      <c r="IY614" s="1049"/>
      <c r="IZ614" s="1049"/>
      <c r="JA614" s="1049"/>
      <c r="JB614" s="1049"/>
      <c r="JC614" s="1049"/>
      <c r="JD614" s="1521"/>
      <c r="JE614" s="1126"/>
      <c r="JF614" s="1126"/>
      <c r="JG614" s="1126"/>
      <c r="JH614" s="1126"/>
      <c r="JI614" s="1024"/>
      <c r="JJ614" s="1035"/>
      <c r="JK614" s="1035"/>
      <c r="JL614" s="1035"/>
      <c r="JM614" s="1035"/>
      <c r="JN614" s="1035"/>
      <c r="JO614" s="1035"/>
      <c r="JP614" s="1035"/>
      <c r="JQ614" s="1035"/>
      <c r="JR614" s="1035"/>
      <c r="JS614" s="1035"/>
      <c r="JT614" s="1035"/>
      <c r="JU614" s="1035"/>
      <c r="JV614" s="1035"/>
      <c r="JW614" s="1035"/>
      <c r="JX614" s="1035"/>
      <c r="JY614" s="1035"/>
    </row>
    <row r="615" spans="1:285">
      <c r="A615" s="1339" t="s">
        <v>641</v>
      </c>
      <c r="B615" s="1409"/>
      <c r="C615" s="1409"/>
      <c r="D615" s="1409"/>
      <c r="E615" s="1409"/>
      <c r="F615" s="1409"/>
      <c r="G615" s="1409"/>
      <c r="H615" s="1409"/>
      <c r="I615" s="1409"/>
      <c r="J615" s="1409"/>
      <c r="K615" s="1409"/>
      <c r="L615" s="1409"/>
      <c r="M615" s="1409"/>
      <c r="N615" s="1409"/>
      <c r="O615" s="1409"/>
      <c r="P615" s="1409"/>
      <c r="Q615" s="1409"/>
      <c r="R615" s="1409"/>
      <c r="S615" s="1409"/>
      <c r="T615" s="1409"/>
      <c r="U615" s="1409"/>
      <c r="V615" s="1409"/>
      <c r="W615" s="1409"/>
      <c r="X615" s="1409"/>
      <c r="Y615" s="1409"/>
      <c r="Z615" s="1409"/>
      <c r="AA615" s="1409"/>
      <c r="AB615" s="1409"/>
      <c r="AC615" s="1409"/>
      <c r="AD615" s="1409"/>
      <c r="AE615" s="1409"/>
      <c r="AF615" s="1409"/>
      <c r="AG615" s="1409"/>
      <c r="AH615" s="1409"/>
      <c r="AI615" s="1409"/>
      <c r="AJ615" s="1409"/>
      <c r="AK615" s="1409"/>
      <c r="AL615" s="1409"/>
      <c r="AM615" s="1409"/>
      <c r="AN615" s="1409"/>
      <c r="AO615" s="1409"/>
      <c r="AP615" s="1409"/>
      <c r="AQ615" s="1409"/>
      <c r="AR615" s="1409"/>
      <c r="AS615" s="1409"/>
      <c r="AT615" s="1409"/>
      <c r="AU615" s="1409"/>
      <c r="AV615" s="1409"/>
      <c r="AW615" s="1409"/>
      <c r="AX615" s="1408"/>
      <c r="AY615" s="1409"/>
      <c r="AZ615" s="1409"/>
      <c r="BA615" s="1409"/>
      <c r="BB615" s="1409"/>
      <c r="BC615" s="1409"/>
      <c r="BD615" s="1409"/>
      <c r="BE615" s="1410"/>
      <c r="BF615" s="1409"/>
      <c r="BG615" s="1409"/>
      <c r="BH615" s="1409"/>
      <c r="BI615" s="1409"/>
      <c r="BJ615" s="1409"/>
      <c r="BK615" s="1409"/>
      <c r="BL615" s="1409"/>
      <c r="BM615" s="1409"/>
      <c r="BN615" s="1408"/>
      <c r="BO615" s="1409"/>
      <c r="BP615" s="1409"/>
      <c r="BQ615" s="1409"/>
      <c r="BR615" s="1409"/>
      <c r="BS615" s="1409"/>
      <c r="BT615" s="1409"/>
      <c r="BU615" s="1410"/>
      <c r="BV615" s="1526" t="s">
        <v>173</v>
      </c>
      <c r="BW615" s="1061" t="s">
        <v>173</v>
      </c>
      <c r="BX615" s="1061" t="s">
        <v>173</v>
      </c>
      <c r="BY615" s="1061" t="s">
        <v>173</v>
      </c>
      <c r="BZ615" s="1061" t="s">
        <v>173</v>
      </c>
      <c r="CA615" s="1061" t="s">
        <v>173</v>
      </c>
      <c r="CB615" s="1061" t="s">
        <v>173</v>
      </c>
      <c r="CC615" s="1527" t="s">
        <v>173</v>
      </c>
      <c r="CD615" s="1526">
        <v>0</v>
      </c>
      <c r="CE615" s="1061">
        <f>(CF615*(BX612/BW612))-(CD615*(BV612/BW612))</f>
        <v>0</v>
      </c>
      <c r="CF615" s="1061">
        <v>0</v>
      </c>
      <c r="CG615" s="1061">
        <f>(CH615*(BZ612/BY612))-(CF615*(BX612/BY612))</f>
        <v>0</v>
      </c>
      <c r="CH615" s="1061">
        <v>0</v>
      </c>
      <c r="CI615" s="1061">
        <f>(CK615*(CC612/CA612))-(CH615*(BZ612/CA612))</f>
        <v>0.117410358565737</v>
      </c>
      <c r="CJ615" s="1061">
        <f>(CG615*(BY612/CB612))+(CI615*(CA612/CB612))</f>
        <v>0.0410160055671538</v>
      </c>
      <c r="CK615" s="1527">
        <v>0.02</v>
      </c>
      <c r="CL615" s="1526">
        <v>0.05</v>
      </c>
      <c r="CM615" s="1061">
        <f>(CN615*(CF612/CE612))-(CL615*(CD612/CE612))</f>
        <v>0.141550151975684</v>
      </c>
      <c r="CN615" s="1061">
        <v>0.09</v>
      </c>
      <c r="CO615" s="1061">
        <f>(CP615*(CH612/CG612))-(CN615*(CF612/CG612))</f>
        <v>0.142317596566524</v>
      </c>
      <c r="CP615" s="1061">
        <v>0.11</v>
      </c>
      <c r="CQ615" s="1061">
        <f>(CS615*(CK612/CI612))-(CP615*(CH612/CI612))</f>
        <v>0.00927152317880797</v>
      </c>
      <c r="CR615" s="1061">
        <f>(CO615*(CG612/CJ612))+(CQ615*(CI612/CJ612))</f>
        <v>0.09</v>
      </c>
      <c r="CS615" s="1527">
        <v>0.09</v>
      </c>
      <c r="CT615" s="1526">
        <v>0.06</v>
      </c>
      <c r="CU615" s="1302">
        <v>0.06</v>
      </c>
      <c r="CV615" s="1302">
        <v>0.06</v>
      </c>
      <c r="CW615" s="1302">
        <f>(CX615*CP612-CV615*CN612)/CO612</f>
        <v>0.00906191369606005</v>
      </c>
      <c r="CX615" s="1302">
        <v>0.04</v>
      </c>
      <c r="CY615" s="1302">
        <f>(DA615*CS612-CX615*CP612)/CQ612</f>
        <v>0.265008517887564</v>
      </c>
      <c r="CZ615" s="1302">
        <f>(DA615*CS612-CV615*CN612)/CR612</f>
        <v>0.100194057004245</v>
      </c>
      <c r="DA615" s="1304">
        <v>0.08</v>
      </c>
      <c r="DB615" s="1109">
        <v>0.15</v>
      </c>
      <c r="DC615" s="1082">
        <f>(DD615*CV612-DB615*CT612)/CU612</f>
        <v>0.23763358778626</v>
      </c>
      <c r="DD615" s="1082">
        <v>0.19</v>
      </c>
      <c r="DE615" s="1082">
        <f>(DF615*CX612-DD615*CV612)/CW612</f>
        <v>0.137903075489282</v>
      </c>
      <c r="DF615" s="1082">
        <v>0.17</v>
      </c>
      <c r="DG615" s="1082">
        <f>(DI615*DA612-DF615*CX612)/CY612</f>
        <v>-0.0229411764705883</v>
      </c>
      <c r="DH615" s="1082">
        <f>(DI615*DA612-DD615*CV612)/CZ612</f>
        <v>0.0727272727272727</v>
      </c>
      <c r="DI615" s="1085">
        <v>0.13</v>
      </c>
      <c r="DJ615" s="1082">
        <v>-0.06</v>
      </c>
      <c r="DK615" s="1082">
        <v>-0.124017278617711</v>
      </c>
      <c r="DL615" s="1082">
        <f>(DJ615*DB612+DK615*DC612)/DD612</f>
        <v>-0.09</v>
      </c>
      <c r="DM615" s="1082">
        <f>(DN615*DF612-DL615*DD612)/DE612</f>
        <v>-0.0632967032967033</v>
      </c>
      <c r="DN615" s="1082">
        <v>-0.08</v>
      </c>
      <c r="DO615" s="1488">
        <v>0</v>
      </c>
      <c r="DP615" s="1082">
        <f>(DO615*DG612+DM615*DE612)/DH612</f>
        <v>-0.0393483972674724</v>
      </c>
      <c r="DQ615" s="1085">
        <f>(DP615*DH612+DL615*DD612)/DI612</f>
        <v>-0.0651508120649652</v>
      </c>
      <c r="DR615" s="1488"/>
      <c r="DS615" s="1488"/>
      <c r="DT615" s="1082"/>
      <c r="DU615" s="1488"/>
      <c r="DV615" s="1082"/>
      <c r="DW615" s="1488"/>
      <c r="DX615" s="1082"/>
      <c r="DY615" s="1085"/>
      <c r="DZ615" s="1488"/>
      <c r="EA615" s="1488"/>
      <c r="EB615" s="1082"/>
      <c r="EC615" s="1488"/>
      <c r="ED615" s="1082"/>
      <c r="EE615" s="1488"/>
      <c r="EF615" s="1082"/>
      <c r="EG615" s="1085"/>
      <c r="EH615" s="1488"/>
      <c r="EI615" s="1488"/>
      <c r="EJ615" s="1082"/>
      <c r="EK615" s="1488"/>
      <c r="EL615" s="1082"/>
      <c r="EM615" s="1488"/>
      <c r="EN615" s="1082"/>
      <c r="EO615" s="1085"/>
      <c r="EP615" s="1082"/>
      <c r="EQ615" s="1082"/>
      <c r="ER615" s="1082"/>
      <c r="ES615" s="1082"/>
      <c r="ET615" s="1082"/>
      <c r="EU615" s="1082"/>
      <c r="EV615" s="1082"/>
      <c r="IX615" s="1049"/>
      <c r="IY615" s="1049"/>
      <c r="IZ615" s="1049"/>
      <c r="JA615" s="1049"/>
      <c r="JB615" s="1049"/>
      <c r="JC615" s="1049"/>
      <c r="JD615" s="1521"/>
      <c r="JE615" s="1126"/>
      <c r="JF615" s="1126"/>
      <c r="JG615" s="1126"/>
      <c r="JH615" s="1126"/>
      <c r="JI615" s="1024"/>
      <c r="JJ615" s="1035"/>
      <c r="JK615" s="1035"/>
      <c r="JL615" s="1035"/>
      <c r="JM615" s="1035"/>
      <c r="JN615" s="1035"/>
      <c r="JO615" s="1035"/>
      <c r="JP615" s="1035"/>
      <c r="JQ615" s="1035"/>
      <c r="JR615" s="1035"/>
      <c r="JS615" s="1035"/>
      <c r="JT615" s="1035"/>
      <c r="JU615" s="1035"/>
      <c r="JV615" s="1035"/>
      <c r="JW615" s="1035"/>
      <c r="JX615" s="1035"/>
      <c r="JY615" s="1035"/>
    </row>
    <row r="616" spans="1:285">
      <c r="A616" s="1339" t="s">
        <v>642</v>
      </c>
      <c r="B616" s="1409"/>
      <c r="C616" s="1409"/>
      <c r="D616" s="1409"/>
      <c r="E616" s="1409"/>
      <c r="F616" s="1409"/>
      <c r="G616" s="1409"/>
      <c r="H616" s="1409"/>
      <c r="I616" s="1409"/>
      <c r="J616" s="1409"/>
      <c r="K616" s="1409"/>
      <c r="L616" s="1409"/>
      <c r="M616" s="1409"/>
      <c r="N616" s="1409"/>
      <c r="O616" s="1409"/>
      <c r="P616" s="1409"/>
      <c r="Q616" s="1409"/>
      <c r="R616" s="1409"/>
      <c r="S616" s="1409"/>
      <c r="T616" s="1409"/>
      <c r="U616" s="1409"/>
      <c r="V616" s="1409"/>
      <c r="W616" s="1409"/>
      <c r="X616" s="1409"/>
      <c r="Y616" s="1409"/>
      <c r="Z616" s="1409"/>
      <c r="AA616" s="1409"/>
      <c r="AB616" s="1409"/>
      <c r="AC616" s="1409"/>
      <c r="AD616" s="1409"/>
      <c r="AE616" s="1409"/>
      <c r="AF616" s="1409"/>
      <c r="AG616" s="1409"/>
      <c r="AH616" s="1409"/>
      <c r="AI616" s="1409"/>
      <c r="AJ616" s="1409"/>
      <c r="AK616" s="1409"/>
      <c r="AL616" s="1409"/>
      <c r="AM616" s="1409"/>
      <c r="AN616" s="1409"/>
      <c r="AO616" s="1409"/>
      <c r="AP616" s="1409"/>
      <c r="AQ616" s="1409"/>
      <c r="AR616" s="1409"/>
      <c r="AS616" s="1409"/>
      <c r="AT616" s="1409"/>
      <c r="AU616" s="1409"/>
      <c r="AV616" s="1409"/>
      <c r="AW616" s="1409"/>
      <c r="AX616" s="1408"/>
      <c r="AY616" s="1409"/>
      <c r="AZ616" s="1409"/>
      <c r="BA616" s="1409"/>
      <c r="BB616" s="1409"/>
      <c r="BC616" s="1409"/>
      <c r="BD616" s="1409"/>
      <c r="BE616" s="1410"/>
      <c r="BF616" s="1409"/>
      <c r="BG616" s="1409"/>
      <c r="BH616" s="1409"/>
      <c r="BI616" s="1409"/>
      <c r="BJ616" s="1409"/>
      <c r="BK616" s="1409"/>
      <c r="BL616" s="1409"/>
      <c r="BM616" s="1409"/>
      <c r="BN616" s="1408"/>
      <c r="BO616" s="1409"/>
      <c r="BP616" s="1409"/>
      <c r="BQ616" s="1409"/>
      <c r="BR616" s="1409"/>
      <c r="BS616" s="1409"/>
      <c r="BT616" s="1409"/>
      <c r="BU616" s="1410"/>
      <c r="BV616" s="1303">
        <f t="shared" ref="BV616:DQ616" si="4349">BV612/BV$633</f>
        <v>0.613207547169811</v>
      </c>
      <c r="BW616" s="1302">
        <f t="shared" si="4349"/>
        <v>0.550952775476388</v>
      </c>
      <c r="BX616" s="1302">
        <f t="shared" si="4349"/>
        <v>0.584139264990329</v>
      </c>
      <c r="BY616" s="1302">
        <f t="shared" si="4349"/>
        <v>0.595541401273885</v>
      </c>
      <c r="BZ616" s="1302">
        <f t="shared" si="4349"/>
        <v>0.588447653429603</v>
      </c>
      <c r="CA616" s="1302">
        <f t="shared" si="4349"/>
        <v>0.492156862745098</v>
      </c>
      <c r="CB616" s="1302">
        <f t="shared" si="4349"/>
        <v>0.554826254826255</v>
      </c>
      <c r="CC616" s="1304">
        <f t="shared" si="4349"/>
        <v>0.569468599033816</v>
      </c>
      <c r="CD616" s="1303">
        <f t="shared" si="4349"/>
        <v>0.560846560846561</v>
      </c>
      <c r="CE616" s="1302">
        <f t="shared" si="4349"/>
        <v>0.504601226993865</v>
      </c>
      <c r="CF616" s="1302">
        <f t="shared" si="4349"/>
        <v>0.534801136363636</v>
      </c>
      <c r="CG616" s="1302">
        <f t="shared" si="4349"/>
        <v>0.53903990746096</v>
      </c>
      <c r="CH616" s="1302">
        <f t="shared" si="4349"/>
        <v>0.536413641364136</v>
      </c>
      <c r="CI616" s="1302">
        <f t="shared" si="4349"/>
        <v>0.458966565349544</v>
      </c>
      <c r="CJ616" s="1302">
        <f t="shared" si="4349"/>
        <v>0.504433497536946</v>
      </c>
      <c r="CK616" s="1304">
        <f t="shared" si="4349"/>
        <v>0.519024057328101</v>
      </c>
      <c r="CL616" s="1303">
        <f t="shared" si="4349"/>
        <v>0.509572072072072</v>
      </c>
      <c r="CM616" s="1302">
        <f t="shared" si="4349"/>
        <v>0.485639686684073</v>
      </c>
      <c r="CN616" s="1302">
        <f t="shared" si="4349"/>
        <v>0.498488512696493</v>
      </c>
      <c r="CO616" s="1302">
        <f t="shared" si="4349"/>
        <v>0.549484536082474</v>
      </c>
      <c r="CP616" s="1302">
        <f t="shared" si="4349"/>
        <v>0.51733993902439</v>
      </c>
      <c r="CQ616" s="1302">
        <f t="shared" si="4349"/>
        <v>0.425979680696662</v>
      </c>
      <c r="CR616" s="1302">
        <f t="shared" si="4349"/>
        <v>0.498488512696493</v>
      </c>
      <c r="CS616" s="1304">
        <f t="shared" si="4349"/>
        <v>0.498339873226683</v>
      </c>
      <c r="CT616" s="1303">
        <f t="shared" si="4349"/>
        <v>0.51456844420011</v>
      </c>
      <c r="CU616" s="1302">
        <f t="shared" si="4349"/>
        <v>0.480733944954128</v>
      </c>
      <c r="CV616" s="1302">
        <f t="shared" si="4349"/>
        <v>0.498552403011002</v>
      </c>
      <c r="CW616" s="1302">
        <f t="shared" si="4349"/>
        <v>0.533565390353058</v>
      </c>
      <c r="CX616" s="1302">
        <f t="shared" si="4349"/>
        <v>0.511436413540714</v>
      </c>
      <c r="CY616" s="1302">
        <f t="shared" si="4349"/>
        <v>0.443567961165049</v>
      </c>
      <c r="CZ616" s="1302">
        <f t="shared" si="4349"/>
        <v>0.493030882754851</v>
      </c>
      <c r="DA616" s="1304">
        <f t="shared" si="4349"/>
        <v>0.495712076479685</v>
      </c>
      <c r="DB616" s="1109">
        <f t="shared" si="4349"/>
        <v>0.533536585365854</v>
      </c>
      <c r="DC616" s="1082">
        <f t="shared" si="4349"/>
        <v>0.509070918086861</v>
      </c>
      <c r="DD616" s="1082">
        <f t="shared" si="4349"/>
        <v>0.521785054132559</v>
      </c>
      <c r="DE616" s="1082">
        <f t="shared" si="4349"/>
        <v>0.533603969327921</v>
      </c>
      <c r="DF616" s="1082">
        <f t="shared" si="4349"/>
        <v>0.526149233844104</v>
      </c>
      <c r="DG616" s="1082">
        <f t="shared" si="4349"/>
        <v>0.396257567418822</v>
      </c>
      <c r="DH616" s="1082">
        <f t="shared" si="4349"/>
        <v>0.471740208230045</v>
      </c>
      <c r="DI616" s="1085">
        <f t="shared" si="4349"/>
        <v>0.495972382048331</v>
      </c>
      <c r="DJ616" s="1082">
        <f t="shared" si="4349"/>
        <v>0.51434533124674</v>
      </c>
      <c r="DK616" s="1082">
        <f t="shared" si="4349"/>
        <v>0.458857142857143</v>
      </c>
      <c r="DL616" s="1082">
        <f t="shared" si="4349"/>
        <v>0.48786473956913</v>
      </c>
      <c r="DM616" s="1082">
        <f t="shared" si="4349"/>
        <v>0.5139744197063</v>
      </c>
      <c r="DN616" s="1082">
        <f t="shared" si="4349"/>
        <v>0.497403946002077</v>
      </c>
      <c r="DO616" s="1082" t="e">
        <f t="shared" si="4349"/>
        <v>#REF!</v>
      </c>
      <c r="DP616" s="1082" t="e">
        <f t="shared" si="4349"/>
        <v>#REF!</v>
      </c>
      <c r="DQ616" s="1085" t="e">
        <f t="shared" si="4349"/>
        <v>#REF!</v>
      </c>
      <c r="DR616" s="1082"/>
      <c r="DS616" s="1082"/>
      <c r="DT616" s="1082"/>
      <c r="DU616" s="1082"/>
      <c r="DV616" s="1082"/>
      <c r="DW616" s="1082"/>
      <c r="DX616" s="1082"/>
      <c r="DY616" s="1085"/>
      <c r="DZ616" s="1082"/>
      <c r="EA616" s="1082"/>
      <c r="EB616" s="1082"/>
      <c r="EC616" s="1082"/>
      <c r="ED616" s="1082"/>
      <c r="EE616" s="1082"/>
      <c r="EF616" s="1082"/>
      <c r="EG616" s="1085"/>
      <c r="EH616" s="1082"/>
      <c r="EI616" s="1082"/>
      <c r="EJ616" s="1082"/>
      <c r="EK616" s="1082"/>
      <c r="EL616" s="1082"/>
      <c r="EM616" s="1082"/>
      <c r="EN616" s="1082"/>
      <c r="EO616" s="1085"/>
      <c r="EP616" s="1082"/>
      <c r="EQ616" s="1082"/>
      <c r="ER616" s="1082"/>
      <c r="ES616" s="1082"/>
      <c r="ET616" s="1082"/>
      <c r="EU616" s="1082"/>
      <c r="EV616" s="1082"/>
      <c r="IX616" s="1049"/>
      <c r="IY616" s="1049"/>
      <c r="IZ616" s="1049"/>
      <c r="JA616" s="1049"/>
      <c r="JB616" s="1049"/>
      <c r="JC616" s="1049"/>
      <c r="JD616" s="1521"/>
      <c r="JE616" s="1126"/>
      <c r="JF616" s="1126"/>
      <c r="JG616" s="1126"/>
      <c r="JH616" s="1126"/>
      <c r="JI616" s="1024"/>
      <c r="JJ616" s="1035"/>
      <c r="JK616" s="1035"/>
      <c r="JL616" s="1035"/>
      <c r="JM616" s="1035"/>
      <c r="JN616" s="1035"/>
      <c r="JO616" s="1035"/>
      <c r="JP616" s="1035"/>
      <c r="JQ616" s="1035"/>
      <c r="JR616" s="1035"/>
      <c r="JS616" s="1035"/>
      <c r="JT616" s="1035"/>
      <c r="JU616" s="1035"/>
      <c r="JV616" s="1035"/>
      <c r="JW616" s="1035"/>
      <c r="JX616" s="1035"/>
      <c r="JY616" s="1035"/>
    </row>
    <row r="617" spans="1:285">
      <c r="A617" s="1306" t="s">
        <v>643</v>
      </c>
      <c r="B617" s="1307"/>
      <c r="C617" s="1307"/>
      <c r="D617" s="1307"/>
      <c r="E617" s="1307"/>
      <c r="F617" s="1307"/>
      <c r="G617" s="1307"/>
      <c r="H617" s="1307"/>
      <c r="I617" s="1307"/>
      <c r="J617" s="1307"/>
      <c r="K617" s="1307"/>
      <c r="L617" s="1307"/>
      <c r="M617" s="1307"/>
      <c r="N617" s="1307"/>
      <c r="O617" s="1307"/>
      <c r="P617" s="1307"/>
      <c r="Q617" s="1307"/>
      <c r="R617" s="1307"/>
      <c r="S617" s="1307"/>
      <c r="T617" s="1307"/>
      <c r="U617" s="1307"/>
      <c r="V617" s="1307"/>
      <c r="W617" s="1307"/>
      <c r="X617" s="1307"/>
      <c r="Y617" s="1307"/>
      <c r="Z617" s="1307"/>
      <c r="AA617" s="1307"/>
      <c r="AB617" s="1307"/>
      <c r="AC617" s="1307"/>
      <c r="AD617" s="1307"/>
      <c r="AE617" s="1307"/>
      <c r="AF617" s="1307"/>
      <c r="AG617" s="1307"/>
      <c r="AH617" s="1307"/>
      <c r="AI617" s="1307"/>
      <c r="AJ617" s="1307"/>
      <c r="AK617" s="1307"/>
      <c r="AL617" s="1307"/>
      <c r="AM617" s="1307"/>
      <c r="AN617" s="1307"/>
      <c r="AO617" s="1307"/>
      <c r="AP617" s="1307"/>
      <c r="AQ617" s="1307"/>
      <c r="AR617" s="1307"/>
      <c r="AS617" s="1307"/>
      <c r="AT617" s="1307"/>
      <c r="AU617" s="1307"/>
      <c r="AV617" s="1307"/>
      <c r="AW617" s="1307"/>
      <c r="AX617" s="1308"/>
      <c r="AY617" s="1307"/>
      <c r="AZ617" s="1307"/>
      <c r="BA617" s="1307"/>
      <c r="BB617" s="1307"/>
      <c r="BC617" s="1307"/>
      <c r="BD617" s="1307"/>
      <c r="BE617" s="1309"/>
      <c r="BF617" s="1307"/>
      <c r="BG617" s="1307"/>
      <c r="BH617" s="1307"/>
      <c r="BI617" s="1307"/>
      <c r="BJ617" s="1307"/>
      <c r="BK617" s="1307"/>
      <c r="BL617" s="1307"/>
      <c r="BM617" s="1307"/>
      <c r="BN617" s="1308"/>
      <c r="BO617" s="1307"/>
      <c r="BP617" s="1307"/>
      <c r="BQ617" s="1307"/>
      <c r="BR617" s="1307"/>
      <c r="BS617" s="1307"/>
      <c r="BT617" s="1307"/>
      <c r="BU617" s="1309"/>
      <c r="BV617" s="1308">
        <v>243</v>
      </c>
      <c r="BW617" s="1307">
        <f>BX617-BV617</f>
        <v>264</v>
      </c>
      <c r="BX617" s="1307">
        <v>507</v>
      </c>
      <c r="BY617" s="1307">
        <f>BZ617-BX617</f>
        <v>299</v>
      </c>
      <c r="BZ617" s="1307">
        <v>806</v>
      </c>
      <c r="CA617" s="1307">
        <v>211</v>
      </c>
      <c r="CB617" s="1307">
        <f>BY617+CA617</f>
        <v>510</v>
      </c>
      <c r="CC617" s="1309">
        <f>BZ617+CA617</f>
        <v>1017</v>
      </c>
      <c r="CD617" s="1308">
        <v>279</v>
      </c>
      <c r="CE617" s="1307">
        <f>CF617-CD617</f>
        <v>277</v>
      </c>
      <c r="CF617" s="1307">
        <v>556</v>
      </c>
      <c r="CG617" s="1307">
        <f>CH617-CF617</f>
        <v>347</v>
      </c>
      <c r="CH617" s="1307">
        <v>903</v>
      </c>
      <c r="CI617" s="1307">
        <v>276</v>
      </c>
      <c r="CJ617" s="1307">
        <f>CG617+CI617</f>
        <v>623</v>
      </c>
      <c r="CK617" s="1309">
        <f>CH617+CI617</f>
        <v>1179</v>
      </c>
      <c r="CL617" s="1308">
        <v>364</v>
      </c>
      <c r="CM617" s="1307">
        <f>CN617-CL617</f>
        <v>316</v>
      </c>
      <c r="CN617" s="1307">
        <v>680</v>
      </c>
      <c r="CO617" s="1307">
        <f>CP617-CN617</f>
        <v>349</v>
      </c>
      <c r="CP617" s="1307">
        <v>1029</v>
      </c>
      <c r="CQ617" s="1307">
        <f>CS617-CP617</f>
        <v>292</v>
      </c>
      <c r="CR617" s="1307">
        <f>CS617-CQ617-CO617</f>
        <v>680</v>
      </c>
      <c r="CS617" s="1309">
        <v>1321</v>
      </c>
      <c r="CT617" s="1308">
        <v>337</v>
      </c>
      <c r="CU617" s="1307">
        <f>+CV617-CT617</f>
        <v>306</v>
      </c>
      <c r="CV617" s="1307">
        <v>643</v>
      </c>
      <c r="CW617" s="1307">
        <f>CX617-CV617</f>
        <v>339</v>
      </c>
      <c r="CX617" s="1307">
        <v>982</v>
      </c>
      <c r="CY617" s="1307">
        <f>DA617-CX617</f>
        <v>293</v>
      </c>
      <c r="CZ617" s="1307">
        <f>CY617+CW617</f>
        <v>632</v>
      </c>
      <c r="DA617" s="1309">
        <v>1275</v>
      </c>
      <c r="DB617" s="1332">
        <v>281</v>
      </c>
      <c r="DC617" s="1311">
        <f>DD617-DB617</f>
        <v>243</v>
      </c>
      <c r="DD617" s="1311">
        <v>524</v>
      </c>
      <c r="DE617" s="1311">
        <f>DF617-DD617</f>
        <v>319</v>
      </c>
      <c r="DF617" s="1311">
        <v>843</v>
      </c>
      <c r="DG617" s="1311">
        <f>DI617-DF617</f>
        <v>306</v>
      </c>
      <c r="DH617" s="1311">
        <f>DI617-DD617</f>
        <v>625</v>
      </c>
      <c r="DI617" s="1312">
        <v>1149</v>
      </c>
      <c r="DJ617" s="1311">
        <f>DB617*(1+DJ618)</f>
        <v>237</v>
      </c>
      <c r="DK617" s="1311">
        <f>DC617*(1+DK618)</f>
        <v>280</v>
      </c>
      <c r="DL617" s="1311">
        <f>DK617+DJ617</f>
        <v>517</v>
      </c>
      <c r="DM617" s="1311">
        <f>DN617-DL617</f>
        <v>297</v>
      </c>
      <c r="DN617" s="1311">
        <v>814</v>
      </c>
      <c r="DO617" s="1311">
        <v>0</v>
      </c>
      <c r="DP617" s="1311">
        <f>DO617+DM617</f>
        <v>297</v>
      </c>
      <c r="DQ617" s="1312">
        <f>DP617+DL617</f>
        <v>814</v>
      </c>
      <c r="DR617" s="1311"/>
      <c r="DS617" s="1311"/>
      <c r="DT617" s="1311"/>
      <c r="DU617" s="1311"/>
      <c r="DV617" s="1311"/>
      <c r="DW617" s="1311"/>
      <c r="DX617" s="1311"/>
      <c r="DY617" s="1312"/>
      <c r="DZ617" s="1311"/>
      <c r="EA617" s="1311"/>
      <c r="EB617" s="1311"/>
      <c r="EC617" s="1311"/>
      <c r="ED617" s="1311"/>
      <c r="EE617" s="1311"/>
      <c r="EF617" s="1311"/>
      <c r="EG617" s="1312"/>
      <c r="EH617" s="1311"/>
      <c r="EI617" s="1311"/>
      <c r="EJ617" s="1311"/>
      <c r="EK617" s="1311"/>
      <c r="EL617" s="1311"/>
      <c r="EM617" s="1311"/>
      <c r="EN617" s="1311"/>
      <c r="EO617" s="1312"/>
      <c r="EP617" s="1311"/>
      <c r="EQ617" s="1311"/>
      <c r="ER617" s="1311"/>
      <c r="ES617" s="1311"/>
      <c r="ET617" s="1311"/>
      <c r="EU617" s="1311"/>
      <c r="EV617" s="1311"/>
      <c r="IX617" s="1049"/>
      <c r="IY617" s="1049"/>
      <c r="IZ617" s="1049"/>
      <c r="JA617" s="1049"/>
      <c r="JB617" s="1049"/>
      <c r="JC617" s="1049"/>
      <c r="JD617" s="1518"/>
      <c r="JE617" s="1126"/>
      <c r="JF617" s="1126"/>
      <c r="JG617" s="1126"/>
      <c r="JH617" s="1126"/>
      <c r="JI617" s="1024"/>
      <c r="JJ617" s="1035"/>
      <c r="JK617" s="1035"/>
      <c r="JL617" s="1035"/>
      <c r="JM617" s="1035"/>
      <c r="JN617" s="1035"/>
      <c r="JO617" s="1035"/>
      <c r="JP617" s="1035"/>
      <c r="JQ617" s="1035"/>
      <c r="JR617" s="1035"/>
      <c r="JS617" s="1035"/>
      <c r="JT617" s="1035"/>
      <c r="JU617" s="1035"/>
      <c r="JV617" s="1035"/>
      <c r="JW617" s="1035"/>
      <c r="JX617" s="1035"/>
      <c r="JY617" s="1035"/>
    </row>
    <row r="618" spans="1:285">
      <c r="A618" s="1339" t="s">
        <v>639</v>
      </c>
      <c r="B618" s="1409"/>
      <c r="C618" s="1409"/>
      <c r="D618" s="1409"/>
      <c r="E618" s="1409"/>
      <c r="F618" s="1409"/>
      <c r="G618" s="1409"/>
      <c r="H618" s="1409"/>
      <c r="I618" s="1409"/>
      <c r="J618" s="1409"/>
      <c r="K618" s="1409"/>
      <c r="L618" s="1409"/>
      <c r="M618" s="1409"/>
      <c r="N618" s="1409"/>
      <c r="O618" s="1409"/>
      <c r="P618" s="1409"/>
      <c r="Q618" s="1409"/>
      <c r="R618" s="1409"/>
      <c r="S618" s="1409"/>
      <c r="T618" s="1409"/>
      <c r="U618" s="1409"/>
      <c r="V618" s="1409"/>
      <c r="W618" s="1409"/>
      <c r="X618" s="1409"/>
      <c r="Y618" s="1409"/>
      <c r="Z618" s="1409"/>
      <c r="AA618" s="1409"/>
      <c r="AB618" s="1409"/>
      <c r="AC618" s="1409"/>
      <c r="AD618" s="1409"/>
      <c r="AE618" s="1409"/>
      <c r="AF618" s="1409"/>
      <c r="AG618" s="1409"/>
      <c r="AH618" s="1409"/>
      <c r="AI618" s="1409"/>
      <c r="AJ618" s="1409"/>
      <c r="AK618" s="1409"/>
      <c r="AL618" s="1409"/>
      <c r="AM618" s="1409"/>
      <c r="AN618" s="1409"/>
      <c r="AO618" s="1409"/>
      <c r="AP618" s="1409"/>
      <c r="AQ618" s="1409"/>
      <c r="AR618" s="1409"/>
      <c r="AS618" s="1409"/>
      <c r="AT618" s="1409"/>
      <c r="AU618" s="1409"/>
      <c r="AV618" s="1409"/>
      <c r="AW618" s="1409"/>
      <c r="AX618" s="1408"/>
      <c r="AY618" s="1409"/>
      <c r="AZ618" s="1409"/>
      <c r="BA618" s="1409"/>
      <c r="BB618" s="1409"/>
      <c r="BC618" s="1409"/>
      <c r="BD618" s="1409"/>
      <c r="BE618" s="1410"/>
      <c r="BF618" s="1409"/>
      <c r="BG618" s="1409"/>
      <c r="BH618" s="1409"/>
      <c r="BI618" s="1409"/>
      <c r="BJ618" s="1409"/>
      <c r="BK618" s="1409"/>
      <c r="BL618" s="1409"/>
      <c r="BM618" s="1409"/>
      <c r="BN618" s="1408"/>
      <c r="BO618" s="1409"/>
      <c r="BP618" s="1409"/>
      <c r="BQ618" s="1409"/>
      <c r="BR618" s="1409"/>
      <c r="BS618" s="1409"/>
      <c r="BT618" s="1409"/>
      <c r="BU618" s="1410"/>
      <c r="BV618" s="1526" t="s">
        <v>173</v>
      </c>
      <c r="BW618" s="1061" t="s">
        <v>173</v>
      </c>
      <c r="BX618" s="1061" t="s">
        <v>173</v>
      </c>
      <c r="BY618" s="1061" t="s">
        <v>173</v>
      </c>
      <c r="BZ618" s="1061" t="s">
        <v>173</v>
      </c>
      <c r="CA618" s="1061" t="s">
        <v>173</v>
      </c>
      <c r="CB618" s="1061" t="s">
        <v>173</v>
      </c>
      <c r="CC618" s="1527" t="s">
        <v>173</v>
      </c>
      <c r="CD618" s="1526">
        <f t="shared" ref="CD618:CN618" si="4350">CD617/BV617-1</f>
        <v>0.148148148148148</v>
      </c>
      <c r="CE618" s="1061">
        <f t="shared" si="4350"/>
        <v>0.0492424242424243</v>
      </c>
      <c r="CF618" s="1061">
        <f t="shared" si="4350"/>
        <v>0.096646942800789</v>
      </c>
      <c r="CG618" s="1061">
        <f t="shared" si="4350"/>
        <v>0.160535117056856</v>
      </c>
      <c r="CH618" s="1061">
        <f t="shared" si="4350"/>
        <v>0.120347394540943</v>
      </c>
      <c r="CI618" s="1061">
        <f t="shared" si="4350"/>
        <v>0.308056872037915</v>
      </c>
      <c r="CJ618" s="1061">
        <f t="shared" si="4350"/>
        <v>0.22156862745098</v>
      </c>
      <c r="CK618" s="1527">
        <f t="shared" si="4350"/>
        <v>0.15929203539823</v>
      </c>
      <c r="CL618" s="1526">
        <f t="shared" si="4350"/>
        <v>0.304659498207885</v>
      </c>
      <c r="CM618" s="1061">
        <f t="shared" si="4350"/>
        <v>0.140794223826715</v>
      </c>
      <c r="CN618" s="1061">
        <f t="shared" si="4350"/>
        <v>0.223021582733813</v>
      </c>
      <c r="CO618" s="1061">
        <f t="shared" ref="CO618:CT618" si="4351">CO617/CG617-1</f>
        <v>0.00576368876080702</v>
      </c>
      <c r="CP618" s="1061">
        <f t="shared" si="4351"/>
        <v>0.13953488372093</v>
      </c>
      <c r="CQ618" s="1061">
        <f t="shared" si="4351"/>
        <v>0.0579710144927537</v>
      </c>
      <c r="CR618" s="1061">
        <f t="shared" si="4351"/>
        <v>0.0914927768860354</v>
      </c>
      <c r="CS618" s="1527">
        <f t="shared" si="4351"/>
        <v>0.120441051738762</v>
      </c>
      <c r="CT618" s="1526">
        <f t="shared" si="4351"/>
        <v>-0.0741758241758241</v>
      </c>
      <c r="CU618" s="1302">
        <f t="shared" ref="CU618:DA618" si="4352">CU617/CM617-1</f>
        <v>-0.0316455696202531</v>
      </c>
      <c r="CV618" s="1302">
        <f t="shared" si="4352"/>
        <v>-0.0544117647058824</v>
      </c>
      <c r="CW618" s="1302">
        <f t="shared" si="4352"/>
        <v>-0.0286532951289399</v>
      </c>
      <c r="CX618" s="1302">
        <f t="shared" si="4352"/>
        <v>-0.0456754130223518</v>
      </c>
      <c r="CY618" s="1302">
        <f t="shared" si="4352"/>
        <v>0.00342465753424648</v>
      </c>
      <c r="CZ618" s="1302">
        <f t="shared" si="4352"/>
        <v>-0.0705882352941176</v>
      </c>
      <c r="DA618" s="1304">
        <f t="shared" si="4352"/>
        <v>-0.0348221044663134</v>
      </c>
      <c r="DB618" s="1109">
        <f t="shared" ref="DB618:DI618" si="4353">DB617/CT617-1</f>
        <v>-0.166172106824926</v>
      </c>
      <c r="DC618" s="1082">
        <f t="shared" si="4353"/>
        <v>-0.205882352941177</v>
      </c>
      <c r="DD618" s="1082">
        <f t="shared" si="4353"/>
        <v>-0.1850699844479</v>
      </c>
      <c r="DE618" s="1082">
        <f t="shared" si="4353"/>
        <v>-0.0589970501474927</v>
      </c>
      <c r="DF618" s="1082">
        <f t="shared" si="4353"/>
        <v>-0.141547861507128</v>
      </c>
      <c r="DG618" s="1082">
        <f t="shared" si="4353"/>
        <v>0.0443686006825939</v>
      </c>
      <c r="DH618" s="1082">
        <f t="shared" si="4353"/>
        <v>-0.0110759493670886</v>
      </c>
      <c r="DI618" s="1085">
        <f t="shared" si="4353"/>
        <v>-0.0988235294117648</v>
      </c>
      <c r="DJ618" s="1082">
        <f>SUM(DJ619:DJ620)</f>
        <v>-0.156583629893238</v>
      </c>
      <c r="DK618" s="1082">
        <f>SUM(DK619:DK620)</f>
        <v>0.152263374485597</v>
      </c>
      <c r="DL618" s="1082">
        <f t="shared" ref="DL618:DQ618" si="4354">DL617/DD617-1</f>
        <v>-0.0133587786259542</v>
      </c>
      <c r="DM618" s="1082">
        <f t="shared" si="4354"/>
        <v>-0.0689655172413793</v>
      </c>
      <c r="DN618" s="1082">
        <f t="shared" si="4354"/>
        <v>-0.0344009489916963</v>
      </c>
      <c r="DO618" s="1082">
        <f t="shared" si="4354"/>
        <v>-1</v>
      </c>
      <c r="DP618" s="1082">
        <f t="shared" si="4354"/>
        <v>-0.5248</v>
      </c>
      <c r="DQ618" s="1085">
        <f t="shared" si="4354"/>
        <v>-0.291557876414273</v>
      </c>
      <c r="DR618" s="1082"/>
      <c r="DS618" s="1082"/>
      <c r="DT618" s="1082"/>
      <c r="DU618" s="1082"/>
      <c r="DV618" s="1082"/>
      <c r="DW618" s="1082"/>
      <c r="DX618" s="1082"/>
      <c r="DY618" s="1085"/>
      <c r="DZ618" s="1082"/>
      <c r="EA618" s="1082"/>
      <c r="EB618" s="1082"/>
      <c r="EC618" s="1082"/>
      <c r="ED618" s="1082"/>
      <c r="EE618" s="1082"/>
      <c r="EF618" s="1082"/>
      <c r="EG618" s="1085"/>
      <c r="EH618" s="1082"/>
      <c r="EI618" s="1082"/>
      <c r="EJ618" s="1082"/>
      <c r="EK618" s="1082"/>
      <c r="EL618" s="1082"/>
      <c r="EM618" s="1082"/>
      <c r="EN618" s="1082"/>
      <c r="EO618" s="1085"/>
      <c r="EP618" s="1082"/>
      <c r="EQ618" s="1082"/>
      <c r="ER618" s="1082"/>
      <c r="ES618" s="1082"/>
      <c r="ET618" s="1082"/>
      <c r="EU618" s="1082"/>
      <c r="EV618" s="1082"/>
      <c r="IX618" s="1049"/>
      <c r="IY618" s="1049"/>
      <c r="IZ618" s="1049"/>
      <c r="JA618" s="1049"/>
      <c r="JB618" s="1049"/>
      <c r="JC618" s="1049"/>
      <c r="JD618" s="1521"/>
      <c r="JE618" s="1126"/>
      <c r="JF618" s="1126"/>
      <c r="JG618" s="1126"/>
      <c r="JH618" s="1126"/>
      <c r="JI618" s="1024"/>
      <c r="JJ618" s="1035"/>
      <c r="JK618" s="1035"/>
      <c r="JL618" s="1035"/>
      <c r="JM618" s="1035"/>
      <c r="JN618" s="1035"/>
      <c r="JO618" s="1035"/>
      <c r="JP618" s="1035"/>
      <c r="JQ618" s="1035"/>
      <c r="JR618" s="1035"/>
      <c r="JS618" s="1035"/>
      <c r="JT618" s="1035"/>
      <c r="JU618" s="1035"/>
      <c r="JV618" s="1035"/>
      <c r="JW618" s="1035"/>
      <c r="JX618" s="1035"/>
      <c r="JY618" s="1035"/>
    </row>
    <row r="619" spans="1:285">
      <c r="A619" s="1339" t="s">
        <v>640</v>
      </c>
      <c r="B619" s="1409"/>
      <c r="C619" s="1409"/>
      <c r="D619" s="1409"/>
      <c r="E619" s="1409"/>
      <c r="F619" s="1409"/>
      <c r="G619" s="1409"/>
      <c r="H619" s="1409"/>
      <c r="I619" s="1409"/>
      <c r="J619" s="1409"/>
      <c r="K619" s="1409"/>
      <c r="L619" s="1409"/>
      <c r="M619" s="1409"/>
      <c r="N619" s="1409"/>
      <c r="O619" s="1409"/>
      <c r="P619" s="1409"/>
      <c r="Q619" s="1409"/>
      <c r="R619" s="1409"/>
      <c r="S619" s="1409"/>
      <c r="T619" s="1409"/>
      <c r="U619" s="1409"/>
      <c r="V619" s="1409"/>
      <c r="W619" s="1409"/>
      <c r="X619" s="1409"/>
      <c r="Y619" s="1409"/>
      <c r="Z619" s="1409"/>
      <c r="AA619" s="1409"/>
      <c r="AB619" s="1409"/>
      <c r="AC619" s="1409"/>
      <c r="AD619" s="1409"/>
      <c r="AE619" s="1409"/>
      <c r="AF619" s="1409"/>
      <c r="AG619" s="1409"/>
      <c r="AH619" s="1409"/>
      <c r="AI619" s="1409"/>
      <c r="AJ619" s="1409"/>
      <c r="AK619" s="1409"/>
      <c r="AL619" s="1409"/>
      <c r="AM619" s="1409"/>
      <c r="AN619" s="1409"/>
      <c r="AO619" s="1409"/>
      <c r="AP619" s="1409"/>
      <c r="AQ619" s="1409"/>
      <c r="AR619" s="1409"/>
      <c r="AS619" s="1409"/>
      <c r="AT619" s="1409"/>
      <c r="AU619" s="1409"/>
      <c r="AV619" s="1409"/>
      <c r="AW619" s="1409"/>
      <c r="AX619" s="1408"/>
      <c r="AY619" s="1409"/>
      <c r="AZ619" s="1409"/>
      <c r="BA619" s="1409"/>
      <c r="BB619" s="1409"/>
      <c r="BC619" s="1409"/>
      <c r="BD619" s="1409"/>
      <c r="BE619" s="1410"/>
      <c r="BF619" s="1409"/>
      <c r="BG619" s="1409"/>
      <c r="BH619" s="1409"/>
      <c r="BI619" s="1409"/>
      <c r="BJ619" s="1409"/>
      <c r="BK619" s="1409"/>
      <c r="BL619" s="1409"/>
      <c r="BM619" s="1409"/>
      <c r="BN619" s="1408"/>
      <c r="BO619" s="1409"/>
      <c r="BP619" s="1409"/>
      <c r="BQ619" s="1409"/>
      <c r="BR619" s="1409"/>
      <c r="BS619" s="1409"/>
      <c r="BT619" s="1409"/>
      <c r="BU619" s="1410"/>
      <c r="BV619" s="1526" t="s">
        <v>173</v>
      </c>
      <c r="BW619" s="1061" t="s">
        <v>173</v>
      </c>
      <c r="BX619" s="1061" t="s">
        <v>173</v>
      </c>
      <c r="BY619" s="1061" t="s">
        <v>173</v>
      </c>
      <c r="BZ619" s="1061" t="s">
        <v>173</v>
      </c>
      <c r="CA619" s="1061" t="s">
        <v>173</v>
      </c>
      <c r="CB619" s="1061" t="s">
        <v>173</v>
      </c>
      <c r="CC619" s="1527" t="s">
        <v>173</v>
      </c>
      <c r="CD619" s="1526">
        <f t="shared" ref="CD619:CT619" si="4355">CD618-CD620</f>
        <v>-0.0518518518518519</v>
      </c>
      <c r="CE619" s="1061">
        <f t="shared" si="4355"/>
        <v>-0.035530303030303</v>
      </c>
      <c r="CF619" s="1061">
        <f t="shared" si="4355"/>
        <v>-0.043353057199211</v>
      </c>
      <c r="CG619" s="1061">
        <f t="shared" si="4355"/>
        <v>-0.00642140468227434</v>
      </c>
      <c r="CH619" s="1061">
        <f t="shared" si="4355"/>
        <v>-0.029652605459057</v>
      </c>
      <c r="CI619" s="1061">
        <f t="shared" si="4355"/>
        <v>0.109857819905213</v>
      </c>
      <c r="CJ619" s="1061">
        <f t="shared" si="4355"/>
        <v>0.041686274509804</v>
      </c>
      <c r="CK619" s="1527">
        <f t="shared" si="4355"/>
        <v>-0.000707964601769889</v>
      </c>
      <c r="CL619" s="1526">
        <f t="shared" si="4355"/>
        <v>0.114659498207885</v>
      </c>
      <c r="CM619" s="1061">
        <f t="shared" si="4355"/>
        <v>0.0110108303249098</v>
      </c>
      <c r="CN619" s="1061">
        <f t="shared" si="4355"/>
        <v>0.0630215827338129</v>
      </c>
      <c r="CO619" s="1061">
        <f t="shared" si="4355"/>
        <v>-0.0241210374639769</v>
      </c>
      <c r="CP619" s="1061">
        <f t="shared" si="4355"/>
        <v>0.0295348837209303</v>
      </c>
      <c r="CQ619" s="1061">
        <f t="shared" si="4355"/>
        <v>-0.137463768115942</v>
      </c>
      <c r="CR619" s="1061">
        <f t="shared" si="4355"/>
        <v>-0.0117335473515248</v>
      </c>
      <c r="CS619" s="1527">
        <f t="shared" si="4355"/>
        <v>-0.00955894826123826</v>
      </c>
      <c r="CT619" s="1526">
        <f t="shared" si="4355"/>
        <v>-0.0841758241758241</v>
      </c>
      <c r="CU619" s="1302">
        <f t="shared" ref="CU619:DI619" si="4356">CU618-CU620</f>
        <v>-0.0626455696202531</v>
      </c>
      <c r="CV619" s="1061">
        <f t="shared" si="4356"/>
        <v>-0.0744117647058824</v>
      </c>
      <c r="CW619" s="1061">
        <f t="shared" si="4356"/>
        <v>-0.0781375358166189</v>
      </c>
      <c r="CX619" s="1061">
        <f t="shared" si="4356"/>
        <v>-0.0756754130223518</v>
      </c>
      <c r="CY619" s="1302">
        <f t="shared" si="4356"/>
        <v>-0.117054794520548</v>
      </c>
      <c r="CZ619" s="1302">
        <f t="shared" si="4356"/>
        <v>-0.147720588235294</v>
      </c>
      <c r="DA619" s="1304">
        <f t="shared" si="4356"/>
        <v>-0.0848221044663134</v>
      </c>
      <c r="DB619" s="1109">
        <f t="shared" si="4356"/>
        <v>-0.106172106824926</v>
      </c>
      <c r="DC619" s="1082">
        <f t="shared" si="4356"/>
        <v>-0.124869281045752</v>
      </c>
      <c r="DD619" s="1082">
        <f t="shared" si="4356"/>
        <v>-0.1150699844479</v>
      </c>
      <c r="DE619" s="1082">
        <f t="shared" si="4356"/>
        <v>-0.0758997050147493</v>
      </c>
      <c r="DF619" s="1082">
        <f t="shared" si="4356"/>
        <v>-0.101547861507128</v>
      </c>
      <c r="DG619" s="1082">
        <f t="shared" si="4356"/>
        <v>0.0408532423208191</v>
      </c>
      <c r="DH619" s="1082">
        <f t="shared" si="4356"/>
        <v>-0.0217721518987341</v>
      </c>
      <c r="DI619" s="1085">
        <f t="shared" si="4356"/>
        <v>-0.0688235294117648</v>
      </c>
      <c r="DJ619" s="1082">
        <v>0.0934163701067615</v>
      </c>
      <c r="DK619" s="1082">
        <v>0.143497942386831</v>
      </c>
      <c r="DL619" s="1082">
        <f t="shared" ref="DL619:DQ619" si="4357">DL618-DL620</f>
        <v>0.116641221374046</v>
      </c>
      <c r="DM619" s="1082">
        <f t="shared" si="4357"/>
        <v>0.0346081504702194</v>
      </c>
      <c r="DN619" s="1082">
        <f t="shared" si="4357"/>
        <v>0.0855990510083037</v>
      </c>
      <c r="DO619" s="1082">
        <f t="shared" si="4357"/>
        <v>-1</v>
      </c>
      <c r="DP619" s="1082">
        <f t="shared" si="4357"/>
        <v>-0.471936</v>
      </c>
      <c r="DQ619" s="1085">
        <f t="shared" si="4357"/>
        <v>-0.203516100957354</v>
      </c>
      <c r="DR619" s="1488"/>
      <c r="DS619" s="1488"/>
      <c r="DT619" s="1082"/>
      <c r="DU619" s="1488"/>
      <c r="DV619" s="1082"/>
      <c r="DW619" s="1488"/>
      <c r="DX619" s="1082"/>
      <c r="DY619" s="1085"/>
      <c r="DZ619" s="1488"/>
      <c r="EA619" s="1488"/>
      <c r="EB619" s="1082"/>
      <c r="EC619" s="1488"/>
      <c r="ED619" s="1082"/>
      <c r="EE619" s="1488"/>
      <c r="EF619" s="1082"/>
      <c r="EG619" s="1085"/>
      <c r="EH619" s="1488"/>
      <c r="EI619" s="1488"/>
      <c r="EJ619" s="1082"/>
      <c r="EK619" s="1488"/>
      <c r="EL619" s="1082"/>
      <c r="EM619" s="1488"/>
      <c r="EN619" s="1082"/>
      <c r="EO619" s="1085"/>
      <c r="EP619" s="1082"/>
      <c r="EQ619" s="1082"/>
      <c r="ER619" s="1082"/>
      <c r="ES619" s="1082"/>
      <c r="ET619" s="1082"/>
      <c r="EU619" s="1082"/>
      <c r="EV619" s="1082"/>
      <c r="IX619" s="1049"/>
      <c r="IY619" s="1049"/>
      <c r="IZ619" s="1049"/>
      <c r="JA619" s="1049"/>
      <c r="JB619" s="1049"/>
      <c r="JC619" s="1049"/>
      <c r="JD619" s="1521"/>
      <c r="JE619" s="1126"/>
      <c r="JF619" s="1126"/>
      <c r="JG619" s="1126"/>
      <c r="JH619" s="1126"/>
      <c r="JI619" s="1024"/>
      <c r="JJ619" s="1035"/>
      <c r="JK619" s="1035"/>
      <c r="JL619" s="1035"/>
      <c r="JM619" s="1035"/>
      <c r="JN619" s="1035"/>
      <c r="JO619" s="1035"/>
      <c r="JP619" s="1035"/>
      <c r="JQ619" s="1035"/>
      <c r="JR619" s="1035"/>
      <c r="JS619" s="1035"/>
      <c r="JT619" s="1035"/>
      <c r="JU619" s="1035"/>
      <c r="JV619" s="1035"/>
      <c r="JW619" s="1035"/>
      <c r="JX619" s="1035"/>
      <c r="JY619" s="1035"/>
    </row>
    <row r="620" spans="1:285">
      <c r="A620" s="1339" t="s">
        <v>641</v>
      </c>
      <c r="B620" s="1409"/>
      <c r="C620" s="1409"/>
      <c r="D620" s="1409"/>
      <c r="E620" s="1409"/>
      <c r="F620" s="1409"/>
      <c r="G620" s="1409"/>
      <c r="H620" s="1409"/>
      <c r="I620" s="1409"/>
      <c r="J620" s="1409"/>
      <c r="K620" s="1409"/>
      <c r="L620" s="1409"/>
      <c r="M620" s="1409"/>
      <c r="N620" s="1409"/>
      <c r="O620" s="1409"/>
      <c r="P620" s="1409"/>
      <c r="Q620" s="1409"/>
      <c r="R620" s="1409"/>
      <c r="S620" s="1409"/>
      <c r="T620" s="1409"/>
      <c r="U620" s="1409"/>
      <c r="V620" s="1409"/>
      <c r="W620" s="1409"/>
      <c r="X620" s="1409"/>
      <c r="Y620" s="1409"/>
      <c r="Z620" s="1409"/>
      <c r="AA620" s="1409"/>
      <c r="AB620" s="1409"/>
      <c r="AC620" s="1409"/>
      <c r="AD620" s="1409"/>
      <c r="AE620" s="1409"/>
      <c r="AF620" s="1409"/>
      <c r="AG620" s="1409"/>
      <c r="AH620" s="1409"/>
      <c r="AI620" s="1409"/>
      <c r="AJ620" s="1409"/>
      <c r="AK620" s="1409"/>
      <c r="AL620" s="1409"/>
      <c r="AM620" s="1409"/>
      <c r="AN620" s="1409"/>
      <c r="AO620" s="1409"/>
      <c r="AP620" s="1409"/>
      <c r="AQ620" s="1409"/>
      <c r="AR620" s="1409"/>
      <c r="AS620" s="1409"/>
      <c r="AT620" s="1409"/>
      <c r="AU620" s="1409"/>
      <c r="AV620" s="1409"/>
      <c r="AW620" s="1409"/>
      <c r="AX620" s="1408"/>
      <c r="AY620" s="1409"/>
      <c r="AZ620" s="1409"/>
      <c r="BA620" s="1409"/>
      <c r="BB620" s="1409"/>
      <c r="BC620" s="1409"/>
      <c r="BD620" s="1409"/>
      <c r="BE620" s="1410"/>
      <c r="BF620" s="1409"/>
      <c r="BG620" s="1409"/>
      <c r="BH620" s="1409"/>
      <c r="BI620" s="1409"/>
      <c r="BJ620" s="1409"/>
      <c r="BK620" s="1409"/>
      <c r="BL620" s="1409"/>
      <c r="BM620" s="1409"/>
      <c r="BN620" s="1408"/>
      <c r="BO620" s="1409"/>
      <c r="BP620" s="1409"/>
      <c r="BQ620" s="1409"/>
      <c r="BR620" s="1409"/>
      <c r="BS620" s="1409"/>
      <c r="BT620" s="1409"/>
      <c r="BU620" s="1410"/>
      <c r="BV620" s="1526" t="s">
        <v>173</v>
      </c>
      <c r="BW620" s="1061" t="s">
        <v>173</v>
      </c>
      <c r="BX620" s="1061" t="s">
        <v>173</v>
      </c>
      <c r="BY620" s="1061" t="s">
        <v>173</v>
      </c>
      <c r="BZ620" s="1061" t="s">
        <v>173</v>
      </c>
      <c r="CA620" s="1061" t="s">
        <v>173</v>
      </c>
      <c r="CB620" s="1061" t="s">
        <v>173</v>
      </c>
      <c r="CC620" s="1527" t="s">
        <v>173</v>
      </c>
      <c r="CD620" s="1526">
        <v>0.2</v>
      </c>
      <c r="CE620" s="1061">
        <f>(CF620*(BX617/BW617))-(CD620*(BV617/BW617))</f>
        <v>0.0847727272727273</v>
      </c>
      <c r="CF620" s="1061">
        <v>0.14</v>
      </c>
      <c r="CG620" s="1061">
        <f>(CH620*(BZ617/BY617))-(CF620*(BX617/BY617))</f>
        <v>0.16695652173913</v>
      </c>
      <c r="CH620" s="1061">
        <v>0.15</v>
      </c>
      <c r="CI620" s="1061">
        <f>(CK620*(CC617/CA617))-(CH620*(BZ617/CA617))</f>
        <v>0.198199052132702</v>
      </c>
      <c r="CJ620" s="1061">
        <f>(CG620*(BY617/CB617))+(CI620*(CA617/CB617))</f>
        <v>0.179882352941176</v>
      </c>
      <c r="CK620" s="1527">
        <v>0.16</v>
      </c>
      <c r="CL620" s="1526">
        <v>0.19</v>
      </c>
      <c r="CM620" s="1061">
        <f>(CN620*(CF617/CE617))-(CL620*(CD617/CE617))</f>
        <v>0.129783393501805</v>
      </c>
      <c r="CN620" s="1061">
        <v>0.16</v>
      </c>
      <c r="CO620" s="1061">
        <f>(CP620*(CH617/CG617))-(CN620*(CF617/CG617))</f>
        <v>0.0298847262247839</v>
      </c>
      <c r="CP620" s="1061">
        <v>0.11</v>
      </c>
      <c r="CQ620" s="1061">
        <f>(CS620*(CK617/CI617))-(CP620*(CH617/CI617))</f>
        <v>0.195434782608696</v>
      </c>
      <c r="CR620" s="1061">
        <f>(CO620*(CG617/CJ617))+(CQ620*(CI617/CJ617))</f>
        <v>0.10322632423756</v>
      </c>
      <c r="CS620" s="1527">
        <v>0.13</v>
      </c>
      <c r="CT620" s="1526">
        <v>0.01</v>
      </c>
      <c r="CU620" s="1302">
        <v>0.031</v>
      </c>
      <c r="CV620" s="1302">
        <v>0.02</v>
      </c>
      <c r="CW620" s="1302">
        <f>(CX620*CP617-CV620*CN617)/CO617</f>
        <v>0.0494842406876791</v>
      </c>
      <c r="CX620" s="1302">
        <v>0.03</v>
      </c>
      <c r="CY620" s="1302">
        <f>(DA620*CS617-CX620*CP617)/CQ617</f>
        <v>0.120479452054795</v>
      </c>
      <c r="CZ620" s="1302">
        <f>(DA620*CS617-CV620*CN617)/CR617</f>
        <v>0.0771323529411765</v>
      </c>
      <c r="DA620" s="1304">
        <v>0.05</v>
      </c>
      <c r="DB620" s="1109">
        <v>-0.06</v>
      </c>
      <c r="DC620" s="1082">
        <f>(DD620*CV617-DB620*CT617)/CU617</f>
        <v>-0.0810130718954249</v>
      </c>
      <c r="DD620" s="1082">
        <v>-0.07</v>
      </c>
      <c r="DE620" s="1082">
        <f>(DF620*CX617-DD620*CV617)/CW617</f>
        <v>0.0169026548672566</v>
      </c>
      <c r="DF620" s="1082">
        <v>-0.04</v>
      </c>
      <c r="DG620" s="1082">
        <f>(DI620*DA617-DF620*CX617)/CY617</f>
        <v>0.00351535836177475</v>
      </c>
      <c r="DH620" s="1082">
        <f>(DI620*DA617-DD620*CV617)/CZ617</f>
        <v>0.0106962025316456</v>
      </c>
      <c r="DI620" s="1085">
        <v>-0.03</v>
      </c>
      <c r="DJ620" s="1082">
        <v>-0.25</v>
      </c>
      <c r="DK620" s="1082">
        <v>0.00876543209876541</v>
      </c>
      <c r="DL620" s="1082">
        <f>(DJ620*DB617+DK620*DC617)/DD617</f>
        <v>-0.13</v>
      </c>
      <c r="DM620" s="1082">
        <f>(DN620*DF617-DL620*DD617)/DE617</f>
        <v>-0.103573667711599</v>
      </c>
      <c r="DN620" s="1082">
        <v>-0.12</v>
      </c>
      <c r="DO620" s="1488">
        <v>0</v>
      </c>
      <c r="DP620" s="1082">
        <f>(DO620*DG617+DM620*DE617)/DH617</f>
        <v>-0.052864</v>
      </c>
      <c r="DQ620" s="1085">
        <f>(DP620*DH617+DL620*DD617)/DI617</f>
        <v>-0.0880417754569191</v>
      </c>
      <c r="DR620" s="1488"/>
      <c r="DS620" s="1488"/>
      <c r="DT620" s="1082"/>
      <c r="DU620" s="1488"/>
      <c r="DV620" s="1082"/>
      <c r="DW620" s="1488"/>
      <c r="DX620" s="1082"/>
      <c r="DY620" s="1085"/>
      <c r="DZ620" s="1488"/>
      <c r="EA620" s="1488"/>
      <c r="EB620" s="1082"/>
      <c r="EC620" s="1488"/>
      <c r="ED620" s="1082"/>
      <c r="EE620" s="1488"/>
      <c r="EF620" s="1082"/>
      <c r="EG620" s="1085"/>
      <c r="EH620" s="1488"/>
      <c r="EI620" s="1488"/>
      <c r="EJ620" s="1082"/>
      <c r="EK620" s="1488"/>
      <c r="EL620" s="1082"/>
      <c r="EM620" s="1488"/>
      <c r="EN620" s="1082"/>
      <c r="EO620" s="1085"/>
      <c r="EP620" s="1082"/>
      <c r="EQ620" s="1082"/>
      <c r="ER620" s="1082"/>
      <c r="ES620" s="1082"/>
      <c r="ET620" s="1082"/>
      <c r="EU620" s="1082"/>
      <c r="EV620" s="1082"/>
      <c r="IX620" s="1049"/>
      <c r="IY620" s="1049"/>
      <c r="IZ620" s="1049"/>
      <c r="JA620" s="1049"/>
      <c r="JB620" s="1049"/>
      <c r="JC620" s="1049"/>
      <c r="JD620" s="1521"/>
      <c r="JE620" s="1126"/>
      <c r="JF620" s="1126"/>
      <c r="JG620" s="1126"/>
      <c r="JH620" s="1126"/>
      <c r="JI620" s="1024"/>
      <c r="JJ620" s="1035"/>
      <c r="JK620" s="1035"/>
      <c r="JL620" s="1035"/>
      <c r="JM620" s="1035"/>
      <c r="JN620" s="1035"/>
      <c r="JO620" s="1035"/>
      <c r="JP620" s="1035"/>
      <c r="JQ620" s="1035"/>
      <c r="JR620" s="1035"/>
      <c r="JS620" s="1035"/>
      <c r="JT620" s="1035"/>
      <c r="JU620" s="1035"/>
      <c r="JV620" s="1035"/>
      <c r="JW620" s="1035"/>
      <c r="JX620" s="1035"/>
      <c r="JY620" s="1035"/>
    </row>
    <row r="621" spans="1:285">
      <c r="A621" s="1339" t="s">
        <v>642</v>
      </c>
      <c r="B621" s="1409"/>
      <c r="C621" s="1409"/>
      <c r="D621" s="1409"/>
      <c r="E621" s="1409"/>
      <c r="F621" s="1409"/>
      <c r="G621" s="1409"/>
      <c r="H621" s="1409"/>
      <c r="I621" s="1409"/>
      <c r="J621" s="1409"/>
      <c r="K621" s="1409"/>
      <c r="L621" s="1409"/>
      <c r="M621" s="1409"/>
      <c r="N621" s="1409"/>
      <c r="O621" s="1409"/>
      <c r="P621" s="1409"/>
      <c r="Q621" s="1409"/>
      <c r="R621" s="1409"/>
      <c r="S621" s="1409"/>
      <c r="T621" s="1409"/>
      <c r="U621" s="1409"/>
      <c r="V621" s="1409"/>
      <c r="W621" s="1409"/>
      <c r="X621" s="1409"/>
      <c r="Y621" s="1409"/>
      <c r="Z621" s="1409"/>
      <c r="AA621" s="1409"/>
      <c r="AB621" s="1409"/>
      <c r="AC621" s="1409"/>
      <c r="AD621" s="1409"/>
      <c r="AE621" s="1409"/>
      <c r="AF621" s="1409"/>
      <c r="AG621" s="1409"/>
      <c r="AH621" s="1409"/>
      <c r="AI621" s="1409"/>
      <c r="AJ621" s="1409"/>
      <c r="AK621" s="1409"/>
      <c r="AL621" s="1409"/>
      <c r="AM621" s="1409"/>
      <c r="AN621" s="1409"/>
      <c r="AO621" s="1409"/>
      <c r="AP621" s="1409"/>
      <c r="AQ621" s="1409"/>
      <c r="AR621" s="1409"/>
      <c r="AS621" s="1409"/>
      <c r="AT621" s="1409"/>
      <c r="AU621" s="1409"/>
      <c r="AV621" s="1409"/>
      <c r="AW621" s="1409"/>
      <c r="AX621" s="1408"/>
      <c r="AY621" s="1409"/>
      <c r="AZ621" s="1409"/>
      <c r="BA621" s="1409"/>
      <c r="BB621" s="1409"/>
      <c r="BC621" s="1409"/>
      <c r="BD621" s="1409"/>
      <c r="BE621" s="1410"/>
      <c r="BF621" s="1409"/>
      <c r="BG621" s="1409"/>
      <c r="BH621" s="1409"/>
      <c r="BI621" s="1409"/>
      <c r="BJ621" s="1409"/>
      <c r="BK621" s="1409"/>
      <c r="BL621" s="1409"/>
      <c r="BM621" s="1409"/>
      <c r="BN621" s="1408"/>
      <c r="BO621" s="1409"/>
      <c r="BP621" s="1409"/>
      <c r="BQ621" s="1409"/>
      <c r="BR621" s="1409"/>
      <c r="BS621" s="1409"/>
      <c r="BT621" s="1409"/>
      <c r="BU621" s="1410"/>
      <c r="BV621" s="1303">
        <f t="shared" ref="BV621:DQ621" si="4358">BV617/BV$633</f>
        <v>0.176342525399129</v>
      </c>
      <c r="BW621" s="1302">
        <f t="shared" si="4358"/>
        <v>0.218724109362055</v>
      </c>
      <c r="BX621" s="1302">
        <f t="shared" si="4358"/>
        <v>0.196131528046422</v>
      </c>
      <c r="BY621" s="1302">
        <f t="shared" si="4358"/>
        <v>0.190445859872611</v>
      </c>
      <c r="BZ621" s="1302">
        <f t="shared" si="4358"/>
        <v>0.193983152827918</v>
      </c>
      <c r="CA621" s="1302">
        <f t="shared" si="4358"/>
        <v>0.206862745098039</v>
      </c>
      <c r="CB621" s="1302">
        <f t="shared" si="4358"/>
        <v>0.196911196911197</v>
      </c>
      <c r="CC621" s="1304">
        <f t="shared" si="4358"/>
        <v>0.196521739130435</v>
      </c>
      <c r="CD621" s="1303">
        <f t="shared" si="4358"/>
        <v>0.18452380952381</v>
      </c>
      <c r="CE621" s="1302">
        <f t="shared" si="4358"/>
        <v>0.212423312883436</v>
      </c>
      <c r="CF621" s="1302">
        <f t="shared" si="4358"/>
        <v>0.197443181818182</v>
      </c>
      <c r="CG621" s="1302">
        <f t="shared" si="4358"/>
        <v>0.200694042799306</v>
      </c>
      <c r="CH621" s="1302">
        <f t="shared" si="4358"/>
        <v>0.198679867986799</v>
      </c>
      <c r="CI621" s="1302">
        <f t="shared" si="4358"/>
        <v>0.209726443768997</v>
      </c>
      <c r="CJ621" s="1302">
        <f t="shared" si="4358"/>
        <v>0.204597701149425</v>
      </c>
      <c r="CK621" s="1304">
        <f t="shared" si="4358"/>
        <v>0.201160211567992</v>
      </c>
      <c r="CL621" s="1303">
        <f t="shared" si="4358"/>
        <v>0.204954954954955</v>
      </c>
      <c r="CM621" s="1302">
        <f t="shared" si="4358"/>
        <v>0.206266318537859</v>
      </c>
      <c r="CN621" s="1302">
        <f t="shared" si="4358"/>
        <v>0.205562273276904</v>
      </c>
      <c r="CO621" s="1302">
        <f t="shared" si="4358"/>
        <v>0.179896907216495</v>
      </c>
      <c r="CP621" s="1302">
        <f t="shared" si="4358"/>
        <v>0.196074695121951</v>
      </c>
      <c r="CQ621" s="1302">
        <f t="shared" si="4358"/>
        <v>0.211901306240929</v>
      </c>
      <c r="CR621" s="1302">
        <f t="shared" si="4358"/>
        <v>0.205562273276904</v>
      </c>
      <c r="CS621" s="1304">
        <f t="shared" si="4358"/>
        <v>0.199366133413824</v>
      </c>
      <c r="CT621" s="1303">
        <f t="shared" si="4358"/>
        <v>0.185266630016493</v>
      </c>
      <c r="CU621" s="1302">
        <f t="shared" si="4358"/>
        <v>0.187155963302752</v>
      </c>
      <c r="CV621" s="1302">
        <f t="shared" si="4358"/>
        <v>0.186160972785177</v>
      </c>
      <c r="CW621" s="1302">
        <f t="shared" si="4358"/>
        <v>0.168572849328692</v>
      </c>
      <c r="CX621" s="1302">
        <f t="shared" si="4358"/>
        <v>0.179688929551693</v>
      </c>
      <c r="CY621" s="1302">
        <f t="shared" si="4358"/>
        <v>0.177791262135922</v>
      </c>
      <c r="CZ621" s="1302">
        <f t="shared" si="4358"/>
        <v>0.172724788193495</v>
      </c>
      <c r="DA621" s="1304">
        <f t="shared" si="4358"/>
        <v>0.179249261914804</v>
      </c>
      <c r="DB621" s="1109">
        <f t="shared" si="4358"/>
        <v>0.142784552845528</v>
      </c>
      <c r="DC621" s="1082">
        <f t="shared" si="4358"/>
        <v>0.133589884551952</v>
      </c>
      <c r="DD621" s="1082">
        <f t="shared" si="4358"/>
        <v>0.138368101399525</v>
      </c>
      <c r="DE621" s="1082">
        <f t="shared" si="4358"/>
        <v>0.143888137122237</v>
      </c>
      <c r="DF621" s="1082">
        <f t="shared" si="4358"/>
        <v>0.140406395736176</v>
      </c>
      <c r="DG621" s="1082">
        <f t="shared" si="4358"/>
        <v>0.168409466152999</v>
      </c>
      <c r="DH621" s="1082">
        <f t="shared" si="4358"/>
        <v>0.154933068914229</v>
      </c>
      <c r="DI621" s="1085">
        <f t="shared" si="4358"/>
        <v>0.146912159570387</v>
      </c>
      <c r="DJ621" s="1082">
        <f t="shared" si="4358"/>
        <v>0.123630672926448</v>
      </c>
      <c r="DK621" s="1082">
        <f t="shared" si="4358"/>
        <v>0.16</v>
      </c>
      <c r="DL621" s="1082">
        <f t="shared" si="4358"/>
        <v>0.140987182983365</v>
      </c>
      <c r="DM621" s="1082">
        <f t="shared" si="4358"/>
        <v>0.140691615348176</v>
      </c>
      <c r="DN621" s="1082">
        <f t="shared" si="4358"/>
        <v>0.140879196953963</v>
      </c>
      <c r="DO621" s="1082" t="e">
        <f t="shared" si="4358"/>
        <v>#REF!</v>
      </c>
      <c r="DP621" s="1082" t="e">
        <f t="shared" si="4358"/>
        <v>#REF!</v>
      </c>
      <c r="DQ621" s="1085" t="e">
        <f t="shared" si="4358"/>
        <v>#REF!</v>
      </c>
      <c r="DR621" s="1082"/>
      <c r="DS621" s="1082"/>
      <c r="DT621" s="1082"/>
      <c r="DU621" s="1082"/>
      <c r="DV621" s="1082"/>
      <c r="DW621" s="1082"/>
      <c r="DX621" s="1082"/>
      <c r="DY621" s="1085"/>
      <c r="DZ621" s="1082"/>
      <c r="EA621" s="1082"/>
      <c r="EB621" s="1082"/>
      <c r="EC621" s="1082"/>
      <c r="ED621" s="1082"/>
      <c r="EE621" s="1082"/>
      <c r="EF621" s="1082"/>
      <c r="EG621" s="1085"/>
      <c r="EH621" s="1082"/>
      <c r="EI621" s="1082"/>
      <c r="EJ621" s="1082"/>
      <c r="EK621" s="1082"/>
      <c r="EL621" s="1082"/>
      <c r="EM621" s="1082"/>
      <c r="EN621" s="1082"/>
      <c r="EO621" s="1085"/>
      <c r="EP621" s="1082"/>
      <c r="EQ621" s="1082"/>
      <c r="ER621" s="1082"/>
      <c r="ES621" s="1082"/>
      <c r="ET621" s="1082"/>
      <c r="EU621" s="1082"/>
      <c r="EV621" s="1082"/>
      <c r="IX621" s="1049"/>
      <c r="IY621" s="1049"/>
      <c r="IZ621" s="1049"/>
      <c r="JA621" s="1049"/>
      <c r="JB621" s="1049"/>
      <c r="JC621" s="1049"/>
      <c r="JD621" s="1521"/>
      <c r="JE621" s="1126"/>
      <c r="JF621" s="1126"/>
      <c r="JG621" s="1126"/>
      <c r="JH621" s="1126"/>
      <c r="JI621" s="1024"/>
      <c r="JJ621" s="1035"/>
      <c r="JK621" s="1035"/>
      <c r="JL621" s="1035"/>
      <c r="JM621" s="1035"/>
      <c r="JN621" s="1035"/>
      <c r="JO621" s="1035"/>
      <c r="JP621" s="1035"/>
      <c r="JQ621" s="1035"/>
      <c r="JR621" s="1035"/>
      <c r="JS621" s="1035"/>
      <c r="JT621" s="1035"/>
      <c r="JU621" s="1035"/>
      <c r="JV621" s="1035"/>
      <c r="JW621" s="1035"/>
      <c r="JX621" s="1035"/>
      <c r="JY621" s="1035"/>
    </row>
    <row r="622" spans="1:285">
      <c r="A622" s="1306" t="s">
        <v>644</v>
      </c>
      <c r="B622" s="1307"/>
      <c r="C622" s="1307"/>
      <c r="D622" s="1307"/>
      <c r="E622" s="1307"/>
      <c r="F622" s="1307"/>
      <c r="G622" s="1307"/>
      <c r="H622" s="1307"/>
      <c r="I622" s="1307"/>
      <c r="J622" s="1307"/>
      <c r="K622" s="1307"/>
      <c r="L622" s="1307"/>
      <c r="M622" s="1307"/>
      <c r="N622" s="1307"/>
      <c r="O622" s="1307"/>
      <c r="P622" s="1307"/>
      <c r="Q622" s="1307"/>
      <c r="R622" s="1307"/>
      <c r="S622" s="1307"/>
      <c r="T622" s="1307"/>
      <c r="U622" s="1307"/>
      <c r="V622" s="1307"/>
      <c r="W622" s="1307"/>
      <c r="X622" s="1307"/>
      <c r="Y622" s="1307"/>
      <c r="Z622" s="1307"/>
      <c r="AA622" s="1307"/>
      <c r="AB622" s="1307"/>
      <c r="AC622" s="1307"/>
      <c r="AD622" s="1307"/>
      <c r="AE622" s="1307"/>
      <c r="AF622" s="1307"/>
      <c r="AG622" s="1307"/>
      <c r="AH622" s="1307"/>
      <c r="AI622" s="1307"/>
      <c r="AJ622" s="1307"/>
      <c r="AK622" s="1307"/>
      <c r="AL622" s="1307"/>
      <c r="AM622" s="1307"/>
      <c r="AN622" s="1307"/>
      <c r="AO622" s="1307"/>
      <c r="AP622" s="1307"/>
      <c r="AQ622" s="1307"/>
      <c r="AR622" s="1307"/>
      <c r="AS622" s="1307"/>
      <c r="AT622" s="1307"/>
      <c r="AU622" s="1307"/>
      <c r="AV622" s="1307"/>
      <c r="AW622" s="1307"/>
      <c r="AX622" s="1308"/>
      <c r="AY622" s="1307"/>
      <c r="AZ622" s="1307"/>
      <c r="BA622" s="1307"/>
      <c r="BB622" s="1307"/>
      <c r="BC622" s="1307"/>
      <c r="BD622" s="1307"/>
      <c r="BE622" s="1309"/>
      <c r="BF622" s="1307"/>
      <c r="BG622" s="1307"/>
      <c r="BH622" s="1307"/>
      <c r="BI622" s="1307"/>
      <c r="BJ622" s="1307"/>
      <c r="BK622" s="1307"/>
      <c r="BL622" s="1307"/>
      <c r="BM622" s="1307"/>
      <c r="BN622" s="1308"/>
      <c r="BO622" s="1307"/>
      <c r="BP622" s="1307"/>
      <c r="BQ622" s="1307"/>
      <c r="BR622" s="1307"/>
      <c r="BS622" s="1307"/>
      <c r="BT622" s="1307"/>
      <c r="BU622" s="1309"/>
      <c r="BV622" s="1308">
        <v>232</v>
      </c>
      <c r="BW622" s="1307">
        <f>BX622-BV622</f>
        <v>224</v>
      </c>
      <c r="BX622" s="1307">
        <v>456</v>
      </c>
      <c r="BY622" s="1307">
        <f>BZ622-BX622</f>
        <v>266</v>
      </c>
      <c r="BZ622" s="1307">
        <v>722</v>
      </c>
      <c r="CA622" s="1307">
        <v>246</v>
      </c>
      <c r="CB622" s="1307">
        <f>BY622+CA622</f>
        <v>512</v>
      </c>
      <c r="CC622" s="1309">
        <f>BZ622+CA622</f>
        <v>968</v>
      </c>
      <c r="CD622" s="1308">
        <v>309</v>
      </c>
      <c r="CE622" s="1307">
        <f>CF622-CD622</f>
        <v>303</v>
      </c>
      <c r="CF622" s="1307">
        <v>612</v>
      </c>
      <c r="CG622" s="1307">
        <f>CH622-CF622</f>
        <v>347</v>
      </c>
      <c r="CH622" s="1307">
        <v>959</v>
      </c>
      <c r="CI622" s="1307">
        <v>341</v>
      </c>
      <c r="CJ622" s="1307">
        <f>CG622+CI622</f>
        <v>688</v>
      </c>
      <c r="CK622" s="1309">
        <f>CH622+CI622</f>
        <v>1300</v>
      </c>
      <c r="CL622" s="1308">
        <v>380</v>
      </c>
      <c r="CM622" s="1307">
        <f>CN622-CL622</f>
        <v>369</v>
      </c>
      <c r="CN622" s="1307">
        <v>749</v>
      </c>
      <c r="CO622" s="1307">
        <f>CP622-CN622</f>
        <v>400</v>
      </c>
      <c r="CP622" s="1307">
        <v>1149</v>
      </c>
      <c r="CQ622" s="1307">
        <f>CS622-CP622</f>
        <v>389</v>
      </c>
      <c r="CR622" s="1307">
        <f>CS622-CQ622-CO622</f>
        <v>749</v>
      </c>
      <c r="CS622" s="1309">
        <v>1538</v>
      </c>
      <c r="CT622" s="1308">
        <v>395</v>
      </c>
      <c r="CU622" s="1307">
        <f>+CV622-CT622</f>
        <v>405</v>
      </c>
      <c r="CV622" s="1307">
        <v>800</v>
      </c>
      <c r="CW622" s="1307">
        <f>CX622-CV622</f>
        <v>435</v>
      </c>
      <c r="CX622" s="1307">
        <v>1235</v>
      </c>
      <c r="CY622" s="1307">
        <f>DA622-CX622</f>
        <v>468</v>
      </c>
      <c r="CZ622" s="1307">
        <f>CY622+CW622</f>
        <v>903</v>
      </c>
      <c r="DA622" s="1309">
        <v>1703</v>
      </c>
      <c r="DB622" s="1332">
        <v>466</v>
      </c>
      <c r="DC622" s="1311">
        <f>DD622-DB622</f>
        <v>493</v>
      </c>
      <c r="DD622" s="1311">
        <v>959</v>
      </c>
      <c r="DE622" s="1311">
        <f>DF622-DD622</f>
        <v>508</v>
      </c>
      <c r="DF622" s="1311">
        <v>1467</v>
      </c>
      <c r="DG622" s="1311">
        <f>DI622-DF622</f>
        <v>623</v>
      </c>
      <c r="DH622" s="1311">
        <f>DI622-DD622</f>
        <v>1131</v>
      </c>
      <c r="DI622" s="1312">
        <v>2090</v>
      </c>
      <c r="DJ622" s="1311">
        <f>DB622*(1+DJ623)</f>
        <v>508</v>
      </c>
      <c r="DK622" s="1311">
        <f>DC622*(1+DK623)</f>
        <v>489</v>
      </c>
      <c r="DL622" s="1311">
        <f>DK622+DJ622</f>
        <v>997</v>
      </c>
      <c r="DM622" s="1311">
        <f>DN622-DL622</f>
        <v>510</v>
      </c>
      <c r="DN622" s="1311">
        <v>1507</v>
      </c>
      <c r="DO622" s="1311">
        <v>0</v>
      </c>
      <c r="DP622" s="1311">
        <f>DO622+DM622</f>
        <v>510</v>
      </c>
      <c r="DQ622" s="1312">
        <f>DP622+DL622</f>
        <v>1507</v>
      </c>
      <c r="DR622" s="1311"/>
      <c r="DS622" s="1311"/>
      <c r="DT622" s="1311"/>
      <c r="DU622" s="1311"/>
      <c r="DV622" s="1311"/>
      <c r="DW622" s="1311"/>
      <c r="DX622" s="1311"/>
      <c r="DY622" s="1312"/>
      <c r="DZ622" s="1311"/>
      <c r="EA622" s="1311"/>
      <c r="EB622" s="1311"/>
      <c r="EC622" s="1311"/>
      <c r="ED622" s="1311"/>
      <c r="EE622" s="1311"/>
      <c r="EF622" s="1311"/>
      <c r="EG622" s="1312"/>
      <c r="EH622" s="1311"/>
      <c r="EI622" s="1311"/>
      <c r="EJ622" s="1311"/>
      <c r="EK622" s="1311"/>
      <c r="EL622" s="1311"/>
      <c r="EM622" s="1311"/>
      <c r="EN622" s="1311"/>
      <c r="EO622" s="1312"/>
      <c r="EP622" s="1311"/>
      <c r="EQ622" s="1311"/>
      <c r="ER622" s="1311"/>
      <c r="ES622" s="1311"/>
      <c r="ET622" s="1311"/>
      <c r="EU622" s="1311"/>
      <c r="EV622" s="1311"/>
      <c r="IX622" s="1049"/>
      <c r="IY622" s="1049"/>
      <c r="IZ622" s="1049"/>
      <c r="JA622" s="1049"/>
      <c r="JB622" s="1049"/>
      <c r="JC622" s="1049"/>
      <c r="JD622" s="1518"/>
      <c r="JE622" s="1126"/>
      <c r="JF622" s="1126"/>
      <c r="JG622" s="1126"/>
      <c r="JH622" s="1126"/>
      <c r="JI622" s="1024"/>
      <c r="JJ622" s="1035"/>
      <c r="JK622" s="1035"/>
      <c r="JL622" s="1035"/>
      <c r="JM622" s="1035"/>
      <c r="JN622" s="1035"/>
      <c r="JO622" s="1035"/>
      <c r="JP622" s="1035"/>
      <c r="JQ622" s="1035"/>
      <c r="JR622" s="1035"/>
      <c r="JS622" s="1035"/>
      <c r="JT622" s="1035"/>
      <c r="JU622" s="1035"/>
      <c r="JV622" s="1035"/>
      <c r="JW622" s="1035"/>
      <c r="JX622" s="1035"/>
      <c r="JY622" s="1035"/>
    </row>
    <row r="623" spans="1:285">
      <c r="A623" s="1339" t="s">
        <v>639</v>
      </c>
      <c r="B623" s="1409"/>
      <c r="C623" s="1409"/>
      <c r="D623" s="1409"/>
      <c r="E623" s="1409"/>
      <c r="F623" s="1409"/>
      <c r="G623" s="1409"/>
      <c r="H623" s="1409"/>
      <c r="I623" s="1409"/>
      <c r="J623" s="1409"/>
      <c r="K623" s="1409"/>
      <c r="L623" s="1409"/>
      <c r="M623" s="1409"/>
      <c r="N623" s="1409"/>
      <c r="O623" s="1409"/>
      <c r="P623" s="1409"/>
      <c r="Q623" s="1409"/>
      <c r="R623" s="1409"/>
      <c r="S623" s="1409"/>
      <c r="T623" s="1409"/>
      <c r="U623" s="1409"/>
      <c r="V623" s="1409"/>
      <c r="W623" s="1409"/>
      <c r="X623" s="1409"/>
      <c r="Y623" s="1409"/>
      <c r="Z623" s="1409"/>
      <c r="AA623" s="1409"/>
      <c r="AB623" s="1409"/>
      <c r="AC623" s="1409"/>
      <c r="AD623" s="1409"/>
      <c r="AE623" s="1409"/>
      <c r="AF623" s="1409"/>
      <c r="AG623" s="1409"/>
      <c r="AH623" s="1409"/>
      <c r="AI623" s="1409"/>
      <c r="AJ623" s="1409"/>
      <c r="AK623" s="1409"/>
      <c r="AL623" s="1409"/>
      <c r="AM623" s="1409"/>
      <c r="AN623" s="1409"/>
      <c r="AO623" s="1409"/>
      <c r="AP623" s="1409"/>
      <c r="AQ623" s="1409"/>
      <c r="AR623" s="1409"/>
      <c r="AS623" s="1409"/>
      <c r="AT623" s="1409"/>
      <c r="AU623" s="1409"/>
      <c r="AV623" s="1409"/>
      <c r="AW623" s="1409"/>
      <c r="AX623" s="1408"/>
      <c r="AY623" s="1409"/>
      <c r="AZ623" s="1409"/>
      <c r="BA623" s="1409"/>
      <c r="BB623" s="1409"/>
      <c r="BC623" s="1409"/>
      <c r="BD623" s="1409"/>
      <c r="BE623" s="1410"/>
      <c r="BF623" s="1409"/>
      <c r="BG623" s="1409"/>
      <c r="BH623" s="1409"/>
      <c r="BI623" s="1409"/>
      <c r="BJ623" s="1409"/>
      <c r="BK623" s="1409"/>
      <c r="BL623" s="1409"/>
      <c r="BM623" s="1409"/>
      <c r="BN623" s="1408"/>
      <c r="BO623" s="1409"/>
      <c r="BP623" s="1409"/>
      <c r="BQ623" s="1409"/>
      <c r="BR623" s="1409"/>
      <c r="BS623" s="1409"/>
      <c r="BT623" s="1409"/>
      <c r="BU623" s="1410"/>
      <c r="BV623" s="1526" t="s">
        <v>173</v>
      </c>
      <c r="BW623" s="1061" t="s">
        <v>173</v>
      </c>
      <c r="BX623" s="1061" t="s">
        <v>173</v>
      </c>
      <c r="BY623" s="1061" t="s">
        <v>173</v>
      </c>
      <c r="BZ623" s="1061" t="s">
        <v>173</v>
      </c>
      <c r="CA623" s="1061" t="s">
        <v>173</v>
      </c>
      <c r="CB623" s="1061" t="s">
        <v>173</v>
      </c>
      <c r="CC623" s="1527" t="s">
        <v>173</v>
      </c>
      <c r="CD623" s="1526">
        <f t="shared" ref="CD623:CN623" si="4359">CD622/BV622-1</f>
        <v>0.331896551724138</v>
      </c>
      <c r="CE623" s="1061">
        <f t="shared" si="4359"/>
        <v>0.352678571428571</v>
      </c>
      <c r="CF623" s="1061">
        <f t="shared" si="4359"/>
        <v>0.342105263157895</v>
      </c>
      <c r="CG623" s="1061">
        <f t="shared" si="4359"/>
        <v>0.304511278195489</v>
      </c>
      <c r="CH623" s="1061">
        <f t="shared" si="4359"/>
        <v>0.328254847645429</v>
      </c>
      <c r="CI623" s="1061">
        <f t="shared" si="4359"/>
        <v>0.386178861788618</v>
      </c>
      <c r="CJ623" s="1061">
        <f t="shared" si="4359"/>
        <v>0.34375</v>
      </c>
      <c r="CK623" s="1527">
        <f t="shared" si="4359"/>
        <v>0.34297520661157</v>
      </c>
      <c r="CL623" s="1526">
        <f t="shared" si="4359"/>
        <v>0.229773462783172</v>
      </c>
      <c r="CM623" s="1061">
        <f t="shared" si="4359"/>
        <v>0.217821782178218</v>
      </c>
      <c r="CN623" s="1061">
        <f t="shared" si="4359"/>
        <v>0.223856209150327</v>
      </c>
      <c r="CO623" s="1061">
        <f t="shared" ref="CO623:CT623" si="4360">CO622/CG622-1</f>
        <v>0.152737752161383</v>
      </c>
      <c r="CP623" s="1061">
        <f t="shared" si="4360"/>
        <v>0.198123044838373</v>
      </c>
      <c r="CQ623" s="1061">
        <f t="shared" si="4360"/>
        <v>0.140762463343109</v>
      </c>
      <c r="CR623" s="1061">
        <f t="shared" si="4360"/>
        <v>0.0886627906976745</v>
      </c>
      <c r="CS623" s="1527">
        <f t="shared" si="4360"/>
        <v>0.183076923076923</v>
      </c>
      <c r="CT623" s="1526">
        <f t="shared" si="4360"/>
        <v>0.0394736842105263</v>
      </c>
      <c r="CU623" s="1302">
        <f t="shared" ref="CU623:DA623" si="4361">CU622/CM622-1</f>
        <v>0.0975609756097562</v>
      </c>
      <c r="CV623" s="1302">
        <f t="shared" si="4361"/>
        <v>0.0680907877169559</v>
      </c>
      <c r="CW623" s="1302">
        <f t="shared" si="4361"/>
        <v>0.0874999999999999</v>
      </c>
      <c r="CX623" s="1302">
        <f t="shared" si="4361"/>
        <v>0.0748476936466493</v>
      </c>
      <c r="CY623" s="1302">
        <f t="shared" si="4361"/>
        <v>0.203084832904884</v>
      </c>
      <c r="CZ623" s="1302">
        <f t="shared" si="4361"/>
        <v>0.205607476635514</v>
      </c>
      <c r="DA623" s="1304">
        <f t="shared" si="4361"/>
        <v>0.107282184655397</v>
      </c>
      <c r="DB623" s="1109">
        <f t="shared" ref="DB623:DI623" si="4362">DB622/CT622-1</f>
        <v>0.179746835443038</v>
      </c>
      <c r="DC623" s="1082">
        <f t="shared" si="4362"/>
        <v>0.217283950617284</v>
      </c>
      <c r="DD623" s="1082">
        <f t="shared" si="4362"/>
        <v>0.19875</v>
      </c>
      <c r="DE623" s="1082">
        <f t="shared" si="4362"/>
        <v>0.167816091954023</v>
      </c>
      <c r="DF623" s="1082">
        <f t="shared" si="4362"/>
        <v>0.187854251012146</v>
      </c>
      <c r="DG623" s="1082">
        <f t="shared" si="4362"/>
        <v>0.331196581196581</v>
      </c>
      <c r="DH623" s="1082">
        <f t="shared" si="4362"/>
        <v>0.25249169435216</v>
      </c>
      <c r="DI623" s="1085">
        <f t="shared" si="4362"/>
        <v>0.227246036406342</v>
      </c>
      <c r="DJ623" s="1082">
        <f>SUM(DJ624:DJ625)</f>
        <v>0.0901287553648069</v>
      </c>
      <c r="DK623" s="1082">
        <f>SUM(DK624:DK625)</f>
        <v>-0.00811359026369174</v>
      </c>
      <c r="DL623" s="1082">
        <f t="shared" ref="DL623:DQ623" si="4363">DL622/DD622-1</f>
        <v>0.0396246089676746</v>
      </c>
      <c r="DM623" s="1082">
        <f t="shared" si="4363"/>
        <v>0.00393700787401574</v>
      </c>
      <c r="DN623" s="1082">
        <f t="shared" si="4363"/>
        <v>0.0272665303340149</v>
      </c>
      <c r="DO623" s="1082">
        <f t="shared" si="4363"/>
        <v>-1</v>
      </c>
      <c r="DP623" s="1082">
        <f t="shared" si="4363"/>
        <v>-0.549071618037135</v>
      </c>
      <c r="DQ623" s="1085">
        <f t="shared" si="4363"/>
        <v>-0.278947368421053</v>
      </c>
      <c r="DR623" s="1082"/>
      <c r="DS623" s="1082"/>
      <c r="DT623" s="1082"/>
      <c r="DU623" s="1082"/>
      <c r="DV623" s="1082"/>
      <c r="DW623" s="1082"/>
      <c r="DX623" s="1082"/>
      <c r="DY623" s="1085"/>
      <c r="DZ623" s="1082"/>
      <c r="EA623" s="1082"/>
      <c r="EB623" s="1082"/>
      <c r="EC623" s="1082"/>
      <c r="ED623" s="1082"/>
      <c r="EE623" s="1082"/>
      <c r="EF623" s="1082"/>
      <c r="EG623" s="1085"/>
      <c r="EH623" s="1082"/>
      <c r="EI623" s="1082"/>
      <c r="EJ623" s="1082"/>
      <c r="EK623" s="1082"/>
      <c r="EL623" s="1082"/>
      <c r="EM623" s="1082"/>
      <c r="EN623" s="1082"/>
      <c r="EO623" s="1085"/>
      <c r="EP623" s="1082"/>
      <c r="EQ623" s="1082"/>
      <c r="ER623" s="1082"/>
      <c r="ES623" s="1082"/>
      <c r="ET623" s="1082"/>
      <c r="EU623" s="1082"/>
      <c r="EV623" s="1082"/>
      <c r="IX623" s="1049"/>
      <c r="IY623" s="1049"/>
      <c r="IZ623" s="1049"/>
      <c r="JA623" s="1049"/>
      <c r="JB623" s="1049"/>
      <c r="JC623" s="1049"/>
      <c r="JD623" s="1521"/>
      <c r="JE623" s="1126"/>
      <c r="JF623" s="1126"/>
      <c r="JG623" s="1126"/>
      <c r="JH623" s="1126"/>
      <c r="JI623" s="1024"/>
      <c r="JJ623" s="1035"/>
      <c r="JK623" s="1035"/>
      <c r="JL623" s="1035"/>
      <c r="JM623" s="1035"/>
      <c r="JN623" s="1035"/>
      <c r="JO623" s="1035"/>
      <c r="JP623" s="1035"/>
      <c r="JQ623" s="1035"/>
      <c r="JR623" s="1035"/>
      <c r="JS623" s="1035"/>
      <c r="JT623" s="1035"/>
      <c r="JU623" s="1035"/>
      <c r="JV623" s="1035"/>
      <c r="JW623" s="1035"/>
      <c r="JX623" s="1035"/>
      <c r="JY623" s="1035"/>
    </row>
    <row r="624" spans="1:285">
      <c r="A624" s="1339" t="s">
        <v>640</v>
      </c>
      <c r="B624" s="1409"/>
      <c r="C624" s="1409"/>
      <c r="D624" s="1409"/>
      <c r="E624" s="1409"/>
      <c r="F624" s="1409"/>
      <c r="G624" s="1409"/>
      <c r="H624" s="1409"/>
      <c r="I624" s="1409"/>
      <c r="J624" s="1409"/>
      <c r="K624" s="1409"/>
      <c r="L624" s="1409"/>
      <c r="M624" s="1409"/>
      <c r="N624" s="1409"/>
      <c r="O624" s="1409"/>
      <c r="P624" s="1409"/>
      <c r="Q624" s="1409"/>
      <c r="R624" s="1409"/>
      <c r="S624" s="1409"/>
      <c r="T624" s="1409"/>
      <c r="U624" s="1409"/>
      <c r="V624" s="1409"/>
      <c r="W624" s="1409"/>
      <c r="X624" s="1409"/>
      <c r="Y624" s="1409"/>
      <c r="Z624" s="1409"/>
      <c r="AA624" s="1409"/>
      <c r="AB624" s="1409"/>
      <c r="AC624" s="1409"/>
      <c r="AD624" s="1409"/>
      <c r="AE624" s="1409"/>
      <c r="AF624" s="1409"/>
      <c r="AG624" s="1409"/>
      <c r="AH624" s="1409"/>
      <c r="AI624" s="1409"/>
      <c r="AJ624" s="1409"/>
      <c r="AK624" s="1409"/>
      <c r="AL624" s="1409"/>
      <c r="AM624" s="1409"/>
      <c r="AN624" s="1409"/>
      <c r="AO624" s="1409"/>
      <c r="AP624" s="1409"/>
      <c r="AQ624" s="1409"/>
      <c r="AR624" s="1409"/>
      <c r="AS624" s="1409"/>
      <c r="AT624" s="1409"/>
      <c r="AU624" s="1409"/>
      <c r="AV624" s="1409"/>
      <c r="AW624" s="1409"/>
      <c r="AX624" s="1408"/>
      <c r="AY624" s="1409"/>
      <c r="AZ624" s="1409"/>
      <c r="BA624" s="1409"/>
      <c r="BB624" s="1409"/>
      <c r="BC624" s="1409"/>
      <c r="BD624" s="1409"/>
      <c r="BE624" s="1410"/>
      <c r="BF624" s="1409"/>
      <c r="BG624" s="1409"/>
      <c r="BH624" s="1409"/>
      <c r="BI624" s="1409"/>
      <c r="BJ624" s="1409"/>
      <c r="BK624" s="1409"/>
      <c r="BL624" s="1409"/>
      <c r="BM624" s="1409"/>
      <c r="BN624" s="1408"/>
      <c r="BO624" s="1409"/>
      <c r="BP624" s="1409"/>
      <c r="BQ624" s="1409"/>
      <c r="BR624" s="1409"/>
      <c r="BS624" s="1409"/>
      <c r="BT624" s="1409"/>
      <c r="BU624" s="1410"/>
      <c r="BV624" s="1526" t="s">
        <v>173</v>
      </c>
      <c r="BW624" s="1061" t="s">
        <v>173</v>
      </c>
      <c r="BX624" s="1061" t="s">
        <v>173</v>
      </c>
      <c r="BY624" s="1061" t="s">
        <v>173</v>
      </c>
      <c r="BZ624" s="1061" t="s">
        <v>173</v>
      </c>
      <c r="CA624" s="1061" t="s">
        <v>173</v>
      </c>
      <c r="CB624" s="1061" t="s">
        <v>173</v>
      </c>
      <c r="CC624" s="1527" t="s">
        <v>173</v>
      </c>
      <c r="CD624" s="1526">
        <f t="shared" ref="CD624:CT624" si="4364">CD623-CD625</f>
        <v>-0.0181034482758621</v>
      </c>
      <c r="CE624" s="1061">
        <f t="shared" si="4364"/>
        <v>-0.0176785714285714</v>
      </c>
      <c r="CF624" s="1061">
        <f t="shared" si="4364"/>
        <v>-0.0178947368421053</v>
      </c>
      <c r="CG624" s="1061">
        <f t="shared" si="4364"/>
        <v>0.0259398496240599</v>
      </c>
      <c r="CH624" s="1061">
        <f t="shared" si="4364"/>
        <v>-0.00174515235457057</v>
      </c>
      <c r="CI624" s="1061">
        <f t="shared" si="4364"/>
        <v>0.056178861788618</v>
      </c>
      <c r="CJ624" s="1061">
        <f t="shared" si="4364"/>
        <v>0.0404687499999999</v>
      </c>
      <c r="CK624" s="1527">
        <f t="shared" si="4364"/>
        <v>0.0129752066115703</v>
      </c>
      <c r="CL624" s="1526">
        <f t="shared" si="4364"/>
        <v>0.0497734627831716</v>
      </c>
      <c r="CM624" s="1061">
        <f t="shared" si="4364"/>
        <v>-0.0227722772277228</v>
      </c>
      <c r="CN624" s="1061">
        <f t="shared" si="4364"/>
        <v>0.0138562091503269</v>
      </c>
      <c r="CO624" s="1061">
        <f t="shared" si="4364"/>
        <v>-0.0296253602305476</v>
      </c>
      <c r="CP624" s="1061">
        <f t="shared" si="4364"/>
        <v>-0.00187695516162673</v>
      </c>
      <c r="CQ624" s="1061">
        <f t="shared" si="4364"/>
        <v>-0.0592375366568915</v>
      </c>
      <c r="CR624" s="1061">
        <f t="shared" si="4364"/>
        <v>-0.102441860465116</v>
      </c>
      <c r="CS624" s="1527">
        <f t="shared" si="4364"/>
        <v>-0.0169230769230769</v>
      </c>
      <c r="CT624" s="1526">
        <f t="shared" si="4364"/>
        <v>-0.0705263157894737</v>
      </c>
      <c r="CU624" s="1302">
        <f t="shared" ref="CU624:DI624" si="4365">CU623-CU625</f>
        <v>-0.0724390243902438</v>
      </c>
      <c r="CV624" s="1061">
        <f t="shared" si="4365"/>
        <v>-0.0719092122830441</v>
      </c>
      <c r="CW624" s="1061">
        <f t="shared" si="4365"/>
        <v>-0.0525000000000001</v>
      </c>
      <c r="CX624" s="1061">
        <f t="shared" si="4365"/>
        <v>-0.0651523063533507</v>
      </c>
      <c r="CY624" s="1302">
        <f t="shared" si="4365"/>
        <v>-0.0555269922879179</v>
      </c>
      <c r="CZ624" s="1302">
        <f t="shared" si="4365"/>
        <v>-0.00347129506008012</v>
      </c>
      <c r="DA624" s="1304">
        <f t="shared" si="4365"/>
        <v>-0.0627178153446034</v>
      </c>
      <c r="DB624" s="1109">
        <f t="shared" si="4365"/>
        <v>-0.0602531645569619</v>
      </c>
      <c r="DC624" s="1082">
        <f t="shared" si="4365"/>
        <v>-0.0819753086419754</v>
      </c>
      <c r="DD624" s="1082">
        <f t="shared" si="4365"/>
        <v>-0.07125</v>
      </c>
      <c r="DE624" s="1082">
        <f t="shared" si="4365"/>
        <v>-0.0454022988505747</v>
      </c>
      <c r="DF624" s="1082">
        <f t="shared" si="4365"/>
        <v>-0.0621457489878543</v>
      </c>
      <c r="DG624" s="1082">
        <f t="shared" si="4365"/>
        <v>0.11758547008547</v>
      </c>
      <c r="DH624" s="1082">
        <f t="shared" si="4365"/>
        <v>0.0390697674418606</v>
      </c>
      <c r="DI624" s="1085">
        <f t="shared" si="4365"/>
        <v>-0.0127539635936582</v>
      </c>
      <c r="DJ624" s="1082">
        <v>0.130128755364807</v>
      </c>
      <c r="DK624" s="1082">
        <v>0.129148073022312</v>
      </c>
      <c r="DL624" s="1082">
        <f t="shared" ref="DL624:DQ624" si="4366">DL623-DL625</f>
        <v>0.129624608967675</v>
      </c>
      <c r="DM624" s="1082">
        <f t="shared" si="4366"/>
        <v>0.0650590551181102</v>
      </c>
      <c r="DN624" s="1082">
        <f t="shared" si="4366"/>
        <v>0.107266530334015</v>
      </c>
      <c r="DO624" s="1082">
        <f t="shared" si="4366"/>
        <v>-1</v>
      </c>
      <c r="DP624" s="1082">
        <f t="shared" si="4366"/>
        <v>-0.521618037135279</v>
      </c>
      <c r="DQ624" s="1085">
        <f t="shared" si="4366"/>
        <v>-0.222794258373206</v>
      </c>
      <c r="DR624" s="1488"/>
      <c r="DS624" s="1488"/>
      <c r="DT624" s="1082"/>
      <c r="DU624" s="1488"/>
      <c r="DV624" s="1082"/>
      <c r="DW624" s="1488"/>
      <c r="DX624" s="1082"/>
      <c r="DY624" s="1085"/>
      <c r="DZ624" s="1488"/>
      <c r="EA624" s="1488"/>
      <c r="EB624" s="1082"/>
      <c r="EC624" s="1488"/>
      <c r="ED624" s="1082"/>
      <c r="EE624" s="1488"/>
      <c r="EF624" s="1082"/>
      <c r="EG624" s="1085"/>
      <c r="EH624" s="1488"/>
      <c r="EI624" s="1488"/>
      <c r="EJ624" s="1082"/>
      <c r="EK624" s="1488"/>
      <c r="EL624" s="1082"/>
      <c r="EM624" s="1488"/>
      <c r="EN624" s="1082"/>
      <c r="EO624" s="1085"/>
      <c r="EP624" s="1082"/>
      <c r="EQ624" s="1082"/>
      <c r="ER624" s="1082"/>
      <c r="ES624" s="1082"/>
      <c r="ET624" s="1082"/>
      <c r="EU624" s="1082"/>
      <c r="EV624" s="1082"/>
      <c r="IX624" s="1049"/>
      <c r="IY624" s="1049"/>
      <c r="IZ624" s="1049"/>
      <c r="JA624" s="1049"/>
      <c r="JB624" s="1049"/>
      <c r="JC624" s="1049"/>
      <c r="JD624" s="1521"/>
      <c r="JE624" s="1126"/>
      <c r="JF624" s="1126"/>
      <c r="JG624" s="1126"/>
      <c r="JH624" s="1126"/>
      <c r="JI624" s="1024"/>
      <c r="JJ624" s="1035"/>
      <c r="JK624" s="1035"/>
      <c r="JL624" s="1035"/>
      <c r="JM624" s="1035"/>
      <c r="JN624" s="1035"/>
      <c r="JO624" s="1035"/>
      <c r="JP624" s="1035"/>
      <c r="JQ624" s="1035"/>
      <c r="JR624" s="1035"/>
      <c r="JS624" s="1035"/>
      <c r="JT624" s="1035"/>
      <c r="JU624" s="1035"/>
      <c r="JV624" s="1035"/>
      <c r="JW624" s="1035"/>
      <c r="JX624" s="1035"/>
      <c r="JY624" s="1035"/>
    </row>
    <row r="625" spans="1:285">
      <c r="A625" s="1339" t="s">
        <v>641</v>
      </c>
      <c r="B625" s="1409"/>
      <c r="C625" s="1409"/>
      <c r="D625" s="1409"/>
      <c r="E625" s="1409"/>
      <c r="F625" s="1409"/>
      <c r="G625" s="1409"/>
      <c r="H625" s="1409"/>
      <c r="I625" s="1409"/>
      <c r="J625" s="1409"/>
      <c r="K625" s="1409"/>
      <c r="L625" s="1409"/>
      <c r="M625" s="1409"/>
      <c r="N625" s="1409"/>
      <c r="O625" s="1409"/>
      <c r="P625" s="1409"/>
      <c r="Q625" s="1409"/>
      <c r="R625" s="1409"/>
      <c r="S625" s="1409"/>
      <c r="T625" s="1409"/>
      <c r="U625" s="1409"/>
      <c r="V625" s="1409"/>
      <c r="W625" s="1409"/>
      <c r="X625" s="1409"/>
      <c r="Y625" s="1409"/>
      <c r="Z625" s="1409"/>
      <c r="AA625" s="1409"/>
      <c r="AB625" s="1409"/>
      <c r="AC625" s="1409"/>
      <c r="AD625" s="1409"/>
      <c r="AE625" s="1409"/>
      <c r="AF625" s="1409"/>
      <c r="AG625" s="1409"/>
      <c r="AH625" s="1409"/>
      <c r="AI625" s="1409"/>
      <c r="AJ625" s="1409"/>
      <c r="AK625" s="1409"/>
      <c r="AL625" s="1409"/>
      <c r="AM625" s="1409"/>
      <c r="AN625" s="1409"/>
      <c r="AO625" s="1409"/>
      <c r="AP625" s="1409"/>
      <c r="AQ625" s="1409"/>
      <c r="AR625" s="1409"/>
      <c r="AS625" s="1409"/>
      <c r="AT625" s="1409"/>
      <c r="AU625" s="1409"/>
      <c r="AV625" s="1409"/>
      <c r="AW625" s="1409"/>
      <c r="AX625" s="1408"/>
      <c r="AY625" s="1409"/>
      <c r="AZ625" s="1409"/>
      <c r="BA625" s="1409"/>
      <c r="BB625" s="1409"/>
      <c r="BC625" s="1409"/>
      <c r="BD625" s="1409"/>
      <c r="BE625" s="1410"/>
      <c r="BF625" s="1409"/>
      <c r="BG625" s="1409"/>
      <c r="BH625" s="1409"/>
      <c r="BI625" s="1409"/>
      <c r="BJ625" s="1409"/>
      <c r="BK625" s="1409"/>
      <c r="BL625" s="1409"/>
      <c r="BM625" s="1409"/>
      <c r="BN625" s="1408"/>
      <c r="BO625" s="1409"/>
      <c r="BP625" s="1409"/>
      <c r="BQ625" s="1409"/>
      <c r="BR625" s="1409"/>
      <c r="BS625" s="1409"/>
      <c r="BT625" s="1409"/>
      <c r="BU625" s="1410"/>
      <c r="BV625" s="1526" t="s">
        <v>173</v>
      </c>
      <c r="BW625" s="1061" t="s">
        <v>173</v>
      </c>
      <c r="BX625" s="1061" t="s">
        <v>173</v>
      </c>
      <c r="BY625" s="1061" t="s">
        <v>173</v>
      </c>
      <c r="BZ625" s="1061" t="s">
        <v>173</v>
      </c>
      <c r="CA625" s="1061" t="s">
        <v>173</v>
      </c>
      <c r="CB625" s="1061" t="s">
        <v>173</v>
      </c>
      <c r="CC625" s="1527" t="s">
        <v>173</v>
      </c>
      <c r="CD625" s="1526">
        <v>0.35</v>
      </c>
      <c r="CE625" s="1061">
        <f>(CF625*(BX622/BW622))-(CD625*(BV622/BW622))</f>
        <v>0.370357142857143</v>
      </c>
      <c r="CF625" s="1061">
        <v>0.36</v>
      </c>
      <c r="CG625" s="1061">
        <f>(CH625*(BZ622/BY622))-(CF625*(BX622/BY622))</f>
        <v>0.278571428571429</v>
      </c>
      <c r="CH625" s="1061">
        <v>0.33</v>
      </c>
      <c r="CI625" s="1061">
        <f>(CK625*(CC622/CA622))-(CH625*(BZ622/CA622))</f>
        <v>0.33</v>
      </c>
      <c r="CJ625" s="1061">
        <f>(CG625*(BY622/CB622))+(CI625*(CA622/CB622))</f>
        <v>0.30328125</v>
      </c>
      <c r="CK625" s="1527">
        <v>0.33</v>
      </c>
      <c r="CL625" s="1526">
        <v>0.18</v>
      </c>
      <c r="CM625" s="1061">
        <f>(CN625*(CF622/CE622))-(CL625*(CD622/CE622))</f>
        <v>0.240594059405941</v>
      </c>
      <c r="CN625" s="1061">
        <v>0.21</v>
      </c>
      <c r="CO625" s="1061">
        <f>(CP625*(CH622/CG622))-(CN625*(CF622/CG622))</f>
        <v>0.182363112391931</v>
      </c>
      <c r="CP625" s="1061">
        <v>0.2</v>
      </c>
      <c r="CQ625" s="1061">
        <f>(CS625*(CK622/CI622))-(CP625*(CH622/CI622))</f>
        <v>0.2</v>
      </c>
      <c r="CR625" s="1061">
        <f>(CO625*(CG622/CJ622))+(CQ625*(CI622/CJ622))</f>
        <v>0.191104651162791</v>
      </c>
      <c r="CS625" s="1527">
        <v>0.2</v>
      </c>
      <c r="CT625" s="1526">
        <v>0.11</v>
      </c>
      <c r="CU625" s="1302">
        <v>0.17</v>
      </c>
      <c r="CV625" s="1302">
        <v>0.14</v>
      </c>
      <c r="CW625" s="1302">
        <f>(CX625*CP622-CV625*CN622)/CO622</f>
        <v>0.14</v>
      </c>
      <c r="CX625" s="1302">
        <v>0.14</v>
      </c>
      <c r="CY625" s="1302">
        <f>(DA625*CS622-CX625*CP622)/CQ622</f>
        <v>0.258611825192802</v>
      </c>
      <c r="CZ625" s="1302">
        <f>(DA625*CS622-CV625*CN622)/CR622</f>
        <v>0.209078771695594</v>
      </c>
      <c r="DA625" s="1304">
        <v>0.17</v>
      </c>
      <c r="DB625" s="1109">
        <v>0.24</v>
      </c>
      <c r="DC625" s="1082">
        <f>(DD625*CV622-DB625*CT622)/CU622</f>
        <v>0.299259259259259</v>
      </c>
      <c r="DD625" s="1082">
        <v>0.27</v>
      </c>
      <c r="DE625" s="1082">
        <f>(DF625*CX622-DD625*CV622)/CW622</f>
        <v>0.213218390804598</v>
      </c>
      <c r="DF625" s="1082">
        <v>0.25</v>
      </c>
      <c r="DG625" s="1082">
        <f>(DI625*DA622-DF625*CX622)/CY622</f>
        <v>0.213611111111111</v>
      </c>
      <c r="DH625" s="1082">
        <f>(DI625*DA622-DD625*CV622)/CZ622</f>
        <v>0.213421926910299</v>
      </c>
      <c r="DI625" s="1085">
        <v>0.24</v>
      </c>
      <c r="DJ625" s="1082">
        <v>-0.04</v>
      </c>
      <c r="DK625" s="1082">
        <v>-0.137261663286004</v>
      </c>
      <c r="DL625" s="1082">
        <f>(DJ625*DB622+DK625*DC622)/DD622</f>
        <v>-0.09</v>
      </c>
      <c r="DM625" s="1082">
        <f>(DN625*DF622-DL625*DD622)/DE622</f>
        <v>-0.0611220472440945</v>
      </c>
      <c r="DN625" s="1082">
        <v>-0.08</v>
      </c>
      <c r="DO625" s="1488">
        <v>0</v>
      </c>
      <c r="DP625" s="1082">
        <f>(DO625*DG622+DM625*DE622)/DH622</f>
        <v>-0.0274535809018568</v>
      </c>
      <c r="DQ625" s="1085">
        <f>(DP625*DH622+DL625*DD622)/DI622</f>
        <v>-0.0561531100478469</v>
      </c>
      <c r="DR625" s="1488"/>
      <c r="DS625" s="1488"/>
      <c r="DT625" s="1082"/>
      <c r="DU625" s="1488"/>
      <c r="DV625" s="1082"/>
      <c r="DW625" s="1488"/>
      <c r="DX625" s="1082"/>
      <c r="DY625" s="1085"/>
      <c r="DZ625" s="1488"/>
      <c r="EA625" s="1488"/>
      <c r="EB625" s="1082"/>
      <c r="EC625" s="1488"/>
      <c r="ED625" s="1082"/>
      <c r="EE625" s="1488"/>
      <c r="EF625" s="1082"/>
      <c r="EG625" s="1085"/>
      <c r="EH625" s="1488"/>
      <c r="EI625" s="1488"/>
      <c r="EJ625" s="1082"/>
      <c r="EK625" s="1488"/>
      <c r="EL625" s="1082"/>
      <c r="EM625" s="1488"/>
      <c r="EN625" s="1082"/>
      <c r="EO625" s="1085"/>
      <c r="EP625" s="1082"/>
      <c r="EQ625" s="1082"/>
      <c r="ER625" s="1082"/>
      <c r="ES625" s="1082"/>
      <c r="ET625" s="1082"/>
      <c r="EU625" s="1082"/>
      <c r="EV625" s="1082"/>
      <c r="IX625" s="1049"/>
      <c r="IY625" s="1049"/>
      <c r="IZ625" s="1049"/>
      <c r="JA625" s="1049"/>
      <c r="JB625" s="1049"/>
      <c r="JC625" s="1049"/>
      <c r="JD625" s="1521"/>
      <c r="JE625" s="1126"/>
      <c r="JF625" s="1126"/>
      <c r="JG625" s="1126"/>
      <c r="JH625" s="1126"/>
      <c r="JI625" s="1024"/>
      <c r="JJ625" s="1035"/>
      <c r="JK625" s="1035"/>
      <c r="JL625" s="1035"/>
      <c r="JM625" s="1035"/>
      <c r="JN625" s="1035"/>
      <c r="JO625" s="1035"/>
      <c r="JP625" s="1035"/>
      <c r="JQ625" s="1035"/>
      <c r="JR625" s="1035"/>
      <c r="JS625" s="1035"/>
      <c r="JT625" s="1035"/>
      <c r="JU625" s="1035"/>
      <c r="JV625" s="1035"/>
      <c r="JW625" s="1035"/>
      <c r="JX625" s="1035"/>
      <c r="JY625" s="1035"/>
    </row>
    <row r="626" spans="1:285">
      <c r="A626" s="1339" t="s">
        <v>642</v>
      </c>
      <c r="B626" s="1409"/>
      <c r="C626" s="1409"/>
      <c r="D626" s="1409"/>
      <c r="E626" s="1409"/>
      <c r="F626" s="1409"/>
      <c r="G626" s="1409"/>
      <c r="H626" s="1409"/>
      <c r="I626" s="1409"/>
      <c r="J626" s="1409"/>
      <c r="K626" s="1409"/>
      <c r="L626" s="1409"/>
      <c r="M626" s="1409"/>
      <c r="N626" s="1409"/>
      <c r="O626" s="1409"/>
      <c r="P626" s="1409"/>
      <c r="Q626" s="1409"/>
      <c r="R626" s="1409"/>
      <c r="S626" s="1409"/>
      <c r="T626" s="1409"/>
      <c r="U626" s="1409"/>
      <c r="V626" s="1409"/>
      <c r="W626" s="1409"/>
      <c r="X626" s="1409"/>
      <c r="Y626" s="1409"/>
      <c r="Z626" s="1409"/>
      <c r="AA626" s="1409"/>
      <c r="AB626" s="1409"/>
      <c r="AC626" s="1409"/>
      <c r="AD626" s="1409"/>
      <c r="AE626" s="1409"/>
      <c r="AF626" s="1409"/>
      <c r="AG626" s="1409"/>
      <c r="AH626" s="1409"/>
      <c r="AI626" s="1409"/>
      <c r="AJ626" s="1409"/>
      <c r="AK626" s="1409"/>
      <c r="AL626" s="1409"/>
      <c r="AM626" s="1409"/>
      <c r="AN626" s="1409"/>
      <c r="AO626" s="1409"/>
      <c r="AP626" s="1409"/>
      <c r="AQ626" s="1409"/>
      <c r="AR626" s="1409"/>
      <c r="AS626" s="1409"/>
      <c r="AT626" s="1409"/>
      <c r="AU626" s="1409"/>
      <c r="AV626" s="1409"/>
      <c r="AW626" s="1409"/>
      <c r="AX626" s="1408"/>
      <c r="AY626" s="1409"/>
      <c r="AZ626" s="1409"/>
      <c r="BA626" s="1409"/>
      <c r="BB626" s="1409"/>
      <c r="BC626" s="1409"/>
      <c r="BD626" s="1409"/>
      <c r="BE626" s="1410"/>
      <c r="BF626" s="1409"/>
      <c r="BG626" s="1409"/>
      <c r="BH626" s="1409"/>
      <c r="BI626" s="1409"/>
      <c r="BJ626" s="1409"/>
      <c r="BK626" s="1409"/>
      <c r="BL626" s="1409"/>
      <c r="BM626" s="1409"/>
      <c r="BN626" s="1408"/>
      <c r="BO626" s="1409"/>
      <c r="BP626" s="1409"/>
      <c r="BQ626" s="1409"/>
      <c r="BR626" s="1409"/>
      <c r="BS626" s="1409"/>
      <c r="BT626" s="1409"/>
      <c r="BU626" s="1410"/>
      <c r="BV626" s="1303">
        <f t="shared" ref="BV626:DQ626" si="4367">BV622/BV$633</f>
        <v>0.168359941944848</v>
      </c>
      <c r="BW626" s="1302">
        <f t="shared" si="4367"/>
        <v>0.185584092792046</v>
      </c>
      <c r="BX626" s="1302">
        <f t="shared" si="4367"/>
        <v>0.176402321083172</v>
      </c>
      <c r="BY626" s="1302">
        <f t="shared" si="4367"/>
        <v>0.169426751592357</v>
      </c>
      <c r="BZ626" s="1302">
        <f t="shared" si="4367"/>
        <v>0.173766546329723</v>
      </c>
      <c r="CA626" s="1302">
        <f t="shared" si="4367"/>
        <v>0.241176470588235</v>
      </c>
      <c r="CB626" s="1302">
        <f t="shared" si="4367"/>
        <v>0.197683397683398</v>
      </c>
      <c r="CC626" s="1304">
        <f t="shared" si="4367"/>
        <v>0.187053140096618</v>
      </c>
      <c r="CD626" s="1303">
        <f t="shared" si="4367"/>
        <v>0.204365079365079</v>
      </c>
      <c r="CE626" s="1302">
        <f t="shared" si="4367"/>
        <v>0.232361963190184</v>
      </c>
      <c r="CF626" s="1302">
        <f t="shared" si="4367"/>
        <v>0.217329545454545</v>
      </c>
      <c r="CG626" s="1302">
        <f t="shared" si="4367"/>
        <v>0.200694042799306</v>
      </c>
      <c r="CH626" s="1302">
        <f t="shared" si="4367"/>
        <v>0.211001100110011</v>
      </c>
      <c r="CI626" s="1302">
        <f t="shared" si="4367"/>
        <v>0.259118541033435</v>
      </c>
      <c r="CJ626" s="1302">
        <f t="shared" si="4367"/>
        <v>0.225944170771757</v>
      </c>
      <c r="CK626" s="1304">
        <f t="shared" si="4367"/>
        <v>0.221805152704317</v>
      </c>
      <c r="CL626" s="1303">
        <f t="shared" si="4367"/>
        <v>0.213963963963964</v>
      </c>
      <c r="CM626" s="1302">
        <f t="shared" si="4367"/>
        <v>0.240861618798956</v>
      </c>
      <c r="CN626" s="1302">
        <f t="shared" si="4367"/>
        <v>0.226420798065296</v>
      </c>
      <c r="CO626" s="1302">
        <f t="shared" si="4367"/>
        <v>0.206185567010309</v>
      </c>
      <c r="CP626" s="1302">
        <f t="shared" si="4367"/>
        <v>0.218940548780488</v>
      </c>
      <c r="CQ626" s="1302">
        <f t="shared" si="4367"/>
        <v>0.282293178519594</v>
      </c>
      <c r="CR626" s="1302">
        <f t="shared" si="4367"/>
        <v>0.226420798065296</v>
      </c>
      <c r="CS626" s="1304">
        <f t="shared" si="4367"/>
        <v>0.232115907032901</v>
      </c>
      <c r="CT626" s="1303">
        <f t="shared" si="4367"/>
        <v>0.217152281473337</v>
      </c>
      <c r="CU626" s="1302">
        <f t="shared" si="4367"/>
        <v>0.247706422018349</v>
      </c>
      <c r="CV626" s="1302">
        <f t="shared" si="4367"/>
        <v>0.231615518239722</v>
      </c>
      <c r="CW626" s="1302">
        <f t="shared" si="4367"/>
        <v>0.216310293386375</v>
      </c>
      <c r="CX626" s="1302">
        <f t="shared" si="4367"/>
        <v>0.225983531564501</v>
      </c>
      <c r="CY626" s="1302">
        <f t="shared" si="4367"/>
        <v>0.283980582524272</v>
      </c>
      <c r="CZ626" s="1302">
        <f t="shared" si="4367"/>
        <v>0.246788740092922</v>
      </c>
      <c r="DA626" s="1304">
        <f t="shared" si="4367"/>
        <v>0.239420778855616</v>
      </c>
      <c r="DB626" s="1109">
        <f t="shared" si="4367"/>
        <v>0.236788617886179</v>
      </c>
      <c r="DC626" s="1082">
        <f t="shared" si="4367"/>
        <v>0.271028037383178</v>
      </c>
      <c r="DD626" s="1082">
        <f t="shared" si="4367"/>
        <v>0.253234750462107</v>
      </c>
      <c r="DE626" s="1082">
        <f t="shared" si="4367"/>
        <v>0.22913847541723</v>
      </c>
      <c r="DF626" s="1082">
        <f t="shared" si="4367"/>
        <v>0.24433710859427</v>
      </c>
      <c r="DG626" s="1082">
        <f t="shared" si="4367"/>
        <v>0.342872867363786</v>
      </c>
      <c r="DH626" s="1082">
        <f t="shared" si="4367"/>
        <v>0.280366881507189</v>
      </c>
      <c r="DI626" s="1085">
        <f t="shared" si="4367"/>
        <v>0.267229254571027</v>
      </c>
      <c r="DJ626" s="1082">
        <f t="shared" si="4367"/>
        <v>0.264997391757955</v>
      </c>
      <c r="DK626" s="1082">
        <f t="shared" si="4367"/>
        <v>0.279428571428571</v>
      </c>
      <c r="DL626" s="1082">
        <f t="shared" si="4367"/>
        <v>0.271884374147805</v>
      </c>
      <c r="DM626" s="1082">
        <f t="shared" si="4367"/>
        <v>0.24159166271909</v>
      </c>
      <c r="DN626" s="1082">
        <f t="shared" si="4367"/>
        <v>0.260816891658013</v>
      </c>
      <c r="DO626" s="1082" t="e">
        <f t="shared" si="4367"/>
        <v>#REF!</v>
      </c>
      <c r="DP626" s="1082" t="e">
        <f t="shared" si="4367"/>
        <v>#REF!</v>
      </c>
      <c r="DQ626" s="1085" t="e">
        <f t="shared" si="4367"/>
        <v>#REF!</v>
      </c>
      <c r="DR626" s="1082"/>
      <c r="DS626" s="1082"/>
      <c r="DT626" s="1082"/>
      <c r="DU626" s="1082"/>
      <c r="DV626" s="1082"/>
      <c r="DW626" s="1082"/>
      <c r="DX626" s="1082"/>
      <c r="DY626" s="1085"/>
      <c r="DZ626" s="1082"/>
      <c r="EA626" s="1082"/>
      <c r="EB626" s="1082"/>
      <c r="EC626" s="1082"/>
      <c r="ED626" s="1082"/>
      <c r="EE626" s="1082"/>
      <c r="EF626" s="1082"/>
      <c r="EG626" s="1085"/>
      <c r="EH626" s="1082"/>
      <c r="EI626" s="1082"/>
      <c r="EJ626" s="1082"/>
      <c r="EK626" s="1082"/>
      <c r="EL626" s="1082"/>
      <c r="EM626" s="1082"/>
      <c r="EN626" s="1082"/>
      <c r="EO626" s="1085"/>
      <c r="EP626" s="1082"/>
      <c r="EQ626" s="1082"/>
      <c r="ER626" s="1082"/>
      <c r="ES626" s="1082"/>
      <c r="ET626" s="1082"/>
      <c r="EU626" s="1082"/>
      <c r="EV626" s="1082"/>
      <c r="IX626" s="1049"/>
      <c r="IY626" s="1049"/>
      <c r="IZ626" s="1049"/>
      <c r="JA626" s="1049"/>
      <c r="JB626" s="1049"/>
      <c r="JC626" s="1049"/>
      <c r="JD626" s="1521"/>
      <c r="JE626" s="1126"/>
      <c r="JF626" s="1126"/>
      <c r="JG626" s="1126"/>
      <c r="JH626" s="1126"/>
      <c r="JI626" s="1024"/>
      <c r="JJ626" s="1035"/>
      <c r="JK626" s="1035"/>
      <c r="JL626" s="1035"/>
      <c r="JM626" s="1035"/>
      <c r="JN626" s="1035"/>
      <c r="JO626" s="1035"/>
      <c r="JP626" s="1035"/>
      <c r="JQ626" s="1035"/>
      <c r="JR626" s="1035"/>
      <c r="JS626" s="1035"/>
      <c r="JT626" s="1035"/>
      <c r="JU626" s="1035"/>
      <c r="JV626" s="1035"/>
      <c r="JW626" s="1035"/>
      <c r="JX626" s="1035"/>
      <c r="JY626" s="1035"/>
    </row>
    <row r="627" spans="1:285">
      <c r="A627" s="1306" t="s">
        <v>102</v>
      </c>
      <c r="B627" s="1307"/>
      <c r="C627" s="1307"/>
      <c r="D627" s="1307"/>
      <c r="E627" s="1307"/>
      <c r="F627" s="1307"/>
      <c r="G627" s="1307"/>
      <c r="H627" s="1307"/>
      <c r="I627" s="1307"/>
      <c r="J627" s="1307"/>
      <c r="K627" s="1307"/>
      <c r="L627" s="1307"/>
      <c r="M627" s="1307"/>
      <c r="N627" s="1307"/>
      <c r="O627" s="1307"/>
      <c r="P627" s="1307"/>
      <c r="Q627" s="1307"/>
      <c r="R627" s="1307"/>
      <c r="S627" s="1307"/>
      <c r="T627" s="1307"/>
      <c r="U627" s="1307"/>
      <c r="V627" s="1307"/>
      <c r="W627" s="1307"/>
      <c r="X627" s="1307"/>
      <c r="Y627" s="1307"/>
      <c r="Z627" s="1307"/>
      <c r="AA627" s="1307"/>
      <c r="AB627" s="1307"/>
      <c r="AC627" s="1307"/>
      <c r="AD627" s="1307"/>
      <c r="AE627" s="1307"/>
      <c r="AF627" s="1307"/>
      <c r="AG627" s="1307"/>
      <c r="AH627" s="1307"/>
      <c r="AI627" s="1307"/>
      <c r="AJ627" s="1307"/>
      <c r="AK627" s="1307"/>
      <c r="AL627" s="1307"/>
      <c r="AM627" s="1307"/>
      <c r="AN627" s="1307"/>
      <c r="AO627" s="1307"/>
      <c r="AP627" s="1307"/>
      <c r="AQ627" s="1307"/>
      <c r="AR627" s="1307"/>
      <c r="AS627" s="1307"/>
      <c r="AT627" s="1307"/>
      <c r="AU627" s="1307"/>
      <c r="AV627" s="1307"/>
      <c r="AW627" s="1307"/>
      <c r="AX627" s="1308"/>
      <c r="AY627" s="1307"/>
      <c r="AZ627" s="1307"/>
      <c r="BA627" s="1307"/>
      <c r="BB627" s="1307"/>
      <c r="BC627" s="1307"/>
      <c r="BD627" s="1307"/>
      <c r="BE627" s="1309"/>
      <c r="BF627" s="1307"/>
      <c r="BG627" s="1307"/>
      <c r="BH627" s="1307"/>
      <c r="BI627" s="1307"/>
      <c r="BJ627" s="1307"/>
      <c r="BK627" s="1307"/>
      <c r="BL627" s="1307"/>
      <c r="BM627" s="1307"/>
      <c r="BN627" s="1308"/>
      <c r="BO627" s="1307"/>
      <c r="BP627" s="1307"/>
      <c r="BQ627" s="1307"/>
      <c r="BR627" s="1307"/>
      <c r="BS627" s="1307"/>
      <c r="BT627" s="1307"/>
      <c r="BU627" s="1309"/>
      <c r="BV627" s="1308">
        <v>47</v>
      </c>
      <c r="BW627" s="1307">
        <f>BX627-BV627</f>
        <v>48</v>
      </c>
      <c r="BX627" s="1307">
        <v>95</v>
      </c>
      <c r="BY627" s="1307">
        <f>BZ627-BX627</f>
        <v>63</v>
      </c>
      <c r="BZ627" s="1307">
        <v>158</v>
      </c>
      <c r="CA627" s="1307">
        <v>59</v>
      </c>
      <c r="CB627" s="1307">
        <f>BY627+CA627</f>
        <v>122</v>
      </c>
      <c r="CC627" s="1309">
        <f>BZ627+CA627</f>
        <v>217</v>
      </c>
      <c r="CD627" s="1308">
        <v>67</v>
      </c>
      <c r="CE627" s="1307">
        <f>CF627-CD627</f>
        <v>64</v>
      </c>
      <c r="CF627" s="1307">
        <v>131</v>
      </c>
      <c r="CG627" s="1307">
        <f>CH627-CF627</f>
        <v>93</v>
      </c>
      <c r="CH627" s="1307">
        <v>224</v>
      </c>
      <c r="CI627" s="1307">
        <v>87</v>
      </c>
      <c r="CJ627" s="1307">
        <f>CG627+CI627</f>
        <v>180</v>
      </c>
      <c r="CK627" s="1309">
        <f>CH627+CI627</f>
        <v>311</v>
      </c>
      <c r="CL627" s="1308">
        <v>111</v>
      </c>
      <c r="CM627" s="1307">
        <f>CN627-CL627</f>
        <v>98</v>
      </c>
      <c r="CN627" s="1307">
        <v>209</v>
      </c>
      <c r="CO627" s="1307">
        <f>CP627-CN627</f>
        <v>110</v>
      </c>
      <c r="CP627" s="1307">
        <v>319</v>
      </c>
      <c r="CQ627" s="1307">
        <f>CS627-CP627</f>
        <v>106</v>
      </c>
      <c r="CR627" s="1307">
        <f>CS627-CQ627-CO627</f>
        <v>209</v>
      </c>
      <c r="CS627" s="1309">
        <v>425</v>
      </c>
      <c r="CT627" s="1308">
        <v>135</v>
      </c>
      <c r="CU627" s="1307">
        <f>+CV627-CT627</f>
        <v>134</v>
      </c>
      <c r="CV627" s="1307">
        <v>269</v>
      </c>
      <c r="CW627" s="1307">
        <f>CX627-CV627</f>
        <v>148</v>
      </c>
      <c r="CX627" s="1307">
        <v>417</v>
      </c>
      <c r="CY627" s="1307">
        <f>DA627-CX627</f>
        <v>151</v>
      </c>
      <c r="CZ627" s="1307">
        <f>CY627+CW627</f>
        <v>299</v>
      </c>
      <c r="DA627" s="1309">
        <v>568</v>
      </c>
      <c r="DB627" s="1332">
        <v>157</v>
      </c>
      <c r="DC627" s="1311">
        <f>DD627-DB627</f>
        <v>150</v>
      </c>
      <c r="DD627" s="1311">
        <v>307</v>
      </c>
      <c r="DE627" s="1311">
        <f>DF627-DD627</f>
        <v>190</v>
      </c>
      <c r="DF627" s="1311">
        <v>497</v>
      </c>
      <c r="DG627" s="1311">
        <f>DI627-DF627</f>
        <v>163</v>
      </c>
      <c r="DH627" s="1311">
        <f>DI627-DD627</f>
        <v>353</v>
      </c>
      <c r="DI627" s="1312">
        <v>660</v>
      </c>
      <c r="DJ627" s="1311">
        <f>DB627*(1+DJ628)</f>
        <v>169</v>
      </c>
      <c r="DK627" s="1311">
        <f>DC627*(1+DK628)</f>
        <v>170</v>
      </c>
      <c r="DL627" s="1311">
        <f>DK627+DJ627</f>
        <v>339</v>
      </c>
      <c r="DM627" s="1311">
        <f>DN627-DL627</f>
        <v>199</v>
      </c>
      <c r="DN627" s="1311">
        <v>538</v>
      </c>
      <c r="DO627" s="1311">
        <v>0</v>
      </c>
      <c r="DP627" s="1311">
        <f>DO627+DM627</f>
        <v>199</v>
      </c>
      <c r="DQ627" s="1312">
        <f>DP627+DL627</f>
        <v>538</v>
      </c>
      <c r="DR627" s="1311"/>
      <c r="DS627" s="1311"/>
      <c r="DT627" s="1311"/>
      <c r="DU627" s="1311"/>
      <c r="DV627" s="1311"/>
      <c r="DW627" s="1311"/>
      <c r="DX627" s="1311"/>
      <c r="DY627" s="1312"/>
      <c r="DZ627" s="1311"/>
      <c r="EA627" s="1311"/>
      <c r="EB627" s="1311"/>
      <c r="EC627" s="1311"/>
      <c r="ED627" s="1311"/>
      <c r="EE627" s="1311"/>
      <c r="EF627" s="1311"/>
      <c r="EG627" s="1312"/>
      <c r="EH627" s="1311"/>
      <c r="EI627" s="1311"/>
      <c r="EJ627" s="1311"/>
      <c r="EK627" s="1311"/>
      <c r="EL627" s="1311"/>
      <c r="EM627" s="1311"/>
      <c r="EN627" s="1311"/>
      <c r="EO627" s="1312"/>
      <c r="EP627" s="1311"/>
      <c r="EQ627" s="1311"/>
      <c r="ER627" s="1311"/>
      <c r="ES627" s="1311"/>
      <c r="ET627" s="1311"/>
      <c r="EU627" s="1311"/>
      <c r="EV627" s="1311"/>
      <c r="IX627" s="1049"/>
      <c r="IY627" s="1049"/>
      <c r="IZ627" s="1049"/>
      <c r="JA627" s="1049"/>
      <c r="JB627" s="1049"/>
      <c r="JC627" s="1049"/>
      <c r="JD627" s="1518"/>
      <c r="JE627" s="1126"/>
      <c r="JF627" s="1126"/>
      <c r="JG627" s="1126"/>
      <c r="JH627" s="1126"/>
      <c r="JI627" s="1024"/>
      <c r="JJ627" s="1035"/>
      <c r="JK627" s="1035"/>
      <c r="JL627" s="1035"/>
      <c r="JM627" s="1035"/>
      <c r="JN627" s="1035"/>
      <c r="JO627" s="1035"/>
      <c r="JP627" s="1035"/>
      <c r="JQ627" s="1035"/>
      <c r="JR627" s="1035"/>
      <c r="JS627" s="1035"/>
      <c r="JT627" s="1035"/>
      <c r="JU627" s="1035"/>
      <c r="JV627" s="1035"/>
      <c r="JW627" s="1035"/>
      <c r="JX627" s="1035"/>
      <c r="JY627" s="1035"/>
    </row>
    <row r="628" spans="1:285">
      <c r="A628" s="1339" t="s">
        <v>639</v>
      </c>
      <c r="B628" s="1409"/>
      <c r="C628" s="1409"/>
      <c r="D628" s="1409"/>
      <c r="E628" s="1409"/>
      <c r="F628" s="1409"/>
      <c r="G628" s="1409"/>
      <c r="H628" s="1409"/>
      <c r="I628" s="1409"/>
      <c r="J628" s="1409"/>
      <c r="K628" s="1409"/>
      <c r="L628" s="1409"/>
      <c r="M628" s="1409"/>
      <c r="N628" s="1409"/>
      <c r="O628" s="1409"/>
      <c r="P628" s="1409"/>
      <c r="Q628" s="1409"/>
      <c r="R628" s="1409"/>
      <c r="S628" s="1409"/>
      <c r="T628" s="1409"/>
      <c r="U628" s="1409"/>
      <c r="V628" s="1409"/>
      <c r="W628" s="1409"/>
      <c r="X628" s="1409"/>
      <c r="Y628" s="1409"/>
      <c r="Z628" s="1409"/>
      <c r="AA628" s="1409"/>
      <c r="AB628" s="1409"/>
      <c r="AC628" s="1409"/>
      <c r="AD628" s="1409"/>
      <c r="AE628" s="1409"/>
      <c r="AF628" s="1409"/>
      <c r="AG628" s="1409"/>
      <c r="AH628" s="1409"/>
      <c r="AI628" s="1409"/>
      <c r="AJ628" s="1409"/>
      <c r="AK628" s="1409"/>
      <c r="AL628" s="1409"/>
      <c r="AM628" s="1409"/>
      <c r="AN628" s="1409"/>
      <c r="AO628" s="1409"/>
      <c r="AP628" s="1409"/>
      <c r="AQ628" s="1409"/>
      <c r="AR628" s="1409"/>
      <c r="AS628" s="1409"/>
      <c r="AT628" s="1409"/>
      <c r="AU628" s="1409"/>
      <c r="AV628" s="1409"/>
      <c r="AW628" s="1409"/>
      <c r="AX628" s="1408"/>
      <c r="AY628" s="1409"/>
      <c r="AZ628" s="1409"/>
      <c r="BA628" s="1409"/>
      <c r="BB628" s="1409"/>
      <c r="BC628" s="1409"/>
      <c r="BD628" s="1409"/>
      <c r="BE628" s="1410"/>
      <c r="BF628" s="1409"/>
      <c r="BG628" s="1409"/>
      <c r="BH628" s="1409"/>
      <c r="BI628" s="1409"/>
      <c r="BJ628" s="1409"/>
      <c r="BK628" s="1409"/>
      <c r="BL628" s="1409"/>
      <c r="BM628" s="1409"/>
      <c r="BN628" s="1408"/>
      <c r="BO628" s="1409"/>
      <c r="BP628" s="1409"/>
      <c r="BQ628" s="1409"/>
      <c r="BR628" s="1409"/>
      <c r="BS628" s="1409"/>
      <c r="BT628" s="1409"/>
      <c r="BU628" s="1410"/>
      <c r="BV628" s="1526" t="s">
        <v>173</v>
      </c>
      <c r="BW628" s="1061" t="s">
        <v>173</v>
      </c>
      <c r="BX628" s="1061" t="s">
        <v>173</v>
      </c>
      <c r="BY628" s="1061" t="s">
        <v>173</v>
      </c>
      <c r="BZ628" s="1061" t="s">
        <v>173</v>
      </c>
      <c r="CA628" s="1061" t="s">
        <v>173</v>
      </c>
      <c r="CB628" s="1061" t="s">
        <v>173</v>
      </c>
      <c r="CC628" s="1527" t="s">
        <v>173</v>
      </c>
      <c r="CD628" s="1526">
        <f t="shared" ref="CD628:CN628" si="4368">CD627/BV627-1</f>
        <v>0.425531914893617</v>
      </c>
      <c r="CE628" s="1061">
        <f t="shared" si="4368"/>
        <v>0.333333333333333</v>
      </c>
      <c r="CF628" s="1061">
        <f t="shared" si="4368"/>
        <v>0.378947368421053</v>
      </c>
      <c r="CG628" s="1061">
        <f t="shared" si="4368"/>
        <v>0.476190476190476</v>
      </c>
      <c r="CH628" s="1061">
        <f t="shared" si="4368"/>
        <v>0.417721518987342</v>
      </c>
      <c r="CI628" s="1061">
        <f t="shared" si="4368"/>
        <v>0.474576271186441</v>
      </c>
      <c r="CJ628" s="1061">
        <f t="shared" si="4368"/>
        <v>0.475409836065574</v>
      </c>
      <c r="CK628" s="1527">
        <f t="shared" si="4368"/>
        <v>0.433179723502304</v>
      </c>
      <c r="CL628" s="1526">
        <f t="shared" si="4368"/>
        <v>0.656716417910448</v>
      </c>
      <c r="CM628" s="1061">
        <f t="shared" si="4368"/>
        <v>0.53125</v>
      </c>
      <c r="CN628" s="1061">
        <f t="shared" si="4368"/>
        <v>0.595419847328244</v>
      </c>
      <c r="CO628" s="1061">
        <f t="shared" ref="CO628:CT628" si="4369">CO627/CG627-1</f>
        <v>0.182795698924731</v>
      </c>
      <c r="CP628" s="1061">
        <f t="shared" si="4369"/>
        <v>0.424107142857143</v>
      </c>
      <c r="CQ628" s="1061">
        <f t="shared" si="4369"/>
        <v>0.218390804597701</v>
      </c>
      <c r="CR628" s="1061">
        <f t="shared" si="4369"/>
        <v>0.161111111111111</v>
      </c>
      <c r="CS628" s="1527">
        <f t="shared" si="4369"/>
        <v>0.366559485530547</v>
      </c>
      <c r="CT628" s="1526">
        <f t="shared" si="4369"/>
        <v>0.216216216216216</v>
      </c>
      <c r="CU628" s="1302">
        <f t="shared" ref="CU628:DA628" si="4370">CU627/CM627-1</f>
        <v>0.36734693877551</v>
      </c>
      <c r="CV628" s="1302">
        <f t="shared" si="4370"/>
        <v>0.287081339712919</v>
      </c>
      <c r="CW628" s="1302">
        <f t="shared" si="4370"/>
        <v>0.345454545454545</v>
      </c>
      <c r="CX628" s="1302">
        <f t="shared" si="4370"/>
        <v>0.307210031347962</v>
      </c>
      <c r="CY628" s="1302">
        <f t="shared" si="4370"/>
        <v>0.424528301886792</v>
      </c>
      <c r="CZ628" s="1302">
        <f t="shared" si="4370"/>
        <v>0.430622009569378</v>
      </c>
      <c r="DA628" s="1304">
        <f t="shared" si="4370"/>
        <v>0.336470588235294</v>
      </c>
      <c r="DB628" s="1109">
        <f t="shared" ref="DB628:DI628" si="4371">DB627/CT627-1</f>
        <v>0.162962962962963</v>
      </c>
      <c r="DC628" s="1082">
        <f t="shared" si="4371"/>
        <v>0.119402985074627</v>
      </c>
      <c r="DD628" s="1082">
        <f t="shared" si="4371"/>
        <v>0.141263940520446</v>
      </c>
      <c r="DE628" s="1082">
        <f t="shared" si="4371"/>
        <v>0.283783783783784</v>
      </c>
      <c r="DF628" s="1082">
        <f t="shared" si="4371"/>
        <v>0.191846522781774</v>
      </c>
      <c r="DG628" s="1082">
        <f t="shared" si="4371"/>
        <v>0.0794701986754967</v>
      </c>
      <c r="DH628" s="1082">
        <f t="shared" si="4371"/>
        <v>0.180602006688963</v>
      </c>
      <c r="DI628" s="1085">
        <f t="shared" si="4371"/>
        <v>0.161971830985915</v>
      </c>
      <c r="DJ628" s="1082">
        <f>SUM(DJ629:DJ630)</f>
        <v>0.0764331210191083</v>
      </c>
      <c r="DK628" s="1082">
        <f>SUM(DK629:DK630)</f>
        <v>0.133333333333333</v>
      </c>
      <c r="DL628" s="1082">
        <f t="shared" ref="DL628:DQ628" si="4372">DL627/DD627-1</f>
        <v>0.104234527687296</v>
      </c>
      <c r="DM628" s="1082">
        <f t="shared" si="4372"/>
        <v>0.0473684210526315</v>
      </c>
      <c r="DN628" s="1082">
        <f t="shared" si="4372"/>
        <v>0.0824949698189135</v>
      </c>
      <c r="DO628" s="1082">
        <f t="shared" si="4372"/>
        <v>-1</v>
      </c>
      <c r="DP628" s="1082">
        <f t="shared" si="4372"/>
        <v>-0.436260623229462</v>
      </c>
      <c r="DQ628" s="1085">
        <f t="shared" si="4372"/>
        <v>-0.184848484848485</v>
      </c>
      <c r="DR628" s="1082"/>
      <c r="DS628" s="1082"/>
      <c r="DT628" s="1082"/>
      <c r="DU628" s="1082"/>
      <c r="DV628" s="1082"/>
      <c r="DW628" s="1082"/>
      <c r="DX628" s="1082"/>
      <c r="DY628" s="1085"/>
      <c r="DZ628" s="1082"/>
      <c r="EA628" s="1082"/>
      <c r="EB628" s="1082"/>
      <c r="EC628" s="1082"/>
      <c r="ED628" s="1082"/>
      <c r="EE628" s="1082"/>
      <c r="EF628" s="1082"/>
      <c r="EG628" s="1085"/>
      <c r="EH628" s="1082"/>
      <c r="EI628" s="1082"/>
      <c r="EJ628" s="1082"/>
      <c r="EK628" s="1082"/>
      <c r="EL628" s="1082"/>
      <c r="EM628" s="1082"/>
      <c r="EN628" s="1082"/>
      <c r="EO628" s="1085"/>
      <c r="EP628" s="1082"/>
      <c r="EQ628" s="1082"/>
      <c r="ER628" s="1082"/>
      <c r="ES628" s="1082"/>
      <c r="ET628" s="1082"/>
      <c r="EU628" s="1082"/>
      <c r="EV628" s="1082"/>
      <c r="IX628" s="1049"/>
      <c r="IY628" s="1049"/>
      <c r="IZ628" s="1049"/>
      <c r="JA628" s="1049"/>
      <c r="JB628" s="1049"/>
      <c r="JC628" s="1049"/>
      <c r="JD628" s="1521"/>
      <c r="JE628" s="1126"/>
      <c r="JF628" s="1126"/>
      <c r="JG628" s="1126"/>
      <c r="JH628" s="1126"/>
      <c r="JI628" s="1024"/>
      <c r="JJ628" s="1035"/>
      <c r="JK628" s="1035"/>
      <c r="JL628" s="1035"/>
      <c r="JM628" s="1035"/>
      <c r="JN628" s="1035"/>
      <c r="JO628" s="1035"/>
      <c r="JP628" s="1035"/>
      <c r="JQ628" s="1035"/>
      <c r="JR628" s="1035"/>
      <c r="JS628" s="1035"/>
      <c r="JT628" s="1035"/>
      <c r="JU628" s="1035"/>
      <c r="JV628" s="1035"/>
      <c r="JW628" s="1035"/>
      <c r="JX628" s="1035"/>
      <c r="JY628" s="1035"/>
    </row>
    <row r="629" spans="1:285">
      <c r="A629" s="1339" t="s">
        <v>640</v>
      </c>
      <c r="B629" s="1409"/>
      <c r="C629" s="1409"/>
      <c r="D629" s="1409"/>
      <c r="E629" s="1409"/>
      <c r="F629" s="1409"/>
      <c r="G629" s="1409"/>
      <c r="H629" s="1409"/>
      <c r="I629" s="1409"/>
      <c r="J629" s="1409"/>
      <c r="K629" s="1409"/>
      <c r="L629" s="1409"/>
      <c r="M629" s="1409"/>
      <c r="N629" s="1409"/>
      <c r="O629" s="1409"/>
      <c r="P629" s="1409"/>
      <c r="Q629" s="1409"/>
      <c r="R629" s="1409"/>
      <c r="S629" s="1409"/>
      <c r="T629" s="1409"/>
      <c r="U629" s="1409"/>
      <c r="V629" s="1409"/>
      <c r="W629" s="1409"/>
      <c r="X629" s="1409"/>
      <c r="Y629" s="1409"/>
      <c r="Z629" s="1409"/>
      <c r="AA629" s="1409"/>
      <c r="AB629" s="1409"/>
      <c r="AC629" s="1409"/>
      <c r="AD629" s="1409"/>
      <c r="AE629" s="1409"/>
      <c r="AF629" s="1409"/>
      <c r="AG629" s="1409"/>
      <c r="AH629" s="1409"/>
      <c r="AI629" s="1409"/>
      <c r="AJ629" s="1409"/>
      <c r="AK629" s="1409"/>
      <c r="AL629" s="1409"/>
      <c r="AM629" s="1409"/>
      <c r="AN629" s="1409"/>
      <c r="AO629" s="1409"/>
      <c r="AP629" s="1409"/>
      <c r="AQ629" s="1409"/>
      <c r="AR629" s="1409"/>
      <c r="AS629" s="1409"/>
      <c r="AT629" s="1409"/>
      <c r="AU629" s="1409"/>
      <c r="AV629" s="1409"/>
      <c r="AW629" s="1409"/>
      <c r="AX629" s="1408"/>
      <c r="AY629" s="1409"/>
      <c r="AZ629" s="1409"/>
      <c r="BA629" s="1409"/>
      <c r="BB629" s="1409"/>
      <c r="BC629" s="1409"/>
      <c r="BD629" s="1409"/>
      <c r="BE629" s="1410"/>
      <c r="BF629" s="1409"/>
      <c r="BG629" s="1409"/>
      <c r="BH629" s="1409"/>
      <c r="BI629" s="1409"/>
      <c r="BJ629" s="1409"/>
      <c r="BK629" s="1409"/>
      <c r="BL629" s="1409"/>
      <c r="BM629" s="1409"/>
      <c r="BN629" s="1408"/>
      <c r="BO629" s="1409"/>
      <c r="BP629" s="1409"/>
      <c r="BQ629" s="1409"/>
      <c r="BR629" s="1409"/>
      <c r="BS629" s="1409"/>
      <c r="BT629" s="1409"/>
      <c r="BU629" s="1410"/>
      <c r="BV629" s="1526" t="s">
        <v>173</v>
      </c>
      <c r="BW629" s="1061" t="s">
        <v>173</v>
      </c>
      <c r="BX629" s="1061" t="s">
        <v>173</v>
      </c>
      <c r="BY629" s="1061" t="s">
        <v>173</v>
      </c>
      <c r="BZ629" s="1061" t="s">
        <v>173</v>
      </c>
      <c r="CA629" s="1061" t="s">
        <v>173</v>
      </c>
      <c r="CB629" s="1061" t="s">
        <v>173</v>
      </c>
      <c r="CC629" s="1527" t="s">
        <v>173</v>
      </c>
      <c r="CD629" s="1526">
        <f t="shared" ref="CD629:CT629" si="4373">CD628-CD630</f>
        <v>-0.024468085106383</v>
      </c>
      <c r="CE629" s="1061">
        <f t="shared" si="4373"/>
        <v>0.0416666666666666</v>
      </c>
      <c r="CF629" s="1061">
        <f t="shared" si="4373"/>
        <v>0.0089473684210527</v>
      </c>
      <c r="CG629" s="1061">
        <f t="shared" si="4373"/>
        <v>0.156349206349207</v>
      </c>
      <c r="CH629" s="1061">
        <f t="shared" si="4373"/>
        <v>0.0677215189873418</v>
      </c>
      <c r="CI629" s="1061">
        <f t="shared" si="4373"/>
        <v>0.234915254237288</v>
      </c>
      <c r="CJ629" s="1061">
        <f t="shared" si="4373"/>
        <v>0.194344262295082</v>
      </c>
      <c r="CK629" s="1527">
        <f t="shared" si="4373"/>
        <v>0.113179723502304</v>
      </c>
      <c r="CL629" s="1526">
        <f t="shared" si="4373"/>
        <v>0.236716417910448</v>
      </c>
      <c r="CM629" s="1061">
        <f t="shared" si="4373"/>
        <v>0.0703125</v>
      </c>
      <c r="CN629" s="1061">
        <f t="shared" si="4373"/>
        <v>0.155419847328244</v>
      </c>
      <c r="CO629" s="1061">
        <f t="shared" si="4373"/>
        <v>-0.0404301075268816</v>
      </c>
      <c r="CP629" s="1061">
        <f t="shared" si="4373"/>
        <v>0.0741071428571428</v>
      </c>
      <c r="CQ629" s="1061">
        <f t="shared" si="4373"/>
        <v>-0.0601149425287357</v>
      </c>
      <c r="CR629" s="1061">
        <f t="shared" si="4373"/>
        <v>-0.0888333333333333</v>
      </c>
      <c r="CS629" s="1527">
        <f t="shared" si="4373"/>
        <v>0.0365594855305465</v>
      </c>
      <c r="CT629" s="1526">
        <f t="shared" si="4373"/>
        <v>-0.103783783783784</v>
      </c>
      <c r="CU629" s="1302">
        <f t="shared" ref="CU629:DI629" si="4374">CU628-CU630</f>
        <v>-0.0327530612244898</v>
      </c>
      <c r="CV629" s="1061">
        <f t="shared" si="4374"/>
        <v>-0.0729186602870814</v>
      </c>
      <c r="CW629" s="1061">
        <f t="shared" si="4374"/>
        <v>-0.0145454545454545</v>
      </c>
      <c r="CX629" s="1061">
        <f t="shared" si="4374"/>
        <v>-0.0527899686520376</v>
      </c>
      <c r="CY629" s="1302">
        <f t="shared" si="4374"/>
        <v>-0.0557547169811322</v>
      </c>
      <c r="CZ629" s="1302">
        <f t="shared" si="4374"/>
        <v>-0.0024401913875598</v>
      </c>
      <c r="DA629" s="1304">
        <f t="shared" si="4374"/>
        <v>-0.0535294117647059</v>
      </c>
      <c r="DB629" s="1109">
        <f t="shared" si="4374"/>
        <v>-0.047037037037037</v>
      </c>
      <c r="DC629" s="1082">
        <f t="shared" si="4374"/>
        <v>-0.05044776119403</v>
      </c>
      <c r="DD629" s="1082">
        <f t="shared" si="4374"/>
        <v>-0.0487360594795539</v>
      </c>
      <c r="DE629" s="1082">
        <f t="shared" si="4374"/>
        <v>-0.018918918918919</v>
      </c>
      <c r="DF629" s="1082">
        <f t="shared" si="4374"/>
        <v>-0.0381534772182255</v>
      </c>
      <c r="DG629" s="1082">
        <f t="shared" si="4374"/>
        <v>-0.0752980132450331</v>
      </c>
      <c r="DH629" s="1082">
        <f t="shared" si="4374"/>
        <v>-0.047391304347826</v>
      </c>
      <c r="DI629" s="1085">
        <f t="shared" si="4374"/>
        <v>-0.0480281690140845</v>
      </c>
      <c r="DJ629" s="1082">
        <v>-0.0835668789808917</v>
      </c>
      <c r="DK629" s="1082">
        <v>-0.0676</v>
      </c>
      <c r="DL629" s="1082">
        <f t="shared" ref="DL629:DQ629" si="4375">DL628-DL630</f>
        <v>-0.0757654723127035</v>
      </c>
      <c r="DM629" s="1082">
        <f t="shared" si="4375"/>
        <v>-0.106473684210526</v>
      </c>
      <c r="DN629" s="1082">
        <f t="shared" si="4375"/>
        <v>-0.0875050301810865</v>
      </c>
      <c r="DO629" s="1082">
        <f t="shared" si="4375"/>
        <v>-1</v>
      </c>
      <c r="DP629" s="1082">
        <f t="shared" si="4375"/>
        <v>-0.519065155807366</v>
      </c>
      <c r="DQ629" s="1085">
        <f t="shared" si="4375"/>
        <v>-0.312863636363636</v>
      </c>
      <c r="DR629" s="1488"/>
      <c r="DS629" s="1488"/>
      <c r="DT629" s="1082"/>
      <c r="DU629" s="1488"/>
      <c r="DV629" s="1082"/>
      <c r="DW629" s="1488"/>
      <c r="DX629" s="1082"/>
      <c r="DY629" s="1085"/>
      <c r="DZ629" s="1488"/>
      <c r="EA629" s="1488"/>
      <c r="EB629" s="1082"/>
      <c r="EC629" s="1488"/>
      <c r="ED629" s="1082"/>
      <c r="EE629" s="1488"/>
      <c r="EF629" s="1082"/>
      <c r="EG629" s="1085"/>
      <c r="EH629" s="1488"/>
      <c r="EI629" s="1488"/>
      <c r="EJ629" s="1082"/>
      <c r="EK629" s="1488"/>
      <c r="EL629" s="1082"/>
      <c r="EM629" s="1488"/>
      <c r="EN629" s="1082"/>
      <c r="EO629" s="1085"/>
      <c r="EP629" s="1082"/>
      <c r="EQ629" s="1082"/>
      <c r="ER629" s="1082"/>
      <c r="ES629" s="1082"/>
      <c r="ET629" s="1082"/>
      <c r="EU629" s="1082"/>
      <c r="EV629" s="1082"/>
      <c r="IX629" s="1049"/>
      <c r="IY629" s="1049"/>
      <c r="IZ629" s="1049"/>
      <c r="JA629" s="1049"/>
      <c r="JB629" s="1049"/>
      <c r="JC629" s="1049"/>
      <c r="JD629" s="1521"/>
      <c r="JE629" s="1126"/>
      <c r="JF629" s="1126"/>
      <c r="JG629" s="1126"/>
      <c r="JH629" s="1126"/>
      <c r="JI629" s="1024"/>
      <c r="JJ629" s="1035"/>
      <c r="JK629" s="1035"/>
      <c r="JL629" s="1035"/>
      <c r="JM629" s="1035"/>
      <c r="JN629" s="1035"/>
      <c r="JO629" s="1035"/>
      <c r="JP629" s="1035"/>
      <c r="JQ629" s="1035"/>
      <c r="JR629" s="1035"/>
      <c r="JS629" s="1035"/>
      <c r="JT629" s="1035"/>
      <c r="JU629" s="1035"/>
      <c r="JV629" s="1035"/>
      <c r="JW629" s="1035"/>
      <c r="JX629" s="1035"/>
      <c r="JY629" s="1035"/>
    </row>
    <row r="630" spans="1:285">
      <c r="A630" s="1339" t="s">
        <v>641</v>
      </c>
      <c r="B630" s="1409"/>
      <c r="C630" s="1409"/>
      <c r="D630" s="1409"/>
      <c r="E630" s="1409"/>
      <c r="F630" s="1409"/>
      <c r="G630" s="1409"/>
      <c r="H630" s="1409"/>
      <c r="I630" s="1409"/>
      <c r="J630" s="1409"/>
      <c r="K630" s="1409"/>
      <c r="L630" s="1409"/>
      <c r="M630" s="1409"/>
      <c r="N630" s="1409"/>
      <c r="O630" s="1409"/>
      <c r="P630" s="1409"/>
      <c r="Q630" s="1409"/>
      <c r="R630" s="1409"/>
      <c r="S630" s="1409"/>
      <c r="T630" s="1409"/>
      <c r="U630" s="1409"/>
      <c r="V630" s="1409"/>
      <c r="W630" s="1409"/>
      <c r="X630" s="1409"/>
      <c r="Y630" s="1409"/>
      <c r="Z630" s="1409"/>
      <c r="AA630" s="1409"/>
      <c r="AB630" s="1409"/>
      <c r="AC630" s="1409"/>
      <c r="AD630" s="1409"/>
      <c r="AE630" s="1409"/>
      <c r="AF630" s="1409"/>
      <c r="AG630" s="1409"/>
      <c r="AH630" s="1409"/>
      <c r="AI630" s="1409"/>
      <c r="AJ630" s="1409"/>
      <c r="AK630" s="1409"/>
      <c r="AL630" s="1409"/>
      <c r="AM630" s="1409"/>
      <c r="AN630" s="1409"/>
      <c r="AO630" s="1409"/>
      <c r="AP630" s="1409"/>
      <c r="AQ630" s="1409"/>
      <c r="AR630" s="1409"/>
      <c r="AS630" s="1409"/>
      <c r="AT630" s="1409"/>
      <c r="AU630" s="1409"/>
      <c r="AV630" s="1409"/>
      <c r="AW630" s="1409"/>
      <c r="AX630" s="1408"/>
      <c r="AY630" s="1409"/>
      <c r="AZ630" s="1409"/>
      <c r="BA630" s="1409"/>
      <c r="BB630" s="1409"/>
      <c r="BC630" s="1409"/>
      <c r="BD630" s="1409"/>
      <c r="BE630" s="1410"/>
      <c r="BF630" s="1409"/>
      <c r="BG630" s="1409"/>
      <c r="BH630" s="1409"/>
      <c r="BI630" s="1409"/>
      <c r="BJ630" s="1409"/>
      <c r="BK630" s="1409"/>
      <c r="BL630" s="1409"/>
      <c r="BM630" s="1409"/>
      <c r="BN630" s="1408"/>
      <c r="BO630" s="1409"/>
      <c r="BP630" s="1409"/>
      <c r="BQ630" s="1409"/>
      <c r="BR630" s="1409"/>
      <c r="BS630" s="1409"/>
      <c r="BT630" s="1409"/>
      <c r="BU630" s="1410"/>
      <c r="BV630" s="1526" t="s">
        <v>173</v>
      </c>
      <c r="BW630" s="1061" t="s">
        <v>173</v>
      </c>
      <c r="BX630" s="1061" t="s">
        <v>173</v>
      </c>
      <c r="BY630" s="1061" t="s">
        <v>173</v>
      </c>
      <c r="BZ630" s="1061" t="s">
        <v>173</v>
      </c>
      <c r="CA630" s="1061" t="s">
        <v>173</v>
      </c>
      <c r="CB630" s="1061" t="s">
        <v>173</v>
      </c>
      <c r="CC630" s="1527" t="s">
        <v>173</v>
      </c>
      <c r="CD630" s="1526">
        <v>0.45</v>
      </c>
      <c r="CE630" s="1061">
        <f>(CF630*(BX627/BW627))-(CD630*(BV627/BW627))</f>
        <v>0.291666666666667</v>
      </c>
      <c r="CF630" s="1061">
        <v>0.37</v>
      </c>
      <c r="CG630" s="1061">
        <f>(CH630*(BZ627/BY627))-(CF630*(BX627/BY627))</f>
        <v>0.31984126984127</v>
      </c>
      <c r="CH630" s="1061">
        <v>0.35</v>
      </c>
      <c r="CI630" s="1061">
        <f>(CK630*(CC627/CA627))-(CH630*(BZ627/CA627))</f>
        <v>0.239661016949153</v>
      </c>
      <c r="CJ630" s="1061">
        <f>(CG630*(BY627/CB627))+(CI630*(CA627/CB627))</f>
        <v>0.281065573770492</v>
      </c>
      <c r="CK630" s="1527">
        <v>0.32</v>
      </c>
      <c r="CL630" s="1526">
        <v>0.42</v>
      </c>
      <c r="CM630" s="1061">
        <f>(CN630*(CF627/CE627))-(CL630*(CD627/CE627))</f>
        <v>0.4609375</v>
      </c>
      <c r="CN630" s="1061">
        <v>0.44</v>
      </c>
      <c r="CO630" s="1061">
        <f>(CP630*(CH627/CG627))-(CN630*(CF627/CG627))</f>
        <v>0.223225806451613</v>
      </c>
      <c r="CP630" s="1061">
        <v>0.35</v>
      </c>
      <c r="CQ630" s="1061">
        <f>(CS630*(CK627/CI627))-(CP630*(CH627/CI627))</f>
        <v>0.278505747126437</v>
      </c>
      <c r="CR630" s="1061">
        <f>(CO630*(CG627/CJ627))+(CQ630*(CI627/CJ627))</f>
        <v>0.249944444444444</v>
      </c>
      <c r="CS630" s="1527">
        <v>0.33</v>
      </c>
      <c r="CT630" s="1526">
        <v>0.32</v>
      </c>
      <c r="CU630" s="1302">
        <v>0.4001</v>
      </c>
      <c r="CV630" s="1302">
        <v>0.36</v>
      </c>
      <c r="CW630" s="1302">
        <f>(CX630*CP627-CV630*CN627)/CO627</f>
        <v>0.36</v>
      </c>
      <c r="CX630" s="1302">
        <v>0.36</v>
      </c>
      <c r="CY630" s="1302">
        <f>(DA630*CS627-CX630*CP627)/CQ627</f>
        <v>0.480283018867925</v>
      </c>
      <c r="CZ630" s="1302">
        <f>(DA630*CS627-CV630*CN627)/CR627</f>
        <v>0.433062200956938</v>
      </c>
      <c r="DA630" s="1304">
        <v>0.39</v>
      </c>
      <c r="DB630" s="1109">
        <v>0.21</v>
      </c>
      <c r="DC630" s="1082">
        <f>(DD630*CV627-DB630*CT627)/CU627</f>
        <v>0.169850746268657</v>
      </c>
      <c r="DD630" s="1082">
        <v>0.19</v>
      </c>
      <c r="DE630" s="1082">
        <f>(DF630*CX627-DD630*CV627)/CW627</f>
        <v>0.302702702702703</v>
      </c>
      <c r="DF630" s="1082">
        <v>0.23</v>
      </c>
      <c r="DG630" s="1082">
        <f>(DI630*DA627-DF630*CX627)/CY627</f>
        <v>0.15476821192053</v>
      </c>
      <c r="DH630" s="1082">
        <f>(DI630*DA627-DD630*CV627)/CZ627</f>
        <v>0.227993311036789</v>
      </c>
      <c r="DI630" s="1085">
        <v>0.21</v>
      </c>
      <c r="DJ630" s="1082">
        <v>0.16</v>
      </c>
      <c r="DK630" s="1082">
        <v>0.200933333333333</v>
      </c>
      <c r="DL630" s="1082">
        <f>(DJ630*DB627+DK630*DC627)/DD627</f>
        <v>0.18</v>
      </c>
      <c r="DM630" s="1082">
        <f>(DN630*DF627-DL630*DD627)/DE627</f>
        <v>0.153842105263158</v>
      </c>
      <c r="DN630" s="1082">
        <v>0.17</v>
      </c>
      <c r="DO630" s="1488">
        <v>0</v>
      </c>
      <c r="DP630" s="1082">
        <f>(DO630*DG627+DM630*DE627)/DH627</f>
        <v>0.0828045325779037</v>
      </c>
      <c r="DQ630" s="1085">
        <f>(DP630*DH627+DL630*DD627)/DI627</f>
        <v>0.128015151515152</v>
      </c>
      <c r="DR630" s="1488"/>
      <c r="DS630" s="1488"/>
      <c r="DT630" s="1082"/>
      <c r="DU630" s="1488"/>
      <c r="DV630" s="1082"/>
      <c r="DW630" s="1488"/>
      <c r="DX630" s="1082"/>
      <c r="DY630" s="1085"/>
      <c r="DZ630" s="1488"/>
      <c r="EA630" s="1488"/>
      <c r="EB630" s="1082"/>
      <c r="EC630" s="1488"/>
      <c r="ED630" s="1082"/>
      <c r="EE630" s="1488"/>
      <c r="EF630" s="1082"/>
      <c r="EG630" s="1085"/>
      <c r="EH630" s="1488"/>
      <c r="EI630" s="1488"/>
      <c r="EJ630" s="1082"/>
      <c r="EK630" s="1488"/>
      <c r="EL630" s="1082"/>
      <c r="EM630" s="1488"/>
      <c r="EN630" s="1082"/>
      <c r="EO630" s="1085"/>
      <c r="EP630" s="1082"/>
      <c r="EQ630" s="1082"/>
      <c r="ER630" s="1082"/>
      <c r="ES630" s="1082"/>
      <c r="ET630" s="1082"/>
      <c r="EU630" s="1082"/>
      <c r="EV630" s="1082"/>
      <c r="IX630" s="1049"/>
      <c r="IY630" s="1049"/>
      <c r="IZ630" s="1049"/>
      <c r="JA630" s="1049"/>
      <c r="JB630" s="1049"/>
      <c r="JC630" s="1049"/>
      <c r="JD630" s="1112"/>
      <c r="JE630" s="1037"/>
      <c r="JF630" s="1037"/>
      <c r="JG630" s="1037"/>
      <c r="JH630" s="1037"/>
      <c r="JI630" s="1035"/>
      <c r="JJ630" s="1035"/>
      <c r="JK630" s="1035"/>
      <c r="JL630" s="1035"/>
      <c r="JM630" s="1035"/>
      <c r="JN630" s="1035"/>
      <c r="JO630" s="1035"/>
      <c r="JP630" s="1035"/>
      <c r="JQ630" s="1035"/>
      <c r="JR630" s="1035"/>
      <c r="JS630" s="1035"/>
      <c r="JT630" s="1035"/>
      <c r="JU630" s="1035"/>
      <c r="JV630" s="1035"/>
      <c r="JW630" s="1035"/>
      <c r="JX630" s="1035"/>
      <c r="JY630" s="1035"/>
    </row>
    <row r="631" spans="1:285">
      <c r="A631" s="1339" t="s">
        <v>642</v>
      </c>
      <c r="B631" s="1409"/>
      <c r="C631" s="1409"/>
      <c r="D631" s="1409"/>
      <c r="E631" s="1409"/>
      <c r="F631" s="1409"/>
      <c r="G631" s="1409"/>
      <c r="H631" s="1409"/>
      <c r="I631" s="1409"/>
      <c r="J631" s="1409"/>
      <c r="K631" s="1409"/>
      <c r="L631" s="1409"/>
      <c r="M631" s="1409"/>
      <c r="N631" s="1409"/>
      <c r="O631" s="1409"/>
      <c r="P631" s="1409"/>
      <c r="Q631" s="1409"/>
      <c r="R631" s="1409"/>
      <c r="S631" s="1409"/>
      <c r="T631" s="1409"/>
      <c r="U631" s="1409"/>
      <c r="V631" s="1409"/>
      <c r="W631" s="1409"/>
      <c r="X631" s="1409"/>
      <c r="Y631" s="1409"/>
      <c r="Z631" s="1409"/>
      <c r="AA631" s="1409"/>
      <c r="AB631" s="1409"/>
      <c r="AC631" s="1409"/>
      <c r="AD631" s="1409"/>
      <c r="AE631" s="1409"/>
      <c r="AF631" s="1409"/>
      <c r="AG631" s="1409"/>
      <c r="AH631" s="1409"/>
      <c r="AI631" s="1409"/>
      <c r="AJ631" s="1409"/>
      <c r="AK631" s="1409"/>
      <c r="AL631" s="1409"/>
      <c r="AM631" s="1409"/>
      <c r="AN631" s="1409"/>
      <c r="AO631" s="1409"/>
      <c r="AP631" s="1409"/>
      <c r="AQ631" s="1409"/>
      <c r="AR631" s="1409"/>
      <c r="AS631" s="1409"/>
      <c r="AT631" s="1409"/>
      <c r="AU631" s="1409"/>
      <c r="AV631" s="1409"/>
      <c r="AW631" s="1409"/>
      <c r="AX631" s="1408"/>
      <c r="AY631" s="1409"/>
      <c r="AZ631" s="1409"/>
      <c r="BA631" s="1409"/>
      <c r="BB631" s="1409"/>
      <c r="BC631" s="1409"/>
      <c r="BD631" s="1409"/>
      <c r="BE631" s="1410"/>
      <c r="BF631" s="1409"/>
      <c r="BG631" s="1409"/>
      <c r="BH631" s="1409"/>
      <c r="BI631" s="1409"/>
      <c r="BJ631" s="1409"/>
      <c r="BK631" s="1409"/>
      <c r="BL631" s="1409"/>
      <c r="BM631" s="1409"/>
      <c r="BN631" s="1408"/>
      <c r="BO631" s="1409"/>
      <c r="BP631" s="1409"/>
      <c r="BQ631" s="1409"/>
      <c r="BR631" s="1409"/>
      <c r="BS631" s="1409"/>
      <c r="BT631" s="1409"/>
      <c r="BU631" s="1410"/>
      <c r="BV631" s="1303">
        <f t="shared" ref="BV631:DQ631" si="4376">BV627/BV$633</f>
        <v>0.0341074020319303</v>
      </c>
      <c r="BW631" s="1302">
        <f t="shared" si="4376"/>
        <v>0.0397680198840099</v>
      </c>
      <c r="BX631" s="1302">
        <f t="shared" si="4376"/>
        <v>0.0367504835589942</v>
      </c>
      <c r="BY631" s="1302">
        <f t="shared" si="4376"/>
        <v>0.0401273885350318</v>
      </c>
      <c r="BZ631" s="1302">
        <f t="shared" si="4376"/>
        <v>0.0380264741275572</v>
      </c>
      <c r="CA631" s="1302">
        <f t="shared" si="4376"/>
        <v>0.057843137254902</v>
      </c>
      <c r="CB631" s="1302">
        <f t="shared" si="4376"/>
        <v>0.0471042471042471</v>
      </c>
      <c r="CC631" s="1304">
        <f t="shared" si="4376"/>
        <v>0.0419323671497585</v>
      </c>
      <c r="CD631" s="1303">
        <f t="shared" si="4376"/>
        <v>0.0443121693121693</v>
      </c>
      <c r="CE631" s="1302">
        <f t="shared" si="4376"/>
        <v>0.049079754601227</v>
      </c>
      <c r="CF631" s="1302">
        <f t="shared" si="4376"/>
        <v>0.0465198863636364</v>
      </c>
      <c r="CG631" s="1302">
        <f t="shared" si="4376"/>
        <v>0.0537883169462117</v>
      </c>
      <c r="CH631" s="1302">
        <f t="shared" si="4376"/>
        <v>0.0492849284928493</v>
      </c>
      <c r="CI631" s="1302">
        <f t="shared" si="4376"/>
        <v>0.0661094224924012</v>
      </c>
      <c r="CJ631" s="1302">
        <f t="shared" si="4376"/>
        <v>0.0591133004926108</v>
      </c>
      <c r="CK631" s="1304">
        <f t="shared" si="4376"/>
        <v>0.0530626173008019</v>
      </c>
      <c r="CL631" s="1303">
        <f t="shared" si="4376"/>
        <v>0.0625</v>
      </c>
      <c r="CM631" s="1302">
        <f t="shared" si="4376"/>
        <v>0.0639686684073107</v>
      </c>
      <c r="CN631" s="1302">
        <f t="shared" si="4376"/>
        <v>0.063180169286578</v>
      </c>
      <c r="CO631" s="1302">
        <f t="shared" si="4376"/>
        <v>0.0567010309278351</v>
      </c>
      <c r="CP631" s="1302">
        <f t="shared" si="4376"/>
        <v>0.0607850609756098</v>
      </c>
      <c r="CQ631" s="1302">
        <f t="shared" si="4376"/>
        <v>0.0769230769230769</v>
      </c>
      <c r="CR631" s="1302">
        <f t="shared" si="4376"/>
        <v>0.063180169286578</v>
      </c>
      <c r="CS631" s="1304">
        <f t="shared" si="4376"/>
        <v>0.0641412616963477</v>
      </c>
      <c r="CT631" s="1303">
        <f t="shared" si="4376"/>
        <v>0.074216602528862</v>
      </c>
      <c r="CU631" s="1302">
        <f t="shared" si="4376"/>
        <v>0.0819571865443425</v>
      </c>
      <c r="CV631" s="1302">
        <f t="shared" si="4376"/>
        <v>0.0778807180081065</v>
      </c>
      <c r="CW631" s="1302">
        <f t="shared" si="4376"/>
        <v>0.0735952262555942</v>
      </c>
      <c r="CX631" s="1302">
        <f t="shared" si="4376"/>
        <v>0.0763037511436414</v>
      </c>
      <c r="CY631" s="1302">
        <f t="shared" si="4376"/>
        <v>0.091626213592233</v>
      </c>
      <c r="CZ631" s="1302">
        <f t="shared" si="4376"/>
        <v>0.0817163159333151</v>
      </c>
      <c r="DA631" s="1304">
        <f t="shared" si="4376"/>
        <v>0.0798537888373401</v>
      </c>
      <c r="DB631" s="1109">
        <f t="shared" si="4376"/>
        <v>0.0797764227642276</v>
      </c>
      <c r="DC631" s="1082">
        <f t="shared" si="4376"/>
        <v>0.0824628916987356</v>
      </c>
      <c r="DD631" s="1082">
        <f t="shared" si="4376"/>
        <v>0.0810668074993399</v>
      </c>
      <c r="DE631" s="1082">
        <f t="shared" si="4376"/>
        <v>0.085701398285972</v>
      </c>
      <c r="DF631" s="1082">
        <f t="shared" si="4376"/>
        <v>0.0827781479013991</v>
      </c>
      <c r="DG631" s="1082">
        <f t="shared" si="4376"/>
        <v>0.0897083104017612</v>
      </c>
      <c r="DH631" s="1082">
        <f t="shared" si="4376"/>
        <v>0.0875061973227566</v>
      </c>
      <c r="DI631" s="1085">
        <f t="shared" si="4376"/>
        <v>0.0843881856540084</v>
      </c>
      <c r="DJ631" s="1082">
        <f t="shared" si="4376"/>
        <v>0.0881585811163276</v>
      </c>
      <c r="DK631" s="1082">
        <f t="shared" si="4376"/>
        <v>0.0971428571428571</v>
      </c>
      <c r="DL631" s="1082">
        <f t="shared" si="4376"/>
        <v>0.0924461412598855</v>
      </c>
      <c r="DM631" s="1082">
        <f t="shared" si="4376"/>
        <v>0.0942681193747039</v>
      </c>
      <c r="DN631" s="1082">
        <f t="shared" si="4376"/>
        <v>0.0931118033921772</v>
      </c>
      <c r="DO631" s="1082" t="e">
        <f t="shared" si="4376"/>
        <v>#REF!</v>
      </c>
      <c r="DP631" s="1082" t="e">
        <f t="shared" si="4376"/>
        <v>#REF!</v>
      </c>
      <c r="DQ631" s="1085" t="e">
        <f t="shared" si="4376"/>
        <v>#REF!</v>
      </c>
      <c r="DR631" s="1082"/>
      <c r="DS631" s="1082"/>
      <c r="DT631" s="1082"/>
      <c r="DU631" s="1082"/>
      <c r="DV631" s="1082"/>
      <c r="DW631" s="1082"/>
      <c r="DX631" s="1082"/>
      <c r="DY631" s="1085"/>
      <c r="DZ631" s="1082"/>
      <c r="EA631" s="1082"/>
      <c r="EB631" s="1082"/>
      <c r="EC631" s="1082"/>
      <c r="ED631" s="1082"/>
      <c r="EE631" s="1082"/>
      <c r="EF631" s="1082"/>
      <c r="EG631" s="1085"/>
      <c r="EH631" s="1082"/>
      <c r="EI631" s="1082"/>
      <c r="EJ631" s="1082"/>
      <c r="EK631" s="1082"/>
      <c r="EL631" s="1082"/>
      <c r="EM631" s="1082"/>
      <c r="EN631" s="1082"/>
      <c r="EO631" s="1085"/>
      <c r="EP631" s="1082"/>
      <c r="EQ631" s="1082"/>
      <c r="ER631" s="1082"/>
      <c r="ES631" s="1082"/>
      <c r="ET631" s="1082"/>
      <c r="EU631" s="1082"/>
      <c r="EV631" s="1082"/>
      <c r="IX631" s="1049"/>
      <c r="IY631" s="1049"/>
      <c r="IZ631" s="1049"/>
      <c r="JA631" s="1049"/>
      <c r="JB631" s="1049"/>
      <c r="JC631" s="1049"/>
      <c r="JD631" s="1112"/>
      <c r="JE631" s="1037"/>
      <c r="JF631" s="1037"/>
      <c r="JG631" s="1037"/>
      <c r="JH631" s="1037"/>
      <c r="JI631" s="1035"/>
      <c r="JJ631" s="1035"/>
      <c r="JK631" s="1035"/>
      <c r="JL631" s="1035"/>
      <c r="JM631" s="1035"/>
      <c r="JN631" s="1035"/>
      <c r="JO631" s="1035"/>
      <c r="JP631" s="1035"/>
      <c r="JQ631" s="1035"/>
      <c r="JR631" s="1035"/>
      <c r="JS631" s="1035"/>
      <c r="JT631" s="1035"/>
      <c r="JU631" s="1035"/>
      <c r="JV631" s="1035"/>
      <c r="JW631" s="1035"/>
      <c r="JX631" s="1035"/>
      <c r="JY631" s="1035"/>
    </row>
    <row r="632" spans="1:285">
      <c r="A632" s="1306" t="s">
        <v>64</v>
      </c>
      <c r="B632" s="1307"/>
      <c r="C632" s="1307"/>
      <c r="D632" s="1307"/>
      <c r="E632" s="1307"/>
      <c r="F632" s="1307"/>
      <c r="G632" s="1307"/>
      <c r="H632" s="1307"/>
      <c r="I632" s="1307"/>
      <c r="J632" s="1307"/>
      <c r="K632" s="1307"/>
      <c r="L632" s="1307"/>
      <c r="M632" s="1307"/>
      <c r="N632" s="1307"/>
      <c r="O632" s="1307"/>
      <c r="P632" s="1307"/>
      <c r="Q632" s="1307"/>
      <c r="R632" s="1307"/>
      <c r="S632" s="1307"/>
      <c r="T632" s="1307"/>
      <c r="U632" s="1307"/>
      <c r="V632" s="1307"/>
      <c r="W632" s="1307"/>
      <c r="X632" s="1307"/>
      <c r="Y632" s="1307"/>
      <c r="Z632" s="1307"/>
      <c r="AA632" s="1307"/>
      <c r="AB632" s="1307"/>
      <c r="AC632" s="1307"/>
      <c r="AD632" s="1307"/>
      <c r="AE632" s="1307"/>
      <c r="AF632" s="1307"/>
      <c r="AG632" s="1307"/>
      <c r="AH632" s="1307"/>
      <c r="AI632" s="1307"/>
      <c r="AJ632" s="1307"/>
      <c r="AK632" s="1307"/>
      <c r="AL632" s="1307"/>
      <c r="AM632" s="1307"/>
      <c r="AN632" s="1307"/>
      <c r="AO632" s="1307"/>
      <c r="AP632" s="1307"/>
      <c r="AQ632" s="1307"/>
      <c r="AR632" s="1307"/>
      <c r="AS632" s="1307"/>
      <c r="AT632" s="1307"/>
      <c r="AU632" s="1307"/>
      <c r="AV632" s="1307"/>
      <c r="AW632" s="1307"/>
      <c r="AX632" s="1308"/>
      <c r="AY632" s="1307"/>
      <c r="AZ632" s="1307"/>
      <c r="BA632" s="1307"/>
      <c r="BB632" s="1307"/>
      <c r="BC632" s="1307"/>
      <c r="BD632" s="1307"/>
      <c r="BE632" s="1309"/>
      <c r="BF632" s="1307"/>
      <c r="BG632" s="1307"/>
      <c r="BH632" s="1307"/>
      <c r="BI632" s="1307"/>
      <c r="BJ632" s="1307"/>
      <c r="BK632" s="1307"/>
      <c r="BL632" s="1307"/>
      <c r="BM632" s="1307"/>
      <c r="BN632" s="1308"/>
      <c r="BO632" s="1307"/>
      <c r="BP632" s="1307"/>
      <c r="BQ632" s="1307"/>
      <c r="BR632" s="1307"/>
      <c r="BS632" s="1307"/>
      <c r="BT632" s="1307"/>
      <c r="BU632" s="1309"/>
      <c r="BV632" s="1308">
        <f>BV633-BV627-BV622-BV617-BV612</f>
        <v>11</v>
      </c>
      <c r="BW632" s="1307">
        <f t="shared" ref="BW632:CN632" si="4377">BW633-BW627-BW622-BW617-BW612</f>
        <v>6</v>
      </c>
      <c r="BX632" s="1307">
        <f t="shared" si="4377"/>
        <v>17</v>
      </c>
      <c r="BY632" s="1307">
        <f t="shared" si="4377"/>
        <v>7</v>
      </c>
      <c r="BZ632" s="1307">
        <f t="shared" si="4377"/>
        <v>24</v>
      </c>
      <c r="CA632" s="1307">
        <f t="shared" si="4377"/>
        <v>2</v>
      </c>
      <c r="CB632" s="1307">
        <f t="shared" si="4377"/>
        <v>9</v>
      </c>
      <c r="CC632" s="1309">
        <f t="shared" si="4377"/>
        <v>26</v>
      </c>
      <c r="CD632" s="1308">
        <f t="shared" si="4377"/>
        <v>9</v>
      </c>
      <c r="CE632" s="1307">
        <f t="shared" si="4377"/>
        <v>2</v>
      </c>
      <c r="CF632" s="1307">
        <f t="shared" si="4377"/>
        <v>11</v>
      </c>
      <c r="CG632" s="1307">
        <f t="shared" si="4377"/>
        <v>10</v>
      </c>
      <c r="CH632" s="1307">
        <f t="shared" si="4377"/>
        <v>21</v>
      </c>
      <c r="CI632" s="1307">
        <f t="shared" si="4377"/>
        <v>8</v>
      </c>
      <c r="CJ632" s="1307">
        <f t="shared" si="4377"/>
        <v>18</v>
      </c>
      <c r="CK632" s="1309">
        <f t="shared" si="4377"/>
        <v>29</v>
      </c>
      <c r="CL632" s="1308">
        <f t="shared" si="4377"/>
        <v>16</v>
      </c>
      <c r="CM632" s="1307">
        <f t="shared" si="4377"/>
        <v>5</v>
      </c>
      <c r="CN632" s="1307">
        <f t="shared" si="4377"/>
        <v>21</v>
      </c>
      <c r="CO632" s="1307">
        <f>CP632-CN632</f>
        <v>10</v>
      </c>
      <c r="CP632" s="1307">
        <v>31</v>
      </c>
      <c r="CQ632" s="1307">
        <f>CS632-CP632</f>
        <v>9</v>
      </c>
      <c r="CR632" s="1307">
        <f>CS632-CQ632-CO632</f>
        <v>21</v>
      </c>
      <c r="CS632" s="1309">
        <f>CS633-CS627-CS617-CS612-CS622</f>
        <v>40</v>
      </c>
      <c r="CT632" s="1308">
        <f>CT633-CT627-CT617-CT612-CT622</f>
        <v>16</v>
      </c>
      <c r="CU632" s="1307">
        <f t="shared" ref="CU632:DD632" si="4378">CU633-CU627-CU622-CU617-CU612</f>
        <v>4</v>
      </c>
      <c r="CV632" s="1307">
        <f t="shared" si="4378"/>
        <v>20</v>
      </c>
      <c r="CW632" s="1307">
        <f t="shared" si="4378"/>
        <v>16</v>
      </c>
      <c r="CX632" s="1307">
        <f t="shared" si="4378"/>
        <v>36</v>
      </c>
      <c r="CY632" s="1307">
        <f t="shared" si="4378"/>
        <v>5</v>
      </c>
      <c r="CZ632" s="1307">
        <f t="shared" si="4378"/>
        <v>21</v>
      </c>
      <c r="DA632" s="1309">
        <f t="shared" si="4378"/>
        <v>41</v>
      </c>
      <c r="DB632" s="1332">
        <f t="shared" si="4378"/>
        <v>14</v>
      </c>
      <c r="DC632" s="1311">
        <f t="shared" si="4378"/>
        <v>7</v>
      </c>
      <c r="DD632" s="1311">
        <f t="shared" si="4378"/>
        <v>21</v>
      </c>
      <c r="DE632" s="1311">
        <f>DF632-DD632</f>
        <v>17</v>
      </c>
      <c r="DF632" s="1311">
        <f>DF633-DF627-DF622-DF617-DF612</f>
        <v>38</v>
      </c>
      <c r="DG632" s="1311">
        <f>DG633-DG627-DG622-DG617-DG612</f>
        <v>5</v>
      </c>
      <c r="DH632" s="1311">
        <f>DH633-DH627-DH622-DH617-DH612</f>
        <v>22</v>
      </c>
      <c r="DI632" s="1312">
        <f>DI633-DI627-DI622-DI617-DI612</f>
        <v>43</v>
      </c>
      <c r="DJ632" s="1311">
        <f>DJ633-DJ627-DJ622-DJ617-DJ612</f>
        <v>17</v>
      </c>
      <c r="DK632" s="1311">
        <f t="shared" ref="DK632:DQ632" si="4379">DK633-DK627-DK622-DK617-DK612</f>
        <v>8</v>
      </c>
      <c r="DL632" s="1311">
        <f t="shared" si="4379"/>
        <v>25</v>
      </c>
      <c r="DM632" s="1311">
        <f t="shared" si="4379"/>
        <v>20</v>
      </c>
      <c r="DN632" s="1311">
        <f t="shared" si="4379"/>
        <v>45</v>
      </c>
      <c r="DO632" s="1311" t="e">
        <f t="shared" si="4379"/>
        <v>#REF!</v>
      </c>
      <c r="DP632" s="1311" t="e">
        <f t="shared" si="4379"/>
        <v>#REF!</v>
      </c>
      <c r="DQ632" s="1312" t="e">
        <f t="shared" si="4379"/>
        <v>#REF!</v>
      </c>
      <c r="DR632" s="1311"/>
      <c r="DS632" s="1311"/>
      <c r="DT632" s="1311"/>
      <c r="DU632" s="1311"/>
      <c r="DV632" s="1311"/>
      <c r="DW632" s="1311"/>
      <c r="DX632" s="1311"/>
      <c r="DY632" s="1312"/>
      <c r="DZ632" s="1311"/>
      <c r="EA632" s="1311"/>
      <c r="EB632" s="1311"/>
      <c r="EC632" s="1311"/>
      <c r="ED632" s="1311"/>
      <c r="EE632" s="1311"/>
      <c r="EF632" s="1311"/>
      <c r="EG632" s="1312"/>
      <c r="EH632" s="1311"/>
      <c r="EI632" s="1311"/>
      <c r="EJ632" s="1311"/>
      <c r="EK632" s="1311"/>
      <c r="EL632" s="1311"/>
      <c r="EM632" s="1311"/>
      <c r="EN632" s="1311"/>
      <c r="EO632" s="1312"/>
      <c r="EP632" s="1311"/>
      <c r="EQ632" s="1311"/>
      <c r="ER632" s="1311"/>
      <c r="ES632" s="1311"/>
      <c r="ET632" s="1311"/>
      <c r="EU632" s="1311"/>
      <c r="EV632" s="1311"/>
      <c r="IX632" s="1049"/>
      <c r="IY632" s="1049"/>
      <c r="IZ632" s="1049"/>
      <c r="JA632" s="1049"/>
      <c r="JB632" s="1049"/>
      <c r="JC632" s="1049"/>
      <c r="JD632" s="1469"/>
      <c r="JE632" s="1037"/>
      <c r="JF632" s="1037"/>
      <c r="JG632" s="1037"/>
      <c r="JH632" s="1037"/>
      <c r="JI632" s="1035"/>
      <c r="JJ632" s="1035"/>
      <c r="JK632" s="1035"/>
      <c r="JL632" s="1035"/>
      <c r="JM632" s="1035"/>
      <c r="JN632" s="1035"/>
      <c r="JO632" s="1035"/>
      <c r="JP632" s="1035"/>
      <c r="JQ632" s="1035"/>
      <c r="JR632" s="1035"/>
      <c r="JS632" s="1035"/>
      <c r="JT632" s="1035"/>
      <c r="JU632" s="1035"/>
      <c r="JV632" s="1035"/>
      <c r="JW632" s="1035"/>
      <c r="JX632" s="1035"/>
      <c r="JY632" s="1035"/>
    </row>
    <row r="633" spans="1:285">
      <c r="A633" s="1191" t="s">
        <v>212</v>
      </c>
      <c r="B633" s="1499"/>
      <c r="C633" s="1499"/>
      <c r="D633" s="1499"/>
      <c r="E633" s="1499"/>
      <c r="F633" s="1499"/>
      <c r="G633" s="1499"/>
      <c r="H633" s="1499"/>
      <c r="I633" s="1499"/>
      <c r="J633" s="1499"/>
      <c r="K633" s="1499"/>
      <c r="L633" s="1499"/>
      <c r="M633" s="1499"/>
      <c r="N633" s="1499"/>
      <c r="O633" s="1499"/>
      <c r="P633" s="1499"/>
      <c r="Q633" s="1499"/>
      <c r="R633" s="1499"/>
      <c r="S633" s="1499"/>
      <c r="T633" s="1499"/>
      <c r="U633" s="1499"/>
      <c r="V633" s="1499"/>
      <c r="W633" s="1499"/>
      <c r="X633" s="1499"/>
      <c r="Y633" s="1499"/>
      <c r="Z633" s="1499"/>
      <c r="AA633" s="1499"/>
      <c r="AB633" s="1499"/>
      <c r="AC633" s="1499"/>
      <c r="AD633" s="1499"/>
      <c r="AE633" s="1499"/>
      <c r="AF633" s="1499"/>
      <c r="AG633" s="1499"/>
      <c r="AH633" s="1499"/>
      <c r="AI633" s="1499"/>
      <c r="AJ633" s="1499"/>
      <c r="AK633" s="1499"/>
      <c r="AL633" s="1499"/>
      <c r="AM633" s="1499"/>
      <c r="AN633" s="1499"/>
      <c r="AO633" s="1499"/>
      <c r="AP633" s="1499"/>
      <c r="AQ633" s="1499"/>
      <c r="AR633" s="1499"/>
      <c r="AS633" s="1499"/>
      <c r="AT633" s="1499"/>
      <c r="AU633" s="1499"/>
      <c r="AV633" s="1499"/>
      <c r="AW633" s="1499"/>
      <c r="AX633" s="1500"/>
      <c r="AY633" s="1499"/>
      <c r="AZ633" s="1499"/>
      <c r="BA633" s="1499"/>
      <c r="BB633" s="1499"/>
      <c r="BC633" s="1499"/>
      <c r="BD633" s="1499"/>
      <c r="BE633" s="1501"/>
      <c r="BF633" s="1499"/>
      <c r="BG633" s="1499"/>
      <c r="BH633" s="1499"/>
      <c r="BI633" s="1499"/>
      <c r="BJ633" s="1499"/>
      <c r="BK633" s="1499"/>
      <c r="BL633" s="1499"/>
      <c r="BM633" s="1499"/>
      <c r="BN633" s="1500"/>
      <c r="BO633" s="1499"/>
      <c r="BP633" s="1499"/>
      <c r="BQ633" s="1499"/>
      <c r="BR633" s="1499"/>
      <c r="BS633" s="1499"/>
      <c r="BT633" s="1499"/>
      <c r="BU633" s="1501"/>
      <c r="BV633" s="1500">
        <f t="shared" ref="BV633:CN633" si="4380">BV549</f>
        <v>1378</v>
      </c>
      <c r="BW633" s="1499">
        <f t="shared" si="4380"/>
        <v>1207</v>
      </c>
      <c r="BX633" s="1499">
        <f t="shared" si="4380"/>
        <v>2585</v>
      </c>
      <c r="BY633" s="1499">
        <f t="shared" si="4380"/>
        <v>1570</v>
      </c>
      <c r="BZ633" s="1499">
        <f t="shared" si="4380"/>
        <v>4155</v>
      </c>
      <c r="CA633" s="1499">
        <f t="shared" si="4380"/>
        <v>1020</v>
      </c>
      <c r="CB633" s="1499">
        <f t="shared" si="4380"/>
        <v>2590</v>
      </c>
      <c r="CC633" s="1501">
        <f t="shared" si="4380"/>
        <v>5175</v>
      </c>
      <c r="CD633" s="1500">
        <f t="shared" si="4380"/>
        <v>1512</v>
      </c>
      <c r="CE633" s="1499">
        <f t="shared" si="4380"/>
        <v>1304</v>
      </c>
      <c r="CF633" s="1499">
        <f t="shared" si="4380"/>
        <v>2816</v>
      </c>
      <c r="CG633" s="1499">
        <f t="shared" si="4380"/>
        <v>1729</v>
      </c>
      <c r="CH633" s="1499">
        <f t="shared" si="4380"/>
        <v>4545</v>
      </c>
      <c r="CI633" s="1499">
        <f t="shared" si="4380"/>
        <v>1316</v>
      </c>
      <c r="CJ633" s="1499">
        <f t="shared" si="4380"/>
        <v>3045</v>
      </c>
      <c r="CK633" s="1501">
        <f t="shared" si="4380"/>
        <v>5861</v>
      </c>
      <c r="CL633" s="1500">
        <f t="shared" si="4380"/>
        <v>1776</v>
      </c>
      <c r="CM633" s="1499">
        <f t="shared" si="4380"/>
        <v>1532</v>
      </c>
      <c r="CN633" s="1499">
        <f t="shared" si="4380"/>
        <v>3308</v>
      </c>
      <c r="CO633" s="1499">
        <f>CP633-CM633-CL633</f>
        <v>1940</v>
      </c>
      <c r="CP633" s="1499">
        <v>5248</v>
      </c>
      <c r="CQ633" s="1499">
        <f>CS633-CP633</f>
        <v>1378</v>
      </c>
      <c r="CR633" s="1499">
        <f>CS633-CQ633-CO633</f>
        <v>3308</v>
      </c>
      <c r="CS633" s="1501">
        <f t="shared" ref="CS633:DB633" si="4381">CS549</f>
        <v>6626</v>
      </c>
      <c r="CT633" s="1500">
        <f t="shared" si="4381"/>
        <v>1819</v>
      </c>
      <c r="CU633" s="1499">
        <f t="shared" si="4381"/>
        <v>1635</v>
      </c>
      <c r="CV633" s="1499">
        <f t="shared" si="4381"/>
        <v>3454</v>
      </c>
      <c r="CW633" s="1499">
        <f t="shared" si="4381"/>
        <v>2011</v>
      </c>
      <c r="CX633" s="1499">
        <f t="shared" si="4381"/>
        <v>5465</v>
      </c>
      <c r="CY633" s="1499">
        <f t="shared" si="4381"/>
        <v>1648</v>
      </c>
      <c r="CZ633" s="1499">
        <f t="shared" si="4381"/>
        <v>3659</v>
      </c>
      <c r="DA633" s="1501">
        <f t="shared" si="4381"/>
        <v>7113</v>
      </c>
      <c r="DB633" s="1502">
        <f t="shared" si="4381"/>
        <v>1968</v>
      </c>
      <c r="DC633" s="1372">
        <f>DD633-DB633</f>
        <v>1819</v>
      </c>
      <c r="DD633" s="1372">
        <v>3787</v>
      </c>
      <c r="DE633" s="1372">
        <f>DF633-DD633</f>
        <v>2217</v>
      </c>
      <c r="DF633" s="1372">
        <v>6004</v>
      </c>
      <c r="DG633" s="1372">
        <f>DI633-DF633</f>
        <v>1817</v>
      </c>
      <c r="DH633" s="1372">
        <f>DI633-DD633</f>
        <v>4034</v>
      </c>
      <c r="DI633" s="1503">
        <f t="shared" ref="DI633:DQ633" si="4382">DI549</f>
        <v>7821</v>
      </c>
      <c r="DJ633" s="1372">
        <f t="shared" si="4382"/>
        <v>1917</v>
      </c>
      <c r="DK633" s="1372">
        <f t="shared" si="4382"/>
        <v>1750</v>
      </c>
      <c r="DL633" s="1372">
        <f t="shared" si="4382"/>
        <v>3667</v>
      </c>
      <c r="DM633" s="1372">
        <f t="shared" si="4382"/>
        <v>2111</v>
      </c>
      <c r="DN633" s="1372">
        <f t="shared" si="4382"/>
        <v>5778</v>
      </c>
      <c r="DO633" s="1372" t="e">
        <f t="shared" si="4382"/>
        <v>#REF!</v>
      </c>
      <c r="DP633" s="1372" t="e">
        <f t="shared" si="4382"/>
        <v>#REF!</v>
      </c>
      <c r="DQ633" s="1503" t="e">
        <f t="shared" si="4382"/>
        <v>#REF!</v>
      </c>
      <c r="DR633" s="1372"/>
      <c r="DS633" s="1372"/>
      <c r="DT633" s="1372"/>
      <c r="DU633" s="1372"/>
      <c r="DV633" s="1372"/>
      <c r="DW633" s="1372"/>
      <c r="DX633" s="1372"/>
      <c r="DY633" s="1503"/>
      <c r="DZ633" s="1372"/>
      <c r="EA633" s="1372"/>
      <c r="EB633" s="1372"/>
      <c r="EC633" s="1372"/>
      <c r="ED633" s="1372"/>
      <c r="EE633" s="1372"/>
      <c r="EF633" s="1372"/>
      <c r="EG633" s="1503"/>
      <c r="EH633" s="1372"/>
      <c r="EI633" s="1372"/>
      <c r="EJ633" s="1372"/>
      <c r="EK633" s="1372"/>
      <c r="EL633" s="1372"/>
      <c r="EM633" s="1372"/>
      <c r="EN633" s="1372"/>
      <c r="EO633" s="1503"/>
      <c r="EP633" s="1372"/>
      <c r="EQ633" s="1372"/>
      <c r="ER633" s="1372"/>
      <c r="ES633" s="1372"/>
      <c r="ET633" s="1372"/>
      <c r="EU633" s="1372"/>
      <c r="EV633" s="1372"/>
      <c r="IX633" s="1049"/>
      <c r="IY633" s="1049"/>
      <c r="IZ633" s="1049"/>
      <c r="JA633" s="1049"/>
      <c r="JB633" s="1049"/>
      <c r="JC633" s="1049"/>
      <c r="JD633" s="1469"/>
      <c r="JE633" s="1037"/>
      <c r="JF633" s="1037"/>
      <c r="JG633" s="1037"/>
      <c r="JH633" s="1037"/>
      <c r="JI633" s="1035"/>
      <c r="JJ633" s="1035"/>
      <c r="JK633" s="1035"/>
      <c r="JL633" s="1035"/>
      <c r="JM633" s="1035"/>
      <c r="JN633" s="1035"/>
      <c r="JO633" s="1035"/>
      <c r="JP633" s="1035"/>
      <c r="JQ633" s="1035"/>
      <c r="JR633" s="1035"/>
      <c r="JS633" s="1035"/>
      <c r="JT633" s="1035"/>
      <c r="JU633" s="1035"/>
      <c r="JV633" s="1035"/>
      <c r="JW633" s="1035"/>
      <c r="JX633" s="1035"/>
      <c r="JY633" s="1035"/>
    </row>
    <row r="634" spans="1:285">
      <c r="A634" s="883" t="s">
        <v>645</v>
      </c>
      <c r="B634" s="1302"/>
      <c r="C634" s="1302"/>
      <c r="D634" s="1302"/>
      <c r="E634" s="1302"/>
      <c r="F634" s="1302"/>
      <c r="G634" s="1302"/>
      <c r="H634" s="1302"/>
      <c r="I634" s="1302"/>
      <c r="J634" s="1302"/>
      <c r="K634" s="1302"/>
      <c r="L634" s="1302"/>
      <c r="M634" s="1302"/>
      <c r="N634" s="1302"/>
      <c r="O634" s="1302"/>
      <c r="P634" s="1302"/>
      <c r="Q634" s="1302"/>
      <c r="R634" s="1302"/>
      <c r="S634" s="1302"/>
      <c r="T634" s="1302"/>
      <c r="U634" s="1302"/>
      <c r="V634" s="1302"/>
      <c r="W634" s="1302"/>
      <c r="X634" s="1302"/>
      <c r="Y634" s="1302"/>
      <c r="Z634" s="1302"/>
      <c r="AA634" s="1302"/>
      <c r="AB634" s="1302"/>
      <c r="AC634" s="1302"/>
      <c r="AD634" s="1302"/>
      <c r="AE634" s="1302"/>
      <c r="AF634" s="1302"/>
      <c r="AG634" s="1302"/>
      <c r="AH634" s="1302"/>
      <c r="AI634" s="1302"/>
      <c r="AJ634" s="1302"/>
      <c r="AK634" s="1302"/>
      <c r="AL634" s="1302"/>
      <c r="AM634" s="1302"/>
      <c r="AN634" s="1302"/>
      <c r="AO634" s="1302"/>
      <c r="AP634" s="1302"/>
      <c r="AQ634" s="1302"/>
      <c r="AR634" s="1302"/>
      <c r="AS634" s="1302"/>
      <c r="AT634" s="1302"/>
      <c r="AU634" s="1302"/>
      <c r="AV634" s="1302"/>
      <c r="AW634" s="1302"/>
      <c r="AX634" s="1303"/>
      <c r="AY634" s="1302"/>
      <c r="AZ634" s="1302"/>
      <c r="BA634" s="1302"/>
      <c r="BB634" s="1302"/>
      <c r="BC634" s="1302"/>
      <c r="BD634" s="1302"/>
      <c r="BE634" s="1304"/>
      <c r="BF634" s="1302"/>
      <c r="BG634" s="1302"/>
      <c r="BH634" s="1302"/>
      <c r="BI634" s="1302"/>
      <c r="BJ634" s="1302"/>
      <c r="BK634" s="1302"/>
      <c r="BL634" s="1302"/>
      <c r="BM634" s="1302"/>
      <c r="BN634" s="1303"/>
      <c r="BO634" s="1302"/>
      <c r="BP634" s="1302"/>
      <c r="BQ634" s="1302"/>
      <c r="BR634" s="1302"/>
      <c r="BS634" s="1302"/>
      <c r="BT634" s="1302"/>
      <c r="BU634" s="1304"/>
      <c r="BV634" s="1303" t="s">
        <v>173</v>
      </c>
      <c r="BW634" s="1302" t="s">
        <v>173</v>
      </c>
      <c r="BX634" s="1302" t="s">
        <v>173</v>
      </c>
      <c r="BY634" s="1302" t="s">
        <v>173</v>
      </c>
      <c r="BZ634" s="1302" t="s">
        <v>173</v>
      </c>
      <c r="CA634" s="1302" t="s">
        <v>173</v>
      </c>
      <c r="CB634" s="1302" t="s">
        <v>173</v>
      </c>
      <c r="CC634" s="1304" t="s">
        <v>173</v>
      </c>
      <c r="CD634" s="1303">
        <f t="shared" ref="CD634:CN634" si="4383">CD633/BV633-1</f>
        <v>0.0972423802612481</v>
      </c>
      <c r="CE634" s="1302">
        <f t="shared" si="4383"/>
        <v>0.0803645401822701</v>
      </c>
      <c r="CF634" s="1302">
        <f t="shared" si="4383"/>
        <v>0.0893617021276596</v>
      </c>
      <c r="CG634" s="1302">
        <f t="shared" si="4383"/>
        <v>0.101273885350319</v>
      </c>
      <c r="CH634" s="1302">
        <f t="shared" si="4383"/>
        <v>0.0938628158844765</v>
      </c>
      <c r="CI634" s="1302">
        <f t="shared" si="4383"/>
        <v>0.290196078431373</v>
      </c>
      <c r="CJ634" s="1302">
        <f t="shared" si="4383"/>
        <v>0.175675675675676</v>
      </c>
      <c r="CK634" s="1304">
        <f t="shared" si="4383"/>
        <v>0.13256038647343</v>
      </c>
      <c r="CL634" s="1303">
        <f t="shared" si="4383"/>
        <v>0.174603174603175</v>
      </c>
      <c r="CM634" s="1302">
        <f t="shared" si="4383"/>
        <v>0.174846625766871</v>
      </c>
      <c r="CN634" s="1302">
        <f t="shared" si="4383"/>
        <v>0.174715909090909</v>
      </c>
      <c r="CO634" s="1302">
        <f t="shared" ref="CO634:CT634" si="4384">CO633/CG633-1</f>
        <v>0.122035858877964</v>
      </c>
      <c r="CP634" s="1302">
        <f t="shared" si="4384"/>
        <v>0.154675467546755</v>
      </c>
      <c r="CQ634" s="1302">
        <f t="shared" si="4384"/>
        <v>0.047112462006079</v>
      </c>
      <c r="CR634" s="1302">
        <f t="shared" si="4384"/>
        <v>0.0863711001642036</v>
      </c>
      <c r="CS634" s="1304">
        <f t="shared" si="4384"/>
        <v>0.130523801399079</v>
      </c>
      <c r="CT634" s="1303">
        <f t="shared" si="4384"/>
        <v>0.0242117117117118</v>
      </c>
      <c r="CU634" s="1302">
        <f t="shared" ref="CU634:DA634" si="4385">CU633/CM633-1</f>
        <v>0.0672323759791122</v>
      </c>
      <c r="CV634" s="1302">
        <f t="shared" si="4385"/>
        <v>0.0441354292623941</v>
      </c>
      <c r="CW634" s="1302">
        <f t="shared" si="4385"/>
        <v>0.03659793814433</v>
      </c>
      <c r="CX634" s="1302">
        <f t="shared" si="4385"/>
        <v>0.0413490853658536</v>
      </c>
      <c r="CY634" s="1302">
        <f t="shared" si="4385"/>
        <v>0.195936139332366</v>
      </c>
      <c r="CZ634" s="1302">
        <f t="shared" si="4385"/>
        <v>0.106106408706167</v>
      </c>
      <c r="DA634" s="1304">
        <f t="shared" si="4385"/>
        <v>0.0734983398732267</v>
      </c>
      <c r="DB634" s="1109">
        <f t="shared" ref="DB634:DI634" si="4386">DB633/CT633-1</f>
        <v>0.0819131390874106</v>
      </c>
      <c r="DC634" s="1082">
        <f t="shared" si="4386"/>
        <v>0.112538226299694</v>
      </c>
      <c r="DD634" s="1082">
        <f t="shared" si="4386"/>
        <v>0.0964099594672843</v>
      </c>
      <c r="DE634" s="1082">
        <f t="shared" si="4386"/>
        <v>0.102436598707111</v>
      </c>
      <c r="DF634" s="1082">
        <f t="shared" si="4386"/>
        <v>0.0986276303751143</v>
      </c>
      <c r="DG634" s="1082">
        <f t="shared" si="4386"/>
        <v>0.10254854368932</v>
      </c>
      <c r="DH634" s="1082">
        <f t="shared" si="4386"/>
        <v>0.102487018311014</v>
      </c>
      <c r="DI634" s="1085">
        <f t="shared" si="4386"/>
        <v>0.0995360607338676</v>
      </c>
      <c r="DJ634" s="1082">
        <f t="shared" ref="DJ634:DQ634" si="4387">DJ633/DB633-1</f>
        <v>-0.0259146341463414</v>
      </c>
      <c r="DK634" s="1082">
        <f t="shared" si="4387"/>
        <v>-0.0379329301814184</v>
      </c>
      <c r="DL634" s="1082">
        <f t="shared" si="4387"/>
        <v>-0.03168735146554</v>
      </c>
      <c r="DM634" s="1082">
        <f t="shared" si="4387"/>
        <v>-0.0478123590437528</v>
      </c>
      <c r="DN634" s="1082">
        <f t="shared" si="4387"/>
        <v>-0.0376415722851432</v>
      </c>
      <c r="DO634" s="1082" t="e">
        <f t="shared" si="4387"/>
        <v>#REF!</v>
      </c>
      <c r="DP634" s="1082" t="e">
        <f t="shared" si="4387"/>
        <v>#REF!</v>
      </c>
      <c r="DQ634" s="1085" t="e">
        <f t="shared" si="4387"/>
        <v>#REF!</v>
      </c>
      <c r="DR634" s="1082"/>
      <c r="DS634" s="1082"/>
      <c r="DT634" s="1082"/>
      <c r="DU634" s="1082"/>
      <c r="DV634" s="1082"/>
      <c r="DW634" s="1082"/>
      <c r="DX634" s="1082"/>
      <c r="DY634" s="1085"/>
      <c r="DZ634" s="1082"/>
      <c r="EA634" s="1082"/>
      <c r="EB634" s="1082"/>
      <c r="EC634" s="1082"/>
      <c r="ED634" s="1082"/>
      <c r="EE634" s="1082"/>
      <c r="EF634" s="1082"/>
      <c r="EG634" s="1085"/>
      <c r="EH634" s="1082"/>
      <c r="EI634" s="1082"/>
      <c r="EJ634" s="1082"/>
      <c r="EK634" s="1082"/>
      <c r="EL634" s="1082"/>
      <c r="EM634" s="1082"/>
      <c r="EN634" s="1082"/>
      <c r="EO634" s="1085"/>
      <c r="EP634" s="1082"/>
      <c r="EQ634" s="1082"/>
      <c r="ER634" s="1082"/>
      <c r="ES634" s="1082"/>
      <c r="ET634" s="1082"/>
      <c r="EU634" s="1082"/>
      <c r="EV634" s="1082"/>
      <c r="IX634" s="1049"/>
      <c r="IY634" s="1049"/>
      <c r="IZ634" s="1049"/>
      <c r="JA634" s="1049"/>
      <c r="JB634" s="1049"/>
      <c r="JC634" s="1049"/>
      <c r="JD634" s="1112"/>
      <c r="JE634" s="1037"/>
      <c r="JF634" s="1037"/>
      <c r="JG634" s="1037"/>
      <c r="JH634" s="1037"/>
      <c r="JI634" s="1035"/>
      <c r="JJ634" s="1035"/>
      <c r="JK634" s="1035"/>
      <c r="JL634" s="1035"/>
      <c r="JM634" s="1035"/>
      <c r="JN634" s="1035"/>
      <c r="JO634" s="1035"/>
      <c r="JP634" s="1035"/>
      <c r="JQ634" s="1035"/>
      <c r="JR634" s="1035"/>
      <c r="JS634" s="1035"/>
      <c r="JT634" s="1035"/>
      <c r="JU634" s="1035"/>
      <c r="JV634" s="1035"/>
      <c r="JW634" s="1035"/>
      <c r="JX634" s="1035"/>
      <c r="JY634" s="1035"/>
    </row>
    <row r="635" spans="1:285">
      <c r="A635" s="883" t="s">
        <v>640</v>
      </c>
      <c r="B635" s="1302"/>
      <c r="C635" s="1302"/>
      <c r="D635" s="1302"/>
      <c r="E635" s="1302"/>
      <c r="F635" s="1302"/>
      <c r="G635" s="1302"/>
      <c r="H635" s="1302"/>
      <c r="I635" s="1302"/>
      <c r="J635" s="1302"/>
      <c r="K635" s="1302"/>
      <c r="L635" s="1302"/>
      <c r="M635" s="1302"/>
      <c r="N635" s="1302"/>
      <c r="O635" s="1302"/>
      <c r="P635" s="1302"/>
      <c r="Q635" s="1302"/>
      <c r="R635" s="1302"/>
      <c r="S635" s="1302"/>
      <c r="T635" s="1302"/>
      <c r="U635" s="1302"/>
      <c r="V635" s="1302"/>
      <c r="W635" s="1302"/>
      <c r="X635" s="1302"/>
      <c r="Y635" s="1302"/>
      <c r="Z635" s="1302"/>
      <c r="AA635" s="1302"/>
      <c r="AB635" s="1302"/>
      <c r="AC635" s="1302"/>
      <c r="AD635" s="1302"/>
      <c r="AE635" s="1302"/>
      <c r="AF635" s="1302"/>
      <c r="AG635" s="1302"/>
      <c r="AH635" s="1302"/>
      <c r="AI635" s="1302"/>
      <c r="AJ635" s="1302"/>
      <c r="AK635" s="1302"/>
      <c r="AL635" s="1302"/>
      <c r="AM635" s="1302"/>
      <c r="AN635" s="1302"/>
      <c r="AO635" s="1302"/>
      <c r="AP635" s="1302"/>
      <c r="AQ635" s="1302"/>
      <c r="AR635" s="1302"/>
      <c r="AS635" s="1302"/>
      <c r="AT635" s="1302"/>
      <c r="AU635" s="1302"/>
      <c r="AV635" s="1302"/>
      <c r="AW635" s="1302"/>
      <c r="AX635" s="1303"/>
      <c r="AY635" s="1302"/>
      <c r="AZ635" s="1302"/>
      <c r="BA635" s="1302"/>
      <c r="BB635" s="1302"/>
      <c r="BC635" s="1302"/>
      <c r="BD635" s="1302"/>
      <c r="BE635" s="1304"/>
      <c r="BF635" s="1302"/>
      <c r="BG635" s="1302"/>
      <c r="BH635" s="1302"/>
      <c r="BI635" s="1302"/>
      <c r="BJ635" s="1302"/>
      <c r="BK635" s="1302"/>
      <c r="BL635" s="1302"/>
      <c r="BM635" s="1302"/>
      <c r="BN635" s="1303"/>
      <c r="BO635" s="1302"/>
      <c r="BP635" s="1302"/>
      <c r="BQ635" s="1302"/>
      <c r="BR635" s="1302"/>
      <c r="BS635" s="1302"/>
      <c r="BT635" s="1302"/>
      <c r="BU635" s="1304"/>
      <c r="BV635" s="1303" t="s">
        <v>173</v>
      </c>
      <c r="BW635" s="1302" t="s">
        <v>173</v>
      </c>
      <c r="BX635" s="1302" t="s">
        <v>173</v>
      </c>
      <c r="BY635" s="1302" t="s">
        <v>173</v>
      </c>
      <c r="BZ635" s="1302" t="s">
        <v>173</v>
      </c>
      <c r="CA635" s="1302" t="s">
        <v>173</v>
      </c>
      <c r="CB635" s="1302" t="s">
        <v>173</v>
      </c>
      <c r="CC635" s="1304" t="s">
        <v>173</v>
      </c>
      <c r="CD635" s="1303">
        <f t="shared" ref="CD635:DA635" si="4388">CD634-CD636</f>
        <v>-0.0127576197387519</v>
      </c>
      <c r="CE635" s="1302">
        <f t="shared" si="4388"/>
        <v>-0.00821872410936203</v>
      </c>
      <c r="CF635" s="1302">
        <f t="shared" si="4388"/>
        <v>-0.0106382978723404</v>
      </c>
      <c r="CG635" s="1302">
        <f t="shared" si="4388"/>
        <v>0.00127388535031853</v>
      </c>
      <c r="CH635" s="1302">
        <f t="shared" si="4388"/>
        <v>-0.00613718411552347</v>
      </c>
      <c r="CI635" s="1302">
        <f t="shared" si="4388"/>
        <v>0.0887254901960786</v>
      </c>
      <c r="CJ635" s="1302">
        <f t="shared" si="4388"/>
        <v>0.0357142857142857</v>
      </c>
      <c r="CK635" s="1304">
        <f t="shared" si="4388"/>
        <v>0.0125603864734299</v>
      </c>
      <c r="CL635" s="1303">
        <f t="shared" si="4388"/>
        <v>0.0546031746031747</v>
      </c>
      <c r="CM635" s="1302">
        <f t="shared" si="4388"/>
        <v>-0.00993865030674834</v>
      </c>
      <c r="CN635" s="1302">
        <f t="shared" si="4388"/>
        <v>0.0247159090909092</v>
      </c>
      <c r="CO635" s="1302">
        <f t="shared" si="4388"/>
        <v>-0.0279641411220358</v>
      </c>
      <c r="CP635" s="1302">
        <f t="shared" si="4388"/>
        <v>0.00467546754675477</v>
      </c>
      <c r="CQ635" s="1302">
        <f t="shared" si="4388"/>
        <v>0.047112462006079</v>
      </c>
      <c r="CR635" s="1302">
        <f t="shared" si="4388"/>
        <v>0.0863711001642036</v>
      </c>
      <c r="CS635" s="1304">
        <f t="shared" si="4388"/>
        <v>0.130523801399079</v>
      </c>
      <c r="CT635" s="1303">
        <f t="shared" si="4388"/>
        <v>-0.0457882882882882</v>
      </c>
      <c r="CU635" s="1302">
        <f t="shared" si="4388"/>
        <v>-0.0457676240208878</v>
      </c>
      <c r="CV635" s="1302">
        <f t="shared" si="4388"/>
        <v>-0.0458645707376059</v>
      </c>
      <c r="CW635" s="1302">
        <f t="shared" si="4388"/>
        <v>-0.02740206185567</v>
      </c>
      <c r="CX635" s="1302">
        <f t="shared" si="4388"/>
        <v>-0.0386509146341464</v>
      </c>
      <c r="CY635" s="1302">
        <f t="shared" si="4388"/>
        <v>-0.0764005805515239</v>
      </c>
      <c r="CZ635" s="1302">
        <f t="shared" si="4388"/>
        <v>-0.0444180035903972</v>
      </c>
      <c r="DA635" s="1304">
        <f t="shared" si="4388"/>
        <v>-0.0465016601267733</v>
      </c>
      <c r="DB635" s="1109">
        <f>DB551</f>
        <v>-0.0580868609125894</v>
      </c>
      <c r="DC635" s="1082">
        <f t="shared" ref="DC635:DI635" si="4389">DC634-DC636</f>
        <v>-0.0745871559633028</v>
      </c>
      <c r="DD635" s="1082">
        <f t="shared" si="4389"/>
        <v>-0.0635900405327157</v>
      </c>
      <c r="DE635" s="1082">
        <f t="shared" si="4389"/>
        <v>-0.0435533762302324</v>
      </c>
      <c r="DF635" s="1082">
        <f t="shared" si="4389"/>
        <v>-0.0561946204998166</v>
      </c>
      <c r="DG635" s="1082">
        <f t="shared" si="4389"/>
        <v>0.0288713592233008</v>
      </c>
      <c r="DH635" s="1082">
        <f t="shared" si="4389"/>
        <v>-0.0186335064225197</v>
      </c>
      <c r="DI635" s="1085">
        <f t="shared" si="4389"/>
        <v>-0.0404639392661325</v>
      </c>
      <c r="DJ635" s="1082">
        <f t="shared" ref="DJ635:DQ635" si="4390">DJ634-DJ636</f>
        <v>0.0340853658536586</v>
      </c>
      <c r="DK635" s="1082">
        <f t="shared" si="4390"/>
        <v>0.0637612392355233</v>
      </c>
      <c r="DL635" s="1082">
        <f t="shared" si="4390"/>
        <v>0.0420432979284159</v>
      </c>
      <c r="DM635" s="1082">
        <f t="shared" si="4390"/>
        <v>0.0081876409562472</v>
      </c>
      <c r="DN635" s="1082">
        <f t="shared" si="4390"/>
        <v>0.0223584277148568</v>
      </c>
      <c r="DO635" s="1082" t="e">
        <f t="shared" si="4390"/>
        <v>#REF!</v>
      </c>
      <c r="DP635" s="1082" t="e">
        <f t="shared" si="4390"/>
        <v>#REF!</v>
      </c>
      <c r="DQ635" s="1085" t="e">
        <f t="shared" si="4390"/>
        <v>#REF!</v>
      </c>
      <c r="DR635" s="1082"/>
      <c r="DS635" s="1082"/>
      <c r="DT635" s="1082"/>
      <c r="DU635" s="1082"/>
      <c r="DV635" s="1082"/>
      <c r="DW635" s="1082"/>
      <c r="DX635" s="1082"/>
      <c r="DY635" s="1085"/>
      <c r="DZ635" s="1082"/>
      <c r="EA635" s="1082"/>
      <c r="EB635" s="1082"/>
      <c r="EC635" s="1082"/>
      <c r="ED635" s="1082"/>
      <c r="EE635" s="1082"/>
      <c r="EF635" s="1082"/>
      <c r="EG635" s="1085"/>
      <c r="EH635" s="1082"/>
      <c r="EI635" s="1082"/>
      <c r="EJ635" s="1082"/>
      <c r="EK635" s="1082"/>
      <c r="EL635" s="1082"/>
      <c r="EM635" s="1082"/>
      <c r="EN635" s="1082"/>
      <c r="EO635" s="1085"/>
      <c r="EP635" s="1082"/>
      <c r="EQ635" s="1082"/>
      <c r="ER635" s="1082"/>
      <c r="ES635" s="1082"/>
      <c r="ET635" s="1082"/>
      <c r="EU635" s="1082"/>
      <c r="EV635" s="1082"/>
      <c r="IX635" s="1049"/>
      <c r="IY635" s="1049"/>
      <c r="IZ635" s="1049"/>
      <c r="JA635" s="1049"/>
      <c r="JB635" s="1049"/>
      <c r="JC635" s="1049"/>
      <c r="JD635" s="1112"/>
      <c r="JE635" s="1037"/>
      <c r="JF635" s="1037"/>
      <c r="JG635" s="1037"/>
      <c r="JH635" s="1037"/>
      <c r="JI635" s="1035"/>
      <c r="JJ635" s="1035"/>
      <c r="JK635" s="1035"/>
      <c r="JL635" s="1035"/>
      <c r="JM635" s="1035"/>
      <c r="JN635" s="1035"/>
      <c r="JO635" s="1035"/>
      <c r="JP635" s="1035"/>
      <c r="JQ635" s="1035"/>
      <c r="JR635" s="1035"/>
      <c r="JS635" s="1035"/>
      <c r="JT635" s="1035"/>
      <c r="JU635" s="1035"/>
      <c r="JV635" s="1035"/>
      <c r="JW635" s="1035"/>
      <c r="JX635" s="1035"/>
      <c r="JY635" s="1035"/>
    </row>
    <row r="636" spans="1:285">
      <c r="A636" s="883" t="s">
        <v>646</v>
      </c>
      <c r="B636" s="1302"/>
      <c r="C636" s="1302"/>
      <c r="D636" s="1302"/>
      <c r="E636" s="1302"/>
      <c r="F636" s="1302"/>
      <c r="G636" s="1302"/>
      <c r="H636" s="1302"/>
      <c r="I636" s="1302"/>
      <c r="J636" s="1302"/>
      <c r="K636" s="1302"/>
      <c r="L636" s="1302"/>
      <c r="M636" s="1302"/>
      <c r="N636" s="1302"/>
      <c r="O636" s="1302"/>
      <c r="P636" s="1302"/>
      <c r="Q636" s="1302"/>
      <c r="R636" s="1302"/>
      <c r="S636" s="1302"/>
      <c r="T636" s="1302"/>
      <c r="U636" s="1302"/>
      <c r="V636" s="1302"/>
      <c r="W636" s="1302"/>
      <c r="X636" s="1302"/>
      <c r="Y636" s="1302"/>
      <c r="Z636" s="1302"/>
      <c r="AA636" s="1302"/>
      <c r="AB636" s="1302"/>
      <c r="AC636" s="1302"/>
      <c r="AD636" s="1302"/>
      <c r="AE636" s="1302"/>
      <c r="AF636" s="1302"/>
      <c r="AG636" s="1302"/>
      <c r="AH636" s="1302"/>
      <c r="AI636" s="1302"/>
      <c r="AJ636" s="1302"/>
      <c r="AK636" s="1302"/>
      <c r="AL636" s="1302"/>
      <c r="AM636" s="1302"/>
      <c r="AN636" s="1302"/>
      <c r="AO636" s="1302"/>
      <c r="AP636" s="1302"/>
      <c r="AQ636" s="1302"/>
      <c r="AR636" s="1302"/>
      <c r="AS636" s="1302"/>
      <c r="AT636" s="1302"/>
      <c r="AU636" s="1302"/>
      <c r="AV636" s="1302"/>
      <c r="AW636" s="1302"/>
      <c r="AX636" s="1303"/>
      <c r="AY636" s="1302"/>
      <c r="AZ636" s="1302"/>
      <c r="BA636" s="1302"/>
      <c r="BB636" s="1302"/>
      <c r="BC636" s="1302"/>
      <c r="BD636" s="1302"/>
      <c r="BE636" s="1304"/>
      <c r="BF636" s="1302"/>
      <c r="BG636" s="1302"/>
      <c r="BH636" s="1302"/>
      <c r="BI636" s="1302"/>
      <c r="BJ636" s="1302"/>
      <c r="BK636" s="1302"/>
      <c r="BL636" s="1302"/>
      <c r="BM636" s="1302"/>
      <c r="BN636" s="1303"/>
      <c r="BO636" s="1302"/>
      <c r="BP636" s="1302"/>
      <c r="BQ636" s="1302"/>
      <c r="BR636" s="1302"/>
      <c r="BS636" s="1302"/>
      <c r="BT636" s="1302"/>
      <c r="BU636" s="1304"/>
      <c r="BV636" s="1303" t="s">
        <v>173</v>
      </c>
      <c r="BW636" s="1302" t="s">
        <v>173</v>
      </c>
      <c r="BX636" s="1302" t="s">
        <v>173</v>
      </c>
      <c r="BY636" s="1302" t="s">
        <v>173</v>
      </c>
      <c r="BZ636" s="1302" t="s">
        <v>173</v>
      </c>
      <c r="CA636" s="1302" t="s">
        <v>173</v>
      </c>
      <c r="CB636" s="1302" t="s">
        <v>173</v>
      </c>
      <c r="CC636" s="1304" t="s">
        <v>173</v>
      </c>
      <c r="CD636" s="1303">
        <v>0.11</v>
      </c>
      <c r="CE636" s="1302">
        <f>(CF636*(BX633/BW633))-(CD636*(BV633/BW633))</f>
        <v>0.0885832642916322</v>
      </c>
      <c r="CF636" s="1302">
        <v>0.1</v>
      </c>
      <c r="CG636" s="1302">
        <f>(CH636*(BZ633/BY633))-(CF636*(BX633/BY633))</f>
        <v>0.1</v>
      </c>
      <c r="CH636" s="1302">
        <v>0.1</v>
      </c>
      <c r="CI636" s="1302">
        <f>(CK636*(CC633/CA633))-(CH636*(BZ633/CA633))</f>
        <v>0.201470588235294</v>
      </c>
      <c r="CJ636" s="1302">
        <f>(CG636*(BY633/CB633))+(CI636*(CA633/CB633))</f>
        <v>0.13996138996139</v>
      </c>
      <c r="CK636" s="1304">
        <v>0.12</v>
      </c>
      <c r="CL636" s="1303">
        <v>0.12</v>
      </c>
      <c r="CM636" s="1302">
        <f>(CN636*(CF633/CE633))-(CL636*(CD633/CE633))</f>
        <v>0.18478527607362</v>
      </c>
      <c r="CN636" s="1302">
        <v>0.15</v>
      </c>
      <c r="CO636" s="1302">
        <v>0.15</v>
      </c>
      <c r="CP636" s="1302">
        <v>0.15</v>
      </c>
      <c r="CQ636" s="1302"/>
      <c r="CR636" s="1302"/>
      <c r="CS636" s="1304"/>
      <c r="CT636" s="1303">
        <v>0.07</v>
      </c>
      <c r="CU636" s="1302">
        <v>0.113</v>
      </c>
      <c r="CV636" s="1302">
        <v>0.09</v>
      </c>
      <c r="CW636" s="1302">
        <f>CW552</f>
        <v>0.064</v>
      </c>
      <c r="CX636" s="1302">
        <v>0.08</v>
      </c>
      <c r="CY636" s="1302">
        <f>CY552</f>
        <v>0.27233671988389</v>
      </c>
      <c r="CZ636" s="1302">
        <f>CZ552</f>
        <v>0.150524412296564</v>
      </c>
      <c r="DA636" s="1304">
        <f>DA552</f>
        <v>0.12</v>
      </c>
      <c r="DB636" s="1109">
        <f>DB552</f>
        <v>0.14</v>
      </c>
      <c r="DC636" s="1082">
        <f>(DC630*CU627+DC625*CU622+DC620*CU617+DC615*CU612)/CU633</f>
        <v>0.187125382262997</v>
      </c>
      <c r="DD636" s="1082">
        <v>0.16</v>
      </c>
      <c r="DE636" s="1082">
        <f>(DE630*CW627+DE625*CW622+DE620*CW617+DE615*CW612)/SUM(CW627,CW622,CW617,CW612)</f>
        <v>0.145989974937343</v>
      </c>
      <c r="DF636" s="1082">
        <f>(DF630*CX627+DF625*CX622+DF620*CX617+DF615*CX612)/SUM(CX627,CX622,CX617,CX612)</f>
        <v>0.154822250874931</v>
      </c>
      <c r="DG636" s="1082">
        <f t="shared" ref="DG636:DP636" si="4391">DG552</f>
        <v>0.0736771844660195</v>
      </c>
      <c r="DH636" s="1082">
        <f t="shared" si="4391"/>
        <v>0.121120524733534</v>
      </c>
      <c r="DI636" s="1085">
        <f t="shared" si="4391"/>
        <v>0.14</v>
      </c>
      <c r="DJ636" s="1082">
        <f t="shared" si="4391"/>
        <v>-0.06</v>
      </c>
      <c r="DK636" s="1082">
        <f t="shared" si="4391"/>
        <v>-0.101694169416942</v>
      </c>
      <c r="DL636" s="1082">
        <f t="shared" si="4391"/>
        <v>-0.0737306493939559</v>
      </c>
      <c r="DM636" s="1082">
        <f t="shared" si="4391"/>
        <v>-0.056</v>
      </c>
      <c r="DN636" s="1082">
        <v>-0.06</v>
      </c>
      <c r="DO636" s="1082">
        <f t="shared" si="4391"/>
        <v>0.03</v>
      </c>
      <c r="DP636" s="1082">
        <f t="shared" si="4391"/>
        <v>-0.0172637580565196</v>
      </c>
      <c r="DQ636" s="1085">
        <f>(DQ630*DI627+DQ625*DI622+DQ620*DI617+DQ615*DI612)/SUM(DI627,DI622,DI617,DI612)</f>
        <v>-0.049723579326305</v>
      </c>
      <c r="DR636" s="1082"/>
      <c r="DS636" s="1082"/>
      <c r="DT636" s="1082"/>
      <c r="DU636" s="1082"/>
      <c r="DV636" s="1082"/>
      <c r="DW636" s="1082"/>
      <c r="DX636" s="1082"/>
      <c r="DY636" s="1085"/>
      <c r="DZ636" s="1082"/>
      <c r="EA636" s="1082"/>
      <c r="EB636" s="1082"/>
      <c r="EC636" s="1082"/>
      <c r="ED636" s="1082"/>
      <c r="EE636" s="1082"/>
      <c r="EF636" s="1082"/>
      <c r="EG636" s="1085"/>
      <c r="EH636" s="1082"/>
      <c r="EI636" s="1082"/>
      <c r="EJ636" s="1082"/>
      <c r="EK636" s="1082"/>
      <c r="EL636" s="1082"/>
      <c r="EM636" s="1082"/>
      <c r="EN636" s="1082"/>
      <c r="EO636" s="1085"/>
      <c r="EP636" s="1082"/>
      <c r="EQ636" s="1082"/>
      <c r="ER636" s="1082"/>
      <c r="ES636" s="1082"/>
      <c r="ET636" s="1082"/>
      <c r="EU636" s="1082"/>
      <c r="EV636" s="1082"/>
      <c r="IX636" s="1049"/>
      <c r="IY636" s="1049"/>
      <c r="IZ636" s="1049"/>
      <c r="JA636" s="1049"/>
      <c r="JB636" s="1049"/>
      <c r="JC636" s="1049"/>
      <c r="JD636" s="1112"/>
      <c r="JE636" s="1037"/>
      <c r="JF636" s="1037"/>
      <c r="JG636" s="1037"/>
      <c r="JH636" s="1037"/>
      <c r="JI636" s="1035"/>
      <c r="JJ636" s="1035"/>
      <c r="JK636" s="1035"/>
      <c r="JL636" s="1035"/>
      <c r="JM636" s="1035"/>
      <c r="JN636" s="1035"/>
      <c r="JO636" s="1035"/>
      <c r="JP636" s="1035"/>
      <c r="JQ636" s="1035"/>
      <c r="JR636" s="1035"/>
      <c r="JS636" s="1035"/>
      <c r="JT636" s="1035"/>
      <c r="JU636" s="1035"/>
      <c r="JV636" s="1035"/>
      <c r="JW636" s="1035"/>
      <c r="JX636" s="1035"/>
      <c r="JY636" s="1035"/>
    </row>
    <row r="637" outlineLevel="1" spans="1:285">
      <c r="B637" s="1409"/>
      <c r="C637" s="1409"/>
      <c r="D637" s="1409"/>
      <c r="E637" s="1409"/>
      <c r="F637" s="1409"/>
      <c r="G637" s="1409"/>
      <c r="H637" s="1409"/>
      <c r="I637" s="1409"/>
      <c r="J637" s="1409"/>
      <c r="K637" s="1409"/>
      <c r="L637" s="1409"/>
      <c r="M637" s="1409"/>
      <c r="N637" s="1409"/>
      <c r="O637" s="1409"/>
      <c r="P637" s="1409"/>
      <c r="Q637" s="1409"/>
      <c r="R637" s="1409"/>
      <c r="S637" s="1409"/>
      <c r="T637" s="1409"/>
      <c r="U637" s="1409"/>
      <c r="V637" s="1409"/>
      <c r="W637" s="1409"/>
      <c r="X637" s="1409"/>
      <c r="Y637" s="1409"/>
      <c r="Z637" s="1409"/>
      <c r="AA637" s="1409"/>
      <c r="AB637" s="1409"/>
      <c r="AC637" s="1409"/>
      <c r="AD637" s="1409"/>
      <c r="AE637" s="1409"/>
      <c r="AF637" s="1409"/>
      <c r="AG637" s="1409"/>
      <c r="AH637" s="1409"/>
      <c r="AI637" s="1409"/>
      <c r="AJ637" s="1409"/>
      <c r="AK637" s="1409"/>
      <c r="AL637" s="1409"/>
      <c r="AM637" s="1409"/>
      <c r="AN637" s="1409"/>
      <c r="AO637" s="1409"/>
      <c r="AP637" s="1409"/>
      <c r="AQ637" s="1409"/>
      <c r="AR637" s="1409"/>
      <c r="AS637" s="1409"/>
      <c r="AT637" s="1409"/>
      <c r="AU637" s="1409"/>
      <c r="AV637" s="1409"/>
      <c r="AW637" s="1409"/>
      <c r="AX637" s="1408"/>
      <c r="AY637" s="1409"/>
      <c r="AZ637" s="1409"/>
      <c r="BA637" s="1409"/>
      <c r="BB637" s="1409"/>
      <c r="BC637" s="1409"/>
      <c r="BD637" s="1409"/>
      <c r="BE637" s="1410"/>
      <c r="BF637" s="1409"/>
      <c r="BG637" s="1409"/>
      <c r="BH637" s="1409"/>
      <c r="BI637" s="1409"/>
      <c r="BJ637" s="1409"/>
      <c r="BK637" s="1409"/>
      <c r="BL637" s="1409"/>
      <c r="BM637" s="1409"/>
      <c r="BN637" s="1408"/>
      <c r="BO637" s="1409"/>
      <c r="BP637" s="1409"/>
      <c r="BQ637" s="1409"/>
      <c r="BR637" s="1409"/>
      <c r="BS637" s="1409"/>
      <c r="BT637" s="1409"/>
      <c r="BU637" s="1410"/>
      <c r="BV637" s="1408"/>
      <c r="BW637" s="1409"/>
      <c r="BX637" s="1409"/>
      <c r="BY637" s="1409"/>
      <c r="BZ637" s="1409"/>
      <c r="CA637" s="1409"/>
      <c r="CB637" s="1409"/>
      <c r="CC637" s="1410"/>
      <c r="CD637" s="1408"/>
      <c r="CE637" s="1409"/>
      <c r="CF637" s="1409"/>
      <c r="CG637" s="1409"/>
      <c r="CH637" s="1409"/>
      <c r="CI637" s="1409"/>
      <c r="CJ637" s="1409"/>
      <c r="CK637" s="1410"/>
      <c r="CL637" s="1408"/>
      <c r="CM637" s="1409"/>
      <c r="CN637" s="1409"/>
      <c r="CO637" s="1409"/>
      <c r="CP637" s="1409"/>
      <c r="CQ637" s="1409"/>
      <c r="CR637" s="1409"/>
      <c r="CS637" s="1410"/>
      <c r="CT637" s="1408"/>
      <c r="CU637" s="1409"/>
      <c r="CV637" s="1409"/>
      <c r="CW637" s="1409"/>
      <c r="CX637" s="1409"/>
      <c r="CY637" s="1409"/>
      <c r="CZ637" s="1409"/>
      <c r="DA637" s="1410"/>
      <c r="DB637" s="1411"/>
      <c r="DC637" s="1412"/>
      <c r="DD637" s="1412"/>
      <c r="DE637" s="1412"/>
      <c r="DF637" s="1412"/>
      <c r="DG637" s="1412"/>
      <c r="DH637" s="1412"/>
      <c r="DI637" s="1413"/>
      <c r="DJ637" s="1412"/>
      <c r="DK637" s="1412"/>
      <c r="DL637" s="1412"/>
      <c r="DM637" s="1412"/>
      <c r="DN637" s="1412"/>
      <c r="DO637" s="1412"/>
      <c r="DP637" s="1412"/>
      <c r="DQ637" s="1413"/>
      <c r="DR637" s="1412"/>
      <c r="DS637" s="1412"/>
      <c r="DT637" s="1412"/>
      <c r="DU637" s="1412"/>
      <c r="DV637" s="1412"/>
      <c r="DW637" s="1412"/>
      <c r="DX637" s="1412"/>
      <c r="DY637" s="1413"/>
      <c r="DZ637" s="1412"/>
      <c r="EA637" s="1412"/>
      <c r="EB637" s="1412"/>
      <c r="EC637" s="1412"/>
      <c r="ED637" s="1412"/>
      <c r="EE637" s="1412"/>
      <c r="EF637" s="1412"/>
      <c r="EG637" s="1413"/>
      <c r="EH637" s="1412"/>
      <c r="EI637" s="1412"/>
      <c r="EJ637" s="1412"/>
      <c r="EK637" s="1412"/>
      <c r="EL637" s="1412"/>
      <c r="EM637" s="1412"/>
      <c r="EN637" s="1412"/>
      <c r="EO637" s="1413"/>
      <c r="EP637" s="1412"/>
      <c r="EQ637" s="1412"/>
      <c r="ER637" s="1412"/>
      <c r="ES637" s="1412"/>
      <c r="ET637" s="1412"/>
      <c r="EU637" s="1412"/>
      <c r="EV637" s="1412"/>
      <c r="IX637" s="1049"/>
      <c r="IY637" s="1049"/>
      <c r="IZ637" s="1049"/>
      <c r="JA637" s="1049"/>
      <c r="JB637" s="1049"/>
      <c r="JC637" s="1049"/>
      <c r="JD637" s="1469"/>
      <c r="JE637" s="1037"/>
      <c r="JF637" s="1037"/>
      <c r="JG637" s="1037"/>
      <c r="JH637" s="1037"/>
      <c r="JI637" s="1035"/>
      <c r="JJ637" s="1035"/>
      <c r="JK637" s="1035"/>
      <c r="JL637" s="1035"/>
      <c r="JM637" s="1035"/>
      <c r="JN637" s="1035"/>
      <c r="JO637" s="1035"/>
      <c r="JP637" s="1035"/>
      <c r="JQ637" s="1035"/>
      <c r="JR637" s="1035"/>
      <c r="JS637" s="1035"/>
      <c r="JT637" s="1035"/>
      <c r="JU637" s="1035"/>
      <c r="JV637" s="1035"/>
      <c r="JW637" s="1035"/>
      <c r="JX637" s="1035"/>
      <c r="JY637" s="1035"/>
    </row>
    <row r="638" outlineLevel="1" spans="1:285">
      <c r="A638" s="1051" t="s">
        <v>647</v>
      </c>
      <c r="B638" s="1482" t="s">
        <v>259</v>
      </c>
      <c r="C638" s="1482" t="s">
        <v>260</v>
      </c>
      <c r="D638" s="1482" t="s">
        <v>261</v>
      </c>
      <c r="E638" s="1482" t="s">
        <v>262</v>
      </c>
      <c r="F638" s="1482" t="s">
        <v>263</v>
      </c>
      <c r="G638" s="1482" t="s">
        <v>264</v>
      </c>
      <c r="H638" s="1482" t="s">
        <v>327</v>
      </c>
      <c r="I638" s="1482" t="s">
        <v>14</v>
      </c>
      <c r="J638" s="1482" t="s">
        <v>266</v>
      </c>
      <c r="K638" s="1482" t="s">
        <v>267</v>
      </c>
      <c r="L638" s="1482" t="s">
        <v>268</v>
      </c>
      <c r="M638" s="1482" t="s">
        <v>269</v>
      </c>
      <c r="N638" s="1482" t="s">
        <v>270</v>
      </c>
      <c r="O638" s="1482" t="s">
        <v>271</v>
      </c>
      <c r="P638" s="1482" t="s">
        <v>327</v>
      </c>
      <c r="Q638" s="1482" t="s">
        <v>15</v>
      </c>
      <c r="R638" s="1482" t="s">
        <v>273</v>
      </c>
      <c r="S638" s="1482" t="s">
        <v>274</v>
      </c>
      <c r="T638" s="1482" t="s">
        <v>275</v>
      </c>
      <c r="U638" s="1482" t="s">
        <v>276</v>
      </c>
      <c r="V638" s="1482" t="s">
        <v>277</v>
      </c>
      <c r="W638" s="1482" t="s">
        <v>278</v>
      </c>
      <c r="X638" s="1482" t="s">
        <v>327</v>
      </c>
      <c r="Y638" s="1482" t="s">
        <v>16</v>
      </c>
      <c r="Z638" s="1482" t="s">
        <v>280</v>
      </c>
      <c r="AA638" s="1482" t="s">
        <v>281</v>
      </c>
      <c r="AB638" s="1482" t="s">
        <v>282</v>
      </c>
      <c r="AC638" s="1482" t="s">
        <v>283</v>
      </c>
      <c r="AD638" s="1482" t="s">
        <v>277</v>
      </c>
      <c r="AE638" s="1482" t="s">
        <v>284</v>
      </c>
      <c r="AF638" s="1482" t="s">
        <v>327</v>
      </c>
      <c r="AG638" s="1482" t="s">
        <v>17</v>
      </c>
      <c r="AH638" s="1482" t="s">
        <v>286</v>
      </c>
      <c r="AI638" s="1482" t="s">
        <v>287</v>
      </c>
      <c r="AJ638" s="1482" t="s">
        <v>288</v>
      </c>
      <c r="AK638" s="1482" t="s">
        <v>289</v>
      </c>
      <c r="AL638" s="1482" t="s">
        <v>290</v>
      </c>
      <c r="AM638" s="1482" t="s">
        <v>291</v>
      </c>
      <c r="AN638" s="1482" t="s">
        <v>327</v>
      </c>
      <c r="AO638" s="1482" t="s">
        <v>18</v>
      </c>
      <c r="AP638" s="1482" t="s">
        <v>293</v>
      </c>
      <c r="AQ638" s="1482" t="s">
        <v>294</v>
      </c>
      <c r="AR638" s="1482" t="s">
        <v>295</v>
      </c>
      <c r="AS638" s="1482" t="s">
        <v>296</v>
      </c>
      <c r="AT638" s="1482" t="s">
        <v>297</v>
      </c>
      <c r="AU638" s="1482" t="s">
        <v>298</v>
      </c>
      <c r="AV638" s="1482" t="s">
        <v>327</v>
      </c>
      <c r="AW638" s="1482" t="s">
        <v>19</v>
      </c>
      <c r="AX638" s="1483" t="s">
        <v>300</v>
      </c>
      <c r="AY638" s="1482" t="s">
        <v>301</v>
      </c>
      <c r="AZ638" s="1482" t="s">
        <v>302</v>
      </c>
      <c r="BA638" s="1482" t="s">
        <v>303</v>
      </c>
      <c r="BB638" s="1482" t="s">
        <v>304</v>
      </c>
      <c r="BC638" s="1482" t="s">
        <v>305</v>
      </c>
      <c r="BD638" s="1482" t="s">
        <v>327</v>
      </c>
      <c r="BE638" s="1484" t="s">
        <v>20</v>
      </c>
      <c r="BF638" s="1482" t="s">
        <v>307</v>
      </c>
      <c r="BG638" s="1482" t="s">
        <v>308</v>
      </c>
      <c r="BH638" s="1482" t="s">
        <v>309</v>
      </c>
      <c r="BI638" s="1482" t="s">
        <v>310</v>
      </c>
      <c r="BJ638" s="1482" t="s">
        <v>311</v>
      </c>
      <c r="BK638" s="1482" t="s">
        <v>312</v>
      </c>
      <c r="BL638" s="1482" t="s">
        <v>327</v>
      </c>
      <c r="BM638" s="1482" t="s">
        <v>21</v>
      </c>
      <c r="BN638" s="1483" t="s">
        <v>314</v>
      </c>
      <c r="BO638" s="1482" t="s">
        <v>315</v>
      </c>
      <c r="BP638" s="1482" t="s">
        <v>316</v>
      </c>
      <c r="BQ638" s="1482" t="s">
        <v>317</v>
      </c>
      <c r="BR638" s="1482" t="s">
        <v>318</v>
      </c>
      <c r="BS638" s="1482" t="s">
        <v>319</v>
      </c>
      <c r="BT638" s="1482" t="s">
        <v>327</v>
      </c>
      <c r="BU638" s="1484" t="s">
        <v>22</v>
      </c>
      <c r="BV638" s="1483" t="s">
        <v>321</v>
      </c>
      <c r="BW638" s="1482" t="s">
        <v>322</v>
      </c>
      <c r="BX638" s="1482" t="s">
        <v>323</v>
      </c>
      <c r="BY638" s="1482" t="s">
        <v>324</v>
      </c>
      <c r="BZ638" s="1482" t="s">
        <v>325</v>
      </c>
      <c r="CA638" s="1482" t="s">
        <v>326</v>
      </c>
      <c r="CB638" s="1482" t="s">
        <v>327</v>
      </c>
      <c r="CC638" s="1484" t="s">
        <v>23</v>
      </c>
      <c r="CD638" s="1483" t="s">
        <v>328</v>
      </c>
      <c r="CE638" s="1482" t="s">
        <v>329</v>
      </c>
      <c r="CF638" s="1482" t="s">
        <v>330</v>
      </c>
      <c r="CG638" s="1482" t="s">
        <v>331</v>
      </c>
      <c r="CH638" s="1482" t="s">
        <v>332</v>
      </c>
      <c r="CI638" s="1482" t="s">
        <v>333</v>
      </c>
      <c r="CJ638" s="1482" t="s">
        <v>334</v>
      </c>
      <c r="CK638" s="1484" t="s">
        <v>24</v>
      </c>
      <c r="CL638" s="1483" t="s">
        <v>335</v>
      </c>
      <c r="CM638" s="1482" t="s">
        <v>336</v>
      </c>
      <c r="CN638" s="1482" t="s">
        <v>337</v>
      </c>
      <c r="CO638" s="1482" t="s">
        <v>338</v>
      </c>
      <c r="CP638" s="1482" t="str">
        <f t="shared" ref="CP638:DU638" si="4392">CP2</f>
        <v>9M 06</v>
      </c>
      <c r="CQ638" s="1482" t="str">
        <f t="shared" si="4392"/>
        <v>Q4 06</v>
      </c>
      <c r="CR638" s="1482" t="str">
        <f t="shared" si="4392"/>
        <v>H2 06</v>
      </c>
      <c r="CS638" s="1484" t="str">
        <f t="shared" si="4392"/>
        <v>FY 06</v>
      </c>
      <c r="CT638" s="1483" t="str">
        <f t="shared" si="4392"/>
        <v>Q1 07</v>
      </c>
      <c r="CU638" s="1482" t="str">
        <f t="shared" si="4392"/>
        <v>Q2 07</v>
      </c>
      <c r="CV638" s="1482" t="str">
        <f t="shared" si="4392"/>
        <v>H1 07</v>
      </c>
      <c r="CW638" s="1482" t="str">
        <f t="shared" si="4392"/>
        <v>Q3 07</v>
      </c>
      <c r="CX638" s="1482" t="str">
        <f t="shared" si="4392"/>
        <v>9M 07</v>
      </c>
      <c r="CY638" s="1482" t="str">
        <f t="shared" si="4392"/>
        <v>Q4 07</v>
      </c>
      <c r="CZ638" s="1482" t="str">
        <f t="shared" si="4392"/>
        <v>H2 07</v>
      </c>
      <c r="DA638" s="1484" t="str">
        <f t="shared" si="4392"/>
        <v>FY 07</v>
      </c>
      <c r="DB638" s="1485" t="str">
        <f t="shared" si="4392"/>
        <v>Q1 08</v>
      </c>
      <c r="DC638" s="1486" t="str">
        <f t="shared" si="4392"/>
        <v>Q2 08</v>
      </c>
      <c r="DD638" s="1486" t="str">
        <f t="shared" si="4392"/>
        <v>H1 08</v>
      </c>
      <c r="DE638" s="1486" t="str">
        <f t="shared" si="4392"/>
        <v>Q3 08</v>
      </c>
      <c r="DF638" s="1486" t="str">
        <f t="shared" si="4392"/>
        <v>9M 08</v>
      </c>
      <c r="DG638" s="1486" t="str">
        <f t="shared" si="4392"/>
        <v>Q4 08</v>
      </c>
      <c r="DH638" s="1486" t="str">
        <f t="shared" si="4392"/>
        <v>H2 08</v>
      </c>
      <c r="DI638" s="1487" t="str">
        <f t="shared" si="4392"/>
        <v>FY 08</v>
      </c>
      <c r="DJ638" s="1486" t="str">
        <f t="shared" si="4392"/>
        <v>Q1 09</v>
      </c>
      <c r="DK638" s="1486" t="str">
        <f t="shared" si="4392"/>
        <v>Q2 09</v>
      </c>
      <c r="DL638" s="1486" t="str">
        <f t="shared" si="4392"/>
        <v>H1 09</v>
      </c>
      <c r="DM638" s="1486" t="str">
        <f t="shared" si="4392"/>
        <v>Q3 09</v>
      </c>
      <c r="DN638" s="1486" t="str">
        <f t="shared" si="4392"/>
        <v>9M 09</v>
      </c>
      <c r="DO638" s="1486" t="str">
        <f t="shared" si="4392"/>
        <v>Q4 09</v>
      </c>
      <c r="DP638" s="1486" t="str">
        <f t="shared" si="4392"/>
        <v>H2 09</v>
      </c>
      <c r="DQ638" s="1487" t="str">
        <f t="shared" si="4392"/>
        <v>FY 09</v>
      </c>
      <c r="DR638" s="1486" t="str">
        <f t="shared" si="4392"/>
        <v>Q1 10</v>
      </c>
      <c r="DS638" s="1486" t="str">
        <f t="shared" si="4392"/>
        <v>Q2 10</v>
      </c>
      <c r="DT638" s="1486" t="str">
        <f t="shared" si="4392"/>
        <v>H1 10</v>
      </c>
      <c r="DU638" s="1486" t="str">
        <f t="shared" si="4392"/>
        <v>Q3 10</v>
      </c>
      <c r="DV638" s="1486" t="str">
        <f t="shared" ref="DV638:EO638" si="4393">DV2</f>
        <v>9M 10</v>
      </c>
      <c r="DW638" s="1486" t="str">
        <f t="shared" si="4393"/>
        <v>Q4 10</v>
      </c>
      <c r="DX638" s="1486" t="str">
        <f t="shared" si="4393"/>
        <v>H2 10</v>
      </c>
      <c r="DY638" s="1487" t="str">
        <f t="shared" si="4393"/>
        <v>FY 10</v>
      </c>
      <c r="DZ638" s="1486" t="str">
        <f t="shared" si="4393"/>
        <v>Q1 11</v>
      </c>
      <c r="EA638" s="1486" t="str">
        <f t="shared" si="4393"/>
        <v>Q2 11</v>
      </c>
      <c r="EB638" s="1486" t="str">
        <f t="shared" si="4393"/>
        <v>H1 11</v>
      </c>
      <c r="EC638" s="1486" t="str">
        <f t="shared" si="4393"/>
        <v>Q3 11</v>
      </c>
      <c r="ED638" s="1486" t="str">
        <f t="shared" si="4393"/>
        <v>9M 11</v>
      </c>
      <c r="EE638" s="1486" t="str">
        <f t="shared" si="4393"/>
        <v>Q4 11</v>
      </c>
      <c r="EF638" s="1486" t="str">
        <f t="shared" si="4393"/>
        <v>H2 11</v>
      </c>
      <c r="EG638" s="1487" t="str">
        <f t="shared" si="4393"/>
        <v>FY 11</v>
      </c>
      <c r="EH638" s="1486" t="str">
        <f t="shared" si="4393"/>
        <v>Q1 12</v>
      </c>
      <c r="EI638" s="1486" t="str">
        <f t="shared" si="4393"/>
        <v>Q2 12</v>
      </c>
      <c r="EJ638" s="1486" t="str">
        <f t="shared" si="4393"/>
        <v>H1 12</v>
      </c>
      <c r="EK638" s="1486" t="str">
        <f t="shared" si="4393"/>
        <v>Q3 12</v>
      </c>
      <c r="EL638" s="1486" t="str">
        <f t="shared" si="4393"/>
        <v>9M 12</v>
      </c>
      <c r="EM638" s="1486" t="str">
        <f t="shared" si="4393"/>
        <v>Q4 12</v>
      </c>
      <c r="EN638" s="1486" t="str">
        <f t="shared" si="4393"/>
        <v>H2 12</v>
      </c>
      <c r="EO638" s="1487" t="str">
        <f t="shared" si="4393"/>
        <v>FY 12</v>
      </c>
      <c r="EP638" s="1486"/>
      <c r="EQ638" s="1486"/>
      <c r="ER638" s="1486"/>
      <c r="ES638" s="1486"/>
      <c r="ET638" s="1486"/>
      <c r="EU638" s="1486"/>
      <c r="EV638" s="1486"/>
      <c r="IX638" s="1049"/>
      <c r="IY638" s="1049"/>
      <c r="IZ638" s="1049"/>
      <c r="JA638" s="1049"/>
      <c r="JB638" s="1049"/>
      <c r="JC638" s="1049"/>
      <c r="JD638" s="1404"/>
      <c r="JE638" s="1037"/>
      <c r="JF638" s="1037"/>
      <c r="JG638" s="1037"/>
      <c r="JH638" s="1037"/>
      <c r="JI638" s="1035"/>
      <c r="JJ638" s="1035"/>
      <c r="JK638" s="1035"/>
      <c r="JL638" s="1035"/>
      <c r="JM638" s="1035"/>
      <c r="JN638" s="1035"/>
      <c r="JO638" s="1035"/>
      <c r="JP638" s="1035"/>
      <c r="JQ638" s="1035"/>
      <c r="JR638" s="1035"/>
      <c r="JS638" s="1035"/>
      <c r="JT638" s="1035"/>
      <c r="JU638" s="1035"/>
      <c r="JV638" s="1035"/>
      <c r="JW638" s="1035"/>
      <c r="JX638" s="1035"/>
      <c r="JY638" s="1035"/>
    </row>
    <row r="639" outlineLevel="1" spans="1:285">
      <c r="A639" s="1306" t="s">
        <v>648</v>
      </c>
      <c r="B639" s="1307"/>
      <c r="C639" s="1307"/>
      <c r="D639" s="1307"/>
      <c r="E639" s="1307"/>
      <c r="F639" s="1307"/>
      <c r="G639" s="1307"/>
      <c r="H639" s="1307"/>
      <c r="I639" s="1307"/>
      <c r="J639" s="1307"/>
      <c r="K639" s="1307"/>
      <c r="L639" s="1307"/>
      <c r="M639" s="1307"/>
      <c r="N639" s="1307"/>
      <c r="O639" s="1307"/>
      <c r="P639" s="1307"/>
      <c r="Q639" s="1307"/>
      <c r="R639" s="1307"/>
      <c r="S639" s="1307"/>
      <c r="T639" s="1307"/>
      <c r="U639" s="1307"/>
      <c r="V639" s="1307"/>
      <c r="W639" s="1307"/>
      <c r="X639" s="1307"/>
      <c r="Y639" s="1307"/>
      <c r="Z639" s="1307"/>
      <c r="AA639" s="1307"/>
      <c r="AB639" s="1307"/>
      <c r="AC639" s="1307"/>
      <c r="AD639" s="1307"/>
      <c r="AE639" s="1307"/>
      <c r="AF639" s="1307"/>
      <c r="AG639" s="1307"/>
      <c r="AH639" s="1307"/>
      <c r="AI639" s="1307"/>
      <c r="AJ639" s="1307"/>
      <c r="AK639" s="1307"/>
      <c r="AL639" s="1307"/>
      <c r="AM639" s="1307"/>
      <c r="AN639" s="1307"/>
      <c r="AO639" s="1307"/>
      <c r="AP639" s="1307"/>
      <c r="AQ639" s="1307"/>
      <c r="AR639" s="1307"/>
      <c r="AS639" s="1307"/>
      <c r="AT639" s="1307"/>
      <c r="AU639" s="1307"/>
      <c r="AV639" s="1307"/>
      <c r="AW639" s="1307"/>
      <c r="AX639" s="1308"/>
      <c r="AY639" s="1307"/>
      <c r="AZ639" s="1307"/>
      <c r="BA639" s="1307"/>
      <c r="BB639" s="1307"/>
      <c r="BC639" s="1307"/>
      <c r="BD639" s="1307"/>
      <c r="BE639" s="1309"/>
      <c r="BF639" s="1307"/>
      <c r="BG639" s="1307"/>
      <c r="BH639" s="1307"/>
      <c r="BI639" s="1307"/>
      <c r="BJ639" s="1307"/>
      <c r="BK639" s="1307"/>
      <c r="BL639" s="1307"/>
      <c r="BM639" s="1307"/>
      <c r="BN639" s="1308"/>
      <c r="BO639" s="1307"/>
      <c r="BP639" s="1307"/>
      <c r="BQ639" s="1307"/>
      <c r="BR639" s="1307"/>
      <c r="BS639" s="1307"/>
      <c r="BT639" s="1307"/>
      <c r="BU639" s="1309"/>
      <c r="BV639" s="1308">
        <v>1114</v>
      </c>
      <c r="BW639" s="1307">
        <f>BX639-BV639</f>
        <v>1005</v>
      </c>
      <c r="BX639" s="1307">
        <v>2119</v>
      </c>
      <c r="BY639" s="1307">
        <f>BZ639-BX639</f>
        <v>1279</v>
      </c>
      <c r="BZ639" s="1307">
        <v>3398</v>
      </c>
      <c r="CA639" s="1307">
        <f>CC639-BZ639</f>
        <v>825</v>
      </c>
      <c r="CB639" s="1307">
        <f>BY639+CA639</f>
        <v>2104</v>
      </c>
      <c r="CC639" s="1309">
        <v>4223</v>
      </c>
      <c r="CD639" s="1308">
        <v>1151</v>
      </c>
      <c r="CE639" s="1307">
        <f>CF639-CD639</f>
        <v>1038</v>
      </c>
      <c r="CF639" s="1307">
        <v>2189</v>
      </c>
      <c r="CG639" s="1307">
        <f>CH639-CF639</f>
        <v>1333</v>
      </c>
      <c r="CH639" s="1307">
        <v>3522</v>
      </c>
      <c r="CI639" s="1307">
        <f>CK639-CH639</f>
        <v>1023</v>
      </c>
      <c r="CJ639" s="1307">
        <f>CG639+CI639</f>
        <v>2356</v>
      </c>
      <c r="CK639" s="1309">
        <v>4545</v>
      </c>
      <c r="CL639" s="1308">
        <v>1341</v>
      </c>
      <c r="CM639" s="1307">
        <f>CN639-CL639</f>
        <v>1168</v>
      </c>
      <c r="CN639" s="1307">
        <v>2509</v>
      </c>
      <c r="CO639" s="1307">
        <v>1351.6</v>
      </c>
      <c r="CP639" s="1307">
        <v>4027</v>
      </c>
      <c r="CQ639" s="1307">
        <f>CS639-CP639</f>
        <v>1073</v>
      </c>
      <c r="CR639" s="1307">
        <f>CS639-CQ639-CO639</f>
        <v>2675.4</v>
      </c>
      <c r="CS639" s="1309">
        <v>5100</v>
      </c>
      <c r="CT639" s="1308">
        <v>1388</v>
      </c>
      <c r="CU639" s="1307">
        <f>CV639-CT639</f>
        <v>1311</v>
      </c>
      <c r="CV639" s="1307">
        <v>2699</v>
      </c>
      <c r="CW639" s="1307">
        <f>CX639-CV639</f>
        <v>1585</v>
      </c>
      <c r="CX639" s="1307">
        <v>4284</v>
      </c>
      <c r="CY639" s="1307">
        <f>DA639-CX639</f>
        <v>1324</v>
      </c>
      <c r="CZ639" s="1307">
        <f>CY639+CW639</f>
        <v>2909</v>
      </c>
      <c r="DA639" s="1309">
        <v>5608</v>
      </c>
      <c r="DB639" s="1332">
        <v>1569</v>
      </c>
      <c r="DC639" s="1311">
        <f>DD639-DB639</f>
        <v>1489</v>
      </c>
      <c r="DD639" s="1311">
        <v>3058</v>
      </c>
      <c r="DE639" s="1311">
        <f>DF639-DD639</f>
        <v>1755</v>
      </c>
      <c r="DF639" s="1311">
        <v>4813</v>
      </c>
      <c r="DG639" s="1311">
        <f>DH639-DE639</f>
        <v>1437</v>
      </c>
      <c r="DH639" s="1311">
        <f>DI639-DD639</f>
        <v>3192</v>
      </c>
      <c r="DI639" s="1312">
        <v>6250</v>
      </c>
      <c r="DJ639" s="1311">
        <v>1497</v>
      </c>
      <c r="DK639" s="1311">
        <f>DL639-DJ639</f>
        <v>1359</v>
      </c>
      <c r="DL639" s="1311">
        <v>2856</v>
      </c>
      <c r="DM639" s="1311">
        <f>DN639-DL639</f>
        <v>1639</v>
      </c>
      <c r="DN639" s="1311">
        <v>4495</v>
      </c>
      <c r="DO639" s="1311"/>
      <c r="DP639" s="1311"/>
      <c r="DQ639" s="1312"/>
      <c r="DR639" s="1311"/>
      <c r="DS639" s="1311"/>
      <c r="DT639" s="1311"/>
      <c r="DU639" s="1311"/>
      <c r="DV639" s="1311"/>
      <c r="DW639" s="1311"/>
      <c r="DX639" s="1311"/>
      <c r="DY639" s="1312"/>
      <c r="DZ639" s="1311"/>
      <c r="EA639" s="1311"/>
      <c r="EB639" s="1311"/>
      <c r="EC639" s="1311"/>
      <c r="ED639" s="1311"/>
      <c r="EE639" s="1311"/>
      <c r="EF639" s="1311"/>
      <c r="EG639" s="1312"/>
      <c r="EH639" s="1311"/>
      <c r="EI639" s="1311"/>
      <c r="EJ639" s="1311"/>
      <c r="EK639" s="1311"/>
      <c r="EL639" s="1311"/>
      <c r="EM639" s="1311"/>
      <c r="EN639" s="1311"/>
      <c r="EO639" s="1312"/>
      <c r="EP639" s="1311"/>
      <c r="EQ639" s="1311"/>
      <c r="ER639" s="1311"/>
      <c r="ES639" s="1311"/>
      <c r="ET639" s="1311"/>
      <c r="EU639" s="1311"/>
      <c r="EV639" s="1311"/>
      <c r="IX639" s="1049"/>
      <c r="IY639" s="1049"/>
      <c r="IZ639" s="1049"/>
      <c r="JA639" s="1049"/>
      <c r="JB639" s="1049"/>
      <c r="JC639" s="1049"/>
      <c r="JD639" s="1469"/>
      <c r="JE639" s="1037"/>
      <c r="JF639" s="1037"/>
      <c r="JG639" s="1037"/>
      <c r="JH639" s="1037"/>
      <c r="JI639" s="1035"/>
      <c r="JJ639" s="1035"/>
      <c r="JK639" s="1035"/>
      <c r="JL639" s="1035"/>
      <c r="JM639" s="1035"/>
      <c r="JN639" s="1035"/>
      <c r="JO639" s="1035"/>
      <c r="JP639" s="1035"/>
      <c r="JQ639" s="1035"/>
      <c r="JR639" s="1035"/>
      <c r="JS639" s="1035"/>
      <c r="JT639" s="1035"/>
      <c r="JU639" s="1035"/>
      <c r="JV639" s="1035"/>
      <c r="JW639" s="1035"/>
      <c r="JX639" s="1035"/>
      <c r="JY639" s="1035"/>
    </row>
    <row r="640" outlineLevel="1" spans="1:285">
      <c r="A640" s="1339" t="s">
        <v>639</v>
      </c>
      <c r="B640" s="1409"/>
      <c r="C640" s="1409"/>
      <c r="D640" s="1409"/>
      <c r="E640" s="1409"/>
      <c r="F640" s="1409"/>
      <c r="G640" s="1409"/>
      <c r="H640" s="1409"/>
      <c r="I640" s="1409"/>
      <c r="J640" s="1409"/>
      <c r="K640" s="1409"/>
      <c r="L640" s="1409"/>
      <c r="M640" s="1409"/>
      <c r="N640" s="1409"/>
      <c r="O640" s="1409"/>
      <c r="P640" s="1409"/>
      <c r="Q640" s="1409"/>
      <c r="R640" s="1409"/>
      <c r="S640" s="1409"/>
      <c r="T640" s="1409"/>
      <c r="U640" s="1409"/>
      <c r="V640" s="1409"/>
      <c r="W640" s="1409"/>
      <c r="X640" s="1409"/>
      <c r="Y640" s="1409"/>
      <c r="Z640" s="1409"/>
      <c r="AA640" s="1409"/>
      <c r="AB640" s="1409"/>
      <c r="AC640" s="1409"/>
      <c r="AD640" s="1409"/>
      <c r="AE640" s="1409"/>
      <c r="AF640" s="1409"/>
      <c r="AG640" s="1409"/>
      <c r="AH640" s="1409"/>
      <c r="AI640" s="1409"/>
      <c r="AJ640" s="1409"/>
      <c r="AK640" s="1409"/>
      <c r="AL640" s="1409"/>
      <c r="AM640" s="1409"/>
      <c r="AN640" s="1409"/>
      <c r="AO640" s="1409"/>
      <c r="AP640" s="1409"/>
      <c r="AQ640" s="1409"/>
      <c r="AR640" s="1409"/>
      <c r="AS640" s="1409"/>
      <c r="AT640" s="1409"/>
      <c r="AU640" s="1409"/>
      <c r="AV640" s="1409"/>
      <c r="AW640" s="1409"/>
      <c r="AX640" s="1408"/>
      <c r="AY640" s="1409"/>
      <c r="AZ640" s="1409"/>
      <c r="BA640" s="1409"/>
      <c r="BB640" s="1409"/>
      <c r="BC640" s="1409"/>
      <c r="BD640" s="1409"/>
      <c r="BE640" s="1410"/>
      <c r="BF640" s="1409"/>
      <c r="BG640" s="1409"/>
      <c r="BH640" s="1409"/>
      <c r="BI640" s="1409"/>
      <c r="BJ640" s="1409"/>
      <c r="BK640" s="1409"/>
      <c r="BL640" s="1409"/>
      <c r="BM640" s="1409"/>
      <c r="BN640" s="1408"/>
      <c r="BO640" s="1409"/>
      <c r="BP640" s="1409"/>
      <c r="BQ640" s="1409"/>
      <c r="BR640" s="1409"/>
      <c r="BS640" s="1409"/>
      <c r="BT640" s="1409"/>
      <c r="BU640" s="1410"/>
      <c r="BV640" s="1526" t="s">
        <v>173</v>
      </c>
      <c r="BW640" s="1061" t="s">
        <v>173</v>
      </c>
      <c r="BX640" s="1061" t="s">
        <v>173</v>
      </c>
      <c r="BY640" s="1061" t="s">
        <v>173</v>
      </c>
      <c r="BZ640" s="1061" t="s">
        <v>173</v>
      </c>
      <c r="CA640" s="1061" t="s">
        <v>173</v>
      </c>
      <c r="CB640" s="1061" t="s">
        <v>173</v>
      </c>
      <c r="CC640" s="1527" t="s">
        <v>173</v>
      </c>
      <c r="CD640" s="1526">
        <f t="shared" ref="CD640:CP640" si="4394">CD639/BV639-1</f>
        <v>0.033213644524237</v>
      </c>
      <c r="CE640" s="1061">
        <f t="shared" si="4394"/>
        <v>0.0328358208955224</v>
      </c>
      <c r="CF640" s="1061">
        <f t="shared" si="4394"/>
        <v>0.0330344502123643</v>
      </c>
      <c r="CG640" s="1061">
        <f t="shared" si="4394"/>
        <v>0.0422204847537138</v>
      </c>
      <c r="CH640" s="1061">
        <f t="shared" si="4394"/>
        <v>0.0364920541494997</v>
      </c>
      <c r="CI640" s="1061">
        <f t="shared" si="4394"/>
        <v>0.24</v>
      </c>
      <c r="CJ640" s="1061">
        <f t="shared" si="4394"/>
        <v>0.119771863117871</v>
      </c>
      <c r="CK640" s="1527">
        <f t="shared" si="4394"/>
        <v>0.0762491120056832</v>
      </c>
      <c r="CL640" s="1526">
        <f t="shared" si="4394"/>
        <v>0.165073848827107</v>
      </c>
      <c r="CM640" s="1061">
        <f t="shared" si="4394"/>
        <v>0.1252408477842</v>
      </c>
      <c r="CN640" s="1061">
        <f t="shared" si="4394"/>
        <v>0.146185472818639</v>
      </c>
      <c r="CO640" s="1061">
        <f t="shared" si="4394"/>
        <v>0.0139534883720929</v>
      </c>
      <c r="CP640" s="1061">
        <f t="shared" si="4394"/>
        <v>0.143384440658717</v>
      </c>
      <c r="CQ640" s="1061">
        <v>0.071</v>
      </c>
      <c r="CR640" s="1061">
        <f>CR639/CG639-1</f>
        <v>1.00705176294074</v>
      </c>
      <c r="CS640" s="1527">
        <f t="shared" ref="CS640:CX640" si="4395">CS639/CK639-1</f>
        <v>0.122112211221122</v>
      </c>
      <c r="CT640" s="1526">
        <f t="shared" si="4395"/>
        <v>0.035048471290082</v>
      </c>
      <c r="CU640" s="1302">
        <f t="shared" si="4395"/>
        <v>0.122431506849315</v>
      </c>
      <c r="CV640" s="1302">
        <f t="shared" si="4395"/>
        <v>0.0757273814268633</v>
      </c>
      <c r="CW640" s="1302">
        <f t="shared" si="4395"/>
        <v>0.172684226102397</v>
      </c>
      <c r="CX640" s="1302">
        <f t="shared" si="4395"/>
        <v>0.0638192202632233</v>
      </c>
      <c r="CY640" s="1302">
        <f t="shared" ref="CY640:DD640" si="4396">CY639/CQ639-1</f>
        <v>0.233923578751165</v>
      </c>
      <c r="CZ640" s="1302">
        <f t="shared" si="4396"/>
        <v>0.08731404649772</v>
      </c>
      <c r="DA640" s="1304">
        <f t="shared" si="4396"/>
        <v>0.0996078431372549</v>
      </c>
      <c r="DB640" s="1109">
        <f t="shared" si="4396"/>
        <v>0.130403458213256</v>
      </c>
      <c r="DC640" s="1082">
        <f t="shared" si="4396"/>
        <v>0.135774218154081</v>
      </c>
      <c r="DD640" s="1082">
        <f t="shared" si="4396"/>
        <v>0.133012226750648</v>
      </c>
      <c r="DE640" s="1082">
        <f t="shared" ref="DE640:DQ640" si="4397">DE639/CW639-1</f>
        <v>0.107255520504732</v>
      </c>
      <c r="DF640" s="1082">
        <f t="shared" si="4397"/>
        <v>0.123482726423903</v>
      </c>
      <c r="DG640" s="1082">
        <f t="shared" si="4397"/>
        <v>0.0853474320241692</v>
      </c>
      <c r="DH640" s="1082">
        <f t="shared" si="4397"/>
        <v>0.0972842901340667</v>
      </c>
      <c r="DI640" s="1085">
        <f t="shared" si="4397"/>
        <v>0.114479315263909</v>
      </c>
      <c r="DJ640" s="1181">
        <f t="shared" si="4397"/>
        <v>-0.0458891013384322</v>
      </c>
      <c r="DK640" s="1181">
        <f t="shared" si="4397"/>
        <v>-0.0873069173942244</v>
      </c>
      <c r="DL640" s="1181">
        <f t="shared" si="4397"/>
        <v>-0.066056245912361</v>
      </c>
      <c r="DM640" s="1181">
        <f t="shared" si="4397"/>
        <v>-0.066096866096866</v>
      </c>
      <c r="DN640" s="1080">
        <f t="shared" si="4397"/>
        <v>-0.0660710575524621</v>
      </c>
      <c r="DO640" s="1080">
        <f t="shared" si="4397"/>
        <v>-1</v>
      </c>
      <c r="DP640" s="1080">
        <f t="shared" si="4397"/>
        <v>-1</v>
      </c>
      <c r="DQ640" s="1081">
        <f t="shared" si="4397"/>
        <v>-1</v>
      </c>
      <c r="DR640" s="1082"/>
      <c r="DS640" s="1082"/>
      <c r="DT640" s="1082"/>
      <c r="DU640" s="1082"/>
      <c r="DV640" s="1082"/>
      <c r="DW640" s="1082"/>
      <c r="DX640" s="1082"/>
      <c r="DY640" s="1085"/>
      <c r="DZ640" s="1082"/>
      <c r="EA640" s="1082"/>
      <c r="EB640" s="1082"/>
      <c r="EC640" s="1082"/>
      <c r="ED640" s="1082"/>
      <c r="EE640" s="1082"/>
      <c r="EF640" s="1082"/>
      <c r="EG640" s="1085"/>
      <c r="EH640" s="1082"/>
      <c r="EI640" s="1082"/>
      <c r="EJ640" s="1082"/>
      <c r="EK640" s="1082"/>
      <c r="EL640" s="1082"/>
      <c r="EM640" s="1082"/>
      <c r="EN640" s="1082"/>
      <c r="EO640" s="1085"/>
      <c r="EP640" s="1082"/>
      <c r="EQ640" s="1082"/>
      <c r="ER640" s="1082"/>
      <c r="ES640" s="1082"/>
      <c r="ET640" s="1082"/>
      <c r="EU640" s="1082"/>
      <c r="EV640" s="1082"/>
      <c r="IX640" s="1049"/>
      <c r="IY640" s="1049"/>
      <c r="IZ640" s="1049"/>
      <c r="JA640" s="1049"/>
      <c r="JB640" s="1049"/>
      <c r="JC640" s="1049"/>
      <c r="JD640" s="1112"/>
      <c r="JE640" s="1037"/>
      <c r="JF640" s="1037"/>
      <c r="JG640" s="1037"/>
      <c r="JH640" s="1037"/>
      <c r="JI640" s="1035"/>
      <c r="JJ640" s="1035"/>
      <c r="JK640" s="1035"/>
      <c r="JL640" s="1035"/>
      <c r="JM640" s="1035"/>
      <c r="JN640" s="1035"/>
      <c r="JO640" s="1035"/>
      <c r="JP640" s="1035"/>
      <c r="JQ640" s="1035"/>
      <c r="JR640" s="1035"/>
      <c r="JS640" s="1035"/>
      <c r="JT640" s="1035"/>
      <c r="JU640" s="1035"/>
      <c r="JV640" s="1035"/>
      <c r="JW640" s="1035"/>
      <c r="JX640" s="1035"/>
      <c r="JY640" s="1035"/>
    </row>
    <row r="641" outlineLevel="1" spans="1:285">
      <c r="A641" s="1339" t="s">
        <v>641</v>
      </c>
      <c r="B641" s="1409"/>
      <c r="C641" s="1409"/>
      <c r="D641" s="1409"/>
      <c r="E641" s="1409"/>
      <c r="F641" s="1409"/>
      <c r="G641" s="1409"/>
      <c r="H641" s="1409"/>
      <c r="I641" s="1409"/>
      <c r="J641" s="1409"/>
      <c r="K641" s="1409"/>
      <c r="L641" s="1409"/>
      <c r="M641" s="1409"/>
      <c r="N641" s="1409"/>
      <c r="O641" s="1409"/>
      <c r="P641" s="1409"/>
      <c r="Q641" s="1409"/>
      <c r="R641" s="1409"/>
      <c r="S641" s="1409"/>
      <c r="T641" s="1409"/>
      <c r="U641" s="1409"/>
      <c r="V641" s="1409"/>
      <c r="W641" s="1409"/>
      <c r="X641" s="1409"/>
      <c r="Y641" s="1409"/>
      <c r="Z641" s="1409"/>
      <c r="AA641" s="1409"/>
      <c r="AB641" s="1409"/>
      <c r="AC641" s="1409"/>
      <c r="AD641" s="1409"/>
      <c r="AE641" s="1409"/>
      <c r="AF641" s="1409"/>
      <c r="AG641" s="1409"/>
      <c r="AH641" s="1409"/>
      <c r="AI641" s="1409"/>
      <c r="AJ641" s="1409"/>
      <c r="AK641" s="1409"/>
      <c r="AL641" s="1409"/>
      <c r="AM641" s="1409"/>
      <c r="AN641" s="1409"/>
      <c r="AO641" s="1409"/>
      <c r="AP641" s="1409"/>
      <c r="AQ641" s="1409"/>
      <c r="AR641" s="1409"/>
      <c r="AS641" s="1409"/>
      <c r="AT641" s="1409"/>
      <c r="AU641" s="1409"/>
      <c r="AV641" s="1409"/>
      <c r="AW641" s="1409"/>
      <c r="AX641" s="1408"/>
      <c r="AY641" s="1409"/>
      <c r="AZ641" s="1409"/>
      <c r="BA641" s="1409"/>
      <c r="BB641" s="1409"/>
      <c r="BC641" s="1409"/>
      <c r="BD641" s="1409"/>
      <c r="BE641" s="1410"/>
      <c r="BF641" s="1409"/>
      <c r="BG641" s="1409"/>
      <c r="BH641" s="1409"/>
      <c r="BI641" s="1409"/>
      <c r="BJ641" s="1409"/>
      <c r="BK641" s="1409"/>
      <c r="BL641" s="1409"/>
      <c r="BM641" s="1409"/>
      <c r="BN641" s="1408"/>
      <c r="BO641" s="1409"/>
      <c r="BP641" s="1409"/>
      <c r="BQ641" s="1409"/>
      <c r="BR641" s="1409"/>
      <c r="BS641" s="1409"/>
      <c r="BT641" s="1409"/>
      <c r="BU641" s="1410"/>
      <c r="BV641" s="1526" t="s">
        <v>173</v>
      </c>
      <c r="BW641" s="1061" t="s">
        <v>173</v>
      </c>
      <c r="BX641" s="1061" t="s">
        <v>173</v>
      </c>
      <c r="BY641" s="1061" t="s">
        <v>173</v>
      </c>
      <c r="BZ641" s="1061" t="s">
        <v>173</v>
      </c>
      <c r="CA641" s="1061" t="s">
        <v>173</v>
      </c>
      <c r="CB641" s="1061" t="s">
        <v>173</v>
      </c>
      <c r="CC641" s="1527" t="s">
        <v>173</v>
      </c>
      <c r="CD641" s="1408">
        <v>0</v>
      </c>
      <c r="CE641" s="1061">
        <f>(CF641*(BX639/BW639))-(CD641*(BV639/BW639))</f>
        <v>0</v>
      </c>
      <c r="CF641" s="1061">
        <v>0</v>
      </c>
      <c r="CG641" s="1061">
        <f>(CH641*(BZ639/BY639))-(CF641*(BX639/BY639))</f>
        <v>0.106270523846755</v>
      </c>
      <c r="CH641" s="1061">
        <v>0.04</v>
      </c>
      <c r="CI641" s="1061">
        <f>(CK641*(CC639/CA639))-(CH641*(BZ639/CA639))</f>
        <v>0.193563636363636</v>
      </c>
      <c r="CJ641" s="1061" t="s">
        <v>173</v>
      </c>
      <c r="CK641" s="1527">
        <v>0.07</v>
      </c>
      <c r="CL641" s="1526">
        <v>0.11</v>
      </c>
      <c r="CM641" s="1061">
        <f>(CN641*(CF639/CE639))-(CL641*(CD639/CE639))</f>
        <v>0.131088631984586</v>
      </c>
      <c r="CN641" s="1061">
        <v>0.12</v>
      </c>
      <c r="CO641" s="1409"/>
      <c r="CP641" s="1409"/>
      <c r="CQ641" s="1409"/>
      <c r="CR641" s="1409"/>
      <c r="CS641" s="1410">
        <v>0.13</v>
      </c>
      <c r="CT641" s="1526">
        <v>0.09</v>
      </c>
      <c r="CU641" s="1061">
        <v>0.15</v>
      </c>
      <c r="CV641" s="1061">
        <v>0.12</v>
      </c>
      <c r="CW641" s="1061">
        <f>(CX641*CP639-CV641*CN639)/CO639</f>
        <v>0.0751849659662623</v>
      </c>
      <c r="CX641" s="1061">
        <v>0.1</v>
      </c>
      <c r="CY641" s="1061"/>
      <c r="CZ641" s="1061"/>
      <c r="DA641" s="1527"/>
      <c r="DB641" s="1150">
        <v>0.19</v>
      </c>
      <c r="DC641" s="1080">
        <f>(DD641*CV639-DB641*CT639)/CU639</f>
        <v>0.210587337909992</v>
      </c>
      <c r="DD641" s="1080">
        <v>0.2</v>
      </c>
      <c r="DE641" s="1080">
        <f>(DF641*CX639-DD641*CV639)/CW639</f>
        <v>0.172971608832808</v>
      </c>
      <c r="DF641" s="1080">
        <v>0.19</v>
      </c>
      <c r="DG641" s="1082">
        <f>(DI641*DA639-DF641*CX639)/CY639</f>
        <v>0.0205740181268881</v>
      </c>
      <c r="DH641" s="1082">
        <f>(DI641*DA639-DD641*CV639)/CZ639</f>
        <v>0.103609487796494</v>
      </c>
      <c r="DI641" s="1081">
        <v>0.15</v>
      </c>
      <c r="DJ641" s="1181">
        <v>-0.09</v>
      </c>
      <c r="DK641" s="1181">
        <f>(DL641*DD639-DJ641*DB639)/DC639</f>
        <v>-0.131074546675621</v>
      </c>
      <c r="DL641" s="1181">
        <v>-0.11</v>
      </c>
      <c r="DM641" s="1181">
        <f>(DN641*DF639-DL641*DD639)/DE639</f>
        <v>-0.0825754985754986</v>
      </c>
      <c r="DN641" s="1080">
        <v>-0.1</v>
      </c>
      <c r="DO641" s="1080"/>
      <c r="DP641" s="1080"/>
      <c r="DQ641" s="1081"/>
      <c r="DR641" s="1080"/>
      <c r="DS641" s="1080"/>
      <c r="DT641" s="1080"/>
      <c r="DU641" s="1080"/>
      <c r="DV641" s="1080"/>
      <c r="DW641" s="1082"/>
      <c r="DX641" s="1082"/>
      <c r="DY641" s="1081"/>
      <c r="DZ641" s="1080"/>
      <c r="EA641" s="1080"/>
      <c r="EB641" s="1080"/>
      <c r="EC641" s="1080"/>
      <c r="ED641" s="1080"/>
      <c r="EE641" s="1082"/>
      <c r="EF641" s="1082"/>
      <c r="EG641" s="1081"/>
      <c r="EH641" s="1080"/>
      <c r="EI641" s="1080"/>
      <c r="EJ641" s="1080"/>
      <c r="EK641" s="1080"/>
      <c r="EL641" s="1080"/>
      <c r="EM641" s="1082"/>
      <c r="EN641" s="1082"/>
      <c r="EO641" s="1081"/>
      <c r="EP641" s="1080"/>
      <c r="EQ641" s="1080"/>
      <c r="ER641" s="1080"/>
      <c r="ES641" s="1080"/>
      <c r="ET641" s="1080"/>
      <c r="EU641" s="1080"/>
      <c r="EV641" s="1080"/>
      <c r="IX641" s="1049"/>
      <c r="IY641" s="1049"/>
      <c r="IZ641" s="1049"/>
      <c r="JA641" s="1049"/>
      <c r="JB641" s="1049"/>
      <c r="JC641" s="1049"/>
      <c r="JD641" s="1330"/>
      <c r="JE641" s="1037"/>
      <c r="JF641" s="1037"/>
      <c r="JG641" s="1037"/>
      <c r="JH641" s="1037"/>
      <c r="JI641" s="1035"/>
      <c r="JJ641" s="1035"/>
      <c r="JK641" s="1035"/>
      <c r="JL641" s="1035"/>
      <c r="JM641" s="1035"/>
      <c r="JN641" s="1035"/>
      <c r="JO641" s="1035"/>
      <c r="JP641" s="1035"/>
      <c r="JQ641" s="1035"/>
      <c r="JR641" s="1035"/>
      <c r="JS641" s="1035"/>
      <c r="JT641" s="1035"/>
      <c r="JU641" s="1035"/>
      <c r="JV641" s="1035"/>
      <c r="JW641" s="1035"/>
      <c r="JX641" s="1035"/>
      <c r="JY641" s="1035"/>
    </row>
    <row r="642" outlineLevel="1" spans="1:285">
      <c r="A642" s="1339" t="s">
        <v>642</v>
      </c>
      <c r="B642" s="1409"/>
      <c r="C642" s="1409"/>
      <c r="D642" s="1409"/>
      <c r="E642" s="1409"/>
      <c r="F642" s="1409"/>
      <c r="G642" s="1409"/>
      <c r="H642" s="1409"/>
      <c r="I642" s="1409"/>
      <c r="J642" s="1409"/>
      <c r="K642" s="1409"/>
      <c r="L642" s="1409"/>
      <c r="M642" s="1409"/>
      <c r="N642" s="1409"/>
      <c r="O642" s="1409"/>
      <c r="P642" s="1409"/>
      <c r="Q642" s="1409"/>
      <c r="R642" s="1409"/>
      <c r="S642" s="1409"/>
      <c r="T642" s="1409"/>
      <c r="U642" s="1409"/>
      <c r="V642" s="1409"/>
      <c r="W642" s="1409"/>
      <c r="X642" s="1409"/>
      <c r="Y642" s="1409"/>
      <c r="Z642" s="1409"/>
      <c r="AA642" s="1409"/>
      <c r="AB642" s="1409"/>
      <c r="AC642" s="1409"/>
      <c r="AD642" s="1409"/>
      <c r="AE642" s="1409"/>
      <c r="AF642" s="1409"/>
      <c r="AG642" s="1409"/>
      <c r="AH642" s="1409"/>
      <c r="AI642" s="1409"/>
      <c r="AJ642" s="1409"/>
      <c r="AK642" s="1409"/>
      <c r="AL642" s="1409"/>
      <c r="AM642" s="1409"/>
      <c r="AN642" s="1409"/>
      <c r="AO642" s="1409"/>
      <c r="AP642" s="1409"/>
      <c r="AQ642" s="1409"/>
      <c r="AR642" s="1409"/>
      <c r="AS642" s="1409"/>
      <c r="AT642" s="1409"/>
      <c r="AU642" s="1409"/>
      <c r="AV642" s="1409"/>
      <c r="AW642" s="1409"/>
      <c r="AX642" s="1408"/>
      <c r="AY642" s="1409"/>
      <c r="AZ642" s="1409"/>
      <c r="BA642" s="1409"/>
      <c r="BB642" s="1409"/>
      <c r="BC642" s="1409"/>
      <c r="BD642" s="1409"/>
      <c r="BE642" s="1410"/>
      <c r="BF642" s="1409"/>
      <c r="BG642" s="1409"/>
      <c r="BH642" s="1409"/>
      <c r="BI642" s="1409"/>
      <c r="BJ642" s="1409"/>
      <c r="BK642" s="1409"/>
      <c r="BL642" s="1409"/>
      <c r="BM642" s="1409"/>
      <c r="BN642" s="1408"/>
      <c r="BO642" s="1409"/>
      <c r="BP642" s="1409"/>
      <c r="BQ642" s="1409"/>
      <c r="BR642" s="1409"/>
      <c r="BS642" s="1409"/>
      <c r="BT642" s="1409"/>
      <c r="BU642" s="1410"/>
      <c r="BV642" s="1303">
        <f t="shared" ref="BV642:DQ642" si="4398">BV639/BV$633</f>
        <v>0.808417997097242</v>
      </c>
      <c r="BW642" s="1302">
        <f t="shared" si="4398"/>
        <v>0.832642916321458</v>
      </c>
      <c r="BX642" s="1302">
        <f t="shared" si="4398"/>
        <v>0.819729206963249</v>
      </c>
      <c r="BY642" s="1302">
        <f t="shared" si="4398"/>
        <v>0.814649681528662</v>
      </c>
      <c r="BZ642" s="1302">
        <f t="shared" si="4398"/>
        <v>0.817809867629362</v>
      </c>
      <c r="CA642" s="1302">
        <f t="shared" si="4398"/>
        <v>0.808823529411765</v>
      </c>
      <c r="CB642" s="1302">
        <f t="shared" si="4398"/>
        <v>0.812355212355212</v>
      </c>
      <c r="CC642" s="1304">
        <f t="shared" si="4398"/>
        <v>0.816038647342995</v>
      </c>
      <c r="CD642" s="1303">
        <f t="shared" si="4398"/>
        <v>0.761243386243386</v>
      </c>
      <c r="CE642" s="1302">
        <f t="shared" si="4398"/>
        <v>0.79601226993865</v>
      </c>
      <c r="CF642" s="1302">
        <f t="shared" si="4398"/>
        <v>0.77734375</v>
      </c>
      <c r="CG642" s="1302">
        <f t="shared" si="4398"/>
        <v>0.770965876229034</v>
      </c>
      <c r="CH642" s="1302">
        <f t="shared" si="4398"/>
        <v>0.774917491749175</v>
      </c>
      <c r="CI642" s="1302">
        <f t="shared" si="4398"/>
        <v>0.777355623100304</v>
      </c>
      <c r="CJ642" s="1302">
        <f t="shared" si="4398"/>
        <v>0.773727422003284</v>
      </c>
      <c r="CK642" s="1304">
        <f t="shared" si="4398"/>
        <v>0.775464937723938</v>
      </c>
      <c r="CL642" s="1303">
        <f t="shared" si="4398"/>
        <v>0.755067567567568</v>
      </c>
      <c r="CM642" s="1302">
        <f t="shared" si="4398"/>
        <v>0.762402088772846</v>
      </c>
      <c r="CN642" s="1302">
        <f t="shared" si="4398"/>
        <v>0.758464328899637</v>
      </c>
      <c r="CO642" s="1302">
        <f t="shared" si="4398"/>
        <v>0.696701030927835</v>
      </c>
      <c r="CP642" s="1302">
        <f t="shared" si="4398"/>
        <v>0.76733993902439</v>
      </c>
      <c r="CQ642" s="1302">
        <f t="shared" si="4398"/>
        <v>0.77866473149492</v>
      </c>
      <c r="CR642" s="1302">
        <f t="shared" si="4398"/>
        <v>0.808766626360339</v>
      </c>
      <c r="CS642" s="1304">
        <f t="shared" si="4398"/>
        <v>0.769695140356173</v>
      </c>
      <c r="CT642" s="1303">
        <f t="shared" si="4398"/>
        <v>0.763056624518966</v>
      </c>
      <c r="CU642" s="1302">
        <f t="shared" si="4398"/>
        <v>0.801834862385321</v>
      </c>
      <c r="CV642" s="1302">
        <f t="shared" si="4398"/>
        <v>0.781412854661262</v>
      </c>
      <c r="CW642" s="1302">
        <f t="shared" si="4398"/>
        <v>0.788165091994033</v>
      </c>
      <c r="CX642" s="1302">
        <f t="shared" si="4398"/>
        <v>0.783897529734675</v>
      </c>
      <c r="CY642" s="1302">
        <f t="shared" si="4398"/>
        <v>0.803398058252427</v>
      </c>
      <c r="CZ642" s="1302">
        <f t="shared" si="4398"/>
        <v>0.795025963377972</v>
      </c>
      <c r="DA642" s="1304">
        <f t="shared" si="4398"/>
        <v>0.78841557711233</v>
      </c>
      <c r="DB642" s="1109">
        <f t="shared" si="4398"/>
        <v>0.797256097560976</v>
      </c>
      <c r="DC642" s="1082">
        <f t="shared" si="4398"/>
        <v>0.818581638262782</v>
      </c>
      <c r="DD642" s="1082">
        <f t="shared" si="4398"/>
        <v>0.807499339846845</v>
      </c>
      <c r="DE642" s="1082">
        <f t="shared" si="4398"/>
        <v>0.791610284167794</v>
      </c>
      <c r="DF642" s="1082">
        <f t="shared" si="4398"/>
        <v>0.801632245169887</v>
      </c>
      <c r="DG642" s="1082">
        <f t="shared" si="4398"/>
        <v>0.790864061640066</v>
      </c>
      <c r="DH642" s="1082">
        <f t="shared" si="4398"/>
        <v>0.791274169558751</v>
      </c>
      <c r="DI642" s="1085">
        <f t="shared" si="4398"/>
        <v>0.799130545965989</v>
      </c>
      <c r="DJ642" s="1094">
        <f t="shared" si="4398"/>
        <v>0.780907668231612</v>
      </c>
      <c r="DK642" s="1094">
        <f t="shared" si="4398"/>
        <v>0.776571428571429</v>
      </c>
      <c r="DL642" s="1094">
        <f t="shared" si="4398"/>
        <v>0.778838287428416</v>
      </c>
      <c r="DM642" s="1094">
        <f t="shared" si="4398"/>
        <v>0.776409284699195</v>
      </c>
      <c r="DN642" s="1082">
        <f t="shared" si="4398"/>
        <v>0.777950848044306</v>
      </c>
      <c r="DO642" s="1082" t="e">
        <f t="shared" si="4398"/>
        <v>#REF!</v>
      </c>
      <c r="DP642" s="1082" t="e">
        <f t="shared" si="4398"/>
        <v>#REF!</v>
      </c>
      <c r="DQ642" s="1085" t="e">
        <f t="shared" si="4398"/>
        <v>#REF!</v>
      </c>
      <c r="DR642" s="1082"/>
      <c r="DS642" s="1082"/>
      <c r="DT642" s="1082"/>
      <c r="DU642" s="1082"/>
      <c r="DV642" s="1082"/>
      <c r="DW642" s="1082"/>
      <c r="DX642" s="1082"/>
      <c r="DY642" s="1085"/>
      <c r="DZ642" s="1082"/>
      <c r="EA642" s="1082"/>
      <c r="EB642" s="1082"/>
      <c r="EC642" s="1082"/>
      <c r="ED642" s="1082"/>
      <c r="EE642" s="1082"/>
      <c r="EF642" s="1082"/>
      <c r="EG642" s="1085"/>
      <c r="EH642" s="1082"/>
      <c r="EI642" s="1082"/>
      <c r="EJ642" s="1082"/>
      <c r="EK642" s="1082"/>
      <c r="EL642" s="1082"/>
      <c r="EM642" s="1082"/>
      <c r="EN642" s="1082"/>
      <c r="EO642" s="1085"/>
      <c r="EP642" s="1082"/>
      <c r="EQ642" s="1082"/>
      <c r="ER642" s="1082"/>
      <c r="ES642" s="1082"/>
      <c r="ET642" s="1082"/>
      <c r="EU642" s="1082"/>
      <c r="EV642" s="1082"/>
      <c r="IX642" s="1049"/>
      <c r="IY642" s="1049"/>
      <c r="IZ642" s="1049"/>
      <c r="JA642" s="1049"/>
      <c r="JB642" s="1049"/>
      <c r="JC642" s="1049"/>
      <c r="JD642" s="1112"/>
      <c r="JE642" s="1037"/>
      <c r="JF642" s="1037"/>
      <c r="JG642" s="1037"/>
      <c r="JH642" s="1037"/>
      <c r="JI642" s="1035"/>
      <c r="JJ642" s="1035"/>
      <c r="JK642" s="1035"/>
      <c r="JL642" s="1035"/>
      <c r="JM642" s="1035"/>
      <c r="JN642" s="1035"/>
      <c r="JO642" s="1035"/>
      <c r="JP642" s="1035"/>
      <c r="JQ642" s="1035"/>
      <c r="JR642" s="1035"/>
      <c r="JS642" s="1035"/>
      <c r="JT642" s="1035"/>
      <c r="JU642" s="1035"/>
      <c r="JV642" s="1035"/>
      <c r="JW642" s="1035"/>
      <c r="JX642" s="1035"/>
      <c r="JY642" s="1035"/>
    </row>
    <row r="643" outlineLevel="1" spans="1:285">
      <c r="A643" s="1306" t="s">
        <v>649</v>
      </c>
      <c r="B643" s="1307"/>
      <c r="C643" s="1307"/>
      <c r="D643" s="1307"/>
      <c r="E643" s="1307"/>
      <c r="F643" s="1307"/>
      <c r="G643" s="1307"/>
      <c r="H643" s="1307"/>
      <c r="I643" s="1307"/>
      <c r="J643" s="1307"/>
      <c r="K643" s="1307"/>
      <c r="L643" s="1307"/>
      <c r="M643" s="1307"/>
      <c r="N643" s="1307"/>
      <c r="O643" s="1307"/>
      <c r="P643" s="1307"/>
      <c r="Q643" s="1307"/>
      <c r="R643" s="1307"/>
      <c r="S643" s="1307"/>
      <c r="T643" s="1307"/>
      <c r="U643" s="1307"/>
      <c r="V643" s="1307"/>
      <c r="W643" s="1307"/>
      <c r="X643" s="1307"/>
      <c r="Y643" s="1307"/>
      <c r="Z643" s="1307"/>
      <c r="AA643" s="1307"/>
      <c r="AB643" s="1307"/>
      <c r="AC643" s="1307"/>
      <c r="AD643" s="1307"/>
      <c r="AE643" s="1307"/>
      <c r="AF643" s="1307"/>
      <c r="AG643" s="1307"/>
      <c r="AH643" s="1307"/>
      <c r="AI643" s="1307"/>
      <c r="AJ643" s="1307"/>
      <c r="AK643" s="1307"/>
      <c r="AL643" s="1307"/>
      <c r="AM643" s="1307"/>
      <c r="AN643" s="1307"/>
      <c r="AO643" s="1307"/>
      <c r="AP643" s="1307"/>
      <c r="AQ643" s="1307"/>
      <c r="AR643" s="1307"/>
      <c r="AS643" s="1307"/>
      <c r="AT643" s="1307"/>
      <c r="AU643" s="1307"/>
      <c r="AV643" s="1307"/>
      <c r="AW643" s="1307"/>
      <c r="AX643" s="1308"/>
      <c r="AY643" s="1307"/>
      <c r="AZ643" s="1307"/>
      <c r="BA643" s="1307"/>
      <c r="BB643" s="1307"/>
      <c r="BC643" s="1307"/>
      <c r="BD643" s="1307"/>
      <c r="BE643" s="1309"/>
      <c r="BF643" s="1307"/>
      <c r="BG643" s="1307"/>
      <c r="BH643" s="1307"/>
      <c r="BI643" s="1307"/>
      <c r="BJ643" s="1307"/>
      <c r="BK643" s="1307"/>
      <c r="BL643" s="1307"/>
      <c r="BM643" s="1307"/>
      <c r="BN643" s="1308"/>
      <c r="BO643" s="1307"/>
      <c r="BP643" s="1307"/>
      <c r="BQ643" s="1307"/>
      <c r="BR643" s="1307"/>
      <c r="BS643" s="1307"/>
      <c r="BT643" s="1307"/>
      <c r="BU643" s="1309"/>
      <c r="BV643" s="1308">
        <v>249</v>
      </c>
      <c r="BW643" s="1307">
        <f>BX643-BV643</f>
        <v>190</v>
      </c>
      <c r="BX643" s="1307">
        <v>439</v>
      </c>
      <c r="BY643" s="1307">
        <f>BZ643-BX643</f>
        <v>280</v>
      </c>
      <c r="BZ643" s="1307">
        <v>719</v>
      </c>
      <c r="CA643" s="1307">
        <f>CC643-BZ643</f>
        <v>188</v>
      </c>
      <c r="CB643" s="1307">
        <f>BY643+CA643</f>
        <v>468</v>
      </c>
      <c r="CC643" s="1309">
        <v>907</v>
      </c>
      <c r="CD643" s="1308">
        <v>353</v>
      </c>
      <c r="CE643" s="1307">
        <f>CF643-CD643</f>
        <v>265</v>
      </c>
      <c r="CF643" s="1307">
        <v>618</v>
      </c>
      <c r="CG643" s="1307">
        <f>CH643-CF643</f>
        <v>395</v>
      </c>
      <c r="CH643" s="1307">
        <v>1013</v>
      </c>
      <c r="CI643" s="1307">
        <f>CK643-CH643</f>
        <v>277</v>
      </c>
      <c r="CJ643" s="1307">
        <f>CG643+CI643</f>
        <v>672</v>
      </c>
      <c r="CK643" s="1309">
        <v>1290</v>
      </c>
      <c r="CL643" s="1308">
        <v>417</v>
      </c>
      <c r="CM643" s="1307">
        <f>CN643-CL643</f>
        <v>351</v>
      </c>
      <c r="CN643" s="1307">
        <v>768</v>
      </c>
      <c r="CO643" s="1307">
        <v>493.75</v>
      </c>
      <c r="CP643" s="1307">
        <v>1187</v>
      </c>
      <c r="CQ643" s="1307">
        <f>CS643-CP643</f>
        <v>283</v>
      </c>
      <c r="CR643" s="1307">
        <f>CS643-CQ643-CO643</f>
        <v>693.25</v>
      </c>
      <c r="CS643" s="1309">
        <v>1470</v>
      </c>
      <c r="CT643" s="1308">
        <v>421</v>
      </c>
      <c r="CU643" s="1307">
        <f>CV643-CT643</f>
        <v>318</v>
      </c>
      <c r="CV643" s="1307">
        <v>739</v>
      </c>
      <c r="CW643" s="1307">
        <f>CX643-CV643</f>
        <v>414</v>
      </c>
      <c r="CX643" s="1307">
        <v>1153</v>
      </c>
      <c r="CY643" s="1307">
        <f>DA643-CX643</f>
        <v>302</v>
      </c>
      <c r="CZ643" s="1307">
        <f>CY643+CW643</f>
        <v>716</v>
      </c>
      <c r="DA643" s="1309">
        <v>1455</v>
      </c>
      <c r="DB643" s="1332">
        <v>385</v>
      </c>
      <c r="DC643" s="1311">
        <f>DD643-DB643</f>
        <v>320</v>
      </c>
      <c r="DD643" s="1311">
        <v>705</v>
      </c>
      <c r="DE643" s="1311">
        <f>DF643-DD643</f>
        <v>453</v>
      </c>
      <c r="DF643" s="1311">
        <v>1158</v>
      </c>
      <c r="DG643" s="1311">
        <f>DH643-DE643</f>
        <v>377</v>
      </c>
      <c r="DH643" s="1311">
        <f>DI643-DD643</f>
        <v>830</v>
      </c>
      <c r="DI643" s="1312">
        <v>1535</v>
      </c>
      <c r="DJ643" s="1311">
        <v>435</v>
      </c>
      <c r="DK643" s="1311">
        <f>DL643-DJ643</f>
        <v>380</v>
      </c>
      <c r="DL643" s="1311">
        <v>815</v>
      </c>
      <c r="DM643" s="1311">
        <f>DN643-DL643</f>
        <v>485</v>
      </c>
      <c r="DN643" s="1311">
        <v>1300</v>
      </c>
      <c r="DO643" s="1311"/>
      <c r="DP643" s="1311"/>
      <c r="DQ643" s="1312"/>
      <c r="DR643" s="1311"/>
      <c r="DS643" s="1311"/>
      <c r="DT643" s="1311"/>
      <c r="DU643" s="1311"/>
      <c r="DV643" s="1311"/>
      <c r="DW643" s="1311"/>
      <c r="DX643" s="1311"/>
      <c r="DY643" s="1312"/>
      <c r="DZ643" s="1311"/>
      <c r="EA643" s="1311"/>
      <c r="EB643" s="1311"/>
      <c r="EC643" s="1311"/>
      <c r="ED643" s="1311"/>
      <c r="EE643" s="1311"/>
      <c r="EF643" s="1311"/>
      <c r="EG643" s="1312"/>
      <c r="EH643" s="1311"/>
      <c r="EI643" s="1311"/>
      <c r="EJ643" s="1311"/>
      <c r="EK643" s="1311"/>
      <c r="EL643" s="1311"/>
      <c r="EM643" s="1311"/>
      <c r="EN643" s="1311"/>
      <c r="EO643" s="1312"/>
      <c r="EP643" s="1311"/>
      <c r="EQ643" s="1311"/>
      <c r="ER643" s="1311"/>
      <c r="ES643" s="1311"/>
      <c r="ET643" s="1311"/>
      <c r="EU643" s="1311"/>
      <c r="EV643" s="1311"/>
      <c r="IX643" s="1049"/>
      <c r="IY643" s="1049"/>
      <c r="IZ643" s="1049"/>
      <c r="JA643" s="1049"/>
      <c r="JB643" s="1049"/>
      <c r="JC643" s="1049"/>
      <c r="JD643" s="1469"/>
      <c r="JE643" s="1037"/>
      <c r="JF643" s="1037"/>
      <c r="JG643" s="1037"/>
      <c r="JH643" s="1037"/>
      <c r="JI643" s="1035"/>
      <c r="JJ643" s="1035"/>
      <c r="JK643" s="1035"/>
      <c r="JL643" s="1035"/>
      <c r="JM643" s="1035"/>
      <c r="JN643" s="1035"/>
      <c r="JO643" s="1035"/>
      <c r="JP643" s="1035"/>
      <c r="JQ643" s="1035"/>
      <c r="JR643" s="1035"/>
      <c r="JS643" s="1035"/>
      <c r="JT643" s="1035"/>
      <c r="JU643" s="1035"/>
      <c r="JV643" s="1035"/>
      <c r="JW643" s="1035"/>
      <c r="JX643" s="1035"/>
      <c r="JY643" s="1035"/>
    </row>
    <row r="644" outlineLevel="1" spans="1:285">
      <c r="A644" s="1339" t="s">
        <v>639</v>
      </c>
      <c r="B644" s="1409"/>
      <c r="C644" s="1409"/>
      <c r="D644" s="1409"/>
      <c r="E644" s="1409"/>
      <c r="F644" s="1409"/>
      <c r="G644" s="1409"/>
      <c r="H644" s="1409"/>
      <c r="I644" s="1409"/>
      <c r="J644" s="1409"/>
      <c r="K644" s="1409"/>
      <c r="L644" s="1409"/>
      <c r="M644" s="1409"/>
      <c r="N644" s="1409"/>
      <c r="O644" s="1409"/>
      <c r="P644" s="1409"/>
      <c r="Q644" s="1409"/>
      <c r="R644" s="1409"/>
      <c r="S644" s="1409"/>
      <c r="T644" s="1409"/>
      <c r="U644" s="1409"/>
      <c r="V644" s="1409"/>
      <c r="W644" s="1409"/>
      <c r="X644" s="1409"/>
      <c r="Y644" s="1409"/>
      <c r="Z644" s="1409"/>
      <c r="AA644" s="1409"/>
      <c r="AB644" s="1409"/>
      <c r="AC644" s="1409"/>
      <c r="AD644" s="1409"/>
      <c r="AE644" s="1409"/>
      <c r="AF644" s="1409"/>
      <c r="AG644" s="1409"/>
      <c r="AH644" s="1409"/>
      <c r="AI644" s="1409"/>
      <c r="AJ644" s="1409"/>
      <c r="AK644" s="1409"/>
      <c r="AL644" s="1409"/>
      <c r="AM644" s="1409"/>
      <c r="AN644" s="1409"/>
      <c r="AO644" s="1409"/>
      <c r="AP644" s="1409"/>
      <c r="AQ644" s="1409"/>
      <c r="AR644" s="1409"/>
      <c r="AS644" s="1409"/>
      <c r="AT644" s="1409"/>
      <c r="AU644" s="1409"/>
      <c r="AV644" s="1409"/>
      <c r="AW644" s="1409"/>
      <c r="AX644" s="1408"/>
      <c r="AY644" s="1409"/>
      <c r="AZ644" s="1409"/>
      <c r="BA644" s="1409"/>
      <c r="BB644" s="1409"/>
      <c r="BC644" s="1409"/>
      <c r="BD644" s="1409"/>
      <c r="BE644" s="1410"/>
      <c r="BF644" s="1409"/>
      <c r="BG644" s="1409"/>
      <c r="BH644" s="1409"/>
      <c r="BI644" s="1409"/>
      <c r="BJ644" s="1409"/>
      <c r="BK644" s="1409"/>
      <c r="BL644" s="1409"/>
      <c r="BM644" s="1409"/>
      <c r="BN644" s="1408"/>
      <c r="BO644" s="1409"/>
      <c r="BP644" s="1409"/>
      <c r="BQ644" s="1409"/>
      <c r="BR644" s="1409"/>
      <c r="BS644" s="1409"/>
      <c r="BT644" s="1409"/>
      <c r="BU644" s="1410"/>
      <c r="BV644" s="1526" t="s">
        <v>173</v>
      </c>
      <c r="BW644" s="1061" t="s">
        <v>173</v>
      </c>
      <c r="BX644" s="1061" t="s">
        <v>173</v>
      </c>
      <c r="BY644" s="1061" t="s">
        <v>173</v>
      </c>
      <c r="BZ644" s="1061" t="s">
        <v>173</v>
      </c>
      <c r="CA644" s="1061" t="s">
        <v>173</v>
      </c>
      <c r="CB644" s="1061" t="s">
        <v>173</v>
      </c>
      <c r="CC644" s="1527" t="s">
        <v>173</v>
      </c>
      <c r="CD644" s="1526">
        <f t="shared" ref="CD644:CP644" si="4399">CD643/BV643-1</f>
        <v>0.417670682730924</v>
      </c>
      <c r="CE644" s="1061">
        <f t="shared" si="4399"/>
        <v>0.394736842105263</v>
      </c>
      <c r="CF644" s="1061">
        <f t="shared" si="4399"/>
        <v>0.407744874715262</v>
      </c>
      <c r="CG644" s="1061">
        <f t="shared" si="4399"/>
        <v>0.410714285714286</v>
      </c>
      <c r="CH644" s="1061">
        <f t="shared" si="4399"/>
        <v>0.408901251738526</v>
      </c>
      <c r="CI644" s="1061">
        <f t="shared" si="4399"/>
        <v>0.473404255319149</v>
      </c>
      <c r="CJ644" s="1061">
        <f t="shared" si="4399"/>
        <v>0.435897435897436</v>
      </c>
      <c r="CK644" s="1527">
        <f t="shared" si="4399"/>
        <v>0.422271223814774</v>
      </c>
      <c r="CL644" s="1526">
        <f t="shared" si="4399"/>
        <v>0.181303116147309</v>
      </c>
      <c r="CM644" s="1061">
        <f t="shared" si="4399"/>
        <v>0.324528301886792</v>
      </c>
      <c r="CN644" s="1061">
        <f t="shared" si="4399"/>
        <v>0.242718446601942</v>
      </c>
      <c r="CO644" s="1409">
        <f t="shared" si="4399"/>
        <v>0.25</v>
      </c>
      <c r="CP644" s="1409">
        <f t="shared" si="4399"/>
        <v>0.171767028627838</v>
      </c>
      <c r="CQ644" s="1061">
        <v>0.07</v>
      </c>
      <c r="CR644" s="1061">
        <f>CR643/CG643-1</f>
        <v>0.755063291139241</v>
      </c>
      <c r="CS644" s="1527">
        <f t="shared" ref="CS644:CX644" si="4400">CS643/CK643-1</f>
        <v>0.13953488372093</v>
      </c>
      <c r="CT644" s="1526">
        <f t="shared" si="4400"/>
        <v>0.00959232613908867</v>
      </c>
      <c r="CU644" s="1302">
        <f t="shared" si="4400"/>
        <v>-0.094017094017094</v>
      </c>
      <c r="CV644" s="1302">
        <f t="shared" si="4400"/>
        <v>-0.0377604166666666</v>
      </c>
      <c r="CW644" s="1302">
        <f t="shared" si="4400"/>
        <v>-0.161518987341772</v>
      </c>
      <c r="CX644" s="1302">
        <f t="shared" si="4400"/>
        <v>-0.0286436394271272</v>
      </c>
      <c r="CY644" s="1302">
        <f t="shared" ref="CY644:DD644" si="4401">CY643/CQ643-1</f>
        <v>0.0671378091872792</v>
      </c>
      <c r="CZ644" s="1302">
        <f t="shared" si="4401"/>
        <v>0.0328164442841687</v>
      </c>
      <c r="DA644" s="1304">
        <f t="shared" si="4401"/>
        <v>-0.0102040816326531</v>
      </c>
      <c r="DB644" s="1109">
        <f t="shared" si="4401"/>
        <v>-0.0855106888361045</v>
      </c>
      <c r="DC644" s="1082">
        <f t="shared" si="4401"/>
        <v>0.00628930817610063</v>
      </c>
      <c r="DD644" s="1082">
        <f t="shared" si="4401"/>
        <v>-0.0460081190798376</v>
      </c>
      <c r="DE644" s="1082">
        <f t="shared" ref="DE644:DQ644" si="4402">DE643/CW643-1</f>
        <v>0.0942028985507246</v>
      </c>
      <c r="DF644" s="1082">
        <f t="shared" si="4402"/>
        <v>0.00433651344319164</v>
      </c>
      <c r="DG644" s="1082">
        <f t="shared" si="4402"/>
        <v>0.248344370860927</v>
      </c>
      <c r="DH644" s="1082">
        <f t="shared" si="4402"/>
        <v>0.159217877094972</v>
      </c>
      <c r="DI644" s="1085">
        <f t="shared" si="4402"/>
        <v>0.0549828178694158</v>
      </c>
      <c r="DJ644" s="1181">
        <f t="shared" si="4402"/>
        <v>0.12987012987013</v>
      </c>
      <c r="DK644" s="1181">
        <f t="shared" si="4402"/>
        <v>0.1875</v>
      </c>
      <c r="DL644" s="1181">
        <f t="shared" si="4402"/>
        <v>0.156028368794326</v>
      </c>
      <c r="DM644" s="1181">
        <f t="shared" si="4402"/>
        <v>0.0706401766004414</v>
      </c>
      <c r="DN644" s="1080">
        <f t="shared" si="4402"/>
        <v>0.122625215889465</v>
      </c>
      <c r="DO644" s="1080">
        <f t="shared" si="4402"/>
        <v>-1</v>
      </c>
      <c r="DP644" s="1080">
        <f t="shared" si="4402"/>
        <v>-1</v>
      </c>
      <c r="DQ644" s="1081">
        <f t="shared" si="4402"/>
        <v>-1</v>
      </c>
      <c r="DR644" s="1082"/>
      <c r="DS644" s="1082"/>
      <c r="DT644" s="1082"/>
      <c r="DU644" s="1082"/>
      <c r="DV644" s="1082"/>
      <c r="DW644" s="1082"/>
      <c r="DX644" s="1082"/>
      <c r="DY644" s="1085"/>
      <c r="DZ644" s="1082"/>
      <c r="EA644" s="1082"/>
      <c r="EB644" s="1082"/>
      <c r="EC644" s="1082"/>
      <c r="ED644" s="1082"/>
      <c r="EE644" s="1082"/>
      <c r="EF644" s="1082"/>
      <c r="EG644" s="1085"/>
      <c r="EH644" s="1082"/>
      <c r="EI644" s="1082"/>
      <c r="EJ644" s="1082"/>
      <c r="EK644" s="1082"/>
      <c r="EL644" s="1082"/>
      <c r="EM644" s="1082"/>
      <c r="EN644" s="1082"/>
      <c r="EO644" s="1085"/>
      <c r="EP644" s="1082"/>
      <c r="EQ644" s="1082"/>
      <c r="ER644" s="1082"/>
      <c r="ES644" s="1082"/>
      <c r="ET644" s="1082"/>
      <c r="EU644" s="1082"/>
      <c r="EV644" s="1082"/>
      <c r="IX644" s="1049"/>
      <c r="IY644" s="1049"/>
      <c r="IZ644" s="1049"/>
      <c r="JA644" s="1049"/>
      <c r="JB644" s="1049"/>
      <c r="JC644" s="1049"/>
      <c r="JD644" s="1112"/>
      <c r="JE644" s="1037"/>
      <c r="JF644" s="1037"/>
      <c r="JG644" s="1037"/>
      <c r="JH644" s="1037"/>
      <c r="JI644" s="1035"/>
      <c r="JJ644" s="1035"/>
      <c r="JK644" s="1035"/>
      <c r="JL644" s="1035"/>
      <c r="JM644" s="1035"/>
      <c r="JN644" s="1035"/>
      <c r="JO644" s="1035"/>
      <c r="JP644" s="1035"/>
      <c r="JQ644" s="1035"/>
      <c r="JR644" s="1035"/>
      <c r="JS644" s="1035"/>
      <c r="JT644" s="1035"/>
      <c r="JU644" s="1035"/>
      <c r="JV644" s="1035"/>
      <c r="JW644" s="1035"/>
      <c r="JX644" s="1035"/>
      <c r="JY644" s="1035"/>
    </row>
    <row r="645" outlineLevel="1" spans="1:285">
      <c r="A645" s="1339" t="s">
        <v>641</v>
      </c>
      <c r="B645" s="1409"/>
      <c r="C645" s="1409"/>
      <c r="D645" s="1409"/>
      <c r="E645" s="1409"/>
      <c r="F645" s="1409"/>
      <c r="G645" s="1409"/>
      <c r="H645" s="1409"/>
      <c r="I645" s="1409"/>
      <c r="J645" s="1409"/>
      <c r="K645" s="1409"/>
      <c r="L645" s="1409"/>
      <c r="M645" s="1409"/>
      <c r="N645" s="1409"/>
      <c r="O645" s="1409"/>
      <c r="P645" s="1409"/>
      <c r="Q645" s="1409"/>
      <c r="R645" s="1409"/>
      <c r="S645" s="1409"/>
      <c r="T645" s="1409"/>
      <c r="U645" s="1409"/>
      <c r="V645" s="1409"/>
      <c r="W645" s="1409"/>
      <c r="X645" s="1409"/>
      <c r="Y645" s="1409"/>
      <c r="Z645" s="1409"/>
      <c r="AA645" s="1409"/>
      <c r="AB645" s="1409"/>
      <c r="AC645" s="1409"/>
      <c r="AD645" s="1409"/>
      <c r="AE645" s="1409"/>
      <c r="AF645" s="1409"/>
      <c r="AG645" s="1409"/>
      <c r="AH645" s="1409"/>
      <c r="AI645" s="1409"/>
      <c r="AJ645" s="1409"/>
      <c r="AK645" s="1409"/>
      <c r="AL645" s="1409"/>
      <c r="AM645" s="1409"/>
      <c r="AN645" s="1409"/>
      <c r="AO645" s="1409"/>
      <c r="AP645" s="1409"/>
      <c r="AQ645" s="1409"/>
      <c r="AR645" s="1409"/>
      <c r="AS645" s="1409"/>
      <c r="AT645" s="1409"/>
      <c r="AU645" s="1409"/>
      <c r="AV645" s="1409"/>
      <c r="AW645" s="1409"/>
      <c r="AX645" s="1408"/>
      <c r="AY645" s="1409"/>
      <c r="AZ645" s="1409"/>
      <c r="BA645" s="1409"/>
      <c r="BB645" s="1409"/>
      <c r="BC645" s="1409"/>
      <c r="BD645" s="1409"/>
      <c r="BE645" s="1410"/>
      <c r="BF645" s="1409"/>
      <c r="BG645" s="1409"/>
      <c r="BH645" s="1409"/>
      <c r="BI645" s="1409"/>
      <c r="BJ645" s="1409"/>
      <c r="BK645" s="1409"/>
      <c r="BL645" s="1409"/>
      <c r="BM645" s="1409"/>
      <c r="BN645" s="1408"/>
      <c r="BO645" s="1409"/>
      <c r="BP645" s="1409"/>
      <c r="BQ645" s="1409"/>
      <c r="BR645" s="1409"/>
      <c r="BS645" s="1409"/>
      <c r="BT645" s="1409"/>
      <c r="BU645" s="1410"/>
      <c r="BV645" s="1526" t="s">
        <v>173</v>
      </c>
      <c r="BW645" s="1061" t="s">
        <v>173</v>
      </c>
      <c r="BX645" s="1061" t="s">
        <v>173</v>
      </c>
      <c r="BY645" s="1061" t="s">
        <v>173</v>
      </c>
      <c r="BZ645" s="1061" t="s">
        <v>173</v>
      </c>
      <c r="CA645" s="1061" t="s">
        <v>173</v>
      </c>
      <c r="CB645" s="1061" t="s">
        <v>173</v>
      </c>
      <c r="CC645" s="1527" t="s">
        <v>173</v>
      </c>
      <c r="CD645" s="1526"/>
      <c r="CE645" s="1061">
        <f>(CF645*(BX643/BW643))-(CD645*(BV643/BW643))</f>
        <v>0</v>
      </c>
      <c r="CF645" s="1061"/>
      <c r="CG645" s="1061">
        <f>(CH645*(BZ643/BY643))-(CF645*(BX643/BY643))</f>
        <v>1.0785</v>
      </c>
      <c r="CH645" s="1061">
        <v>0.42</v>
      </c>
      <c r="CI645" s="1061">
        <f>(CK645*(CC643/CA643))-(CH645*(BZ643/CA643))</f>
        <v>0.371755319148936</v>
      </c>
      <c r="CJ645" s="1061" t="s">
        <v>173</v>
      </c>
      <c r="CK645" s="1527">
        <v>0.41</v>
      </c>
      <c r="CL645" s="1526">
        <v>0.13</v>
      </c>
      <c r="CM645" s="1061">
        <f>(CN645*(CF643/CE643))-(CL645*(CD643/CE643))</f>
        <v>0.33988679245283</v>
      </c>
      <c r="CN645" s="1061">
        <v>0.22</v>
      </c>
      <c r="CO645" s="1409"/>
      <c r="CP645" s="1409"/>
      <c r="CQ645" s="1409"/>
      <c r="CR645" s="1409"/>
      <c r="CS645" s="1527">
        <v>0.13</v>
      </c>
      <c r="CT645" s="1526">
        <v>0.03</v>
      </c>
      <c r="CU645" s="1061">
        <v>-0.06</v>
      </c>
      <c r="CV645" s="1061">
        <v>-0.01</v>
      </c>
      <c r="CW645" s="1061">
        <f>(CX645*CP643-CV645*CN643)/CO643</f>
        <v>0.0395949367088608</v>
      </c>
      <c r="CX645" s="1061">
        <v>0.01</v>
      </c>
      <c r="CY645" s="1061"/>
      <c r="CZ645" s="1061"/>
      <c r="DA645" s="1527"/>
      <c r="DB645" s="1150">
        <v>-0.04</v>
      </c>
      <c r="DC645" s="1080">
        <f>(DD645*CV643-DB645*CT643)/CU643</f>
        <v>0.0761949685534591</v>
      </c>
      <c r="DD645" s="1080">
        <v>0.01</v>
      </c>
      <c r="DE645" s="1080">
        <f>(DF645*CX643-DD645*CV643)/CW643</f>
        <v>0.149251207729469</v>
      </c>
      <c r="DF645" s="1080">
        <v>0.06</v>
      </c>
      <c r="DG645" s="1082">
        <f>(DI645*DA643-DF645*CX643)/CY643</f>
        <v>0.252715231788079</v>
      </c>
      <c r="DH645" s="1082">
        <f>(DI645*DA643-DD645*CV643)/CZ643</f>
        <v>0.192891061452514</v>
      </c>
      <c r="DI645" s="1081">
        <v>0.1</v>
      </c>
      <c r="DJ645" s="1181">
        <v>0.12</v>
      </c>
      <c r="DK645" s="1181">
        <f>(DL645*DD643-DJ645*DB643)/DC643</f>
        <v>0.14203125</v>
      </c>
      <c r="DL645" s="1181">
        <v>0.13</v>
      </c>
      <c r="DM645" s="1181">
        <f>(DN645*DF643-DL645*DD643)/DE643</f>
        <v>0.0788741721854304</v>
      </c>
      <c r="DN645" s="1080">
        <v>0.11</v>
      </c>
      <c r="DO645" s="1080"/>
      <c r="DP645" s="1080"/>
      <c r="DQ645" s="1081"/>
      <c r="DR645" s="1080"/>
      <c r="DS645" s="1080"/>
      <c r="DT645" s="1080"/>
      <c r="DU645" s="1080"/>
      <c r="DV645" s="1080"/>
      <c r="DW645" s="1082"/>
      <c r="DX645" s="1082"/>
      <c r="DY645" s="1081"/>
      <c r="DZ645" s="1080"/>
      <c r="EA645" s="1080"/>
      <c r="EB645" s="1080"/>
      <c r="EC645" s="1080"/>
      <c r="ED645" s="1080"/>
      <c r="EE645" s="1082"/>
      <c r="EF645" s="1082"/>
      <c r="EG645" s="1081"/>
      <c r="EH645" s="1080"/>
      <c r="EI645" s="1080"/>
      <c r="EJ645" s="1080"/>
      <c r="EK645" s="1080"/>
      <c r="EL645" s="1080"/>
      <c r="EM645" s="1082"/>
      <c r="EN645" s="1082"/>
      <c r="EO645" s="1081"/>
      <c r="EP645" s="1080"/>
      <c r="EQ645" s="1080"/>
      <c r="ER645" s="1080"/>
      <c r="ES645" s="1080"/>
      <c r="ET645" s="1080"/>
      <c r="EU645" s="1080"/>
      <c r="EV645" s="1080"/>
      <c r="IX645" s="1049"/>
      <c r="IY645" s="1049"/>
      <c r="IZ645" s="1049"/>
      <c r="JA645" s="1049"/>
      <c r="JB645" s="1049"/>
      <c r="JC645" s="1049"/>
      <c r="JD645" s="1330"/>
      <c r="JE645" s="1037"/>
      <c r="JF645" s="1037"/>
      <c r="JG645" s="1037"/>
      <c r="JH645" s="1037"/>
      <c r="JI645" s="1035"/>
      <c r="JJ645" s="1035"/>
      <c r="JK645" s="1035"/>
      <c r="JL645" s="1035"/>
      <c r="JM645" s="1035"/>
      <c r="JN645" s="1035"/>
      <c r="JO645" s="1035"/>
      <c r="JP645" s="1035"/>
      <c r="JQ645" s="1035"/>
      <c r="JR645" s="1035"/>
      <c r="JS645" s="1035"/>
      <c r="JT645" s="1035"/>
      <c r="JU645" s="1035"/>
      <c r="JV645" s="1035"/>
      <c r="JW645" s="1035"/>
      <c r="JX645" s="1035"/>
      <c r="JY645" s="1035"/>
    </row>
    <row r="646" outlineLevel="1" spans="1:285">
      <c r="A646" s="1339" t="s">
        <v>642</v>
      </c>
      <c r="B646" s="1409"/>
      <c r="C646" s="1409"/>
      <c r="D646" s="1409"/>
      <c r="E646" s="1409"/>
      <c r="F646" s="1409"/>
      <c r="G646" s="1409"/>
      <c r="H646" s="1409"/>
      <c r="I646" s="1409"/>
      <c r="J646" s="1409"/>
      <c r="K646" s="1409"/>
      <c r="L646" s="1409"/>
      <c r="M646" s="1409"/>
      <c r="N646" s="1409"/>
      <c r="O646" s="1409"/>
      <c r="P646" s="1409"/>
      <c r="Q646" s="1409"/>
      <c r="R646" s="1409"/>
      <c r="S646" s="1409"/>
      <c r="T646" s="1409"/>
      <c r="U646" s="1409"/>
      <c r="V646" s="1409"/>
      <c r="W646" s="1409"/>
      <c r="X646" s="1409"/>
      <c r="Y646" s="1409"/>
      <c r="Z646" s="1409"/>
      <c r="AA646" s="1409"/>
      <c r="AB646" s="1409"/>
      <c r="AC646" s="1409"/>
      <c r="AD646" s="1409"/>
      <c r="AE646" s="1409"/>
      <c r="AF646" s="1409"/>
      <c r="AG646" s="1409"/>
      <c r="AH646" s="1409"/>
      <c r="AI646" s="1409"/>
      <c r="AJ646" s="1409"/>
      <c r="AK646" s="1409"/>
      <c r="AL646" s="1409"/>
      <c r="AM646" s="1409"/>
      <c r="AN646" s="1409"/>
      <c r="AO646" s="1409"/>
      <c r="AP646" s="1409"/>
      <c r="AQ646" s="1409"/>
      <c r="AR646" s="1409"/>
      <c r="AS646" s="1409"/>
      <c r="AT646" s="1409"/>
      <c r="AU646" s="1409"/>
      <c r="AV646" s="1409"/>
      <c r="AW646" s="1409"/>
      <c r="AX646" s="1408"/>
      <c r="AY646" s="1409"/>
      <c r="AZ646" s="1409"/>
      <c r="BA646" s="1409"/>
      <c r="BB646" s="1409"/>
      <c r="BC646" s="1409"/>
      <c r="BD646" s="1409"/>
      <c r="BE646" s="1410"/>
      <c r="BF646" s="1409"/>
      <c r="BG646" s="1409"/>
      <c r="BH646" s="1409"/>
      <c r="BI646" s="1409"/>
      <c r="BJ646" s="1409"/>
      <c r="BK646" s="1409"/>
      <c r="BL646" s="1409"/>
      <c r="BM646" s="1409"/>
      <c r="BN646" s="1408"/>
      <c r="BO646" s="1409"/>
      <c r="BP646" s="1409"/>
      <c r="BQ646" s="1409"/>
      <c r="BR646" s="1409"/>
      <c r="BS646" s="1409"/>
      <c r="BT646" s="1409"/>
      <c r="BU646" s="1410"/>
      <c r="BV646" s="1303">
        <f t="shared" ref="BV646:DQ646" si="4403">BV643/BV$633</f>
        <v>0.180696661828737</v>
      </c>
      <c r="BW646" s="1302">
        <f t="shared" si="4403"/>
        <v>0.157415078707539</v>
      </c>
      <c r="BX646" s="1302">
        <f t="shared" si="4403"/>
        <v>0.169825918762089</v>
      </c>
      <c r="BY646" s="1302">
        <f t="shared" si="4403"/>
        <v>0.178343949044586</v>
      </c>
      <c r="BZ646" s="1302">
        <f t="shared" si="4403"/>
        <v>0.173044524669073</v>
      </c>
      <c r="CA646" s="1302">
        <f t="shared" si="4403"/>
        <v>0.184313725490196</v>
      </c>
      <c r="CB646" s="1302">
        <f t="shared" si="4403"/>
        <v>0.180694980694981</v>
      </c>
      <c r="CC646" s="1304">
        <f t="shared" si="4403"/>
        <v>0.175265700483092</v>
      </c>
      <c r="CD646" s="1303">
        <f t="shared" si="4403"/>
        <v>0.233465608465608</v>
      </c>
      <c r="CE646" s="1302">
        <f t="shared" si="4403"/>
        <v>0.203220858895706</v>
      </c>
      <c r="CF646" s="1302">
        <f t="shared" si="4403"/>
        <v>0.219460227272727</v>
      </c>
      <c r="CG646" s="1302">
        <f t="shared" si="4403"/>
        <v>0.228455754771544</v>
      </c>
      <c r="CH646" s="1302">
        <f t="shared" si="4403"/>
        <v>0.222882288228823</v>
      </c>
      <c r="CI646" s="1302">
        <f t="shared" si="4403"/>
        <v>0.21048632218845</v>
      </c>
      <c r="CJ646" s="1302">
        <f t="shared" si="4403"/>
        <v>0.220689655172414</v>
      </c>
      <c r="CK646" s="1304">
        <f t="shared" si="4403"/>
        <v>0.220098959221976</v>
      </c>
      <c r="CL646" s="1303">
        <f t="shared" si="4403"/>
        <v>0.234797297297297</v>
      </c>
      <c r="CM646" s="1302">
        <f t="shared" si="4403"/>
        <v>0.22911227154047</v>
      </c>
      <c r="CN646" s="1302">
        <f t="shared" si="4403"/>
        <v>0.232164449818622</v>
      </c>
      <c r="CO646" s="1302">
        <f t="shared" si="4403"/>
        <v>0.25451030927835</v>
      </c>
      <c r="CP646" s="1302">
        <f t="shared" si="4403"/>
        <v>0.226181402439024</v>
      </c>
      <c r="CQ646" s="1302">
        <f t="shared" si="4403"/>
        <v>0.205370101596517</v>
      </c>
      <c r="CR646" s="1302">
        <f t="shared" si="4403"/>
        <v>0.209567714631197</v>
      </c>
      <c r="CS646" s="1304">
        <f t="shared" si="4403"/>
        <v>0.221853305161485</v>
      </c>
      <c r="CT646" s="1303">
        <f t="shared" si="4403"/>
        <v>0.231445849367785</v>
      </c>
      <c r="CU646" s="1302">
        <f t="shared" si="4403"/>
        <v>0.194495412844037</v>
      </c>
      <c r="CV646" s="1302">
        <f t="shared" si="4403"/>
        <v>0.213954834973943</v>
      </c>
      <c r="CW646" s="1302">
        <f t="shared" si="4403"/>
        <v>0.205867727498757</v>
      </c>
      <c r="CX646" s="1302">
        <f t="shared" si="4403"/>
        <v>0.210978956999085</v>
      </c>
      <c r="CY646" s="1302">
        <f t="shared" si="4403"/>
        <v>0.183252427184466</v>
      </c>
      <c r="CZ646" s="1302">
        <f t="shared" si="4403"/>
        <v>0.195681880295163</v>
      </c>
      <c r="DA646" s="1304">
        <f t="shared" si="4403"/>
        <v>0.204555040067482</v>
      </c>
      <c r="DB646" s="1109">
        <f t="shared" si="4403"/>
        <v>0.195630081300813</v>
      </c>
      <c r="DC646" s="1082">
        <f t="shared" si="4403"/>
        <v>0.175920835623969</v>
      </c>
      <c r="DD646" s="1082">
        <f t="shared" si="4403"/>
        <v>0.186163189860048</v>
      </c>
      <c r="DE646" s="1082">
        <f t="shared" si="4403"/>
        <v>0.204330175913396</v>
      </c>
      <c r="DF646" s="1082">
        <f t="shared" si="4403"/>
        <v>0.192871419053964</v>
      </c>
      <c r="DG646" s="1082">
        <f t="shared" si="4403"/>
        <v>0.207484865162356</v>
      </c>
      <c r="DH646" s="1082">
        <f t="shared" si="4403"/>
        <v>0.205751115518096</v>
      </c>
      <c r="DI646" s="1085">
        <f t="shared" si="4403"/>
        <v>0.196266462089247</v>
      </c>
      <c r="DJ646" s="1094">
        <f t="shared" si="4403"/>
        <v>0.226917057902973</v>
      </c>
      <c r="DK646" s="1094">
        <f t="shared" si="4403"/>
        <v>0.217142857142857</v>
      </c>
      <c r="DL646" s="1094">
        <f t="shared" si="4403"/>
        <v>0.222252522497955</v>
      </c>
      <c r="DM646" s="1094">
        <f t="shared" si="4403"/>
        <v>0.229748934154429</v>
      </c>
      <c r="DN646" s="1082">
        <f t="shared" si="4403"/>
        <v>0.224991346486674</v>
      </c>
      <c r="DO646" s="1082" t="e">
        <f t="shared" si="4403"/>
        <v>#REF!</v>
      </c>
      <c r="DP646" s="1082" t="e">
        <f t="shared" si="4403"/>
        <v>#REF!</v>
      </c>
      <c r="DQ646" s="1085" t="e">
        <f t="shared" si="4403"/>
        <v>#REF!</v>
      </c>
      <c r="DR646" s="1082"/>
      <c r="DS646" s="1082"/>
      <c r="DT646" s="1082"/>
      <c r="DU646" s="1082"/>
      <c r="DV646" s="1082"/>
      <c r="DW646" s="1082"/>
      <c r="DX646" s="1082"/>
      <c r="DY646" s="1085"/>
      <c r="DZ646" s="1082"/>
      <c r="EA646" s="1082"/>
      <c r="EB646" s="1082"/>
      <c r="EC646" s="1082"/>
      <c r="ED646" s="1082"/>
      <c r="EE646" s="1082"/>
      <c r="EF646" s="1082"/>
      <c r="EG646" s="1085"/>
      <c r="EH646" s="1082"/>
      <c r="EI646" s="1082"/>
      <c r="EJ646" s="1082"/>
      <c r="EK646" s="1082"/>
      <c r="EL646" s="1082"/>
      <c r="EM646" s="1082"/>
      <c r="EN646" s="1082"/>
      <c r="EO646" s="1085"/>
      <c r="EP646" s="1082"/>
      <c r="EQ646" s="1082"/>
      <c r="ER646" s="1082"/>
      <c r="ES646" s="1082"/>
      <c r="ET646" s="1082"/>
      <c r="EU646" s="1082"/>
      <c r="EV646" s="1082"/>
      <c r="IX646" s="1049"/>
      <c r="IY646" s="1049"/>
      <c r="IZ646" s="1049"/>
      <c r="JA646" s="1049"/>
      <c r="JB646" s="1049"/>
      <c r="JC646" s="1049"/>
      <c r="JD646" s="1112"/>
      <c r="JE646" s="1037"/>
      <c r="JF646" s="1037"/>
      <c r="JG646" s="1037"/>
      <c r="JH646" s="1037"/>
      <c r="JI646" s="1035"/>
      <c r="JJ646" s="1035"/>
      <c r="JK646" s="1035"/>
      <c r="JL646" s="1035"/>
      <c r="JM646" s="1035"/>
      <c r="JN646" s="1035"/>
      <c r="JO646" s="1035"/>
      <c r="JP646" s="1035"/>
      <c r="JQ646" s="1035"/>
      <c r="JR646" s="1035"/>
      <c r="JS646" s="1035"/>
      <c r="JT646" s="1035"/>
      <c r="JU646" s="1035"/>
      <c r="JV646" s="1035"/>
      <c r="JW646" s="1035"/>
      <c r="JX646" s="1035"/>
      <c r="JY646" s="1035"/>
    </row>
    <row r="647" outlineLevel="1" spans="1:285">
      <c r="A647" s="1306" t="s">
        <v>64</v>
      </c>
      <c r="B647" s="1307"/>
      <c r="C647" s="1307"/>
      <c r="D647" s="1307"/>
      <c r="E647" s="1307"/>
      <c r="F647" s="1307"/>
      <c r="G647" s="1307"/>
      <c r="H647" s="1307"/>
      <c r="I647" s="1307"/>
      <c r="J647" s="1307"/>
      <c r="K647" s="1307"/>
      <c r="L647" s="1307"/>
      <c r="M647" s="1307"/>
      <c r="N647" s="1307"/>
      <c r="O647" s="1307"/>
      <c r="P647" s="1307"/>
      <c r="Q647" s="1307"/>
      <c r="R647" s="1307"/>
      <c r="S647" s="1307"/>
      <c r="T647" s="1307"/>
      <c r="U647" s="1307"/>
      <c r="V647" s="1307"/>
      <c r="W647" s="1307"/>
      <c r="X647" s="1307"/>
      <c r="Y647" s="1307"/>
      <c r="Z647" s="1307"/>
      <c r="AA647" s="1307"/>
      <c r="AB647" s="1307"/>
      <c r="AC647" s="1307"/>
      <c r="AD647" s="1307"/>
      <c r="AE647" s="1307"/>
      <c r="AF647" s="1307"/>
      <c r="AG647" s="1307"/>
      <c r="AH647" s="1307"/>
      <c r="AI647" s="1307"/>
      <c r="AJ647" s="1307"/>
      <c r="AK647" s="1307"/>
      <c r="AL647" s="1307"/>
      <c r="AM647" s="1307"/>
      <c r="AN647" s="1307"/>
      <c r="AO647" s="1307"/>
      <c r="AP647" s="1307"/>
      <c r="AQ647" s="1307"/>
      <c r="AR647" s="1307"/>
      <c r="AS647" s="1307"/>
      <c r="AT647" s="1307"/>
      <c r="AU647" s="1307"/>
      <c r="AV647" s="1307"/>
      <c r="AW647" s="1307"/>
      <c r="AX647" s="1308"/>
      <c r="AY647" s="1307"/>
      <c r="AZ647" s="1307"/>
      <c r="BA647" s="1307"/>
      <c r="BB647" s="1307"/>
      <c r="BC647" s="1307"/>
      <c r="BD647" s="1307"/>
      <c r="BE647" s="1309"/>
      <c r="BF647" s="1307"/>
      <c r="BG647" s="1307"/>
      <c r="BH647" s="1307"/>
      <c r="BI647" s="1307"/>
      <c r="BJ647" s="1307"/>
      <c r="BK647" s="1307"/>
      <c r="BL647" s="1307"/>
      <c r="BM647" s="1307"/>
      <c r="BN647" s="1308"/>
      <c r="BO647" s="1307"/>
      <c r="BP647" s="1307"/>
      <c r="BQ647" s="1307"/>
      <c r="BR647" s="1307"/>
      <c r="BS647" s="1307"/>
      <c r="BT647" s="1307"/>
      <c r="BU647" s="1309"/>
      <c r="BV647" s="1308">
        <v>8</v>
      </c>
      <c r="BW647" s="1307">
        <f>BX647-BV647</f>
        <v>2</v>
      </c>
      <c r="BX647" s="1307">
        <v>10</v>
      </c>
      <c r="BY647" s="1307">
        <f>BZ647-BX647</f>
        <v>7</v>
      </c>
      <c r="BZ647" s="1307">
        <v>17</v>
      </c>
      <c r="CA647" s="1307">
        <f>CC647-BZ647</f>
        <v>1</v>
      </c>
      <c r="CB647" s="1307">
        <f>BY647+CA647</f>
        <v>8</v>
      </c>
      <c r="CC647" s="1309">
        <v>18</v>
      </c>
      <c r="CD647" s="1308">
        <v>7</v>
      </c>
      <c r="CE647" s="1307">
        <f>CF647-CD647</f>
        <v>1</v>
      </c>
      <c r="CF647" s="1307">
        <v>8</v>
      </c>
      <c r="CG647" s="1307">
        <f>CH647-CF647</f>
        <v>9</v>
      </c>
      <c r="CH647" s="1307">
        <v>17</v>
      </c>
      <c r="CI647" s="1307">
        <f>CK647-CH647</f>
        <v>2</v>
      </c>
      <c r="CJ647" s="1307">
        <f>CG647+CI647</f>
        <v>11</v>
      </c>
      <c r="CK647" s="1309">
        <v>19</v>
      </c>
      <c r="CL647" s="1308">
        <v>9</v>
      </c>
      <c r="CM647" s="1307">
        <f>CN647-CL647</f>
        <v>2</v>
      </c>
      <c r="CN647" s="1307">
        <v>11</v>
      </c>
      <c r="CO647" s="1307">
        <v>10.8</v>
      </c>
      <c r="CP647" s="1307">
        <v>21.8</v>
      </c>
      <c r="CQ647" s="1307">
        <f>CS647-CP647</f>
        <v>4.2</v>
      </c>
      <c r="CR647" s="1307">
        <f>CS647-CQ647-CO647</f>
        <v>11</v>
      </c>
      <c r="CS647" s="1309">
        <v>26</v>
      </c>
      <c r="CT647" s="1308">
        <f>CT650-CT643-CT639</f>
        <v>10</v>
      </c>
      <c r="CU647" s="1307">
        <f>CU650-CU643-CU639</f>
        <v>6</v>
      </c>
      <c r="CV647" s="1307">
        <f>CV650-CV643-CV639</f>
        <v>16</v>
      </c>
      <c r="CW647" s="1307">
        <f>CX647-CV647</f>
        <v>12</v>
      </c>
      <c r="CX647" s="1307">
        <f t="shared" ref="CX647:DD647" si="4404">CX650-CX643-CX639</f>
        <v>28</v>
      </c>
      <c r="CY647" s="1307">
        <f t="shared" si="4404"/>
        <v>22</v>
      </c>
      <c r="CZ647" s="1307">
        <f t="shared" si="4404"/>
        <v>34</v>
      </c>
      <c r="DA647" s="1309">
        <f t="shared" si="4404"/>
        <v>50</v>
      </c>
      <c r="DB647" s="1332">
        <f t="shared" si="4404"/>
        <v>14</v>
      </c>
      <c r="DC647" s="1311">
        <f t="shared" si="4404"/>
        <v>10</v>
      </c>
      <c r="DD647" s="1311">
        <f t="shared" si="4404"/>
        <v>24</v>
      </c>
      <c r="DE647" s="1311">
        <f>DF647-DD647</f>
        <v>9</v>
      </c>
      <c r="DF647" s="1311">
        <f>DF650-DF643-DF639</f>
        <v>33</v>
      </c>
      <c r="DG647" s="1311">
        <f>DG650-DG643-DG639</f>
        <v>3</v>
      </c>
      <c r="DH647" s="1311">
        <f>DH650-DH643-DH639</f>
        <v>12</v>
      </c>
      <c r="DI647" s="1312">
        <f>DI650-DI643-DI639</f>
        <v>36</v>
      </c>
      <c r="DJ647" s="1311">
        <f t="shared" ref="DJ647:DQ647" si="4405">DJ650-DJ643-DJ639</f>
        <v>-15</v>
      </c>
      <c r="DK647" s="1311">
        <f t="shared" si="4405"/>
        <v>11</v>
      </c>
      <c r="DL647" s="1311">
        <f t="shared" si="4405"/>
        <v>-4</v>
      </c>
      <c r="DM647" s="1311">
        <f t="shared" si="4405"/>
        <v>-13</v>
      </c>
      <c r="DN647" s="1311">
        <f t="shared" si="4405"/>
        <v>-17</v>
      </c>
      <c r="DO647" s="1311" t="e">
        <f t="shared" si="4405"/>
        <v>#REF!</v>
      </c>
      <c r="DP647" s="1311" t="e">
        <f t="shared" si="4405"/>
        <v>#REF!</v>
      </c>
      <c r="DQ647" s="1312" t="e">
        <f t="shared" si="4405"/>
        <v>#REF!</v>
      </c>
      <c r="DR647" s="1311"/>
      <c r="DS647" s="1311"/>
      <c r="DT647" s="1311"/>
      <c r="DU647" s="1311"/>
      <c r="DV647" s="1311"/>
      <c r="DW647" s="1311"/>
      <c r="DX647" s="1311"/>
      <c r="DY647" s="1312"/>
      <c r="DZ647" s="1311"/>
      <c r="EA647" s="1311"/>
      <c r="EB647" s="1311"/>
      <c r="EC647" s="1311"/>
      <c r="ED647" s="1311"/>
      <c r="EE647" s="1311"/>
      <c r="EF647" s="1311"/>
      <c r="EG647" s="1312"/>
      <c r="EH647" s="1311"/>
      <c r="EI647" s="1311"/>
      <c r="EJ647" s="1311"/>
      <c r="EK647" s="1311"/>
      <c r="EL647" s="1311"/>
      <c r="EM647" s="1311"/>
      <c r="EN647" s="1311"/>
      <c r="EO647" s="1312"/>
      <c r="EP647" s="1311"/>
      <c r="EQ647" s="1311"/>
      <c r="ER647" s="1311"/>
      <c r="ES647" s="1311"/>
      <c r="ET647" s="1311"/>
      <c r="EU647" s="1311"/>
      <c r="EV647" s="1311"/>
      <c r="IX647" s="1049"/>
      <c r="IY647" s="1049"/>
      <c r="IZ647" s="1049"/>
      <c r="JA647" s="1049"/>
      <c r="JB647" s="1049"/>
      <c r="JC647" s="1049"/>
      <c r="JD647" s="1469"/>
      <c r="JE647" s="1037"/>
      <c r="JF647" s="1037"/>
      <c r="JG647" s="1037"/>
      <c r="JH647" s="1037"/>
      <c r="JI647" s="1035"/>
      <c r="JJ647" s="1035"/>
      <c r="JK647" s="1035"/>
      <c r="JL647" s="1035"/>
      <c r="JM647" s="1035"/>
      <c r="JN647" s="1035"/>
      <c r="JO647" s="1035"/>
      <c r="JP647" s="1035"/>
      <c r="JQ647" s="1035"/>
      <c r="JR647" s="1035"/>
      <c r="JS647" s="1035"/>
      <c r="JT647" s="1035"/>
      <c r="JU647" s="1035"/>
      <c r="JV647" s="1035"/>
      <c r="JW647" s="1035"/>
      <c r="JX647" s="1035"/>
      <c r="JY647" s="1035"/>
    </row>
    <row r="648" outlineLevel="1" spans="1:285">
      <c r="A648" s="1339" t="s">
        <v>639</v>
      </c>
      <c r="B648" s="1409"/>
      <c r="C648" s="1409"/>
      <c r="D648" s="1409"/>
      <c r="E648" s="1409"/>
      <c r="F648" s="1409"/>
      <c r="G648" s="1409"/>
      <c r="H648" s="1409"/>
      <c r="I648" s="1409"/>
      <c r="J648" s="1409"/>
      <c r="K648" s="1409"/>
      <c r="L648" s="1409"/>
      <c r="M648" s="1409"/>
      <c r="N648" s="1409"/>
      <c r="O648" s="1409"/>
      <c r="P648" s="1409"/>
      <c r="Q648" s="1409"/>
      <c r="R648" s="1409"/>
      <c r="S648" s="1409"/>
      <c r="T648" s="1409"/>
      <c r="U648" s="1409"/>
      <c r="V648" s="1409"/>
      <c r="W648" s="1409"/>
      <c r="X648" s="1409"/>
      <c r="Y648" s="1409"/>
      <c r="Z648" s="1409"/>
      <c r="AA648" s="1409"/>
      <c r="AB648" s="1409"/>
      <c r="AC648" s="1409"/>
      <c r="AD648" s="1409"/>
      <c r="AE648" s="1409"/>
      <c r="AF648" s="1409"/>
      <c r="AG648" s="1409"/>
      <c r="AH648" s="1409"/>
      <c r="AI648" s="1409"/>
      <c r="AJ648" s="1409"/>
      <c r="AK648" s="1409"/>
      <c r="AL648" s="1409"/>
      <c r="AM648" s="1409"/>
      <c r="AN648" s="1409"/>
      <c r="AO648" s="1409"/>
      <c r="AP648" s="1409"/>
      <c r="AQ648" s="1409"/>
      <c r="AR648" s="1409"/>
      <c r="AS648" s="1409"/>
      <c r="AT648" s="1409"/>
      <c r="AU648" s="1409"/>
      <c r="AV648" s="1409"/>
      <c r="AW648" s="1409"/>
      <c r="AX648" s="1408"/>
      <c r="AY648" s="1409"/>
      <c r="AZ648" s="1409"/>
      <c r="BA648" s="1409"/>
      <c r="BB648" s="1409"/>
      <c r="BC648" s="1409"/>
      <c r="BD648" s="1409"/>
      <c r="BE648" s="1410"/>
      <c r="BF648" s="1409"/>
      <c r="BG648" s="1409"/>
      <c r="BH648" s="1409"/>
      <c r="BI648" s="1409"/>
      <c r="BJ648" s="1409"/>
      <c r="BK648" s="1409"/>
      <c r="BL648" s="1409"/>
      <c r="BM648" s="1409"/>
      <c r="BN648" s="1408"/>
      <c r="BO648" s="1409"/>
      <c r="BP648" s="1409"/>
      <c r="BQ648" s="1409"/>
      <c r="BR648" s="1409"/>
      <c r="BS648" s="1409"/>
      <c r="BT648" s="1409"/>
      <c r="BU648" s="1410"/>
      <c r="BV648" s="1526" t="s">
        <v>173</v>
      </c>
      <c r="BW648" s="1061" t="s">
        <v>173</v>
      </c>
      <c r="BX648" s="1061" t="s">
        <v>173</v>
      </c>
      <c r="BY648" s="1061" t="s">
        <v>173</v>
      </c>
      <c r="BZ648" s="1061" t="s">
        <v>173</v>
      </c>
      <c r="CA648" s="1061" t="s">
        <v>173</v>
      </c>
      <c r="CB648" s="1061" t="s">
        <v>173</v>
      </c>
      <c r="CC648" s="1527" t="s">
        <v>173</v>
      </c>
      <c r="CD648" s="1526">
        <f>CD647/BV647-1</f>
        <v>-0.125</v>
      </c>
      <c r="CE648" s="1061">
        <f>CE647/BW647-1</f>
        <v>-0.5</v>
      </c>
      <c r="CF648" s="1061">
        <f>CF647/BX647-1</f>
        <v>-0.2</v>
      </c>
      <c r="CG648" s="1061">
        <f>CG647/BY647-1</f>
        <v>0.285714285714286</v>
      </c>
      <c r="CH648" s="1061">
        <v>0</v>
      </c>
      <c r="CI648" s="1061">
        <f>CI647/CA647-1</f>
        <v>1</v>
      </c>
      <c r="CJ648" s="1061">
        <f>CJ647/CB647-1</f>
        <v>0.375</v>
      </c>
      <c r="CK648" s="1527">
        <f>CK647/CC647-1</f>
        <v>0.0555555555555556</v>
      </c>
      <c r="CL648" s="1526">
        <v>0.35</v>
      </c>
      <c r="CM648" s="1061">
        <f>CM647/CE647-1</f>
        <v>1</v>
      </c>
      <c r="CN648" s="1061">
        <f>CN647/CF647-1</f>
        <v>0.375</v>
      </c>
      <c r="CO648" s="1061">
        <f>CO647/CG647-1</f>
        <v>0.2</v>
      </c>
      <c r="CP648" s="1061">
        <f>CP647/CH647-1</f>
        <v>0.282352941176471</v>
      </c>
      <c r="CQ648" s="1061">
        <f>CQ647/CF647-1</f>
        <v>-0.475</v>
      </c>
      <c r="CR648" s="1061">
        <f>CR647/CG647-1</f>
        <v>0.222222222222222</v>
      </c>
      <c r="CS648" s="1527">
        <f t="shared" ref="CS648:CX648" si="4406">CS647/CK647-1</f>
        <v>0.368421052631579</v>
      </c>
      <c r="CT648" s="1526">
        <f t="shared" si="4406"/>
        <v>0.111111111111111</v>
      </c>
      <c r="CU648" s="1302">
        <f t="shared" si="4406"/>
        <v>2</v>
      </c>
      <c r="CV648" s="1302">
        <f t="shared" si="4406"/>
        <v>0.454545454545455</v>
      </c>
      <c r="CW648" s="1302">
        <f t="shared" si="4406"/>
        <v>0.111111111111111</v>
      </c>
      <c r="CX648" s="1302">
        <f t="shared" si="4406"/>
        <v>0.28440366972477</v>
      </c>
      <c r="CY648" s="1302">
        <f t="shared" ref="CY648:DD648" si="4407">CY647/CQ647-1</f>
        <v>4.23809523809524</v>
      </c>
      <c r="CZ648" s="1302">
        <f t="shared" si="4407"/>
        <v>2.09090909090909</v>
      </c>
      <c r="DA648" s="1304">
        <f t="shared" si="4407"/>
        <v>0.923076923076923</v>
      </c>
      <c r="DB648" s="1109">
        <f t="shared" si="4407"/>
        <v>0.4</v>
      </c>
      <c r="DC648" s="1082">
        <f t="shared" si="4407"/>
        <v>0.666666666666667</v>
      </c>
      <c r="DD648" s="1082">
        <f t="shared" si="4407"/>
        <v>0.5</v>
      </c>
      <c r="DE648" s="1082">
        <f t="shared" ref="DE648:DQ648" si="4408">DE647/CW647-1</f>
        <v>-0.25</v>
      </c>
      <c r="DF648" s="1082">
        <f t="shared" si="4408"/>
        <v>0.178571428571429</v>
      </c>
      <c r="DG648" s="1082">
        <f t="shared" si="4408"/>
        <v>-0.863636363636364</v>
      </c>
      <c r="DH648" s="1082">
        <f t="shared" si="4408"/>
        <v>-0.647058823529412</v>
      </c>
      <c r="DI648" s="1085">
        <f t="shared" si="4408"/>
        <v>-0.28</v>
      </c>
      <c r="DJ648" s="1080">
        <f t="shared" si="4408"/>
        <v>-2.07142857142857</v>
      </c>
      <c r="DK648" s="1080">
        <f t="shared" si="4408"/>
        <v>0.1</v>
      </c>
      <c r="DL648" s="1080">
        <f t="shared" si="4408"/>
        <v>-1.16666666666667</v>
      </c>
      <c r="DM648" s="1080">
        <f t="shared" si="4408"/>
        <v>-2.44444444444444</v>
      </c>
      <c r="DN648" s="1080">
        <f t="shared" si="4408"/>
        <v>-1.51515151515152</v>
      </c>
      <c r="DO648" s="1080" t="e">
        <f t="shared" si="4408"/>
        <v>#REF!</v>
      </c>
      <c r="DP648" s="1080" t="e">
        <f t="shared" si="4408"/>
        <v>#REF!</v>
      </c>
      <c r="DQ648" s="1081" t="e">
        <f t="shared" si="4408"/>
        <v>#REF!</v>
      </c>
      <c r="DR648" s="1082"/>
      <c r="DS648" s="1082"/>
      <c r="DT648" s="1082"/>
      <c r="DU648" s="1082"/>
      <c r="DV648" s="1082"/>
      <c r="DW648" s="1082"/>
      <c r="DX648" s="1082"/>
      <c r="DY648" s="1085"/>
      <c r="DZ648" s="1082"/>
      <c r="EA648" s="1082"/>
      <c r="EB648" s="1082"/>
      <c r="EC648" s="1082"/>
      <c r="ED648" s="1082"/>
      <c r="EE648" s="1082"/>
      <c r="EF648" s="1082"/>
      <c r="EG648" s="1085"/>
      <c r="EH648" s="1082"/>
      <c r="EI648" s="1082"/>
      <c r="EJ648" s="1082"/>
      <c r="EK648" s="1082"/>
      <c r="EL648" s="1082"/>
      <c r="EM648" s="1082"/>
      <c r="EN648" s="1082"/>
      <c r="EO648" s="1085"/>
      <c r="EP648" s="1082"/>
      <c r="EQ648" s="1082"/>
      <c r="ER648" s="1082"/>
      <c r="ES648" s="1082"/>
      <c r="ET648" s="1082"/>
      <c r="EU648" s="1082"/>
      <c r="EV648" s="1082"/>
      <c r="IX648" s="1049"/>
      <c r="IY648" s="1049"/>
      <c r="IZ648" s="1049"/>
      <c r="JA648" s="1049"/>
      <c r="JB648" s="1049"/>
      <c r="JC648" s="1049"/>
      <c r="JD648" s="1112"/>
      <c r="JE648" s="1037"/>
      <c r="JF648" s="1037"/>
      <c r="JG648" s="1037"/>
      <c r="JH648" s="1037"/>
      <c r="JI648" s="1035"/>
      <c r="JJ648" s="1035"/>
      <c r="JK648" s="1035"/>
      <c r="JL648" s="1035"/>
      <c r="JM648" s="1035"/>
      <c r="JN648" s="1035"/>
      <c r="JO648" s="1035"/>
      <c r="JP648" s="1035"/>
      <c r="JQ648" s="1035"/>
      <c r="JR648" s="1035"/>
      <c r="JS648" s="1035"/>
      <c r="JT648" s="1035"/>
      <c r="JU648" s="1035"/>
      <c r="JV648" s="1035"/>
      <c r="JW648" s="1035"/>
      <c r="JX648" s="1035"/>
      <c r="JY648" s="1035"/>
    </row>
    <row r="649" outlineLevel="1" spans="1:285">
      <c r="A649" s="1339" t="s">
        <v>642</v>
      </c>
      <c r="B649" s="1409"/>
      <c r="C649" s="1409"/>
      <c r="D649" s="1409"/>
      <c r="E649" s="1409"/>
      <c r="F649" s="1409"/>
      <c r="G649" s="1409"/>
      <c r="H649" s="1409"/>
      <c r="I649" s="1409"/>
      <c r="J649" s="1409"/>
      <c r="K649" s="1409"/>
      <c r="L649" s="1409"/>
      <c r="M649" s="1409"/>
      <c r="N649" s="1409"/>
      <c r="O649" s="1409"/>
      <c r="P649" s="1409"/>
      <c r="Q649" s="1409"/>
      <c r="R649" s="1409"/>
      <c r="S649" s="1409"/>
      <c r="T649" s="1409"/>
      <c r="U649" s="1409"/>
      <c r="V649" s="1409"/>
      <c r="W649" s="1409"/>
      <c r="X649" s="1409"/>
      <c r="Y649" s="1409"/>
      <c r="Z649" s="1409"/>
      <c r="AA649" s="1409"/>
      <c r="AB649" s="1409"/>
      <c r="AC649" s="1409"/>
      <c r="AD649" s="1409"/>
      <c r="AE649" s="1409"/>
      <c r="AF649" s="1409"/>
      <c r="AG649" s="1409"/>
      <c r="AH649" s="1409"/>
      <c r="AI649" s="1409"/>
      <c r="AJ649" s="1409"/>
      <c r="AK649" s="1409"/>
      <c r="AL649" s="1409"/>
      <c r="AM649" s="1409"/>
      <c r="AN649" s="1409"/>
      <c r="AO649" s="1409"/>
      <c r="AP649" s="1409"/>
      <c r="AQ649" s="1409"/>
      <c r="AR649" s="1409"/>
      <c r="AS649" s="1409"/>
      <c r="AT649" s="1409"/>
      <c r="AU649" s="1409"/>
      <c r="AV649" s="1409"/>
      <c r="AW649" s="1409"/>
      <c r="AX649" s="1408"/>
      <c r="AY649" s="1409"/>
      <c r="AZ649" s="1409"/>
      <c r="BA649" s="1409"/>
      <c r="BB649" s="1409"/>
      <c r="BC649" s="1409"/>
      <c r="BD649" s="1409"/>
      <c r="BE649" s="1410"/>
      <c r="BF649" s="1409"/>
      <c r="BG649" s="1409"/>
      <c r="BH649" s="1409"/>
      <c r="BI649" s="1409"/>
      <c r="BJ649" s="1409"/>
      <c r="BK649" s="1409"/>
      <c r="BL649" s="1409"/>
      <c r="BM649" s="1409"/>
      <c r="BN649" s="1408"/>
      <c r="BO649" s="1409"/>
      <c r="BP649" s="1409"/>
      <c r="BQ649" s="1409"/>
      <c r="BR649" s="1409"/>
      <c r="BS649" s="1409"/>
      <c r="BT649" s="1409"/>
      <c r="BU649" s="1410"/>
      <c r="BV649" s="1303">
        <f t="shared" ref="BV649:DQ649" si="4409">BV647/BV$633</f>
        <v>0.0058055152394775</v>
      </c>
      <c r="BW649" s="1302">
        <f t="shared" si="4409"/>
        <v>0.00165700082850041</v>
      </c>
      <c r="BX649" s="1302">
        <f t="shared" si="4409"/>
        <v>0.00386847195357834</v>
      </c>
      <c r="BY649" s="1302">
        <f t="shared" si="4409"/>
        <v>0.00445859872611465</v>
      </c>
      <c r="BZ649" s="1302">
        <f t="shared" si="4409"/>
        <v>0.00409145607701564</v>
      </c>
      <c r="CA649" s="1302">
        <f t="shared" si="4409"/>
        <v>0.000980392156862745</v>
      </c>
      <c r="CB649" s="1302">
        <f t="shared" si="4409"/>
        <v>0.00308880308880309</v>
      </c>
      <c r="CC649" s="1304">
        <f t="shared" si="4409"/>
        <v>0.00347826086956522</v>
      </c>
      <c r="CD649" s="1303">
        <f t="shared" si="4409"/>
        <v>0.00462962962962963</v>
      </c>
      <c r="CE649" s="1302">
        <f t="shared" si="4409"/>
        <v>0.000766871165644172</v>
      </c>
      <c r="CF649" s="1302">
        <f t="shared" si="4409"/>
        <v>0.00284090909090909</v>
      </c>
      <c r="CG649" s="1302">
        <f t="shared" si="4409"/>
        <v>0.00520532099479468</v>
      </c>
      <c r="CH649" s="1302">
        <f t="shared" si="4409"/>
        <v>0.00374037403740374</v>
      </c>
      <c r="CI649" s="1302">
        <f t="shared" si="4409"/>
        <v>0.00151975683890578</v>
      </c>
      <c r="CJ649" s="1302">
        <f t="shared" si="4409"/>
        <v>0.00361247947454844</v>
      </c>
      <c r="CK649" s="1304">
        <f t="shared" si="4409"/>
        <v>0.00324176761644771</v>
      </c>
      <c r="CL649" s="1303">
        <f t="shared" si="4409"/>
        <v>0.00506756756756757</v>
      </c>
      <c r="CM649" s="1302">
        <f t="shared" si="4409"/>
        <v>0.00130548302872063</v>
      </c>
      <c r="CN649" s="1302">
        <f t="shared" si="4409"/>
        <v>0.00332527206771463</v>
      </c>
      <c r="CO649" s="1302">
        <f t="shared" si="4409"/>
        <v>0.00556701030927835</v>
      </c>
      <c r="CP649" s="1302">
        <f t="shared" si="4409"/>
        <v>0.00415396341463415</v>
      </c>
      <c r="CQ649" s="1302">
        <f t="shared" si="4409"/>
        <v>0.00304789550072569</v>
      </c>
      <c r="CR649" s="1302">
        <f t="shared" si="4409"/>
        <v>0.00332527206771463</v>
      </c>
      <c r="CS649" s="1304">
        <f t="shared" si="4409"/>
        <v>0.00392393600965892</v>
      </c>
      <c r="CT649" s="1303">
        <f t="shared" si="4409"/>
        <v>0.00549752611324904</v>
      </c>
      <c r="CU649" s="1302">
        <f t="shared" si="4409"/>
        <v>0.0036697247706422</v>
      </c>
      <c r="CV649" s="1302">
        <f t="shared" si="4409"/>
        <v>0.00463231036479444</v>
      </c>
      <c r="CW649" s="1302">
        <f t="shared" si="4409"/>
        <v>0.00596718050721034</v>
      </c>
      <c r="CX649" s="1302">
        <f t="shared" si="4409"/>
        <v>0.00512351326623971</v>
      </c>
      <c r="CY649" s="1302">
        <f t="shared" si="4409"/>
        <v>0.0133495145631068</v>
      </c>
      <c r="CZ649" s="1302">
        <f t="shared" si="4409"/>
        <v>0.00929215632686526</v>
      </c>
      <c r="DA649" s="1304">
        <f t="shared" si="4409"/>
        <v>0.00702938282018839</v>
      </c>
      <c r="DB649" s="1109">
        <f t="shared" si="4409"/>
        <v>0.00711382113821138</v>
      </c>
      <c r="DC649" s="1082">
        <f t="shared" si="4409"/>
        <v>0.00549752611324904</v>
      </c>
      <c r="DD649" s="1082">
        <f t="shared" si="4409"/>
        <v>0.006337470293108</v>
      </c>
      <c r="DE649" s="1082">
        <f t="shared" si="4409"/>
        <v>0.0040595399188092</v>
      </c>
      <c r="DF649" s="1082">
        <f t="shared" si="4409"/>
        <v>0.00549633577614923</v>
      </c>
      <c r="DG649" s="1082">
        <f t="shared" si="4409"/>
        <v>0.00165107319757843</v>
      </c>
      <c r="DH649" s="1082">
        <f t="shared" si="4409"/>
        <v>0.0029747149231532</v>
      </c>
      <c r="DI649" s="1085">
        <f t="shared" si="4409"/>
        <v>0.0046029919447641</v>
      </c>
      <c r="DJ649" s="1082">
        <f t="shared" si="4409"/>
        <v>-0.00782472613458529</v>
      </c>
      <c r="DK649" s="1082">
        <f t="shared" si="4409"/>
        <v>0.00628571428571429</v>
      </c>
      <c r="DL649" s="1082">
        <f t="shared" si="4409"/>
        <v>-0.00109080992637033</v>
      </c>
      <c r="DM649" s="1082">
        <f t="shared" si="4409"/>
        <v>-0.00615821885362387</v>
      </c>
      <c r="DN649" s="1082">
        <f t="shared" si="4409"/>
        <v>-0.00294219453097958</v>
      </c>
      <c r="DO649" s="1082" t="e">
        <f t="shared" si="4409"/>
        <v>#REF!</v>
      </c>
      <c r="DP649" s="1082" t="e">
        <f t="shared" si="4409"/>
        <v>#REF!</v>
      </c>
      <c r="DQ649" s="1085" t="e">
        <f t="shared" si="4409"/>
        <v>#REF!</v>
      </c>
      <c r="DR649" s="1082"/>
      <c r="DS649" s="1082"/>
      <c r="DT649" s="1082"/>
      <c r="DU649" s="1082"/>
      <c r="DV649" s="1082"/>
      <c r="DW649" s="1082"/>
      <c r="DX649" s="1082"/>
      <c r="DY649" s="1085"/>
      <c r="DZ649" s="1082"/>
      <c r="EA649" s="1082"/>
      <c r="EB649" s="1082"/>
      <c r="EC649" s="1082"/>
      <c r="ED649" s="1082"/>
      <c r="EE649" s="1082"/>
      <c r="EF649" s="1082"/>
      <c r="EG649" s="1085"/>
      <c r="EH649" s="1082"/>
      <c r="EI649" s="1082"/>
      <c r="EJ649" s="1082"/>
      <c r="EK649" s="1082"/>
      <c r="EL649" s="1082"/>
      <c r="EM649" s="1082"/>
      <c r="EN649" s="1082"/>
      <c r="EO649" s="1085"/>
      <c r="EP649" s="1082"/>
      <c r="EQ649" s="1082"/>
      <c r="ER649" s="1082"/>
      <c r="ES649" s="1082"/>
      <c r="ET649" s="1082"/>
      <c r="EU649" s="1082"/>
      <c r="EV649" s="1082"/>
      <c r="IX649" s="1049"/>
      <c r="IY649" s="1049"/>
      <c r="IZ649" s="1049"/>
      <c r="JA649" s="1049"/>
      <c r="JB649" s="1049"/>
      <c r="JC649" s="1049"/>
      <c r="JD649" s="1112"/>
      <c r="JE649" s="1037"/>
      <c r="JF649" s="1037"/>
      <c r="JG649" s="1037"/>
      <c r="JH649" s="1037"/>
      <c r="JI649" s="1035"/>
      <c r="JJ649" s="1035"/>
      <c r="JK649" s="1035"/>
      <c r="JL649" s="1035"/>
      <c r="JM649" s="1035"/>
      <c r="JN649" s="1035"/>
      <c r="JO649" s="1035"/>
      <c r="JP649" s="1035"/>
      <c r="JQ649" s="1035"/>
      <c r="JR649" s="1035"/>
      <c r="JS649" s="1035"/>
      <c r="JT649" s="1035"/>
      <c r="JU649" s="1035"/>
      <c r="JV649" s="1035"/>
      <c r="JW649" s="1035"/>
      <c r="JX649" s="1035"/>
      <c r="JY649" s="1035"/>
    </row>
    <row r="650" outlineLevel="1" spans="1:285">
      <c r="A650" s="1191" t="s">
        <v>212</v>
      </c>
      <c r="B650" s="1499"/>
      <c r="C650" s="1499"/>
      <c r="D650" s="1499"/>
      <c r="E650" s="1499"/>
      <c r="F650" s="1499"/>
      <c r="G650" s="1499"/>
      <c r="H650" s="1499"/>
      <c r="I650" s="1499"/>
      <c r="J650" s="1499"/>
      <c r="K650" s="1499"/>
      <c r="L650" s="1499"/>
      <c r="M650" s="1499"/>
      <c r="N650" s="1499"/>
      <c r="O650" s="1499"/>
      <c r="P650" s="1499"/>
      <c r="Q650" s="1499"/>
      <c r="R650" s="1499"/>
      <c r="S650" s="1499"/>
      <c r="T650" s="1499"/>
      <c r="U650" s="1499"/>
      <c r="V650" s="1499"/>
      <c r="W650" s="1499"/>
      <c r="X650" s="1499"/>
      <c r="Y650" s="1499"/>
      <c r="Z650" s="1499"/>
      <c r="AA650" s="1499"/>
      <c r="AB650" s="1499"/>
      <c r="AC650" s="1499"/>
      <c r="AD650" s="1499"/>
      <c r="AE650" s="1499"/>
      <c r="AF650" s="1499"/>
      <c r="AG650" s="1499"/>
      <c r="AH650" s="1499"/>
      <c r="AI650" s="1499"/>
      <c r="AJ650" s="1499"/>
      <c r="AK650" s="1499"/>
      <c r="AL650" s="1499"/>
      <c r="AM650" s="1499"/>
      <c r="AN650" s="1499"/>
      <c r="AO650" s="1499"/>
      <c r="AP650" s="1499"/>
      <c r="AQ650" s="1499"/>
      <c r="AR650" s="1499"/>
      <c r="AS650" s="1499"/>
      <c r="AT650" s="1499"/>
      <c r="AU650" s="1499"/>
      <c r="AV650" s="1499"/>
      <c r="AW650" s="1499"/>
      <c r="AX650" s="1500"/>
      <c r="AY650" s="1499"/>
      <c r="AZ650" s="1499"/>
      <c r="BA650" s="1499"/>
      <c r="BB650" s="1499"/>
      <c r="BC650" s="1499"/>
      <c r="BD650" s="1499"/>
      <c r="BE650" s="1501"/>
      <c r="BF650" s="1499"/>
      <c r="BG650" s="1499"/>
      <c r="BH650" s="1499"/>
      <c r="BI650" s="1499"/>
      <c r="BJ650" s="1499"/>
      <c r="BK650" s="1499"/>
      <c r="BL650" s="1499"/>
      <c r="BM650" s="1499"/>
      <c r="BN650" s="1500"/>
      <c r="BO650" s="1499"/>
      <c r="BP650" s="1499"/>
      <c r="BQ650" s="1499"/>
      <c r="BR650" s="1499"/>
      <c r="BS650" s="1499"/>
      <c r="BT650" s="1499"/>
      <c r="BU650" s="1501"/>
      <c r="BV650" s="1500">
        <v>1378</v>
      </c>
      <c r="BW650" s="1499">
        <f>BW647+BW643+BW639</f>
        <v>1197</v>
      </c>
      <c r="BX650" s="1499">
        <f>BX647+BX643+BX639</f>
        <v>2568</v>
      </c>
      <c r="BY650" s="1499">
        <f>BY647+BY643+BY639</f>
        <v>1566</v>
      </c>
      <c r="BZ650" s="1499">
        <v>4155</v>
      </c>
      <c r="CA650" s="1499">
        <f>CA647+CA643+CA639</f>
        <v>1014</v>
      </c>
      <c r="CB650" s="1499">
        <f>CB647+CB643+CB639</f>
        <v>2580</v>
      </c>
      <c r="CC650" s="1501">
        <f t="shared" ref="CC650:CN650" si="4410">CC647+CC643+CC639</f>
        <v>5148</v>
      </c>
      <c r="CD650" s="1500">
        <f>CD633</f>
        <v>1512</v>
      </c>
      <c r="CE650" s="1499">
        <f>CE633</f>
        <v>1304</v>
      </c>
      <c r="CF650" s="1499">
        <f t="shared" si="4410"/>
        <v>2815</v>
      </c>
      <c r="CG650" s="1499">
        <f>CG633</f>
        <v>1729</v>
      </c>
      <c r="CH650" s="1499">
        <f t="shared" si="4410"/>
        <v>4552</v>
      </c>
      <c r="CI650" s="1499">
        <f>CI633</f>
        <v>1316</v>
      </c>
      <c r="CJ650" s="1499">
        <f t="shared" si="4410"/>
        <v>3039</v>
      </c>
      <c r="CK650" s="1501">
        <f t="shared" si="4410"/>
        <v>5854</v>
      </c>
      <c r="CL650" s="1500">
        <f t="shared" si="4410"/>
        <v>1767</v>
      </c>
      <c r="CM650" s="1499">
        <f t="shared" si="4410"/>
        <v>1521</v>
      </c>
      <c r="CN650" s="1499">
        <f t="shared" si="4410"/>
        <v>3288</v>
      </c>
      <c r="CO650" s="1499">
        <f>CO633</f>
        <v>1940</v>
      </c>
      <c r="CP650" s="1499">
        <f>CP633</f>
        <v>5248</v>
      </c>
      <c r="CQ650" s="1499">
        <f>CQ633</f>
        <v>1378</v>
      </c>
      <c r="CR650" s="1499">
        <f>CR647+CR643+CR639</f>
        <v>3379.65</v>
      </c>
      <c r="CS650" s="1501">
        <f t="shared" ref="CS650:CX650" si="4411">CS633</f>
        <v>6626</v>
      </c>
      <c r="CT650" s="1500">
        <f t="shared" si="4411"/>
        <v>1819</v>
      </c>
      <c r="CU650" s="1499">
        <f t="shared" si="4411"/>
        <v>1635</v>
      </c>
      <c r="CV650" s="1499">
        <f t="shared" si="4411"/>
        <v>3454</v>
      </c>
      <c r="CW650" s="1499">
        <f t="shared" si="4411"/>
        <v>2011</v>
      </c>
      <c r="CX650" s="1499">
        <f t="shared" si="4411"/>
        <v>5465</v>
      </c>
      <c r="CY650" s="1499">
        <f t="shared" ref="CY650:DI650" si="4412">CY633</f>
        <v>1648</v>
      </c>
      <c r="CZ650" s="1499">
        <f t="shared" si="4412"/>
        <v>3659</v>
      </c>
      <c r="DA650" s="1501">
        <f t="shared" si="4412"/>
        <v>7113</v>
      </c>
      <c r="DB650" s="1502">
        <f t="shared" si="4412"/>
        <v>1968</v>
      </c>
      <c r="DC650" s="1372">
        <f t="shared" si="4412"/>
        <v>1819</v>
      </c>
      <c r="DD650" s="1372">
        <f t="shared" si="4412"/>
        <v>3787</v>
      </c>
      <c r="DE650" s="1372">
        <f t="shared" si="4412"/>
        <v>2217</v>
      </c>
      <c r="DF650" s="1372">
        <f t="shared" si="4412"/>
        <v>6004</v>
      </c>
      <c r="DG650" s="1372">
        <f t="shared" si="4412"/>
        <v>1817</v>
      </c>
      <c r="DH650" s="1372">
        <f t="shared" si="4412"/>
        <v>4034</v>
      </c>
      <c r="DI650" s="1503">
        <f t="shared" si="4412"/>
        <v>7821</v>
      </c>
      <c r="DJ650" s="1372">
        <f t="shared" ref="DJ650:DQ650" si="4413">DJ633</f>
        <v>1917</v>
      </c>
      <c r="DK650" s="1372">
        <f t="shared" si="4413"/>
        <v>1750</v>
      </c>
      <c r="DL650" s="1372">
        <f t="shared" si="4413"/>
        <v>3667</v>
      </c>
      <c r="DM650" s="1372">
        <f t="shared" si="4413"/>
        <v>2111</v>
      </c>
      <c r="DN650" s="1372">
        <f t="shared" si="4413"/>
        <v>5778</v>
      </c>
      <c r="DO650" s="1372" t="e">
        <f t="shared" si="4413"/>
        <v>#REF!</v>
      </c>
      <c r="DP650" s="1372" t="e">
        <f t="shared" si="4413"/>
        <v>#REF!</v>
      </c>
      <c r="DQ650" s="1503" t="e">
        <f t="shared" si="4413"/>
        <v>#REF!</v>
      </c>
      <c r="DR650" s="1372"/>
      <c r="DS650" s="1372"/>
      <c r="DT650" s="1372"/>
      <c r="DU650" s="1372"/>
      <c r="DV650" s="1372"/>
      <c r="DW650" s="1372"/>
      <c r="DX650" s="1372"/>
      <c r="DY650" s="1503"/>
      <c r="DZ650" s="1372"/>
      <c r="EA650" s="1372"/>
      <c r="EB650" s="1372"/>
      <c r="EC650" s="1372"/>
      <c r="ED650" s="1372"/>
      <c r="EE650" s="1372"/>
      <c r="EF650" s="1372"/>
      <c r="EG650" s="1503"/>
      <c r="EH650" s="1372"/>
      <c r="EI650" s="1372"/>
      <c r="EJ650" s="1372"/>
      <c r="EK650" s="1372"/>
      <c r="EL650" s="1372"/>
      <c r="EM650" s="1372"/>
      <c r="EN650" s="1372"/>
      <c r="EO650" s="1503"/>
      <c r="EP650" s="1372"/>
      <c r="EQ650" s="1372"/>
      <c r="ER650" s="1372"/>
      <c r="ES650" s="1372"/>
      <c r="ET650" s="1372"/>
      <c r="EU650" s="1372"/>
      <c r="EV650" s="1372"/>
      <c r="IX650" s="1049"/>
      <c r="IY650" s="1049"/>
      <c r="IZ650" s="1049"/>
      <c r="JA650" s="1049"/>
      <c r="JB650" s="1049"/>
      <c r="JC650" s="1049"/>
      <c r="JD650" s="1469"/>
      <c r="JE650" s="1037"/>
      <c r="JF650" s="1037"/>
      <c r="JG650" s="1037"/>
      <c r="JH650" s="1037"/>
      <c r="JI650" s="1035"/>
      <c r="JJ650" s="1035"/>
      <c r="JK650" s="1035"/>
      <c r="JL650" s="1035"/>
      <c r="JM650" s="1035"/>
      <c r="JN650" s="1035"/>
      <c r="JO650" s="1035"/>
      <c r="JP650" s="1035"/>
      <c r="JQ650" s="1035"/>
      <c r="JR650" s="1035"/>
      <c r="JS650" s="1035"/>
      <c r="JT650" s="1035"/>
      <c r="JU650" s="1035"/>
      <c r="JV650" s="1035"/>
      <c r="JW650" s="1035"/>
      <c r="JX650" s="1035"/>
      <c r="JY650" s="1035"/>
    </row>
    <row r="651" outlineLevel="1" spans="1:285">
      <c r="A651" s="1339" t="s">
        <v>645</v>
      </c>
      <c r="B651" s="1409"/>
      <c r="C651" s="1409"/>
      <c r="D651" s="1409"/>
      <c r="E651" s="1409"/>
      <c r="F651" s="1409"/>
      <c r="G651" s="1409"/>
      <c r="H651" s="1409"/>
      <c r="I651" s="1409"/>
      <c r="J651" s="1409"/>
      <c r="K651" s="1409"/>
      <c r="L651" s="1409"/>
      <c r="M651" s="1409"/>
      <c r="N651" s="1409"/>
      <c r="O651" s="1409"/>
      <c r="P651" s="1409"/>
      <c r="Q651" s="1409"/>
      <c r="R651" s="1409"/>
      <c r="S651" s="1409"/>
      <c r="T651" s="1409"/>
      <c r="U651" s="1409"/>
      <c r="V651" s="1409"/>
      <c r="W651" s="1409"/>
      <c r="X651" s="1409"/>
      <c r="Y651" s="1409"/>
      <c r="Z651" s="1409"/>
      <c r="AA651" s="1409"/>
      <c r="AB651" s="1409"/>
      <c r="AC651" s="1409"/>
      <c r="AD651" s="1409"/>
      <c r="AE651" s="1409"/>
      <c r="AF651" s="1409"/>
      <c r="AG651" s="1409"/>
      <c r="AH651" s="1409"/>
      <c r="AI651" s="1409"/>
      <c r="AJ651" s="1409"/>
      <c r="AK651" s="1409"/>
      <c r="AL651" s="1409"/>
      <c r="AM651" s="1409"/>
      <c r="AN651" s="1409"/>
      <c r="AO651" s="1409"/>
      <c r="AP651" s="1409"/>
      <c r="AQ651" s="1409"/>
      <c r="AR651" s="1409"/>
      <c r="AS651" s="1409"/>
      <c r="AT651" s="1409"/>
      <c r="AU651" s="1409"/>
      <c r="AV651" s="1409"/>
      <c r="AW651" s="1409"/>
      <c r="AX651" s="1408"/>
      <c r="AY651" s="1409"/>
      <c r="AZ651" s="1409"/>
      <c r="BA651" s="1409"/>
      <c r="BB651" s="1409"/>
      <c r="BC651" s="1409"/>
      <c r="BD651" s="1409"/>
      <c r="BE651" s="1410"/>
      <c r="BF651" s="1409"/>
      <c r="BG651" s="1409"/>
      <c r="BH651" s="1409"/>
      <c r="BI651" s="1409"/>
      <c r="BJ651" s="1409"/>
      <c r="BK651" s="1409"/>
      <c r="BL651" s="1409"/>
      <c r="BM651" s="1409"/>
      <c r="BN651" s="1408"/>
      <c r="BO651" s="1409"/>
      <c r="BP651" s="1409"/>
      <c r="BQ651" s="1409"/>
      <c r="BR651" s="1409"/>
      <c r="BS651" s="1409"/>
      <c r="BT651" s="1409"/>
      <c r="BU651" s="1410"/>
      <c r="BV651" s="1526" t="s">
        <v>173</v>
      </c>
      <c r="BW651" s="1061" t="s">
        <v>173</v>
      </c>
      <c r="BX651" s="1061" t="s">
        <v>173</v>
      </c>
      <c r="BY651" s="1061" t="s">
        <v>173</v>
      </c>
      <c r="BZ651" s="1061" t="s">
        <v>173</v>
      </c>
      <c r="CA651" s="1061" t="s">
        <v>173</v>
      </c>
      <c r="CB651" s="1061" t="s">
        <v>173</v>
      </c>
      <c r="CC651" s="1527" t="s">
        <v>173</v>
      </c>
      <c r="CD651" s="1526">
        <f t="shared" ref="CD651:CR651" si="4414">CD650/BV650-1</f>
        <v>0.0972423802612481</v>
      </c>
      <c r="CE651" s="1061">
        <f t="shared" si="4414"/>
        <v>0.0893901420217209</v>
      </c>
      <c r="CF651" s="1061">
        <f t="shared" si="4414"/>
        <v>0.0961838006230529</v>
      </c>
      <c r="CG651" s="1061">
        <f t="shared" si="4414"/>
        <v>0.104086845466156</v>
      </c>
      <c r="CH651" s="1061">
        <f t="shared" si="4414"/>
        <v>0.0955475330926594</v>
      </c>
      <c r="CI651" s="1061">
        <f t="shared" si="4414"/>
        <v>0.297830374753452</v>
      </c>
      <c r="CJ651" s="1061">
        <f t="shared" si="4414"/>
        <v>0.177906976744186</v>
      </c>
      <c r="CK651" s="1527">
        <f t="shared" si="4414"/>
        <v>0.137140637140637</v>
      </c>
      <c r="CL651" s="1526">
        <f t="shared" si="4414"/>
        <v>0.168650793650794</v>
      </c>
      <c r="CM651" s="1061">
        <f t="shared" si="4414"/>
        <v>0.166411042944785</v>
      </c>
      <c r="CN651" s="1061">
        <f t="shared" si="4414"/>
        <v>0.168028419182948</v>
      </c>
      <c r="CO651" s="1061">
        <f t="shared" si="4414"/>
        <v>0.122035858877964</v>
      </c>
      <c r="CP651" s="1061">
        <f t="shared" si="4414"/>
        <v>0.152899824253075</v>
      </c>
      <c r="CQ651" s="1061">
        <f t="shared" si="4414"/>
        <v>0.047112462006079</v>
      </c>
      <c r="CR651" s="1061">
        <f t="shared" si="4414"/>
        <v>0.112092793682132</v>
      </c>
      <c r="CS651" s="1527">
        <f>CS650/CH650-1</f>
        <v>0.455623901581722</v>
      </c>
      <c r="CT651" s="1526">
        <f>CT634</f>
        <v>0.0242117117117118</v>
      </c>
      <c r="CU651" s="1302">
        <f t="shared" ref="CU651:DA651" si="4415">CU650/CM650-1</f>
        <v>0.0749506903353057</v>
      </c>
      <c r="CV651" s="1302">
        <f t="shared" si="4415"/>
        <v>0.0504866180048662</v>
      </c>
      <c r="CW651" s="1302">
        <f t="shared" si="4415"/>
        <v>0.03659793814433</v>
      </c>
      <c r="CX651" s="1302">
        <f t="shared" si="4415"/>
        <v>0.0413490853658536</v>
      </c>
      <c r="CY651" s="1302">
        <f t="shared" si="4415"/>
        <v>0.195936139332366</v>
      </c>
      <c r="CZ651" s="1302">
        <f t="shared" si="4415"/>
        <v>0.08265648809788</v>
      </c>
      <c r="DA651" s="1304">
        <f t="shared" si="4415"/>
        <v>0.0734983398732267</v>
      </c>
      <c r="DB651" s="1109">
        <f>DB650/CU650-1</f>
        <v>0.203669724770642</v>
      </c>
      <c r="DC651" s="1082">
        <f>DC650/CV650-1</f>
        <v>-0.473364215402432</v>
      </c>
      <c r="DD651" s="1082">
        <f>DD650/CW650-1</f>
        <v>0.883142715067131</v>
      </c>
      <c r="DE651" s="1082">
        <f>DE650/CX650-1</f>
        <v>-0.594327538883806</v>
      </c>
      <c r="DF651" s="1082">
        <f t="shared" ref="DF651:DQ651" si="4416">DF650/CX650-1</f>
        <v>0.0986276303751143</v>
      </c>
      <c r="DG651" s="1082">
        <f t="shared" si="4416"/>
        <v>0.10254854368932</v>
      </c>
      <c r="DH651" s="1082">
        <f t="shared" si="4416"/>
        <v>0.102487018311014</v>
      </c>
      <c r="DI651" s="1085">
        <f t="shared" si="4416"/>
        <v>0.0995360607338676</v>
      </c>
      <c r="DJ651" s="1082">
        <f t="shared" si="4416"/>
        <v>-0.0259146341463414</v>
      </c>
      <c r="DK651" s="1082">
        <f t="shared" si="4416"/>
        <v>-0.0379329301814184</v>
      </c>
      <c r="DL651" s="1082">
        <f t="shared" si="4416"/>
        <v>-0.03168735146554</v>
      </c>
      <c r="DM651" s="1082">
        <f t="shared" si="4416"/>
        <v>-0.0478123590437528</v>
      </c>
      <c r="DN651" s="1082">
        <f t="shared" si="4416"/>
        <v>-0.0376415722851432</v>
      </c>
      <c r="DO651" s="1082" t="e">
        <f t="shared" si="4416"/>
        <v>#REF!</v>
      </c>
      <c r="DP651" s="1082" t="e">
        <f t="shared" si="4416"/>
        <v>#REF!</v>
      </c>
      <c r="DQ651" s="1085" t="e">
        <f t="shared" si="4416"/>
        <v>#REF!</v>
      </c>
      <c r="DR651" s="1082"/>
      <c r="DS651" s="1082"/>
      <c r="DT651" s="1082"/>
      <c r="DU651" s="1082"/>
      <c r="DV651" s="1082"/>
      <c r="DW651" s="1082"/>
      <c r="DX651" s="1082"/>
      <c r="DY651" s="1085"/>
      <c r="DZ651" s="1082"/>
      <c r="EA651" s="1082"/>
      <c r="EB651" s="1082"/>
      <c r="EC651" s="1082"/>
      <c r="ED651" s="1082"/>
      <c r="EE651" s="1082"/>
      <c r="EF651" s="1082"/>
      <c r="EG651" s="1085"/>
      <c r="EH651" s="1082"/>
      <c r="EI651" s="1082"/>
      <c r="EJ651" s="1082"/>
      <c r="EK651" s="1082"/>
      <c r="EL651" s="1082"/>
      <c r="EM651" s="1082"/>
      <c r="EN651" s="1082"/>
      <c r="EO651" s="1085"/>
      <c r="EP651" s="1082"/>
      <c r="EQ651" s="1082"/>
      <c r="ER651" s="1082"/>
      <c r="ES651" s="1082"/>
      <c r="ET651" s="1082"/>
      <c r="EU651" s="1082"/>
      <c r="EV651" s="1082"/>
      <c r="IX651" s="1049"/>
      <c r="IY651" s="1049"/>
      <c r="IZ651" s="1049"/>
      <c r="JA651" s="1049"/>
      <c r="JB651" s="1049"/>
      <c r="JC651" s="1049"/>
      <c r="JD651" s="1112"/>
      <c r="JE651" s="1037"/>
      <c r="JF651" s="1037"/>
      <c r="JG651" s="1037"/>
      <c r="JH651" s="1037"/>
      <c r="JI651" s="1035"/>
      <c r="JJ651" s="1035"/>
      <c r="JK651" s="1035"/>
      <c r="JL651" s="1035"/>
      <c r="JM651" s="1035"/>
      <c r="JN651" s="1035"/>
      <c r="JO651" s="1035"/>
      <c r="JP651" s="1035"/>
      <c r="JQ651" s="1035"/>
      <c r="JR651" s="1035"/>
      <c r="JS651" s="1035"/>
      <c r="JT651" s="1035"/>
      <c r="JU651" s="1035"/>
      <c r="JV651" s="1035"/>
      <c r="JW651" s="1035"/>
      <c r="JX651" s="1035"/>
      <c r="JY651" s="1035"/>
    </row>
    <row r="652" outlineLevel="1" spans="1:285">
      <c r="AX652" s="1059"/>
      <c r="BE652" s="1060"/>
      <c r="BN652" s="1059"/>
      <c r="BU652" s="1060"/>
      <c r="BV652" s="1059"/>
      <c r="CC652" s="1060"/>
      <c r="CD652" s="1059"/>
      <c r="CK652" s="1060"/>
      <c r="CL652" s="1059"/>
      <c r="CS652" s="1060"/>
      <c r="CT652" s="1059"/>
      <c r="DA652" s="1060"/>
      <c r="DB652" s="1063"/>
      <c r="IX652" s="1049"/>
      <c r="IY652" s="1049"/>
      <c r="IZ652" s="1049"/>
      <c r="JA652" s="1049"/>
      <c r="JB652" s="1049"/>
      <c r="JC652" s="1049"/>
      <c r="JD652" s="1041"/>
      <c r="JE652" s="1037"/>
      <c r="JF652" s="1037"/>
      <c r="JG652" s="1037"/>
      <c r="JH652" s="1037"/>
      <c r="JI652" s="1035"/>
      <c r="JJ652" s="1035"/>
      <c r="JK652" s="1035"/>
      <c r="JL652" s="1035"/>
      <c r="JM652" s="1035"/>
      <c r="JN652" s="1035"/>
      <c r="JO652" s="1035"/>
      <c r="JP652" s="1035"/>
      <c r="JQ652" s="1035"/>
      <c r="JR652" s="1035"/>
      <c r="JS652" s="1035"/>
      <c r="JT652" s="1035"/>
      <c r="JU652" s="1035"/>
      <c r="JV652" s="1035"/>
      <c r="JW652" s="1035"/>
      <c r="JX652" s="1035"/>
      <c r="JY652" s="1035"/>
    </row>
    <row r="653" outlineLevel="1" spans="1:285">
      <c r="A653" s="1051" t="s">
        <v>650</v>
      </c>
      <c r="B653" s="1482"/>
      <c r="C653" s="1482"/>
      <c r="D653" s="1482"/>
      <c r="E653" s="1482"/>
      <c r="F653" s="1482"/>
      <c r="G653" s="1482"/>
      <c r="H653" s="1482"/>
      <c r="I653" s="1482"/>
      <c r="J653" s="1482"/>
      <c r="K653" s="1482"/>
      <c r="L653" s="1482"/>
      <c r="M653" s="1482"/>
      <c r="N653" s="1482"/>
      <c r="O653" s="1482"/>
      <c r="P653" s="1482"/>
      <c r="Q653" s="1482"/>
      <c r="R653" s="1482"/>
      <c r="S653" s="1482"/>
      <c r="T653" s="1482"/>
      <c r="U653" s="1482"/>
      <c r="V653" s="1482"/>
      <c r="W653" s="1482"/>
      <c r="X653" s="1482"/>
      <c r="Y653" s="1482"/>
      <c r="Z653" s="1482"/>
      <c r="AA653" s="1482"/>
      <c r="AB653" s="1482"/>
      <c r="AC653" s="1482"/>
      <c r="AD653" s="1482"/>
      <c r="AE653" s="1482"/>
      <c r="AF653" s="1482"/>
      <c r="AG653" s="1482"/>
      <c r="AH653" s="1482"/>
      <c r="AI653" s="1482"/>
      <c r="AJ653" s="1482"/>
      <c r="AK653" s="1482"/>
      <c r="AL653" s="1482"/>
      <c r="AM653" s="1482"/>
      <c r="AN653" s="1482"/>
      <c r="AO653" s="1482"/>
      <c r="AP653" s="1482"/>
      <c r="AQ653" s="1482"/>
      <c r="AR653" s="1482"/>
      <c r="AS653" s="1482"/>
      <c r="AT653" s="1482"/>
      <c r="AU653" s="1482"/>
      <c r="AV653" s="1482"/>
      <c r="AW653" s="1482"/>
      <c r="AX653" s="1483"/>
      <c r="AY653" s="1482"/>
      <c r="AZ653" s="1482"/>
      <c r="BA653" s="1482"/>
      <c r="BB653" s="1482"/>
      <c r="BC653" s="1482"/>
      <c r="BD653" s="1482"/>
      <c r="BE653" s="1484"/>
      <c r="BF653" s="1482"/>
      <c r="BG653" s="1482"/>
      <c r="BH653" s="1482"/>
      <c r="BI653" s="1482"/>
      <c r="BJ653" s="1482"/>
      <c r="BK653" s="1482"/>
      <c r="BL653" s="1482"/>
      <c r="BM653" s="1482"/>
      <c r="BN653" s="1483"/>
      <c r="BO653" s="1482"/>
      <c r="BP653" s="1482"/>
      <c r="BQ653" s="1482"/>
      <c r="BR653" s="1482"/>
      <c r="BS653" s="1482"/>
      <c r="BT653" s="1482"/>
      <c r="BU653" s="1484"/>
      <c r="BV653" s="1483" t="s">
        <v>321</v>
      </c>
      <c r="BW653" s="1482" t="s">
        <v>322</v>
      </c>
      <c r="BX653" s="1482" t="s">
        <v>323</v>
      </c>
      <c r="BY653" s="1482" t="s">
        <v>324</v>
      </c>
      <c r="BZ653" s="1482" t="s">
        <v>325</v>
      </c>
      <c r="CA653" s="1482" t="s">
        <v>326</v>
      </c>
      <c r="CB653" s="1482" t="s">
        <v>327</v>
      </c>
      <c r="CC653" s="1484" t="s">
        <v>23</v>
      </c>
      <c r="CD653" s="1483" t="s">
        <v>328</v>
      </c>
      <c r="CE653" s="1482" t="s">
        <v>329</v>
      </c>
      <c r="CF653" s="1482" t="s">
        <v>330</v>
      </c>
      <c r="CG653" s="1482" t="s">
        <v>331</v>
      </c>
      <c r="CH653" s="1482" t="s">
        <v>332</v>
      </c>
      <c r="CI653" s="1482" t="s">
        <v>333</v>
      </c>
      <c r="CJ653" s="1482" t="s">
        <v>334</v>
      </c>
      <c r="CK653" s="1484" t="s">
        <v>24</v>
      </c>
      <c r="CL653" s="1483" t="s">
        <v>335</v>
      </c>
      <c r="CM653" s="1482" t="s">
        <v>336</v>
      </c>
      <c r="CN653" s="1482" t="s">
        <v>337</v>
      </c>
      <c r="CO653" s="1482" t="s">
        <v>338</v>
      </c>
      <c r="CP653" s="1482" t="str">
        <f t="shared" ref="CP653:DU653" si="4417">CP2</f>
        <v>9M 06</v>
      </c>
      <c r="CQ653" s="1482" t="str">
        <f t="shared" si="4417"/>
        <v>Q4 06</v>
      </c>
      <c r="CR653" s="1482" t="str">
        <f t="shared" si="4417"/>
        <v>H2 06</v>
      </c>
      <c r="CS653" s="1484" t="str">
        <f t="shared" si="4417"/>
        <v>FY 06</v>
      </c>
      <c r="CT653" s="1483" t="str">
        <f t="shared" si="4417"/>
        <v>Q1 07</v>
      </c>
      <c r="CU653" s="1482" t="str">
        <f t="shared" si="4417"/>
        <v>Q2 07</v>
      </c>
      <c r="CV653" s="1482" t="str">
        <f t="shared" si="4417"/>
        <v>H1 07</v>
      </c>
      <c r="CW653" s="1482" t="str">
        <f t="shared" si="4417"/>
        <v>Q3 07</v>
      </c>
      <c r="CX653" s="1482" t="str">
        <f t="shared" si="4417"/>
        <v>9M 07</v>
      </c>
      <c r="CY653" s="1482" t="str">
        <f t="shared" si="4417"/>
        <v>Q4 07</v>
      </c>
      <c r="CZ653" s="1482" t="str">
        <f t="shared" si="4417"/>
        <v>H2 07</v>
      </c>
      <c r="DA653" s="1484" t="str">
        <f t="shared" si="4417"/>
        <v>FY 07</v>
      </c>
      <c r="DB653" s="1485" t="str">
        <f t="shared" si="4417"/>
        <v>Q1 08</v>
      </c>
      <c r="DC653" s="1486" t="str">
        <f t="shared" si="4417"/>
        <v>Q2 08</v>
      </c>
      <c r="DD653" s="1486" t="str">
        <f t="shared" si="4417"/>
        <v>H1 08</v>
      </c>
      <c r="DE653" s="1486" t="str">
        <f t="shared" si="4417"/>
        <v>Q3 08</v>
      </c>
      <c r="DF653" s="1486" t="str">
        <f t="shared" si="4417"/>
        <v>9M 08</v>
      </c>
      <c r="DG653" s="1486" t="str">
        <f t="shared" si="4417"/>
        <v>Q4 08</v>
      </c>
      <c r="DH653" s="1486" t="str">
        <f t="shared" si="4417"/>
        <v>H2 08</v>
      </c>
      <c r="DI653" s="1487" t="str">
        <f t="shared" si="4417"/>
        <v>FY 08</v>
      </c>
      <c r="DJ653" s="1486" t="str">
        <f t="shared" si="4417"/>
        <v>Q1 09</v>
      </c>
      <c r="DK653" s="1486" t="str">
        <f t="shared" si="4417"/>
        <v>Q2 09</v>
      </c>
      <c r="DL653" s="1486" t="str">
        <f t="shared" si="4417"/>
        <v>H1 09</v>
      </c>
      <c r="DM653" s="1486" t="str">
        <f t="shared" si="4417"/>
        <v>Q3 09</v>
      </c>
      <c r="DN653" s="1486" t="str">
        <f t="shared" si="4417"/>
        <v>9M 09</v>
      </c>
      <c r="DO653" s="1486" t="str">
        <f t="shared" si="4417"/>
        <v>Q4 09</v>
      </c>
      <c r="DP653" s="1486" t="str">
        <f t="shared" si="4417"/>
        <v>H2 09</v>
      </c>
      <c r="DQ653" s="1487" t="str">
        <f t="shared" si="4417"/>
        <v>FY 09</v>
      </c>
      <c r="DR653" s="1486" t="str">
        <f t="shared" si="4417"/>
        <v>Q1 10</v>
      </c>
      <c r="DS653" s="1486" t="str">
        <f t="shared" si="4417"/>
        <v>Q2 10</v>
      </c>
      <c r="DT653" s="1486" t="str">
        <f t="shared" si="4417"/>
        <v>H1 10</v>
      </c>
      <c r="DU653" s="1486" t="str">
        <f t="shared" si="4417"/>
        <v>Q3 10</v>
      </c>
      <c r="DV653" s="1486" t="str">
        <f t="shared" ref="DV653:EO653" si="4418">DV2</f>
        <v>9M 10</v>
      </c>
      <c r="DW653" s="1486" t="str">
        <f t="shared" si="4418"/>
        <v>Q4 10</v>
      </c>
      <c r="DX653" s="1486" t="str">
        <f t="shared" si="4418"/>
        <v>H2 10</v>
      </c>
      <c r="DY653" s="1487" t="str">
        <f t="shared" si="4418"/>
        <v>FY 10</v>
      </c>
      <c r="DZ653" s="1486" t="str">
        <f t="shared" si="4418"/>
        <v>Q1 11</v>
      </c>
      <c r="EA653" s="1486" t="str">
        <f t="shared" si="4418"/>
        <v>Q2 11</v>
      </c>
      <c r="EB653" s="1486" t="str">
        <f t="shared" si="4418"/>
        <v>H1 11</v>
      </c>
      <c r="EC653" s="1486" t="str">
        <f t="shared" si="4418"/>
        <v>Q3 11</v>
      </c>
      <c r="ED653" s="1486" t="str">
        <f t="shared" si="4418"/>
        <v>9M 11</v>
      </c>
      <c r="EE653" s="1486" t="str">
        <f t="shared" si="4418"/>
        <v>Q4 11</v>
      </c>
      <c r="EF653" s="1486" t="str">
        <f t="shared" si="4418"/>
        <v>H2 11</v>
      </c>
      <c r="EG653" s="1487" t="str">
        <f t="shared" si="4418"/>
        <v>FY 11</v>
      </c>
      <c r="EH653" s="1486" t="str">
        <f t="shared" si="4418"/>
        <v>Q1 12</v>
      </c>
      <c r="EI653" s="1486" t="str">
        <f t="shared" si="4418"/>
        <v>Q2 12</v>
      </c>
      <c r="EJ653" s="1486" t="str">
        <f t="shared" si="4418"/>
        <v>H1 12</v>
      </c>
      <c r="EK653" s="1486" t="str">
        <f t="shared" si="4418"/>
        <v>Q3 12</v>
      </c>
      <c r="EL653" s="1486" t="str">
        <f t="shared" si="4418"/>
        <v>9M 12</v>
      </c>
      <c r="EM653" s="1486" t="str">
        <f t="shared" si="4418"/>
        <v>Q4 12</v>
      </c>
      <c r="EN653" s="1486" t="str">
        <f t="shared" si="4418"/>
        <v>H2 12</v>
      </c>
      <c r="EO653" s="1487" t="str">
        <f t="shared" si="4418"/>
        <v>FY 12</v>
      </c>
      <c r="EP653" s="1486"/>
      <c r="EQ653" s="1486"/>
      <c r="ER653" s="1486"/>
      <c r="ES653" s="1486"/>
      <c r="ET653" s="1486"/>
      <c r="EU653" s="1486"/>
      <c r="EV653" s="1486"/>
      <c r="IX653" s="1049"/>
      <c r="IY653" s="1049"/>
      <c r="IZ653" s="1049"/>
      <c r="JA653" s="1049"/>
      <c r="JB653" s="1049"/>
      <c r="JC653" s="1049"/>
      <c r="JD653" s="1404"/>
      <c r="JE653" s="1037"/>
      <c r="JF653" s="1037"/>
      <c r="JG653" s="1037"/>
      <c r="JH653" s="1037"/>
      <c r="JI653" s="1035"/>
      <c r="JJ653" s="1035"/>
      <c r="JK653" s="1035"/>
      <c r="JL653" s="1035"/>
      <c r="JM653" s="1035"/>
      <c r="JN653" s="1035"/>
      <c r="JO653" s="1035"/>
      <c r="JP653" s="1035"/>
      <c r="JQ653" s="1035"/>
      <c r="JR653" s="1035"/>
      <c r="JS653" s="1035"/>
      <c r="JT653" s="1035"/>
      <c r="JU653" s="1035"/>
      <c r="JV653" s="1035"/>
      <c r="JW653" s="1035"/>
      <c r="JX653" s="1035"/>
      <c r="JY653" s="1035"/>
    </row>
    <row r="654" spans="1:285">
      <c r="A654" s="1191" t="s">
        <v>146</v>
      </c>
      <c r="B654" s="1499"/>
      <c r="C654" s="1499"/>
      <c r="D654" s="1499"/>
      <c r="E654" s="1499"/>
      <c r="F654" s="1499"/>
      <c r="G654" s="1499"/>
      <c r="H654" s="1499"/>
      <c r="I654" s="1499"/>
      <c r="J654" s="1499"/>
      <c r="K654" s="1499"/>
      <c r="L654" s="1499"/>
      <c r="M654" s="1499"/>
      <c r="N654" s="1499"/>
      <c r="O654" s="1499"/>
      <c r="P654" s="1499"/>
      <c r="Q654" s="1499"/>
      <c r="R654" s="1499"/>
      <c r="S654" s="1499"/>
      <c r="T654" s="1499"/>
      <c r="U654" s="1499"/>
      <c r="V654" s="1499"/>
      <c r="W654" s="1499"/>
      <c r="X654" s="1499"/>
      <c r="Y654" s="1499"/>
      <c r="Z654" s="1499"/>
      <c r="AA654" s="1499"/>
      <c r="AB654" s="1499"/>
      <c r="AC654" s="1499"/>
      <c r="AD654" s="1499"/>
      <c r="AE654" s="1499"/>
      <c r="AF654" s="1499"/>
      <c r="AG654" s="1499"/>
      <c r="AH654" s="1499"/>
      <c r="AI654" s="1499"/>
      <c r="AJ654" s="1499"/>
      <c r="AK654" s="1499"/>
      <c r="AL654" s="1499"/>
      <c r="AM654" s="1499"/>
      <c r="AN654" s="1499"/>
      <c r="AO654" s="1499"/>
      <c r="AP654" s="1499"/>
      <c r="AQ654" s="1499"/>
      <c r="AR654" s="1499"/>
      <c r="AS654" s="1499"/>
      <c r="AT654" s="1499"/>
      <c r="AU654" s="1499"/>
      <c r="AV654" s="1499"/>
      <c r="AW654" s="1499"/>
      <c r="AX654" s="1500"/>
      <c r="AY654" s="1499"/>
      <c r="AZ654" s="1499"/>
      <c r="BA654" s="1499"/>
      <c r="BB654" s="1499"/>
      <c r="BC654" s="1499"/>
      <c r="BD654" s="1499"/>
      <c r="BE654" s="1501"/>
      <c r="BF654" s="1499"/>
      <c r="BG654" s="1499"/>
      <c r="BH654" s="1499"/>
      <c r="BI654" s="1499"/>
      <c r="BJ654" s="1499"/>
      <c r="BK654" s="1499"/>
      <c r="BL654" s="1499"/>
      <c r="BM654" s="1499"/>
      <c r="BN654" s="1500"/>
      <c r="BO654" s="1499"/>
      <c r="BP654" s="1499"/>
      <c r="BQ654" s="1499"/>
      <c r="BR654" s="1499"/>
      <c r="BS654" s="1499"/>
      <c r="BT654" s="1499"/>
      <c r="BU654" s="1501"/>
      <c r="BV654" s="1500">
        <f>BV656*BV650</f>
        <v>607.698</v>
      </c>
      <c r="BW654" s="1499">
        <f>BX654-BV654</f>
        <v>517.086</v>
      </c>
      <c r="BX654" s="1499">
        <f>BX656*BX650</f>
        <v>1124.784</v>
      </c>
      <c r="BY654" s="1499">
        <f>BZ654-BX654</f>
        <v>724.191</v>
      </c>
      <c r="BZ654" s="1499">
        <f>BZ656*BZ650</f>
        <v>1848.975</v>
      </c>
      <c r="CA654" s="1499">
        <f>CC654-BZ654</f>
        <v>435.025</v>
      </c>
      <c r="CB654" s="1499">
        <f>CC654-BX654</f>
        <v>1159.216</v>
      </c>
      <c r="CC654" s="1501">
        <v>2284</v>
      </c>
      <c r="CD654" s="1500">
        <f>CD656*CD650</f>
        <v>712.152</v>
      </c>
      <c r="CE654" s="1499">
        <f>CF654-CD654</f>
        <v>571.488</v>
      </c>
      <c r="CF654" s="1499">
        <f>CF656*CF650</f>
        <v>1283.64</v>
      </c>
      <c r="CG654" s="1499">
        <f>CH654-CF654</f>
        <v>801.176</v>
      </c>
      <c r="CH654" s="1499">
        <f>CH656*CH650</f>
        <v>2084.816</v>
      </c>
      <c r="CI654" s="1499">
        <f>CK654-CH654</f>
        <v>569.184</v>
      </c>
      <c r="CJ654" s="1499">
        <f>CK654-CF654</f>
        <v>1370.36</v>
      </c>
      <c r="CK654" s="1501">
        <v>2654</v>
      </c>
      <c r="CL654" s="1500">
        <v>828</v>
      </c>
      <c r="CM654" s="1499">
        <f>CN654-CL654</f>
        <v>709</v>
      </c>
      <c r="CN654" s="1499">
        <v>1537</v>
      </c>
      <c r="CO654" s="1499">
        <v>925</v>
      </c>
      <c r="CP654" s="1499">
        <v>2462</v>
      </c>
      <c r="CQ654" s="1499">
        <f>CS654-CP654</f>
        <v>597</v>
      </c>
      <c r="CR654" s="1499">
        <f>CS654-CQ654-CO654</f>
        <v>1537</v>
      </c>
      <c r="CS654" s="1501">
        <v>3059</v>
      </c>
      <c r="CT654" s="1500">
        <v>859</v>
      </c>
      <c r="CU654" s="1499">
        <f>+CV654-CT654</f>
        <v>754</v>
      </c>
      <c r="CV654" s="1499">
        <v>1613</v>
      </c>
      <c r="CW654" s="1499">
        <f>CX654-CV654</f>
        <v>992</v>
      </c>
      <c r="CX654" s="1499">
        <f>+CX576</f>
        <v>2605</v>
      </c>
      <c r="CY654" s="1499">
        <f>+CY576</f>
        <v>765</v>
      </c>
      <c r="CZ654" s="1499">
        <f>+CZ576</f>
        <v>1757</v>
      </c>
      <c r="DA654" s="1501">
        <f>+DA576</f>
        <v>3370</v>
      </c>
      <c r="DB654" s="1502">
        <f>+DB576</f>
        <v>964</v>
      </c>
      <c r="DC654" s="1372">
        <f>DD654-DB654</f>
        <v>879</v>
      </c>
      <c r="DD654" s="1372">
        <v>1843</v>
      </c>
      <c r="DE654" s="1372">
        <f>DF654-DD654</f>
        <v>1104</v>
      </c>
      <c r="DF654" s="1372">
        <v>2947</v>
      </c>
      <c r="DG654" s="1372">
        <f>DH654-DE654</f>
        <v>855</v>
      </c>
      <c r="DH654" s="1372">
        <f>DI654-DD654</f>
        <v>1959</v>
      </c>
      <c r="DI654" s="1503">
        <v>3802</v>
      </c>
      <c r="DJ654" s="1372">
        <f t="shared" ref="DJ654:DQ654" si="4419">DJ576</f>
        <v>901.000000000001</v>
      </c>
      <c r="DK654" s="1372">
        <f t="shared" si="4419"/>
        <v>812</v>
      </c>
      <c r="DL654" s="1372">
        <f t="shared" si="4419"/>
        <v>1713</v>
      </c>
      <c r="DM654" s="1372">
        <f t="shared" si="4419"/>
        <v>995</v>
      </c>
      <c r="DN654" s="1372">
        <f t="shared" si="4419"/>
        <v>2708</v>
      </c>
      <c r="DO654" s="1372" t="e">
        <f t="shared" si="4419"/>
        <v>#REF!</v>
      </c>
      <c r="DP654" s="1372" t="e">
        <f t="shared" si="4419"/>
        <v>#REF!</v>
      </c>
      <c r="DQ654" s="1503" t="e">
        <f t="shared" si="4419"/>
        <v>#REF!</v>
      </c>
      <c r="DR654" s="1372"/>
      <c r="DS654" s="1372"/>
      <c r="DT654" s="1372"/>
      <c r="DU654" s="1372"/>
      <c r="DV654" s="1372"/>
      <c r="DW654" s="1372"/>
      <c r="DX654" s="1372"/>
      <c r="DY654" s="1503"/>
      <c r="DZ654" s="1372"/>
      <c r="EA654" s="1372"/>
      <c r="EB654" s="1372"/>
      <c r="EC654" s="1372"/>
      <c r="ED654" s="1372"/>
      <c r="EE654" s="1372"/>
      <c r="EF654" s="1372"/>
      <c r="EG654" s="1503"/>
      <c r="EH654" s="1372"/>
      <c r="EI654" s="1372"/>
      <c r="EJ654" s="1372"/>
      <c r="EK654" s="1372"/>
      <c r="EL654" s="1372"/>
      <c r="EM654" s="1372"/>
      <c r="EN654" s="1372"/>
      <c r="EO654" s="1503"/>
      <c r="EP654" s="1372"/>
      <c r="EQ654" s="1372"/>
      <c r="ER654" s="1372"/>
      <c r="ES654" s="1372"/>
      <c r="ET654" s="1372"/>
      <c r="EU654" s="1372"/>
      <c r="EV654" s="1372"/>
      <c r="IX654" s="1049"/>
      <c r="IY654" s="1049"/>
      <c r="IZ654" s="1049"/>
      <c r="JA654" s="1049"/>
      <c r="JB654" s="1049"/>
      <c r="JC654" s="1049"/>
      <c r="JD654" s="1469"/>
      <c r="JE654" s="1037"/>
      <c r="JF654" s="1037"/>
      <c r="JG654" s="1037"/>
      <c r="JH654" s="1037"/>
      <c r="JI654" s="1035"/>
      <c r="JJ654" s="1035"/>
      <c r="JK654" s="1035"/>
      <c r="JL654" s="1035"/>
      <c r="JM654" s="1035"/>
      <c r="JN654" s="1035"/>
      <c r="JO654" s="1035"/>
      <c r="JP654" s="1035"/>
      <c r="JQ654" s="1035"/>
      <c r="JR654" s="1035"/>
      <c r="JS654" s="1035"/>
      <c r="JT654" s="1035"/>
      <c r="JU654" s="1035"/>
      <c r="JV654" s="1035"/>
      <c r="JW654" s="1035"/>
      <c r="JX654" s="1035"/>
      <c r="JY654" s="1035"/>
    </row>
    <row r="655" s="883" customFormat="1" spans="1:285">
      <c r="A655" s="883" t="s">
        <v>142</v>
      </c>
      <c r="B655" s="1302"/>
      <c r="C655" s="1302"/>
      <c r="D655" s="1302"/>
      <c r="E655" s="1302"/>
      <c r="F655" s="1302"/>
      <c r="G655" s="1302"/>
      <c r="H655" s="1302"/>
      <c r="I655" s="1302"/>
      <c r="J655" s="1302"/>
      <c r="K655" s="1302"/>
      <c r="L655" s="1302"/>
      <c r="M655" s="1302"/>
      <c r="N655" s="1302"/>
      <c r="O655" s="1302"/>
      <c r="P655" s="1302"/>
      <c r="Q655" s="1302"/>
      <c r="R655" s="1302"/>
      <c r="S655" s="1302"/>
      <c r="T655" s="1302"/>
      <c r="U655" s="1302"/>
      <c r="V655" s="1302"/>
      <c r="W655" s="1302"/>
      <c r="X655" s="1302"/>
      <c r="Y655" s="1302"/>
      <c r="Z655" s="1302"/>
      <c r="AA655" s="1302"/>
      <c r="AB655" s="1302"/>
      <c r="AC655" s="1302"/>
      <c r="AD655" s="1302"/>
      <c r="AE655" s="1302"/>
      <c r="AF655" s="1302"/>
      <c r="AG655" s="1302"/>
      <c r="AH655" s="1302"/>
      <c r="AI655" s="1302"/>
      <c r="AJ655" s="1302"/>
      <c r="AK655" s="1302"/>
      <c r="AL655" s="1302"/>
      <c r="AM655" s="1302"/>
      <c r="AN655" s="1302"/>
      <c r="AO655" s="1302"/>
      <c r="AP655" s="1302"/>
      <c r="AQ655" s="1302"/>
      <c r="AR655" s="1302"/>
      <c r="AS655" s="1302"/>
      <c r="AT655" s="1302"/>
      <c r="AU655" s="1302"/>
      <c r="AV655" s="1302"/>
      <c r="AW655" s="1302"/>
      <c r="AX655" s="1303"/>
      <c r="AY655" s="1302"/>
      <c r="AZ655" s="1302"/>
      <c r="BA655" s="1302"/>
      <c r="BB655" s="1302"/>
      <c r="BC655" s="1302"/>
      <c r="BD655" s="1302"/>
      <c r="BE655" s="1304"/>
      <c r="BF655" s="1302"/>
      <c r="BG655" s="1302"/>
      <c r="BH655" s="1302"/>
      <c r="BI655" s="1302"/>
      <c r="BJ655" s="1302"/>
      <c r="BK655" s="1302"/>
      <c r="BL655" s="1302"/>
      <c r="BM655" s="1302"/>
      <c r="BN655" s="1303"/>
      <c r="BO655" s="1302"/>
      <c r="BP655" s="1302"/>
      <c r="BQ655" s="1302"/>
      <c r="BR655" s="1302"/>
      <c r="BS655" s="1302"/>
      <c r="BT655" s="1302"/>
      <c r="BU655" s="1304"/>
      <c r="BV655" s="1526" t="s">
        <v>173</v>
      </c>
      <c r="BW655" s="1061" t="s">
        <v>173</v>
      </c>
      <c r="BX655" s="1061" t="s">
        <v>173</v>
      </c>
      <c r="BY655" s="1061" t="s">
        <v>173</v>
      </c>
      <c r="BZ655" s="1061" t="s">
        <v>173</v>
      </c>
      <c r="CA655" s="1061" t="s">
        <v>173</v>
      </c>
      <c r="CB655" s="1061" t="s">
        <v>173</v>
      </c>
      <c r="CC655" s="1527" t="s">
        <v>173</v>
      </c>
      <c r="CD655" s="1303">
        <f t="shared" ref="CD655:CQ655" si="4420">CD654/BV654-1</f>
        <v>0.17188471905453</v>
      </c>
      <c r="CE655" s="1302">
        <f t="shared" si="4420"/>
        <v>0.105208804724939</v>
      </c>
      <c r="CF655" s="1302">
        <f t="shared" si="4420"/>
        <v>0.141232449963726</v>
      </c>
      <c r="CG655" s="1302">
        <f t="shared" si="4420"/>
        <v>0.106304828422336</v>
      </c>
      <c r="CH655" s="1302">
        <f t="shared" si="4420"/>
        <v>0.127552292486378</v>
      </c>
      <c r="CI655" s="1302">
        <f t="shared" si="4420"/>
        <v>0.308393770472961</v>
      </c>
      <c r="CJ655" s="1302">
        <f t="shared" si="4420"/>
        <v>0.182143793736456</v>
      </c>
      <c r="CK655" s="1304">
        <f t="shared" si="4420"/>
        <v>0.16199649737303</v>
      </c>
      <c r="CL655" s="1303">
        <f t="shared" si="4420"/>
        <v>0.16267313719543</v>
      </c>
      <c r="CM655" s="1302">
        <f t="shared" si="4420"/>
        <v>0.240620975418556</v>
      </c>
      <c r="CN655" s="1302">
        <f t="shared" si="4420"/>
        <v>0.197376211398834</v>
      </c>
      <c r="CO655" s="1302">
        <f t="shared" si="4420"/>
        <v>0.154552807373161</v>
      </c>
      <c r="CP655" s="1302">
        <f t="shared" si="4420"/>
        <v>0.180919563165286</v>
      </c>
      <c r="CQ655" s="1302">
        <f t="shared" si="4420"/>
        <v>0.048869961207624</v>
      </c>
      <c r="CR655" s="1302">
        <f>CR654/CG654-1</f>
        <v>0.918429908035188</v>
      </c>
      <c r="CS655" s="1304">
        <f t="shared" ref="CS655:CX655" si="4421">CS654/CK654-1</f>
        <v>0.152599849284099</v>
      </c>
      <c r="CT655" s="1303">
        <f t="shared" si="4421"/>
        <v>0.03743961352657</v>
      </c>
      <c r="CU655" s="1302">
        <f t="shared" si="4421"/>
        <v>0.0634696755994357</v>
      </c>
      <c r="CV655" s="1302">
        <f t="shared" si="4421"/>
        <v>0.0494469746258945</v>
      </c>
      <c r="CW655" s="1302">
        <f t="shared" si="4421"/>
        <v>0.0724324324324324</v>
      </c>
      <c r="CX655" s="1302">
        <f t="shared" si="4421"/>
        <v>0.0580828594638505</v>
      </c>
      <c r="CY655" s="1302">
        <f t="shared" ref="CY655:DD655" si="4422">CY654/CQ654-1</f>
        <v>0.28140703517588</v>
      </c>
      <c r="CZ655" s="1302">
        <f t="shared" si="4422"/>
        <v>0.143135979180221</v>
      </c>
      <c r="DA655" s="1304">
        <f t="shared" si="4422"/>
        <v>0.101667211507029</v>
      </c>
      <c r="DB655" s="1109">
        <f t="shared" si="4422"/>
        <v>0.122235157159488</v>
      </c>
      <c r="DC655" s="1082">
        <f t="shared" si="4422"/>
        <v>0.1657824933687</v>
      </c>
      <c r="DD655" s="1082">
        <f t="shared" si="4422"/>
        <v>0.142591444513329</v>
      </c>
      <c r="DE655" s="1082">
        <f t="shared" ref="DE655:DQ655" si="4423">DE654/CW654-1</f>
        <v>0.112903225806452</v>
      </c>
      <c r="DF655" s="1082">
        <f t="shared" si="4423"/>
        <v>0.131285988483685</v>
      </c>
      <c r="DG655" s="1082">
        <f t="shared" si="4423"/>
        <v>0.117647058823529</v>
      </c>
      <c r="DH655" s="1082">
        <f t="shared" si="4423"/>
        <v>0.114968696642003</v>
      </c>
      <c r="DI655" s="1085">
        <f t="shared" si="4423"/>
        <v>0.128189910979228</v>
      </c>
      <c r="DJ655" s="1082">
        <f t="shared" si="4423"/>
        <v>-0.0653526970954351</v>
      </c>
      <c r="DK655" s="1082">
        <f t="shared" si="4423"/>
        <v>-0.0762229806598407</v>
      </c>
      <c r="DL655" s="1082">
        <f t="shared" si="4423"/>
        <v>-0.0705371676614214</v>
      </c>
      <c r="DM655" s="1082">
        <f t="shared" si="4423"/>
        <v>-0.0987318840579714</v>
      </c>
      <c r="DN655" s="1082">
        <f t="shared" si="4423"/>
        <v>-0.0810994231421784</v>
      </c>
      <c r="DO655" s="1082" t="e">
        <f t="shared" si="4423"/>
        <v>#REF!</v>
      </c>
      <c r="DP655" s="1082" t="e">
        <f t="shared" si="4423"/>
        <v>#REF!</v>
      </c>
      <c r="DQ655" s="1085" t="e">
        <f t="shared" si="4423"/>
        <v>#REF!</v>
      </c>
      <c r="DR655" s="1082"/>
      <c r="DS655" s="1082"/>
      <c r="DT655" s="1082"/>
      <c r="DU655" s="1082"/>
      <c r="DV655" s="1082"/>
      <c r="DW655" s="1082"/>
      <c r="DX655" s="1082"/>
      <c r="DY655" s="1085"/>
      <c r="DZ655" s="1082"/>
      <c r="EA655" s="1082"/>
      <c r="EB655" s="1082"/>
      <c r="EC655" s="1082"/>
      <c r="ED655" s="1082"/>
      <c r="EE655" s="1082"/>
      <c r="EF655" s="1082"/>
      <c r="EG655" s="1085"/>
      <c r="EH655" s="1082"/>
      <c r="EI655" s="1082"/>
      <c r="EJ655" s="1082"/>
      <c r="EK655" s="1082"/>
      <c r="EL655" s="1082"/>
      <c r="EM655" s="1082"/>
      <c r="EN655" s="1082"/>
      <c r="EO655" s="1085"/>
      <c r="EP655" s="1082"/>
      <c r="EQ655" s="1082"/>
      <c r="ER655" s="1082"/>
      <c r="ES655" s="1082"/>
      <c r="ET655" s="1082"/>
      <c r="EU655" s="1082"/>
      <c r="EV655" s="1082"/>
      <c r="EW655" s="1039"/>
      <c r="EX655" s="891"/>
      <c r="EY655" s="891"/>
      <c r="EZ655" s="891"/>
      <c r="FA655" s="891"/>
      <c r="FB655" s="891"/>
      <c r="FC655" s="891"/>
      <c r="FD655" s="891"/>
      <c r="FE655" s="1039"/>
      <c r="FF655" s="891"/>
      <c r="FG655" s="891"/>
      <c r="FH655" s="891"/>
      <c r="FI655" s="891"/>
      <c r="FJ655" s="891"/>
      <c r="FK655" s="891"/>
      <c r="FL655" s="891"/>
      <c r="FM655" s="1039"/>
      <c r="FN655" s="891"/>
      <c r="FO655" s="891"/>
      <c r="FP655" s="891"/>
      <c r="FQ655" s="891"/>
      <c r="FR655" s="891"/>
      <c r="FS655" s="891"/>
      <c r="FT655" s="891"/>
      <c r="FU655" s="891"/>
      <c r="FV655" s="1040"/>
      <c r="FW655" s="891"/>
      <c r="FX655" s="891"/>
      <c r="FY655" s="891"/>
      <c r="FZ655" s="891"/>
      <c r="GA655" s="891"/>
      <c r="GB655" s="891"/>
      <c r="GC655" s="1039"/>
      <c r="GD655" s="891"/>
      <c r="GE655" s="891"/>
      <c r="GF655" s="891"/>
      <c r="GG655" s="891"/>
      <c r="GH655" s="891"/>
      <c r="GI655" s="891"/>
      <c r="GJ655" s="891"/>
      <c r="GK655" s="1039"/>
      <c r="GL655" s="891"/>
      <c r="GM655" s="891"/>
      <c r="GN655" s="891"/>
      <c r="GO655" s="891"/>
      <c r="GP655" s="891"/>
      <c r="GQ655" s="891"/>
      <c r="GR655" s="891"/>
      <c r="GS655" s="1039"/>
      <c r="GT655" s="891"/>
      <c r="GU655" s="891"/>
      <c r="GV655" s="891"/>
      <c r="GW655" s="891"/>
      <c r="GX655" s="891"/>
      <c r="GY655" s="891"/>
      <c r="GZ655" s="891"/>
      <c r="HA655" s="1039"/>
      <c r="HB655" s="891"/>
      <c r="HC655" s="891"/>
      <c r="HD655" s="891"/>
      <c r="HE655" s="891"/>
      <c r="HF655" s="891"/>
      <c r="HG655" s="891"/>
      <c r="HH655" s="891"/>
      <c r="HI655" s="1039"/>
      <c r="HJ655" s="891"/>
      <c r="HK655" s="891"/>
      <c r="HL655" s="891"/>
      <c r="HM655" s="891"/>
      <c r="HN655" s="891"/>
      <c r="HO655" s="891"/>
      <c r="HP655" s="891"/>
      <c r="HQ655" s="1039"/>
      <c r="HR655" s="891"/>
      <c r="HS655" s="891"/>
      <c r="HT655" s="891"/>
      <c r="HU655" s="891"/>
      <c r="HV655" s="891"/>
      <c r="HW655" s="891"/>
      <c r="HX655" s="891"/>
      <c r="HY655" s="891"/>
      <c r="HZ655" s="891"/>
      <c r="IA655" s="891"/>
      <c r="IB655" s="891"/>
      <c r="IC655" s="891"/>
      <c r="ID655" s="891"/>
      <c r="IE655" s="891"/>
      <c r="IF655" s="891"/>
      <c r="IG655" s="1039"/>
      <c r="IH655" s="891"/>
      <c r="II655" s="891"/>
      <c r="IJ655" s="891"/>
      <c r="IK655" s="891"/>
      <c r="IL655" s="891"/>
      <c r="IM655" s="891"/>
      <c r="IN655" s="891"/>
      <c r="IO655" s="1039"/>
      <c r="IP655" s="891"/>
      <c r="IQ655" s="891"/>
      <c r="IR655" s="891"/>
      <c r="IS655" s="891"/>
      <c r="IT655" s="891"/>
      <c r="IU655" s="891"/>
      <c r="IV655" s="891"/>
      <c r="IW655" s="891"/>
      <c r="IX655" s="1049"/>
      <c r="IY655" s="1049"/>
      <c r="IZ655" s="1049"/>
      <c r="JA655" s="1049"/>
      <c r="JB655" s="1049"/>
      <c r="JC655" s="1049"/>
      <c r="JD655" s="1112"/>
      <c r="JE655" s="1082"/>
      <c r="JF655" s="1082"/>
      <c r="JG655" s="1082"/>
      <c r="JH655" s="1082"/>
    </row>
    <row r="656" s="883" customFormat="1" spans="1:285">
      <c r="A656" s="883" t="s">
        <v>631</v>
      </c>
      <c r="B656" s="1302"/>
      <c r="C656" s="1302"/>
      <c r="D656" s="1302"/>
      <c r="E656" s="1302"/>
      <c r="F656" s="1302"/>
      <c r="G656" s="1302"/>
      <c r="H656" s="1302"/>
      <c r="I656" s="1302"/>
      <c r="J656" s="1302"/>
      <c r="K656" s="1302"/>
      <c r="L656" s="1302"/>
      <c r="M656" s="1302"/>
      <c r="N656" s="1302"/>
      <c r="O656" s="1302"/>
      <c r="P656" s="1302"/>
      <c r="Q656" s="1302"/>
      <c r="R656" s="1302"/>
      <c r="S656" s="1302"/>
      <c r="T656" s="1302"/>
      <c r="U656" s="1302"/>
      <c r="V656" s="1302"/>
      <c r="W656" s="1302"/>
      <c r="X656" s="1302"/>
      <c r="Y656" s="1302"/>
      <c r="Z656" s="1302"/>
      <c r="AA656" s="1302"/>
      <c r="AB656" s="1302"/>
      <c r="AC656" s="1302"/>
      <c r="AD656" s="1302"/>
      <c r="AE656" s="1302"/>
      <c r="AF656" s="1302"/>
      <c r="AG656" s="1302"/>
      <c r="AH656" s="1302"/>
      <c r="AI656" s="1302"/>
      <c r="AJ656" s="1302"/>
      <c r="AK656" s="1302"/>
      <c r="AL656" s="1302"/>
      <c r="AM656" s="1302"/>
      <c r="AN656" s="1302"/>
      <c r="AO656" s="1302"/>
      <c r="AP656" s="1302"/>
      <c r="AQ656" s="1302"/>
      <c r="AR656" s="1302"/>
      <c r="AS656" s="1302"/>
      <c r="AT656" s="1302"/>
      <c r="AU656" s="1302"/>
      <c r="AV656" s="1302"/>
      <c r="AW656" s="1302"/>
      <c r="AX656" s="1303"/>
      <c r="AY656" s="1302"/>
      <c r="AZ656" s="1302"/>
      <c r="BA656" s="1302"/>
      <c r="BB656" s="1302"/>
      <c r="BC656" s="1302"/>
      <c r="BD656" s="1302"/>
      <c r="BE656" s="1304"/>
      <c r="BF656" s="1302"/>
      <c r="BG656" s="1302"/>
      <c r="BH656" s="1302"/>
      <c r="BI656" s="1302"/>
      <c r="BJ656" s="1302"/>
      <c r="BK656" s="1302"/>
      <c r="BL656" s="1302"/>
      <c r="BM656" s="1302"/>
      <c r="BN656" s="1303"/>
      <c r="BO656" s="1302"/>
      <c r="BP656" s="1302"/>
      <c r="BQ656" s="1302"/>
      <c r="BR656" s="1302"/>
      <c r="BS656" s="1302"/>
      <c r="BT656" s="1302"/>
      <c r="BU656" s="1304"/>
      <c r="BV656" s="1303">
        <v>0.441</v>
      </c>
      <c r="BW656" s="1302">
        <f>BW654/BW633</f>
        <v>0.428405965202983</v>
      </c>
      <c r="BX656" s="1302">
        <v>0.438</v>
      </c>
      <c r="BY656" s="1302">
        <f>BY654/BY633</f>
        <v>0.461268152866242</v>
      </c>
      <c r="BZ656" s="1302">
        <v>0.445</v>
      </c>
      <c r="CA656" s="1302">
        <f>CA654/CA633</f>
        <v>0.426495098039216</v>
      </c>
      <c r="CB656" s="1302">
        <f>CB654/CB633</f>
        <v>0.447573745173745</v>
      </c>
      <c r="CC656" s="1304">
        <f>CC654/CC633</f>
        <v>0.441352657004831</v>
      </c>
      <c r="CD656" s="1303">
        <v>0.471</v>
      </c>
      <c r="CE656" s="1302">
        <f>CE654/CE650</f>
        <v>0.438257668711657</v>
      </c>
      <c r="CF656" s="1302">
        <v>0.456</v>
      </c>
      <c r="CG656" s="1302">
        <f>CG654/CG650</f>
        <v>0.463375361480625</v>
      </c>
      <c r="CH656" s="1302">
        <v>0.458</v>
      </c>
      <c r="CI656" s="1302">
        <f t="shared" ref="CI656:CS656" si="4424">CI654/CI633</f>
        <v>0.432510638297872</v>
      </c>
      <c r="CJ656" s="1302">
        <f t="shared" si="4424"/>
        <v>0.450036124794745</v>
      </c>
      <c r="CK656" s="1304">
        <f t="shared" si="4424"/>
        <v>0.452823750213274</v>
      </c>
      <c r="CL656" s="1303">
        <f t="shared" si="4424"/>
        <v>0.466216216216216</v>
      </c>
      <c r="CM656" s="1302">
        <f t="shared" si="4424"/>
        <v>0.462793733681462</v>
      </c>
      <c r="CN656" s="1302">
        <f t="shared" si="4424"/>
        <v>0.464631197097944</v>
      </c>
      <c r="CO656" s="1302">
        <f t="shared" si="4424"/>
        <v>0.47680412371134</v>
      </c>
      <c r="CP656" s="1302">
        <f t="shared" si="4424"/>
        <v>0.469131097560976</v>
      </c>
      <c r="CQ656" s="1302">
        <f t="shared" si="4424"/>
        <v>0.433236574746009</v>
      </c>
      <c r="CR656" s="1302">
        <f t="shared" si="4424"/>
        <v>0.464631197097944</v>
      </c>
      <c r="CS656" s="1304">
        <f t="shared" si="4424"/>
        <v>0.461666163597947</v>
      </c>
      <c r="CT656" s="1303">
        <f>CT654/CT650</f>
        <v>0.472237493128092</v>
      </c>
      <c r="CU656" s="1302">
        <f t="shared" ref="CU656:DB656" si="4425">CU654/CU633</f>
        <v>0.461162079510703</v>
      </c>
      <c r="CV656" s="1302">
        <f t="shared" si="4425"/>
        <v>0.46699478865084</v>
      </c>
      <c r="CW656" s="1302">
        <f t="shared" si="4425"/>
        <v>0.493286921929388</v>
      </c>
      <c r="CX656" s="1302">
        <f t="shared" si="4425"/>
        <v>0.476669716376944</v>
      </c>
      <c r="CY656" s="1302">
        <f t="shared" si="4425"/>
        <v>0.464199029126214</v>
      </c>
      <c r="CZ656" s="1302">
        <f t="shared" si="4425"/>
        <v>0.480185843126537</v>
      </c>
      <c r="DA656" s="1304">
        <f t="shared" si="4425"/>
        <v>0.473780402080697</v>
      </c>
      <c r="DB656" s="1109">
        <f t="shared" si="4425"/>
        <v>0.489837398373984</v>
      </c>
      <c r="DC656" s="1082">
        <f t="shared" ref="DC656:DJ656" si="4426">DC654/DC633</f>
        <v>0.48323254535459</v>
      </c>
      <c r="DD656" s="1082">
        <f t="shared" si="4426"/>
        <v>0.486664906258252</v>
      </c>
      <c r="DE656" s="1082">
        <f t="shared" si="4426"/>
        <v>0.497970230040595</v>
      </c>
      <c r="DF656" s="1082">
        <f t="shared" si="4426"/>
        <v>0.490839440373085</v>
      </c>
      <c r="DG656" s="1082">
        <f t="shared" si="4426"/>
        <v>0.470555861309851</v>
      </c>
      <c r="DH656" s="1082">
        <f t="shared" si="4426"/>
        <v>0.48562221120476</v>
      </c>
      <c r="DI656" s="1085">
        <f t="shared" si="4426"/>
        <v>0.48612709372203</v>
      </c>
      <c r="DJ656" s="1082">
        <f t="shared" si="4426"/>
        <v>0.47000521648409</v>
      </c>
      <c r="DK656" s="1082">
        <f t="shared" ref="DK656:DQ656" si="4427">DK654/DK633</f>
        <v>0.464</v>
      </c>
      <c r="DL656" s="1082">
        <f t="shared" si="4427"/>
        <v>0.467139350968094</v>
      </c>
      <c r="DM656" s="1082">
        <f t="shared" si="4427"/>
        <v>0.471340596873519</v>
      </c>
      <c r="DN656" s="1082">
        <f t="shared" si="4427"/>
        <v>0.468674281758394</v>
      </c>
      <c r="DO656" s="1082" t="e">
        <f t="shared" si="4427"/>
        <v>#REF!</v>
      </c>
      <c r="DP656" s="1082" t="e">
        <f t="shared" si="4427"/>
        <v>#REF!</v>
      </c>
      <c r="DQ656" s="1085" t="e">
        <f t="shared" si="4427"/>
        <v>#REF!</v>
      </c>
      <c r="DR656" s="1082"/>
      <c r="DS656" s="1082"/>
      <c r="DT656" s="1082"/>
      <c r="DU656" s="1082"/>
      <c r="DV656" s="1082"/>
      <c r="DW656" s="1082"/>
      <c r="DX656" s="1082"/>
      <c r="DY656" s="1085"/>
      <c r="DZ656" s="1082"/>
      <c r="EA656" s="1082"/>
      <c r="EB656" s="1082"/>
      <c r="EC656" s="1082"/>
      <c r="ED656" s="1082"/>
      <c r="EE656" s="1082"/>
      <c r="EF656" s="1082"/>
      <c r="EG656" s="1085"/>
      <c r="EH656" s="1082"/>
      <c r="EI656" s="1082"/>
      <c r="EJ656" s="1082"/>
      <c r="EK656" s="1082"/>
      <c r="EL656" s="1082"/>
      <c r="EM656" s="1082"/>
      <c r="EN656" s="1082"/>
      <c r="EO656" s="1085"/>
      <c r="EP656" s="1082"/>
      <c r="EQ656" s="1082"/>
      <c r="ER656" s="1082"/>
      <c r="ES656" s="1082"/>
      <c r="ET656" s="1082"/>
      <c r="EU656" s="1082"/>
      <c r="EV656" s="1082"/>
      <c r="EW656" s="1039"/>
      <c r="EX656" s="891"/>
      <c r="EY656" s="891"/>
      <c r="EZ656" s="891"/>
      <c r="FA656" s="891"/>
      <c r="FB656" s="891"/>
      <c r="FC656" s="891"/>
      <c r="FD656" s="891"/>
      <c r="FE656" s="1039"/>
      <c r="FF656" s="891"/>
      <c r="FG656" s="891"/>
      <c r="FH656" s="891"/>
      <c r="FI656" s="891"/>
      <c r="FJ656" s="891"/>
      <c r="FK656" s="891"/>
      <c r="FL656" s="891"/>
      <c r="FM656" s="1039"/>
      <c r="FN656" s="891"/>
      <c r="FO656" s="891"/>
      <c r="FP656" s="891"/>
      <c r="FQ656" s="891"/>
      <c r="FR656" s="891"/>
      <c r="FS656" s="891"/>
      <c r="FT656" s="891"/>
      <c r="FU656" s="891"/>
      <c r="FV656" s="1040"/>
      <c r="FW656" s="891"/>
      <c r="FX656" s="891"/>
      <c r="FY656" s="891"/>
      <c r="FZ656" s="891"/>
      <c r="GA656" s="891"/>
      <c r="GB656" s="891"/>
      <c r="GC656" s="1039"/>
      <c r="GD656" s="891"/>
      <c r="GE656" s="891"/>
      <c r="GF656" s="891"/>
      <c r="GG656" s="891"/>
      <c r="GH656" s="891"/>
      <c r="GI656" s="891"/>
      <c r="GJ656" s="891"/>
      <c r="GK656" s="1039"/>
      <c r="GL656" s="891"/>
      <c r="GM656" s="891"/>
      <c r="GN656" s="891"/>
      <c r="GO656" s="891"/>
      <c r="GP656" s="891"/>
      <c r="GQ656" s="891"/>
      <c r="GR656" s="891"/>
      <c r="GS656" s="1039"/>
      <c r="GT656" s="891"/>
      <c r="GU656" s="891"/>
      <c r="GV656" s="891"/>
      <c r="GW656" s="891"/>
      <c r="GX656" s="891"/>
      <c r="GY656" s="891"/>
      <c r="GZ656" s="891"/>
      <c r="HA656" s="1039"/>
      <c r="HB656" s="891"/>
      <c r="HC656" s="891"/>
      <c r="HD656" s="891"/>
      <c r="HE656" s="891"/>
      <c r="HF656" s="891"/>
      <c r="HG656" s="891"/>
      <c r="HH656" s="891"/>
      <c r="HI656" s="1039"/>
      <c r="HJ656" s="891"/>
      <c r="HK656" s="891"/>
      <c r="HL656" s="891"/>
      <c r="HM656" s="891"/>
      <c r="HN656" s="891"/>
      <c r="HO656" s="891"/>
      <c r="HP656" s="891"/>
      <c r="HQ656" s="1039"/>
      <c r="HR656" s="891"/>
      <c r="HS656" s="891"/>
      <c r="HT656" s="891"/>
      <c r="HU656" s="891"/>
      <c r="HV656" s="891"/>
      <c r="HW656" s="891"/>
      <c r="HX656" s="891"/>
      <c r="HY656" s="891"/>
      <c r="HZ656" s="891"/>
      <c r="IA656" s="891"/>
      <c r="IB656" s="891"/>
      <c r="IC656" s="891"/>
      <c r="ID656" s="891"/>
      <c r="IE656" s="891"/>
      <c r="IF656" s="891"/>
      <c r="IG656" s="1039"/>
      <c r="IH656" s="891"/>
      <c r="II656" s="891"/>
      <c r="IJ656" s="891"/>
      <c r="IK656" s="891"/>
      <c r="IL656" s="891"/>
      <c r="IM656" s="891"/>
      <c r="IN656" s="891"/>
      <c r="IO656" s="1039"/>
      <c r="IP656" s="891"/>
      <c r="IQ656" s="891"/>
      <c r="IR656" s="891"/>
      <c r="IS656" s="891"/>
      <c r="IT656" s="891"/>
      <c r="IU656" s="891"/>
      <c r="IV656" s="891"/>
      <c r="IW656" s="891"/>
      <c r="IX656" s="1049"/>
      <c r="IY656" s="1049"/>
      <c r="IZ656" s="1049"/>
      <c r="JA656" s="1049"/>
      <c r="JB656" s="1049"/>
      <c r="JC656" s="1049"/>
      <c r="JD656" s="1112"/>
      <c r="JE656" s="1082"/>
      <c r="JF656" s="1082"/>
      <c r="JG656" s="1082"/>
      <c r="JH656" s="1082"/>
    </row>
    <row r="657" spans="1:285">
      <c r="A657" s="1191" t="s">
        <v>651</v>
      </c>
      <c r="B657" s="1499"/>
      <c r="C657" s="1499"/>
      <c r="D657" s="1499"/>
      <c r="E657" s="1499"/>
      <c r="F657" s="1499"/>
      <c r="G657" s="1499"/>
      <c r="H657" s="1499"/>
      <c r="I657" s="1499"/>
      <c r="J657" s="1499"/>
      <c r="K657" s="1499"/>
      <c r="L657" s="1499"/>
      <c r="M657" s="1499"/>
      <c r="N657" s="1499"/>
      <c r="O657" s="1499"/>
      <c r="P657" s="1499"/>
      <c r="Q657" s="1499"/>
      <c r="R657" s="1499"/>
      <c r="S657" s="1499"/>
      <c r="T657" s="1499"/>
      <c r="U657" s="1499"/>
      <c r="V657" s="1499"/>
      <c r="W657" s="1499"/>
      <c r="X657" s="1499"/>
      <c r="Y657" s="1499"/>
      <c r="Z657" s="1499"/>
      <c r="AA657" s="1499"/>
      <c r="AB657" s="1499"/>
      <c r="AC657" s="1499"/>
      <c r="AD657" s="1499"/>
      <c r="AE657" s="1499"/>
      <c r="AF657" s="1499"/>
      <c r="AG657" s="1499"/>
      <c r="AH657" s="1499"/>
      <c r="AI657" s="1499"/>
      <c r="AJ657" s="1499"/>
      <c r="AK657" s="1499"/>
      <c r="AL657" s="1499"/>
      <c r="AM657" s="1499"/>
      <c r="AN657" s="1499"/>
      <c r="AO657" s="1499"/>
      <c r="AP657" s="1499"/>
      <c r="AQ657" s="1499"/>
      <c r="AR657" s="1499"/>
      <c r="AS657" s="1499"/>
      <c r="AT657" s="1499"/>
      <c r="AU657" s="1499"/>
      <c r="AV657" s="1499"/>
      <c r="AW657" s="1499"/>
      <c r="AX657" s="1500"/>
      <c r="AY657" s="1499"/>
      <c r="AZ657" s="1499"/>
      <c r="BA657" s="1499"/>
      <c r="BB657" s="1499"/>
      <c r="BC657" s="1499"/>
      <c r="BD657" s="1499"/>
      <c r="BE657" s="1501"/>
      <c r="BF657" s="1499"/>
      <c r="BG657" s="1499"/>
      <c r="BH657" s="1499"/>
      <c r="BI657" s="1499"/>
      <c r="BJ657" s="1499"/>
      <c r="BK657" s="1499"/>
      <c r="BL657" s="1499"/>
      <c r="BM657" s="1499"/>
      <c r="BN657" s="1500"/>
      <c r="BO657" s="1499"/>
      <c r="BP657" s="1499"/>
      <c r="BQ657" s="1499"/>
      <c r="BR657" s="1499"/>
      <c r="BS657" s="1499"/>
      <c r="BT657" s="1499"/>
      <c r="BU657" s="1501"/>
      <c r="BV657" s="1500">
        <v>192</v>
      </c>
      <c r="BW657" s="1499">
        <f>BX657-BV657</f>
        <v>93</v>
      </c>
      <c r="BX657" s="1499">
        <v>285</v>
      </c>
      <c r="BY657" s="1499">
        <f>BZ657-BX657</f>
        <v>269</v>
      </c>
      <c r="BZ657" s="1499">
        <v>554</v>
      </c>
      <c r="CA657" s="1499">
        <f>CC657-BZ657</f>
        <v>10</v>
      </c>
      <c r="CB657" s="1499">
        <f>CC657-BX657</f>
        <v>279</v>
      </c>
      <c r="CC657" s="1501">
        <v>564</v>
      </c>
      <c r="CD657" s="1500">
        <v>258</v>
      </c>
      <c r="CE657" s="1499">
        <f>CF657-CD657</f>
        <v>92</v>
      </c>
      <c r="CF657" s="1499">
        <v>350</v>
      </c>
      <c r="CG657" s="1499">
        <f>CH657-CF657</f>
        <v>324</v>
      </c>
      <c r="CH657" s="1499">
        <v>674</v>
      </c>
      <c r="CI657" s="1499">
        <f>CK657-CH657</f>
        <v>19</v>
      </c>
      <c r="CJ657" s="1499">
        <f>CK657-CF657</f>
        <v>343</v>
      </c>
      <c r="CK657" s="1501">
        <v>693</v>
      </c>
      <c r="CL657" s="1500">
        <v>279</v>
      </c>
      <c r="CM657" s="1499">
        <f>CN657-CL657</f>
        <v>135</v>
      </c>
      <c r="CN657" s="1499">
        <v>414</v>
      </c>
      <c r="CO657" s="1499">
        <v>365</v>
      </c>
      <c r="CP657" s="1499">
        <v>778</v>
      </c>
      <c r="CQ657" s="1499">
        <f>CS657-CP657</f>
        <v>10</v>
      </c>
      <c r="CR657" s="1499">
        <f>CS657-CQ657-CO657</f>
        <v>413</v>
      </c>
      <c r="CS657" s="1501">
        <v>788</v>
      </c>
      <c r="CT657" s="1500">
        <v>270</v>
      </c>
      <c r="CU657" s="1499">
        <f>+CV657-CT657</f>
        <v>191</v>
      </c>
      <c r="CV657" s="1499">
        <v>461</v>
      </c>
      <c r="CW657" s="1499">
        <f>CX657-CV657</f>
        <v>395</v>
      </c>
      <c r="CX657" s="1499">
        <f>+CX593</f>
        <v>856</v>
      </c>
      <c r="CY657" s="1499">
        <f>+CY593</f>
        <v>64</v>
      </c>
      <c r="CZ657" s="1499">
        <f>+CZ593</f>
        <v>459</v>
      </c>
      <c r="DA657" s="1501">
        <f>+DA593</f>
        <v>920</v>
      </c>
      <c r="DB657" s="1502">
        <f>+DB593</f>
        <v>336</v>
      </c>
      <c r="DC657" s="1372">
        <v>175</v>
      </c>
      <c r="DD657" s="1372">
        <v>512</v>
      </c>
      <c r="DE657" s="1372">
        <f>DF657-DD657</f>
        <v>439</v>
      </c>
      <c r="DF657" s="1372">
        <v>951</v>
      </c>
      <c r="DG657" s="1372">
        <f>DH657-DE657</f>
        <v>147</v>
      </c>
      <c r="DH657" s="1372">
        <f>DI657-DD657</f>
        <v>586</v>
      </c>
      <c r="DI657" s="1503">
        <v>1098</v>
      </c>
      <c r="DJ657" s="1372">
        <f>DJ593</f>
        <v>227.999999999999</v>
      </c>
      <c r="DK657" s="1372">
        <f t="shared" ref="DK657:DQ657" si="4428">DK605</f>
        <v>72</v>
      </c>
      <c r="DL657" s="1372">
        <f t="shared" si="4428"/>
        <v>130</v>
      </c>
      <c r="DM657" s="1372">
        <f t="shared" si="4428"/>
        <v>336</v>
      </c>
      <c r="DN657" s="1372">
        <f t="shared" si="4428"/>
        <v>466</v>
      </c>
      <c r="DO657" s="1372">
        <f t="shared" si="4428"/>
        <v>42</v>
      </c>
      <c r="DP657" s="1372">
        <f t="shared" si="4428"/>
        <v>326.43199998426</v>
      </c>
      <c r="DQ657" s="1503">
        <f t="shared" si="4428"/>
        <v>508</v>
      </c>
      <c r="DR657" s="1372"/>
      <c r="DS657" s="1372"/>
      <c r="DT657" s="1372"/>
      <c r="DU657" s="1372"/>
      <c r="DV657" s="1372"/>
      <c r="DW657" s="1372"/>
      <c r="DX657" s="1372"/>
      <c r="DY657" s="1503"/>
      <c r="DZ657" s="1372"/>
      <c r="EA657" s="1372"/>
      <c r="EB657" s="1372"/>
      <c r="EC657" s="1372"/>
      <c r="ED657" s="1372"/>
      <c r="EE657" s="1372"/>
      <c r="EF657" s="1372"/>
      <c r="EG657" s="1503"/>
      <c r="EH657" s="1372"/>
      <c r="EI657" s="1372"/>
      <c r="EJ657" s="1372"/>
      <c r="EK657" s="1372"/>
      <c r="EL657" s="1372"/>
      <c r="EM657" s="1372"/>
      <c r="EN657" s="1372"/>
      <c r="EO657" s="1503"/>
      <c r="EP657" s="1372"/>
      <c r="EQ657" s="1372"/>
      <c r="ER657" s="1372"/>
      <c r="ES657" s="1372"/>
      <c r="ET657" s="1372"/>
      <c r="EU657" s="1372"/>
      <c r="EV657" s="1372"/>
      <c r="IX657" s="1049"/>
      <c r="IY657" s="1049"/>
      <c r="IZ657" s="1049"/>
      <c r="JA657" s="1049"/>
      <c r="JB657" s="1049"/>
      <c r="JC657" s="1049"/>
      <c r="JD657" s="1469"/>
      <c r="JE657" s="1037"/>
      <c r="JF657" s="1037"/>
      <c r="JG657" s="1037"/>
      <c r="JH657" s="1037"/>
      <c r="JI657" s="1035"/>
      <c r="JJ657" s="1035"/>
      <c r="JK657" s="1035"/>
      <c r="JL657" s="1035"/>
      <c r="JM657" s="1035"/>
      <c r="JN657" s="1035"/>
      <c r="JO657" s="1035"/>
      <c r="JP657" s="1035"/>
      <c r="JQ657" s="1035"/>
      <c r="JR657" s="1035"/>
      <c r="JS657" s="1035"/>
      <c r="JT657" s="1035"/>
      <c r="JU657" s="1035"/>
      <c r="JV657" s="1035"/>
      <c r="JW657" s="1035"/>
      <c r="JX657" s="1035"/>
      <c r="JY657" s="1035"/>
    </row>
    <row r="658" s="883" customFormat="1" spans="1:285">
      <c r="A658" s="883" t="s">
        <v>142</v>
      </c>
      <c r="B658" s="1302"/>
      <c r="C658" s="1302"/>
      <c r="D658" s="1302"/>
      <c r="E658" s="1302"/>
      <c r="F658" s="1302"/>
      <c r="G658" s="1302"/>
      <c r="H658" s="1302"/>
      <c r="I658" s="1302"/>
      <c r="J658" s="1302"/>
      <c r="K658" s="1302"/>
      <c r="L658" s="1302"/>
      <c r="M658" s="1302"/>
      <c r="N658" s="1302"/>
      <c r="O658" s="1302"/>
      <c r="P658" s="1302"/>
      <c r="Q658" s="1302"/>
      <c r="R658" s="1302"/>
      <c r="S658" s="1302"/>
      <c r="T658" s="1302"/>
      <c r="U658" s="1302"/>
      <c r="V658" s="1302"/>
      <c r="W658" s="1302"/>
      <c r="X658" s="1302"/>
      <c r="Y658" s="1302"/>
      <c r="Z658" s="1302"/>
      <c r="AA658" s="1302"/>
      <c r="AB658" s="1302"/>
      <c r="AC658" s="1302"/>
      <c r="AD658" s="1302"/>
      <c r="AE658" s="1302"/>
      <c r="AF658" s="1302"/>
      <c r="AG658" s="1302"/>
      <c r="AH658" s="1302"/>
      <c r="AI658" s="1302"/>
      <c r="AJ658" s="1302"/>
      <c r="AK658" s="1302"/>
      <c r="AL658" s="1302"/>
      <c r="AM658" s="1302"/>
      <c r="AN658" s="1302"/>
      <c r="AO658" s="1302"/>
      <c r="AP658" s="1302"/>
      <c r="AQ658" s="1302"/>
      <c r="AR658" s="1302"/>
      <c r="AS658" s="1302"/>
      <c r="AT658" s="1302"/>
      <c r="AU658" s="1302"/>
      <c r="AV658" s="1302"/>
      <c r="AW658" s="1302"/>
      <c r="AX658" s="1303"/>
      <c r="AY658" s="1302"/>
      <c r="AZ658" s="1302"/>
      <c r="BA658" s="1302"/>
      <c r="BB658" s="1302"/>
      <c r="BC658" s="1302"/>
      <c r="BD658" s="1302"/>
      <c r="BE658" s="1304"/>
      <c r="BF658" s="1302"/>
      <c r="BG658" s="1302"/>
      <c r="BH658" s="1302"/>
      <c r="BI658" s="1302"/>
      <c r="BJ658" s="1302"/>
      <c r="BK658" s="1302"/>
      <c r="BL658" s="1302"/>
      <c r="BM658" s="1302"/>
      <c r="BN658" s="1303"/>
      <c r="BO658" s="1302"/>
      <c r="BP658" s="1302"/>
      <c r="BQ658" s="1302"/>
      <c r="BR658" s="1302"/>
      <c r="BS658" s="1302"/>
      <c r="BT658" s="1302"/>
      <c r="BU658" s="1304"/>
      <c r="BV658" s="1526" t="s">
        <v>173</v>
      </c>
      <c r="BW658" s="1061" t="s">
        <v>173</v>
      </c>
      <c r="BX658" s="1061" t="s">
        <v>173</v>
      </c>
      <c r="BY658" s="1061" t="s">
        <v>173</v>
      </c>
      <c r="BZ658" s="1061" t="s">
        <v>173</v>
      </c>
      <c r="CA658" s="1061" t="s">
        <v>173</v>
      </c>
      <c r="CB658" s="1061" t="s">
        <v>173</v>
      </c>
      <c r="CC658" s="1527" t="s">
        <v>173</v>
      </c>
      <c r="CD658" s="1303">
        <f t="shared" ref="CD658:CQ658" si="4429">CD657/BV657-1</f>
        <v>0.34375</v>
      </c>
      <c r="CE658" s="1302">
        <f t="shared" si="4429"/>
        <v>-0.010752688172043</v>
      </c>
      <c r="CF658" s="1302">
        <f t="shared" si="4429"/>
        <v>0.228070175438597</v>
      </c>
      <c r="CG658" s="1302">
        <f t="shared" si="4429"/>
        <v>0.204460966542751</v>
      </c>
      <c r="CH658" s="1302">
        <f t="shared" si="4429"/>
        <v>0.216606498194946</v>
      </c>
      <c r="CI658" s="1302">
        <f t="shared" si="4429"/>
        <v>0.9</v>
      </c>
      <c r="CJ658" s="1302">
        <f t="shared" si="4429"/>
        <v>0.229390681003584</v>
      </c>
      <c r="CK658" s="1304">
        <f t="shared" si="4429"/>
        <v>0.228723404255319</v>
      </c>
      <c r="CL658" s="1303">
        <f t="shared" si="4429"/>
        <v>0.0813953488372092</v>
      </c>
      <c r="CM658" s="1302">
        <f t="shared" si="4429"/>
        <v>0.467391304347826</v>
      </c>
      <c r="CN658" s="1302">
        <f t="shared" si="4429"/>
        <v>0.182857142857143</v>
      </c>
      <c r="CO658" s="1302">
        <f t="shared" si="4429"/>
        <v>0.126543209876543</v>
      </c>
      <c r="CP658" s="1302">
        <f t="shared" si="4429"/>
        <v>0.154302670623145</v>
      </c>
      <c r="CQ658" s="1302">
        <f t="shared" si="4429"/>
        <v>-0.473684210526316</v>
      </c>
      <c r="CR658" s="1302">
        <f>CR657/CG657-1</f>
        <v>0.274691358024691</v>
      </c>
      <c r="CS658" s="1304">
        <f t="shared" ref="CS658:CX658" si="4430">CS657/CK657-1</f>
        <v>0.137085137085137</v>
      </c>
      <c r="CT658" s="1303">
        <f t="shared" si="4430"/>
        <v>-0.032258064516129</v>
      </c>
      <c r="CU658" s="1302">
        <f t="shared" si="4430"/>
        <v>0.414814814814815</v>
      </c>
      <c r="CV658" s="1302">
        <f t="shared" si="4430"/>
        <v>0.113526570048309</v>
      </c>
      <c r="CW658" s="1302">
        <f t="shared" si="4430"/>
        <v>0.0821917808219179</v>
      </c>
      <c r="CX658" s="1302">
        <f t="shared" si="4430"/>
        <v>0.10025706940874</v>
      </c>
      <c r="CY658" s="1302">
        <f t="shared" ref="CY658:DD658" si="4431">CY657/CQ657-1</f>
        <v>5.4</v>
      </c>
      <c r="CZ658" s="1302">
        <f t="shared" si="4431"/>
        <v>0.11138014527845</v>
      </c>
      <c r="DA658" s="1304">
        <f t="shared" si="4431"/>
        <v>0.16751269035533</v>
      </c>
      <c r="DB658" s="1109">
        <f t="shared" si="4431"/>
        <v>0.244444444444444</v>
      </c>
      <c r="DC658" s="1082">
        <f t="shared" si="4431"/>
        <v>-0.0837696335078534</v>
      </c>
      <c r="DD658" s="1082">
        <f t="shared" si="4431"/>
        <v>0.110629067245119</v>
      </c>
      <c r="DE658" s="1082">
        <f t="shared" ref="DE658:DQ658" si="4432">DE657/CW657-1</f>
        <v>0.111392405063291</v>
      </c>
      <c r="DF658" s="1082">
        <f t="shared" si="4432"/>
        <v>0.110981308411215</v>
      </c>
      <c r="DG658" s="1082">
        <f t="shared" si="4432"/>
        <v>1.296875</v>
      </c>
      <c r="DH658" s="1082">
        <f t="shared" si="4432"/>
        <v>0.276688453159041</v>
      </c>
      <c r="DI658" s="1085">
        <f t="shared" si="4432"/>
        <v>0.193478260869565</v>
      </c>
      <c r="DJ658" s="1082">
        <f t="shared" si="4432"/>
        <v>-0.321428571428574</v>
      </c>
      <c r="DK658" s="1082">
        <f t="shared" si="4432"/>
        <v>-0.588571428571429</v>
      </c>
      <c r="DL658" s="1082">
        <f t="shared" si="4432"/>
        <v>-0.74609375</v>
      </c>
      <c r="DM658" s="1082">
        <f t="shared" si="4432"/>
        <v>-0.234624145785877</v>
      </c>
      <c r="DN658" s="1082">
        <f t="shared" si="4432"/>
        <v>-0.509989484752892</v>
      </c>
      <c r="DO658" s="1082">
        <f t="shared" si="4432"/>
        <v>-0.714285714285714</v>
      </c>
      <c r="DP658" s="1082">
        <f t="shared" si="4432"/>
        <v>-0.442948805487611</v>
      </c>
      <c r="DQ658" s="1085">
        <f t="shared" si="4432"/>
        <v>-0.537340619307833</v>
      </c>
      <c r="DR658" s="1082"/>
      <c r="DS658" s="1082"/>
      <c r="DT658" s="1082"/>
      <c r="DU658" s="1082"/>
      <c r="DV658" s="1082"/>
      <c r="DW658" s="1082"/>
      <c r="DX658" s="1082"/>
      <c r="DY658" s="1085"/>
      <c r="DZ658" s="1082"/>
      <c r="EA658" s="1082"/>
      <c r="EB658" s="1082"/>
      <c r="EC658" s="1082"/>
      <c r="ED658" s="1082"/>
      <c r="EE658" s="1082"/>
      <c r="EF658" s="1082"/>
      <c r="EG658" s="1085"/>
      <c r="EH658" s="1082"/>
      <c r="EI658" s="1082"/>
      <c r="EJ658" s="1082"/>
      <c r="EK658" s="1082"/>
      <c r="EL658" s="1082"/>
      <c r="EM658" s="1082"/>
      <c r="EN658" s="1082"/>
      <c r="EO658" s="1085"/>
      <c r="EP658" s="1082"/>
      <c r="EQ658" s="1082"/>
      <c r="ER658" s="1082"/>
      <c r="ES658" s="1082"/>
      <c r="ET658" s="1082"/>
      <c r="EU658" s="1082"/>
      <c r="EV658" s="1082"/>
      <c r="EW658" s="1039"/>
      <c r="EX658" s="891"/>
      <c r="EY658" s="891"/>
      <c r="EZ658" s="891"/>
      <c r="FA658" s="891"/>
      <c r="FB658" s="891"/>
      <c r="FC658" s="891"/>
      <c r="FD658" s="891"/>
      <c r="FE658" s="1039"/>
      <c r="FF658" s="891"/>
      <c r="FG658" s="891"/>
      <c r="FH658" s="891"/>
      <c r="FI658" s="891"/>
      <c r="FJ658" s="891"/>
      <c r="FK658" s="891"/>
      <c r="FL658" s="891"/>
      <c r="FM658" s="1039"/>
      <c r="FN658" s="891"/>
      <c r="FO658" s="891"/>
      <c r="FP658" s="891"/>
      <c r="FQ658" s="891"/>
      <c r="FR658" s="891"/>
      <c r="FS658" s="891"/>
      <c r="FT658" s="891"/>
      <c r="FU658" s="891"/>
      <c r="FV658" s="1040"/>
      <c r="FW658" s="891"/>
      <c r="FX658" s="891"/>
      <c r="FY658" s="891"/>
      <c r="FZ658" s="891"/>
      <c r="GA658" s="891"/>
      <c r="GB658" s="891"/>
      <c r="GC658" s="1039"/>
      <c r="GD658" s="891"/>
      <c r="GE658" s="891"/>
      <c r="GF658" s="891"/>
      <c r="GG658" s="891"/>
      <c r="GH658" s="891"/>
      <c r="GI658" s="891"/>
      <c r="GJ658" s="891"/>
      <c r="GK658" s="1039"/>
      <c r="GL658" s="891"/>
      <c r="GM658" s="891"/>
      <c r="GN658" s="891"/>
      <c r="GO658" s="891"/>
      <c r="GP658" s="891"/>
      <c r="GQ658" s="891"/>
      <c r="GR658" s="891"/>
      <c r="GS658" s="1039"/>
      <c r="GT658" s="891"/>
      <c r="GU658" s="891"/>
      <c r="GV658" s="891"/>
      <c r="GW658" s="891"/>
      <c r="GX658" s="891"/>
      <c r="GY658" s="891"/>
      <c r="GZ658" s="891"/>
      <c r="HA658" s="1039"/>
      <c r="HB658" s="891"/>
      <c r="HC658" s="891"/>
      <c r="HD658" s="891"/>
      <c r="HE658" s="891"/>
      <c r="HF658" s="891"/>
      <c r="HG658" s="891"/>
      <c r="HH658" s="891"/>
      <c r="HI658" s="1039"/>
      <c r="HJ658" s="891"/>
      <c r="HK658" s="891"/>
      <c r="HL658" s="891"/>
      <c r="HM658" s="891"/>
      <c r="HN658" s="891"/>
      <c r="HO658" s="891"/>
      <c r="HP658" s="891"/>
      <c r="HQ658" s="1039"/>
      <c r="HR658" s="891"/>
      <c r="HS658" s="891"/>
      <c r="HT658" s="891"/>
      <c r="HU658" s="891"/>
      <c r="HV658" s="891"/>
      <c r="HW658" s="891"/>
      <c r="HX658" s="891"/>
      <c r="HY658" s="891"/>
      <c r="HZ658" s="891"/>
      <c r="IA658" s="891"/>
      <c r="IB658" s="891"/>
      <c r="IC658" s="891"/>
      <c r="ID658" s="891"/>
      <c r="IE658" s="891"/>
      <c r="IF658" s="891"/>
      <c r="IG658" s="1039"/>
      <c r="IH658" s="891"/>
      <c r="II658" s="891"/>
      <c r="IJ658" s="891"/>
      <c r="IK658" s="891"/>
      <c r="IL658" s="891"/>
      <c r="IM658" s="891"/>
      <c r="IN658" s="891"/>
      <c r="IO658" s="1039"/>
      <c r="IP658" s="891"/>
      <c r="IQ658" s="891"/>
      <c r="IR658" s="891"/>
      <c r="IS658" s="891"/>
      <c r="IT658" s="891"/>
      <c r="IU658" s="891"/>
      <c r="IV658" s="891"/>
      <c r="IW658" s="891"/>
      <c r="IX658" s="1049"/>
      <c r="IY658" s="1049"/>
      <c r="IZ658" s="1049"/>
      <c r="JA658" s="1049"/>
      <c r="JB658" s="1049"/>
      <c r="JC658" s="1049"/>
      <c r="JD658" s="1112"/>
      <c r="JE658" s="1082"/>
      <c r="JF658" s="1082"/>
      <c r="JG658" s="1082"/>
      <c r="JH658" s="1082"/>
    </row>
    <row r="659" s="883" customFormat="1" spans="1:285">
      <c r="A659" s="883" t="s">
        <v>652</v>
      </c>
      <c r="B659" s="1302"/>
      <c r="C659" s="1302"/>
      <c r="D659" s="1302"/>
      <c r="E659" s="1302"/>
      <c r="F659" s="1302"/>
      <c r="G659" s="1302"/>
      <c r="H659" s="1302"/>
      <c r="I659" s="1302"/>
      <c r="J659" s="1302"/>
      <c r="K659" s="1302"/>
      <c r="L659" s="1302"/>
      <c r="M659" s="1302"/>
      <c r="N659" s="1302"/>
      <c r="O659" s="1302"/>
      <c r="P659" s="1302"/>
      <c r="Q659" s="1302"/>
      <c r="R659" s="1302"/>
      <c r="S659" s="1302"/>
      <c r="T659" s="1302"/>
      <c r="U659" s="1302"/>
      <c r="V659" s="1302"/>
      <c r="W659" s="1302"/>
      <c r="X659" s="1302"/>
      <c r="Y659" s="1302"/>
      <c r="Z659" s="1302"/>
      <c r="AA659" s="1302"/>
      <c r="AB659" s="1302"/>
      <c r="AC659" s="1302"/>
      <c r="AD659" s="1302"/>
      <c r="AE659" s="1302"/>
      <c r="AF659" s="1302"/>
      <c r="AG659" s="1302"/>
      <c r="AH659" s="1302"/>
      <c r="AI659" s="1302"/>
      <c r="AJ659" s="1302"/>
      <c r="AK659" s="1302"/>
      <c r="AL659" s="1302"/>
      <c r="AM659" s="1302"/>
      <c r="AN659" s="1302"/>
      <c r="AO659" s="1302"/>
      <c r="AP659" s="1302"/>
      <c r="AQ659" s="1302"/>
      <c r="AR659" s="1302"/>
      <c r="AS659" s="1302"/>
      <c r="AT659" s="1302"/>
      <c r="AU659" s="1302"/>
      <c r="AV659" s="1302"/>
      <c r="AW659" s="1302"/>
      <c r="AX659" s="1303"/>
      <c r="AY659" s="1302"/>
      <c r="AZ659" s="1302"/>
      <c r="BA659" s="1302"/>
      <c r="BB659" s="1302"/>
      <c r="BC659" s="1302"/>
      <c r="BD659" s="1302"/>
      <c r="BE659" s="1304"/>
      <c r="BF659" s="1302"/>
      <c r="BG659" s="1302"/>
      <c r="BH659" s="1302"/>
      <c r="BI659" s="1302"/>
      <c r="BJ659" s="1302"/>
      <c r="BK659" s="1302"/>
      <c r="BL659" s="1302"/>
      <c r="BM659" s="1302"/>
      <c r="BN659" s="1303"/>
      <c r="BO659" s="1302"/>
      <c r="BP659" s="1302"/>
      <c r="BQ659" s="1302"/>
      <c r="BR659" s="1302"/>
      <c r="BS659" s="1302"/>
      <c r="BT659" s="1302"/>
      <c r="BU659" s="1304"/>
      <c r="BV659" s="1303">
        <f t="shared" ref="BV659:CC659" si="4433">BV657/BV633</f>
        <v>0.13933236574746</v>
      </c>
      <c r="BW659" s="1302">
        <f t="shared" si="4433"/>
        <v>0.0770505385252693</v>
      </c>
      <c r="BX659" s="1302">
        <f t="shared" si="4433"/>
        <v>0.110251450676983</v>
      </c>
      <c r="BY659" s="1302">
        <f t="shared" si="4433"/>
        <v>0.171337579617834</v>
      </c>
      <c r="BZ659" s="1302">
        <f t="shared" si="4433"/>
        <v>0.133333333333333</v>
      </c>
      <c r="CA659" s="1302">
        <f t="shared" si="4433"/>
        <v>0.00980392156862745</v>
      </c>
      <c r="CB659" s="1302">
        <f t="shared" si="4433"/>
        <v>0.107722007722008</v>
      </c>
      <c r="CC659" s="1304">
        <f t="shared" si="4433"/>
        <v>0.108985507246377</v>
      </c>
      <c r="CD659" s="1303">
        <f t="shared" ref="CD659:CP659" si="4434">CD657/CD650</f>
        <v>0.170634920634921</v>
      </c>
      <c r="CE659" s="1302">
        <f t="shared" si="4434"/>
        <v>0.0705521472392638</v>
      </c>
      <c r="CF659" s="1302">
        <f t="shared" si="4434"/>
        <v>0.124333925399645</v>
      </c>
      <c r="CG659" s="1302">
        <f t="shared" si="4434"/>
        <v>0.187391555812608</v>
      </c>
      <c r="CH659" s="1302">
        <f t="shared" si="4434"/>
        <v>0.148066783831283</v>
      </c>
      <c r="CI659" s="1302">
        <f t="shared" si="4434"/>
        <v>0.0144376899696049</v>
      </c>
      <c r="CJ659" s="1302">
        <f t="shared" si="4434"/>
        <v>0.112866074366568</v>
      </c>
      <c r="CK659" s="1304">
        <f t="shared" si="4434"/>
        <v>0.118380594465323</v>
      </c>
      <c r="CL659" s="1303">
        <f t="shared" si="4434"/>
        <v>0.157894736842105</v>
      </c>
      <c r="CM659" s="1302">
        <f t="shared" si="4434"/>
        <v>0.0887573964497041</v>
      </c>
      <c r="CN659" s="1302">
        <f t="shared" si="4434"/>
        <v>0.125912408759124</v>
      </c>
      <c r="CO659" s="1302">
        <f t="shared" si="4434"/>
        <v>0.188144329896907</v>
      </c>
      <c r="CP659" s="1302">
        <f t="shared" si="4434"/>
        <v>0.148246951219512</v>
      </c>
      <c r="CQ659" s="1302">
        <v>0.02</v>
      </c>
      <c r="CR659" s="1302">
        <f>CR657/CR650</f>
        <v>0.122202003166008</v>
      </c>
      <c r="CS659" s="1304">
        <f>CS657/CS650</f>
        <v>0.118925445215816</v>
      </c>
      <c r="CT659" s="1303">
        <f>CT657/CT650</f>
        <v>0.148433205057724</v>
      </c>
      <c r="CU659" s="1302">
        <f t="shared" ref="CU659:DB659" si="4435">CU657/CU633</f>
        <v>0.116819571865443</v>
      </c>
      <c r="CV659" s="1302">
        <f t="shared" si="4435"/>
        <v>0.13346844238564</v>
      </c>
      <c r="CW659" s="1302">
        <f t="shared" si="4435"/>
        <v>0.196419691695674</v>
      </c>
      <c r="CX659" s="1302">
        <f t="shared" si="4435"/>
        <v>0.156633119853614</v>
      </c>
      <c r="CY659" s="1302">
        <f t="shared" si="4435"/>
        <v>0.0388349514563107</v>
      </c>
      <c r="CZ659" s="1302">
        <f t="shared" si="4435"/>
        <v>0.125444110412681</v>
      </c>
      <c r="DA659" s="1304">
        <f t="shared" si="4435"/>
        <v>0.129340643891466</v>
      </c>
      <c r="DB659" s="1109">
        <f t="shared" si="4435"/>
        <v>0.170731707317073</v>
      </c>
      <c r="DC659" s="1082">
        <f t="shared" ref="DC659:DJ659" si="4436">DC657/DC633</f>
        <v>0.0962067069818582</v>
      </c>
      <c r="DD659" s="1082">
        <f t="shared" si="4436"/>
        <v>0.135199366252971</v>
      </c>
      <c r="DE659" s="1082">
        <f t="shared" si="4436"/>
        <v>0.198015336039693</v>
      </c>
      <c r="DF659" s="1082">
        <f t="shared" si="4436"/>
        <v>0.158394403730846</v>
      </c>
      <c r="DG659" s="1082">
        <f t="shared" si="4436"/>
        <v>0.0809025866813429</v>
      </c>
      <c r="DH659" s="1082">
        <f t="shared" si="4436"/>
        <v>0.145265245413981</v>
      </c>
      <c r="DI659" s="1085">
        <f t="shared" si="4436"/>
        <v>0.140391254315305</v>
      </c>
      <c r="DJ659" s="1082">
        <f t="shared" si="4436"/>
        <v>0.118935837245696</v>
      </c>
      <c r="DK659" s="1082">
        <f t="shared" ref="DK659:DQ659" si="4437">DK657/DK633</f>
        <v>0.0411428571428571</v>
      </c>
      <c r="DL659" s="1082">
        <f t="shared" si="4437"/>
        <v>0.0354513226070357</v>
      </c>
      <c r="DM659" s="1082">
        <f t="shared" si="4437"/>
        <v>0.159166271909048</v>
      </c>
      <c r="DN659" s="1082">
        <f t="shared" si="4437"/>
        <v>0.0806507442021461</v>
      </c>
      <c r="DO659" s="1082" t="e">
        <f t="shared" si="4437"/>
        <v>#REF!</v>
      </c>
      <c r="DP659" s="1082" t="e">
        <f t="shared" si="4437"/>
        <v>#REF!</v>
      </c>
      <c r="DQ659" s="1085" t="e">
        <f t="shared" si="4437"/>
        <v>#REF!</v>
      </c>
      <c r="DR659" s="1082"/>
      <c r="DS659" s="1082"/>
      <c r="DT659" s="1082"/>
      <c r="DU659" s="1082"/>
      <c r="DV659" s="1082"/>
      <c r="DW659" s="1082"/>
      <c r="DX659" s="1082"/>
      <c r="DY659" s="1085"/>
      <c r="DZ659" s="1082"/>
      <c r="EA659" s="1082"/>
      <c r="EB659" s="1082"/>
      <c r="EC659" s="1082"/>
      <c r="ED659" s="1082"/>
      <c r="EE659" s="1082"/>
      <c r="EF659" s="1082"/>
      <c r="EG659" s="1085"/>
      <c r="EH659" s="1082"/>
      <c r="EI659" s="1082"/>
      <c r="EJ659" s="1082"/>
      <c r="EK659" s="1082"/>
      <c r="EL659" s="1082"/>
      <c r="EM659" s="1082"/>
      <c r="EN659" s="1082"/>
      <c r="EO659" s="1085"/>
      <c r="EP659" s="1082"/>
      <c r="EQ659" s="1082"/>
      <c r="ER659" s="1082"/>
      <c r="ES659" s="1082"/>
      <c r="ET659" s="1082"/>
      <c r="EU659" s="1082"/>
      <c r="EV659" s="1082"/>
      <c r="EW659" s="1039"/>
      <c r="EX659" s="891"/>
      <c r="EY659" s="891"/>
      <c r="EZ659" s="891"/>
      <c r="FA659" s="891"/>
      <c r="FB659" s="891"/>
      <c r="FC659" s="891"/>
      <c r="FD659" s="891"/>
      <c r="FE659" s="1039"/>
      <c r="FF659" s="891"/>
      <c r="FG659" s="891"/>
      <c r="FH659" s="891"/>
      <c r="FI659" s="891"/>
      <c r="FJ659" s="891"/>
      <c r="FK659" s="891"/>
      <c r="FL659" s="891"/>
      <c r="FM659" s="1039"/>
      <c r="FN659" s="891"/>
      <c r="FO659" s="891"/>
      <c r="FP659" s="891"/>
      <c r="FQ659" s="891"/>
      <c r="FR659" s="891"/>
      <c r="FS659" s="891"/>
      <c r="FT659" s="891"/>
      <c r="FU659" s="891"/>
      <c r="FV659" s="1040"/>
      <c r="FW659" s="891"/>
      <c r="FX659" s="891"/>
      <c r="FY659" s="891"/>
      <c r="FZ659" s="891"/>
      <c r="GA659" s="891"/>
      <c r="GB659" s="891"/>
      <c r="GC659" s="1039"/>
      <c r="GD659" s="891"/>
      <c r="GE659" s="891"/>
      <c r="GF659" s="891"/>
      <c r="GG659" s="891"/>
      <c r="GH659" s="891"/>
      <c r="GI659" s="891"/>
      <c r="GJ659" s="891"/>
      <c r="GK659" s="1039"/>
      <c r="GL659" s="891"/>
      <c r="GM659" s="891"/>
      <c r="GN659" s="891"/>
      <c r="GO659" s="891"/>
      <c r="GP659" s="891"/>
      <c r="GQ659" s="891"/>
      <c r="GR659" s="891"/>
      <c r="GS659" s="1039"/>
      <c r="GT659" s="891"/>
      <c r="GU659" s="891"/>
      <c r="GV659" s="891"/>
      <c r="GW659" s="891"/>
      <c r="GX659" s="891"/>
      <c r="GY659" s="891"/>
      <c r="GZ659" s="891"/>
      <c r="HA659" s="1039"/>
      <c r="HB659" s="891"/>
      <c r="HC659" s="891"/>
      <c r="HD659" s="891"/>
      <c r="HE659" s="891"/>
      <c r="HF659" s="891"/>
      <c r="HG659" s="891"/>
      <c r="HH659" s="891"/>
      <c r="HI659" s="1039"/>
      <c r="HJ659" s="891"/>
      <c r="HK659" s="891"/>
      <c r="HL659" s="891"/>
      <c r="HM659" s="891"/>
      <c r="HN659" s="891"/>
      <c r="HO659" s="891"/>
      <c r="HP659" s="891"/>
      <c r="HQ659" s="1039"/>
      <c r="HR659" s="891"/>
      <c r="HS659" s="891"/>
      <c r="HT659" s="891"/>
      <c r="HU659" s="891"/>
      <c r="HV659" s="891"/>
      <c r="HW659" s="891"/>
      <c r="HX659" s="891"/>
      <c r="HY659" s="891"/>
      <c r="HZ659" s="891"/>
      <c r="IA659" s="891"/>
      <c r="IB659" s="891"/>
      <c r="IC659" s="891"/>
      <c r="ID659" s="891"/>
      <c r="IE659" s="891"/>
      <c r="IF659" s="891"/>
      <c r="IG659" s="1039"/>
      <c r="IH659" s="891"/>
      <c r="II659" s="891"/>
      <c r="IJ659" s="891"/>
      <c r="IK659" s="891"/>
      <c r="IL659" s="891"/>
      <c r="IM659" s="891"/>
      <c r="IN659" s="891"/>
      <c r="IO659" s="1039"/>
      <c r="IP659" s="891"/>
      <c r="IQ659" s="891"/>
      <c r="IR659" s="891"/>
      <c r="IS659" s="891"/>
      <c r="IT659" s="891"/>
      <c r="IU659" s="891"/>
      <c r="IV659" s="891"/>
      <c r="IW659" s="891"/>
      <c r="IX659" s="1049"/>
      <c r="IY659" s="1049"/>
      <c r="IZ659" s="1049"/>
      <c r="JA659" s="1049"/>
      <c r="JB659" s="1049"/>
      <c r="JC659" s="1049"/>
      <c r="JD659" s="1112"/>
      <c r="JE659" s="1082"/>
      <c r="JF659" s="1082"/>
      <c r="JG659" s="1082"/>
      <c r="JH659" s="1082"/>
    </row>
    <row r="660" spans="1:285">
      <c r="AX660" s="1059"/>
      <c r="BE660" s="1060"/>
      <c r="BN660" s="1059"/>
      <c r="BU660" s="1060"/>
      <c r="BV660" s="1059"/>
      <c r="CC660" s="1060"/>
      <c r="CD660" s="1059"/>
      <c r="CK660" s="1060"/>
      <c r="CL660" s="1059"/>
      <c r="CS660" s="1060"/>
      <c r="CT660" s="1059"/>
      <c r="DA660" s="1060"/>
      <c r="DB660" s="1063"/>
      <c r="IX660" s="1049"/>
      <c r="IY660" s="1049"/>
      <c r="IZ660" s="1049"/>
      <c r="JA660" s="1049"/>
      <c r="JB660" s="1049"/>
      <c r="JC660" s="1049"/>
      <c r="JD660" s="1041"/>
      <c r="JE660" s="1037"/>
      <c r="JF660" s="1037"/>
      <c r="JG660" s="1037"/>
      <c r="JH660" s="1037"/>
      <c r="JI660" s="1035"/>
      <c r="JJ660" s="1035"/>
      <c r="JK660" s="1035"/>
      <c r="JL660" s="1035"/>
      <c r="JM660" s="1035"/>
      <c r="JN660" s="1035"/>
      <c r="JO660" s="1035"/>
      <c r="JP660" s="1035"/>
      <c r="JQ660" s="1035"/>
      <c r="JR660" s="1035"/>
      <c r="JS660" s="1035"/>
      <c r="JT660" s="1035"/>
      <c r="JU660" s="1035"/>
      <c r="JV660" s="1035"/>
      <c r="JW660" s="1035"/>
      <c r="JX660" s="1035"/>
      <c r="JY660" s="1035"/>
    </row>
    <row r="661" outlineLevel="1" spans="1:285">
      <c r="A661" s="1051" t="s">
        <v>653</v>
      </c>
      <c r="B661" s="1482" t="s">
        <v>259</v>
      </c>
      <c r="C661" s="1482" t="s">
        <v>260</v>
      </c>
      <c r="D661" s="1482" t="s">
        <v>261</v>
      </c>
      <c r="E661" s="1482" t="s">
        <v>262</v>
      </c>
      <c r="F661" s="1482" t="s">
        <v>263</v>
      </c>
      <c r="G661" s="1482" t="s">
        <v>264</v>
      </c>
      <c r="H661" s="1482" t="s">
        <v>327</v>
      </c>
      <c r="I661" s="1482" t="s">
        <v>14</v>
      </c>
      <c r="J661" s="1482" t="s">
        <v>266</v>
      </c>
      <c r="K661" s="1482" t="s">
        <v>267</v>
      </c>
      <c r="L661" s="1482" t="s">
        <v>268</v>
      </c>
      <c r="M661" s="1482" t="s">
        <v>269</v>
      </c>
      <c r="N661" s="1482" t="s">
        <v>270</v>
      </c>
      <c r="O661" s="1482" t="s">
        <v>271</v>
      </c>
      <c r="P661" s="1482" t="s">
        <v>327</v>
      </c>
      <c r="Q661" s="1482" t="s">
        <v>15</v>
      </c>
      <c r="R661" s="1482" t="s">
        <v>273</v>
      </c>
      <c r="S661" s="1482" t="s">
        <v>274</v>
      </c>
      <c r="T661" s="1482" t="s">
        <v>275</v>
      </c>
      <c r="U661" s="1482" t="s">
        <v>276</v>
      </c>
      <c r="V661" s="1482" t="s">
        <v>277</v>
      </c>
      <c r="W661" s="1482" t="s">
        <v>278</v>
      </c>
      <c r="X661" s="1482" t="s">
        <v>327</v>
      </c>
      <c r="Y661" s="1482" t="s">
        <v>16</v>
      </c>
      <c r="Z661" s="1482" t="s">
        <v>280</v>
      </c>
      <c r="AA661" s="1482" t="s">
        <v>281</v>
      </c>
      <c r="AB661" s="1482" t="s">
        <v>282</v>
      </c>
      <c r="AC661" s="1482" t="s">
        <v>283</v>
      </c>
      <c r="AD661" s="1482" t="s">
        <v>277</v>
      </c>
      <c r="AE661" s="1482" t="s">
        <v>284</v>
      </c>
      <c r="AF661" s="1482" t="s">
        <v>327</v>
      </c>
      <c r="AG661" s="1482" t="s">
        <v>17</v>
      </c>
      <c r="AH661" s="1482" t="s">
        <v>286</v>
      </c>
      <c r="AI661" s="1482" t="s">
        <v>287</v>
      </c>
      <c r="AJ661" s="1482" t="s">
        <v>288</v>
      </c>
      <c r="AK661" s="1482" t="s">
        <v>289</v>
      </c>
      <c r="AL661" s="1482" t="s">
        <v>290</v>
      </c>
      <c r="AM661" s="1482" t="s">
        <v>291</v>
      </c>
      <c r="AN661" s="1482" t="s">
        <v>327</v>
      </c>
      <c r="AO661" s="1482" t="s">
        <v>18</v>
      </c>
      <c r="AP661" s="1482" t="s">
        <v>293</v>
      </c>
      <c r="AQ661" s="1482" t="s">
        <v>294</v>
      </c>
      <c r="AR661" s="1482" t="s">
        <v>295</v>
      </c>
      <c r="AS661" s="1482" t="s">
        <v>296</v>
      </c>
      <c r="AT661" s="1482" t="s">
        <v>297</v>
      </c>
      <c r="AU661" s="1482" t="s">
        <v>298</v>
      </c>
      <c r="AV661" s="1482" t="s">
        <v>327</v>
      </c>
      <c r="AW661" s="1482" t="s">
        <v>19</v>
      </c>
      <c r="AX661" s="1483" t="s">
        <v>300</v>
      </c>
      <c r="AY661" s="1482" t="s">
        <v>301</v>
      </c>
      <c r="AZ661" s="1482" t="s">
        <v>302</v>
      </c>
      <c r="BA661" s="1482" t="s">
        <v>303</v>
      </c>
      <c r="BB661" s="1482" t="s">
        <v>304</v>
      </c>
      <c r="BC661" s="1482" t="s">
        <v>305</v>
      </c>
      <c r="BD661" s="1482" t="s">
        <v>327</v>
      </c>
      <c r="BE661" s="1484" t="s">
        <v>20</v>
      </c>
      <c r="BF661" s="1482" t="s">
        <v>307</v>
      </c>
      <c r="BG661" s="1482" t="s">
        <v>308</v>
      </c>
      <c r="BH661" s="1482" t="s">
        <v>309</v>
      </c>
      <c r="BI661" s="1482" t="s">
        <v>310</v>
      </c>
      <c r="BJ661" s="1482" t="s">
        <v>311</v>
      </c>
      <c r="BK661" s="1482" t="s">
        <v>312</v>
      </c>
      <c r="BL661" s="1482" t="s">
        <v>327</v>
      </c>
      <c r="BM661" s="1482" t="s">
        <v>21</v>
      </c>
      <c r="BN661" s="1483" t="s">
        <v>314</v>
      </c>
      <c r="BO661" s="1482" t="s">
        <v>315</v>
      </c>
      <c r="BP661" s="1482" t="s">
        <v>316</v>
      </c>
      <c r="BQ661" s="1482" t="s">
        <v>317</v>
      </c>
      <c r="BR661" s="1482" t="s">
        <v>318</v>
      </c>
      <c r="BS661" s="1482" t="s">
        <v>319</v>
      </c>
      <c r="BT661" s="1482" t="s">
        <v>327</v>
      </c>
      <c r="BU661" s="1484" t="s">
        <v>22</v>
      </c>
      <c r="BV661" s="1483" t="s">
        <v>321</v>
      </c>
      <c r="BW661" s="1482" t="s">
        <v>322</v>
      </c>
      <c r="BX661" s="1482"/>
      <c r="BY661" s="1482" t="s">
        <v>324</v>
      </c>
      <c r="BZ661" s="1482"/>
      <c r="CA661" s="1482" t="s">
        <v>326</v>
      </c>
      <c r="CB661" s="1482"/>
      <c r="CC661" s="1484"/>
      <c r="CD661" s="1483" t="s">
        <v>328</v>
      </c>
      <c r="CE661" s="1482" t="s">
        <v>329</v>
      </c>
      <c r="CF661" s="1482"/>
      <c r="CG661" s="1482" t="s">
        <v>331</v>
      </c>
      <c r="CH661" s="1482"/>
      <c r="CI661" s="1482" t="s">
        <v>333</v>
      </c>
      <c r="CJ661" s="1482"/>
      <c r="CK661" s="1484"/>
      <c r="CL661" s="1483" t="s">
        <v>335</v>
      </c>
      <c r="CM661" s="1482" t="s">
        <v>336</v>
      </c>
      <c r="CN661" s="1482"/>
      <c r="CO661" s="1482" t="s">
        <v>338</v>
      </c>
      <c r="CP661" s="1482" t="str">
        <f t="shared" ref="CP661:DU661" si="4438">CP2</f>
        <v>9M 06</v>
      </c>
      <c r="CQ661" s="1482" t="str">
        <f t="shared" si="4438"/>
        <v>Q4 06</v>
      </c>
      <c r="CR661" s="1482" t="str">
        <f t="shared" si="4438"/>
        <v>H2 06</v>
      </c>
      <c r="CS661" s="1484" t="str">
        <f t="shared" si="4438"/>
        <v>FY 06</v>
      </c>
      <c r="CT661" s="1483" t="str">
        <f t="shared" si="4438"/>
        <v>Q1 07</v>
      </c>
      <c r="CU661" s="1482" t="str">
        <f t="shared" si="4438"/>
        <v>Q2 07</v>
      </c>
      <c r="CV661" s="1482" t="str">
        <f t="shared" si="4438"/>
        <v>H1 07</v>
      </c>
      <c r="CW661" s="1482" t="str">
        <f t="shared" si="4438"/>
        <v>Q3 07</v>
      </c>
      <c r="CX661" s="1482" t="str">
        <f t="shared" si="4438"/>
        <v>9M 07</v>
      </c>
      <c r="CY661" s="1482" t="str">
        <f t="shared" si="4438"/>
        <v>Q4 07</v>
      </c>
      <c r="CZ661" s="1482" t="str">
        <f t="shared" si="4438"/>
        <v>H2 07</v>
      </c>
      <c r="DA661" s="1484" t="str">
        <f t="shared" si="4438"/>
        <v>FY 07</v>
      </c>
      <c r="DB661" s="1485" t="str">
        <f t="shared" si="4438"/>
        <v>Q1 08</v>
      </c>
      <c r="DC661" s="1486" t="str">
        <f t="shared" si="4438"/>
        <v>Q2 08</v>
      </c>
      <c r="DD661" s="1486" t="str">
        <f t="shared" si="4438"/>
        <v>H1 08</v>
      </c>
      <c r="DE661" s="1486" t="str">
        <f t="shared" si="4438"/>
        <v>Q3 08</v>
      </c>
      <c r="DF661" s="1486" t="str">
        <f t="shared" si="4438"/>
        <v>9M 08</v>
      </c>
      <c r="DG661" s="1486" t="str">
        <f t="shared" si="4438"/>
        <v>Q4 08</v>
      </c>
      <c r="DH661" s="1486" t="str">
        <f t="shared" si="4438"/>
        <v>H2 08</v>
      </c>
      <c r="DI661" s="1487" t="str">
        <f t="shared" si="4438"/>
        <v>FY 08</v>
      </c>
      <c r="DJ661" s="1486" t="str">
        <f t="shared" si="4438"/>
        <v>Q1 09</v>
      </c>
      <c r="DK661" s="1486" t="str">
        <f t="shared" si="4438"/>
        <v>Q2 09</v>
      </c>
      <c r="DL661" s="1486" t="str">
        <f t="shared" si="4438"/>
        <v>H1 09</v>
      </c>
      <c r="DM661" s="1486" t="str">
        <f t="shared" si="4438"/>
        <v>Q3 09</v>
      </c>
      <c r="DN661" s="1486" t="str">
        <f t="shared" si="4438"/>
        <v>9M 09</v>
      </c>
      <c r="DO661" s="1486" t="str">
        <f t="shared" si="4438"/>
        <v>Q4 09</v>
      </c>
      <c r="DP661" s="1486" t="str">
        <f t="shared" si="4438"/>
        <v>H2 09</v>
      </c>
      <c r="DQ661" s="1487" t="str">
        <f t="shared" si="4438"/>
        <v>FY 09</v>
      </c>
      <c r="DR661" s="1486" t="str">
        <f t="shared" si="4438"/>
        <v>Q1 10</v>
      </c>
      <c r="DS661" s="1486" t="str">
        <f t="shared" si="4438"/>
        <v>Q2 10</v>
      </c>
      <c r="DT661" s="1486" t="str">
        <f t="shared" si="4438"/>
        <v>H1 10</v>
      </c>
      <c r="DU661" s="1486" t="str">
        <f t="shared" si="4438"/>
        <v>Q3 10</v>
      </c>
      <c r="DV661" s="1486" t="str">
        <f t="shared" ref="DV661:EO661" si="4439">DV2</f>
        <v>9M 10</v>
      </c>
      <c r="DW661" s="1486" t="str">
        <f t="shared" si="4439"/>
        <v>Q4 10</v>
      </c>
      <c r="DX661" s="1486" t="str">
        <f t="shared" si="4439"/>
        <v>H2 10</v>
      </c>
      <c r="DY661" s="1487" t="str">
        <f t="shared" si="4439"/>
        <v>FY 10</v>
      </c>
      <c r="DZ661" s="1486" t="str">
        <f t="shared" si="4439"/>
        <v>Q1 11</v>
      </c>
      <c r="EA661" s="1486" t="str">
        <f t="shared" si="4439"/>
        <v>Q2 11</v>
      </c>
      <c r="EB661" s="1486" t="str">
        <f t="shared" si="4439"/>
        <v>H1 11</v>
      </c>
      <c r="EC661" s="1486" t="str">
        <f t="shared" si="4439"/>
        <v>Q3 11</v>
      </c>
      <c r="ED661" s="1486" t="str">
        <f t="shared" si="4439"/>
        <v>9M 11</v>
      </c>
      <c r="EE661" s="1486" t="str">
        <f t="shared" si="4439"/>
        <v>Q4 11</v>
      </c>
      <c r="EF661" s="1486" t="str">
        <f t="shared" si="4439"/>
        <v>H2 11</v>
      </c>
      <c r="EG661" s="1487" t="str">
        <f t="shared" si="4439"/>
        <v>FY 11</v>
      </c>
      <c r="EH661" s="1486" t="str">
        <f t="shared" si="4439"/>
        <v>Q1 12</v>
      </c>
      <c r="EI661" s="1486" t="str">
        <f t="shared" si="4439"/>
        <v>Q2 12</v>
      </c>
      <c r="EJ661" s="1486" t="str">
        <f t="shared" si="4439"/>
        <v>H1 12</v>
      </c>
      <c r="EK661" s="1486" t="str">
        <f t="shared" si="4439"/>
        <v>Q3 12</v>
      </c>
      <c r="EL661" s="1486" t="str">
        <f t="shared" si="4439"/>
        <v>9M 12</v>
      </c>
      <c r="EM661" s="1486" t="str">
        <f t="shared" si="4439"/>
        <v>Q4 12</v>
      </c>
      <c r="EN661" s="1486" t="str">
        <f t="shared" si="4439"/>
        <v>H2 12</v>
      </c>
      <c r="EO661" s="1487" t="str">
        <f t="shared" si="4439"/>
        <v>FY 12</v>
      </c>
      <c r="EP661" s="1486"/>
      <c r="EQ661" s="1486"/>
      <c r="ER661" s="1486"/>
      <c r="ES661" s="1486"/>
      <c r="ET661" s="1486"/>
      <c r="EU661" s="1486"/>
      <c r="EV661" s="1486"/>
      <c r="IX661" s="1049"/>
      <c r="IY661" s="1049"/>
      <c r="IZ661" s="1049"/>
      <c r="JA661" s="1049"/>
      <c r="JB661" s="1049"/>
      <c r="JC661" s="1049"/>
      <c r="JD661" s="1404"/>
      <c r="JE661" s="1037"/>
      <c r="JF661" s="1037"/>
      <c r="JG661" s="1037"/>
      <c r="JH661" s="1037"/>
      <c r="JI661" s="1035"/>
      <c r="JJ661" s="1035"/>
      <c r="JK661" s="1035"/>
      <c r="JL661" s="1035"/>
      <c r="JM661" s="1035"/>
      <c r="JN661" s="1035"/>
      <c r="JO661" s="1035"/>
      <c r="JP661" s="1035"/>
      <c r="JQ661" s="1035"/>
      <c r="JR661" s="1035"/>
      <c r="JS661" s="1035"/>
      <c r="JT661" s="1035"/>
      <c r="JU661" s="1035"/>
      <c r="JV661" s="1035"/>
      <c r="JW661" s="1035"/>
      <c r="JX661" s="1035"/>
      <c r="JY661" s="1035"/>
    </row>
    <row r="662" outlineLevel="1" spans="1:285">
      <c r="A662" s="1528" t="s">
        <v>209</v>
      </c>
      <c r="B662" s="1499"/>
      <c r="C662" s="1499"/>
      <c r="D662" s="1499"/>
      <c r="E662" s="1499"/>
      <c r="F662" s="1499"/>
      <c r="G662" s="1499"/>
      <c r="H662" s="1499"/>
      <c r="I662" s="1499"/>
      <c r="J662" s="1499"/>
      <c r="K662" s="1499"/>
      <c r="L662" s="1499"/>
      <c r="M662" s="1499"/>
      <c r="N662" s="1499"/>
      <c r="O662" s="1499"/>
      <c r="P662" s="1499"/>
      <c r="Q662" s="1499"/>
      <c r="R662" s="1499"/>
      <c r="S662" s="1499"/>
      <c r="T662" s="1499"/>
      <c r="U662" s="1499"/>
      <c r="V662" s="1499"/>
      <c r="W662" s="1499"/>
      <c r="X662" s="1499"/>
      <c r="Y662" s="1499"/>
      <c r="Z662" s="1499"/>
      <c r="AA662" s="1499"/>
      <c r="AB662" s="1499"/>
      <c r="AC662" s="1499"/>
      <c r="AD662" s="1499"/>
      <c r="AE662" s="1499"/>
      <c r="AF662" s="1499"/>
      <c r="AG662" s="1499"/>
      <c r="AH662" s="1499"/>
      <c r="AI662" s="1499"/>
      <c r="AJ662" s="1499"/>
      <c r="AK662" s="1499"/>
      <c r="AL662" s="1499"/>
      <c r="AM662" s="1499"/>
      <c r="AN662" s="1499"/>
      <c r="AO662" s="1499"/>
      <c r="AP662" s="1499"/>
      <c r="AQ662" s="1499"/>
      <c r="AR662" s="1499"/>
      <c r="AS662" s="1499"/>
      <c r="AT662" s="1499"/>
      <c r="AU662" s="1499"/>
      <c r="AV662" s="1499"/>
      <c r="AW662" s="1499"/>
      <c r="AX662" s="1500"/>
      <c r="AY662" s="1499"/>
      <c r="AZ662" s="1499"/>
      <c r="BA662" s="1499"/>
      <c r="BB662" s="1499"/>
      <c r="BC662" s="1499"/>
      <c r="BD662" s="1499"/>
      <c r="BE662" s="1501"/>
      <c r="BF662" s="1499"/>
      <c r="BG662" s="1499"/>
      <c r="BH662" s="1499"/>
      <c r="BI662" s="1499"/>
      <c r="BJ662" s="1499"/>
      <c r="BK662" s="1499"/>
      <c r="BL662" s="1499"/>
      <c r="BM662" s="1499"/>
      <c r="BN662" s="1500"/>
      <c r="BO662" s="1499"/>
      <c r="BP662" s="1499"/>
      <c r="BQ662" s="1499"/>
      <c r="BR662" s="1499"/>
      <c r="BS662" s="1499"/>
      <c r="BT662" s="1499"/>
      <c r="BU662" s="1501"/>
      <c r="BV662" s="1529">
        <v>0.01</v>
      </c>
      <c r="BW662" s="1530">
        <v>0.06</v>
      </c>
      <c r="BX662" s="1530"/>
      <c r="BY662" s="1530">
        <v>-0.04</v>
      </c>
      <c r="BZ662" s="1530"/>
      <c r="CA662" s="1530">
        <v>0</v>
      </c>
      <c r="CB662" s="1530"/>
      <c r="CC662" s="1531"/>
      <c r="CD662" s="1529">
        <v>-0.01</v>
      </c>
      <c r="CE662" s="1530">
        <v>0.03</v>
      </c>
      <c r="CF662" s="1530"/>
      <c r="CG662" s="1530">
        <v>0.09</v>
      </c>
      <c r="CH662" s="1530"/>
      <c r="CI662" s="1530">
        <v>0.04</v>
      </c>
      <c r="CJ662" s="1530"/>
      <c r="CK662" s="1531"/>
      <c r="CL662" s="1532">
        <v>0.08</v>
      </c>
      <c r="CM662" s="1533">
        <v>0.02</v>
      </c>
      <c r="CN662" s="1530"/>
      <c r="CO662" s="1533">
        <v>-0.08</v>
      </c>
      <c r="CP662" s="1499"/>
      <c r="CQ662" s="1533">
        <v>-0.06</v>
      </c>
      <c r="CR662" s="1499"/>
      <c r="CS662" s="1501"/>
      <c r="CT662" s="1532">
        <v>0.02</v>
      </c>
      <c r="CU662" s="1533">
        <v>0.08</v>
      </c>
      <c r="CV662" s="1533"/>
      <c r="CW662" s="1533">
        <v>0.19</v>
      </c>
      <c r="CX662" s="1533"/>
      <c r="CY662" s="1533">
        <v>0.15</v>
      </c>
      <c r="CZ662" s="1533"/>
      <c r="DA662" s="1534"/>
      <c r="DB662" s="1535">
        <v>0.1</v>
      </c>
      <c r="DC662" s="1536">
        <v>0</v>
      </c>
      <c r="DD662" s="1536"/>
      <c r="DE662" s="1536">
        <v>-0.02</v>
      </c>
      <c r="DF662" s="1537"/>
      <c r="DG662" s="1536">
        <v>-0.09</v>
      </c>
      <c r="DH662" s="1536"/>
      <c r="DI662" s="1538"/>
      <c r="DJ662" s="1536"/>
      <c r="DK662" s="1536"/>
      <c r="DL662" s="1536"/>
      <c r="DM662" s="1536"/>
      <c r="DN662" s="1537"/>
      <c r="DO662" s="1536"/>
      <c r="DP662" s="1536"/>
      <c r="DQ662" s="1538"/>
      <c r="DR662" s="1536"/>
      <c r="DS662" s="1536"/>
      <c r="DT662" s="1536"/>
      <c r="DU662" s="1536"/>
      <c r="DV662" s="1537"/>
      <c r="DW662" s="1536"/>
      <c r="DX662" s="1536"/>
      <c r="DY662" s="1538"/>
      <c r="DZ662" s="1536"/>
      <c r="EA662" s="1536"/>
      <c r="EB662" s="1536"/>
      <c r="EC662" s="1536"/>
      <c r="ED662" s="1537"/>
      <c r="EE662" s="1536"/>
      <c r="EF662" s="1536"/>
      <c r="EG662" s="1538"/>
      <c r="EH662" s="1536"/>
      <c r="EI662" s="1536"/>
      <c r="EJ662" s="1536"/>
      <c r="EK662" s="1536"/>
      <c r="EL662" s="1537"/>
      <c r="EM662" s="1536"/>
      <c r="EN662" s="1536"/>
      <c r="EO662" s="1538"/>
      <c r="EP662" s="1536"/>
      <c r="EQ662" s="1536"/>
      <c r="ER662" s="1536"/>
      <c r="ES662" s="1536"/>
      <c r="ET662" s="1536"/>
      <c r="EU662" s="1536"/>
      <c r="EV662" s="1536"/>
      <c r="IX662" s="1049"/>
      <c r="IY662" s="1049"/>
      <c r="IZ662" s="1049"/>
      <c r="JA662" s="1049"/>
      <c r="JB662" s="1049"/>
      <c r="JC662" s="1049"/>
      <c r="JD662" s="1112"/>
      <c r="JE662" s="1037"/>
      <c r="JF662" s="1037"/>
      <c r="JG662" s="1037"/>
      <c r="JH662" s="1037"/>
      <c r="JI662" s="1035"/>
      <c r="JJ662" s="1035"/>
      <c r="JK662" s="1035"/>
      <c r="JL662" s="1035"/>
      <c r="JM662" s="1035"/>
      <c r="JN662" s="1035"/>
      <c r="JO662" s="1035"/>
      <c r="JP662" s="1035"/>
      <c r="JQ662" s="1035"/>
      <c r="JR662" s="1035"/>
      <c r="JS662" s="1035"/>
      <c r="JT662" s="1035"/>
      <c r="JU662" s="1035"/>
      <c r="JV662" s="1035"/>
      <c r="JW662" s="1035"/>
      <c r="JX662" s="1035"/>
      <c r="JY662" s="1035"/>
    </row>
    <row r="663" outlineLevel="1" spans="1:285">
      <c r="A663" s="1306" t="s">
        <v>654</v>
      </c>
      <c r="B663" s="1307"/>
      <c r="C663" s="1307"/>
      <c r="D663" s="1307"/>
      <c r="E663" s="1307"/>
      <c r="F663" s="1307"/>
      <c r="G663" s="1307"/>
      <c r="H663" s="1307"/>
      <c r="I663" s="1307"/>
      <c r="J663" s="1307"/>
      <c r="K663" s="1307"/>
      <c r="L663" s="1307"/>
      <c r="M663" s="1307"/>
      <c r="N663" s="1307"/>
      <c r="O663" s="1307"/>
      <c r="P663" s="1307"/>
      <c r="Q663" s="1307"/>
      <c r="R663" s="1307"/>
      <c r="S663" s="1307"/>
      <c r="T663" s="1307"/>
      <c r="U663" s="1307"/>
      <c r="V663" s="1307"/>
      <c r="W663" s="1307"/>
      <c r="X663" s="1307"/>
      <c r="Y663" s="1307"/>
      <c r="Z663" s="1307"/>
      <c r="AA663" s="1307"/>
      <c r="AB663" s="1307"/>
      <c r="AC663" s="1307"/>
      <c r="AD663" s="1307"/>
      <c r="AE663" s="1307"/>
      <c r="AF663" s="1307"/>
      <c r="AG663" s="1307"/>
      <c r="AH663" s="1307"/>
      <c r="AI663" s="1307"/>
      <c r="AJ663" s="1307"/>
      <c r="AK663" s="1307"/>
      <c r="AL663" s="1307"/>
      <c r="AM663" s="1307"/>
      <c r="AN663" s="1307"/>
      <c r="AO663" s="1307"/>
      <c r="AP663" s="1307"/>
      <c r="AQ663" s="1307"/>
      <c r="AR663" s="1307"/>
      <c r="AS663" s="1307"/>
      <c r="AT663" s="1307"/>
      <c r="AU663" s="1307"/>
      <c r="AV663" s="1307"/>
      <c r="AW663" s="1307"/>
      <c r="AX663" s="1308"/>
      <c r="AY663" s="1307"/>
      <c r="AZ663" s="1307"/>
      <c r="BA663" s="1307"/>
      <c r="BB663" s="1307"/>
      <c r="BC663" s="1307"/>
      <c r="BD663" s="1307"/>
      <c r="BE663" s="1309"/>
      <c r="BF663" s="1307"/>
      <c r="BG663" s="1307"/>
      <c r="BH663" s="1307"/>
      <c r="BI663" s="1307"/>
      <c r="BJ663" s="1307"/>
      <c r="BK663" s="1307"/>
      <c r="BL663" s="1307"/>
      <c r="BM663" s="1307"/>
      <c r="BN663" s="1308"/>
      <c r="BO663" s="1307"/>
      <c r="BP663" s="1307"/>
      <c r="BQ663" s="1307"/>
      <c r="BR663" s="1307"/>
      <c r="BS663" s="1307"/>
      <c r="BT663" s="1307"/>
      <c r="BU663" s="1309"/>
      <c r="BV663" s="1539"/>
      <c r="BW663" s="1155"/>
      <c r="BX663" s="1155"/>
      <c r="BY663" s="1155"/>
      <c r="BZ663" s="1155"/>
      <c r="CA663" s="1155"/>
      <c r="CB663" s="1155"/>
      <c r="CC663" s="1540"/>
      <c r="CD663" s="1539">
        <v>0</v>
      </c>
      <c r="CE663" s="1155">
        <v>0.02</v>
      </c>
      <c r="CF663" s="1155"/>
      <c r="CG663" s="1155">
        <v>0.08</v>
      </c>
      <c r="CH663" s="1155"/>
      <c r="CI663" s="1155">
        <v>0.03</v>
      </c>
      <c r="CJ663" s="1155"/>
      <c r="CK663" s="1540"/>
      <c r="CL663" s="1420">
        <v>0.07</v>
      </c>
      <c r="CM663" s="1421">
        <v>0.03</v>
      </c>
      <c r="CN663" s="1155"/>
      <c r="CO663" s="1421">
        <v>-0.06</v>
      </c>
      <c r="CP663" s="1307"/>
      <c r="CQ663" s="1421">
        <v>-0.05</v>
      </c>
      <c r="CR663" s="1307"/>
      <c r="CS663" s="1309"/>
      <c r="CT663" s="1420">
        <v>0.04</v>
      </c>
      <c r="CU663" s="1421">
        <v>0.08</v>
      </c>
      <c r="CV663" s="1421"/>
      <c r="CW663" s="1421">
        <v>0.2</v>
      </c>
      <c r="CX663" s="1421"/>
      <c r="CY663" s="1421">
        <v>0.18</v>
      </c>
      <c r="CZ663" s="1421"/>
      <c r="DA663" s="1422"/>
      <c r="DB663" s="1162">
        <v>0.14</v>
      </c>
      <c r="DC663" s="1156">
        <v>0.04</v>
      </c>
      <c r="DD663" s="1156"/>
      <c r="DE663" s="1156">
        <v>0</v>
      </c>
      <c r="DF663" s="1541"/>
      <c r="DG663" s="1156">
        <v>-0.05</v>
      </c>
      <c r="DH663" s="1156"/>
      <c r="DI663" s="1157"/>
      <c r="DJ663" s="1156"/>
      <c r="DK663" s="1156"/>
      <c r="DL663" s="1156"/>
      <c r="DM663" s="1156"/>
      <c r="DN663" s="1541"/>
      <c r="DO663" s="1156"/>
      <c r="DP663" s="1156"/>
      <c r="DQ663" s="1157"/>
      <c r="DR663" s="1156"/>
      <c r="DS663" s="1156"/>
      <c r="DT663" s="1156"/>
      <c r="DU663" s="1156"/>
      <c r="DV663" s="1541"/>
      <c r="DW663" s="1156"/>
      <c r="DX663" s="1156"/>
      <c r="DY663" s="1157"/>
      <c r="DZ663" s="1156"/>
      <c r="EA663" s="1156"/>
      <c r="EB663" s="1156"/>
      <c r="EC663" s="1156"/>
      <c r="ED663" s="1541"/>
      <c r="EE663" s="1156"/>
      <c r="EF663" s="1156"/>
      <c r="EG663" s="1157"/>
      <c r="EH663" s="1156"/>
      <c r="EI663" s="1156"/>
      <c r="EJ663" s="1156"/>
      <c r="EK663" s="1156"/>
      <c r="EL663" s="1541"/>
      <c r="EM663" s="1156"/>
      <c r="EN663" s="1156"/>
      <c r="EO663" s="1157"/>
      <c r="EP663" s="1156"/>
      <c r="EQ663" s="1156"/>
      <c r="ER663" s="1156"/>
      <c r="ES663" s="1156"/>
      <c r="ET663" s="1156"/>
      <c r="EU663" s="1156"/>
      <c r="EV663" s="1156"/>
      <c r="IX663" s="1049"/>
      <c r="IY663" s="1049"/>
      <c r="IZ663" s="1049"/>
      <c r="JA663" s="1049"/>
      <c r="JB663" s="1049"/>
      <c r="JC663" s="1049"/>
      <c r="JD663" s="1112"/>
      <c r="JE663" s="1037"/>
      <c r="JF663" s="1037"/>
      <c r="JG663" s="1037"/>
      <c r="JH663" s="1037"/>
      <c r="JI663" s="1035"/>
      <c r="JJ663" s="1035"/>
      <c r="JK663" s="1035"/>
      <c r="JL663" s="1035"/>
      <c r="JM663" s="1035"/>
      <c r="JN663" s="1035"/>
      <c r="JO663" s="1035"/>
      <c r="JP663" s="1035"/>
      <c r="JQ663" s="1035"/>
      <c r="JR663" s="1035"/>
      <c r="JS663" s="1035"/>
      <c r="JT663" s="1035"/>
      <c r="JU663" s="1035"/>
      <c r="JV663" s="1035"/>
      <c r="JW663" s="1035"/>
      <c r="JX663" s="1035"/>
      <c r="JY663" s="1035"/>
    </row>
    <row r="664" outlineLevel="1" spans="1:285">
      <c r="A664" s="1339" t="s">
        <v>533</v>
      </c>
      <c r="B664" s="1409"/>
      <c r="C664" s="1409"/>
      <c r="D664" s="1409"/>
      <c r="E664" s="1409"/>
      <c r="F664" s="1409"/>
      <c r="G664" s="1409"/>
      <c r="H664" s="1409"/>
      <c r="I664" s="1409"/>
      <c r="J664" s="1409"/>
      <c r="K664" s="1409"/>
      <c r="L664" s="1409"/>
      <c r="M664" s="1409"/>
      <c r="N664" s="1409"/>
      <c r="O664" s="1409"/>
      <c r="P664" s="1409"/>
      <c r="Q664" s="1409"/>
      <c r="R664" s="1409"/>
      <c r="S664" s="1409"/>
      <c r="T664" s="1409"/>
      <c r="U664" s="1409"/>
      <c r="V664" s="1409"/>
      <c r="W664" s="1409"/>
      <c r="X664" s="1409"/>
      <c r="Y664" s="1409"/>
      <c r="Z664" s="1409"/>
      <c r="AA664" s="1409"/>
      <c r="AB664" s="1409"/>
      <c r="AC664" s="1409"/>
      <c r="AD664" s="1409"/>
      <c r="AE664" s="1409"/>
      <c r="AF664" s="1409"/>
      <c r="AG664" s="1409"/>
      <c r="AH664" s="1409"/>
      <c r="AI664" s="1409"/>
      <c r="AJ664" s="1409"/>
      <c r="AK664" s="1409"/>
      <c r="AL664" s="1409"/>
      <c r="AM664" s="1409"/>
      <c r="AN664" s="1409"/>
      <c r="AO664" s="1409"/>
      <c r="AP664" s="1409"/>
      <c r="AQ664" s="1409"/>
      <c r="AR664" s="1409"/>
      <c r="AS664" s="1409"/>
      <c r="AT664" s="1409"/>
      <c r="AU664" s="1409"/>
      <c r="AV664" s="1409"/>
      <c r="AW664" s="1409"/>
      <c r="AX664" s="1408"/>
      <c r="AY664" s="1409"/>
      <c r="AZ664" s="1409"/>
      <c r="BA664" s="1409"/>
      <c r="BB664" s="1409"/>
      <c r="BC664" s="1409"/>
      <c r="BD664" s="1409"/>
      <c r="BE664" s="1410"/>
      <c r="BF664" s="1409"/>
      <c r="BG664" s="1409"/>
      <c r="BH664" s="1409"/>
      <c r="BI664" s="1409"/>
      <c r="BJ664" s="1409"/>
      <c r="BK664" s="1409"/>
      <c r="BL664" s="1409"/>
      <c r="BM664" s="1409"/>
      <c r="BN664" s="1408"/>
      <c r="BO664" s="1409"/>
      <c r="BP664" s="1409"/>
      <c r="BQ664" s="1409"/>
      <c r="BR664" s="1409"/>
      <c r="BS664" s="1409"/>
      <c r="BT664" s="1409"/>
      <c r="BU664" s="1410"/>
      <c r="BV664" s="1526"/>
      <c r="BW664" s="1061"/>
      <c r="BX664" s="1061"/>
      <c r="BY664" s="1061"/>
      <c r="BZ664" s="1061"/>
      <c r="CA664" s="1061"/>
      <c r="CB664" s="1061"/>
      <c r="CC664" s="1527"/>
      <c r="CD664" s="1526"/>
      <c r="CE664" s="1061"/>
      <c r="CF664" s="1061"/>
      <c r="CG664" s="1061"/>
      <c r="CH664" s="1061"/>
      <c r="CI664" s="1061"/>
      <c r="CJ664" s="1061"/>
      <c r="CK664" s="1527"/>
      <c r="CL664" s="1303"/>
      <c r="CM664" s="1302"/>
      <c r="CN664" s="1061"/>
      <c r="CO664" s="1302"/>
      <c r="CP664" s="1409"/>
      <c r="CQ664" s="1302">
        <v>-0.06</v>
      </c>
      <c r="CR664" s="1409"/>
      <c r="CS664" s="1410"/>
      <c r="CT664" s="1303">
        <v>0</v>
      </c>
      <c r="CU664" s="1302">
        <v>0.07</v>
      </c>
      <c r="CV664" s="1302"/>
      <c r="CW664" s="1302">
        <v>0.17</v>
      </c>
      <c r="CX664" s="1302"/>
      <c r="CY664" s="1302">
        <v>0.11</v>
      </c>
      <c r="CZ664" s="1302"/>
      <c r="DA664" s="1304"/>
      <c r="DB664" s="1109">
        <v>0.15</v>
      </c>
      <c r="DC664" s="1082">
        <v>0.01</v>
      </c>
      <c r="DD664" s="1082"/>
      <c r="DE664" s="1082">
        <v>-0.01</v>
      </c>
      <c r="DF664" s="1488"/>
      <c r="DG664" s="1082">
        <v>-0.07</v>
      </c>
      <c r="DH664" s="1082"/>
      <c r="DI664" s="1085"/>
      <c r="DJ664" s="1082"/>
      <c r="DK664" s="1082"/>
      <c r="DL664" s="1082"/>
      <c r="DM664" s="1082"/>
      <c r="DN664" s="1488"/>
      <c r="DO664" s="1082"/>
      <c r="DP664" s="1082"/>
      <c r="DQ664" s="1085"/>
      <c r="DR664" s="1082"/>
      <c r="DS664" s="1082"/>
      <c r="DT664" s="1082"/>
      <c r="DU664" s="1082"/>
      <c r="DV664" s="1488"/>
      <c r="DW664" s="1082"/>
      <c r="DX664" s="1082"/>
      <c r="DY664" s="1085"/>
      <c r="DZ664" s="1082"/>
      <c r="EA664" s="1082"/>
      <c r="EB664" s="1082"/>
      <c r="EC664" s="1082"/>
      <c r="ED664" s="1488"/>
      <c r="EE664" s="1082"/>
      <c r="EF664" s="1082"/>
      <c r="EG664" s="1085"/>
      <c r="EH664" s="1082"/>
      <c r="EI664" s="1082"/>
      <c r="EJ664" s="1082"/>
      <c r="EK664" s="1082"/>
      <c r="EL664" s="1488"/>
      <c r="EM664" s="1082"/>
      <c r="EN664" s="1082"/>
      <c r="EO664" s="1085"/>
      <c r="EP664" s="1082"/>
      <c r="EQ664" s="1082"/>
      <c r="ER664" s="1082"/>
      <c r="ES664" s="1082"/>
      <c r="ET664" s="1082"/>
      <c r="EU664" s="1082"/>
      <c r="EV664" s="1082"/>
      <c r="IX664" s="1049"/>
      <c r="IY664" s="1049"/>
      <c r="IZ664" s="1049"/>
      <c r="JA664" s="1049"/>
      <c r="JB664" s="1049"/>
      <c r="JC664" s="1049"/>
      <c r="JD664" s="1112"/>
      <c r="JE664" s="1037"/>
      <c r="JF664" s="1037"/>
      <c r="JG664" s="1037"/>
      <c r="JH664" s="1037"/>
      <c r="JI664" s="1035"/>
      <c r="JJ664" s="1035"/>
      <c r="JK664" s="1035"/>
      <c r="JL664" s="1035"/>
      <c r="JM664" s="1035"/>
      <c r="JN664" s="1035"/>
      <c r="JO664" s="1035"/>
      <c r="JP664" s="1035"/>
      <c r="JQ664" s="1035"/>
      <c r="JR664" s="1035"/>
      <c r="JS664" s="1035"/>
      <c r="JT664" s="1035"/>
      <c r="JU664" s="1035"/>
      <c r="JV664" s="1035"/>
      <c r="JW664" s="1035"/>
      <c r="JX664" s="1035"/>
      <c r="JY664" s="1035"/>
    </row>
    <row r="665" outlineLevel="1" spans="1:285">
      <c r="A665" s="1339" t="s">
        <v>654</v>
      </c>
      <c r="B665" s="1409"/>
      <c r="C665" s="1409"/>
      <c r="D665" s="1409"/>
      <c r="E665" s="1409"/>
      <c r="F665" s="1409"/>
      <c r="G665" s="1409"/>
      <c r="H665" s="1409"/>
      <c r="I665" s="1409"/>
      <c r="J665" s="1409"/>
      <c r="K665" s="1409"/>
      <c r="L665" s="1409"/>
      <c r="M665" s="1409"/>
      <c r="N665" s="1409"/>
      <c r="O665" s="1409"/>
      <c r="P665" s="1409"/>
      <c r="Q665" s="1409"/>
      <c r="R665" s="1409"/>
      <c r="S665" s="1409"/>
      <c r="T665" s="1409"/>
      <c r="U665" s="1409"/>
      <c r="V665" s="1409"/>
      <c r="W665" s="1409"/>
      <c r="X665" s="1409"/>
      <c r="Y665" s="1409"/>
      <c r="Z665" s="1409"/>
      <c r="AA665" s="1409"/>
      <c r="AB665" s="1409"/>
      <c r="AC665" s="1409"/>
      <c r="AD665" s="1409"/>
      <c r="AE665" s="1409"/>
      <c r="AF665" s="1409"/>
      <c r="AG665" s="1409"/>
      <c r="AH665" s="1409"/>
      <c r="AI665" s="1409"/>
      <c r="AJ665" s="1409"/>
      <c r="AK665" s="1409"/>
      <c r="AL665" s="1409"/>
      <c r="AM665" s="1409"/>
      <c r="AN665" s="1409"/>
      <c r="AO665" s="1409"/>
      <c r="AP665" s="1409"/>
      <c r="AQ665" s="1409"/>
      <c r="AR665" s="1409"/>
      <c r="AS665" s="1409"/>
      <c r="AT665" s="1409"/>
      <c r="AU665" s="1409"/>
      <c r="AV665" s="1409"/>
      <c r="AW665" s="1409"/>
      <c r="AX665" s="1408"/>
      <c r="AY665" s="1409"/>
      <c r="AZ665" s="1409"/>
      <c r="BA665" s="1409"/>
      <c r="BB665" s="1409"/>
      <c r="BC665" s="1409"/>
      <c r="BD665" s="1409"/>
      <c r="BE665" s="1410"/>
      <c r="BF665" s="1409"/>
      <c r="BG665" s="1409"/>
      <c r="BH665" s="1409"/>
      <c r="BI665" s="1409"/>
      <c r="BJ665" s="1409"/>
      <c r="BK665" s="1409"/>
      <c r="BL665" s="1409"/>
      <c r="BM665" s="1409"/>
      <c r="BN665" s="1408"/>
      <c r="BO665" s="1409"/>
      <c r="BP665" s="1409"/>
      <c r="BQ665" s="1409"/>
      <c r="BR665" s="1409"/>
      <c r="BS665" s="1409"/>
      <c r="BT665" s="1409"/>
      <c r="BU665" s="1410"/>
      <c r="BV665" s="1526"/>
      <c r="BW665" s="1061"/>
      <c r="BX665" s="1061"/>
      <c r="BY665" s="1061"/>
      <c r="BZ665" s="1061"/>
      <c r="CA665" s="1061"/>
      <c r="CB665" s="1061"/>
      <c r="CC665" s="1527"/>
      <c r="CD665" s="1526"/>
      <c r="CE665" s="1061"/>
      <c r="CF665" s="1061"/>
      <c r="CG665" s="1061"/>
      <c r="CH665" s="1061"/>
      <c r="CI665" s="1061"/>
      <c r="CJ665" s="1061"/>
      <c r="CK665" s="1527"/>
      <c r="CL665" s="1303"/>
      <c r="CM665" s="1302"/>
      <c r="CN665" s="1061"/>
      <c r="CO665" s="1302"/>
      <c r="CP665" s="1409"/>
      <c r="CQ665" s="1302">
        <v>-0.05</v>
      </c>
      <c r="CR665" s="1409"/>
      <c r="CS665" s="1410"/>
      <c r="CT665" s="1303">
        <v>0.02</v>
      </c>
      <c r="CU665" s="1302">
        <v>0.07</v>
      </c>
      <c r="CV665" s="1302"/>
      <c r="CW665" s="1302">
        <v>0.18</v>
      </c>
      <c r="CX665" s="1302"/>
      <c r="CY665" s="1302">
        <v>0.14</v>
      </c>
      <c r="CZ665" s="1302"/>
      <c r="DA665" s="1304"/>
      <c r="DB665" s="1109">
        <v>0.19</v>
      </c>
      <c r="DC665" s="1082">
        <v>0.05</v>
      </c>
      <c r="DD665" s="1082"/>
      <c r="DE665" s="1082">
        <v>0.01</v>
      </c>
      <c r="DF665" s="1488"/>
      <c r="DG665" s="1082">
        <v>-0.03</v>
      </c>
      <c r="DH665" s="1082"/>
      <c r="DI665" s="1085"/>
      <c r="DJ665" s="1082"/>
      <c r="DK665" s="1082"/>
      <c r="DL665" s="1082"/>
      <c r="DM665" s="1082"/>
      <c r="DN665" s="1488"/>
      <c r="DO665" s="1082"/>
      <c r="DP665" s="1082"/>
      <c r="DQ665" s="1085"/>
      <c r="DR665" s="1082"/>
      <c r="DS665" s="1082"/>
      <c r="DT665" s="1082"/>
      <c r="DU665" s="1082"/>
      <c r="DV665" s="1488"/>
      <c r="DW665" s="1082"/>
      <c r="DX665" s="1082"/>
      <c r="DY665" s="1085"/>
      <c r="DZ665" s="1082"/>
      <c r="EA665" s="1082"/>
      <c r="EB665" s="1082"/>
      <c r="EC665" s="1082"/>
      <c r="ED665" s="1488"/>
      <c r="EE665" s="1082"/>
      <c r="EF665" s="1082"/>
      <c r="EG665" s="1085"/>
      <c r="EH665" s="1082"/>
      <c r="EI665" s="1082"/>
      <c r="EJ665" s="1082"/>
      <c r="EK665" s="1082"/>
      <c r="EL665" s="1488"/>
      <c r="EM665" s="1082"/>
      <c r="EN665" s="1082"/>
      <c r="EO665" s="1085"/>
      <c r="EP665" s="1082"/>
      <c r="EQ665" s="1082"/>
      <c r="ER665" s="1082"/>
      <c r="ES665" s="1082"/>
      <c r="ET665" s="1082"/>
      <c r="EU665" s="1082"/>
      <c r="EV665" s="1082"/>
      <c r="IX665" s="1049"/>
      <c r="IY665" s="1049"/>
      <c r="IZ665" s="1049"/>
      <c r="JA665" s="1049"/>
      <c r="JB665" s="1049"/>
      <c r="JC665" s="1049"/>
      <c r="JD665" s="1112"/>
      <c r="JE665" s="1037"/>
      <c r="JF665" s="1037"/>
      <c r="JG665" s="1037"/>
      <c r="JH665" s="1037"/>
      <c r="JI665" s="1035"/>
      <c r="JJ665" s="1035"/>
      <c r="JK665" s="1035"/>
      <c r="JL665" s="1035"/>
      <c r="JM665" s="1035"/>
      <c r="JN665" s="1035"/>
      <c r="JO665" s="1035"/>
      <c r="JP665" s="1035"/>
      <c r="JQ665" s="1035"/>
      <c r="JR665" s="1035"/>
      <c r="JS665" s="1035"/>
      <c r="JT665" s="1035"/>
      <c r="JU665" s="1035"/>
      <c r="JV665" s="1035"/>
      <c r="JW665" s="1035"/>
      <c r="JX665" s="1035"/>
      <c r="JY665" s="1035"/>
    </row>
    <row r="666" outlineLevel="1" spans="1:285">
      <c r="A666" s="1339" t="s">
        <v>536</v>
      </c>
      <c r="B666" s="1409"/>
      <c r="C666" s="1409"/>
      <c r="D666" s="1409"/>
      <c r="E666" s="1409"/>
      <c r="F666" s="1409"/>
      <c r="G666" s="1409"/>
      <c r="H666" s="1409"/>
      <c r="I666" s="1409"/>
      <c r="J666" s="1409"/>
      <c r="K666" s="1409"/>
      <c r="L666" s="1409"/>
      <c r="M666" s="1409"/>
      <c r="N666" s="1409"/>
      <c r="O666" s="1409"/>
      <c r="P666" s="1409"/>
      <c r="Q666" s="1409"/>
      <c r="R666" s="1409"/>
      <c r="S666" s="1409"/>
      <c r="T666" s="1409"/>
      <c r="U666" s="1409"/>
      <c r="V666" s="1409"/>
      <c r="W666" s="1409"/>
      <c r="X666" s="1409"/>
      <c r="Y666" s="1409"/>
      <c r="Z666" s="1409"/>
      <c r="AA666" s="1409"/>
      <c r="AB666" s="1409"/>
      <c r="AC666" s="1409"/>
      <c r="AD666" s="1409"/>
      <c r="AE666" s="1409"/>
      <c r="AF666" s="1409"/>
      <c r="AG666" s="1409"/>
      <c r="AH666" s="1409"/>
      <c r="AI666" s="1409"/>
      <c r="AJ666" s="1409"/>
      <c r="AK666" s="1409"/>
      <c r="AL666" s="1409"/>
      <c r="AM666" s="1409"/>
      <c r="AN666" s="1409"/>
      <c r="AO666" s="1409"/>
      <c r="AP666" s="1409"/>
      <c r="AQ666" s="1409"/>
      <c r="AR666" s="1409"/>
      <c r="AS666" s="1409"/>
      <c r="AT666" s="1409"/>
      <c r="AU666" s="1409"/>
      <c r="AV666" s="1409"/>
      <c r="AW666" s="1409"/>
      <c r="AX666" s="1408"/>
      <c r="AY666" s="1409"/>
      <c r="AZ666" s="1409"/>
      <c r="BA666" s="1409"/>
      <c r="BB666" s="1409"/>
      <c r="BC666" s="1409"/>
      <c r="BD666" s="1409"/>
      <c r="BE666" s="1410"/>
      <c r="BF666" s="1409"/>
      <c r="BG666" s="1409"/>
      <c r="BH666" s="1409"/>
      <c r="BI666" s="1409"/>
      <c r="BJ666" s="1409"/>
      <c r="BK666" s="1409"/>
      <c r="BL666" s="1409"/>
      <c r="BM666" s="1409"/>
      <c r="BN666" s="1408"/>
      <c r="BO666" s="1409"/>
      <c r="BP666" s="1409"/>
      <c r="BQ666" s="1409"/>
      <c r="BR666" s="1409"/>
      <c r="BS666" s="1409"/>
      <c r="BT666" s="1409"/>
      <c r="BU666" s="1410"/>
      <c r="BV666" s="1526"/>
      <c r="BW666" s="1061"/>
      <c r="BX666" s="1061"/>
      <c r="BY666" s="1061"/>
      <c r="BZ666" s="1061"/>
      <c r="CA666" s="1061"/>
      <c r="CB666" s="1061"/>
      <c r="CC666" s="1527"/>
      <c r="CD666" s="1526"/>
      <c r="CE666" s="1061"/>
      <c r="CF666" s="1061"/>
      <c r="CG666" s="1061"/>
      <c r="CH666" s="1061"/>
      <c r="CI666" s="1061"/>
      <c r="CJ666" s="1061"/>
      <c r="CK666" s="1527"/>
      <c r="CL666" s="1303"/>
      <c r="CM666" s="1302"/>
      <c r="CN666" s="1061"/>
      <c r="CO666" s="1302"/>
      <c r="CP666" s="1409"/>
      <c r="CQ666" s="1302">
        <v>-0.02</v>
      </c>
      <c r="CR666" s="1409"/>
      <c r="CS666" s="1410"/>
      <c r="CT666" s="1303">
        <v>0.06</v>
      </c>
      <c r="CU666" s="1302">
        <v>0.08</v>
      </c>
      <c r="CV666" s="1302"/>
      <c r="CW666" s="1302">
        <v>0.25</v>
      </c>
      <c r="CX666" s="1302"/>
      <c r="CY666" s="1302">
        <v>0.17</v>
      </c>
      <c r="CZ666" s="1302"/>
      <c r="DA666" s="1304"/>
      <c r="DB666" s="1109">
        <v>0.06</v>
      </c>
      <c r="DC666" s="1082">
        <v>0.02</v>
      </c>
      <c r="DD666" s="1082"/>
      <c r="DE666" s="1082">
        <v>-0.04</v>
      </c>
      <c r="DF666" s="1488"/>
      <c r="DG666" s="1082">
        <v>-0.09</v>
      </c>
      <c r="DH666" s="1082"/>
      <c r="DI666" s="1085"/>
      <c r="DJ666" s="1082"/>
      <c r="DK666" s="1082"/>
      <c r="DL666" s="1082"/>
      <c r="DM666" s="1082"/>
      <c r="DN666" s="1488"/>
      <c r="DO666" s="1082"/>
      <c r="DP666" s="1082"/>
      <c r="DQ666" s="1085"/>
      <c r="DR666" s="1082"/>
      <c r="DS666" s="1082"/>
      <c r="DT666" s="1082"/>
      <c r="DU666" s="1082"/>
      <c r="DV666" s="1488"/>
      <c r="DW666" s="1082"/>
      <c r="DX666" s="1082"/>
      <c r="DY666" s="1085"/>
      <c r="DZ666" s="1082"/>
      <c r="EA666" s="1082"/>
      <c r="EB666" s="1082"/>
      <c r="EC666" s="1082"/>
      <c r="ED666" s="1488"/>
      <c r="EE666" s="1082"/>
      <c r="EF666" s="1082"/>
      <c r="EG666" s="1085"/>
      <c r="EH666" s="1082"/>
      <c r="EI666" s="1082"/>
      <c r="EJ666" s="1082"/>
      <c r="EK666" s="1082"/>
      <c r="EL666" s="1488"/>
      <c r="EM666" s="1082"/>
      <c r="EN666" s="1082"/>
      <c r="EO666" s="1085"/>
      <c r="EP666" s="1082"/>
      <c r="EQ666" s="1082"/>
      <c r="ER666" s="1082"/>
      <c r="ES666" s="1082"/>
      <c r="ET666" s="1082"/>
      <c r="EU666" s="1082"/>
      <c r="EV666" s="1082"/>
      <c r="IX666" s="1049"/>
      <c r="IY666" s="1049"/>
      <c r="IZ666" s="1049"/>
      <c r="JA666" s="1049"/>
      <c r="JB666" s="1049"/>
      <c r="JC666" s="1049"/>
      <c r="JD666" s="1112"/>
      <c r="JE666" s="1037"/>
      <c r="JF666" s="1037"/>
      <c r="JG666" s="1037"/>
      <c r="JH666" s="1037"/>
      <c r="JI666" s="1035"/>
      <c r="JJ666" s="1035"/>
      <c r="JK666" s="1035"/>
      <c r="JL666" s="1035"/>
      <c r="JM666" s="1035"/>
      <c r="JN666" s="1035"/>
      <c r="JO666" s="1035"/>
      <c r="JP666" s="1035"/>
      <c r="JQ666" s="1035"/>
      <c r="JR666" s="1035"/>
      <c r="JS666" s="1035"/>
      <c r="JT666" s="1035"/>
      <c r="JU666" s="1035"/>
      <c r="JV666" s="1035"/>
      <c r="JW666" s="1035"/>
      <c r="JX666" s="1035"/>
      <c r="JY666" s="1035"/>
    </row>
    <row r="667" outlineLevel="1" spans="1:285">
      <c r="A667" s="1339" t="s">
        <v>654</v>
      </c>
      <c r="B667" s="1409"/>
      <c r="C667" s="1409"/>
      <c r="D667" s="1409"/>
      <c r="E667" s="1409"/>
      <c r="F667" s="1409"/>
      <c r="G667" s="1409"/>
      <c r="H667" s="1409"/>
      <c r="I667" s="1409"/>
      <c r="J667" s="1409"/>
      <c r="K667" s="1409"/>
      <c r="L667" s="1409"/>
      <c r="M667" s="1409"/>
      <c r="N667" s="1409"/>
      <c r="O667" s="1409"/>
      <c r="P667" s="1409"/>
      <c r="Q667" s="1409"/>
      <c r="R667" s="1409"/>
      <c r="S667" s="1409"/>
      <c r="T667" s="1409"/>
      <c r="U667" s="1409"/>
      <c r="V667" s="1409"/>
      <c r="W667" s="1409"/>
      <c r="X667" s="1409"/>
      <c r="Y667" s="1409"/>
      <c r="Z667" s="1409"/>
      <c r="AA667" s="1409"/>
      <c r="AB667" s="1409"/>
      <c r="AC667" s="1409"/>
      <c r="AD667" s="1409"/>
      <c r="AE667" s="1409"/>
      <c r="AF667" s="1409"/>
      <c r="AG667" s="1409"/>
      <c r="AH667" s="1409"/>
      <c r="AI667" s="1409"/>
      <c r="AJ667" s="1409"/>
      <c r="AK667" s="1409"/>
      <c r="AL667" s="1409"/>
      <c r="AM667" s="1409"/>
      <c r="AN667" s="1409"/>
      <c r="AO667" s="1409"/>
      <c r="AP667" s="1409"/>
      <c r="AQ667" s="1409"/>
      <c r="AR667" s="1409"/>
      <c r="AS667" s="1409"/>
      <c r="AT667" s="1409"/>
      <c r="AU667" s="1409"/>
      <c r="AV667" s="1409"/>
      <c r="AW667" s="1409"/>
      <c r="AX667" s="1408"/>
      <c r="AY667" s="1409"/>
      <c r="AZ667" s="1409"/>
      <c r="BA667" s="1409"/>
      <c r="BB667" s="1409"/>
      <c r="BC667" s="1409"/>
      <c r="BD667" s="1409"/>
      <c r="BE667" s="1410"/>
      <c r="BF667" s="1409"/>
      <c r="BG667" s="1409"/>
      <c r="BH667" s="1409"/>
      <c r="BI667" s="1409"/>
      <c r="BJ667" s="1409"/>
      <c r="BK667" s="1409"/>
      <c r="BL667" s="1409"/>
      <c r="BM667" s="1409"/>
      <c r="BN667" s="1408"/>
      <c r="BO667" s="1409"/>
      <c r="BP667" s="1409"/>
      <c r="BQ667" s="1409"/>
      <c r="BR667" s="1409"/>
      <c r="BS667" s="1409"/>
      <c r="BT667" s="1409"/>
      <c r="BU667" s="1410"/>
      <c r="BV667" s="1526"/>
      <c r="BW667" s="1061"/>
      <c r="BX667" s="1061"/>
      <c r="BY667" s="1061"/>
      <c r="BZ667" s="1061"/>
      <c r="CA667" s="1061"/>
      <c r="CB667" s="1061"/>
      <c r="CC667" s="1527"/>
      <c r="CD667" s="1526"/>
      <c r="CE667" s="1061"/>
      <c r="CF667" s="1061"/>
      <c r="CG667" s="1061"/>
      <c r="CH667" s="1061"/>
      <c r="CI667" s="1061"/>
      <c r="CJ667" s="1061"/>
      <c r="CK667" s="1527"/>
      <c r="CL667" s="1303"/>
      <c r="CM667" s="1302"/>
      <c r="CN667" s="1061"/>
      <c r="CO667" s="1302"/>
      <c r="CP667" s="1409"/>
      <c r="CQ667" s="1302">
        <v>-0.01</v>
      </c>
      <c r="CR667" s="1409"/>
      <c r="CS667" s="1410"/>
      <c r="CT667" s="1303">
        <v>0.07</v>
      </c>
      <c r="CU667" s="1302">
        <v>0.08</v>
      </c>
      <c r="CV667" s="1302"/>
      <c r="CW667" s="1302">
        <v>0.26</v>
      </c>
      <c r="CX667" s="1302"/>
      <c r="CY667" s="1302">
        <v>0.2</v>
      </c>
      <c r="CZ667" s="1302"/>
      <c r="DA667" s="1304"/>
      <c r="DB667" s="1109">
        <v>0.1</v>
      </c>
      <c r="DC667" s="1082">
        <v>0.07</v>
      </c>
      <c r="DD667" s="1082"/>
      <c r="DE667" s="1082">
        <v>-0.02</v>
      </c>
      <c r="DF667" s="1488"/>
      <c r="DG667" s="1082">
        <v>-0.04</v>
      </c>
      <c r="DH667" s="1082"/>
      <c r="DI667" s="1085"/>
      <c r="DJ667" s="1082"/>
      <c r="DK667" s="1082"/>
      <c r="DL667" s="1082"/>
      <c r="DM667" s="1082"/>
      <c r="DN667" s="1488"/>
      <c r="DO667" s="1082"/>
      <c r="DP667" s="1082"/>
      <c r="DQ667" s="1085"/>
      <c r="DR667" s="1082"/>
      <c r="DS667" s="1082"/>
      <c r="DT667" s="1082"/>
      <c r="DU667" s="1082"/>
      <c r="DV667" s="1488"/>
      <c r="DW667" s="1082"/>
      <c r="DX667" s="1082"/>
      <c r="DY667" s="1085"/>
      <c r="DZ667" s="1082"/>
      <c r="EA667" s="1082"/>
      <c r="EB667" s="1082"/>
      <c r="EC667" s="1082"/>
      <c r="ED667" s="1488"/>
      <c r="EE667" s="1082"/>
      <c r="EF667" s="1082"/>
      <c r="EG667" s="1085"/>
      <c r="EH667" s="1082"/>
      <c r="EI667" s="1082"/>
      <c r="EJ667" s="1082"/>
      <c r="EK667" s="1082"/>
      <c r="EL667" s="1488"/>
      <c r="EM667" s="1082"/>
      <c r="EN667" s="1082"/>
      <c r="EO667" s="1085"/>
      <c r="EP667" s="1082"/>
      <c r="EQ667" s="1082"/>
      <c r="ER667" s="1082"/>
      <c r="ES667" s="1082"/>
      <c r="ET667" s="1082"/>
      <c r="EU667" s="1082"/>
      <c r="EV667" s="1082"/>
      <c r="IX667" s="1049"/>
      <c r="IY667" s="1049"/>
      <c r="IZ667" s="1049"/>
      <c r="JA667" s="1049"/>
      <c r="JB667" s="1049"/>
      <c r="JC667" s="1049"/>
      <c r="JD667" s="1112"/>
      <c r="JE667" s="1037"/>
      <c r="JF667" s="1037"/>
      <c r="JG667" s="1037"/>
      <c r="JH667" s="1037"/>
      <c r="JI667" s="1035"/>
      <c r="JJ667" s="1035"/>
      <c r="JK667" s="1035"/>
      <c r="JL667" s="1035"/>
      <c r="JM667" s="1035"/>
      <c r="JN667" s="1035"/>
      <c r="JO667" s="1035"/>
      <c r="JP667" s="1035"/>
      <c r="JQ667" s="1035"/>
      <c r="JR667" s="1035"/>
      <c r="JS667" s="1035"/>
      <c r="JT667" s="1035"/>
      <c r="JU667" s="1035"/>
      <c r="JV667" s="1035"/>
      <c r="JW667" s="1035"/>
      <c r="JX667" s="1035"/>
      <c r="JY667" s="1035"/>
    </row>
    <row r="668" outlineLevel="1" spans="1:285">
      <c r="A668" s="1528" t="s">
        <v>643</v>
      </c>
      <c r="B668" s="1499"/>
      <c r="C668" s="1499"/>
      <c r="D668" s="1499"/>
      <c r="E668" s="1499"/>
      <c r="F668" s="1499"/>
      <c r="G668" s="1499"/>
      <c r="H668" s="1499"/>
      <c r="I668" s="1499"/>
      <c r="J668" s="1499"/>
      <c r="K668" s="1499"/>
      <c r="L668" s="1499"/>
      <c r="M668" s="1499"/>
      <c r="N668" s="1499"/>
      <c r="O668" s="1499"/>
      <c r="P668" s="1499"/>
      <c r="Q668" s="1499"/>
      <c r="R668" s="1499"/>
      <c r="S668" s="1499"/>
      <c r="T668" s="1499"/>
      <c r="U668" s="1499"/>
      <c r="V668" s="1499"/>
      <c r="W668" s="1499"/>
      <c r="X668" s="1499"/>
      <c r="Y668" s="1499"/>
      <c r="Z668" s="1499"/>
      <c r="AA668" s="1499"/>
      <c r="AB668" s="1499"/>
      <c r="AC668" s="1499"/>
      <c r="AD668" s="1499"/>
      <c r="AE668" s="1499"/>
      <c r="AF668" s="1499"/>
      <c r="AG668" s="1499"/>
      <c r="AH668" s="1499"/>
      <c r="AI668" s="1499"/>
      <c r="AJ668" s="1499"/>
      <c r="AK668" s="1499"/>
      <c r="AL668" s="1499"/>
      <c r="AM668" s="1499"/>
      <c r="AN668" s="1499"/>
      <c r="AO668" s="1499"/>
      <c r="AP668" s="1499"/>
      <c r="AQ668" s="1499"/>
      <c r="AR668" s="1499"/>
      <c r="AS668" s="1499"/>
      <c r="AT668" s="1499"/>
      <c r="AU668" s="1499"/>
      <c r="AV668" s="1499"/>
      <c r="AW668" s="1499"/>
      <c r="AX668" s="1500"/>
      <c r="AY668" s="1499"/>
      <c r="AZ668" s="1499"/>
      <c r="BA668" s="1499"/>
      <c r="BB668" s="1499"/>
      <c r="BC668" s="1499"/>
      <c r="BD668" s="1499"/>
      <c r="BE668" s="1501"/>
      <c r="BF668" s="1499"/>
      <c r="BG668" s="1499"/>
      <c r="BH668" s="1499"/>
      <c r="BI668" s="1499"/>
      <c r="BJ668" s="1499"/>
      <c r="BK668" s="1499"/>
      <c r="BL668" s="1499"/>
      <c r="BM668" s="1499"/>
      <c r="BN668" s="1500"/>
      <c r="BO668" s="1499"/>
      <c r="BP668" s="1499"/>
      <c r="BQ668" s="1499"/>
      <c r="BR668" s="1499"/>
      <c r="BS668" s="1499"/>
      <c r="BT668" s="1499"/>
      <c r="BU668" s="1501"/>
      <c r="BV668" s="1529">
        <v>-0.14</v>
      </c>
      <c r="BW668" s="1530">
        <v>-0.02</v>
      </c>
      <c r="BX668" s="1530"/>
      <c r="BY668" s="1530">
        <v>0</v>
      </c>
      <c r="BZ668" s="1530"/>
      <c r="CA668" s="1530">
        <v>0</v>
      </c>
      <c r="CB668" s="1530"/>
      <c r="CC668" s="1531"/>
      <c r="CD668" s="1529">
        <v>0.03</v>
      </c>
      <c r="CE668" s="1530">
        <v>0.1</v>
      </c>
      <c r="CF668" s="1530"/>
      <c r="CG668" s="1530">
        <v>0.18</v>
      </c>
      <c r="CH668" s="1530"/>
      <c r="CI668" s="1530">
        <v>0.35</v>
      </c>
      <c r="CJ668" s="1530"/>
      <c r="CK668" s="1531"/>
      <c r="CL668" s="1532">
        <v>0.19</v>
      </c>
      <c r="CM668" s="1533">
        <v>0.03</v>
      </c>
      <c r="CN668" s="1530"/>
      <c r="CO668" s="1533">
        <v>0.02</v>
      </c>
      <c r="CP668" s="1499"/>
      <c r="CQ668" s="1533">
        <v>-0.16</v>
      </c>
      <c r="CR668" s="1499"/>
      <c r="CS668" s="1501"/>
      <c r="CT668" s="1532">
        <v>-0.07</v>
      </c>
      <c r="CU668" s="1533">
        <v>-0.01</v>
      </c>
      <c r="CV668" s="1533"/>
      <c r="CW668" s="1533">
        <v>-0.08</v>
      </c>
      <c r="CX668" s="1533"/>
      <c r="CY668" s="1533">
        <v>-0.11</v>
      </c>
      <c r="CZ668" s="1533"/>
      <c r="DA668" s="1534"/>
      <c r="DB668" s="1535">
        <v>-0.16</v>
      </c>
      <c r="DC668" s="1536">
        <v>-0.14</v>
      </c>
      <c r="DD668" s="1536"/>
      <c r="DE668" s="1536">
        <v>0.03</v>
      </c>
      <c r="DF668" s="1537"/>
      <c r="DG668" s="1536">
        <v>0.04</v>
      </c>
      <c r="DH668" s="1536"/>
      <c r="DI668" s="1538"/>
      <c r="DJ668" s="1536"/>
      <c r="DK668" s="1536"/>
      <c r="DL668" s="1536"/>
      <c r="DM668" s="1536"/>
      <c r="DN668" s="1537"/>
      <c r="DO668" s="1536"/>
      <c r="DP668" s="1536"/>
      <c r="DQ668" s="1538"/>
      <c r="DR668" s="1536"/>
      <c r="DS668" s="1536"/>
      <c r="DT668" s="1536"/>
      <c r="DU668" s="1536"/>
      <c r="DV668" s="1537"/>
      <c r="DW668" s="1536"/>
      <c r="DX668" s="1536"/>
      <c r="DY668" s="1538"/>
      <c r="DZ668" s="1536"/>
      <c r="EA668" s="1536"/>
      <c r="EB668" s="1536"/>
      <c r="EC668" s="1536"/>
      <c r="ED668" s="1537"/>
      <c r="EE668" s="1536"/>
      <c r="EF668" s="1536"/>
      <c r="EG668" s="1538"/>
      <c r="EH668" s="1536"/>
      <c r="EI668" s="1536"/>
      <c r="EJ668" s="1536"/>
      <c r="EK668" s="1536"/>
      <c r="EL668" s="1537"/>
      <c r="EM668" s="1536"/>
      <c r="EN668" s="1536"/>
      <c r="EO668" s="1538"/>
      <c r="EP668" s="1536"/>
      <c r="EQ668" s="1536"/>
      <c r="ER668" s="1536"/>
      <c r="ES668" s="1536"/>
      <c r="ET668" s="1536"/>
      <c r="EU668" s="1536"/>
      <c r="EV668" s="1536"/>
      <c r="IX668" s="1049"/>
      <c r="IY668" s="1049"/>
      <c r="IZ668" s="1049"/>
      <c r="JA668" s="1049"/>
      <c r="JB668" s="1049"/>
      <c r="JC668" s="1049"/>
      <c r="JD668" s="1112"/>
      <c r="JE668" s="1037"/>
      <c r="JF668" s="1037"/>
      <c r="JG668" s="1037"/>
      <c r="JH668" s="1037"/>
      <c r="JI668" s="1035"/>
      <c r="JJ668" s="1035"/>
      <c r="JK668" s="1035"/>
      <c r="JL668" s="1035"/>
      <c r="JM668" s="1035"/>
      <c r="JN668" s="1035"/>
      <c r="JO668" s="1035"/>
      <c r="JP668" s="1035"/>
      <c r="JQ668" s="1035"/>
      <c r="JR668" s="1035"/>
      <c r="JS668" s="1035"/>
      <c r="JT668" s="1035"/>
      <c r="JU668" s="1035"/>
      <c r="JV668" s="1035"/>
      <c r="JW668" s="1035"/>
      <c r="JX668" s="1035"/>
      <c r="JY668" s="1035"/>
    </row>
    <row r="669" outlineLevel="1" spans="1:285">
      <c r="A669" s="1306" t="s">
        <v>654</v>
      </c>
      <c r="B669" s="1307"/>
      <c r="C669" s="1307"/>
      <c r="D669" s="1307"/>
      <c r="E669" s="1307"/>
      <c r="F669" s="1307"/>
      <c r="G669" s="1307"/>
      <c r="H669" s="1307"/>
      <c r="I669" s="1307"/>
      <c r="J669" s="1307"/>
      <c r="K669" s="1307"/>
      <c r="L669" s="1307"/>
      <c r="M669" s="1307"/>
      <c r="N669" s="1307"/>
      <c r="O669" s="1307"/>
      <c r="P669" s="1307"/>
      <c r="Q669" s="1307"/>
      <c r="R669" s="1307"/>
      <c r="S669" s="1307"/>
      <c r="T669" s="1307"/>
      <c r="U669" s="1307"/>
      <c r="V669" s="1307"/>
      <c r="W669" s="1307"/>
      <c r="X669" s="1307"/>
      <c r="Y669" s="1307"/>
      <c r="Z669" s="1307"/>
      <c r="AA669" s="1307"/>
      <c r="AB669" s="1307"/>
      <c r="AC669" s="1307"/>
      <c r="AD669" s="1307"/>
      <c r="AE669" s="1307"/>
      <c r="AF669" s="1307"/>
      <c r="AG669" s="1307"/>
      <c r="AH669" s="1307"/>
      <c r="AI669" s="1307"/>
      <c r="AJ669" s="1307"/>
      <c r="AK669" s="1307"/>
      <c r="AL669" s="1307"/>
      <c r="AM669" s="1307"/>
      <c r="AN669" s="1307"/>
      <c r="AO669" s="1307"/>
      <c r="AP669" s="1307"/>
      <c r="AQ669" s="1307"/>
      <c r="AR669" s="1307"/>
      <c r="AS669" s="1307"/>
      <c r="AT669" s="1307"/>
      <c r="AU669" s="1307"/>
      <c r="AV669" s="1307"/>
      <c r="AW669" s="1307"/>
      <c r="AX669" s="1308"/>
      <c r="AY669" s="1307"/>
      <c r="AZ669" s="1307"/>
      <c r="BA669" s="1307"/>
      <c r="BB669" s="1307"/>
      <c r="BC669" s="1307"/>
      <c r="BD669" s="1307"/>
      <c r="BE669" s="1309"/>
      <c r="BF669" s="1307"/>
      <c r="BG669" s="1307"/>
      <c r="BH669" s="1307"/>
      <c r="BI669" s="1307"/>
      <c r="BJ669" s="1307"/>
      <c r="BK669" s="1307"/>
      <c r="BL669" s="1307"/>
      <c r="BM669" s="1307"/>
      <c r="BN669" s="1308"/>
      <c r="BO669" s="1307"/>
      <c r="BP669" s="1307"/>
      <c r="BQ669" s="1307"/>
      <c r="BR669" s="1307"/>
      <c r="BS669" s="1307"/>
      <c r="BT669" s="1307"/>
      <c r="BU669" s="1309"/>
      <c r="BV669" s="1539"/>
      <c r="BW669" s="1155"/>
      <c r="BX669" s="1155"/>
      <c r="BY669" s="1155"/>
      <c r="BZ669" s="1155"/>
      <c r="CA669" s="1155"/>
      <c r="CB669" s="1155"/>
      <c r="CC669" s="1540"/>
      <c r="CD669" s="1539">
        <v>0.08</v>
      </c>
      <c r="CE669" s="1155">
        <v>0.09</v>
      </c>
      <c r="CF669" s="1155"/>
      <c r="CG669" s="1155">
        <v>0.14</v>
      </c>
      <c r="CH669" s="1155"/>
      <c r="CI669" s="1155">
        <v>0.17</v>
      </c>
      <c r="CJ669" s="1155"/>
      <c r="CK669" s="1540"/>
      <c r="CL669" s="1420">
        <v>0.11</v>
      </c>
      <c r="CM669" s="1421">
        <v>0.07</v>
      </c>
      <c r="CN669" s="1155"/>
      <c r="CO669" s="1421">
        <v>0.06</v>
      </c>
      <c r="CP669" s="1307"/>
      <c r="CQ669" s="1421">
        <v>-0.06</v>
      </c>
      <c r="CR669" s="1307"/>
      <c r="CS669" s="1309"/>
      <c r="CT669" s="1420">
        <v>0.02</v>
      </c>
      <c r="CU669" s="1421">
        <v>0.05</v>
      </c>
      <c r="CV669" s="1421"/>
      <c r="CW669" s="1421">
        <v>0.02</v>
      </c>
      <c r="CX669" s="1421"/>
      <c r="CY669" s="1421">
        <v>-0.02</v>
      </c>
      <c r="CZ669" s="1421"/>
      <c r="DA669" s="1422"/>
      <c r="DB669" s="1162">
        <v>-0.02</v>
      </c>
      <c r="DC669" s="1156">
        <v>0</v>
      </c>
      <c r="DD669" s="1156"/>
      <c r="DE669" s="1156">
        <v>0.05</v>
      </c>
      <c r="DF669" s="1541"/>
      <c r="DG669" s="1156">
        <v>0</v>
      </c>
      <c r="DH669" s="1156"/>
      <c r="DI669" s="1157"/>
      <c r="DJ669" s="1156"/>
      <c r="DK669" s="1156"/>
      <c r="DL669" s="1156"/>
      <c r="DM669" s="1156"/>
      <c r="DN669" s="1541"/>
      <c r="DO669" s="1156"/>
      <c r="DP669" s="1156"/>
      <c r="DQ669" s="1157"/>
      <c r="DR669" s="1156"/>
      <c r="DS669" s="1156"/>
      <c r="DT669" s="1156"/>
      <c r="DU669" s="1156"/>
      <c r="DV669" s="1541"/>
      <c r="DW669" s="1156"/>
      <c r="DX669" s="1156"/>
      <c r="DY669" s="1157"/>
      <c r="DZ669" s="1156"/>
      <c r="EA669" s="1156"/>
      <c r="EB669" s="1156"/>
      <c r="EC669" s="1156"/>
      <c r="ED669" s="1541"/>
      <c r="EE669" s="1156"/>
      <c r="EF669" s="1156"/>
      <c r="EG669" s="1157"/>
      <c r="EH669" s="1156"/>
      <c r="EI669" s="1156"/>
      <c r="EJ669" s="1156"/>
      <c r="EK669" s="1156"/>
      <c r="EL669" s="1541"/>
      <c r="EM669" s="1156"/>
      <c r="EN669" s="1156"/>
      <c r="EO669" s="1157"/>
      <c r="EP669" s="1156"/>
      <c r="EQ669" s="1156"/>
      <c r="ER669" s="1156"/>
      <c r="ES669" s="1156"/>
      <c r="ET669" s="1156"/>
      <c r="EU669" s="1156"/>
      <c r="EV669" s="1156"/>
      <c r="IX669" s="1049"/>
      <c r="IY669" s="1049"/>
      <c r="IZ669" s="1049"/>
      <c r="JA669" s="1049"/>
      <c r="JB669" s="1049"/>
      <c r="JC669" s="1049"/>
      <c r="JD669" s="1112"/>
      <c r="JE669" s="1037"/>
      <c r="JF669" s="1037"/>
      <c r="JG669" s="1037"/>
      <c r="JH669" s="1037"/>
      <c r="JI669" s="1035"/>
      <c r="JJ669" s="1035"/>
      <c r="JK669" s="1035"/>
      <c r="JL669" s="1035"/>
      <c r="JM669" s="1035"/>
      <c r="JN669" s="1035"/>
      <c r="JO669" s="1035"/>
      <c r="JP669" s="1035"/>
      <c r="JQ669" s="1035"/>
      <c r="JR669" s="1035"/>
      <c r="JS669" s="1035"/>
      <c r="JT669" s="1035"/>
      <c r="JU669" s="1035"/>
      <c r="JV669" s="1035"/>
      <c r="JW669" s="1035"/>
      <c r="JX669" s="1035"/>
      <c r="JY669" s="1035"/>
    </row>
    <row r="670" outlineLevel="1" spans="1:285">
      <c r="A670" s="1339" t="s">
        <v>533</v>
      </c>
      <c r="B670" s="1409"/>
      <c r="C670" s="1409"/>
      <c r="D670" s="1409"/>
      <c r="E670" s="1409"/>
      <c r="F670" s="1409"/>
      <c r="G670" s="1409"/>
      <c r="H670" s="1409"/>
      <c r="I670" s="1409"/>
      <c r="J670" s="1409"/>
      <c r="K670" s="1409"/>
      <c r="L670" s="1409"/>
      <c r="M670" s="1409"/>
      <c r="N670" s="1409"/>
      <c r="O670" s="1409"/>
      <c r="P670" s="1409"/>
      <c r="Q670" s="1409"/>
      <c r="R670" s="1409"/>
      <c r="S670" s="1409"/>
      <c r="T670" s="1409"/>
      <c r="U670" s="1409"/>
      <c r="V670" s="1409"/>
      <c r="W670" s="1409"/>
      <c r="X670" s="1409"/>
      <c r="Y670" s="1409"/>
      <c r="Z670" s="1409"/>
      <c r="AA670" s="1409"/>
      <c r="AB670" s="1409"/>
      <c r="AC670" s="1409"/>
      <c r="AD670" s="1409"/>
      <c r="AE670" s="1409"/>
      <c r="AF670" s="1409"/>
      <c r="AG670" s="1409"/>
      <c r="AH670" s="1409"/>
      <c r="AI670" s="1409"/>
      <c r="AJ670" s="1409"/>
      <c r="AK670" s="1409"/>
      <c r="AL670" s="1409"/>
      <c r="AM670" s="1409"/>
      <c r="AN670" s="1409"/>
      <c r="AO670" s="1409"/>
      <c r="AP670" s="1409"/>
      <c r="AQ670" s="1409"/>
      <c r="AR670" s="1409"/>
      <c r="AS670" s="1409"/>
      <c r="AT670" s="1409"/>
      <c r="AU670" s="1409"/>
      <c r="AV670" s="1409"/>
      <c r="AW670" s="1409"/>
      <c r="AX670" s="1408"/>
      <c r="AY670" s="1409"/>
      <c r="AZ670" s="1409"/>
      <c r="BA670" s="1409"/>
      <c r="BB670" s="1409"/>
      <c r="BC670" s="1409"/>
      <c r="BD670" s="1409"/>
      <c r="BE670" s="1410"/>
      <c r="BF670" s="1409"/>
      <c r="BG670" s="1409"/>
      <c r="BH670" s="1409"/>
      <c r="BI670" s="1409"/>
      <c r="BJ670" s="1409"/>
      <c r="BK670" s="1409"/>
      <c r="BL670" s="1409"/>
      <c r="BM670" s="1409"/>
      <c r="BN670" s="1408"/>
      <c r="BO670" s="1409"/>
      <c r="BP670" s="1409"/>
      <c r="BQ670" s="1409"/>
      <c r="BR670" s="1409"/>
      <c r="BS670" s="1409"/>
      <c r="BT670" s="1409"/>
      <c r="BU670" s="1410"/>
      <c r="BV670" s="1526"/>
      <c r="BW670" s="1061"/>
      <c r="BX670" s="1061"/>
      <c r="BY670" s="1061"/>
      <c r="BZ670" s="1061"/>
      <c r="CA670" s="1061"/>
      <c r="CB670" s="1061"/>
      <c r="CC670" s="1527"/>
      <c r="CD670" s="1526"/>
      <c r="CE670" s="1061"/>
      <c r="CF670" s="1061"/>
      <c r="CG670" s="1061"/>
      <c r="CH670" s="1061"/>
      <c r="CI670" s="1061"/>
      <c r="CJ670" s="1061"/>
      <c r="CK670" s="1527"/>
      <c r="CL670" s="1303"/>
      <c r="CM670" s="1302"/>
      <c r="CN670" s="1061"/>
      <c r="CO670" s="1302"/>
      <c r="CP670" s="1409"/>
      <c r="CQ670" s="1302">
        <v>-0.22</v>
      </c>
      <c r="CR670" s="1409"/>
      <c r="CS670" s="1410"/>
      <c r="CT670" s="1303">
        <v>-0.14</v>
      </c>
      <c r="CU670" s="1302">
        <v>-0.09</v>
      </c>
      <c r="CV670" s="1302"/>
      <c r="CW670" s="1302">
        <v>-0.14</v>
      </c>
      <c r="CX670" s="1302"/>
      <c r="CY670" s="1302">
        <v>-0.14</v>
      </c>
      <c r="CZ670" s="1302"/>
      <c r="DA670" s="1304"/>
      <c r="DB670" s="1109">
        <v>-0.19</v>
      </c>
      <c r="DC670" s="1082">
        <v>-0.09</v>
      </c>
      <c r="DD670" s="1082"/>
      <c r="DE670" s="1082">
        <v>0.1</v>
      </c>
      <c r="DF670" s="1488"/>
      <c r="DG670" s="1082">
        <v>0.08</v>
      </c>
      <c r="DH670" s="1082"/>
      <c r="DI670" s="1085"/>
      <c r="DJ670" s="1082"/>
      <c r="DK670" s="1082"/>
      <c r="DL670" s="1082"/>
      <c r="DM670" s="1082"/>
      <c r="DN670" s="1488"/>
      <c r="DO670" s="1082"/>
      <c r="DP670" s="1082"/>
      <c r="DQ670" s="1085"/>
      <c r="DR670" s="1082"/>
      <c r="DS670" s="1082"/>
      <c r="DT670" s="1082"/>
      <c r="DU670" s="1082"/>
      <c r="DV670" s="1488"/>
      <c r="DW670" s="1082"/>
      <c r="DX670" s="1082"/>
      <c r="DY670" s="1085"/>
      <c r="DZ670" s="1082"/>
      <c r="EA670" s="1082"/>
      <c r="EB670" s="1082"/>
      <c r="EC670" s="1082"/>
      <c r="ED670" s="1488"/>
      <c r="EE670" s="1082"/>
      <c r="EF670" s="1082"/>
      <c r="EG670" s="1085"/>
      <c r="EH670" s="1082"/>
      <c r="EI670" s="1082"/>
      <c r="EJ670" s="1082"/>
      <c r="EK670" s="1082"/>
      <c r="EL670" s="1488"/>
      <c r="EM670" s="1082"/>
      <c r="EN670" s="1082"/>
      <c r="EO670" s="1085"/>
      <c r="EP670" s="1082"/>
      <c r="EQ670" s="1082"/>
      <c r="ER670" s="1082"/>
      <c r="ES670" s="1082"/>
      <c r="ET670" s="1082"/>
      <c r="EU670" s="1082"/>
      <c r="EV670" s="1082"/>
      <c r="IX670" s="1049"/>
      <c r="IY670" s="1049"/>
      <c r="IZ670" s="1049"/>
      <c r="JA670" s="1049"/>
      <c r="JB670" s="1049"/>
      <c r="JC670" s="1049"/>
      <c r="JD670" s="1112"/>
      <c r="JE670" s="1037"/>
      <c r="JF670" s="1037"/>
      <c r="JG670" s="1037"/>
      <c r="JH670" s="1037"/>
      <c r="JI670" s="1035"/>
      <c r="JJ670" s="1035"/>
      <c r="JK670" s="1035"/>
      <c r="JL670" s="1035"/>
      <c r="JM670" s="1035"/>
      <c r="JN670" s="1035"/>
      <c r="JO670" s="1035"/>
      <c r="JP670" s="1035"/>
      <c r="JQ670" s="1035"/>
      <c r="JR670" s="1035"/>
      <c r="JS670" s="1035"/>
      <c r="JT670" s="1035"/>
      <c r="JU670" s="1035"/>
      <c r="JV670" s="1035"/>
      <c r="JW670" s="1035"/>
      <c r="JX670" s="1035"/>
      <c r="JY670" s="1035"/>
    </row>
    <row r="671" outlineLevel="1" spans="1:285">
      <c r="A671" s="1339" t="s">
        <v>654</v>
      </c>
      <c r="B671" s="1409"/>
      <c r="C671" s="1409"/>
      <c r="D671" s="1409"/>
      <c r="E671" s="1409"/>
      <c r="F671" s="1409"/>
      <c r="G671" s="1409"/>
      <c r="H671" s="1409"/>
      <c r="I671" s="1409"/>
      <c r="J671" s="1409"/>
      <c r="K671" s="1409"/>
      <c r="L671" s="1409"/>
      <c r="M671" s="1409"/>
      <c r="N671" s="1409"/>
      <c r="O671" s="1409"/>
      <c r="P671" s="1409"/>
      <c r="Q671" s="1409"/>
      <c r="R671" s="1409"/>
      <c r="S671" s="1409"/>
      <c r="T671" s="1409"/>
      <c r="U671" s="1409"/>
      <c r="V671" s="1409"/>
      <c r="W671" s="1409"/>
      <c r="X671" s="1409"/>
      <c r="Y671" s="1409"/>
      <c r="Z671" s="1409"/>
      <c r="AA671" s="1409"/>
      <c r="AB671" s="1409"/>
      <c r="AC671" s="1409"/>
      <c r="AD671" s="1409"/>
      <c r="AE671" s="1409"/>
      <c r="AF671" s="1409"/>
      <c r="AG671" s="1409"/>
      <c r="AH671" s="1409"/>
      <c r="AI671" s="1409"/>
      <c r="AJ671" s="1409"/>
      <c r="AK671" s="1409"/>
      <c r="AL671" s="1409"/>
      <c r="AM671" s="1409"/>
      <c r="AN671" s="1409"/>
      <c r="AO671" s="1409"/>
      <c r="AP671" s="1409"/>
      <c r="AQ671" s="1409"/>
      <c r="AR671" s="1409"/>
      <c r="AS671" s="1409"/>
      <c r="AT671" s="1409"/>
      <c r="AU671" s="1409"/>
      <c r="AV671" s="1409"/>
      <c r="AW671" s="1409"/>
      <c r="AX671" s="1408"/>
      <c r="AY671" s="1409"/>
      <c r="AZ671" s="1409"/>
      <c r="BA671" s="1409"/>
      <c r="BB671" s="1409"/>
      <c r="BC671" s="1409"/>
      <c r="BD671" s="1409"/>
      <c r="BE671" s="1410"/>
      <c r="BF671" s="1409"/>
      <c r="BG671" s="1409"/>
      <c r="BH671" s="1409"/>
      <c r="BI671" s="1409"/>
      <c r="BJ671" s="1409"/>
      <c r="BK671" s="1409"/>
      <c r="BL671" s="1409"/>
      <c r="BM671" s="1409"/>
      <c r="BN671" s="1408"/>
      <c r="BO671" s="1409"/>
      <c r="BP671" s="1409"/>
      <c r="BQ671" s="1409"/>
      <c r="BR671" s="1409"/>
      <c r="BS671" s="1409"/>
      <c r="BT671" s="1409"/>
      <c r="BU671" s="1410"/>
      <c r="BV671" s="1526"/>
      <c r="BW671" s="1061"/>
      <c r="BX671" s="1061"/>
      <c r="BY671" s="1061"/>
      <c r="BZ671" s="1061"/>
      <c r="CA671" s="1061"/>
      <c r="CB671" s="1061"/>
      <c r="CC671" s="1527"/>
      <c r="CD671" s="1526"/>
      <c r="CE671" s="1061"/>
      <c r="CF671" s="1061"/>
      <c r="CG671" s="1061"/>
      <c r="CH671" s="1061"/>
      <c r="CI671" s="1061"/>
      <c r="CJ671" s="1061"/>
      <c r="CK671" s="1527"/>
      <c r="CL671" s="1303"/>
      <c r="CM671" s="1302"/>
      <c r="CN671" s="1061"/>
      <c r="CO671" s="1302"/>
      <c r="CP671" s="1409"/>
      <c r="CQ671" s="1302">
        <v>-0.13</v>
      </c>
      <c r="CR671" s="1409"/>
      <c r="CS671" s="1410"/>
      <c r="CT671" s="1303">
        <v>-0.06</v>
      </c>
      <c r="CU671" s="1302">
        <v>-0.03</v>
      </c>
      <c r="CV671" s="1302"/>
      <c r="CW671" s="1302">
        <v>-0.04</v>
      </c>
      <c r="CX671" s="1302"/>
      <c r="CY671" s="1302">
        <v>-0.05</v>
      </c>
      <c r="CZ671" s="1302"/>
      <c r="DA671" s="1304"/>
      <c r="DB671" s="1109">
        <v>-0.05</v>
      </c>
      <c r="DC671" s="1082">
        <v>0.06</v>
      </c>
      <c r="DD671" s="1082"/>
      <c r="DE671" s="1082">
        <v>0.11</v>
      </c>
      <c r="DF671" s="1488"/>
      <c r="DG671" s="1082">
        <v>0.04</v>
      </c>
      <c r="DH671" s="1082"/>
      <c r="DI671" s="1085"/>
      <c r="DJ671" s="1082"/>
      <c r="DK671" s="1082"/>
      <c r="DL671" s="1082"/>
      <c r="DM671" s="1082"/>
      <c r="DN671" s="1488"/>
      <c r="DO671" s="1082"/>
      <c r="DP671" s="1082"/>
      <c r="DQ671" s="1085"/>
      <c r="DR671" s="1082"/>
      <c r="DS671" s="1082"/>
      <c r="DT671" s="1082"/>
      <c r="DU671" s="1082"/>
      <c r="DV671" s="1488"/>
      <c r="DW671" s="1082"/>
      <c r="DX671" s="1082"/>
      <c r="DY671" s="1085"/>
      <c r="DZ671" s="1082"/>
      <c r="EA671" s="1082"/>
      <c r="EB671" s="1082"/>
      <c r="EC671" s="1082"/>
      <c r="ED671" s="1488"/>
      <c r="EE671" s="1082"/>
      <c r="EF671" s="1082"/>
      <c r="EG671" s="1085"/>
      <c r="EH671" s="1082"/>
      <c r="EI671" s="1082"/>
      <c r="EJ671" s="1082"/>
      <c r="EK671" s="1082"/>
      <c r="EL671" s="1488"/>
      <c r="EM671" s="1082"/>
      <c r="EN671" s="1082"/>
      <c r="EO671" s="1085"/>
      <c r="EP671" s="1082"/>
      <c r="EQ671" s="1082"/>
      <c r="ER671" s="1082"/>
      <c r="ES671" s="1082"/>
      <c r="ET671" s="1082"/>
      <c r="EU671" s="1082"/>
      <c r="EV671" s="1082"/>
      <c r="IX671" s="1049"/>
      <c r="IY671" s="1049"/>
      <c r="IZ671" s="1049"/>
      <c r="JA671" s="1049"/>
      <c r="JB671" s="1049"/>
      <c r="JC671" s="1049"/>
      <c r="JD671" s="1112"/>
      <c r="JE671" s="1037"/>
      <c r="JF671" s="1037"/>
      <c r="JG671" s="1037"/>
      <c r="JH671" s="1037"/>
      <c r="JI671" s="1035"/>
      <c r="JJ671" s="1035"/>
      <c r="JK671" s="1035"/>
      <c r="JL671" s="1035"/>
      <c r="JM671" s="1035"/>
      <c r="JN671" s="1035"/>
      <c r="JO671" s="1035"/>
      <c r="JP671" s="1035"/>
      <c r="JQ671" s="1035"/>
      <c r="JR671" s="1035"/>
      <c r="JS671" s="1035"/>
      <c r="JT671" s="1035"/>
      <c r="JU671" s="1035"/>
      <c r="JV671" s="1035"/>
      <c r="JW671" s="1035"/>
      <c r="JX671" s="1035"/>
      <c r="JY671" s="1035"/>
    </row>
    <row r="672" outlineLevel="1" spans="1:285">
      <c r="A672" s="1339" t="s">
        <v>536</v>
      </c>
      <c r="B672" s="1409"/>
      <c r="C672" s="1409"/>
      <c r="D672" s="1409"/>
      <c r="E672" s="1409"/>
      <c r="F672" s="1409"/>
      <c r="G672" s="1409"/>
      <c r="H672" s="1409"/>
      <c r="I672" s="1409"/>
      <c r="J672" s="1409"/>
      <c r="K672" s="1409"/>
      <c r="L672" s="1409"/>
      <c r="M672" s="1409"/>
      <c r="N672" s="1409"/>
      <c r="O672" s="1409"/>
      <c r="P672" s="1409"/>
      <c r="Q672" s="1409"/>
      <c r="R672" s="1409"/>
      <c r="S672" s="1409"/>
      <c r="T672" s="1409"/>
      <c r="U672" s="1409"/>
      <c r="V672" s="1409"/>
      <c r="W672" s="1409"/>
      <c r="X672" s="1409"/>
      <c r="Y672" s="1409"/>
      <c r="Z672" s="1409"/>
      <c r="AA672" s="1409"/>
      <c r="AB672" s="1409"/>
      <c r="AC672" s="1409"/>
      <c r="AD672" s="1409"/>
      <c r="AE672" s="1409"/>
      <c r="AF672" s="1409"/>
      <c r="AG672" s="1409"/>
      <c r="AH672" s="1409"/>
      <c r="AI672" s="1409"/>
      <c r="AJ672" s="1409"/>
      <c r="AK672" s="1409"/>
      <c r="AL672" s="1409"/>
      <c r="AM672" s="1409"/>
      <c r="AN672" s="1409"/>
      <c r="AO672" s="1409"/>
      <c r="AP672" s="1409"/>
      <c r="AQ672" s="1409"/>
      <c r="AR672" s="1409"/>
      <c r="AS672" s="1409"/>
      <c r="AT672" s="1409"/>
      <c r="AU672" s="1409"/>
      <c r="AV672" s="1409"/>
      <c r="AW672" s="1409"/>
      <c r="AX672" s="1408"/>
      <c r="AY672" s="1409"/>
      <c r="AZ672" s="1409"/>
      <c r="BA672" s="1409"/>
      <c r="BB672" s="1409"/>
      <c r="BC672" s="1409"/>
      <c r="BD672" s="1409"/>
      <c r="BE672" s="1410"/>
      <c r="BF672" s="1409"/>
      <c r="BG672" s="1409"/>
      <c r="BH672" s="1409"/>
      <c r="BI672" s="1409"/>
      <c r="BJ672" s="1409"/>
      <c r="BK672" s="1409"/>
      <c r="BL672" s="1409"/>
      <c r="BM672" s="1409"/>
      <c r="BN672" s="1408"/>
      <c r="BO672" s="1409"/>
      <c r="BP672" s="1409"/>
      <c r="BQ672" s="1409"/>
      <c r="BR672" s="1409"/>
      <c r="BS672" s="1409"/>
      <c r="BT672" s="1409"/>
      <c r="BU672" s="1410"/>
      <c r="BV672" s="1526"/>
      <c r="BW672" s="1061"/>
      <c r="BX672" s="1061"/>
      <c r="BY672" s="1061"/>
      <c r="BZ672" s="1061"/>
      <c r="CA672" s="1061"/>
      <c r="CB672" s="1061"/>
      <c r="CC672" s="1527"/>
      <c r="CD672" s="1526"/>
      <c r="CE672" s="1061"/>
      <c r="CF672" s="1061"/>
      <c r="CG672" s="1061"/>
      <c r="CH672" s="1061"/>
      <c r="CI672" s="1061"/>
      <c r="CJ672" s="1061"/>
      <c r="CK672" s="1527"/>
      <c r="CL672" s="1303"/>
      <c r="CM672" s="1302"/>
      <c r="CN672" s="1061"/>
      <c r="CO672" s="1302"/>
      <c r="CP672" s="1409"/>
      <c r="CQ672" s="1302">
        <v>-0.06</v>
      </c>
      <c r="CR672" s="1409"/>
      <c r="CS672" s="1410"/>
      <c r="CT672" s="1303">
        <v>0.02</v>
      </c>
      <c r="CU672" s="1302">
        <v>0.08</v>
      </c>
      <c r="CV672" s="1302"/>
      <c r="CW672" s="1302">
        <v>-0.02</v>
      </c>
      <c r="CX672" s="1302"/>
      <c r="CY672" s="1302">
        <v>-0.06</v>
      </c>
      <c r="CZ672" s="1302"/>
      <c r="DA672" s="1304"/>
      <c r="DB672" s="1109">
        <v>-0.16</v>
      </c>
      <c r="DC672" s="1082">
        <v>-0.23</v>
      </c>
      <c r="DD672" s="1082"/>
      <c r="DE672" s="1082">
        <v>-0.04</v>
      </c>
      <c r="DF672" s="1488"/>
      <c r="DG672" s="1082">
        <v>-0.01</v>
      </c>
      <c r="DH672" s="1082"/>
      <c r="DI672" s="1085"/>
      <c r="DJ672" s="1082"/>
      <c r="DK672" s="1082"/>
      <c r="DL672" s="1082"/>
      <c r="DM672" s="1082"/>
      <c r="DN672" s="1488"/>
      <c r="DO672" s="1082"/>
      <c r="DP672" s="1082"/>
      <c r="DQ672" s="1085"/>
      <c r="DR672" s="1082"/>
      <c r="DS672" s="1082"/>
      <c r="DT672" s="1082"/>
      <c r="DU672" s="1082"/>
      <c r="DV672" s="1488"/>
      <c r="DW672" s="1082"/>
      <c r="DX672" s="1082"/>
      <c r="DY672" s="1085"/>
      <c r="DZ672" s="1082"/>
      <c r="EA672" s="1082"/>
      <c r="EB672" s="1082"/>
      <c r="EC672" s="1082"/>
      <c r="ED672" s="1488"/>
      <c r="EE672" s="1082"/>
      <c r="EF672" s="1082"/>
      <c r="EG672" s="1085"/>
      <c r="EH672" s="1082"/>
      <c r="EI672" s="1082"/>
      <c r="EJ672" s="1082"/>
      <c r="EK672" s="1082"/>
      <c r="EL672" s="1488"/>
      <c r="EM672" s="1082"/>
      <c r="EN672" s="1082"/>
      <c r="EO672" s="1085"/>
      <c r="EP672" s="1082"/>
      <c r="EQ672" s="1082"/>
      <c r="ER672" s="1082"/>
      <c r="ES672" s="1082"/>
      <c r="ET672" s="1082"/>
      <c r="EU672" s="1082"/>
      <c r="EV672" s="1082"/>
      <c r="IX672" s="1049"/>
      <c r="IY672" s="1049"/>
      <c r="IZ672" s="1049"/>
      <c r="JA672" s="1049"/>
      <c r="JB672" s="1049"/>
      <c r="JC672" s="1049"/>
      <c r="JD672" s="1112"/>
      <c r="JE672" s="1037"/>
      <c r="JF672" s="1037"/>
      <c r="JG672" s="1037"/>
      <c r="JH672" s="1037"/>
      <c r="JI672" s="1035"/>
      <c r="JJ672" s="1035"/>
      <c r="JK672" s="1035"/>
      <c r="JL672" s="1035"/>
      <c r="JM672" s="1035"/>
      <c r="JN672" s="1035"/>
      <c r="JO672" s="1035"/>
      <c r="JP672" s="1035"/>
      <c r="JQ672" s="1035"/>
      <c r="JR672" s="1035"/>
      <c r="JS672" s="1035"/>
      <c r="JT672" s="1035"/>
      <c r="JU672" s="1035"/>
      <c r="JV672" s="1035"/>
      <c r="JW672" s="1035"/>
      <c r="JX672" s="1035"/>
      <c r="JY672" s="1035"/>
    </row>
    <row r="673" outlineLevel="1" spans="1:285">
      <c r="A673" s="1339" t="s">
        <v>654</v>
      </c>
      <c r="B673" s="1409"/>
      <c r="C673" s="1409"/>
      <c r="D673" s="1409"/>
      <c r="E673" s="1409"/>
      <c r="F673" s="1409"/>
      <c r="G673" s="1409"/>
      <c r="H673" s="1409"/>
      <c r="I673" s="1409"/>
      <c r="J673" s="1409"/>
      <c r="K673" s="1409"/>
      <c r="L673" s="1409"/>
      <c r="M673" s="1409"/>
      <c r="N673" s="1409"/>
      <c r="O673" s="1409"/>
      <c r="P673" s="1409"/>
      <c r="Q673" s="1409"/>
      <c r="R673" s="1409"/>
      <c r="S673" s="1409"/>
      <c r="T673" s="1409"/>
      <c r="U673" s="1409"/>
      <c r="V673" s="1409"/>
      <c r="W673" s="1409"/>
      <c r="X673" s="1409"/>
      <c r="Y673" s="1409"/>
      <c r="Z673" s="1409"/>
      <c r="AA673" s="1409"/>
      <c r="AB673" s="1409"/>
      <c r="AC673" s="1409"/>
      <c r="AD673" s="1409"/>
      <c r="AE673" s="1409"/>
      <c r="AF673" s="1409"/>
      <c r="AG673" s="1409"/>
      <c r="AH673" s="1409"/>
      <c r="AI673" s="1409"/>
      <c r="AJ673" s="1409"/>
      <c r="AK673" s="1409"/>
      <c r="AL673" s="1409"/>
      <c r="AM673" s="1409"/>
      <c r="AN673" s="1409"/>
      <c r="AO673" s="1409"/>
      <c r="AP673" s="1409"/>
      <c r="AQ673" s="1409"/>
      <c r="AR673" s="1409"/>
      <c r="AS673" s="1409"/>
      <c r="AT673" s="1409"/>
      <c r="AU673" s="1409"/>
      <c r="AV673" s="1409"/>
      <c r="AW673" s="1409"/>
      <c r="AX673" s="1408"/>
      <c r="AY673" s="1409"/>
      <c r="AZ673" s="1409"/>
      <c r="BA673" s="1409"/>
      <c r="BB673" s="1409"/>
      <c r="BC673" s="1409"/>
      <c r="BD673" s="1409"/>
      <c r="BE673" s="1410"/>
      <c r="BF673" s="1409"/>
      <c r="BG673" s="1409"/>
      <c r="BH673" s="1409"/>
      <c r="BI673" s="1409"/>
      <c r="BJ673" s="1409"/>
      <c r="BK673" s="1409"/>
      <c r="BL673" s="1409"/>
      <c r="BM673" s="1409"/>
      <c r="BN673" s="1408"/>
      <c r="BO673" s="1409"/>
      <c r="BP673" s="1409"/>
      <c r="BQ673" s="1409"/>
      <c r="BR673" s="1409"/>
      <c r="BS673" s="1409"/>
      <c r="BT673" s="1409"/>
      <c r="BU673" s="1410"/>
      <c r="BV673" s="1526"/>
      <c r="BW673" s="1061"/>
      <c r="BX673" s="1061"/>
      <c r="BY673" s="1061"/>
      <c r="BZ673" s="1061"/>
      <c r="CA673" s="1061"/>
      <c r="CB673" s="1061"/>
      <c r="CC673" s="1527"/>
      <c r="CD673" s="1526"/>
      <c r="CE673" s="1061"/>
      <c r="CF673" s="1061"/>
      <c r="CG673" s="1061"/>
      <c r="CH673" s="1061"/>
      <c r="CI673" s="1061"/>
      <c r="CJ673" s="1061"/>
      <c r="CK673" s="1527"/>
      <c r="CL673" s="1303"/>
      <c r="CM673" s="1302"/>
      <c r="CN673" s="1061"/>
      <c r="CO673" s="1302"/>
      <c r="CP673" s="1409"/>
      <c r="CQ673" s="1302">
        <v>-0.05</v>
      </c>
      <c r="CR673" s="1409"/>
      <c r="CS673" s="1410"/>
      <c r="CT673" s="1303">
        <v>0.12</v>
      </c>
      <c r="CU673" s="1302">
        <v>0.15</v>
      </c>
      <c r="CV673" s="1302"/>
      <c r="CW673" s="1302">
        <v>0.09</v>
      </c>
      <c r="CX673" s="1302"/>
      <c r="CY673" s="1302">
        <v>0.04</v>
      </c>
      <c r="CZ673" s="1302"/>
      <c r="DA673" s="1304"/>
      <c r="DB673" s="1109">
        <v>-0.02</v>
      </c>
      <c r="DC673" s="1082">
        <v>-0.1</v>
      </c>
      <c r="DD673" s="1082"/>
      <c r="DE673" s="1082">
        <v>-0.03</v>
      </c>
      <c r="DF673" s="1488"/>
      <c r="DG673" s="1082">
        <v>-0.05</v>
      </c>
      <c r="DH673" s="1082"/>
      <c r="DI673" s="1085"/>
      <c r="DJ673" s="1082"/>
      <c r="DK673" s="1082"/>
      <c r="DL673" s="1082"/>
      <c r="DM673" s="1082"/>
      <c r="DN673" s="1488"/>
      <c r="DO673" s="1082"/>
      <c r="DP673" s="1082"/>
      <c r="DQ673" s="1085"/>
      <c r="DR673" s="1082"/>
      <c r="DS673" s="1082"/>
      <c r="DT673" s="1082"/>
      <c r="DU673" s="1082"/>
      <c r="DV673" s="1488"/>
      <c r="DW673" s="1082"/>
      <c r="DX673" s="1082"/>
      <c r="DY673" s="1085"/>
      <c r="DZ673" s="1082"/>
      <c r="EA673" s="1082"/>
      <c r="EB673" s="1082"/>
      <c r="EC673" s="1082"/>
      <c r="ED673" s="1488"/>
      <c r="EE673" s="1082"/>
      <c r="EF673" s="1082"/>
      <c r="EG673" s="1085"/>
      <c r="EH673" s="1082"/>
      <c r="EI673" s="1082"/>
      <c r="EJ673" s="1082"/>
      <c r="EK673" s="1082"/>
      <c r="EL673" s="1488"/>
      <c r="EM673" s="1082"/>
      <c r="EN673" s="1082"/>
      <c r="EO673" s="1085"/>
      <c r="EP673" s="1082"/>
      <c r="EQ673" s="1082"/>
      <c r="ER673" s="1082"/>
      <c r="ES673" s="1082"/>
      <c r="ET673" s="1082"/>
      <c r="EU673" s="1082"/>
      <c r="EV673" s="1082"/>
      <c r="IX673" s="1049"/>
      <c r="IY673" s="1049"/>
      <c r="IZ673" s="1049"/>
      <c r="JA673" s="1049"/>
      <c r="JB673" s="1049"/>
      <c r="JC673" s="1049"/>
      <c r="JD673" s="1112"/>
      <c r="JE673" s="1037"/>
      <c r="JF673" s="1037"/>
      <c r="JG673" s="1037"/>
      <c r="JH673" s="1037"/>
      <c r="JI673" s="1035"/>
      <c r="JJ673" s="1035"/>
      <c r="JK673" s="1035"/>
      <c r="JL673" s="1035"/>
      <c r="JM673" s="1035"/>
      <c r="JN673" s="1035"/>
      <c r="JO673" s="1035"/>
      <c r="JP673" s="1035"/>
      <c r="JQ673" s="1035"/>
      <c r="JR673" s="1035"/>
      <c r="JS673" s="1035"/>
      <c r="JT673" s="1035"/>
      <c r="JU673" s="1035"/>
      <c r="JV673" s="1035"/>
      <c r="JW673" s="1035"/>
      <c r="JX673" s="1035"/>
      <c r="JY673" s="1035"/>
    </row>
    <row r="674" outlineLevel="1" spans="1:285">
      <c r="A674" s="1528" t="s">
        <v>644</v>
      </c>
      <c r="B674" s="1499"/>
      <c r="C674" s="1499"/>
      <c r="D674" s="1499"/>
      <c r="E674" s="1499"/>
      <c r="F674" s="1499"/>
      <c r="G674" s="1499"/>
      <c r="H674" s="1499"/>
      <c r="I674" s="1499"/>
      <c r="J674" s="1499"/>
      <c r="K674" s="1499"/>
      <c r="L674" s="1499"/>
      <c r="M674" s="1499"/>
      <c r="N674" s="1499"/>
      <c r="O674" s="1499"/>
      <c r="P674" s="1499"/>
      <c r="Q674" s="1499"/>
      <c r="R674" s="1499"/>
      <c r="S674" s="1499"/>
      <c r="T674" s="1499"/>
      <c r="U674" s="1499"/>
      <c r="V674" s="1499"/>
      <c r="W674" s="1499"/>
      <c r="X674" s="1499"/>
      <c r="Y674" s="1499"/>
      <c r="Z674" s="1499"/>
      <c r="AA674" s="1499"/>
      <c r="AB674" s="1499"/>
      <c r="AC674" s="1499"/>
      <c r="AD674" s="1499"/>
      <c r="AE674" s="1499"/>
      <c r="AF674" s="1499"/>
      <c r="AG674" s="1499"/>
      <c r="AH674" s="1499"/>
      <c r="AI674" s="1499"/>
      <c r="AJ674" s="1499"/>
      <c r="AK674" s="1499"/>
      <c r="AL674" s="1499"/>
      <c r="AM674" s="1499"/>
      <c r="AN674" s="1499"/>
      <c r="AO674" s="1499"/>
      <c r="AP674" s="1499"/>
      <c r="AQ674" s="1499"/>
      <c r="AR674" s="1499"/>
      <c r="AS674" s="1499"/>
      <c r="AT674" s="1499"/>
      <c r="AU674" s="1499"/>
      <c r="AV674" s="1499"/>
      <c r="AW674" s="1499"/>
      <c r="AX674" s="1500"/>
      <c r="AY674" s="1499"/>
      <c r="AZ674" s="1499"/>
      <c r="BA674" s="1499"/>
      <c r="BB674" s="1499"/>
      <c r="BC674" s="1499"/>
      <c r="BD674" s="1499"/>
      <c r="BE674" s="1501"/>
      <c r="BF674" s="1499"/>
      <c r="BG674" s="1499"/>
      <c r="BH674" s="1499"/>
      <c r="BI674" s="1499"/>
      <c r="BJ674" s="1499"/>
      <c r="BK674" s="1499"/>
      <c r="BL674" s="1499"/>
      <c r="BM674" s="1499"/>
      <c r="BN674" s="1500"/>
      <c r="BO674" s="1499"/>
      <c r="BP674" s="1499"/>
      <c r="BQ674" s="1499"/>
      <c r="BR674" s="1499"/>
      <c r="BS674" s="1499"/>
      <c r="BT674" s="1499"/>
      <c r="BU674" s="1501"/>
      <c r="BV674" s="1529">
        <v>0.2</v>
      </c>
      <c r="BW674" s="1530">
        <v>0.34</v>
      </c>
      <c r="BX674" s="1530"/>
      <c r="BY674" s="1530">
        <v>0.23</v>
      </c>
      <c r="BZ674" s="1530"/>
      <c r="CA674" s="1530">
        <v>0.39</v>
      </c>
      <c r="CB674" s="1530"/>
      <c r="CC674" s="1531"/>
      <c r="CD674" s="1529">
        <v>0.26</v>
      </c>
      <c r="CE674" s="1530">
        <v>0.31</v>
      </c>
      <c r="CF674" s="1530"/>
      <c r="CG674" s="1530">
        <v>0.22</v>
      </c>
      <c r="CH674" s="1530"/>
      <c r="CI674" s="1530">
        <v>0.22</v>
      </c>
      <c r="CJ674" s="1530"/>
      <c r="CK674" s="1531"/>
      <c r="CL674" s="1532">
        <v>0.28</v>
      </c>
      <c r="CM674" s="1533">
        <v>0.18</v>
      </c>
      <c r="CN674" s="1530"/>
      <c r="CO674" s="1533">
        <v>0.12</v>
      </c>
      <c r="CP674" s="1499"/>
      <c r="CQ674" s="1533">
        <v>0.11</v>
      </c>
      <c r="CR674" s="1499"/>
      <c r="CS674" s="1501"/>
      <c r="CT674" s="1532">
        <v>0.1</v>
      </c>
      <c r="CU674" s="1533">
        <v>0.08</v>
      </c>
      <c r="CV674" s="1533"/>
      <c r="CW674" s="1533">
        <v>0.13</v>
      </c>
      <c r="CX674" s="1533"/>
      <c r="CY674" s="1533">
        <v>0.22</v>
      </c>
      <c r="CZ674" s="1533"/>
      <c r="DA674" s="1534"/>
      <c r="DB674" s="1535">
        <v>0.11</v>
      </c>
      <c r="DC674" s="1536">
        <v>0.13</v>
      </c>
      <c r="DD674" s="1536"/>
      <c r="DE674" s="1536">
        <v>0.13</v>
      </c>
      <c r="DF674" s="1537"/>
      <c r="DG674" s="1536">
        <v>0.01</v>
      </c>
      <c r="DH674" s="1536"/>
      <c r="DI674" s="1538"/>
      <c r="DJ674" s="1536"/>
      <c r="DK674" s="1536"/>
      <c r="DL674" s="1536"/>
      <c r="DM674" s="1536"/>
      <c r="DN674" s="1537"/>
      <c r="DO674" s="1536"/>
      <c r="DP674" s="1536"/>
      <c r="DQ674" s="1538"/>
      <c r="DR674" s="1536"/>
      <c r="DS674" s="1536"/>
      <c r="DT674" s="1536"/>
      <c r="DU674" s="1536"/>
      <c r="DV674" s="1537"/>
      <c r="DW674" s="1536"/>
      <c r="DX674" s="1536"/>
      <c r="DY674" s="1538"/>
      <c r="DZ674" s="1536"/>
      <c r="EA674" s="1536"/>
      <c r="EB674" s="1536"/>
      <c r="EC674" s="1536"/>
      <c r="ED674" s="1537"/>
      <c r="EE674" s="1536"/>
      <c r="EF674" s="1536"/>
      <c r="EG674" s="1538"/>
      <c r="EH674" s="1536"/>
      <c r="EI674" s="1536"/>
      <c r="EJ674" s="1536"/>
      <c r="EK674" s="1536"/>
      <c r="EL674" s="1537"/>
      <c r="EM674" s="1536"/>
      <c r="EN674" s="1536"/>
      <c r="EO674" s="1538"/>
      <c r="EP674" s="1536"/>
      <c r="EQ674" s="1536"/>
      <c r="ER674" s="1536"/>
      <c r="ES674" s="1536"/>
      <c r="ET674" s="1536"/>
      <c r="EU674" s="1536"/>
      <c r="EV674" s="1536"/>
      <c r="IX674" s="1049"/>
      <c r="IY674" s="1049"/>
      <c r="IZ674" s="1049"/>
      <c r="JA674" s="1049"/>
      <c r="JB674" s="1049"/>
      <c r="JC674" s="1049"/>
      <c r="JD674" s="1112"/>
      <c r="JE674" s="1037"/>
      <c r="JF674" s="1037"/>
      <c r="JG674" s="1037"/>
      <c r="JH674" s="1037"/>
      <c r="JI674" s="1035"/>
      <c r="JJ674" s="1035"/>
      <c r="JK674" s="1035"/>
      <c r="JL674" s="1035"/>
      <c r="JM674" s="1035"/>
      <c r="JN674" s="1035"/>
      <c r="JO674" s="1035"/>
      <c r="JP674" s="1035"/>
      <c r="JQ674" s="1035"/>
      <c r="JR674" s="1035"/>
      <c r="JS674" s="1035"/>
      <c r="JT674" s="1035"/>
      <c r="JU674" s="1035"/>
      <c r="JV674" s="1035"/>
      <c r="JW674" s="1035"/>
      <c r="JX674" s="1035"/>
      <c r="JY674" s="1035"/>
    </row>
    <row r="675" outlineLevel="1" spans="1:285">
      <c r="A675" s="1306" t="s">
        <v>654</v>
      </c>
      <c r="B675" s="1307"/>
      <c r="C675" s="1307"/>
      <c r="D675" s="1307"/>
      <c r="E675" s="1307"/>
      <c r="F675" s="1307"/>
      <c r="G675" s="1307"/>
      <c r="H675" s="1307"/>
      <c r="I675" s="1307"/>
      <c r="J675" s="1307"/>
      <c r="K675" s="1307"/>
      <c r="L675" s="1307"/>
      <c r="M675" s="1307"/>
      <c r="N675" s="1307"/>
      <c r="O675" s="1307"/>
      <c r="P675" s="1307"/>
      <c r="Q675" s="1307"/>
      <c r="R675" s="1307"/>
      <c r="S675" s="1307"/>
      <c r="T675" s="1307"/>
      <c r="U675" s="1307"/>
      <c r="V675" s="1307"/>
      <c r="W675" s="1307"/>
      <c r="X675" s="1307"/>
      <c r="Y675" s="1307"/>
      <c r="Z675" s="1307"/>
      <c r="AA675" s="1307"/>
      <c r="AB675" s="1307"/>
      <c r="AC675" s="1307"/>
      <c r="AD675" s="1307"/>
      <c r="AE675" s="1307"/>
      <c r="AF675" s="1307"/>
      <c r="AG675" s="1307"/>
      <c r="AH675" s="1307"/>
      <c r="AI675" s="1307"/>
      <c r="AJ675" s="1307"/>
      <c r="AK675" s="1307"/>
      <c r="AL675" s="1307"/>
      <c r="AM675" s="1307"/>
      <c r="AN675" s="1307"/>
      <c r="AO675" s="1307"/>
      <c r="AP675" s="1307"/>
      <c r="AQ675" s="1307"/>
      <c r="AR675" s="1307"/>
      <c r="AS675" s="1307"/>
      <c r="AT675" s="1307"/>
      <c r="AU675" s="1307"/>
      <c r="AV675" s="1307"/>
      <c r="AW675" s="1307"/>
      <c r="AX675" s="1308"/>
      <c r="AY675" s="1307"/>
      <c r="AZ675" s="1307"/>
      <c r="BA675" s="1307"/>
      <c r="BB675" s="1307"/>
      <c r="BC675" s="1307"/>
      <c r="BD675" s="1307"/>
      <c r="BE675" s="1309"/>
      <c r="BF675" s="1307"/>
      <c r="BG675" s="1307"/>
      <c r="BH675" s="1307"/>
      <c r="BI675" s="1307"/>
      <c r="BJ675" s="1307"/>
      <c r="BK675" s="1307"/>
      <c r="BL675" s="1307"/>
      <c r="BM675" s="1307"/>
      <c r="BN675" s="1308"/>
      <c r="BO675" s="1307"/>
      <c r="BP675" s="1307"/>
      <c r="BQ675" s="1307"/>
      <c r="BR675" s="1307"/>
      <c r="BS675" s="1307"/>
      <c r="BT675" s="1307"/>
      <c r="BU675" s="1309"/>
      <c r="BV675" s="1539"/>
      <c r="BW675" s="1155"/>
      <c r="BX675" s="1155"/>
      <c r="BY675" s="1155"/>
      <c r="BZ675" s="1155"/>
      <c r="CA675" s="1155"/>
      <c r="CB675" s="1155"/>
      <c r="CC675" s="1540"/>
      <c r="CD675" s="1539">
        <v>0.33</v>
      </c>
      <c r="CE675" s="1155">
        <v>0.29</v>
      </c>
      <c r="CF675" s="1155"/>
      <c r="CG675" s="1155">
        <v>0.18</v>
      </c>
      <c r="CH675" s="1155"/>
      <c r="CI675" s="1155">
        <v>0.13</v>
      </c>
      <c r="CJ675" s="1155"/>
      <c r="CK675" s="1540"/>
      <c r="CL675" s="1420">
        <v>0.25</v>
      </c>
      <c r="CM675" s="1421">
        <v>0.24</v>
      </c>
      <c r="CN675" s="1155"/>
      <c r="CO675" s="1421">
        <v>0.18</v>
      </c>
      <c r="CP675" s="1307"/>
      <c r="CQ675" s="1421">
        <v>0.21</v>
      </c>
      <c r="CR675" s="1307"/>
      <c r="CS675" s="1309"/>
      <c r="CT675" s="1420">
        <v>0.18</v>
      </c>
      <c r="CU675" s="1421">
        <v>0.14</v>
      </c>
      <c r="CV675" s="1421"/>
      <c r="CW675" s="1421">
        <v>0.21</v>
      </c>
      <c r="CX675" s="1421"/>
      <c r="CY675" s="1421">
        <v>0.28</v>
      </c>
      <c r="CZ675" s="1421"/>
      <c r="DA675" s="1422"/>
      <c r="DB675" s="1162">
        <v>0.19</v>
      </c>
      <c r="DC675" s="1156">
        <v>0.21</v>
      </c>
      <c r="DD675" s="1156"/>
      <c r="DE675" s="1156">
        <v>0.08</v>
      </c>
      <c r="DF675" s="1541"/>
      <c r="DG675" s="1156">
        <v>-0.1</v>
      </c>
      <c r="DH675" s="1156"/>
      <c r="DI675" s="1157"/>
      <c r="DJ675" s="1156"/>
      <c r="DK675" s="1156"/>
      <c r="DL675" s="1156"/>
      <c r="DM675" s="1156"/>
      <c r="DN675" s="1541"/>
      <c r="DO675" s="1156"/>
      <c r="DP675" s="1156"/>
      <c r="DQ675" s="1157"/>
      <c r="DR675" s="1156"/>
      <c r="DS675" s="1156"/>
      <c r="DT675" s="1156"/>
      <c r="DU675" s="1156"/>
      <c r="DV675" s="1541"/>
      <c r="DW675" s="1156"/>
      <c r="DX675" s="1156"/>
      <c r="DY675" s="1157"/>
      <c r="DZ675" s="1156"/>
      <c r="EA675" s="1156"/>
      <c r="EB675" s="1156"/>
      <c r="EC675" s="1156"/>
      <c r="ED675" s="1541"/>
      <c r="EE675" s="1156"/>
      <c r="EF675" s="1156"/>
      <c r="EG675" s="1157"/>
      <c r="EH675" s="1156"/>
      <c r="EI675" s="1156"/>
      <c r="EJ675" s="1156"/>
      <c r="EK675" s="1156"/>
      <c r="EL675" s="1541"/>
      <c r="EM675" s="1156"/>
      <c r="EN675" s="1156"/>
      <c r="EO675" s="1157"/>
      <c r="EP675" s="1156"/>
      <c r="EQ675" s="1156"/>
      <c r="ER675" s="1156"/>
      <c r="ES675" s="1156"/>
      <c r="ET675" s="1156"/>
      <c r="EU675" s="1156"/>
      <c r="EV675" s="1156"/>
      <c r="IX675" s="1049"/>
      <c r="IY675" s="1049"/>
      <c r="IZ675" s="1049"/>
      <c r="JA675" s="1049"/>
      <c r="JB675" s="1049"/>
      <c r="JC675" s="1049"/>
      <c r="JD675" s="1112"/>
      <c r="JE675" s="1037"/>
      <c r="JF675" s="1037"/>
      <c r="JG675" s="1037"/>
      <c r="JH675" s="1037"/>
      <c r="JI675" s="1035"/>
      <c r="JJ675" s="1035"/>
      <c r="JK675" s="1035"/>
      <c r="JL675" s="1035"/>
      <c r="JM675" s="1035"/>
      <c r="JN675" s="1035"/>
      <c r="JO675" s="1035"/>
      <c r="JP675" s="1035"/>
      <c r="JQ675" s="1035"/>
      <c r="JR675" s="1035"/>
      <c r="JS675" s="1035"/>
      <c r="JT675" s="1035"/>
      <c r="JU675" s="1035"/>
      <c r="JV675" s="1035"/>
      <c r="JW675" s="1035"/>
      <c r="JX675" s="1035"/>
      <c r="JY675" s="1035"/>
    </row>
    <row r="676" outlineLevel="1" spans="1:285">
      <c r="A676" s="1339" t="s">
        <v>533</v>
      </c>
      <c r="B676" s="1409"/>
      <c r="C676" s="1409"/>
      <c r="D676" s="1409"/>
      <c r="E676" s="1409"/>
      <c r="F676" s="1409"/>
      <c r="G676" s="1409"/>
      <c r="H676" s="1409"/>
      <c r="I676" s="1409"/>
      <c r="J676" s="1409"/>
      <c r="K676" s="1409"/>
      <c r="L676" s="1409"/>
      <c r="M676" s="1409"/>
      <c r="N676" s="1409"/>
      <c r="O676" s="1409"/>
      <c r="P676" s="1409"/>
      <c r="Q676" s="1409"/>
      <c r="R676" s="1409"/>
      <c r="S676" s="1409"/>
      <c r="T676" s="1409"/>
      <c r="U676" s="1409"/>
      <c r="V676" s="1409"/>
      <c r="W676" s="1409"/>
      <c r="X676" s="1409"/>
      <c r="Y676" s="1409"/>
      <c r="Z676" s="1409"/>
      <c r="AA676" s="1409"/>
      <c r="AB676" s="1409"/>
      <c r="AC676" s="1409"/>
      <c r="AD676" s="1409"/>
      <c r="AE676" s="1409"/>
      <c r="AF676" s="1409"/>
      <c r="AG676" s="1409"/>
      <c r="AH676" s="1409"/>
      <c r="AI676" s="1409"/>
      <c r="AJ676" s="1409"/>
      <c r="AK676" s="1409"/>
      <c r="AL676" s="1409"/>
      <c r="AM676" s="1409"/>
      <c r="AN676" s="1409"/>
      <c r="AO676" s="1409"/>
      <c r="AP676" s="1409"/>
      <c r="AQ676" s="1409"/>
      <c r="AR676" s="1409"/>
      <c r="AS676" s="1409"/>
      <c r="AT676" s="1409"/>
      <c r="AU676" s="1409"/>
      <c r="AV676" s="1409"/>
      <c r="AW676" s="1409"/>
      <c r="AX676" s="1408"/>
      <c r="AY676" s="1409"/>
      <c r="AZ676" s="1409"/>
      <c r="BA676" s="1409"/>
      <c r="BB676" s="1409"/>
      <c r="BC676" s="1409"/>
      <c r="BD676" s="1409"/>
      <c r="BE676" s="1410"/>
      <c r="BF676" s="1409"/>
      <c r="BG676" s="1409"/>
      <c r="BH676" s="1409"/>
      <c r="BI676" s="1409"/>
      <c r="BJ676" s="1409"/>
      <c r="BK676" s="1409"/>
      <c r="BL676" s="1409"/>
      <c r="BM676" s="1409"/>
      <c r="BN676" s="1408"/>
      <c r="BO676" s="1409"/>
      <c r="BP676" s="1409"/>
      <c r="BQ676" s="1409"/>
      <c r="BR676" s="1409"/>
      <c r="BS676" s="1409"/>
      <c r="BT676" s="1409"/>
      <c r="BU676" s="1410"/>
      <c r="BV676" s="1526"/>
      <c r="BW676" s="1061"/>
      <c r="BX676" s="1061"/>
      <c r="BY676" s="1061"/>
      <c r="BZ676" s="1061"/>
      <c r="CA676" s="1061"/>
      <c r="CB676" s="1061"/>
      <c r="CC676" s="1527"/>
      <c r="CD676" s="1526"/>
      <c r="CE676" s="1061"/>
      <c r="CF676" s="1061"/>
      <c r="CG676" s="1061"/>
      <c r="CH676" s="1061"/>
      <c r="CI676" s="1061"/>
      <c r="CJ676" s="1061"/>
      <c r="CK676" s="1527"/>
      <c r="CL676" s="1303"/>
      <c r="CM676" s="1302"/>
      <c r="CN676" s="1061"/>
      <c r="CO676" s="1302"/>
      <c r="CP676" s="1409"/>
      <c r="CQ676" s="1302">
        <v>0.19</v>
      </c>
      <c r="CR676" s="1409"/>
      <c r="CS676" s="1410"/>
      <c r="CT676" s="1303">
        <v>0.14</v>
      </c>
      <c r="CU676" s="1302">
        <v>0.16</v>
      </c>
      <c r="CV676" s="1302"/>
      <c r="CW676" s="1302">
        <v>0.17</v>
      </c>
      <c r="CX676" s="1302"/>
      <c r="CY676" s="1302">
        <v>0.22</v>
      </c>
      <c r="CZ676" s="1302"/>
      <c r="DA676" s="1304"/>
      <c r="DB676" s="1109">
        <v>0.11</v>
      </c>
      <c r="DC676" s="1082">
        <v>0.14</v>
      </c>
      <c r="DD676" s="1082"/>
      <c r="DE676" s="1082">
        <v>0.17</v>
      </c>
      <c r="DF676" s="1488"/>
      <c r="DG676" s="1082">
        <v>-0.01</v>
      </c>
      <c r="DH676" s="1082"/>
      <c r="DI676" s="1085"/>
      <c r="DJ676" s="1082"/>
      <c r="DK676" s="1082"/>
      <c r="DL676" s="1082"/>
      <c r="DM676" s="1082"/>
      <c r="DN676" s="1488"/>
      <c r="DO676" s="1082"/>
      <c r="DP676" s="1082"/>
      <c r="DQ676" s="1085"/>
      <c r="DR676" s="1082"/>
      <c r="DS676" s="1082"/>
      <c r="DT676" s="1082"/>
      <c r="DU676" s="1082"/>
      <c r="DV676" s="1488"/>
      <c r="DW676" s="1082"/>
      <c r="DX676" s="1082"/>
      <c r="DY676" s="1085"/>
      <c r="DZ676" s="1082"/>
      <c r="EA676" s="1082"/>
      <c r="EB676" s="1082"/>
      <c r="EC676" s="1082"/>
      <c r="ED676" s="1488"/>
      <c r="EE676" s="1082"/>
      <c r="EF676" s="1082"/>
      <c r="EG676" s="1085"/>
      <c r="EH676" s="1082"/>
      <c r="EI676" s="1082"/>
      <c r="EJ676" s="1082"/>
      <c r="EK676" s="1082"/>
      <c r="EL676" s="1488"/>
      <c r="EM676" s="1082"/>
      <c r="EN676" s="1082"/>
      <c r="EO676" s="1085"/>
      <c r="EP676" s="1082"/>
      <c r="EQ676" s="1082"/>
      <c r="ER676" s="1082"/>
      <c r="ES676" s="1082"/>
      <c r="ET676" s="1082"/>
      <c r="EU676" s="1082"/>
      <c r="EV676" s="1082"/>
      <c r="IX676" s="1049"/>
      <c r="IY676" s="1049"/>
      <c r="IZ676" s="1049"/>
      <c r="JA676" s="1049"/>
      <c r="JB676" s="1049"/>
      <c r="JC676" s="1049"/>
      <c r="JD676" s="1112"/>
      <c r="JE676" s="1037"/>
      <c r="JF676" s="1037"/>
      <c r="JG676" s="1037"/>
      <c r="JH676" s="1037"/>
      <c r="JI676" s="1035"/>
      <c r="JJ676" s="1035"/>
      <c r="JK676" s="1035"/>
      <c r="JL676" s="1035"/>
      <c r="JM676" s="1035"/>
      <c r="JN676" s="1035"/>
      <c r="JO676" s="1035"/>
      <c r="JP676" s="1035"/>
      <c r="JQ676" s="1035"/>
      <c r="JR676" s="1035"/>
      <c r="JS676" s="1035"/>
      <c r="JT676" s="1035"/>
      <c r="JU676" s="1035"/>
      <c r="JV676" s="1035"/>
      <c r="JW676" s="1035"/>
      <c r="JX676" s="1035"/>
      <c r="JY676" s="1035"/>
    </row>
    <row r="677" outlineLevel="1" spans="1:285">
      <c r="A677" s="1339" t="s">
        <v>654</v>
      </c>
      <c r="B677" s="1409"/>
      <c r="C677" s="1409"/>
      <c r="D677" s="1409"/>
      <c r="E677" s="1409"/>
      <c r="F677" s="1409"/>
      <c r="G677" s="1409"/>
      <c r="H677" s="1409"/>
      <c r="I677" s="1409"/>
      <c r="J677" s="1409"/>
      <c r="K677" s="1409"/>
      <c r="L677" s="1409"/>
      <c r="M677" s="1409"/>
      <c r="N677" s="1409"/>
      <c r="O677" s="1409"/>
      <c r="P677" s="1409"/>
      <c r="Q677" s="1409"/>
      <c r="R677" s="1409"/>
      <c r="S677" s="1409"/>
      <c r="T677" s="1409"/>
      <c r="U677" s="1409"/>
      <c r="V677" s="1409"/>
      <c r="W677" s="1409"/>
      <c r="X677" s="1409"/>
      <c r="Y677" s="1409"/>
      <c r="Z677" s="1409"/>
      <c r="AA677" s="1409"/>
      <c r="AB677" s="1409"/>
      <c r="AC677" s="1409"/>
      <c r="AD677" s="1409"/>
      <c r="AE677" s="1409"/>
      <c r="AF677" s="1409"/>
      <c r="AG677" s="1409"/>
      <c r="AH677" s="1409"/>
      <c r="AI677" s="1409"/>
      <c r="AJ677" s="1409"/>
      <c r="AK677" s="1409"/>
      <c r="AL677" s="1409"/>
      <c r="AM677" s="1409"/>
      <c r="AN677" s="1409"/>
      <c r="AO677" s="1409"/>
      <c r="AP677" s="1409"/>
      <c r="AQ677" s="1409"/>
      <c r="AR677" s="1409"/>
      <c r="AS677" s="1409"/>
      <c r="AT677" s="1409"/>
      <c r="AU677" s="1409"/>
      <c r="AV677" s="1409"/>
      <c r="AW677" s="1409"/>
      <c r="AX677" s="1408"/>
      <c r="AY677" s="1409"/>
      <c r="AZ677" s="1409"/>
      <c r="BA677" s="1409"/>
      <c r="BB677" s="1409"/>
      <c r="BC677" s="1409"/>
      <c r="BD677" s="1409"/>
      <c r="BE677" s="1410"/>
      <c r="BF677" s="1409"/>
      <c r="BG677" s="1409"/>
      <c r="BH677" s="1409"/>
      <c r="BI677" s="1409"/>
      <c r="BJ677" s="1409"/>
      <c r="BK677" s="1409"/>
      <c r="BL677" s="1409"/>
      <c r="BM677" s="1409"/>
      <c r="BN677" s="1408"/>
      <c r="BO677" s="1409"/>
      <c r="BP677" s="1409"/>
      <c r="BQ677" s="1409"/>
      <c r="BR677" s="1409"/>
      <c r="BS677" s="1409"/>
      <c r="BT677" s="1409"/>
      <c r="BU677" s="1410"/>
      <c r="BV677" s="1526"/>
      <c r="BW677" s="1061"/>
      <c r="BX677" s="1061"/>
      <c r="BY677" s="1061"/>
      <c r="BZ677" s="1061"/>
      <c r="CA677" s="1061"/>
      <c r="CB677" s="1061"/>
      <c r="CC677" s="1527"/>
      <c r="CD677" s="1526"/>
      <c r="CE677" s="1061"/>
      <c r="CF677" s="1061"/>
      <c r="CG677" s="1061"/>
      <c r="CH677" s="1061"/>
      <c r="CI677" s="1061"/>
      <c r="CJ677" s="1061"/>
      <c r="CK677" s="1527"/>
      <c r="CL677" s="1303"/>
      <c r="CM677" s="1302"/>
      <c r="CN677" s="1061"/>
      <c r="CO677" s="1302"/>
      <c r="CP677" s="1409"/>
      <c r="CQ677" s="1302">
        <v>0.29</v>
      </c>
      <c r="CR677" s="1409"/>
      <c r="CS677" s="1410"/>
      <c r="CT677" s="1303">
        <v>0.22</v>
      </c>
      <c r="CU677" s="1302">
        <v>0.21</v>
      </c>
      <c r="CV677" s="1302"/>
      <c r="CW677" s="1302">
        <v>0.25</v>
      </c>
      <c r="CX677" s="1302"/>
      <c r="CY677" s="1302">
        <v>0.29</v>
      </c>
      <c r="CZ677" s="1302"/>
      <c r="DA677" s="1304"/>
      <c r="DB677" s="1109">
        <v>0.18</v>
      </c>
      <c r="DC677" s="1082">
        <v>0.21</v>
      </c>
      <c r="DD677" s="1082"/>
      <c r="DE677" s="1082">
        <v>0.12</v>
      </c>
      <c r="DF677" s="1488"/>
      <c r="DG677" s="1082">
        <v>-0.11</v>
      </c>
      <c r="DH677" s="1082"/>
      <c r="DI677" s="1085"/>
      <c r="DJ677" s="1082"/>
      <c r="DK677" s="1082"/>
      <c r="DL677" s="1082"/>
      <c r="DM677" s="1082"/>
      <c r="DN677" s="1488"/>
      <c r="DO677" s="1082"/>
      <c r="DP677" s="1082"/>
      <c r="DQ677" s="1085"/>
      <c r="DR677" s="1082"/>
      <c r="DS677" s="1082"/>
      <c r="DT677" s="1082"/>
      <c r="DU677" s="1082"/>
      <c r="DV677" s="1488"/>
      <c r="DW677" s="1082"/>
      <c r="DX677" s="1082"/>
      <c r="DY677" s="1085"/>
      <c r="DZ677" s="1082"/>
      <c r="EA677" s="1082"/>
      <c r="EB677" s="1082"/>
      <c r="EC677" s="1082"/>
      <c r="ED677" s="1488"/>
      <c r="EE677" s="1082"/>
      <c r="EF677" s="1082"/>
      <c r="EG677" s="1085"/>
      <c r="EH677" s="1082"/>
      <c r="EI677" s="1082"/>
      <c r="EJ677" s="1082"/>
      <c r="EK677" s="1082"/>
      <c r="EL677" s="1488"/>
      <c r="EM677" s="1082"/>
      <c r="EN677" s="1082"/>
      <c r="EO677" s="1085"/>
      <c r="EP677" s="1082"/>
      <c r="EQ677" s="1082"/>
      <c r="ER677" s="1082"/>
      <c r="ES677" s="1082"/>
      <c r="ET677" s="1082"/>
      <c r="EU677" s="1082"/>
      <c r="EV677" s="1082"/>
      <c r="IX677" s="1049"/>
      <c r="IY677" s="1049"/>
      <c r="IZ677" s="1049"/>
      <c r="JA677" s="1049"/>
      <c r="JB677" s="1049"/>
      <c r="JC677" s="1049"/>
      <c r="JD677" s="1112"/>
      <c r="JE677" s="1037"/>
      <c r="JF677" s="1037"/>
      <c r="JG677" s="1037"/>
      <c r="JH677" s="1037"/>
      <c r="JI677" s="1035"/>
      <c r="JJ677" s="1035"/>
      <c r="JK677" s="1035"/>
      <c r="JL677" s="1035"/>
      <c r="JM677" s="1035"/>
      <c r="JN677" s="1035"/>
      <c r="JO677" s="1035"/>
      <c r="JP677" s="1035"/>
      <c r="JQ677" s="1035"/>
      <c r="JR677" s="1035"/>
      <c r="JS677" s="1035"/>
      <c r="JT677" s="1035"/>
      <c r="JU677" s="1035"/>
      <c r="JV677" s="1035"/>
      <c r="JW677" s="1035"/>
      <c r="JX677" s="1035"/>
      <c r="JY677" s="1035"/>
    </row>
    <row r="678" outlineLevel="1" spans="1:285">
      <c r="A678" s="1339" t="s">
        <v>536</v>
      </c>
      <c r="B678" s="1409"/>
      <c r="C678" s="1409"/>
      <c r="D678" s="1409"/>
      <c r="E678" s="1409"/>
      <c r="F678" s="1409"/>
      <c r="G678" s="1409"/>
      <c r="H678" s="1409"/>
      <c r="I678" s="1409"/>
      <c r="J678" s="1409"/>
      <c r="K678" s="1409"/>
      <c r="L678" s="1409"/>
      <c r="M678" s="1409"/>
      <c r="N678" s="1409"/>
      <c r="O678" s="1409"/>
      <c r="P678" s="1409"/>
      <c r="Q678" s="1409"/>
      <c r="R678" s="1409"/>
      <c r="S678" s="1409"/>
      <c r="T678" s="1409"/>
      <c r="U678" s="1409"/>
      <c r="V678" s="1409"/>
      <c r="W678" s="1409"/>
      <c r="X678" s="1409"/>
      <c r="Y678" s="1409"/>
      <c r="Z678" s="1409"/>
      <c r="AA678" s="1409"/>
      <c r="AB678" s="1409"/>
      <c r="AC678" s="1409"/>
      <c r="AD678" s="1409"/>
      <c r="AE678" s="1409"/>
      <c r="AF678" s="1409"/>
      <c r="AG678" s="1409"/>
      <c r="AH678" s="1409"/>
      <c r="AI678" s="1409"/>
      <c r="AJ678" s="1409"/>
      <c r="AK678" s="1409"/>
      <c r="AL678" s="1409"/>
      <c r="AM678" s="1409"/>
      <c r="AN678" s="1409"/>
      <c r="AO678" s="1409"/>
      <c r="AP678" s="1409"/>
      <c r="AQ678" s="1409"/>
      <c r="AR678" s="1409"/>
      <c r="AS678" s="1409"/>
      <c r="AT678" s="1409"/>
      <c r="AU678" s="1409"/>
      <c r="AV678" s="1409"/>
      <c r="AW678" s="1409"/>
      <c r="AX678" s="1408"/>
      <c r="AY678" s="1409"/>
      <c r="AZ678" s="1409"/>
      <c r="BA678" s="1409"/>
      <c r="BB678" s="1409"/>
      <c r="BC678" s="1409"/>
      <c r="BD678" s="1409"/>
      <c r="BE678" s="1410"/>
      <c r="BF678" s="1409"/>
      <c r="BG678" s="1409"/>
      <c r="BH678" s="1409"/>
      <c r="BI678" s="1409"/>
      <c r="BJ678" s="1409"/>
      <c r="BK678" s="1409"/>
      <c r="BL678" s="1409"/>
      <c r="BM678" s="1409"/>
      <c r="BN678" s="1408"/>
      <c r="BO678" s="1409"/>
      <c r="BP678" s="1409"/>
      <c r="BQ678" s="1409"/>
      <c r="BR678" s="1409"/>
      <c r="BS678" s="1409"/>
      <c r="BT678" s="1409"/>
      <c r="BU678" s="1410"/>
      <c r="BV678" s="1526"/>
      <c r="BW678" s="1061"/>
      <c r="BX678" s="1061"/>
      <c r="BY678" s="1061"/>
      <c r="BZ678" s="1061"/>
      <c r="CA678" s="1061"/>
      <c r="CB678" s="1061"/>
      <c r="CC678" s="1527"/>
      <c r="CD678" s="1526"/>
      <c r="CE678" s="1061"/>
      <c r="CF678" s="1061"/>
      <c r="CG678" s="1061"/>
      <c r="CH678" s="1061"/>
      <c r="CI678" s="1061"/>
      <c r="CJ678" s="1061"/>
      <c r="CK678" s="1527"/>
      <c r="CL678" s="1303"/>
      <c r="CM678" s="1302"/>
      <c r="CN678" s="1061"/>
      <c r="CO678" s="1302"/>
      <c r="CP678" s="1409"/>
      <c r="CQ678" s="1302">
        <v>0.06</v>
      </c>
      <c r="CR678" s="1409"/>
      <c r="CS678" s="1410"/>
      <c r="CT678" s="1303">
        <v>0.1</v>
      </c>
      <c r="CU678" s="1302">
        <v>0.07</v>
      </c>
      <c r="CV678" s="1302"/>
      <c r="CW678" s="1302">
        <v>0.13</v>
      </c>
      <c r="CX678" s="1302"/>
      <c r="CY678" s="1302">
        <v>0.23</v>
      </c>
      <c r="CZ678" s="1302"/>
      <c r="DA678" s="1304"/>
      <c r="DB678" s="1109">
        <v>0.15</v>
      </c>
      <c r="DC678" s="1082">
        <v>0.17</v>
      </c>
      <c r="DD678" s="1082"/>
      <c r="DE678" s="1082">
        <v>0.13</v>
      </c>
      <c r="DF678" s="1488"/>
      <c r="DG678" s="1082">
        <v>0.04</v>
      </c>
      <c r="DH678" s="1082"/>
      <c r="DI678" s="1085"/>
      <c r="DJ678" s="1082"/>
      <c r="DK678" s="1082"/>
      <c r="DL678" s="1082"/>
      <c r="DM678" s="1082"/>
      <c r="DN678" s="1488"/>
      <c r="DO678" s="1082"/>
      <c r="DP678" s="1082"/>
      <c r="DQ678" s="1085"/>
      <c r="DR678" s="1082"/>
      <c r="DS678" s="1082"/>
      <c r="DT678" s="1082"/>
      <c r="DU678" s="1082"/>
      <c r="DV678" s="1488"/>
      <c r="DW678" s="1082"/>
      <c r="DX678" s="1082"/>
      <c r="DY678" s="1085"/>
      <c r="DZ678" s="1082"/>
      <c r="EA678" s="1082"/>
      <c r="EB678" s="1082"/>
      <c r="EC678" s="1082"/>
      <c r="ED678" s="1488"/>
      <c r="EE678" s="1082"/>
      <c r="EF678" s="1082"/>
      <c r="EG678" s="1085"/>
      <c r="EH678" s="1082"/>
      <c r="EI678" s="1082"/>
      <c r="EJ678" s="1082"/>
      <c r="EK678" s="1082"/>
      <c r="EL678" s="1488"/>
      <c r="EM678" s="1082"/>
      <c r="EN678" s="1082"/>
      <c r="EO678" s="1085"/>
      <c r="EP678" s="1082"/>
      <c r="EQ678" s="1082"/>
      <c r="ER678" s="1082"/>
      <c r="ES678" s="1082"/>
      <c r="ET678" s="1082"/>
      <c r="EU678" s="1082"/>
      <c r="EV678" s="1082"/>
      <c r="IX678" s="1049"/>
      <c r="IY678" s="1049"/>
      <c r="IZ678" s="1049"/>
      <c r="JA678" s="1049"/>
      <c r="JB678" s="1049"/>
      <c r="JC678" s="1049"/>
      <c r="JD678" s="1112"/>
      <c r="JE678" s="1037"/>
      <c r="JF678" s="1037"/>
      <c r="JG678" s="1037"/>
      <c r="JH678" s="1037"/>
      <c r="JI678" s="1035"/>
      <c r="JJ678" s="1035"/>
      <c r="JK678" s="1035"/>
      <c r="JL678" s="1035"/>
      <c r="JM678" s="1035"/>
      <c r="JN678" s="1035"/>
      <c r="JO678" s="1035"/>
      <c r="JP678" s="1035"/>
      <c r="JQ678" s="1035"/>
      <c r="JR678" s="1035"/>
      <c r="JS678" s="1035"/>
      <c r="JT678" s="1035"/>
      <c r="JU678" s="1035"/>
      <c r="JV678" s="1035"/>
      <c r="JW678" s="1035"/>
      <c r="JX678" s="1035"/>
      <c r="JY678" s="1035"/>
    </row>
    <row r="679" outlineLevel="1" spans="1:285">
      <c r="A679" s="1339" t="s">
        <v>654</v>
      </c>
      <c r="B679" s="1409"/>
      <c r="C679" s="1409"/>
      <c r="D679" s="1409"/>
      <c r="E679" s="1409"/>
      <c r="F679" s="1409"/>
      <c r="G679" s="1409"/>
      <c r="H679" s="1409"/>
      <c r="I679" s="1409"/>
      <c r="J679" s="1409"/>
      <c r="K679" s="1409"/>
      <c r="L679" s="1409"/>
      <c r="M679" s="1409"/>
      <c r="N679" s="1409"/>
      <c r="O679" s="1409"/>
      <c r="P679" s="1409"/>
      <c r="Q679" s="1409"/>
      <c r="R679" s="1409"/>
      <c r="S679" s="1409"/>
      <c r="T679" s="1409"/>
      <c r="U679" s="1409"/>
      <c r="V679" s="1409"/>
      <c r="W679" s="1409"/>
      <c r="X679" s="1409"/>
      <c r="Y679" s="1409"/>
      <c r="Z679" s="1409"/>
      <c r="AA679" s="1409"/>
      <c r="AB679" s="1409"/>
      <c r="AC679" s="1409"/>
      <c r="AD679" s="1409"/>
      <c r="AE679" s="1409"/>
      <c r="AF679" s="1409"/>
      <c r="AG679" s="1409"/>
      <c r="AH679" s="1409"/>
      <c r="AI679" s="1409"/>
      <c r="AJ679" s="1409"/>
      <c r="AK679" s="1409"/>
      <c r="AL679" s="1409"/>
      <c r="AM679" s="1409"/>
      <c r="AN679" s="1409"/>
      <c r="AO679" s="1409"/>
      <c r="AP679" s="1409"/>
      <c r="AQ679" s="1409"/>
      <c r="AR679" s="1409"/>
      <c r="AS679" s="1409"/>
      <c r="AT679" s="1409"/>
      <c r="AU679" s="1409"/>
      <c r="AV679" s="1409"/>
      <c r="AW679" s="1409"/>
      <c r="AX679" s="1408"/>
      <c r="AY679" s="1409"/>
      <c r="AZ679" s="1409"/>
      <c r="BA679" s="1409"/>
      <c r="BB679" s="1409"/>
      <c r="BC679" s="1409"/>
      <c r="BD679" s="1409"/>
      <c r="BE679" s="1410"/>
      <c r="BF679" s="1409"/>
      <c r="BG679" s="1409"/>
      <c r="BH679" s="1409"/>
      <c r="BI679" s="1409"/>
      <c r="BJ679" s="1409"/>
      <c r="BK679" s="1409"/>
      <c r="BL679" s="1409"/>
      <c r="BM679" s="1409"/>
      <c r="BN679" s="1408"/>
      <c r="BO679" s="1409"/>
      <c r="BP679" s="1409"/>
      <c r="BQ679" s="1409"/>
      <c r="BR679" s="1409"/>
      <c r="BS679" s="1409"/>
      <c r="BT679" s="1409"/>
      <c r="BU679" s="1410"/>
      <c r="BV679" s="1526"/>
      <c r="BW679" s="1061"/>
      <c r="BX679" s="1061"/>
      <c r="BY679" s="1061"/>
      <c r="BZ679" s="1061"/>
      <c r="CA679" s="1061"/>
      <c r="CB679" s="1061"/>
      <c r="CC679" s="1527"/>
      <c r="CD679" s="1526"/>
      <c r="CE679" s="1061"/>
      <c r="CF679" s="1061"/>
      <c r="CG679" s="1061"/>
      <c r="CH679" s="1061"/>
      <c r="CI679" s="1061"/>
      <c r="CJ679" s="1061"/>
      <c r="CK679" s="1527"/>
      <c r="CL679" s="1303"/>
      <c r="CM679" s="1302"/>
      <c r="CN679" s="1061"/>
      <c r="CO679" s="1302"/>
      <c r="CP679" s="1409"/>
      <c r="CQ679" s="1302">
        <v>0.16</v>
      </c>
      <c r="CR679" s="1409"/>
      <c r="CS679" s="1410"/>
      <c r="CT679" s="1303">
        <v>0.18</v>
      </c>
      <c r="CU679" s="1302">
        <v>0.12</v>
      </c>
      <c r="CV679" s="1302"/>
      <c r="CW679" s="1302">
        <v>0.21</v>
      </c>
      <c r="CX679" s="1302"/>
      <c r="CY679" s="1302">
        <v>0.3</v>
      </c>
      <c r="CZ679" s="1302"/>
      <c r="DA679" s="1304"/>
      <c r="DB679" s="1109">
        <v>0.22</v>
      </c>
      <c r="DC679" s="1082">
        <v>0.25</v>
      </c>
      <c r="DD679" s="1082"/>
      <c r="DE679" s="1082">
        <v>0.08</v>
      </c>
      <c r="DF679" s="1488"/>
      <c r="DG679" s="1082">
        <v>-0.08</v>
      </c>
      <c r="DH679" s="1082"/>
      <c r="DI679" s="1085"/>
      <c r="DJ679" s="1082"/>
      <c r="DK679" s="1082"/>
      <c r="DL679" s="1082"/>
      <c r="DM679" s="1082"/>
      <c r="DN679" s="1488"/>
      <c r="DO679" s="1082"/>
      <c r="DP679" s="1082"/>
      <c r="DQ679" s="1085"/>
      <c r="DR679" s="1082"/>
      <c r="DS679" s="1082"/>
      <c r="DT679" s="1082"/>
      <c r="DU679" s="1082"/>
      <c r="DV679" s="1488"/>
      <c r="DW679" s="1082"/>
      <c r="DX679" s="1082"/>
      <c r="DY679" s="1085"/>
      <c r="DZ679" s="1082"/>
      <c r="EA679" s="1082"/>
      <c r="EB679" s="1082"/>
      <c r="EC679" s="1082"/>
      <c r="ED679" s="1488"/>
      <c r="EE679" s="1082"/>
      <c r="EF679" s="1082"/>
      <c r="EG679" s="1085"/>
      <c r="EH679" s="1082"/>
      <c r="EI679" s="1082"/>
      <c r="EJ679" s="1082"/>
      <c r="EK679" s="1082"/>
      <c r="EL679" s="1488"/>
      <c r="EM679" s="1082"/>
      <c r="EN679" s="1082"/>
      <c r="EO679" s="1085"/>
      <c r="EP679" s="1082"/>
      <c r="EQ679" s="1082"/>
      <c r="ER679" s="1082"/>
      <c r="ES679" s="1082"/>
      <c r="ET679" s="1082"/>
      <c r="EU679" s="1082"/>
      <c r="EV679" s="1082"/>
      <c r="IX679" s="1049"/>
      <c r="IY679" s="1049"/>
      <c r="IZ679" s="1049"/>
      <c r="JA679" s="1049"/>
      <c r="JB679" s="1049"/>
      <c r="JC679" s="1049"/>
      <c r="JD679" s="1112"/>
      <c r="JE679" s="1037"/>
      <c r="JF679" s="1037"/>
      <c r="JG679" s="1037"/>
      <c r="JH679" s="1037"/>
      <c r="JI679" s="1035"/>
      <c r="JJ679" s="1035"/>
      <c r="JK679" s="1035"/>
      <c r="JL679" s="1035"/>
      <c r="JM679" s="1035"/>
      <c r="JN679" s="1035"/>
      <c r="JO679" s="1035"/>
      <c r="JP679" s="1035"/>
      <c r="JQ679" s="1035"/>
      <c r="JR679" s="1035"/>
      <c r="JS679" s="1035"/>
      <c r="JT679" s="1035"/>
      <c r="JU679" s="1035"/>
      <c r="JV679" s="1035"/>
      <c r="JW679" s="1035"/>
      <c r="JX679" s="1035"/>
      <c r="JY679" s="1035"/>
    </row>
    <row r="680" outlineLevel="1" spans="1:285">
      <c r="A680" s="1191" t="s">
        <v>212</v>
      </c>
      <c r="B680" s="1499"/>
      <c r="C680" s="1499"/>
      <c r="D680" s="1499"/>
      <c r="E680" s="1499"/>
      <c r="F680" s="1499"/>
      <c r="G680" s="1499"/>
      <c r="H680" s="1499"/>
      <c r="I680" s="1499"/>
      <c r="J680" s="1499"/>
      <c r="K680" s="1499"/>
      <c r="L680" s="1499"/>
      <c r="M680" s="1499"/>
      <c r="N680" s="1499"/>
      <c r="O680" s="1499"/>
      <c r="P680" s="1499"/>
      <c r="Q680" s="1499"/>
      <c r="R680" s="1499"/>
      <c r="S680" s="1499"/>
      <c r="T680" s="1499"/>
      <c r="U680" s="1499"/>
      <c r="V680" s="1499"/>
      <c r="W680" s="1499"/>
      <c r="X680" s="1499"/>
      <c r="Y680" s="1499"/>
      <c r="Z680" s="1499"/>
      <c r="AA680" s="1499"/>
      <c r="AB680" s="1499"/>
      <c r="AC680" s="1499"/>
      <c r="AD680" s="1499"/>
      <c r="AE680" s="1499"/>
      <c r="AF680" s="1499"/>
      <c r="AG680" s="1499"/>
      <c r="AH680" s="1499"/>
      <c r="AI680" s="1499"/>
      <c r="AJ680" s="1499"/>
      <c r="AK680" s="1499"/>
      <c r="AL680" s="1499"/>
      <c r="AM680" s="1499"/>
      <c r="AN680" s="1499"/>
      <c r="AO680" s="1499"/>
      <c r="AP680" s="1499"/>
      <c r="AQ680" s="1499"/>
      <c r="AR680" s="1499"/>
      <c r="AS680" s="1499"/>
      <c r="AT680" s="1499"/>
      <c r="AU680" s="1499"/>
      <c r="AV680" s="1499"/>
      <c r="AW680" s="1499"/>
      <c r="AX680" s="1500"/>
      <c r="AY680" s="1499"/>
      <c r="AZ680" s="1499"/>
      <c r="BA680" s="1499"/>
      <c r="BB680" s="1499"/>
      <c r="BC680" s="1499"/>
      <c r="BD680" s="1499"/>
      <c r="BE680" s="1501"/>
      <c r="BF680" s="1499"/>
      <c r="BG680" s="1499"/>
      <c r="BH680" s="1499"/>
      <c r="BI680" s="1499"/>
      <c r="BJ680" s="1499"/>
      <c r="BK680" s="1499"/>
      <c r="BL680" s="1499"/>
      <c r="BM680" s="1499"/>
      <c r="BN680" s="1500"/>
      <c r="BO680" s="1499"/>
      <c r="BP680" s="1499"/>
      <c r="BQ680" s="1499"/>
      <c r="BR680" s="1499"/>
      <c r="BS680" s="1499"/>
      <c r="BT680" s="1499"/>
      <c r="BU680" s="1501"/>
      <c r="BV680" s="1529">
        <v>0.01</v>
      </c>
      <c r="BW680" s="1530">
        <v>0.08</v>
      </c>
      <c r="BX680" s="1530"/>
      <c r="BY680" s="1530">
        <v>0.02</v>
      </c>
      <c r="BZ680" s="1530"/>
      <c r="CA680" s="1530">
        <v>0.07</v>
      </c>
      <c r="CB680" s="1530"/>
      <c r="CC680" s="1531"/>
      <c r="CD680" s="1529">
        <v>0.06</v>
      </c>
      <c r="CE680" s="1530">
        <v>0.1</v>
      </c>
      <c r="CF680" s="1530"/>
      <c r="CG680" s="1530">
        <v>0.14</v>
      </c>
      <c r="CH680" s="1530"/>
      <c r="CI680" s="1530">
        <v>0.15</v>
      </c>
      <c r="CJ680" s="1530"/>
      <c r="CK680" s="1531"/>
      <c r="CL680" s="1532">
        <v>0.15</v>
      </c>
      <c r="CM680" s="1533">
        <v>0.06</v>
      </c>
      <c r="CN680" s="1530"/>
      <c r="CO680" s="1533">
        <v>0</v>
      </c>
      <c r="CP680" s="1499"/>
      <c r="CQ680" s="1533">
        <v>-0.04</v>
      </c>
      <c r="CR680" s="1499"/>
      <c r="CS680" s="1501"/>
      <c r="CT680" s="1532">
        <v>0.02</v>
      </c>
      <c r="CU680" s="1533">
        <v>0.06</v>
      </c>
      <c r="CV680" s="1533"/>
      <c r="CW680" s="1533">
        <v>0.11</v>
      </c>
      <c r="CX680" s="1533"/>
      <c r="CY680" s="1533">
        <v>0.12</v>
      </c>
      <c r="CZ680" s="1533"/>
      <c r="DA680" s="1534"/>
      <c r="DB680" s="1535">
        <v>0.05</v>
      </c>
      <c r="DC680" s="1536">
        <v>0.01</v>
      </c>
      <c r="DD680" s="1536"/>
      <c r="DE680" s="1536">
        <v>0.04</v>
      </c>
      <c r="DF680" s="1537"/>
      <c r="DG680" s="1536">
        <v>-0.04</v>
      </c>
      <c r="DH680" s="1536"/>
      <c r="DI680" s="1538"/>
      <c r="DJ680" s="1536"/>
      <c r="DK680" s="1536"/>
      <c r="DL680" s="1536"/>
      <c r="DM680" s="1536"/>
      <c r="DN680" s="1537"/>
      <c r="DO680" s="1536"/>
      <c r="DP680" s="1536"/>
      <c r="DQ680" s="1538"/>
      <c r="DR680" s="1536"/>
      <c r="DS680" s="1536"/>
      <c r="DT680" s="1536"/>
      <c r="DU680" s="1536"/>
      <c r="DV680" s="1537"/>
      <c r="DW680" s="1536"/>
      <c r="DX680" s="1536"/>
      <c r="DY680" s="1538"/>
      <c r="DZ680" s="1536"/>
      <c r="EA680" s="1536"/>
      <c r="EB680" s="1536"/>
      <c r="EC680" s="1536"/>
      <c r="ED680" s="1537"/>
      <c r="EE680" s="1536"/>
      <c r="EF680" s="1536"/>
      <c r="EG680" s="1538"/>
      <c r="EH680" s="1536"/>
      <c r="EI680" s="1536"/>
      <c r="EJ680" s="1536"/>
      <c r="EK680" s="1536"/>
      <c r="EL680" s="1537"/>
      <c r="EM680" s="1536"/>
      <c r="EN680" s="1536"/>
      <c r="EO680" s="1538"/>
      <c r="EP680" s="1536"/>
      <c r="EQ680" s="1536"/>
      <c r="ER680" s="1536"/>
      <c r="ES680" s="1536"/>
      <c r="ET680" s="1536"/>
      <c r="EU680" s="1536"/>
      <c r="EV680" s="1536"/>
      <c r="IX680" s="1049"/>
      <c r="IY680" s="1049"/>
      <c r="IZ680" s="1049"/>
      <c r="JA680" s="1049"/>
      <c r="JB680" s="1049"/>
      <c r="JC680" s="1049"/>
      <c r="JD680" s="1112"/>
      <c r="JE680" s="1037"/>
      <c r="JF680" s="1037"/>
      <c r="JG680" s="1037"/>
      <c r="JH680" s="1037"/>
      <c r="JI680" s="1035"/>
      <c r="JJ680" s="1035"/>
      <c r="JK680" s="1035"/>
      <c r="JL680" s="1035"/>
      <c r="JM680" s="1035"/>
      <c r="JN680" s="1035"/>
      <c r="JO680" s="1035"/>
      <c r="JP680" s="1035"/>
      <c r="JQ680" s="1035"/>
      <c r="JR680" s="1035"/>
      <c r="JS680" s="1035"/>
      <c r="JT680" s="1035"/>
      <c r="JU680" s="1035"/>
      <c r="JV680" s="1035"/>
      <c r="JW680" s="1035"/>
      <c r="JX680" s="1035"/>
      <c r="JY680" s="1035"/>
    </row>
    <row r="681" outlineLevel="1" spans="1:285">
      <c r="A681" s="1306" t="s">
        <v>654</v>
      </c>
      <c r="B681" s="1307"/>
      <c r="C681" s="1307"/>
      <c r="D681" s="1307"/>
      <c r="E681" s="1307"/>
      <c r="F681" s="1307"/>
      <c r="G681" s="1307"/>
      <c r="H681" s="1307"/>
      <c r="I681" s="1307"/>
      <c r="J681" s="1307"/>
      <c r="K681" s="1307"/>
      <c r="L681" s="1307"/>
      <c r="M681" s="1307"/>
      <c r="N681" s="1307"/>
      <c r="O681" s="1307"/>
      <c r="P681" s="1307"/>
      <c r="Q681" s="1307"/>
      <c r="R681" s="1307"/>
      <c r="S681" s="1307"/>
      <c r="T681" s="1307"/>
      <c r="U681" s="1307"/>
      <c r="V681" s="1307"/>
      <c r="W681" s="1307"/>
      <c r="X681" s="1307"/>
      <c r="Y681" s="1307"/>
      <c r="Z681" s="1307"/>
      <c r="AA681" s="1307"/>
      <c r="AB681" s="1307"/>
      <c r="AC681" s="1307"/>
      <c r="AD681" s="1307"/>
      <c r="AE681" s="1307"/>
      <c r="AF681" s="1307"/>
      <c r="AG681" s="1307"/>
      <c r="AH681" s="1307"/>
      <c r="AI681" s="1307"/>
      <c r="AJ681" s="1307"/>
      <c r="AK681" s="1307"/>
      <c r="AL681" s="1307"/>
      <c r="AM681" s="1307"/>
      <c r="AN681" s="1307"/>
      <c r="AO681" s="1307"/>
      <c r="AP681" s="1307"/>
      <c r="AQ681" s="1307"/>
      <c r="AR681" s="1307"/>
      <c r="AS681" s="1307"/>
      <c r="AT681" s="1307"/>
      <c r="AU681" s="1307"/>
      <c r="AV681" s="1307"/>
      <c r="AW681" s="1307"/>
      <c r="AX681" s="1308"/>
      <c r="AY681" s="1307"/>
      <c r="AZ681" s="1307"/>
      <c r="BA681" s="1307"/>
      <c r="BB681" s="1307"/>
      <c r="BC681" s="1307"/>
      <c r="BD681" s="1307"/>
      <c r="BE681" s="1309"/>
      <c r="BF681" s="1307"/>
      <c r="BG681" s="1307"/>
      <c r="BH681" s="1307"/>
      <c r="BI681" s="1307"/>
      <c r="BJ681" s="1307"/>
      <c r="BK681" s="1307"/>
      <c r="BL681" s="1307"/>
      <c r="BM681" s="1307"/>
      <c r="BN681" s="1308"/>
      <c r="BO681" s="1307"/>
      <c r="BP681" s="1307"/>
      <c r="BQ681" s="1307"/>
      <c r="BR681" s="1307"/>
      <c r="BS681" s="1307"/>
      <c r="BT681" s="1307"/>
      <c r="BU681" s="1309"/>
      <c r="BV681" s="1539"/>
      <c r="BW681" s="1155"/>
      <c r="BX681" s="1155"/>
      <c r="BY681" s="1155"/>
      <c r="BZ681" s="1155"/>
      <c r="CA681" s="1155"/>
      <c r="CB681" s="1155"/>
      <c r="CC681" s="1540"/>
      <c r="CD681" s="1539">
        <v>0.09</v>
      </c>
      <c r="CE681" s="1155">
        <v>0.09</v>
      </c>
      <c r="CF681" s="1155"/>
      <c r="CG681" s="1155">
        <v>0.12</v>
      </c>
      <c r="CH681" s="1155"/>
      <c r="CI681" s="1155">
        <v>0.08</v>
      </c>
      <c r="CJ681" s="1155"/>
      <c r="CK681" s="1540"/>
      <c r="CL681" s="1420">
        <v>0.12</v>
      </c>
      <c r="CM681" s="1421">
        <v>0.09</v>
      </c>
      <c r="CN681" s="1155"/>
      <c r="CO681" s="1421">
        <v>0.03</v>
      </c>
      <c r="CP681" s="1307"/>
      <c r="CQ681" s="1421">
        <v>0.01</v>
      </c>
      <c r="CR681" s="1307"/>
      <c r="CS681" s="1309"/>
      <c r="CT681" s="1420">
        <v>0.07</v>
      </c>
      <c r="CU681" s="1421">
        <v>0.09</v>
      </c>
      <c r="CV681" s="1421"/>
      <c r="CW681" s="1421">
        <v>0.16</v>
      </c>
      <c r="CX681" s="1421"/>
      <c r="CY681" s="1421">
        <v>0.17</v>
      </c>
      <c r="CZ681" s="1421"/>
      <c r="DA681" s="1422"/>
      <c r="DB681" s="1162">
        <v>0.13</v>
      </c>
      <c r="DC681" s="1156">
        <v>0.08</v>
      </c>
      <c r="DD681" s="1156"/>
      <c r="DE681" s="1156">
        <v>0.04</v>
      </c>
      <c r="DF681" s="1541"/>
      <c r="DG681" s="1156">
        <v>-0.06</v>
      </c>
      <c r="DH681" s="1156"/>
      <c r="DI681" s="1157"/>
      <c r="DJ681" s="1156"/>
      <c r="DK681" s="1156"/>
      <c r="DL681" s="1156"/>
      <c r="DM681" s="1156"/>
      <c r="DN681" s="1541"/>
      <c r="DO681" s="1156"/>
      <c r="DP681" s="1156"/>
      <c r="DQ681" s="1157"/>
      <c r="DR681" s="1156"/>
      <c r="DS681" s="1156"/>
      <c r="DT681" s="1156"/>
      <c r="DU681" s="1156"/>
      <c r="DV681" s="1541"/>
      <c r="DW681" s="1156"/>
      <c r="DX681" s="1156"/>
      <c r="DY681" s="1157"/>
      <c r="DZ681" s="1156"/>
      <c r="EA681" s="1156"/>
      <c r="EB681" s="1156"/>
      <c r="EC681" s="1156"/>
      <c r="ED681" s="1541"/>
      <c r="EE681" s="1156"/>
      <c r="EF681" s="1156"/>
      <c r="EG681" s="1157"/>
      <c r="EH681" s="1156"/>
      <c r="EI681" s="1156"/>
      <c r="EJ681" s="1156"/>
      <c r="EK681" s="1156"/>
      <c r="EL681" s="1541"/>
      <c r="EM681" s="1156"/>
      <c r="EN681" s="1156"/>
      <c r="EO681" s="1157"/>
      <c r="EP681" s="1156"/>
      <c r="EQ681" s="1156"/>
      <c r="ER681" s="1156"/>
      <c r="ES681" s="1156"/>
      <c r="ET681" s="1156"/>
      <c r="EU681" s="1156"/>
      <c r="EV681" s="1156"/>
      <c r="IX681" s="1049"/>
      <c r="IY681" s="1049"/>
      <c r="IZ681" s="1049"/>
      <c r="JA681" s="1049"/>
      <c r="JB681" s="1049"/>
      <c r="JC681" s="1049"/>
      <c r="JD681" s="1112"/>
      <c r="JE681" s="1037"/>
      <c r="JF681" s="1037"/>
      <c r="JG681" s="1037"/>
      <c r="JH681" s="1037"/>
      <c r="JI681" s="1035"/>
      <c r="JJ681" s="1035"/>
      <c r="JK681" s="1035"/>
      <c r="JL681" s="1035"/>
      <c r="JM681" s="1035"/>
      <c r="JN681" s="1035"/>
      <c r="JO681" s="1035"/>
      <c r="JP681" s="1035"/>
      <c r="JQ681" s="1035"/>
      <c r="JR681" s="1035"/>
      <c r="JS681" s="1035"/>
      <c r="JT681" s="1035"/>
      <c r="JU681" s="1035"/>
      <c r="JV681" s="1035"/>
      <c r="JW681" s="1035"/>
      <c r="JX681" s="1035"/>
      <c r="JY681" s="1035"/>
    </row>
    <row r="682" outlineLevel="1" spans="1:285">
      <c r="A682" s="1339" t="s">
        <v>533</v>
      </c>
      <c r="B682" s="1409"/>
      <c r="C682" s="1409"/>
      <c r="D682" s="1409"/>
      <c r="E682" s="1409"/>
      <c r="F682" s="1409"/>
      <c r="G682" s="1409"/>
      <c r="H682" s="1409"/>
      <c r="I682" s="1409"/>
      <c r="J682" s="1409"/>
      <c r="K682" s="1409"/>
      <c r="L682" s="1409"/>
      <c r="M682" s="1409"/>
      <c r="N682" s="1409"/>
      <c r="O682" s="1409"/>
      <c r="P682" s="1409"/>
      <c r="Q682" s="1409"/>
      <c r="R682" s="1409"/>
      <c r="S682" s="1409"/>
      <c r="T682" s="1409"/>
      <c r="U682" s="1409"/>
      <c r="V682" s="1409"/>
      <c r="W682" s="1409"/>
      <c r="X682" s="1409"/>
      <c r="Y682" s="1409"/>
      <c r="Z682" s="1409"/>
      <c r="AA682" s="1409"/>
      <c r="AB682" s="1409"/>
      <c r="AC682" s="1409"/>
      <c r="AD682" s="1409"/>
      <c r="AE682" s="1409"/>
      <c r="AF682" s="1409"/>
      <c r="AG682" s="1409"/>
      <c r="AH682" s="1409"/>
      <c r="AI682" s="1409"/>
      <c r="AJ682" s="1409"/>
      <c r="AK682" s="1409"/>
      <c r="AL682" s="1409"/>
      <c r="AM682" s="1409"/>
      <c r="AN682" s="1409"/>
      <c r="AO682" s="1409"/>
      <c r="AP682" s="1409"/>
      <c r="AQ682" s="1409"/>
      <c r="AR682" s="1409"/>
      <c r="AS682" s="1409"/>
      <c r="AT682" s="1409"/>
      <c r="AU682" s="1409"/>
      <c r="AV682" s="1409"/>
      <c r="AW682" s="1409"/>
      <c r="AX682" s="1408"/>
      <c r="AY682" s="1409"/>
      <c r="AZ682" s="1409"/>
      <c r="BA682" s="1409"/>
      <c r="BB682" s="1409"/>
      <c r="BC682" s="1409"/>
      <c r="BD682" s="1409"/>
      <c r="BE682" s="1410"/>
      <c r="BF682" s="1409"/>
      <c r="BG682" s="1409"/>
      <c r="BH682" s="1409"/>
      <c r="BI682" s="1409"/>
      <c r="BJ682" s="1409"/>
      <c r="BK682" s="1409"/>
      <c r="BL682" s="1409"/>
      <c r="BM682" s="1409"/>
      <c r="BN682" s="1408"/>
      <c r="BO682" s="1409"/>
      <c r="BP682" s="1409"/>
      <c r="BQ682" s="1409"/>
      <c r="BR682" s="1409"/>
      <c r="BS682" s="1409"/>
      <c r="BT682" s="1409"/>
      <c r="BU682" s="1410"/>
      <c r="BV682" s="1526"/>
      <c r="BW682" s="1061"/>
      <c r="BX682" s="1061"/>
      <c r="BY682" s="1061"/>
      <c r="BZ682" s="1061"/>
      <c r="CA682" s="1061"/>
      <c r="CB682" s="1061"/>
      <c r="CC682" s="1527"/>
      <c r="CD682" s="1526"/>
      <c r="CE682" s="1061"/>
      <c r="CF682" s="1061"/>
      <c r="CG682" s="1061"/>
      <c r="CH682" s="1061"/>
      <c r="CI682" s="1061"/>
      <c r="CJ682" s="1061"/>
      <c r="CK682" s="1527"/>
      <c r="CL682" s="1303"/>
      <c r="CM682" s="1302"/>
      <c r="CN682" s="1061"/>
      <c r="CO682" s="1302"/>
      <c r="CP682" s="1409"/>
      <c r="CQ682" s="1302">
        <v>-0.06</v>
      </c>
      <c r="CR682" s="1409"/>
      <c r="CS682" s="1410"/>
      <c r="CT682" s="1303">
        <v>0</v>
      </c>
      <c r="CU682" s="1302">
        <v>0.05</v>
      </c>
      <c r="CV682" s="1302"/>
      <c r="CW682" s="1302">
        <v>0.09</v>
      </c>
      <c r="CX682" s="1302"/>
      <c r="CY682" s="1302">
        <v>0.08</v>
      </c>
      <c r="CZ682" s="1302"/>
      <c r="DA682" s="1304"/>
      <c r="DB682" s="1109">
        <v>0.06</v>
      </c>
      <c r="DC682" s="1082">
        <v>0.02</v>
      </c>
      <c r="DD682" s="1082"/>
      <c r="DE682" s="1082">
        <v>0.06</v>
      </c>
      <c r="DF682" s="1082"/>
      <c r="DG682" s="1082">
        <v>-0.02</v>
      </c>
      <c r="DH682" s="1082"/>
      <c r="DI682" s="1085"/>
      <c r="DJ682" s="1082"/>
      <c r="DK682" s="1082"/>
      <c r="DL682" s="1082"/>
      <c r="DM682" s="1082"/>
      <c r="DN682" s="1082"/>
      <c r="DO682" s="1082"/>
      <c r="DP682" s="1082"/>
      <c r="DQ682" s="1085"/>
      <c r="DR682" s="1082"/>
      <c r="DS682" s="1082"/>
      <c r="DT682" s="1082"/>
      <c r="DU682" s="1082"/>
      <c r="DV682" s="1082"/>
      <c r="DW682" s="1082"/>
      <c r="DX682" s="1082"/>
      <c r="DY682" s="1085"/>
      <c r="DZ682" s="1082"/>
      <c r="EA682" s="1082"/>
      <c r="EB682" s="1082"/>
      <c r="EC682" s="1082"/>
      <c r="ED682" s="1082"/>
      <c r="EE682" s="1082"/>
      <c r="EF682" s="1082"/>
      <c r="EG682" s="1085"/>
      <c r="EH682" s="1082"/>
      <c r="EI682" s="1082"/>
      <c r="EJ682" s="1082"/>
      <c r="EK682" s="1082"/>
      <c r="EL682" s="1082"/>
      <c r="EM682" s="1082"/>
      <c r="EN682" s="1082"/>
      <c r="EO682" s="1085"/>
      <c r="EP682" s="1082"/>
      <c r="EQ682" s="1082"/>
      <c r="ER682" s="1082"/>
      <c r="ES682" s="1082"/>
      <c r="ET682" s="1082"/>
      <c r="EU682" s="1082"/>
      <c r="EV682" s="1082"/>
      <c r="IX682" s="1049"/>
      <c r="IY682" s="1049"/>
      <c r="IZ682" s="1049"/>
      <c r="JA682" s="1049"/>
      <c r="JB682" s="1049"/>
      <c r="JC682" s="1049"/>
      <c r="JD682" s="1112"/>
      <c r="JE682" s="1037"/>
      <c r="JF682" s="1037"/>
      <c r="JG682" s="1037"/>
      <c r="JH682" s="1037"/>
      <c r="JI682" s="1035"/>
      <c r="JJ682" s="1035"/>
      <c r="JK682" s="1035"/>
      <c r="JL682" s="1035"/>
      <c r="JM682" s="1035"/>
      <c r="JN682" s="1035"/>
      <c r="JO682" s="1035"/>
      <c r="JP682" s="1035"/>
      <c r="JQ682" s="1035"/>
      <c r="JR682" s="1035"/>
      <c r="JS682" s="1035"/>
      <c r="JT682" s="1035"/>
      <c r="JU682" s="1035"/>
      <c r="JV682" s="1035"/>
      <c r="JW682" s="1035"/>
      <c r="JX682" s="1035"/>
      <c r="JY682" s="1035"/>
    </row>
    <row r="683" outlineLevel="1" spans="1:285">
      <c r="A683" s="1339" t="s">
        <v>654</v>
      </c>
      <c r="B683" s="1409"/>
      <c r="C683" s="1409"/>
      <c r="D683" s="1409"/>
      <c r="E683" s="1409"/>
      <c r="F683" s="1409"/>
      <c r="G683" s="1409"/>
      <c r="H683" s="1409"/>
      <c r="I683" s="1409"/>
      <c r="J683" s="1409"/>
      <c r="K683" s="1409"/>
      <c r="L683" s="1409"/>
      <c r="M683" s="1409"/>
      <c r="N683" s="1409"/>
      <c r="O683" s="1409"/>
      <c r="P683" s="1409"/>
      <c r="Q683" s="1409"/>
      <c r="R683" s="1409"/>
      <c r="S683" s="1409"/>
      <c r="T683" s="1409"/>
      <c r="U683" s="1409"/>
      <c r="V683" s="1409"/>
      <c r="W683" s="1409"/>
      <c r="X683" s="1409"/>
      <c r="Y683" s="1409"/>
      <c r="Z683" s="1409"/>
      <c r="AA683" s="1409"/>
      <c r="AB683" s="1409"/>
      <c r="AC683" s="1409"/>
      <c r="AD683" s="1409"/>
      <c r="AE683" s="1409"/>
      <c r="AF683" s="1409"/>
      <c r="AG683" s="1409"/>
      <c r="AH683" s="1409"/>
      <c r="AI683" s="1409"/>
      <c r="AJ683" s="1409"/>
      <c r="AK683" s="1409"/>
      <c r="AL683" s="1409"/>
      <c r="AM683" s="1409"/>
      <c r="AN683" s="1409"/>
      <c r="AO683" s="1409"/>
      <c r="AP683" s="1409"/>
      <c r="AQ683" s="1409"/>
      <c r="AR683" s="1409"/>
      <c r="AS683" s="1409"/>
      <c r="AT683" s="1409"/>
      <c r="AU683" s="1409"/>
      <c r="AV683" s="1409"/>
      <c r="AW683" s="1409"/>
      <c r="AX683" s="1408"/>
      <c r="AY683" s="1409"/>
      <c r="AZ683" s="1409"/>
      <c r="BA683" s="1409"/>
      <c r="BB683" s="1409"/>
      <c r="BC683" s="1409"/>
      <c r="BD683" s="1409"/>
      <c r="BE683" s="1410"/>
      <c r="BF683" s="1409"/>
      <c r="BG683" s="1409"/>
      <c r="BH683" s="1409"/>
      <c r="BI683" s="1409"/>
      <c r="BJ683" s="1409"/>
      <c r="BK683" s="1409"/>
      <c r="BL683" s="1409"/>
      <c r="BM683" s="1409"/>
      <c r="BN683" s="1408"/>
      <c r="BO683" s="1409"/>
      <c r="BP683" s="1409"/>
      <c r="BQ683" s="1409"/>
      <c r="BR683" s="1409"/>
      <c r="BS683" s="1409"/>
      <c r="BT683" s="1409"/>
      <c r="BU683" s="1410"/>
      <c r="BV683" s="1526"/>
      <c r="BW683" s="1061"/>
      <c r="BX683" s="1061"/>
      <c r="BY683" s="1061"/>
      <c r="BZ683" s="1061"/>
      <c r="CA683" s="1061"/>
      <c r="CB683" s="1061"/>
      <c r="CC683" s="1527"/>
      <c r="CD683" s="1526"/>
      <c r="CE683" s="1061"/>
      <c r="CF683" s="1061"/>
      <c r="CG683" s="1061"/>
      <c r="CH683" s="1061"/>
      <c r="CI683" s="1061"/>
      <c r="CJ683" s="1061"/>
      <c r="CK683" s="1527"/>
      <c r="CL683" s="1303"/>
      <c r="CM683" s="1302"/>
      <c r="CN683" s="1061"/>
      <c r="CO683" s="1302"/>
      <c r="CP683" s="1409"/>
      <c r="CQ683" s="1302">
        <v>-0.01</v>
      </c>
      <c r="CR683" s="1409"/>
      <c r="CS683" s="1410"/>
      <c r="CT683" s="1303">
        <v>0.05</v>
      </c>
      <c r="CU683" s="1302">
        <v>0.07</v>
      </c>
      <c r="CV683" s="1302"/>
      <c r="CW683" s="1302">
        <v>0.14</v>
      </c>
      <c r="CX683" s="1302"/>
      <c r="CY683" s="1302">
        <v>0.13</v>
      </c>
      <c r="CZ683" s="1302"/>
      <c r="DA683" s="1304"/>
      <c r="DB683" s="1109">
        <v>0.14</v>
      </c>
      <c r="DC683" s="1082">
        <v>0.09</v>
      </c>
      <c r="DD683" s="1082"/>
      <c r="DE683" s="1082">
        <v>0.06</v>
      </c>
      <c r="DF683" s="1082"/>
      <c r="DG683" s="1082">
        <v>-0.04</v>
      </c>
      <c r="DH683" s="1082"/>
      <c r="DI683" s="1085"/>
      <c r="DJ683" s="1082"/>
      <c r="DK683" s="1082"/>
      <c r="DL683" s="1082"/>
      <c r="DM683" s="1082"/>
      <c r="DN683" s="1082"/>
      <c r="DO683" s="1082"/>
      <c r="DP683" s="1082"/>
      <c r="DQ683" s="1085"/>
      <c r="DR683" s="1082"/>
      <c r="DS683" s="1082"/>
      <c r="DT683" s="1082"/>
      <c r="DU683" s="1082"/>
      <c r="DV683" s="1082"/>
      <c r="DW683" s="1082"/>
      <c r="DX683" s="1082"/>
      <c r="DY683" s="1085"/>
      <c r="DZ683" s="1082"/>
      <c r="EA683" s="1082"/>
      <c r="EB683" s="1082"/>
      <c r="EC683" s="1082"/>
      <c r="ED683" s="1082"/>
      <c r="EE683" s="1082"/>
      <c r="EF683" s="1082"/>
      <c r="EG683" s="1085"/>
      <c r="EH683" s="1082"/>
      <c r="EI683" s="1082"/>
      <c r="EJ683" s="1082"/>
      <c r="EK683" s="1082"/>
      <c r="EL683" s="1082"/>
      <c r="EM683" s="1082"/>
      <c r="EN683" s="1082"/>
      <c r="EO683" s="1085"/>
      <c r="EP683" s="1082"/>
      <c r="EQ683" s="1082"/>
      <c r="ER683" s="1082"/>
      <c r="ES683" s="1082"/>
      <c r="ET683" s="1082"/>
      <c r="EU683" s="1082"/>
      <c r="EV683" s="1082"/>
      <c r="IX683" s="1049"/>
      <c r="IY683" s="1049"/>
      <c r="IZ683" s="1049"/>
      <c r="JA683" s="1049"/>
      <c r="JB683" s="1049"/>
      <c r="JC683" s="1049"/>
      <c r="JD683" s="1112"/>
      <c r="JE683" s="1037"/>
      <c r="JF683" s="1037"/>
      <c r="JG683" s="1037"/>
      <c r="JH683" s="1037"/>
      <c r="JI683" s="1035"/>
      <c r="JJ683" s="1035"/>
      <c r="JK683" s="1035"/>
      <c r="JL683" s="1035"/>
      <c r="JM683" s="1035"/>
      <c r="JN683" s="1035"/>
      <c r="JO683" s="1035"/>
      <c r="JP683" s="1035"/>
      <c r="JQ683" s="1035"/>
      <c r="JR683" s="1035"/>
      <c r="JS683" s="1035"/>
      <c r="JT683" s="1035"/>
      <c r="JU683" s="1035"/>
      <c r="JV683" s="1035"/>
      <c r="JW683" s="1035"/>
      <c r="JX683" s="1035"/>
      <c r="JY683" s="1035"/>
    </row>
    <row r="684" outlineLevel="1" spans="1:285">
      <c r="A684" s="1339" t="s">
        <v>536</v>
      </c>
      <c r="B684" s="1409"/>
      <c r="C684" s="1409"/>
      <c r="D684" s="1409"/>
      <c r="E684" s="1409"/>
      <c r="F684" s="1409"/>
      <c r="G684" s="1409"/>
      <c r="H684" s="1409"/>
      <c r="I684" s="1409"/>
      <c r="J684" s="1409"/>
      <c r="K684" s="1409"/>
      <c r="L684" s="1409"/>
      <c r="M684" s="1409"/>
      <c r="N684" s="1409"/>
      <c r="O684" s="1409"/>
      <c r="P684" s="1409"/>
      <c r="Q684" s="1409"/>
      <c r="R684" s="1409"/>
      <c r="S684" s="1409"/>
      <c r="T684" s="1409"/>
      <c r="U684" s="1409"/>
      <c r="V684" s="1409"/>
      <c r="W684" s="1409"/>
      <c r="X684" s="1409"/>
      <c r="Y684" s="1409"/>
      <c r="Z684" s="1409"/>
      <c r="AA684" s="1409"/>
      <c r="AB684" s="1409"/>
      <c r="AC684" s="1409"/>
      <c r="AD684" s="1409"/>
      <c r="AE684" s="1409"/>
      <c r="AF684" s="1409"/>
      <c r="AG684" s="1409"/>
      <c r="AH684" s="1409"/>
      <c r="AI684" s="1409"/>
      <c r="AJ684" s="1409"/>
      <c r="AK684" s="1409"/>
      <c r="AL684" s="1409"/>
      <c r="AM684" s="1409"/>
      <c r="AN684" s="1409"/>
      <c r="AO684" s="1409"/>
      <c r="AP684" s="1409"/>
      <c r="AQ684" s="1409"/>
      <c r="AR684" s="1409"/>
      <c r="AS684" s="1409"/>
      <c r="AT684" s="1409"/>
      <c r="AU684" s="1409"/>
      <c r="AV684" s="1409"/>
      <c r="AW684" s="1409"/>
      <c r="AX684" s="1408"/>
      <c r="AY684" s="1409"/>
      <c r="AZ684" s="1409"/>
      <c r="BA684" s="1409"/>
      <c r="BB684" s="1409"/>
      <c r="BC684" s="1409"/>
      <c r="BD684" s="1409"/>
      <c r="BE684" s="1410"/>
      <c r="BF684" s="1409"/>
      <c r="BG684" s="1409"/>
      <c r="BH684" s="1409"/>
      <c r="BI684" s="1409"/>
      <c r="BJ684" s="1409"/>
      <c r="BK684" s="1409"/>
      <c r="BL684" s="1409"/>
      <c r="BM684" s="1409"/>
      <c r="BN684" s="1408"/>
      <c r="BO684" s="1409"/>
      <c r="BP684" s="1409"/>
      <c r="BQ684" s="1409"/>
      <c r="BR684" s="1409"/>
      <c r="BS684" s="1409"/>
      <c r="BT684" s="1409"/>
      <c r="BU684" s="1410"/>
      <c r="BV684" s="1526"/>
      <c r="BW684" s="1061"/>
      <c r="BX684" s="1061"/>
      <c r="BY684" s="1061"/>
      <c r="BZ684" s="1061"/>
      <c r="CA684" s="1061"/>
      <c r="CB684" s="1061"/>
      <c r="CC684" s="1527"/>
      <c r="CD684" s="1526"/>
      <c r="CE684" s="1061"/>
      <c r="CF684" s="1061"/>
      <c r="CG684" s="1061"/>
      <c r="CH684" s="1061"/>
      <c r="CI684" s="1061"/>
      <c r="CJ684" s="1061"/>
      <c r="CK684" s="1527"/>
      <c r="CL684" s="1303"/>
      <c r="CM684" s="1302"/>
      <c r="CN684" s="1061"/>
      <c r="CO684" s="1302"/>
      <c r="CP684" s="1409"/>
      <c r="CQ684" s="1302">
        <v>0</v>
      </c>
      <c r="CR684" s="1409"/>
      <c r="CS684" s="1410"/>
      <c r="CT684" s="1303">
        <v>0.07</v>
      </c>
      <c r="CU684" s="1302">
        <v>0.08</v>
      </c>
      <c r="CV684" s="1302"/>
      <c r="CW684" s="1302">
        <v>0.15</v>
      </c>
      <c r="CX684" s="1302"/>
      <c r="CY684" s="1302">
        <v>0.15</v>
      </c>
      <c r="CZ684" s="1302"/>
      <c r="DA684" s="1304"/>
      <c r="DB684" s="1109">
        <v>0.05</v>
      </c>
      <c r="DC684" s="1082">
        <v>0.02</v>
      </c>
      <c r="DD684" s="1082"/>
      <c r="DE684" s="1082">
        <v>0.01</v>
      </c>
      <c r="DF684" s="1082"/>
      <c r="DG684" s="1082">
        <v>-0.04</v>
      </c>
      <c r="DH684" s="1082"/>
      <c r="DI684" s="1085"/>
      <c r="DJ684" s="1082"/>
      <c r="DK684" s="1082"/>
      <c r="DL684" s="1082"/>
      <c r="DM684" s="1082"/>
      <c r="DN684" s="1082"/>
      <c r="DO684" s="1082"/>
      <c r="DP684" s="1082"/>
      <c r="DQ684" s="1085"/>
      <c r="DR684" s="1082"/>
      <c r="DS684" s="1082"/>
      <c r="DT684" s="1082"/>
      <c r="DU684" s="1082"/>
      <c r="DV684" s="1082"/>
      <c r="DW684" s="1082"/>
      <c r="DX684" s="1082"/>
      <c r="DY684" s="1085"/>
      <c r="DZ684" s="1082"/>
      <c r="EA684" s="1082"/>
      <c r="EB684" s="1082"/>
      <c r="EC684" s="1082"/>
      <c r="ED684" s="1082"/>
      <c r="EE684" s="1082"/>
      <c r="EF684" s="1082"/>
      <c r="EG684" s="1085"/>
      <c r="EH684" s="1082"/>
      <c r="EI684" s="1082"/>
      <c r="EJ684" s="1082"/>
      <c r="EK684" s="1082"/>
      <c r="EL684" s="1082"/>
      <c r="EM684" s="1082"/>
      <c r="EN684" s="1082"/>
      <c r="EO684" s="1085"/>
      <c r="EP684" s="1082"/>
      <c r="EQ684" s="1082"/>
      <c r="ER684" s="1082"/>
      <c r="ES684" s="1082"/>
      <c r="ET684" s="1082"/>
      <c r="EU684" s="1082"/>
      <c r="EV684" s="1082"/>
      <c r="IX684" s="1049"/>
      <c r="IY684" s="1049"/>
      <c r="IZ684" s="1049"/>
      <c r="JA684" s="1049"/>
      <c r="JB684" s="1049"/>
      <c r="JC684" s="1049"/>
      <c r="JD684" s="1112"/>
      <c r="JE684" s="1037"/>
      <c r="JF684" s="1037"/>
      <c r="JG684" s="1037"/>
      <c r="JH684" s="1037"/>
      <c r="JI684" s="1035"/>
      <c r="JJ684" s="1035"/>
      <c r="JK684" s="1035"/>
      <c r="JL684" s="1035"/>
      <c r="JM684" s="1035"/>
      <c r="JN684" s="1035"/>
      <c r="JO684" s="1035"/>
      <c r="JP684" s="1035"/>
      <c r="JQ684" s="1035"/>
      <c r="JR684" s="1035"/>
      <c r="JS684" s="1035"/>
      <c r="JT684" s="1035"/>
      <c r="JU684" s="1035"/>
      <c r="JV684" s="1035"/>
      <c r="JW684" s="1035"/>
      <c r="JX684" s="1035"/>
      <c r="JY684" s="1035"/>
    </row>
    <row r="685" outlineLevel="1" spans="1:285">
      <c r="A685" s="1339" t="s">
        <v>654</v>
      </c>
      <c r="B685" s="1409"/>
      <c r="C685" s="1409"/>
      <c r="D685" s="1409"/>
      <c r="E685" s="1409"/>
      <c r="F685" s="1409"/>
      <c r="G685" s="1409"/>
      <c r="H685" s="1409"/>
      <c r="I685" s="1409"/>
      <c r="J685" s="1409"/>
      <c r="K685" s="1409"/>
      <c r="L685" s="1409"/>
      <c r="M685" s="1409"/>
      <c r="N685" s="1409"/>
      <c r="O685" s="1409"/>
      <c r="P685" s="1409"/>
      <c r="Q685" s="1409"/>
      <c r="R685" s="1409"/>
      <c r="S685" s="1409"/>
      <c r="T685" s="1409"/>
      <c r="U685" s="1409"/>
      <c r="V685" s="1409"/>
      <c r="W685" s="1409"/>
      <c r="X685" s="1409"/>
      <c r="Y685" s="1409"/>
      <c r="Z685" s="1409"/>
      <c r="AA685" s="1409"/>
      <c r="AB685" s="1409"/>
      <c r="AC685" s="1409"/>
      <c r="AD685" s="1409"/>
      <c r="AE685" s="1409"/>
      <c r="AF685" s="1409"/>
      <c r="AG685" s="1409"/>
      <c r="AH685" s="1409"/>
      <c r="AI685" s="1409"/>
      <c r="AJ685" s="1409"/>
      <c r="AK685" s="1409"/>
      <c r="AL685" s="1409"/>
      <c r="AM685" s="1409"/>
      <c r="AN685" s="1409"/>
      <c r="AO685" s="1409"/>
      <c r="AP685" s="1409"/>
      <c r="AQ685" s="1409"/>
      <c r="AR685" s="1409"/>
      <c r="AS685" s="1409"/>
      <c r="AT685" s="1409"/>
      <c r="AU685" s="1409"/>
      <c r="AV685" s="1409"/>
      <c r="AW685" s="1409"/>
      <c r="AX685" s="1408"/>
      <c r="AY685" s="1409"/>
      <c r="AZ685" s="1409"/>
      <c r="BA685" s="1409"/>
      <c r="BB685" s="1409"/>
      <c r="BC685" s="1409"/>
      <c r="BD685" s="1409"/>
      <c r="BE685" s="1410"/>
      <c r="BF685" s="1409"/>
      <c r="BG685" s="1409"/>
      <c r="BH685" s="1409"/>
      <c r="BI685" s="1409"/>
      <c r="BJ685" s="1409"/>
      <c r="BK685" s="1409"/>
      <c r="BL685" s="1409"/>
      <c r="BM685" s="1409"/>
      <c r="BN685" s="1408"/>
      <c r="BO685" s="1409"/>
      <c r="BP685" s="1409"/>
      <c r="BQ685" s="1409"/>
      <c r="BR685" s="1409"/>
      <c r="BS685" s="1409"/>
      <c r="BT685" s="1409"/>
      <c r="BU685" s="1410"/>
      <c r="BV685" s="1526"/>
      <c r="BW685" s="1061"/>
      <c r="BX685" s="1061"/>
      <c r="BY685" s="1061"/>
      <c r="BZ685" s="1061"/>
      <c r="CA685" s="1061"/>
      <c r="CB685" s="1061"/>
      <c r="CC685" s="1527"/>
      <c r="CD685" s="1526"/>
      <c r="CE685" s="1061"/>
      <c r="CF685" s="1061"/>
      <c r="CG685" s="1061"/>
      <c r="CH685" s="1061"/>
      <c r="CI685" s="1061"/>
      <c r="CJ685" s="1061"/>
      <c r="CK685" s="1527"/>
      <c r="CL685" s="1303"/>
      <c r="CM685" s="1302"/>
      <c r="CN685" s="1061"/>
      <c r="CO685" s="1302"/>
      <c r="CP685" s="1409"/>
      <c r="CQ685" s="1302">
        <v>0.05</v>
      </c>
      <c r="CR685" s="1409"/>
      <c r="CS685" s="1410"/>
      <c r="CT685" s="1303">
        <v>0.12</v>
      </c>
      <c r="CU685" s="1302">
        <v>0.11</v>
      </c>
      <c r="CV685" s="1302"/>
      <c r="CW685" s="1302">
        <v>0.21</v>
      </c>
      <c r="CX685" s="1302"/>
      <c r="CY685" s="1302">
        <v>0.2</v>
      </c>
      <c r="CZ685" s="1302"/>
      <c r="DA685" s="1304"/>
      <c r="DB685" s="1109">
        <v>0.13</v>
      </c>
      <c r="DC685" s="1082">
        <v>0.09</v>
      </c>
      <c r="DD685" s="1082"/>
      <c r="DE685" s="1082">
        <v>0.01</v>
      </c>
      <c r="DF685" s="1082"/>
      <c r="DG685" s="1082">
        <v>-0.06</v>
      </c>
      <c r="DH685" s="1082"/>
      <c r="DI685" s="1085"/>
      <c r="DJ685" s="1082"/>
      <c r="DK685" s="1082"/>
      <c r="DL685" s="1082"/>
      <c r="DM685" s="1082"/>
      <c r="DN685" s="1082"/>
      <c r="DO685" s="1082"/>
      <c r="DP685" s="1082"/>
      <c r="DQ685" s="1085"/>
      <c r="DR685" s="1082"/>
      <c r="DS685" s="1082"/>
      <c r="DT685" s="1082"/>
      <c r="DU685" s="1082"/>
      <c r="DV685" s="1082"/>
      <c r="DW685" s="1082"/>
      <c r="DX685" s="1082"/>
      <c r="DY685" s="1085"/>
      <c r="DZ685" s="1082"/>
      <c r="EA685" s="1082"/>
      <c r="EB685" s="1082"/>
      <c r="EC685" s="1082"/>
      <c r="ED685" s="1082"/>
      <c r="EE685" s="1082"/>
      <c r="EF685" s="1082"/>
      <c r="EG685" s="1085"/>
      <c r="EH685" s="1082"/>
      <c r="EI685" s="1082"/>
      <c r="EJ685" s="1082"/>
      <c r="EK685" s="1082"/>
      <c r="EL685" s="1082"/>
      <c r="EM685" s="1082"/>
      <c r="EN685" s="1082"/>
      <c r="EO685" s="1085"/>
      <c r="EP685" s="1082"/>
      <c r="EQ685" s="1082"/>
      <c r="ER685" s="1082"/>
      <c r="ES685" s="1082"/>
      <c r="ET685" s="1082"/>
      <c r="EU685" s="1082"/>
      <c r="EV685" s="1082"/>
      <c r="IX685" s="1049"/>
      <c r="IY685" s="1049"/>
      <c r="IZ685" s="1049"/>
      <c r="JA685" s="1049"/>
      <c r="JB685" s="1049"/>
      <c r="JC685" s="1049"/>
      <c r="JD685" s="1112"/>
      <c r="JE685" s="1037"/>
      <c r="JF685" s="1037"/>
      <c r="JG685" s="1037"/>
      <c r="JH685" s="1037"/>
      <c r="JI685" s="1035"/>
      <c r="JJ685" s="1035"/>
      <c r="JK685" s="1035"/>
      <c r="JL685" s="1035"/>
      <c r="JM685" s="1035"/>
      <c r="JN685" s="1035"/>
      <c r="JO685" s="1035"/>
      <c r="JP685" s="1035"/>
      <c r="JQ685" s="1035"/>
      <c r="JR685" s="1035"/>
      <c r="JS685" s="1035"/>
      <c r="JT685" s="1035"/>
      <c r="JU685" s="1035"/>
      <c r="JV685" s="1035"/>
      <c r="JW685" s="1035"/>
      <c r="JX685" s="1035"/>
      <c r="JY685" s="1035"/>
    </row>
    <row r="686" outlineLevel="1" spans="1:285">
      <c r="AX686" s="1059"/>
      <c r="BE686" s="1060"/>
      <c r="BN686" s="1059"/>
      <c r="BU686" s="1060"/>
      <c r="BV686" s="1059"/>
      <c r="CC686" s="1060"/>
      <c r="CD686" s="1059"/>
      <c r="CK686" s="1060"/>
      <c r="CL686" s="1059"/>
      <c r="CQ686" s="1035"/>
      <c r="CR686" s="1035"/>
      <c r="CS686" s="1542"/>
      <c r="CT686" s="1333"/>
      <c r="CU686" s="1035"/>
      <c r="CV686" s="1035"/>
      <c r="CW686" s="1035"/>
      <c r="CX686" s="1035"/>
      <c r="CY686" s="1035"/>
      <c r="CZ686" s="1035"/>
      <c r="DA686" s="1542"/>
      <c r="DB686" s="1063"/>
      <c r="IX686" s="1049"/>
      <c r="IY686" s="1049"/>
      <c r="IZ686" s="1049"/>
      <c r="JA686" s="1049"/>
      <c r="JB686" s="1049"/>
      <c r="JC686" s="1049"/>
      <c r="JD686" s="1041"/>
      <c r="JE686" s="1037"/>
      <c r="JF686" s="1037"/>
      <c r="JG686" s="1037"/>
      <c r="JH686" s="1037"/>
      <c r="JI686" s="1035"/>
      <c r="JJ686" s="1035"/>
      <c r="JK686" s="1035"/>
      <c r="JL686" s="1035"/>
      <c r="JM686" s="1035"/>
      <c r="JN686" s="1035"/>
      <c r="JO686" s="1035"/>
      <c r="JP686" s="1035"/>
      <c r="JQ686" s="1035"/>
      <c r="JR686" s="1035"/>
      <c r="JS686" s="1035"/>
      <c r="JT686" s="1035"/>
      <c r="JU686" s="1035"/>
      <c r="JV686" s="1035"/>
      <c r="JW686" s="1035"/>
      <c r="JX686" s="1035"/>
      <c r="JY686" s="1035"/>
    </row>
    <row r="687" spans="1:285">
      <c r="A687" s="969" t="s">
        <v>82</v>
      </c>
      <c r="AX687" s="1059"/>
      <c r="BE687" s="1060"/>
      <c r="BN687" s="1059"/>
      <c r="BU687" s="1060"/>
      <c r="BV687" s="1059"/>
      <c r="CC687" s="1060"/>
      <c r="CD687" s="1059"/>
      <c r="CK687" s="1060"/>
      <c r="CL687" s="1059"/>
      <c r="CQ687" s="1035"/>
      <c r="CR687" s="1035"/>
      <c r="CS687" s="1542"/>
      <c r="CT687" s="1333"/>
      <c r="CU687" s="1035"/>
      <c r="CV687" s="1035"/>
      <c r="CW687" s="1035"/>
      <c r="CX687" s="1035"/>
      <c r="CY687" s="1035"/>
      <c r="CZ687" s="1035"/>
      <c r="DA687" s="1542"/>
      <c r="DB687" s="1063"/>
      <c r="IX687" s="1049"/>
      <c r="IY687" s="1049"/>
      <c r="IZ687" s="1049"/>
      <c r="JA687" s="1049"/>
      <c r="JB687" s="1049"/>
      <c r="JC687" s="1049"/>
      <c r="JD687" s="1041"/>
      <c r="JE687" s="1037"/>
      <c r="JF687" s="1037"/>
      <c r="JG687" s="1037"/>
      <c r="JH687" s="1037"/>
      <c r="JI687" s="1035"/>
      <c r="JJ687" s="1035"/>
      <c r="JK687" s="1035"/>
      <c r="JL687" s="1035"/>
      <c r="JM687" s="1035"/>
      <c r="JN687" s="1035"/>
      <c r="JO687" s="1035"/>
      <c r="JP687" s="1035"/>
      <c r="JQ687" s="1035"/>
      <c r="JR687" s="1035"/>
      <c r="JS687" s="1035"/>
      <c r="JT687" s="1035"/>
      <c r="JU687" s="1035"/>
      <c r="JV687" s="1035"/>
      <c r="JW687" s="1035"/>
      <c r="JX687" s="1035"/>
      <c r="JY687" s="1035"/>
    </row>
    <row r="688" spans="1:285">
      <c r="AX688" s="1059"/>
      <c r="BE688" s="1060"/>
      <c r="BN688" s="1059"/>
      <c r="BU688" s="1060"/>
      <c r="BV688" s="1059"/>
      <c r="CC688" s="1060"/>
      <c r="CD688" s="1059"/>
      <c r="CK688" s="1060"/>
      <c r="CL688" s="1059"/>
      <c r="CQ688" s="1035"/>
      <c r="CR688" s="1035"/>
      <c r="CS688" s="1542"/>
      <c r="CT688" s="1333"/>
      <c r="CU688" s="1035"/>
      <c r="CV688" s="1035"/>
      <c r="CW688" s="1035"/>
      <c r="CX688" s="1035"/>
      <c r="CY688" s="1035"/>
      <c r="CZ688" s="1035"/>
      <c r="DA688" s="1542"/>
      <c r="DB688" s="1063"/>
      <c r="IX688" s="1049"/>
      <c r="IY688" s="1049"/>
      <c r="IZ688" s="1049"/>
      <c r="JA688" s="1049"/>
      <c r="JB688" s="1049"/>
      <c r="JC688" s="1049"/>
      <c r="JD688" s="1041"/>
      <c r="JE688" s="1037"/>
      <c r="JF688" s="1037"/>
      <c r="JG688" s="1037"/>
      <c r="JH688" s="1037"/>
      <c r="JI688" s="1035"/>
      <c r="JJ688" s="1035"/>
      <c r="JK688" s="1035"/>
      <c r="JL688" s="1035"/>
      <c r="JM688" s="1035"/>
      <c r="JN688" s="1035"/>
      <c r="JO688" s="1035"/>
      <c r="JP688" s="1035"/>
      <c r="JQ688" s="1035"/>
      <c r="JR688" s="1035"/>
      <c r="JS688" s="1035"/>
      <c r="JT688" s="1035"/>
      <c r="JU688" s="1035"/>
      <c r="JV688" s="1035"/>
      <c r="JW688" s="1035"/>
      <c r="JX688" s="1035"/>
      <c r="JY688" s="1035"/>
    </row>
    <row r="689" spans="1:285">
      <c r="A689" s="1051" t="s">
        <v>655</v>
      </c>
      <c r="B689" s="1482"/>
      <c r="C689" s="1482"/>
      <c r="D689" s="1482"/>
      <c r="E689" s="1482"/>
      <c r="F689" s="1482"/>
      <c r="G689" s="1482"/>
      <c r="H689" s="1482"/>
      <c r="I689" s="1482"/>
      <c r="J689" s="1482"/>
      <c r="K689" s="1482"/>
      <c r="L689" s="1482"/>
      <c r="M689" s="1482"/>
      <c r="N689" s="1482"/>
      <c r="O689" s="1482"/>
      <c r="P689" s="1482"/>
      <c r="Q689" s="1482"/>
      <c r="R689" s="1482"/>
      <c r="S689" s="1482"/>
      <c r="T689" s="1482"/>
      <c r="U689" s="1482"/>
      <c r="V689" s="1482"/>
      <c r="W689" s="1482"/>
      <c r="X689" s="1482"/>
      <c r="Y689" s="1482"/>
      <c r="Z689" s="1482"/>
      <c r="AA689" s="1482"/>
      <c r="AB689" s="1482"/>
      <c r="AC689" s="1482"/>
      <c r="AD689" s="1482"/>
      <c r="AE689" s="1482"/>
      <c r="AF689" s="1482"/>
      <c r="AG689" s="1482"/>
      <c r="AH689" s="1482"/>
      <c r="AI689" s="1482"/>
      <c r="AJ689" s="1482"/>
      <c r="AK689" s="1482"/>
      <c r="AL689" s="1482"/>
      <c r="AM689" s="1482"/>
      <c r="AN689" s="1482"/>
      <c r="AO689" s="1482"/>
      <c r="AP689" s="1482"/>
      <c r="AQ689" s="1482"/>
      <c r="AR689" s="1482"/>
      <c r="AS689" s="1482"/>
      <c r="AT689" s="1482"/>
      <c r="AU689" s="1482"/>
      <c r="AV689" s="1482"/>
      <c r="AW689" s="1482"/>
      <c r="AX689" s="1483"/>
      <c r="AY689" s="1482"/>
      <c r="AZ689" s="1482"/>
      <c r="BA689" s="1482"/>
      <c r="BB689" s="1482"/>
      <c r="BC689" s="1482"/>
      <c r="BD689" s="1482"/>
      <c r="BE689" s="1484"/>
      <c r="BF689" s="1482"/>
      <c r="BG689" s="1482"/>
      <c r="BH689" s="1482"/>
      <c r="BI689" s="1482"/>
      <c r="BJ689" s="1482"/>
      <c r="BK689" s="1482"/>
      <c r="BL689" s="1482"/>
      <c r="BM689" s="1482"/>
      <c r="BN689" s="1483"/>
      <c r="BO689" s="1482"/>
      <c r="BP689" s="1482"/>
      <c r="BQ689" s="1482"/>
      <c r="BR689" s="1482"/>
      <c r="BS689" s="1482"/>
      <c r="BT689" s="1482"/>
      <c r="BU689" s="1484"/>
      <c r="BV689" s="1483" t="s">
        <v>321</v>
      </c>
      <c r="BW689" s="1482" t="s">
        <v>322</v>
      </c>
      <c r="BX689" s="1482" t="s">
        <v>323</v>
      </c>
      <c r="BY689" s="1482" t="s">
        <v>324</v>
      </c>
      <c r="BZ689" s="1482" t="s">
        <v>325</v>
      </c>
      <c r="CA689" s="1482" t="s">
        <v>326</v>
      </c>
      <c r="CB689" s="1482" t="s">
        <v>327</v>
      </c>
      <c r="CC689" s="1484" t="s">
        <v>23</v>
      </c>
      <c r="CD689" s="1483" t="s">
        <v>328</v>
      </c>
      <c r="CE689" s="1482" t="s">
        <v>329</v>
      </c>
      <c r="CF689" s="1482" t="s">
        <v>330</v>
      </c>
      <c r="CG689" s="1482" t="s">
        <v>331</v>
      </c>
      <c r="CH689" s="1482" t="s">
        <v>332</v>
      </c>
      <c r="CI689" s="1482" t="s">
        <v>333</v>
      </c>
      <c r="CJ689" s="1482" t="s">
        <v>334</v>
      </c>
      <c r="CK689" s="1484" t="s">
        <v>24</v>
      </c>
      <c r="CL689" s="1483" t="s">
        <v>335</v>
      </c>
      <c r="CM689" s="1482" t="s">
        <v>336</v>
      </c>
      <c r="CN689" s="1482" t="s">
        <v>337</v>
      </c>
      <c r="CO689" s="1482" t="s">
        <v>338</v>
      </c>
      <c r="CP689" s="1482" t="str">
        <f t="shared" ref="CP689:DU689" si="4440">CP2</f>
        <v>9M 06</v>
      </c>
      <c r="CQ689" s="1482" t="str">
        <f t="shared" si="4440"/>
        <v>Q4 06</v>
      </c>
      <c r="CR689" s="1482" t="str">
        <f t="shared" si="4440"/>
        <v>H2 06</v>
      </c>
      <c r="CS689" s="1484" t="str">
        <f t="shared" si="4440"/>
        <v>FY 06</v>
      </c>
      <c r="CT689" s="1483" t="str">
        <f t="shared" si="4440"/>
        <v>Q1 07</v>
      </c>
      <c r="CU689" s="1482" t="str">
        <f t="shared" si="4440"/>
        <v>Q2 07</v>
      </c>
      <c r="CV689" s="1482" t="str">
        <f t="shared" si="4440"/>
        <v>H1 07</v>
      </c>
      <c r="CW689" s="1482" t="str">
        <f t="shared" si="4440"/>
        <v>Q3 07</v>
      </c>
      <c r="CX689" s="1482" t="str">
        <f t="shared" si="4440"/>
        <v>9M 07</v>
      </c>
      <c r="CY689" s="1482" t="str">
        <f t="shared" si="4440"/>
        <v>Q4 07</v>
      </c>
      <c r="CZ689" s="1482" t="str">
        <f t="shared" si="4440"/>
        <v>H2 07</v>
      </c>
      <c r="DA689" s="1484" t="str">
        <f t="shared" si="4440"/>
        <v>FY 07</v>
      </c>
      <c r="DB689" s="1485" t="str">
        <f t="shared" si="4440"/>
        <v>Q1 08</v>
      </c>
      <c r="DC689" s="1486" t="str">
        <f t="shared" si="4440"/>
        <v>Q2 08</v>
      </c>
      <c r="DD689" s="1486" t="str">
        <f t="shared" si="4440"/>
        <v>H1 08</v>
      </c>
      <c r="DE689" s="1486" t="str">
        <f t="shared" si="4440"/>
        <v>Q3 08</v>
      </c>
      <c r="DF689" s="1486" t="str">
        <f t="shared" si="4440"/>
        <v>9M 08</v>
      </c>
      <c r="DG689" s="1486" t="str">
        <f t="shared" si="4440"/>
        <v>Q4 08</v>
      </c>
      <c r="DH689" s="1486" t="str">
        <f t="shared" si="4440"/>
        <v>H2 08</v>
      </c>
      <c r="DI689" s="1487" t="str">
        <f t="shared" si="4440"/>
        <v>FY 08</v>
      </c>
      <c r="DJ689" s="1486" t="str">
        <f t="shared" si="4440"/>
        <v>Q1 09</v>
      </c>
      <c r="DK689" s="1486" t="str">
        <f t="shared" si="4440"/>
        <v>Q2 09</v>
      </c>
      <c r="DL689" s="1486" t="str">
        <f t="shared" si="4440"/>
        <v>H1 09</v>
      </c>
      <c r="DM689" s="1486" t="str">
        <f t="shared" si="4440"/>
        <v>Q3 09</v>
      </c>
      <c r="DN689" s="1486" t="str">
        <f t="shared" si="4440"/>
        <v>9M 09</v>
      </c>
      <c r="DO689" s="1486" t="str">
        <f t="shared" si="4440"/>
        <v>Q4 09</v>
      </c>
      <c r="DP689" s="1486" t="str">
        <f t="shared" si="4440"/>
        <v>H2 09</v>
      </c>
      <c r="DQ689" s="1487" t="str">
        <f t="shared" si="4440"/>
        <v>FY 09</v>
      </c>
      <c r="DR689" s="1486" t="str">
        <f t="shared" si="4440"/>
        <v>Q1 10</v>
      </c>
      <c r="DS689" s="1486" t="str">
        <f t="shared" si="4440"/>
        <v>Q2 10</v>
      </c>
      <c r="DT689" s="1486" t="str">
        <f t="shared" si="4440"/>
        <v>H1 10</v>
      </c>
      <c r="DU689" s="1486" t="str">
        <f t="shared" si="4440"/>
        <v>Q3 10</v>
      </c>
      <c r="DV689" s="1486" t="str">
        <f t="shared" ref="DV689:EO689" si="4441">DV2</f>
        <v>9M 10</v>
      </c>
      <c r="DW689" s="1486" t="str">
        <f t="shared" si="4441"/>
        <v>Q4 10</v>
      </c>
      <c r="DX689" s="1486" t="str">
        <f t="shared" si="4441"/>
        <v>H2 10</v>
      </c>
      <c r="DY689" s="1487" t="str">
        <f t="shared" si="4441"/>
        <v>FY 10</v>
      </c>
      <c r="DZ689" s="1486" t="str">
        <f t="shared" si="4441"/>
        <v>Q1 11</v>
      </c>
      <c r="EA689" s="1486" t="str">
        <f t="shared" si="4441"/>
        <v>Q2 11</v>
      </c>
      <c r="EB689" s="1486" t="str">
        <f t="shared" si="4441"/>
        <v>H1 11</v>
      </c>
      <c r="EC689" s="1486" t="str">
        <f t="shared" si="4441"/>
        <v>Q3 11</v>
      </c>
      <c r="ED689" s="1486" t="str">
        <f t="shared" si="4441"/>
        <v>9M 11</v>
      </c>
      <c r="EE689" s="1486" t="str">
        <f t="shared" si="4441"/>
        <v>Q4 11</v>
      </c>
      <c r="EF689" s="1486" t="str">
        <f t="shared" si="4441"/>
        <v>H2 11</v>
      </c>
      <c r="EG689" s="1487" t="str">
        <f t="shared" si="4441"/>
        <v>FY 11</v>
      </c>
      <c r="EH689" s="1486" t="str">
        <f t="shared" si="4441"/>
        <v>Q1 12</v>
      </c>
      <c r="EI689" s="1486" t="str">
        <f t="shared" si="4441"/>
        <v>Q2 12</v>
      </c>
      <c r="EJ689" s="1486" t="str">
        <f t="shared" si="4441"/>
        <v>H1 12</v>
      </c>
      <c r="EK689" s="1486" t="str">
        <f t="shared" si="4441"/>
        <v>Q3 12</v>
      </c>
      <c r="EL689" s="1486" t="str">
        <f t="shared" si="4441"/>
        <v>9M 12</v>
      </c>
      <c r="EM689" s="1486" t="str">
        <f t="shared" si="4441"/>
        <v>Q4 12</v>
      </c>
      <c r="EN689" s="1486" t="str">
        <f t="shared" si="4441"/>
        <v>H2 12</v>
      </c>
      <c r="EO689" s="1487" t="str">
        <f t="shared" si="4441"/>
        <v>FY 12</v>
      </c>
      <c r="EP689" s="1486"/>
      <c r="EQ689" s="1486"/>
      <c r="ER689" s="1486"/>
      <c r="ES689" s="1486"/>
      <c r="ET689" s="1486"/>
      <c r="EU689" s="1486"/>
      <c r="EV689" s="1486"/>
      <c r="IX689" s="1049"/>
      <c r="IY689" s="1049"/>
      <c r="IZ689" s="1049"/>
      <c r="JA689" s="1049"/>
      <c r="JB689" s="1049"/>
      <c r="JC689" s="1049"/>
      <c r="JD689" s="1404"/>
      <c r="JE689" s="1037"/>
      <c r="JF689" s="1037"/>
      <c r="JG689" s="1037"/>
      <c r="JH689" s="1037"/>
      <c r="JI689" s="1035"/>
      <c r="JJ689" s="1035"/>
      <c r="JK689" s="1035"/>
      <c r="JL689" s="1035"/>
      <c r="JM689" s="1035"/>
      <c r="JN689" s="1035"/>
      <c r="JO689" s="1035"/>
      <c r="JP689" s="1035"/>
      <c r="JQ689" s="1035"/>
      <c r="JR689" s="1035"/>
      <c r="JS689" s="1035"/>
      <c r="JT689" s="1035"/>
      <c r="JU689" s="1035"/>
      <c r="JV689" s="1035"/>
      <c r="JW689" s="1035"/>
      <c r="JX689" s="1035"/>
      <c r="JY689" s="1035"/>
    </row>
    <row r="690" spans="1:285">
      <c r="A690" s="1306" t="s">
        <v>209</v>
      </c>
      <c r="B690" s="1307"/>
      <c r="C690" s="1307"/>
      <c r="D690" s="1307"/>
      <c r="E690" s="1307"/>
      <c r="F690" s="1307"/>
      <c r="G690" s="1307"/>
      <c r="H690" s="1307"/>
      <c r="I690" s="1307"/>
      <c r="J690" s="1307"/>
      <c r="K690" s="1307"/>
      <c r="L690" s="1307"/>
      <c r="M690" s="1307"/>
      <c r="N690" s="1307"/>
      <c r="O690" s="1307"/>
      <c r="P690" s="1307"/>
      <c r="Q690" s="1307"/>
      <c r="R690" s="1307"/>
      <c r="S690" s="1307"/>
      <c r="T690" s="1307"/>
      <c r="U690" s="1307"/>
      <c r="V690" s="1307"/>
      <c r="W690" s="1307"/>
      <c r="X690" s="1307"/>
      <c r="Y690" s="1307"/>
      <c r="Z690" s="1307"/>
      <c r="AA690" s="1307"/>
      <c r="AB690" s="1307"/>
      <c r="AC690" s="1307"/>
      <c r="AD690" s="1307"/>
      <c r="AE690" s="1307"/>
      <c r="AF690" s="1307"/>
      <c r="AG690" s="1307"/>
      <c r="AH690" s="1307"/>
      <c r="AI690" s="1307"/>
      <c r="AJ690" s="1307"/>
      <c r="AK690" s="1307"/>
      <c r="AL690" s="1307"/>
      <c r="AM690" s="1307"/>
      <c r="AN690" s="1307"/>
      <c r="AO690" s="1307"/>
      <c r="AP690" s="1307"/>
      <c r="AQ690" s="1307"/>
      <c r="AR690" s="1307"/>
      <c r="AS690" s="1307"/>
      <c r="AT690" s="1307"/>
      <c r="AU690" s="1307"/>
      <c r="AV690" s="1307"/>
      <c r="AW690" s="1307"/>
      <c r="AX690" s="1308"/>
      <c r="AY690" s="1307"/>
      <c r="AZ690" s="1307"/>
      <c r="BA690" s="1307"/>
      <c r="BB690" s="1307"/>
      <c r="BC690" s="1307"/>
      <c r="BD690" s="1307"/>
      <c r="BE690" s="1309"/>
      <c r="BF690" s="1307"/>
      <c r="BG690" s="1307"/>
      <c r="BH690" s="1307"/>
      <c r="BI690" s="1307"/>
      <c r="BJ690" s="1307"/>
      <c r="BK690" s="1307"/>
      <c r="BL690" s="1307"/>
      <c r="BM690" s="1307"/>
      <c r="BN690" s="1308"/>
      <c r="BO690" s="1307"/>
      <c r="BP690" s="1307"/>
      <c r="BQ690" s="1307"/>
      <c r="BR690" s="1307"/>
      <c r="BS690" s="1307"/>
      <c r="BT690" s="1307"/>
      <c r="BU690" s="1309"/>
      <c r="BV690" s="1308"/>
      <c r="BW690" s="1307"/>
      <c r="BX690" s="1307"/>
      <c r="BY690" s="1307"/>
      <c r="BZ690" s="1307"/>
      <c r="CA690" s="1307"/>
      <c r="CB690" s="1307"/>
      <c r="CC690" s="1309"/>
      <c r="CD690" s="1308"/>
      <c r="CE690" s="1307"/>
      <c r="CF690" s="1307"/>
      <c r="CG690" s="1307"/>
      <c r="CH690" s="1307"/>
      <c r="CI690" s="1307"/>
      <c r="CJ690" s="1307"/>
      <c r="CK690" s="1309"/>
      <c r="CL690" s="1308">
        <v>139</v>
      </c>
      <c r="CM690" s="1307">
        <f>CN690-CL690</f>
        <v>166</v>
      </c>
      <c r="CN690" s="1307">
        <v>305</v>
      </c>
      <c r="CO690" s="1307">
        <f>CP690-CN690</f>
        <v>248</v>
      </c>
      <c r="CP690" s="1307">
        <v>553</v>
      </c>
      <c r="CQ690" s="1307">
        <f>CS690-CP690</f>
        <v>215</v>
      </c>
      <c r="CR690" s="1307">
        <f>CQ690+CO690</f>
        <v>463</v>
      </c>
      <c r="CS690" s="1309">
        <v>768</v>
      </c>
      <c r="CT690" s="1308">
        <v>189</v>
      </c>
      <c r="CU690" s="1307">
        <f>CV690-CT690</f>
        <v>151</v>
      </c>
      <c r="CV690" s="1307">
        <v>340</v>
      </c>
      <c r="CW690" s="1307">
        <f>CX690-CV690</f>
        <v>244</v>
      </c>
      <c r="CX690" s="1307">
        <v>584</v>
      </c>
      <c r="CY690" s="1307">
        <f>DA690-CX690</f>
        <v>164</v>
      </c>
      <c r="CZ690" s="1307">
        <f>CY690+CW690</f>
        <v>408</v>
      </c>
      <c r="DA690" s="1309">
        <v>748</v>
      </c>
      <c r="DB690" s="1332">
        <v>167</v>
      </c>
      <c r="DC690" s="1311">
        <f>DD690-DB690</f>
        <v>147</v>
      </c>
      <c r="DD690" s="1311">
        <v>314</v>
      </c>
      <c r="DE690" s="1311">
        <f>DF690-DD690</f>
        <v>223</v>
      </c>
      <c r="DF690" s="1311">
        <v>537</v>
      </c>
      <c r="DG690" s="1311">
        <f>DH690-DE690</f>
        <v>154</v>
      </c>
      <c r="DH690" s="1311">
        <f>DI690-DD690</f>
        <v>377</v>
      </c>
      <c r="DI690" s="1312">
        <v>691</v>
      </c>
      <c r="DJ690" s="1311">
        <f>DB690*(1+DJ691)</f>
        <v>160</v>
      </c>
      <c r="DK690" s="1311">
        <f>DC690*(1+DK691)</f>
        <v>131</v>
      </c>
      <c r="DL690" s="1311">
        <f>DK690+DJ690</f>
        <v>291</v>
      </c>
      <c r="DM690" s="1311">
        <f>DN690-DL690</f>
        <v>191</v>
      </c>
      <c r="DN690" s="1311">
        <v>482</v>
      </c>
      <c r="DO690" s="1311">
        <v>0</v>
      </c>
      <c r="DP690" s="1311">
        <f>DO690+DM690</f>
        <v>191</v>
      </c>
      <c r="DQ690" s="1312">
        <f>DP690+DL690</f>
        <v>482</v>
      </c>
      <c r="DR690" s="1311"/>
      <c r="DS690" s="1311"/>
      <c r="DT690" s="1311"/>
      <c r="DU690" s="1311"/>
      <c r="DV690" s="1311"/>
      <c r="DW690" s="1311"/>
      <c r="DX690" s="1311"/>
      <c r="DY690" s="1312"/>
      <c r="DZ690" s="1311"/>
      <c r="EA690" s="1311"/>
      <c r="EB690" s="1311"/>
      <c r="EC690" s="1311"/>
      <c r="ED690" s="1311"/>
      <c r="EE690" s="1311"/>
      <c r="EF690" s="1311"/>
      <c r="EG690" s="1312"/>
      <c r="EH690" s="1311"/>
      <c r="EI690" s="1311"/>
      <c r="EJ690" s="1311"/>
      <c r="EK690" s="1311"/>
      <c r="EL690" s="1311"/>
      <c r="EM690" s="1311"/>
      <c r="EN690" s="1311"/>
      <c r="EO690" s="1312"/>
      <c r="EP690" s="1311"/>
      <c r="EQ690" s="1311"/>
      <c r="ER690" s="1311"/>
      <c r="ES690" s="1311"/>
      <c r="ET690" s="1311"/>
      <c r="EU690" s="1311"/>
      <c r="EV690" s="1311"/>
      <c r="IX690" s="1049"/>
      <c r="IY690" s="1049"/>
      <c r="IZ690" s="1049"/>
      <c r="JA690" s="1049"/>
      <c r="JB690" s="1049"/>
      <c r="JC690" s="1049"/>
      <c r="JD690" s="1469"/>
      <c r="JE690" s="1037"/>
      <c r="JF690" s="1037"/>
      <c r="JG690" s="1037"/>
      <c r="JH690" s="1037"/>
      <c r="JI690" s="1035"/>
      <c r="JJ690" s="1035"/>
      <c r="JK690" s="1035"/>
      <c r="JL690" s="1035"/>
      <c r="JM690" s="1035"/>
      <c r="JN690" s="1035"/>
      <c r="JO690" s="1035"/>
      <c r="JP690" s="1035"/>
      <c r="JQ690" s="1035"/>
      <c r="JR690" s="1035"/>
      <c r="JS690" s="1035"/>
      <c r="JT690" s="1035"/>
      <c r="JU690" s="1035"/>
      <c r="JV690" s="1035"/>
      <c r="JW690" s="1035"/>
      <c r="JX690" s="1035"/>
      <c r="JY690" s="1035"/>
    </row>
    <row r="691" spans="1:285">
      <c r="A691" s="1339" t="s">
        <v>639</v>
      </c>
      <c r="B691" s="1409"/>
      <c r="C691" s="1409"/>
      <c r="D691" s="1409"/>
      <c r="E691" s="1409"/>
      <c r="F691" s="1409"/>
      <c r="G691" s="1409"/>
      <c r="H691" s="1409"/>
      <c r="I691" s="1409"/>
      <c r="J691" s="1409"/>
      <c r="K691" s="1409"/>
      <c r="L691" s="1409"/>
      <c r="M691" s="1409"/>
      <c r="N691" s="1409"/>
      <c r="O691" s="1409"/>
      <c r="P691" s="1409"/>
      <c r="Q691" s="1409"/>
      <c r="R691" s="1409"/>
      <c r="S691" s="1409"/>
      <c r="T691" s="1409"/>
      <c r="U691" s="1409"/>
      <c r="V691" s="1409"/>
      <c r="W691" s="1409"/>
      <c r="X691" s="1409"/>
      <c r="Y691" s="1409"/>
      <c r="Z691" s="1409"/>
      <c r="AA691" s="1409"/>
      <c r="AB691" s="1409"/>
      <c r="AC691" s="1409"/>
      <c r="AD691" s="1409"/>
      <c r="AE691" s="1409"/>
      <c r="AF691" s="1409"/>
      <c r="AG691" s="1409"/>
      <c r="AH691" s="1409"/>
      <c r="AI691" s="1409"/>
      <c r="AJ691" s="1409"/>
      <c r="AK691" s="1409"/>
      <c r="AL691" s="1409"/>
      <c r="AM691" s="1409"/>
      <c r="AN691" s="1409"/>
      <c r="AO691" s="1409"/>
      <c r="AP691" s="1409"/>
      <c r="AQ691" s="1409"/>
      <c r="AR691" s="1409"/>
      <c r="AS691" s="1409"/>
      <c r="AT691" s="1409"/>
      <c r="AU691" s="1409"/>
      <c r="AV691" s="1409"/>
      <c r="AW691" s="1409"/>
      <c r="AX691" s="1408"/>
      <c r="AY691" s="1409"/>
      <c r="AZ691" s="1409"/>
      <c r="BA691" s="1409"/>
      <c r="BB691" s="1409"/>
      <c r="BC691" s="1409"/>
      <c r="BD691" s="1409"/>
      <c r="BE691" s="1410"/>
      <c r="BF691" s="1409"/>
      <c r="BG691" s="1409"/>
      <c r="BH691" s="1409"/>
      <c r="BI691" s="1409"/>
      <c r="BJ691" s="1409"/>
      <c r="BK691" s="1409"/>
      <c r="BL691" s="1409"/>
      <c r="BM691" s="1409"/>
      <c r="BN691" s="1408"/>
      <c r="BO691" s="1409"/>
      <c r="BP691" s="1409"/>
      <c r="BQ691" s="1409"/>
      <c r="BR691" s="1409"/>
      <c r="BS691" s="1409"/>
      <c r="BT691" s="1409"/>
      <c r="BU691" s="1410"/>
      <c r="BV691" s="1526"/>
      <c r="BW691" s="1061"/>
      <c r="BX691" s="1061"/>
      <c r="BY691" s="1061"/>
      <c r="BZ691" s="1061"/>
      <c r="CA691" s="1061"/>
      <c r="CB691" s="1061"/>
      <c r="CC691" s="1527"/>
      <c r="CD691" s="1526"/>
      <c r="CE691" s="1061"/>
      <c r="CF691" s="1061"/>
      <c r="CG691" s="1061"/>
      <c r="CH691" s="1061"/>
      <c r="CI691" s="1061"/>
      <c r="CJ691" s="1061"/>
      <c r="CK691" s="1527"/>
      <c r="CL691" s="1526" t="s">
        <v>173</v>
      </c>
      <c r="CM691" s="1061" t="s">
        <v>173</v>
      </c>
      <c r="CN691" s="1061" t="s">
        <v>173</v>
      </c>
      <c r="CO691" s="1061" t="s">
        <v>173</v>
      </c>
      <c r="CP691" s="1061" t="s">
        <v>173</v>
      </c>
      <c r="CQ691" s="1061" t="s">
        <v>173</v>
      </c>
      <c r="CR691" s="1061" t="s">
        <v>173</v>
      </c>
      <c r="CS691" s="1527" t="s">
        <v>173</v>
      </c>
      <c r="CT691" s="1526">
        <f t="shared" ref="CT691:DA691" si="4442">CT690/CL690-1</f>
        <v>0.359712230215827</v>
      </c>
      <c r="CU691" s="1302">
        <f t="shared" si="4442"/>
        <v>-0.0903614457831325</v>
      </c>
      <c r="CV691" s="1302">
        <f t="shared" si="4442"/>
        <v>0.114754098360656</v>
      </c>
      <c r="CW691" s="1302">
        <f t="shared" si="4442"/>
        <v>-0.0161290322580645</v>
      </c>
      <c r="CX691" s="1302">
        <f t="shared" si="4442"/>
        <v>0.0560578661844484</v>
      </c>
      <c r="CY691" s="1302">
        <f t="shared" si="4442"/>
        <v>-0.237209302325581</v>
      </c>
      <c r="CZ691" s="1302">
        <f t="shared" si="4442"/>
        <v>-0.118790496760259</v>
      </c>
      <c r="DA691" s="1304">
        <f t="shared" si="4442"/>
        <v>-0.0260416666666666</v>
      </c>
      <c r="DB691" s="1109">
        <f t="shared" ref="DB691:DI691" si="4443">DB690/CT690-1</f>
        <v>-0.116402116402116</v>
      </c>
      <c r="DC691" s="1082">
        <f t="shared" si="4443"/>
        <v>-0.0264900662251656</v>
      </c>
      <c r="DD691" s="1082">
        <f t="shared" si="4443"/>
        <v>-0.0764705882352941</v>
      </c>
      <c r="DE691" s="1082">
        <f t="shared" si="4443"/>
        <v>-0.0860655737704918</v>
      </c>
      <c r="DF691" s="1082">
        <f t="shared" si="4443"/>
        <v>-0.0804794520547946</v>
      </c>
      <c r="DG691" s="1082">
        <f t="shared" si="4443"/>
        <v>-0.0609756097560976</v>
      </c>
      <c r="DH691" s="1082">
        <f t="shared" si="4443"/>
        <v>-0.0759803921568627</v>
      </c>
      <c r="DI691" s="1085">
        <f t="shared" si="4443"/>
        <v>-0.0762032085561497</v>
      </c>
      <c r="DJ691" s="1082">
        <f>SUM(DJ692:DJ693)</f>
        <v>-0.0419161676646707</v>
      </c>
      <c r="DK691" s="1082">
        <f>SUM(DK692:DK693)</f>
        <v>-0.108843537414966</v>
      </c>
      <c r="DL691" s="1082">
        <f t="shared" ref="DL691:DQ691" si="4444">DL690/DD690-1</f>
        <v>-0.0732484076433121</v>
      </c>
      <c r="DM691" s="1082">
        <f t="shared" si="4444"/>
        <v>-0.143497757847534</v>
      </c>
      <c r="DN691" s="1082">
        <f t="shared" si="4444"/>
        <v>-0.102420856610801</v>
      </c>
      <c r="DO691" s="1082">
        <f t="shared" si="4444"/>
        <v>-1</v>
      </c>
      <c r="DP691" s="1082">
        <f t="shared" si="4444"/>
        <v>-0.493368700265252</v>
      </c>
      <c r="DQ691" s="1085">
        <f t="shared" si="4444"/>
        <v>-0.30246020260492</v>
      </c>
      <c r="DR691" s="1082"/>
      <c r="DS691" s="1082"/>
      <c r="DT691" s="1082"/>
      <c r="DU691" s="1082"/>
      <c r="DV691" s="1082"/>
      <c r="DW691" s="1082"/>
      <c r="DX691" s="1082"/>
      <c r="DY691" s="1085"/>
      <c r="DZ691" s="1082"/>
      <c r="EA691" s="1082"/>
      <c r="EB691" s="1082"/>
      <c r="EC691" s="1082"/>
      <c r="ED691" s="1082"/>
      <c r="EE691" s="1082"/>
      <c r="EF691" s="1082"/>
      <c r="EG691" s="1085"/>
      <c r="EH691" s="1082"/>
      <c r="EI691" s="1082"/>
      <c r="EJ691" s="1082"/>
      <c r="EK691" s="1082"/>
      <c r="EL691" s="1082"/>
      <c r="EM691" s="1082"/>
      <c r="EN691" s="1082"/>
      <c r="EO691" s="1085"/>
      <c r="EP691" s="1082"/>
      <c r="EQ691" s="1082"/>
      <c r="ER691" s="1082"/>
      <c r="ES691" s="1082"/>
      <c r="ET691" s="1082"/>
      <c r="EU691" s="1082"/>
      <c r="EV691" s="1082"/>
      <c r="IX691" s="1049"/>
      <c r="IY691" s="1049"/>
      <c r="IZ691" s="1049"/>
      <c r="JA691" s="1049"/>
      <c r="JB691" s="1049"/>
      <c r="JC691" s="1049"/>
      <c r="JD691" s="1112"/>
      <c r="JE691" s="1037"/>
      <c r="JF691" s="1037"/>
      <c r="JG691" s="1037"/>
      <c r="JH691" s="1037"/>
      <c r="JI691" s="1035"/>
      <c r="JJ691" s="1035"/>
      <c r="JK691" s="1035"/>
      <c r="JL691" s="1035"/>
      <c r="JM691" s="1035"/>
      <c r="JN691" s="1035"/>
      <c r="JO691" s="1035"/>
      <c r="JP691" s="1035"/>
      <c r="JQ691" s="1035"/>
      <c r="JR691" s="1035"/>
      <c r="JS691" s="1035"/>
      <c r="JT691" s="1035"/>
      <c r="JU691" s="1035"/>
      <c r="JV691" s="1035"/>
      <c r="JW691" s="1035"/>
      <c r="JX691" s="1035"/>
      <c r="JY691" s="1035"/>
    </row>
    <row r="692" spans="1:285">
      <c r="A692" s="1339" t="s">
        <v>640</v>
      </c>
      <c r="B692" s="1409"/>
      <c r="C692" s="1409"/>
      <c r="D692" s="1409"/>
      <c r="E692" s="1409"/>
      <c r="F692" s="1409"/>
      <c r="G692" s="1409"/>
      <c r="H692" s="1409"/>
      <c r="I692" s="1409"/>
      <c r="J692" s="1409"/>
      <c r="K692" s="1409"/>
      <c r="L692" s="1409"/>
      <c r="M692" s="1409"/>
      <c r="N692" s="1409"/>
      <c r="O692" s="1409"/>
      <c r="P692" s="1409"/>
      <c r="Q692" s="1409"/>
      <c r="R692" s="1409"/>
      <c r="S692" s="1409"/>
      <c r="T692" s="1409"/>
      <c r="U692" s="1409"/>
      <c r="V692" s="1409"/>
      <c r="W692" s="1409"/>
      <c r="X692" s="1409"/>
      <c r="Y692" s="1409"/>
      <c r="Z692" s="1409"/>
      <c r="AA692" s="1409"/>
      <c r="AB692" s="1409"/>
      <c r="AC692" s="1409"/>
      <c r="AD692" s="1409"/>
      <c r="AE692" s="1409"/>
      <c r="AF692" s="1409"/>
      <c r="AG692" s="1409"/>
      <c r="AH692" s="1409"/>
      <c r="AI692" s="1409"/>
      <c r="AJ692" s="1409"/>
      <c r="AK692" s="1409"/>
      <c r="AL692" s="1409"/>
      <c r="AM692" s="1409"/>
      <c r="AN692" s="1409"/>
      <c r="AO692" s="1409"/>
      <c r="AP692" s="1409"/>
      <c r="AQ692" s="1409"/>
      <c r="AR692" s="1409"/>
      <c r="AS692" s="1409"/>
      <c r="AT692" s="1409"/>
      <c r="AU692" s="1409"/>
      <c r="AV692" s="1409"/>
      <c r="AW692" s="1409"/>
      <c r="AX692" s="1408"/>
      <c r="AY692" s="1409"/>
      <c r="AZ692" s="1409"/>
      <c r="BA692" s="1409"/>
      <c r="BB692" s="1409"/>
      <c r="BC692" s="1409"/>
      <c r="BD692" s="1409"/>
      <c r="BE692" s="1410"/>
      <c r="BF692" s="1409"/>
      <c r="BG692" s="1409"/>
      <c r="BH692" s="1409"/>
      <c r="BI692" s="1409"/>
      <c r="BJ692" s="1409"/>
      <c r="BK692" s="1409"/>
      <c r="BL692" s="1409"/>
      <c r="BM692" s="1409"/>
      <c r="BN692" s="1408"/>
      <c r="BO692" s="1409"/>
      <c r="BP692" s="1409"/>
      <c r="BQ692" s="1409"/>
      <c r="BR692" s="1409"/>
      <c r="BS692" s="1409"/>
      <c r="BT692" s="1409"/>
      <c r="BU692" s="1410"/>
      <c r="BV692" s="1526"/>
      <c r="BW692" s="1061"/>
      <c r="BX692" s="1061"/>
      <c r="BY692" s="1061"/>
      <c r="BZ692" s="1061"/>
      <c r="CA692" s="1061"/>
      <c r="CB692" s="1061"/>
      <c r="CC692" s="1527"/>
      <c r="CD692" s="1526"/>
      <c r="CE692" s="1061"/>
      <c r="CF692" s="1061"/>
      <c r="CG692" s="1061"/>
      <c r="CH692" s="1061"/>
      <c r="CI692" s="1061"/>
      <c r="CJ692" s="1061"/>
      <c r="CK692" s="1527"/>
      <c r="CL692" s="1526"/>
      <c r="CM692" s="1061"/>
      <c r="CN692" s="1061"/>
      <c r="CO692" s="1061"/>
      <c r="CP692" s="1061"/>
      <c r="CQ692" s="1061"/>
      <c r="CR692" s="1061"/>
      <c r="CS692" s="1527"/>
      <c r="CT692" s="1526">
        <f>CT691-CT693</f>
        <v>-0.0102877697841727</v>
      </c>
      <c r="CU692" s="1302">
        <f t="shared" ref="CU692:DA692" si="4445">CU691-CU693</f>
        <v>-0.0010240963855422</v>
      </c>
      <c r="CV692" s="1302">
        <f t="shared" si="4445"/>
        <v>-0.00524590163934435</v>
      </c>
      <c r="CW692" s="1302">
        <f t="shared" si="4445"/>
        <v>-0.0246370967741935</v>
      </c>
      <c r="CX692" s="1302">
        <f t="shared" si="4445"/>
        <v>-0.0139421338155516</v>
      </c>
      <c r="CY692" s="1302">
        <f t="shared" si="4445"/>
        <v>-0.0214418604651162</v>
      </c>
      <c r="CZ692" s="1302">
        <f t="shared" si="4445"/>
        <v>-0.0231533477321815</v>
      </c>
      <c r="DA692" s="1304">
        <f t="shared" si="4445"/>
        <v>-0.0160416666666666</v>
      </c>
      <c r="DB692" s="1109">
        <f t="shared" ref="DB692:DI692" si="4446">DB691-DB693</f>
        <v>-0.0464021164021164</v>
      </c>
      <c r="DC692" s="1082">
        <f t="shared" si="4446"/>
        <v>-0.0465562913907285</v>
      </c>
      <c r="DD692" s="1082">
        <f t="shared" si="4446"/>
        <v>-0.0464705882352941</v>
      </c>
      <c r="DE692" s="1082">
        <f t="shared" si="4446"/>
        <v>-0.0321311475409836</v>
      </c>
      <c r="DF692" s="1082">
        <f t="shared" si="4446"/>
        <v>-0.0404794520547946</v>
      </c>
      <c r="DG692" s="1082">
        <f t="shared" si="4446"/>
        <v>-0.0665853658536586</v>
      </c>
      <c r="DH692" s="1082">
        <f t="shared" si="4446"/>
        <v>-0.0459803921568627</v>
      </c>
      <c r="DI692" s="1085">
        <f t="shared" si="4446"/>
        <v>-0.0462032085561497</v>
      </c>
      <c r="DJ692" s="1082">
        <v>-0.0119161676646707</v>
      </c>
      <c r="DK692" s="1082">
        <v>-0.0147619047619048</v>
      </c>
      <c r="DL692" s="1082">
        <f t="shared" ref="DL692:DQ692" si="4447">DL691-DL693</f>
        <v>-0.0132484076433121</v>
      </c>
      <c r="DM692" s="1082">
        <f t="shared" si="4447"/>
        <v>-0.0112556053811659</v>
      </c>
      <c r="DN692" s="1082">
        <f t="shared" si="4447"/>
        <v>-0.0124208566108007</v>
      </c>
      <c r="DO692" s="1082">
        <f t="shared" si="4447"/>
        <v>-1</v>
      </c>
      <c r="DP692" s="1082">
        <f t="shared" si="4447"/>
        <v>-0.415145888594165</v>
      </c>
      <c r="DQ692" s="1085">
        <f t="shared" si="4447"/>
        <v>-0.232518089725036</v>
      </c>
      <c r="DR692" s="1082"/>
      <c r="DS692" s="1488"/>
      <c r="DT692" s="1082"/>
      <c r="DU692" s="1488"/>
      <c r="DV692" s="1082"/>
      <c r="DW692" s="1488"/>
      <c r="DX692" s="1082"/>
      <c r="DY692" s="1085"/>
      <c r="DZ692" s="1082"/>
      <c r="EA692" s="1488"/>
      <c r="EB692" s="1082"/>
      <c r="EC692" s="1488"/>
      <c r="ED692" s="1082"/>
      <c r="EE692" s="1488"/>
      <c r="EF692" s="1082"/>
      <c r="EG692" s="1085"/>
      <c r="EH692" s="1082"/>
      <c r="EI692" s="1488"/>
      <c r="EJ692" s="1082"/>
      <c r="EK692" s="1488"/>
      <c r="EL692" s="1082"/>
      <c r="EM692" s="1488"/>
      <c r="EN692" s="1082"/>
      <c r="EO692" s="1085"/>
      <c r="EP692" s="1082"/>
      <c r="EQ692" s="1082"/>
      <c r="ER692" s="1082"/>
      <c r="ES692" s="1082"/>
      <c r="ET692" s="1082"/>
      <c r="EU692" s="1082"/>
      <c r="EV692" s="1082"/>
      <c r="IX692" s="1049"/>
      <c r="IY692" s="1049"/>
      <c r="IZ692" s="1049"/>
      <c r="JA692" s="1049"/>
      <c r="JB692" s="1049"/>
      <c r="JC692" s="1049"/>
      <c r="JD692" s="1112"/>
      <c r="JE692" s="1037"/>
      <c r="JF692" s="1037"/>
      <c r="JG692" s="1037"/>
      <c r="JH692" s="1037"/>
      <c r="JI692" s="1035"/>
      <c r="JJ692" s="1035"/>
      <c r="JK692" s="1035"/>
      <c r="JL692" s="1035"/>
      <c r="JM692" s="1035"/>
      <c r="JN692" s="1035"/>
      <c r="JO692" s="1035"/>
      <c r="JP692" s="1035"/>
      <c r="JQ692" s="1035"/>
      <c r="JR692" s="1035"/>
      <c r="JS692" s="1035"/>
      <c r="JT692" s="1035"/>
      <c r="JU692" s="1035"/>
      <c r="JV692" s="1035"/>
      <c r="JW692" s="1035"/>
      <c r="JX692" s="1035"/>
      <c r="JY692" s="1035"/>
    </row>
    <row r="693" spans="1:285">
      <c r="A693" s="1339" t="s">
        <v>641</v>
      </c>
      <c r="B693" s="1409"/>
      <c r="C693" s="1409"/>
      <c r="D693" s="1409"/>
      <c r="E693" s="1409"/>
      <c r="F693" s="1409"/>
      <c r="G693" s="1409"/>
      <c r="H693" s="1409"/>
      <c r="I693" s="1409"/>
      <c r="J693" s="1409"/>
      <c r="K693" s="1409"/>
      <c r="L693" s="1409"/>
      <c r="M693" s="1409"/>
      <c r="N693" s="1409"/>
      <c r="O693" s="1409"/>
      <c r="P693" s="1409"/>
      <c r="Q693" s="1409"/>
      <c r="R693" s="1409"/>
      <c r="S693" s="1409"/>
      <c r="T693" s="1409"/>
      <c r="U693" s="1409"/>
      <c r="V693" s="1409"/>
      <c r="W693" s="1409"/>
      <c r="X693" s="1409"/>
      <c r="Y693" s="1409"/>
      <c r="Z693" s="1409"/>
      <c r="AA693" s="1409"/>
      <c r="AB693" s="1409"/>
      <c r="AC693" s="1409"/>
      <c r="AD693" s="1409"/>
      <c r="AE693" s="1409"/>
      <c r="AF693" s="1409"/>
      <c r="AG693" s="1409"/>
      <c r="AH693" s="1409"/>
      <c r="AI693" s="1409"/>
      <c r="AJ693" s="1409"/>
      <c r="AK693" s="1409"/>
      <c r="AL693" s="1409"/>
      <c r="AM693" s="1409"/>
      <c r="AN693" s="1409"/>
      <c r="AO693" s="1409"/>
      <c r="AP693" s="1409"/>
      <c r="AQ693" s="1409"/>
      <c r="AR693" s="1409"/>
      <c r="AS693" s="1409"/>
      <c r="AT693" s="1409"/>
      <c r="AU693" s="1409"/>
      <c r="AV693" s="1409"/>
      <c r="AW693" s="1409"/>
      <c r="AX693" s="1408"/>
      <c r="AY693" s="1409"/>
      <c r="AZ693" s="1409"/>
      <c r="BA693" s="1409"/>
      <c r="BB693" s="1409"/>
      <c r="BC693" s="1409"/>
      <c r="BD693" s="1409"/>
      <c r="BE693" s="1410"/>
      <c r="BF693" s="1409"/>
      <c r="BG693" s="1409"/>
      <c r="BH693" s="1409"/>
      <c r="BI693" s="1409"/>
      <c r="BJ693" s="1409"/>
      <c r="BK693" s="1409"/>
      <c r="BL693" s="1409"/>
      <c r="BM693" s="1409"/>
      <c r="BN693" s="1408"/>
      <c r="BO693" s="1409"/>
      <c r="BP693" s="1409"/>
      <c r="BQ693" s="1409"/>
      <c r="BR693" s="1409"/>
      <c r="BS693" s="1409"/>
      <c r="BT693" s="1409"/>
      <c r="BU693" s="1410"/>
      <c r="BV693" s="1526"/>
      <c r="BW693" s="1061"/>
      <c r="BX693" s="1061"/>
      <c r="BY693" s="1061"/>
      <c r="BZ693" s="1061"/>
      <c r="CA693" s="1061"/>
      <c r="CB693" s="1061"/>
      <c r="CC693" s="1527"/>
      <c r="CD693" s="1526"/>
      <c r="CE693" s="1061"/>
      <c r="CF693" s="1061"/>
      <c r="CG693" s="1061"/>
      <c r="CH693" s="1061"/>
      <c r="CI693" s="1061"/>
      <c r="CJ693" s="1061"/>
      <c r="CK693" s="1527"/>
      <c r="CL693" s="1526"/>
      <c r="CM693" s="1061"/>
      <c r="CN693" s="1061"/>
      <c r="CO693" s="1061"/>
      <c r="CP693" s="1061"/>
      <c r="CQ693" s="1061"/>
      <c r="CR693" s="1061"/>
      <c r="CS693" s="1527"/>
      <c r="CT693" s="1526">
        <v>0.37</v>
      </c>
      <c r="CU693" s="1302">
        <f>(CV693*CN690-CT693*CL690)/CM690</f>
        <v>-0.0893373493975903</v>
      </c>
      <c r="CV693" s="1302">
        <v>0.12</v>
      </c>
      <c r="CW693" s="1302">
        <f>(CX693*CP690-CV693*CN690)/CO690</f>
        <v>0.00850806451612903</v>
      </c>
      <c r="CX693" s="1302">
        <v>0.07</v>
      </c>
      <c r="CY693" s="1302">
        <f>(DA693*CS690-CX693*CP690)/CQ690</f>
        <v>-0.215767441860465</v>
      </c>
      <c r="CZ693" s="1302">
        <f>(DA693*CS690-CV693*CN690)/CR690</f>
        <v>-0.0956371490280778</v>
      </c>
      <c r="DA693" s="1304">
        <v>-0.01</v>
      </c>
      <c r="DB693" s="1109">
        <v>-0.07</v>
      </c>
      <c r="DC693" s="1082">
        <f>(DD693*CV690-DB693*CT690)/CU690</f>
        <v>0.0200662251655629</v>
      </c>
      <c r="DD693" s="1082">
        <v>-0.03</v>
      </c>
      <c r="DE693" s="1082">
        <f>(DF693*CX690-DD693*CV690)/CW690</f>
        <v>-0.0539344262295082</v>
      </c>
      <c r="DF693" s="1082">
        <v>-0.04</v>
      </c>
      <c r="DG693" s="1082">
        <f>(DI693*DA690-DF693*CX690)/CY690</f>
        <v>0.00560975609756099</v>
      </c>
      <c r="DH693" s="1082">
        <f>(DI693*DA690-DD693*CV690)/CZ690</f>
        <v>-0.03</v>
      </c>
      <c r="DI693" s="1085">
        <v>-0.03</v>
      </c>
      <c r="DJ693" s="1082">
        <v>-0.03</v>
      </c>
      <c r="DK693" s="1082">
        <v>-0.0940816326530612</v>
      </c>
      <c r="DL693" s="1082">
        <f>(DJ693*DB690+DK693*DC690)/DD690</f>
        <v>-0.06</v>
      </c>
      <c r="DM693" s="1082">
        <f>(DN693*DF690-DL693*DD690)/DE690</f>
        <v>-0.132242152466368</v>
      </c>
      <c r="DN693" s="1082">
        <v>-0.09</v>
      </c>
      <c r="DO693" s="1488">
        <v>0</v>
      </c>
      <c r="DP693" s="1082">
        <f>(DO693*DG690+DM693*DE690)/DH690</f>
        <v>-0.0782228116710875</v>
      </c>
      <c r="DQ693" s="1085">
        <f>(DP693*DH690+DL693*DD690)/DI690</f>
        <v>-0.0699421128798842</v>
      </c>
      <c r="DR693" s="1082"/>
      <c r="DS693" s="1488"/>
      <c r="DT693" s="1082"/>
      <c r="DU693" s="1488"/>
      <c r="DV693" s="1082"/>
      <c r="DW693" s="1488"/>
      <c r="DX693" s="1082"/>
      <c r="DY693" s="1085"/>
      <c r="DZ693" s="1082"/>
      <c r="EA693" s="1488"/>
      <c r="EB693" s="1082"/>
      <c r="EC693" s="1488"/>
      <c r="ED693" s="1082"/>
      <c r="EE693" s="1488"/>
      <c r="EF693" s="1082"/>
      <c r="EG693" s="1085"/>
      <c r="EH693" s="1082"/>
      <c r="EI693" s="1488"/>
      <c r="EJ693" s="1082"/>
      <c r="EK693" s="1488"/>
      <c r="EL693" s="1082"/>
      <c r="EM693" s="1488"/>
      <c r="EN693" s="1082"/>
      <c r="EO693" s="1085"/>
      <c r="EP693" s="1082"/>
      <c r="EQ693" s="1082"/>
      <c r="ER693" s="1082"/>
      <c r="ES693" s="1082"/>
      <c r="ET693" s="1082"/>
      <c r="EU693" s="1082"/>
      <c r="EV693" s="1082"/>
      <c r="IX693" s="1049"/>
      <c r="IY693" s="1049"/>
      <c r="IZ693" s="1049"/>
      <c r="JA693" s="1049"/>
      <c r="JB693" s="1049"/>
      <c r="JC693" s="1049"/>
      <c r="JD693" s="1112"/>
      <c r="JE693" s="1037"/>
      <c r="JF693" s="1037"/>
      <c r="JG693" s="1037"/>
      <c r="JH693" s="1037"/>
      <c r="JI693" s="1035"/>
      <c r="JJ693" s="1035"/>
      <c r="JK693" s="1035"/>
      <c r="JL693" s="1035"/>
      <c r="JM693" s="1035"/>
      <c r="JN693" s="1035"/>
      <c r="JO693" s="1035"/>
      <c r="JP693" s="1035"/>
      <c r="JQ693" s="1035"/>
      <c r="JR693" s="1035"/>
      <c r="JS693" s="1035"/>
      <c r="JT693" s="1035"/>
      <c r="JU693" s="1035"/>
      <c r="JV693" s="1035"/>
      <c r="JW693" s="1035"/>
      <c r="JX693" s="1035"/>
      <c r="JY693" s="1035"/>
    </row>
    <row r="694" spans="1:285">
      <c r="A694" s="1339" t="s">
        <v>642</v>
      </c>
      <c r="B694" s="1409"/>
      <c r="C694" s="1409"/>
      <c r="D694" s="1409"/>
      <c r="E694" s="1409"/>
      <c r="F694" s="1409"/>
      <c r="G694" s="1409"/>
      <c r="H694" s="1409"/>
      <c r="I694" s="1409"/>
      <c r="J694" s="1409"/>
      <c r="K694" s="1409"/>
      <c r="L694" s="1409"/>
      <c r="M694" s="1409"/>
      <c r="N694" s="1409"/>
      <c r="O694" s="1409"/>
      <c r="P694" s="1409"/>
      <c r="Q694" s="1409"/>
      <c r="R694" s="1409"/>
      <c r="S694" s="1409"/>
      <c r="T694" s="1409"/>
      <c r="U694" s="1409"/>
      <c r="V694" s="1409"/>
      <c r="W694" s="1409"/>
      <c r="X694" s="1409"/>
      <c r="Y694" s="1409"/>
      <c r="Z694" s="1409"/>
      <c r="AA694" s="1409"/>
      <c r="AB694" s="1409"/>
      <c r="AC694" s="1409"/>
      <c r="AD694" s="1409"/>
      <c r="AE694" s="1409"/>
      <c r="AF694" s="1409"/>
      <c r="AG694" s="1409"/>
      <c r="AH694" s="1409"/>
      <c r="AI694" s="1409"/>
      <c r="AJ694" s="1409"/>
      <c r="AK694" s="1409"/>
      <c r="AL694" s="1409"/>
      <c r="AM694" s="1409"/>
      <c r="AN694" s="1409"/>
      <c r="AO694" s="1409"/>
      <c r="AP694" s="1409"/>
      <c r="AQ694" s="1409"/>
      <c r="AR694" s="1409"/>
      <c r="AS694" s="1409"/>
      <c r="AT694" s="1409"/>
      <c r="AU694" s="1409"/>
      <c r="AV694" s="1409"/>
      <c r="AW694" s="1409"/>
      <c r="AX694" s="1408"/>
      <c r="AY694" s="1409"/>
      <c r="AZ694" s="1409"/>
      <c r="BA694" s="1409"/>
      <c r="BB694" s="1409"/>
      <c r="BC694" s="1409"/>
      <c r="BD694" s="1409"/>
      <c r="BE694" s="1410"/>
      <c r="BF694" s="1409"/>
      <c r="BG694" s="1409"/>
      <c r="BH694" s="1409"/>
      <c r="BI694" s="1409"/>
      <c r="BJ694" s="1409"/>
      <c r="BK694" s="1409"/>
      <c r="BL694" s="1409"/>
      <c r="BM694" s="1409"/>
      <c r="BN694" s="1408"/>
      <c r="BO694" s="1409"/>
      <c r="BP694" s="1409"/>
      <c r="BQ694" s="1409"/>
      <c r="BR694" s="1409"/>
      <c r="BS694" s="1409"/>
      <c r="BT694" s="1409"/>
      <c r="BU694" s="1410"/>
      <c r="BV694" s="1303"/>
      <c r="BW694" s="1302"/>
      <c r="BX694" s="1302"/>
      <c r="BY694" s="1302"/>
      <c r="BZ694" s="1302"/>
      <c r="CA694" s="1302"/>
      <c r="CB694" s="1302"/>
      <c r="CC694" s="1304"/>
      <c r="CD694" s="1303"/>
      <c r="CE694" s="1302"/>
      <c r="CF694" s="1302"/>
      <c r="CG694" s="1302"/>
      <c r="CH694" s="1302"/>
      <c r="CI694" s="1302"/>
      <c r="CJ694" s="1302"/>
      <c r="CK694" s="1304"/>
      <c r="CL694" s="1303">
        <f>CL690/CL$710</f>
        <v>0.306167400881057</v>
      </c>
      <c r="CM694" s="1302">
        <f>CM690/CM$710</f>
        <v>0.278523489932886</v>
      </c>
      <c r="CN694" s="1302">
        <f>CN690/CN$710</f>
        <v>0.29047619047619</v>
      </c>
      <c r="CO694" s="1302">
        <f>CM694</f>
        <v>0.278523489932886</v>
      </c>
      <c r="CP694" s="1302">
        <f t="shared" ref="CP694:DQ694" si="4448">CP690/CP$710</f>
        <v>0.302351011481684</v>
      </c>
      <c r="CQ694" s="1302">
        <f t="shared" si="4448"/>
        <v>0.333333333333333</v>
      </c>
      <c r="CR694" s="1302">
        <f t="shared" si="4448"/>
        <v>0.325140449438202</v>
      </c>
      <c r="CS694" s="1304">
        <f t="shared" si="4448"/>
        <v>0.310428455941795</v>
      </c>
      <c r="CT694" s="1303">
        <f t="shared" si="4448"/>
        <v>0.360687022900763</v>
      </c>
      <c r="CU694" s="1302">
        <f t="shared" si="4448"/>
        <v>0.293774319066148</v>
      </c>
      <c r="CV694" s="1302">
        <f t="shared" si="4448"/>
        <v>0.327552986512524</v>
      </c>
      <c r="CW694" s="1302">
        <f t="shared" si="4448"/>
        <v>0.336088154269972</v>
      </c>
      <c r="CX694" s="1302">
        <f t="shared" si="4448"/>
        <v>0.331065759637188</v>
      </c>
      <c r="CY694" s="1302">
        <f t="shared" si="4448"/>
        <v>0.288732394366197</v>
      </c>
      <c r="CZ694" s="1302">
        <f t="shared" si="4448"/>
        <v>0.315301391035549</v>
      </c>
      <c r="DA694" s="1304">
        <f t="shared" si="4448"/>
        <v>0.320754716981132</v>
      </c>
      <c r="DB694" s="1109">
        <f t="shared" si="4448"/>
        <v>0.36784140969163</v>
      </c>
      <c r="DC694" s="1082">
        <f t="shared" si="4448"/>
        <v>0.313432835820896</v>
      </c>
      <c r="DD694" s="1082">
        <f t="shared" si="4448"/>
        <v>0.340195016251354</v>
      </c>
      <c r="DE694" s="1082">
        <f t="shared" si="4448"/>
        <v>0.335843373493976</v>
      </c>
      <c r="DF694" s="1082">
        <f t="shared" si="4448"/>
        <v>0.338374291115312</v>
      </c>
      <c r="DG694" s="1082">
        <f t="shared" si="4448"/>
        <v>0.274509803921569</v>
      </c>
      <c r="DH694" s="1082">
        <f t="shared" si="4448"/>
        <v>0.307755102040816</v>
      </c>
      <c r="DI694" s="1085">
        <f t="shared" si="4448"/>
        <v>0.321694599627561</v>
      </c>
      <c r="DJ694" s="1082">
        <f t="shared" si="4448"/>
        <v>0.349344978165939</v>
      </c>
      <c r="DK694" s="1082">
        <f t="shared" si="4448"/>
        <v>0.291759465478842</v>
      </c>
      <c r="DL694" s="1082">
        <f t="shared" si="4448"/>
        <v>0.320837927232635</v>
      </c>
      <c r="DM694" s="1082">
        <f t="shared" si="4448"/>
        <v>0.323181049069374</v>
      </c>
      <c r="DN694" s="1082">
        <f t="shared" si="4448"/>
        <v>0.321762349799733</v>
      </c>
      <c r="DO694" s="1082" t="e">
        <f t="shared" si="4448"/>
        <v>#REF!</v>
      </c>
      <c r="DP694" s="1082" t="e">
        <f t="shared" si="4448"/>
        <v>#REF!</v>
      </c>
      <c r="DQ694" s="1085" t="e">
        <f t="shared" si="4448"/>
        <v>#REF!</v>
      </c>
      <c r="DR694" s="1082"/>
      <c r="DS694" s="1082"/>
      <c r="DT694" s="1082"/>
      <c r="DU694" s="1082"/>
      <c r="DV694" s="1082"/>
      <c r="DW694" s="1082"/>
      <c r="DX694" s="1082"/>
      <c r="DY694" s="1085"/>
      <c r="DZ694" s="1082"/>
      <c r="EA694" s="1082"/>
      <c r="EB694" s="1082"/>
      <c r="EC694" s="1082"/>
      <c r="ED694" s="1082"/>
      <c r="EE694" s="1082"/>
      <c r="EF694" s="1082"/>
      <c r="EG694" s="1085"/>
      <c r="EH694" s="1082"/>
      <c r="EI694" s="1082"/>
      <c r="EJ694" s="1082"/>
      <c r="EK694" s="1082"/>
      <c r="EL694" s="1082"/>
      <c r="EM694" s="1082"/>
      <c r="EN694" s="1082"/>
      <c r="EO694" s="1085"/>
      <c r="EP694" s="1082"/>
      <c r="EQ694" s="1082"/>
      <c r="ER694" s="1082"/>
      <c r="ES694" s="1082"/>
      <c r="ET694" s="1082"/>
      <c r="EU694" s="1082"/>
      <c r="EV694" s="1082"/>
      <c r="IX694" s="1049"/>
      <c r="IY694" s="1049"/>
      <c r="IZ694" s="1049"/>
      <c r="JA694" s="1049"/>
      <c r="JB694" s="1049"/>
      <c r="JC694" s="1049"/>
      <c r="JD694" s="1112"/>
      <c r="JE694" s="1037"/>
      <c r="JF694" s="1037"/>
      <c r="JG694" s="1037"/>
      <c r="JH694" s="1037"/>
      <c r="JI694" s="1035"/>
      <c r="JJ694" s="1035"/>
      <c r="JK694" s="1035"/>
      <c r="JL694" s="1035"/>
      <c r="JM694" s="1035"/>
      <c r="JN694" s="1035"/>
      <c r="JO694" s="1035"/>
      <c r="JP694" s="1035"/>
      <c r="JQ694" s="1035"/>
      <c r="JR694" s="1035"/>
      <c r="JS694" s="1035"/>
      <c r="JT694" s="1035"/>
      <c r="JU694" s="1035"/>
      <c r="JV694" s="1035"/>
      <c r="JW694" s="1035"/>
      <c r="JX694" s="1035"/>
      <c r="JY694" s="1035"/>
    </row>
    <row r="695" spans="1:285">
      <c r="A695" s="1306" t="s">
        <v>101</v>
      </c>
      <c r="B695" s="1307"/>
      <c r="C695" s="1307"/>
      <c r="D695" s="1307"/>
      <c r="E695" s="1307"/>
      <c r="F695" s="1307"/>
      <c r="G695" s="1307"/>
      <c r="H695" s="1307"/>
      <c r="I695" s="1307"/>
      <c r="J695" s="1307"/>
      <c r="K695" s="1307"/>
      <c r="L695" s="1307"/>
      <c r="M695" s="1307"/>
      <c r="N695" s="1307"/>
      <c r="O695" s="1307"/>
      <c r="P695" s="1307"/>
      <c r="Q695" s="1307"/>
      <c r="R695" s="1307"/>
      <c r="S695" s="1307"/>
      <c r="T695" s="1307"/>
      <c r="U695" s="1307"/>
      <c r="V695" s="1307"/>
      <c r="W695" s="1307"/>
      <c r="X695" s="1307"/>
      <c r="Y695" s="1307"/>
      <c r="Z695" s="1307"/>
      <c r="AA695" s="1307"/>
      <c r="AB695" s="1307"/>
      <c r="AC695" s="1307"/>
      <c r="AD695" s="1307"/>
      <c r="AE695" s="1307"/>
      <c r="AF695" s="1307"/>
      <c r="AG695" s="1307"/>
      <c r="AH695" s="1307"/>
      <c r="AI695" s="1307"/>
      <c r="AJ695" s="1307"/>
      <c r="AK695" s="1307"/>
      <c r="AL695" s="1307"/>
      <c r="AM695" s="1307"/>
      <c r="AN695" s="1307"/>
      <c r="AO695" s="1307"/>
      <c r="AP695" s="1307"/>
      <c r="AQ695" s="1307"/>
      <c r="AR695" s="1307"/>
      <c r="AS695" s="1307"/>
      <c r="AT695" s="1307"/>
      <c r="AU695" s="1307"/>
      <c r="AV695" s="1307"/>
      <c r="AW695" s="1307"/>
      <c r="AX695" s="1308"/>
      <c r="AY695" s="1307"/>
      <c r="AZ695" s="1307"/>
      <c r="BA695" s="1307"/>
      <c r="BB695" s="1307"/>
      <c r="BC695" s="1307"/>
      <c r="BD695" s="1307"/>
      <c r="BE695" s="1309"/>
      <c r="BF695" s="1307"/>
      <c r="BG695" s="1307"/>
      <c r="BH695" s="1307"/>
      <c r="BI695" s="1307"/>
      <c r="BJ695" s="1307"/>
      <c r="BK695" s="1307"/>
      <c r="BL695" s="1307"/>
      <c r="BM695" s="1307"/>
      <c r="BN695" s="1308"/>
      <c r="BO695" s="1307"/>
      <c r="BP695" s="1307"/>
      <c r="BQ695" s="1307"/>
      <c r="BR695" s="1307"/>
      <c r="BS695" s="1307"/>
      <c r="BT695" s="1307"/>
      <c r="BU695" s="1309"/>
      <c r="BV695" s="1308"/>
      <c r="BW695" s="1307"/>
      <c r="BX695" s="1307"/>
      <c r="BY695" s="1307"/>
      <c r="BZ695" s="1307"/>
      <c r="CA695" s="1307"/>
      <c r="CB695" s="1307"/>
      <c r="CC695" s="1309"/>
      <c r="CD695" s="1308"/>
      <c r="CE695" s="1307"/>
      <c r="CF695" s="1307"/>
      <c r="CG695" s="1307"/>
      <c r="CH695" s="1307"/>
      <c r="CI695" s="1307"/>
      <c r="CJ695" s="1307"/>
      <c r="CK695" s="1309"/>
      <c r="CL695" s="1308">
        <v>272</v>
      </c>
      <c r="CM695" s="1307">
        <f>CN695-CL695</f>
        <v>344</v>
      </c>
      <c r="CN695" s="1307">
        <v>616</v>
      </c>
      <c r="CO695" s="1307">
        <f>CP695-CN695</f>
        <v>444</v>
      </c>
      <c r="CP695" s="1307">
        <v>1060</v>
      </c>
      <c r="CQ695" s="1307">
        <f>CS695-CP695</f>
        <v>348</v>
      </c>
      <c r="CR695" s="1307">
        <f>CQ695+CO695</f>
        <v>792</v>
      </c>
      <c r="CS695" s="1309">
        <v>1408</v>
      </c>
      <c r="CT695" s="1308">
        <v>262</v>
      </c>
      <c r="CU695" s="1307">
        <f>CV695-CT695</f>
        <v>287</v>
      </c>
      <c r="CV695" s="1307">
        <v>549</v>
      </c>
      <c r="CW695" s="1307">
        <f>CX695-CV695</f>
        <v>386</v>
      </c>
      <c r="CX695" s="1307">
        <v>935</v>
      </c>
      <c r="CY695" s="1307">
        <f>DA695-CX695</f>
        <v>296</v>
      </c>
      <c r="CZ695" s="1307">
        <f>CY695+CW695</f>
        <v>682</v>
      </c>
      <c r="DA695" s="1309">
        <v>1231</v>
      </c>
      <c r="DB695" s="1332">
        <v>206</v>
      </c>
      <c r="DC695" s="1311">
        <f>DD695-DB695</f>
        <v>211</v>
      </c>
      <c r="DD695" s="1311">
        <v>417</v>
      </c>
      <c r="DE695" s="1311">
        <f>DF695-DD695</f>
        <v>298</v>
      </c>
      <c r="DF695" s="1311">
        <v>715</v>
      </c>
      <c r="DG695" s="1311">
        <f>DH695-DE695</f>
        <v>249</v>
      </c>
      <c r="DH695" s="1311">
        <f>DI695-DD695</f>
        <v>547</v>
      </c>
      <c r="DI695" s="1312">
        <v>964</v>
      </c>
      <c r="DJ695" s="1311">
        <f>DB695*(1+DJ696)</f>
        <v>193</v>
      </c>
      <c r="DK695" s="1311">
        <f>DC695*(1+DK696)</f>
        <v>205</v>
      </c>
      <c r="DL695" s="1311">
        <f>DK695+DJ695</f>
        <v>398</v>
      </c>
      <c r="DM695" s="1311">
        <f>DN695-DL695</f>
        <v>268</v>
      </c>
      <c r="DN695" s="1311">
        <v>666</v>
      </c>
      <c r="DO695" s="1311">
        <v>0</v>
      </c>
      <c r="DP695" s="1311">
        <f>DO695+DM695</f>
        <v>268</v>
      </c>
      <c r="DQ695" s="1312">
        <f>DP695+DL695</f>
        <v>666</v>
      </c>
      <c r="DR695" s="1311"/>
      <c r="DS695" s="1311"/>
      <c r="DT695" s="1311"/>
      <c r="DU695" s="1311"/>
      <c r="DV695" s="1311"/>
      <c r="DW695" s="1311"/>
      <c r="DX695" s="1311"/>
      <c r="DY695" s="1312"/>
      <c r="DZ695" s="1311"/>
      <c r="EA695" s="1311"/>
      <c r="EB695" s="1311"/>
      <c r="EC695" s="1311"/>
      <c r="ED695" s="1311"/>
      <c r="EE695" s="1311"/>
      <c r="EF695" s="1311"/>
      <c r="EG695" s="1312"/>
      <c r="EH695" s="1311"/>
      <c r="EI695" s="1311"/>
      <c r="EJ695" s="1311"/>
      <c r="EK695" s="1311"/>
      <c r="EL695" s="1311"/>
      <c r="EM695" s="1311"/>
      <c r="EN695" s="1311"/>
      <c r="EO695" s="1312"/>
      <c r="EP695" s="1311"/>
      <c r="EQ695" s="1311"/>
      <c r="ER695" s="1311"/>
      <c r="ES695" s="1311"/>
      <c r="ET695" s="1311"/>
      <c r="EU695" s="1311"/>
      <c r="EV695" s="1311"/>
      <c r="IX695" s="1049"/>
      <c r="IY695" s="1049"/>
      <c r="IZ695" s="1049"/>
      <c r="JA695" s="1049"/>
      <c r="JB695" s="1049"/>
      <c r="JC695" s="1049"/>
      <c r="JD695" s="1469"/>
      <c r="JE695" s="1037"/>
      <c r="JF695" s="1037"/>
      <c r="JG695" s="1037"/>
      <c r="JH695" s="1037"/>
      <c r="JI695" s="1035"/>
      <c r="JJ695" s="1035"/>
      <c r="JK695" s="1035"/>
      <c r="JL695" s="1035"/>
      <c r="JM695" s="1035"/>
      <c r="JN695" s="1035"/>
      <c r="JO695" s="1035"/>
      <c r="JP695" s="1035"/>
      <c r="JQ695" s="1035"/>
      <c r="JR695" s="1035"/>
      <c r="JS695" s="1035"/>
      <c r="JT695" s="1035"/>
      <c r="JU695" s="1035"/>
      <c r="JV695" s="1035"/>
      <c r="JW695" s="1035"/>
      <c r="JX695" s="1035"/>
      <c r="JY695" s="1035"/>
    </row>
    <row r="696" spans="1:285">
      <c r="A696" s="1339" t="s">
        <v>639</v>
      </c>
      <c r="B696" s="1409"/>
      <c r="C696" s="1409"/>
      <c r="D696" s="1409"/>
      <c r="E696" s="1409"/>
      <c r="F696" s="1409"/>
      <c r="G696" s="1409"/>
      <c r="H696" s="1409"/>
      <c r="I696" s="1409"/>
      <c r="J696" s="1409"/>
      <c r="K696" s="1409"/>
      <c r="L696" s="1409"/>
      <c r="M696" s="1409"/>
      <c r="N696" s="1409"/>
      <c r="O696" s="1409"/>
      <c r="P696" s="1409"/>
      <c r="Q696" s="1409"/>
      <c r="R696" s="1409"/>
      <c r="S696" s="1409"/>
      <c r="T696" s="1409"/>
      <c r="U696" s="1409"/>
      <c r="V696" s="1409"/>
      <c r="W696" s="1409"/>
      <c r="X696" s="1409"/>
      <c r="Y696" s="1409"/>
      <c r="Z696" s="1409"/>
      <c r="AA696" s="1409"/>
      <c r="AB696" s="1409"/>
      <c r="AC696" s="1409"/>
      <c r="AD696" s="1409"/>
      <c r="AE696" s="1409"/>
      <c r="AF696" s="1409"/>
      <c r="AG696" s="1409"/>
      <c r="AH696" s="1409"/>
      <c r="AI696" s="1409"/>
      <c r="AJ696" s="1409"/>
      <c r="AK696" s="1409"/>
      <c r="AL696" s="1409"/>
      <c r="AM696" s="1409"/>
      <c r="AN696" s="1409"/>
      <c r="AO696" s="1409"/>
      <c r="AP696" s="1409"/>
      <c r="AQ696" s="1409"/>
      <c r="AR696" s="1409"/>
      <c r="AS696" s="1409"/>
      <c r="AT696" s="1409"/>
      <c r="AU696" s="1409"/>
      <c r="AV696" s="1409"/>
      <c r="AW696" s="1409"/>
      <c r="AX696" s="1408"/>
      <c r="AY696" s="1409"/>
      <c r="AZ696" s="1409"/>
      <c r="BA696" s="1409"/>
      <c r="BB696" s="1409"/>
      <c r="BC696" s="1409"/>
      <c r="BD696" s="1409"/>
      <c r="BE696" s="1410"/>
      <c r="BF696" s="1409"/>
      <c r="BG696" s="1409"/>
      <c r="BH696" s="1409"/>
      <c r="BI696" s="1409"/>
      <c r="BJ696" s="1409"/>
      <c r="BK696" s="1409"/>
      <c r="BL696" s="1409"/>
      <c r="BM696" s="1409"/>
      <c r="BN696" s="1408"/>
      <c r="BO696" s="1409"/>
      <c r="BP696" s="1409"/>
      <c r="BQ696" s="1409"/>
      <c r="BR696" s="1409"/>
      <c r="BS696" s="1409"/>
      <c r="BT696" s="1409"/>
      <c r="BU696" s="1410"/>
      <c r="BV696" s="1526"/>
      <c r="BW696" s="1061"/>
      <c r="BX696" s="1061"/>
      <c r="BY696" s="1061"/>
      <c r="BZ696" s="1061"/>
      <c r="CA696" s="1061"/>
      <c r="CB696" s="1061"/>
      <c r="CC696" s="1527"/>
      <c r="CD696" s="1526"/>
      <c r="CE696" s="1061"/>
      <c r="CF696" s="1061"/>
      <c r="CG696" s="1061"/>
      <c r="CH696" s="1061"/>
      <c r="CI696" s="1061"/>
      <c r="CJ696" s="1061"/>
      <c r="CK696" s="1527"/>
      <c r="CL696" s="1526" t="s">
        <v>173</v>
      </c>
      <c r="CM696" s="1061" t="s">
        <v>173</v>
      </c>
      <c r="CN696" s="1061" t="s">
        <v>173</v>
      </c>
      <c r="CO696" s="1061" t="s">
        <v>173</v>
      </c>
      <c r="CP696" s="1061" t="s">
        <v>173</v>
      </c>
      <c r="CQ696" s="1061" t="s">
        <v>173</v>
      </c>
      <c r="CR696" s="1061" t="s">
        <v>173</v>
      </c>
      <c r="CS696" s="1527" t="s">
        <v>173</v>
      </c>
      <c r="CT696" s="1526">
        <f t="shared" ref="CT696:DA696" si="4449">CT695/CL695-1</f>
        <v>-0.0367647058823529</v>
      </c>
      <c r="CU696" s="1302">
        <f t="shared" si="4449"/>
        <v>-0.165697674418605</v>
      </c>
      <c r="CV696" s="1302">
        <f t="shared" si="4449"/>
        <v>-0.108766233766234</v>
      </c>
      <c r="CW696" s="1302">
        <f t="shared" si="4449"/>
        <v>-0.130630630630631</v>
      </c>
      <c r="CX696" s="1302">
        <f t="shared" si="4449"/>
        <v>-0.117924528301887</v>
      </c>
      <c r="CY696" s="1302">
        <f t="shared" si="4449"/>
        <v>-0.149425287356322</v>
      </c>
      <c r="CZ696" s="1302">
        <f t="shared" si="4449"/>
        <v>-0.138888888888889</v>
      </c>
      <c r="DA696" s="1304">
        <f t="shared" si="4449"/>
        <v>-0.125710227272727</v>
      </c>
      <c r="DB696" s="1109">
        <f t="shared" ref="DB696:DI696" si="4450">DB695/CT695-1</f>
        <v>-0.213740458015267</v>
      </c>
      <c r="DC696" s="1082">
        <f t="shared" si="4450"/>
        <v>-0.264808362369338</v>
      </c>
      <c r="DD696" s="1082">
        <f t="shared" si="4450"/>
        <v>-0.240437158469945</v>
      </c>
      <c r="DE696" s="1082">
        <f t="shared" si="4450"/>
        <v>-0.227979274611399</v>
      </c>
      <c r="DF696" s="1082">
        <f t="shared" si="4450"/>
        <v>-0.235294117647059</v>
      </c>
      <c r="DG696" s="1082">
        <f t="shared" si="4450"/>
        <v>-0.158783783783784</v>
      </c>
      <c r="DH696" s="1082">
        <f t="shared" si="4450"/>
        <v>-0.197947214076246</v>
      </c>
      <c r="DI696" s="1085">
        <f t="shared" si="4450"/>
        <v>-0.216896831844029</v>
      </c>
      <c r="DJ696" s="1082">
        <f>SUM(DJ697:DJ698)</f>
        <v>-0.0631067961165048</v>
      </c>
      <c r="DK696" s="1082">
        <f>SUM(DK697:DK698)</f>
        <v>-0.0284360189573459</v>
      </c>
      <c r="DL696" s="1082">
        <f t="shared" ref="DL696:DQ696" si="4451">DL695/DD695-1</f>
        <v>-0.0455635491606715</v>
      </c>
      <c r="DM696" s="1082">
        <f t="shared" si="4451"/>
        <v>-0.100671140939597</v>
      </c>
      <c r="DN696" s="1082">
        <f t="shared" si="4451"/>
        <v>-0.0685314685314685</v>
      </c>
      <c r="DO696" s="1082">
        <f t="shared" si="4451"/>
        <v>-1</v>
      </c>
      <c r="DP696" s="1082">
        <f t="shared" si="4451"/>
        <v>-0.510054844606947</v>
      </c>
      <c r="DQ696" s="1085">
        <f t="shared" si="4451"/>
        <v>-0.309128630705394</v>
      </c>
      <c r="DR696" s="1082"/>
      <c r="DS696" s="1082"/>
      <c r="DT696" s="1082"/>
      <c r="DU696" s="1082"/>
      <c r="DV696" s="1082"/>
      <c r="DW696" s="1082"/>
      <c r="DX696" s="1082"/>
      <c r="DY696" s="1085"/>
      <c r="DZ696" s="1082"/>
      <c r="EA696" s="1082"/>
      <c r="EB696" s="1082"/>
      <c r="EC696" s="1082"/>
      <c r="ED696" s="1082"/>
      <c r="EE696" s="1082"/>
      <c r="EF696" s="1082"/>
      <c r="EG696" s="1085"/>
      <c r="EH696" s="1082"/>
      <c r="EI696" s="1082"/>
      <c r="EJ696" s="1082"/>
      <c r="EK696" s="1082"/>
      <c r="EL696" s="1082"/>
      <c r="EM696" s="1082"/>
      <c r="EN696" s="1082"/>
      <c r="EO696" s="1085"/>
      <c r="EP696" s="1082"/>
      <c r="EQ696" s="1082"/>
      <c r="ER696" s="1082"/>
      <c r="ES696" s="1082"/>
      <c r="ET696" s="1082"/>
      <c r="EU696" s="1082"/>
      <c r="EV696" s="1082"/>
      <c r="IX696" s="1049"/>
      <c r="IY696" s="1049"/>
      <c r="IZ696" s="1049"/>
      <c r="JA696" s="1049"/>
      <c r="JB696" s="1049"/>
      <c r="JC696" s="1049"/>
      <c r="JD696" s="1112"/>
      <c r="JE696" s="1037"/>
      <c r="JF696" s="1037"/>
      <c r="JG696" s="1037"/>
      <c r="JH696" s="1037"/>
      <c r="JI696" s="1035"/>
      <c r="JJ696" s="1035"/>
      <c r="JK696" s="1035"/>
      <c r="JL696" s="1035"/>
      <c r="JM696" s="1035"/>
      <c r="JN696" s="1035"/>
      <c r="JO696" s="1035"/>
      <c r="JP696" s="1035"/>
      <c r="JQ696" s="1035"/>
      <c r="JR696" s="1035"/>
      <c r="JS696" s="1035"/>
      <c r="JT696" s="1035"/>
      <c r="JU696" s="1035"/>
      <c r="JV696" s="1035"/>
      <c r="JW696" s="1035"/>
      <c r="JX696" s="1035"/>
      <c r="JY696" s="1035"/>
    </row>
    <row r="697" spans="1:285">
      <c r="A697" s="1339" t="s">
        <v>640</v>
      </c>
      <c r="B697" s="1409"/>
      <c r="C697" s="1409"/>
      <c r="D697" s="1409"/>
      <c r="E697" s="1409"/>
      <c r="F697" s="1409"/>
      <c r="G697" s="1409"/>
      <c r="H697" s="1409"/>
      <c r="I697" s="1409"/>
      <c r="J697" s="1409"/>
      <c r="K697" s="1409"/>
      <c r="L697" s="1409"/>
      <c r="M697" s="1409"/>
      <c r="N697" s="1409"/>
      <c r="O697" s="1409"/>
      <c r="P697" s="1409"/>
      <c r="Q697" s="1409"/>
      <c r="R697" s="1409"/>
      <c r="S697" s="1409"/>
      <c r="T697" s="1409"/>
      <c r="U697" s="1409"/>
      <c r="V697" s="1409"/>
      <c r="W697" s="1409"/>
      <c r="X697" s="1409"/>
      <c r="Y697" s="1409"/>
      <c r="Z697" s="1409"/>
      <c r="AA697" s="1409"/>
      <c r="AB697" s="1409"/>
      <c r="AC697" s="1409"/>
      <c r="AD697" s="1409"/>
      <c r="AE697" s="1409"/>
      <c r="AF697" s="1409"/>
      <c r="AG697" s="1409"/>
      <c r="AH697" s="1409"/>
      <c r="AI697" s="1409"/>
      <c r="AJ697" s="1409"/>
      <c r="AK697" s="1409"/>
      <c r="AL697" s="1409"/>
      <c r="AM697" s="1409"/>
      <c r="AN697" s="1409"/>
      <c r="AO697" s="1409"/>
      <c r="AP697" s="1409"/>
      <c r="AQ697" s="1409"/>
      <c r="AR697" s="1409"/>
      <c r="AS697" s="1409"/>
      <c r="AT697" s="1409"/>
      <c r="AU697" s="1409"/>
      <c r="AV697" s="1409"/>
      <c r="AW697" s="1409"/>
      <c r="AX697" s="1408"/>
      <c r="AY697" s="1409"/>
      <c r="AZ697" s="1409"/>
      <c r="BA697" s="1409"/>
      <c r="BB697" s="1409"/>
      <c r="BC697" s="1409"/>
      <c r="BD697" s="1409"/>
      <c r="BE697" s="1410"/>
      <c r="BF697" s="1409"/>
      <c r="BG697" s="1409"/>
      <c r="BH697" s="1409"/>
      <c r="BI697" s="1409"/>
      <c r="BJ697" s="1409"/>
      <c r="BK697" s="1409"/>
      <c r="BL697" s="1409"/>
      <c r="BM697" s="1409"/>
      <c r="BN697" s="1408"/>
      <c r="BO697" s="1409"/>
      <c r="BP697" s="1409"/>
      <c r="BQ697" s="1409"/>
      <c r="BR697" s="1409"/>
      <c r="BS697" s="1409"/>
      <c r="BT697" s="1409"/>
      <c r="BU697" s="1410"/>
      <c r="BV697" s="1526"/>
      <c r="BW697" s="1061"/>
      <c r="BX697" s="1061"/>
      <c r="BY697" s="1061"/>
      <c r="BZ697" s="1061"/>
      <c r="CA697" s="1061"/>
      <c r="CB697" s="1061"/>
      <c r="CC697" s="1527"/>
      <c r="CD697" s="1526"/>
      <c r="CE697" s="1061"/>
      <c r="CF697" s="1061"/>
      <c r="CG697" s="1061"/>
      <c r="CH697" s="1061"/>
      <c r="CI697" s="1061"/>
      <c r="CJ697" s="1061"/>
      <c r="CK697" s="1527"/>
      <c r="CL697" s="1526"/>
      <c r="CM697" s="1061"/>
      <c r="CN697" s="1061"/>
      <c r="CO697" s="1061"/>
      <c r="CP697" s="1061"/>
      <c r="CQ697" s="1061"/>
      <c r="CR697" s="1061"/>
      <c r="CS697" s="1527"/>
      <c r="CT697" s="1526">
        <f>CT696-CT698</f>
        <v>-0.0867647058823529</v>
      </c>
      <c r="CU697" s="1302">
        <f t="shared" ref="CU697:DA697" si="4452">CU696-CU698</f>
        <v>-0.0545348837209302</v>
      </c>
      <c r="CV697" s="1302">
        <f t="shared" si="4452"/>
        <v>-0.0687662337662337</v>
      </c>
      <c r="CW697" s="1302">
        <f t="shared" si="4452"/>
        <v>-0.0667567567567568</v>
      </c>
      <c r="CX697" s="1302">
        <f t="shared" si="4452"/>
        <v>-0.0679245283018868</v>
      </c>
      <c r="CY697" s="1302">
        <f t="shared" si="4452"/>
        <v>-0.0994252873563219</v>
      </c>
      <c r="CZ697" s="1302">
        <f t="shared" si="4452"/>
        <v>-0.0811111111111111</v>
      </c>
      <c r="DA697" s="1304">
        <f t="shared" si="4452"/>
        <v>-0.0757102272727273</v>
      </c>
      <c r="DB697" s="1109">
        <f t="shared" ref="DB697:DI697" si="4453">DB696-DB698</f>
        <v>-0.0937404580152672</v>
      </c>
      <c r="DC697" s="1082">
        <f t="shared" si="4453"/>
        <v>-0.106550522648084</v>
      </c>
      <c r="DD697" s="1082">
        <f t="shared" si="4453"/>
        <v>-0.100437158469945</v>
      </c>
      <c r="DE697" s="1082">
        <f t="shared" si="4453"/>
        <v>-0.087979274611399</v>
      </c>
      <c r="DF697" s="1082">
        <f t="shared" si="4453"/>
        <v>-0.0952941176470589</v>
      </c>
      <c r="DG697" s="1082">
        <f t="shared" si="4453"/>
        <v>0.0643918918918919</v>
      </c>
      <c r="DH697" s="1082">
        <f t="shared" si="4453"/>
        <v>-0.0218475073313784</v>
      </c>
      <c r="DI697" s="1085">
        <f t="shared" si="4453"/>
        <v>-0.0568968318440292</v>
      </c>
      <c r="DJ697" s="1082">
        <v>0.0968932038834952</v>
      </c>
      <c r="DK697" s="1082">
        <v>0.111800947867299</v>
      </c>
      <c r="DL697" s="1082">
        <f t="shared" ref="DL697:DQ697" si="4454">DL696-DL698</f>
        <v>0.104436450839328</v>
      </c>
      <c r="DM697" s="1082">
        <f t="shared" si="4454"/>
        <v>0.0493288590604027</v>
      </c>
      <c r="DN697" s="1082">
        <f t="shared" si="4454"/>
        <v>0.0814685314685315</v>
      </c>
      <c r="DO697" s="1082">
        <f t="shared" si="4454"/>
        <v>-1</v>
      </c>
      <c r="DP697" s="1082">
        <f t="shared" si="4454"/>
        <v>-0.428336380255942</v>
      </c>
      <c r="DQ697" s="1085">
        <f t="shared" si="4454"/>
        <v>-0.197873443983403</v>
      </c>
      <c r="DR697" s="1082"/>
      <c r="DS697" s="1488"/>
      <c r="DT697" s="1082"/>
      <c r="DU697" s="1488"/>
      <c r="DV697" s="1082"/>
      <c r="DW697" s="1488"/>
      <c r="DX697" s="1082"/>
      <c r="DY697" s="1085"/>
      <c r="DZ697" s="1082"/>
      <c r="EA697" s="1488"/>
      <c r="EB697" s="1082"/>
      <c r="EC697" s="1488"/>
      <c r="ED697" s="1082"/>
      <c r="EE697" s="1488"/>
      <c r="EF697" s="1082"/>
      <c r="EG697" s="1085"/>
      <c r="EH697" s="1082"/>
      <c r="EI697" s="1488"/>
      <c r="EJ697" s="1082"/>
      <c r="EK697" s="1488"/>
      <c r="EL697" s="1082"/>
      <c r="EM697" s="1488"/>
      <c r="EN697" s="1082"/>
      <c r="EO697" s="1085"/>
      <c r="EP697" s="1082"/>
      <c r="EQ697" s="1082"/>
      <c r="ER697" s="1082"/>
      <c r="ES697" s="1082"/>
      <c r="ET697" s="1082"/>
      <c r="EU697" s="1082"/>
      <c r="EV697" s="1082"/>
      <c r="IX697" s="1049"/>
      <c r="IY697" s="1049"/>
      <c r="IZ697" s="1049"/>
      <c r="JA697" s="1049"/>
      <c r="JB697" s="1049"/>
      <c r="JC697" s="1049"/>
      <c r="JD697" s="1112"/>
      <c r="JE697" s="1037"/>
      <c r="JF697" s="1037"/>
      <c r="JG697" s="1037"/>
      <c r="JH697" s="1037"/>
      <c r="JI697" s="1035"/>
      <c r="JJ697" s="1035"/>
      <c r="JK697" s="1035"/>
      <c r="JL697" s="1035"/>
      <c r="JM697" s="1035"/>
      <c r="JN697" s="1035"/>
      <c r="JO697" s="1035"/>
      <c r="JP697" s="1035"/>
      <c r="JQ697" s="1035"/>
      <c r="JR697" s="1035"/>
      <c r="JS697" s="1035"/>
      <c r="JT697" s="1035"/>
      <c r="JU697" s="1035"/>
      <c r="JV697" s="1035"/>
      <c r="JW697" s="1035"/>
      <c r="JX697" s="1035"/>
      <c r="JY697" s="1035"/>
    </row>
    <row r="698" spans="1:285">
      <c r="A698" s="1339" t="s">
        <v>641</v>
      </c>
      <c r="B698" s="1409"/>
      <c r="C698" s="1409"/>
      <c r="D698" s="1409"/>
      <c r="E698" s="1409"/>
      <c r="F698" s="1409"/>
      <c r="G698" s="1409"/>
      <c r="H698" s="1409"/>
      <c r="I698" s="1409"/>
      <c r="J698" s="1409"/>
      <c r="K698" s="1409"/>
      <c r="L698" s="1409"/>
      <c r="M698" s="1409"/>
      <c r="N698" s="1409"/>
      <c r="O698" s="1409"/>
      <c r="P698" s="1409"/>
      <c r="Q698" s="1409"/>
      <c r="R698" s="1409"/>
      <c r="S698" s="1409"/>
      <c r="T698" s="1409"/>
      <c r="U698" s="1409"/>
      <c r="V698" s="1409"/>
      <c r="W698" s="1409"/>
      <c r="X698" s="1409"/>
      <c r="Y698" s="1409"/>
      <c r="Z698" s="1409"/>
      <c r="AA698" s="1409"/>
      <c r="AB698" s="1409"/>
      <c r="AC698" s="1409"/>
      <c r="AD698" s="1409"/>
      <c r="AE698" s="1409"/>
      <c r="AF698" s="1409"/>
      <c r="AG698" s="1409"/>
      <c r="AH698" s="1409"/>
      <c r="AI698" s="1409"/>
      <c r="AJ698" s="1409"/>
      <c r="AK698" s="1409"/>
      <c r="AL698" s="1409"/>
      <c r="AM698" s="1409"/>
      <c r="AN698" s="1409"/>
      <c r="AO698" s="1409"/>
      <c r="AP698" s="1409"/>
      <c r="AQ698" s="1409"/>
      <c r="AR698" s="1409"/>
      <c r="AS698" s="1409"/>
      <c r="AT698" s="1409"/>
      <c r="AU698" s="1409"/>
      <c r="AV698" s="1409"/>
      <c r="AW698" s="1409"/>
      <c r="AX698" s="1408"/>
      <c r="AY698" s="1409"/>
      <c r="AZ698" s="1409"/>
      <c r="BA698" s="1409"/>
      <c r="BB698" s="1409"/>
      <c r="BC698" s="1409"/>
      <c r="BD698" s="1409"/>
      <c r="BE698" s="1410"/>
      <c r="BF698" s="1409"/>
      <c r="BG698" s="1409"/>
      <c r="BH698" s="1409"/>
      <c r="BI698" s="1409"/>
      <c r="BJ698" s="1409"/>
      <c r="BK698" s="1409"/>
      <c r="BL698" s="1409"/>
      <c r="BM698" s="1409"/>
      <c r="BN698" s="1408"/>
      <c r="BO698" s="1409"/>
      <c r="BP698" s="1409"/>
      <c r="BQ698" s="1409"/>
      <c r="BR698" s="1409"/>
      <c r="BS698" s="1409"/>
      <c r="BT698" s="1409"/>
      <c r="BU698" s="1410"/>
      <c r="BV698" s="1526"/>
      <c r="BW698" s="1061"/>
      <c r="BX698" s="1061"/>
      <c r="BY698" s="1061"/>
      <c r="BZ698" s="1061"/>
      <c r="CA698" s="1061"/>
      <c r="CB698" s="1061"/>
      <c r="CC698" s="1527"/>
      <c r="CD698" s="1526"/>
      <c r="CE698" s="1061"/>
      <c r="CF698" s="1061"/>
      <c r="CG698" s="1061"/>
      <c r="CH698" s="1061"/>
      <c r="CI698" s="1061"/>
      <c r="CJ698" s="1061"/>
      <c r="CK698" s="1527"/>
      <c r="CL698" s="1526"/>
      <c r="CM698" s="1061"/>
      <c r="CN698" s="1061"/>
      <c r="CO698" s="1061"/>
      <c r="CP698" s="1061"/>
      <c r="CQ698" s="1061"/>
      <c r="CR698" s="1061"/>
      <c r="CS698" s="1527"/>
      <c r="CT698" s="1526">
        <v>0.05</v>
      </c>
      <c r="CU698" s="1302">
        <f>(CV698*CN695-CT698*CL695)/CM695</f>
        <v>-0.111162790697674</v>
      </c>
      <c r="CV698" s="1302">
        <v>-0.04</v>
      </c>
      <c r="CW698" s="1302">
        <f>(CX698*CP695-CV698*CN695)/CO695</f>
        <v>-0.0638738738738739</v>
      </c>
      <c r="CX698" s="1302">
        <v>-0.05</v>
      </c>
      <c r="CY698" s="1302">
        <f>(DA698*CS695-CX698*CP695)/CQ695</f>
        <v>-0.05</v>
      </c>
      <c r="CZ698" s="1302">
        <f>(DA698*CS695-CV698*CN695)/CR695</f>
        <v>-0.0577777777777778</v>
      </c>
      <c r="DA698" s="1304">
        <v>-0.05</v>
      </c>
      <c r="DB698" s="1109">
        <v>-0.12</v>
      </c>
      <c r="DC698" s="1082">
        <f>(DD698*CV695-DB698*CT695)/CU695</f>
        <v>-0.158257839721254</v>
      </c>
      <c r="DD698" s="1082">
        <v>-0.14</v>
      </c>
      <c r="DE698" s="1082">
        <f>(DF698*CX695-DD698*CV695)/CW695</f>
        <v>-0.14</v>
      </c>
      <c r="DF698" s="1082">
        <v>-0.14</v>
      </c>
      <c r="DG698" s="1082">
        <f>(DI698*DA695-DF698*CX695)/CY695</f>
        <v>-0.223175675675676</v>
      </c>
      <c r="DH698" s="1082">
        <f>(DI698*DA695-DD698*CV695)/CZ695</f>
        <v>-0.176099706744868</v>
      </c>
      <c r="DI698" s="1085">
        <v>-0.16</v>
      </c>
      <c r="DJ698" s="1082">
        <v>-0.16</v>
      </c>
      <c r="DK698" s="1082">
        <v>-0.140236966824645</v>
      </c>
      <c r="DL698" s="1082">
        <f>(DJ698*DB695+DK698*DC695)/DD695</f>
        <v>-0.15</v>
      </c>
      <c r="DM698" s="1082">
        <f>(DN698*DF695-DL698*DD695)/DE695</f>
        <v>-0.15</v>
      </c>
      <c r="DN698" s="1082">
        <v>-0.15</v>
      </c>
      <c r="DO698" s="1488">
        <v>0</v>
      </c>
      <c r="DP698" s="1082">
        <f>(DO698*DG695+DM698*DE695)/DH695</f>
        <v>-0.0817184643510055</v>
      </c>
      <c r="DQ698" s="1085">
        <f>(DP698*DH695+DL698*DD695)/DI695</f>
        <v>-0.111255186721992</v>
      </c>
      <c r="DR698" s="1082"/>
      <c r="DS698" s="1488"/>
      <c r="DT698" s="1082"/>
      <c r="DU698" s="1488"/>
      <c r="DV698" s="1082"/>
      <c r="DW698" s="1488"/>
      <c r="DX698" s="1082"/>
      <c r="DY698" s="1085"/>
      <c r="DZ698" s="1082"/>
      <c r="EA698" s="1488"/>
      <c r="EB698" s="1082"/>
      <c r="EC698" s="1488"/>
      <c r="ED698" s="1082"/>
      <c r="EE698" s="1488"/>
      <c r="EF698" s="1082"/>
      <c r="EG698" s="1085"/>
      <c r="EH698" s="1082"/>
      <c r="EI698" s="1488"/>
      <c r="EJ698" s="1082"/>
      <c r="EK698" s="1488"/>
      <c r="EL698" s="1082"/>
      <c r="EM698" s="1488"/>
      <c r="EN698" s="1082"/>
      <c r="EO698" s="1085"/>
      <c r="EP698" s="1082"/>
      <c r="EQ698" s="1082"/>
      <c r="ER698" s="1082"/>
      <c r="ES698" s="1082"/>
      <c r="ET698" s="1082"/>
      <c r="EU698" s="1082"/>
      <c r="EV698" s="1082"/>
      <c r="IX698" s="1049"/>
      <c r="IY698" s="1049"/>
      <c r="IZ698" s="1049"/>
      <c r="JA698" s="1049"/>
      <c r="JB698" s="1049"/>
      <c r="JC698" s="1049"/>
      <c r="JD698" s="1112"/>
      <c r="JE698" s="1037"/>
      <c r="JF698" s="1037"/>
      <c r="JG698" s="1037"/>
      <c r="JH698" s="1037"/>
      <c r="JI698" s="1035"/>
      <c r="JJ698" s="1035"/>
      <c r="JK698" s="1035"/>
      <c r="JL698" s="1035"/>
      <c r="JM698" s="1035"/>
      <c r="JN698" s="1035"/>
      <c r="JO698" s="1035"/>
      <c r="JP698" s="1035"/>
      <c r="JQ698" s="1035"/>
      <c r="JR698" s="1035"/>
      <c r="JS698" s="1035"/>
      <c r="JT698" s="1035"/>
      <c r="JU698" s="1035"/>
      <c r="JV698" s="1035"/>
      <c r="JW698" s="1035"/>
      <c r="JX698" s="1035"/>
      <c r="JY698" s="1035"/>
    </row>
    <row r="699" spans="1:285">
      <c r="A699" s="1339" t="s">
        <v>642</v>
      </c>
      <c r="B699" s="1409"/>
      <c r="C699" s="1409"/>
      <c r="D699" s="1409"/>
      <c r="E699" s="1409"/>
      <c r="F699" s="1409"/>
      <c r="G699" s="1409"/>
      <c r="H699" s="1409"/>
      <c r="I699" s="1409"/>
      <c r="J699" s="1409"/>
      <c r="K699" s="1409"/>
      <c r="L699" s="1409"/>
      <c r="M699" s="1409"/>
      <c r="N699" s="1409"/>
      <c r="O699" s="1409"/>
      <c r="P699" s="1409"/>
      <c r="Q699" s="1409"/>
      <c r="R699" s="1409"/>
      <c r="S699" s="1409"/>
      <c r="T699" s="1409"/>
      <c r="U699" s="1409"/>
      <c r="V699" s="1409"/>
      <c r="W699" s="1409"/>
      <c r="X699" s="1409"/>
      <c r="Y699" s="1409"/>
      <c r="Z699" s="1409"/>
      <c r="AA699" s="1409"/>
      <c r="AB699" s="1409"/>
      <c r="AC699" s="1409"/>
      <c r="AD699" s="1409"/>
      <c r="AE699" s="1409"/>
      <c r="AF699" s="1409"/>
      <c r="AG699" s="1409"/>
      <c r="AH699" s="1409"/>
      <c r="AI699" s="1409"/>
      <c r="AJ699" s="1409"/>
      <c r="AK699" s="1409"/>
      <c r="AL699" s="1409"/>
      <c r="AM699" s="1409"/>
      <c r="AN699" s="1409"/>
      <c r="AO699" s="1409"/>
      <c r="AP699" s="1409"/>
      <c r="AQ699" s="1409"/>
      <c r="AR699" s="1409"/>
      <c r="AS699" s="1409"/>
      <c r="AT699" s="1409"/>
      <c r="AU699" s="1409"/>
      <c r="AV699" s="1409"/>
      <c r="AW699" s="1409"/>
      <c r="AX699" s="1408"/>
      <c r="AY699" s="1409"/>
      <c r="AZ699" s="1409"/>
      <c r="BA699" s="1409"/>
      <c r="BB699" s="1409"/>
      <c r="BC699" s="1409"/>
      <c r="BD699" s="1409"/>
      <c r="BE699" s="1410"/>
      <c r="BF699" s="1409"/>
      <c r="BG699" s="1409"/>
      <c r="BH699" s="1409"/>
      <c r="BI699" s="1409"/>
      <c r="BJ699" s="1409"/>
      <c r="BK699" s="1409"/>
      <c r="BL699" s="1409"/>
      <c r="BM699" s="1409"/>
      <c r="BN699" s="1408"/>
      <c r="BO699" s="1409"/>
      <c r="BP699" s="1409"/>
      <c r="BQ699" s="1409"/>
      <c r="BR699" s="1409"/>
      <c r="BS699" s="1409"/>
      <c r="BT699" s="1409"/>
      <c r="BU699" s="1410"/>
      <c r="BV699" s="1303"/>
      <c r="BW699" s="1302"/>
      <c r="BX699" s="1302"/>
      <c r="BY699" s="1302"/>
      <c r="BZ699" s="1302"/>
      <c r="CA699" s="1302"/>
      <c r="CB699" s="1302"/>
      <c r="CC699" s="1304"/>
      <c r="CD699" s="1303"/>
      <c r="CE699" s="1302"/>
      <c r="CF699" s="1302"/>
      <c r="CG699" s="1302"/>
      <c r="CH699" s="1302"/>
      <c r="CI699" s="1302"/>
      <c r="CJ699" s="1302"/>
      <c r="CK699" s="1304"/>
      <c r="CL699" s="1303">
        <f>CL695/CL$710</f>
        <v>0.599118942731278</v>
      </c>
      <c r="CM699" s="1302">
        <f>CM695/CM$710</f>
        <v>0.577181208053691</v>
      </c>
      <c r="CN699" s="1302">
        <f>CN695/CN$710</f>
        <v>0.586666666666667</v>
      </c>
      <c r="CO699" s="1302">
        <f>CM699</f>
        <v>0.577181208053691</v>
      </c>
      <c r="CP699" s="1302">
        <f t="shared" ref="CP699:DQ699" si="4455">CP695/CP$710</f>
        <v>0.579551667577911</v>
      </c>
      <c r="CQ699" s="1302">
        <f t="shared" si="4455"/>
        <v>0.53953488372093</v>
      </c>
      <c r="CR699" s="1302">
        <f t="shared" si="4455"/>
        <v>0.556179775280899</v>
      </c>
      <c r="CS699" s="1304">
        <f t="shared" si="4455"/>
        <v>0.56911883589329</v>
      </c>
      <c r="CT699" s="1303">
        <f t="shared" si="4455"/>
        <v>0.5</v>
      </c>
      <c r="CU699" s="1302">
        <f t="shared" si="4455"/>
        <v>0.558365758754864</v>
      </c>
      <c r="CV699" s="1302">
        <f t="shared" si="4455"/>
        <v>0.528901734104046</v>
      </c>
      <c r="CW699" s="1302">
        <f t="shared" si="4455"/>
        <v>0.53168044077135</v>
      </c>
      <c r="CX699" s="1302">
        <f t="shared" si="4455"/>
        <v>0.530045351473923</v>
      </c>
      <c r="CY699" s="1302">
        <f t="shared" si="4455"/>
        <v>0.52112676056338</v>
      </c>
      <c r="CZ699" s="1302">
        <f t="shared" si="4455"/>
        <v>0.527047913446677</v>
      </c>
      <c r="DA699" s="1304">
        <f t="shared" si="4455"/>
        <v>0.5278730703259</v>
      </c>
      <c r="DB699" s="1109">
        <f t="shared" si="4455"/>
        <v>0.45374449339207</v>
      </c>
      <c r="DC699" s="1082">
        <f t="shared" si="4455"/>
        <v>0.449893390191898</v>
      </c>
      <c r="DD699" s="1082">
        <f t="shared" si="4455"/>
        <v>0.451787648970748</v>
      </c>
      <c r="DE699" s="1082">
        <f t="shared" si="4455"/>
        <v>0.448795180722892</v>
      </c>
      <c r="DF699" s="1082">
        <f t="shared" si="4455"/>
        <v>0.450535601764335</v>
      </c>
      <c r="DG699" s="1082">
        <f t="shared" si="4455"/>
        <v>0.443850267379679</v>
      </c>
      <c r="DH699" s="1082">
        <f t="shared" si="4455"/>
        <v>0.446530612244898</v>
      </c>
      <c r="DI699" s="1085">
        <f t="shared" si="4455"/>
        <v>0.4487895716946</v>
      </c>
      <c r="DJ699" s="1082">
        <f t="shared" si="4455"/>
        <v>0.421397379912664</v>
      </c>
      <c r="DK699" s="1082">
        <f t="shared" si="4455"/>
        <v>0.456570155902004</v>
      </c>
      <c r="DL699" s="1082">
        <f t="shared" si="4455"/>
        <v>0.438809261300992</v>
      </c>
      <c r="DM699" s="1082">
        <f t="shared" si="4455"/>
        <v>0.453468697123519</v>
      </c>
      <c r="DN699" s="1082">
        <f t="shared" si="4455"/>
        <v>0.444592790387183</v>
      </c>
      <c r="DO699" s="1082" t="e">
        <f t="shared" si="4455"/>
        <v>#REF!</v>
      </c>
      <c r="DP699" s="1082" t="e">
        <f t="shared" si="4455"/>
        <v>#REF!</v>
      </c>
      <c r="DQ699" s="1085" t="e">
        <f t="shared" si="4455"/>
        <v>#REF!</v>
      </c>
      <c r="DR699" s="1082"/>
      <c r="DS699" s="1082"/>
      <c r="DT699" s="1082"/>
      <c r="DU699" s="1082"/>
      <c r="DV699" s="1082"/>
      <c r="DW699" s="1082"/>
      <c r="DX699" s="1082"/>
      <c r="DY699" s="1085"/>
      <c r="DZ699" s="1082"/>
      <c r="EA699" s="1082"/>
      <c r="EB699" s="1082"/>
      <c r="EC699" s="1082"/>
      <c r="ED699" s="1082"/>
      <c r="EE699" s="1082"/>
      <c r="EF699" s="1082"/>
      <c r="EG699" s="1085"/>
      <c r="EH699" s="1082"/>
      <c r="EI699" s="1082"/>
      <c r="EJ699" s="1082"/>
      <c r="EK699" s="1082"/>
      <c r="EL699" s="1082"/>
      <c r="EM699" s="1082"/>
      <c r="EN699" s="1082"/>
      <c r="EO699" s="1085"/>
      <c r="EP699" s="1082"/>
      <c r="EQ699" s="1082"/>
      <c r="ER699" s="1082"/>
      <c r="ES699" s="1082"/>
      <c r="ET699" s="1082"/>
      <c r="EU699" s="1082"/>
      <c r="EV699" s="1082"/>
      <c r="IX699" s="1178"/>
      <c r="IY699" s="1178"/>
      <c r="IZ699" s="1178"/>
      <c r="JA699" s="1178"/>
      <c r="JB699" s="1178"/>
      <c r="JC699" s="1178"/>
      <c r="JD699" s="1521"/>
      <c r="JE699" s="1126"/>
      <c r="JF699" s="1037"/>
      <c r="JG699" s="1037"/>
      <c r="JH699" s="1037"/>
      <c r="JI699" s="1035"/>
      <c r="JJ699" s="1035"/>
      <c r="JK699" s="1035"/>
      <c r="JL699" s="1035"/>
      <c r="JM699" s="1035"/>
      <c r="JN699" s="1035"/>
      <c r="JO699" s="1035"/>
      <c r="JP699" s="1035"/>
      <c r="JQ699" s="1035"/>
      <c r="JR699" s="1035"/>
      <c r="JS699" s="1035"/>
      <c r="JT699" s="1035"/>
      <c r="JU699" s="1035"/>
      <c r="JV699" s="1035"/>
      <c r="JW699" s="1035"/>
      <c r="JX699" s="1035"/>
      <c r="JY699" s="1035"/>
    </row>
    <row r="700" spans="1:285">
      <c r="A700" s="1306" t="s">
        <v>211</v>
      </c>
      <c r="B700" s="1307"/>
      <c r="C700" s="1307"/>
      <c r="D700" s="1307"/>
      <c r="E700" s="1307"/>
      <c r="F700" s="1307"/>
      <c r="G700" s="1307"/>
      <c r="H700" s="1307"/>
      <c r="I700" s="1307"/>
      <c r="J700" s="1307"/>
      <c r="K700" s="1307"/>
      <c r="L700" s="1307"/>
      <c r="M700" s="1307"/>
      <c r="N700" s="1307"/>
      <c r="O700" s="1307"/>
      <c r="P700" s="1307"/>
      <c r="Q700" s="1307"/>
      <c r="R700" s="1307"/>
      <c r="S700" s="1307"/>
      <c r="T700" s="1307"/>
      <c r="U700" s="1307"/>
      <c r="V700" s="1307"/>
      <c r="W700" s="1307"/>
      <c r="X700" s="1307"/>
      <c r="Y700" s="1307"/>
      <c r="Z700" s="1307"/>
      <c r="AA700" s="1307"/>
      <c r="AB700" s="1307"/>
      <c r="AC700" s="1307"/>
      <c r="AD700" s="1307"/>
      <c r="AE700" s="1307"/>
      <c r="AF700" s="1307"/>
      <c r="AG700" s="1307"/>
      <c r="AH700" s="1307"/>
      <c r="AI700" s="1307"/>
      <c r="AJ700" s="1307"/>
      <c r="AK700" s="1307"/>
      <c r="AL700" s="1307"/>
      <c r="AM700" s="1307"/>
      <c r="AN700" s="1307"/>
      <c r="AO700" s="1307"/>
      <c r="AP700" s="1307"/>
      <c r="AQ700" s="1307"/>
      <c r="AR700" s="1307"/>
      <c r="AS700" s="1307"/>
      <c r="AT700" s="1307"/>
      <c r="AU700" s="1307"/>
      <c r="AV700" s="1307"/>
      <c r="AW700" s="1307"/>
      <c r="AX700" s="1308"/>
      <c r="AY700" s="1307"/>
      <c r="AZ700" s="1307"/>
      <c r="BA700" s="1307"/>
      <c r="BB700" s="1307"/>
      <c r="BC700" s="1307"/>
      <c r="BD700" s="1307"/>
      <c r="BE700" s="1309"/>
      <c r="BF700" s="1307"/>
      <c r="BG700" s="1307"/>
      <c r="BH700" s="1307"/>
      <c r="BI700" s="1307"/>
      <c r="BJ700" s="1307"/>
      <c r="BK700" s="1307"/>
      <c r="BL700" s="1307"/>
      <c r="BM700" s="1307"/>
      <c r="BN700" s="1308"/>
      <c r="BO700" s="1307"/>
      <c r="BP700" s="1307"/>
      <c r="BQ700" s="1307"/>
      <c r="BR700" s="1307"/>
      <c r="BS700" s="1307"/>
      <c r="BT700" s="1307"/>
      <c r="BU700" s="1309"/>
      <c r="BV700" s="1308"/>
      <c r="BW700" s="1307"/>
      <c r="BX700" s="1307"/>
      <c r="BY700" s="1307"/>
      <c r="BZ700" s="1307"/>
      <c r="CA700" s="1307"/>
      <c r="CB700" s="1307"/>
      <c r="CC700" s="1309"/>
      <c r="CD700" s="1308"/>
      <c r="CE700" s="1307"/>
      <c r="CF700" s="1307"/>
      <c r="CG700" s="1307"/>
      <c r="CH700" s="1307"/>
      <c r="CI700" s="1307"/>
      <c r="CJ700" s="1307"/>
      <c r="CK700" s="1309"/>
      <c r="CL700" s="1308">
        <v>40</v>
      </c>
      <c r="CM700" s="1307">
        <f>CN700-CL700</f>
        <v>60</v>
      </c>
      <c r="CN700" s="1307">
        <v>100</v>
      </c>
      <c r="CO700" s="1307">
        <f>CP700-CN700</f>
        <v>64</v>
      </c>
      <c r="CP700" s="1307">
        <v>164</v>
      </c>
      <c r="CQ700" s="1307">
        <f>CS700-CP700</f>
        <v>65</v>
      </c>
      <c r="CR700" s="1307">
        <f>CQ700+CO700</f>
        <v>129</v>
      </c>
      <c r="CS700" s="1309">
        <v>229</v>
      </c>
      <c r="CT700" s="1308">
        <v>51</v>
      </c>
      <c r="CU700" s="1307">
        <f>CV700-CT700</f>
        <v>59</v>
      </c>
      <c r="CV700" s="1307">
        <v>110</v>
      </c>
      <c r="CW700" s="1307">
        <f>CX700-CV700</f>
        <v>72</v>
      </c>
      <c r="CX700" s="1307">
        <v>182</v>
      </c>
      <c r="CY700" s="1307">
        <f>DA700-CX700</f>
        <v>87</v>
      </c>
      <c r="CZ700" s="1307">
        <f>CY700+CW700</f>
        <v>159</v>
      </c>
      <c r="DA700" s="1309">
        <v>269</v>
      </c>
      <c r="DB700" s="1332">
        <v>62</v>
      </c>
      <c r="DC700" s="1311">
        <f>DD700-DB700</f>
        <v>59</v>
      </c>
      <c r="DD700" s="1311">
        <v>121</v>
      </c>
      <c r="DE700" s="1311">
        <f>DF700-DD700</f>
        <v>69</v>
      </c>
      <c r="DF700" s="1311">
        <v>190</v>
      </c>
      <c r="DG700" s="1311">
        <f>DH700-DE700</f>
        <v>77</v>
      </c>
      <c r="DH700" s="1311">
        <f>DI700-DD700</f>
        <v>146</v>
      </c>
      <c r="DI700" s="1312">
        <v>267</v>
      </c>
      <c r="DJ700" s="1311">
        <f>DB700*(1+DJ701)</f>
        <v>59</v>
      </c>
      <c r="DK700" s="1311">
        <f>DC700*(1+DK701)</f>
        <v>59</v>
      </c>
      <c r="DL700" s="1311">
        <f>DK700+DJ700</f>
        <v>118</v>
      </c>
      <c r="DM700" s="1311">
        <f>DN700-DL700</f>
        <v>62</v>
      </c>
      <c r="DN700" s="1311">
        <v>180</v>
      </c>
      <c r="DO700" s="1311">
        <v>0</v>
      </c>
      <c r="DP700" s="1311">
        <f>DO700+DM700</f>
        <v>62</v>
      </c>
      <c r="DQ700" s="1312">
        <f>DP700+DL700</f>
        <v>180</v>
      </c>
      <c r="DR700" s="1311"/>
      <c r="DS700" s="1311"/>
      <c r="DT700" s="1311"/>
      <c r="DU700" s="1311"/>
      <c r="DV700" s="1311"/>
      <c r="DW700" s="1311"/>
      <c r="DX700" s="1311"/>
      <c r="DY700" s="1312"/>
      <c r="DZ700" s="1311"/>
      <c r="EA700" s="1311"/>
      <c r="EB700" s="1311"/>
      <c r="EC700" s="1311"/>
      <c r="ED700" s="1311"/>
      <c r="EE700" s="1311"/>
      <c r="EF700" s="1311"/>
      <c r="EG700" s="1312"/>
      <c r="EH700" s="1311"/>
      <c r="EI700" s="1311"/>
      <c r="EJ700" s="1311"/>
      <c r="EK700" s="1311"/>
      <c r="EL700" s="1311"/>
      <c r="EM700" s="1311"/>
      <c r="EN700" s="1311"/>
      <c r="EO700" s="1312"/>
      <c r="EP700" s="1311"/>
      <c r="EQ700" s="1311"/>
      <c r="ER700" s="1311"/>
      <c r="ES700" s="1311"/>
      <c r="ET700" s="1311"/>
      <c r="EU700" s="1311"/>
      <c r="EV700" s="1311"/>
      <c r="IX700" s="1178"/>
      <c r="IY700" s="1178"/>
      <c r="IZ700" s="1178"/>
      <c r="JA700" s="1178"/>
      <c r="JB700" s="1178"/>
      <c r="JC700" s="1178"/>
      <c r="JD700" s="1518"/>
      <c r="JE700" s="1126"/>
      <c r="JF700" s="1037"/>
      <c r="JG700" s="1037"/>
      <c r="JH700" s="1037"/>
      <c r="JI700" s="1035"/>
      <c r="JJ700" s="1035"/>
      <c r="JK700" s="1035"/>
      <c r="JL700" s="1035"/>
      <c r="JM700" s="1035"/>
      <c r="JN700" s="1035"/>
      <c r="JO700" s="1035"/>
      <c r="JP700" s="1035"/>
      <c r="JQ700" s="1035"/>
      <c r="JR700" s="1035"/>
      <c r="JS700" s="1035"/>
      <c r="JT700" s="1035"/>
      <c r="JU700" s="1035"/>
      <c r="JV700" s="1035"/>
      <c r="JW700" s="1035"/>
      <c r="JX700" s="1035"/>
      <c r="JY700" s="1035"/>
    </row>
    <row r="701" spans="1:285">
      <c r="A701" s="1339" t="s">
        <v>639</v>
      </c>
      <c r="B701" s="1409"/>
      <c r="C701" s="1409"/>
      <c r="D701" s="1409"/>
      <c r="E701" s="1409"/>
      <c r="F701" s="1409"/>
      <c r="G701" s="1409"/>
      <c r="H701" s="1409"/>
      <c r="I701" s="1409"/>
      <c r="J701" s="1409"/>
      <c r="K701" s="1409"/>
      <c r="L701" s="1409"/>
      <c r="M701" s="1409"/>
      <c r="N701" s="1409"/>
      <c r="O701" s="1409"/>
      <c r="P701" s="1409"/>
      <c r="Q701" s="1409"/>
      <c r="R701" s="1409"/>
      <c r="S701" s="1409"/>
      <c r="T701" s="1409"/>
      <c r="U701" s="1409"/>
      <c r="V701" s="1409"/>
      <c r="W701" s="1409"/>
      <c r="X701" s="1409"/>
      <c r="Y701" s="1409"/>
      <c r="Z701" s="1409"/>
      <c r="AA701" s="1409"/>
      <c r="AB701" s="1409"/>
      <c r="AC701" s="1409"/>
      <c r="AD701" s="1409"/>
      <c r="AE701" s="1409"/>
      <c r="AF701" s="1409"/>
      <c r="AG701" s="1409"/>
      <c r="AH701" s="1409"/>
      <c r="AI701" s="1409"/>
      <c r="AJ701" s="1409"/>
      <c r="AK701" s="1409"/>
      <c r="AL701" s="1409"/>
      <c r="AM701" s="1409"/>
      <c r="AN701" s="1409"/>
      <c r="AO701" s="1409"/>
      <c r="AP701" s="1409"/>
      <c r="AQ701" s="1409"/>
      <c r="AR701" s="1409"/>
      <c r="AS701" s="1409"/>
      <c r="AT701" s="1409"/>
      <c r="AU701" s="1409"/>
      <c r="AV701" s="1409"/>
      <c r="AW701" s="1409"/>
      <c r="AX701" s="1408"/>
      <c r="AY701" s="1409"/>
      <c r="AZ701" s="1409"/>
      <c r="BA701" s="1409"/>
      <c r="BB701" s="1409"/>
      <c r="BC701" s="1409"/>
      <c r="BD701" s="1409"/>
      <c r="BE701" s="1410"/>
      <c r="BF701" s="1409"/>
      <c r="BG701" s="1409"/>
      <c r="BH701" s="1409"/>
      <c r="BI701" s="1409"/>
      <c r="BJ701" s="1409"/>
      <c r="BK701" s="1409"/>
      <c r="BL701" s="1409"/>
      <c r="BM701" s="1409"/>
      <c r="BN701" s="1408"/>
      <c r="BO701" s="1409"/>
      <c r="BP701" s="1409"/>
      <c r="BQ701" s="1409"/>
      <c r="BR701" s="1409"/>
      <c r="BS701" s="1409"/>
      <c r="BT701" s="1409"/>
      <c r="BU701" s="1410"/>
      <c r="BV701" s="1526"/>
      <c r="BW701" s="1061"/>
      <c r="BX701" s="1061"/>
      <c r="BY701" s="1061"/>
      <c r="BZ701" s="1061"/>
      <c r="CA701" s="1061"/>
      <c r="CB701" s="1061"/>
      <c r="CC701" s="1527"/>
      <c r="CD701" s="1526"/>
      <c r="CE701" s="1061"/>
      <c r="CF701" s="1061"/>
      <c r="CG701" s="1061"/>
      <c r="CH701" s="1061"/>
      <c r="CI701" s="1061"/>
      <c r="CJ701" s="1061"/>
      <c r="CK701" s="1527"/>
      <c r="CL701" s="1526" t="s">
        <v>173</v>
      </c>
      <c r="CM701" s="1061" t="s">
        <v>173</v>
      </c>
      <c r="CN701" s="1061" t="s">
        <v>173</v>
      </c>
      <c r="CO701" s="1061" t="s">
        <v>173</v>
      </c>
      <c r="CP701" s="1061" t="s">
        <v>173</v>
      </c>
      <c r="CQ701" s="1061" t="s">
        <v>173</v>
      </c>
      <c r="CR701" s="1061" t="s">
        <v>173</v>
      </c>
      <c r="CS701" s="1527" t="s">
        <v>173</v>
      </c>
      <c r="CT701" s="1526">
        <f t="shared" ref="CT701:DA701" si="4456">CT700/CL700-1</f>
        <v>0.275</v>
      </c>
      <c r="CU701" s="1302">
        <f t="shared" si="4456"/>
        <v>-0.0166666666666667</v>
      </c>
      <c r="CV701" s="1302">
        <f t="shared" si="4456"/>
        <v>0.1</v>
      </c>
      <c r="CW701" s="1302">
        <f t="shared" si="4456"/>
        <v>0.125</v>
      </c>
      <c r="CX701" s="1302">
        <f t="shared" si="4456"/>
        <v>0.109756097560976</v>
      </c>
      <c r="CY701" s="1302">
        <f t="shared" si="4456"/>
        <v>0.338461538461538</v>
      </c>
      <c r="CZ701" s="1302">
        <f t="shared" si="4456"/>
        <v>0.232558139534884</v>
      </c>
      <c r="DA701" s="1304">
        <f t="shared" si="4456"/>
        <v>0.174672489082969</v>
      </c>
      <c r="DB701" s="1109">
        <f t="shared" ref="DB701:DI701" si="4457">DB700/CT700-1</f>
        <v>0.215686274509804</v>
      </c>
      <c r="DC701" s="1082">
        <f t="shared" si="4457"/>
        <v>0</v>
      </c>
      <c r="DD701" s="1082">
        <f t="shared" si="4457"/>
        <v>0.1</v>
      </c>
      <c r="DE701" s="1082">
        <f t="shared" si="4457"/>
        <v>-0.0416666666666666</v>
      </c>
      <c r="DF701" s="1082">
        <f t="shared" si="4457"/>
        <v>0.043956043956044</v>
      </c>
      <c r="DG701" s="1082">
        <f t="shared" si="4457"/>
        <v>-0.114942528735632</v>
      </c>
      <c r="DH701" s="1082">
        <f t="shared" si="4457"/>
        <v>-0.0817610062893082</v>
      </c>
      <c r="DI701" s="1085">
        <f t="shared" si="4457"/>
        <v>-0.00743494423791824</v>
      </c>
      <c r="DJ701" s="1082">
        <f>SUM(DJ702:DJ703)</f>
        <v>-0.0483870967741935</v>
      </c>
      <c r="DK701" s="1082">
        <f>SUM(DK702:DK703)</f>
        <v>0</v>
      </c>
      <c r="DL701" s="1082">
        <f t="shared" ref="DL701:DQ701" si="4458">DL700/DD700-1</f>
        <v>-0.0247933884297521</v>
      </c>
      <c r="DM701" s="1082">
        <f t="shared" si="4458"/>
        <v>-0.101449275362319</v>
      </c>
      <c r="DN701" s="1082">
        <f t="shared" si="4458"/>
        <v>-0.0526315789473685</v>
      </c>
      <c r="DO701" s="1082">
        <f t="shared" si="4458"/>
        <v>-1</v>
      </c>
      <c r="DP701" s="1082">
        <f t="shared" si="4458"/>
        <v>-0.575342465753425</v>
      </c>
      <c r="DQ701" s="1085">
        <f t="shared" si="4458"/>
        <v>-0.325842696629214</v>
      </c>
      <c r="DR701" s="1082"/>
      <c r="DS701" s="1082"/>
      <c r="DT701" s="1082"/>
      <c r="DU701" s="1082"/>
      <c r="DV701" s="1082"/>
      <c r="DW701" s="1082"/>
      <c r="DX701" s="1082"/>
      <c r="DY701" s="1085"/>
      <c r="DZ701" s="1082"/>
      <c r="EA701" s="1082"/>
      <c r="EB701" s="1082"/>
      <c r="EC701" s="1082"/>
      <c r="ED701" s="1082"/>
      <c r="EE701" s="1082"/>
      <c r="EF701" s="1082"/>
      <c r="EG701" s="1085"/>
      <c r="EH701" s="1082"/>
      <c r="EI701" s="1082"/>
      <c r="EJ701" s="1082"/>
      <c r="EK701" s="1082"/>
      <c r="EL701" s="1082"/>
      <c r="EM701" s="1082"/>
      <c r="EN701" s="1082"/>
      <c r="EO701" s="1085"/>
      <c r="EP701" s="1082"/>
      <c r="EQ701" s="1082"/>
      <c r="ER701" s="1082"/>
      <c r="ES701" s="1082"/>
      <c r="ET701" s="1082"/>
      <c r="EU701" s="1082"/>
      <c r="EV701" s="1082"/>
      <c r="IX701" s="1178"/>
      <c r="IY701" s="1178"/>
      <c r="IZ701" s="1178"/>
      <c r="JA701" s="1178"/>
      <c r="JB701" s="1178"/>
      <c r="JC701" s="1178"/>
      <c r="JD701" s="1521"/>
      <c r="JE701" s="1126"/>
      <c r="JF701" s="1037"/>
      <c r="JG701" s="1037"/>
      <c r="JH701" s="1037"/>
      <c r="JI701" s="1035"/>
      <c r="JJ701" s="1035"/>
      <c r="JK701" s="1035"/>
      <c r="JL701" s="1035"/>
      <c r="JM701" s="1035"/>
      <c r="JN701" s="1035"/>
      <c r="JO701" s="1035"/>
      <c r="JP701" s="1035"/>
      <c r="JQ701" s="1035"/>
      <c r="JR701" s="1035"/>
      <c r="JS701" s="1035"/>
      <c r="JT701" s="1035"/>
      <c r="JU701" s="1035"/>
      <c r="JV701" s="1035"/>
      <c r="JW701" s="1035"/>
      <c r="JX701" s="1035"/>
      <c r="JY701" s="1035"/>
    </row>
    <row r="702" spans="1:285">
      <c r="A702" s="1339" t="s">
        <v>640</v>
      </c>
      <c r="B702" s="1409"/>
      <c r="C702" s="1409"/>
      <c r="D702" s="1409"/>
      <c r="E702" s="1409"/>
      <c r="F702" s="1409"/>
      <c r="G702" s="1409"/>
      <c r="H702" s="1409"/>
      <c r="I702" s="1409"/>
      <c r="J702" s="1409"/>
      <c r="K702" s="1409"/>
      <c r="L702" s="1409"/>
      <c r="M702" s="1409"/>
      <c r="N702" s="1409"/>
      <c r="O702" s="1409"/>
      <c r="P702" s="1409"/>
      <c r="Q702" s="1409"/>
      <c r="R702" s="1409"/>
      <c r="S702" s="1409"/>
      <c r="T702" s="1409"/>
      <c r="U702" s="1409"/>
      <c r="V702" s="1409"/>
      <c r="W702" s="1409"/>
      <c r="X702" s="1409"/>
      <c r="Y702" s="1409"/>
      <c r="Z702" s="1409"/>
      <c r="AA702" s="1409"/>
      <c r="AB702" s="1409"/>
      <c r="AC702" s="1409"/>
      <c r="AD702" s="1409"/>
      <c r="AE702" s="1409"/>
      <c r="AF702" s="1409"/>
      <c r="AG702" s="1409"/>
      <c r="AH702" s="1409"/>
      <c r="AI702" s="1409"/>
      <c r="AJ702" s="1409"/>
      <c r="AK702" s="1409"/>
      <c r="AL702" s="1409"/>
      <c r="AM702" s="1409"/>
      <c r="AN702" s="1409"/>
      <c r="AO702" s="1409"/>
      <c r="AP702" s="1409"/>
      <c r="AQ702" s="1409"/>
      <c r="AR702" s="1409"/>
      <c r="AS702" s="1409"/>
      <c r="AT702" s="1409"/>
      <c r="AU702" s="1409"/>
      <c r="AV702" s="1409"/>
      <c r="AW702" s="1409"/>
      <c r="AX702" s="1408"/>
      <c r="AY702" s="1409"/>
      <c r="AZ702" s="1409"/>
      <c r="BA702" s="1409"/>
      <c r="BB702" s="1409"/>
      <c r="BC702" s="1409"/>
      <c r="BD702" s="1409"/>
      <c r="BE702" s="1410"/>
      <c r="BF702" s="1409"/>
      <c r="BG702" s="1409"/>
      <c r="BH702" s="1409"/>
      <c r="BI702" s="1409"/>
      <c r="BJ702" s="1409"/>
      <c r="BK702" s="1409"/>
      <c r="BL702" s="1409"/>
      <c r="BM702" s="1409"/>
      <c r="BN702" s="1408"/>
      <c r="BO702" s="1409"/>
      <c r="BP702" s="1409"/>
      <c r="BQ702" s="1409"/>
      <c r="BR702" s="1409"/>
      <c r="BS702" s="1409"/>
      <c r="BT702" s="1409"/>
      <c r="BU702" s="1410"/>
      <c r="BV702" s="1526"/>
      <c r="BW702" s="1061"/>
      <c r="BX702" s="1061"/>
      <c r="BY702" s="1061"/>
      <c r="BZ702" s="1061"/>
      <c r="CA702" s="1061"/>
      <c r="CB702" s="1061"/>
      <c r="CC702" s="1527"/>
      <c r="CD702" s="1526"/>
      <c r="CE702" s="1061"/>
      <c r="CF702" s="1061"/>
      <c r="CG702" s="1061"/>
      <c r="CH702" s="1061"/>
      <c r="CI702" s="1061"/>
      <c r="CJ702" s="1061"/>
      <c r="CK702" s="1527"/>
      <c r="CL702" s="1526"/>
      <c r="CM702" s="1061"/>
      <c r="CN702" s="1061"/>
      <c r="CO702" s="1061"/>
      <c r="CP702" s="1061"/>
      <c r="CQ702" s="1061"/>
      <c r="CR702" s="1061"/>
      <c r="CS702" s="1527"/>
      <c r="CT702" s="1526">
        <f t="shared" ref="CT702:DI702" si="4459">CT701-CT703</f>
        <v>-0.125</v>
      </c>
      <c r="CU702" s="1302">
        <f t="shared" si="4459"/>
        <v>-0.0333333333333334</v>
      </c>
      <c r="CV702" s="1302">
        <f t="shared" si="4459"/>
        <v>-0.0699999999999999</v>
      </c>
      <c r="CW702" s="1302">
        <f t="shared" si="4459"/>
        <v>-0.045</v>
      </c>
      <c r="CX702" s="1302">
        <f t="shared" si="4459"/>
        <v>-0.0602439024390243</v>
      </c>
      <c r="CY702" s="1302">
        <f t="shared" si="4459"/>
        <v>-0.0781538461538462</v>
      </c>
      <c r="CZ702" s="1302">
        <f t="shared" si="4459"/>
        <v>-0.0617054263565892</v>
      </c>
      <c r="DA702" s="1304">
        <f t="shared" si="4459"/>
        <v>-0.0653275109170306</v>
      </c>
      <c r="DB702" s="1109">
        <f t="shared" si="4459"/>
        <v>-0.0843137254901962</v>
      </c>
      <c r="DC702" s="1082">
        <f t="shared" si="4459"/>
        <v>-0.132203389830508</v>
      </c>
      <c r="DD702" s="1082">
        <f t="shared" si="4459"/>
        <v>-0.11</v>
      </c>
      <c r="DE702" s="1082">
        <f t="shared" si="4459"/>
        <v>-0.125277777777778</v>
      </c>
      <c r="DF702" s="1082">
        <f t="shared" si="4459"/>
        <v>-0.116043956043956</v>
      </c>
      <c r="DG702" s="1082">
        <f t="shared" si="4459"/>
        <v>0.00333333333333335</v>
      </c>
      <c r="DH702" s="1082">
        <f t="shared" si="4459"/>
        <v>-0.0549056603773585</v>
      </c>
      <c r="DI702" s="1085">
        <f t="shared" si="4459"/>
        <v>-0.0774349442379182</v>
      </c>
      <c r="DJ702" s="1082">
        <v>0.0316129032258065</v>
      </c>
      <c r="DK702" s="1082">
        <v>0.0389830508474576</v>
      </c>
      <c r="DL702" s="1082">
        <f t="shared" ref="DL702:DQ702" si="4460">DL701-DL703</f>
        <v>0.0352066115702479</v>
      </c>
      <c r="DM702" s="1082">
        <f t="shared" si="4460"/>
        <v>0.0136231884057971</v>
      </c>
      <c r="DN702" s="1082">
        <f t="shared" si="4460"/>
        <v>0.0273684210526315</v>
      </c>
      <c r="DO702" s="1082">
        <f t="shared" si="4460"/>
        <v>-1</v>
      </c>
      <c r="DP702" s="1082">
        <f t="shared" si="4460"/>
        <v>-0.520958904109589</v>
      </c>
      <c r="DQ702" s="1085">
        <f t="shared" si="4460"/>
        <v>-0.268913857677903</v>
      </c>
      <c r="DR702" s="1082"/>
      <c r="DS702" s="1488"/>
      <c r="DT702" s="1082"/>
      <c r="DU702" s="1488"/>
      <c r="DV702" s="1082"/>
      <c r="DW702" s="1488"/>
      <c r="DX702" s="1082"/>
      <c r="DY702" s="1085"/>
      <c r="DZ702" s="1082"/>
      <c r="EA702" s="1488"/>
      <c r="EB702" s="1082"/>
      <c r="EC702" s="1488"/>
      <c r="ED702" s="1082"/>
      <c r="EE702" s="1488"/>
      <c r="EF702" s="1082"/>
      <c r="EG702" s="1085"/>
      <c r="EH702" s="1082"/>
      <c r="EI702" s="1488"/>
      <c r="EJ702" s="1082"/>
      <c r="EK702" s="1488"/>
      <c r="EL702" s="1082"/>
      <c r="EM702" s="1488"/>
      <c r="EN702" s="1082"/>
      <c r="EO702" s="1085"/>
      <c r="EP702" s="1082"/>
      <c r="EQ702" s="1082"/>
      <c r="ER702" s="1082"/>
      <c r="ES702" s="1082"/>
      <c r="ET702" s="1082"/>
      <c r="EU702" s="1082"/>
      <c r="EV702" s="1082"/>
      <c r="IX702" s="1178"/>
      <c r="IY702" s="1178"/>
      <c r="IZ702" s="1178"/>
      <c r="JA702" s="1178"/>
      <c r="JB702" s="1178"/>
      <c r="JC702" s="1178"/>
      <c r="JD702" s="1521"/>
      <c r="JE702" s="1126"/>
      <c r="JF702" s="1037"/>
      <c r="JG702" s="1037"/>
      <c r="JH702" s="1037"/>
      <c r="JI702" s="1035"/>
      <c r="JJ702" s="1035"/>
      <c r="JK702" s="1035"/>
      <c r="JL702" s="1035"/>
      <c r="JM702" s="1035"/>
      <c r="JN702" s="1035"/>
      <c r="JO702" s="1035"/>
      <c r="JP702" s="1035"/>
      <c r="JQ702" s="1035"/>
      <c r="JR702" s="1035"/>
      <c r="JS702" s="1035"/>
      <c r="JT702" s="1035"/>
      <c r="JU702" s="1035"/>
      <c r="JV702" s="1035"/>
      <c r="JW702" s="1035"/>
      <c r="JX702" s="1035"/>
      <c r="JY702" s="1035"/>
    </row>
    <row r="703" spans="1:285">
      <c r="A703" s="1339" t="s">
        <v>641</v>
      </c>
      <c r="B703" s="1409"/>
      <c r="C703" s="1409"/>
      <c r="D703" s="1409"/>
      <c r="E703" s="1409"/>
      <c r="F703" s="1409"/>
      <c r="G703" s="1409"/>
      <c r="H703" s="1409"/>
      <c r="I703" s="1409"/>
      <c r="J703" s="1409"/>
      <c r="K703" s="1409"/>
      <c r="L703" s="1409"/>
      <c r="M703" s="1409"/>
      <c r="N703" s="1409"/>
      <c r="O703" s="1409"/>
      <c r="P703" s="1409"/>
      <c r="Q703" s="1409"/>
      <c r="R703" s="1409"/>
      <c r="S703" s="1409"/>
      <c r="T703" s="1409"/>
      <c r="U703" s="1409"/>
      <c r="V703" s="1409"/>
      <c r="W703" s="1409"/>
      <c r="X703" s="1409"/>
      <c r="Y703" s="1409"/>
      <c r="Z703" s="1409"/>
      <c r="AA703" s="1409"/>
      <c r="AB703" s="1409"/>
      <c r="AC703" s="1409"/>
      <c r="AD703" s="1409"/>
      <c r="AE703" s="1409"/>
      <c r="AF703" s="1409"/>
      <c r="AG703" s="1409"/>
      <c r="AH703" s="1409"/>
      <c r="AI703" s="1409"/>
      <c r="AJ703" s="1409"/>
      <c r="AK703" s="1409"/>
      <c r="AL703" s="1409"/>
      <c r="AM703" s="1409"/>
      <c r="AN703" s="1409"/>
      <c r="AO703" s="1409"/>
      <c r="AP703" s="1409"/>
      <c r="AQ703" s="1409"/>
      <c r="AR703" s="1409"/>
      <c r="AS703" s="1409"/>
      <c r="AT703" s="1409"/>
      <c r="AU703" s="1409"/>
      <c r="AV703" s="1409"/>
      <c r="AW703" s="1409"/>
      <c r="AX703" s="1408"/>
      <c r="AY703" s="1409"/>
      <c r="AZ703" s="1409"/>
      <c r="BA703" s="1409"/>
      <c r="BB703" s="1409"/>
      <c r="BC703" s="1409"/>
      <c r="BD703" s="1409"/>
      <c r="BE703" s="1410"/>
      <c r="BF703" s="1409"/>
      <c r="BG703" s="1409"/>
      <c r="BH703" s="1409"/>
      <c r="BI703" s="1409"/>
      <c r="BJ703" s="1409"/>
      <c r="BK703" s="1409"/>
      <c r="BL703" s="1409"/>
      <c r="BM703" s="1409"/>
      <c r="BN703" s="1408"/>
      <c r="BO703" s="1409"/>
      <c r="BP703" s="1409"/>
      <c r="BQ703" s="1409"/>
      <c r="BR703" s="1409"/>
      <c r="BS703" s="1409"/>
      <c r="BT703" s="1409"/>
      <c r="BU703" s="1410"/>
      <c r="BV703" s="1526"/>
      <c r="BW703" s="1061"/>
      <c r="BX703" s="1061"/>
      <c r="BY703" s="1061"/>
      <c r="BZ703" s="1061"/>
      <c r="CA703" s="1061"/>
      <c r="CB703" s="1061"/>
      <c r="CC703" s="1527"/>
      <c r="CD703" s="1526"/>
      <c r="CE703" s="1061"/>
      <c r="CF703" s="1061"/>
      <c r="CG703" s="1061"/>
      <c r="CH703" s="1061"/>
      <c r="CI703" s="1061"/>
      <c r="CJ703" s="1061"/>
      <c r="CK703" s="1527"/>
      <c r="CL703" s="1526"/>
      <c r="CM703" s="1061"/>
      <c r="CN703" s="1061"/>
      <c r="CO703" s="1061"/>
      <c r="CP703" s="1061"/>
      <c r="CQ703" s="1061"/>
      <c r="CR703" s="1061"/>
      <c r="CS703" s="1527"/>
      <c r="CT703" s="1526">
        <v>0.4</v>
      </c>
      <c r="CU703" s="1302">
        <f>(CV703*CN700-CT703*CL700)/CM700</f>
        <v>0.0166666666666667</v>
      </c>
      <c r="CV703" s="1302">
        <v>0.17</v>
      </c>
      <c r="CW703" s="1302">
        <f>(CX703*CP700-CV703*CN700)/CO700</f>
        <v>0.17</v>
      </c>
      <c r="CX703" s="1302">
        <v>0.17</v>
      </c>
      <c r="CY703" s="1302">
        <f>(DA703*CS700-CX703*CP700)/CQ700</f>
        <v>0.416615384615385</v>
      </c>
      <c r="CZ703" s="1302">
        <f>(DA703*CS700-CV703*CN700)/CR700</f>
        <v>0.294263565891473</v>
      </c>
      <c r="DA703" s="1304">
        <v>0.24</v>
      </c>
      <c r="DB703" s="1109">
        <v>0.3</v>
      </c>
      <c r="DC703" s="1082">
        <f>(DD703*CV700-DB703*CT700)/CU700</f>
        <v>0.132203389830508</v>
      </c>
      <c r="DD703" s="1082">
        <v>0.21</v>
      </c>
      <c r="DE703" s="1082">
        <f>(DF703*CX700-DD703*CV700)/CW700</f>
        <v>0.0836111111111111</v>
      </c>
      <c r="DF703" s="1082">
        <v>0.16</v>
      </c>
      <c r="DG703" s="1082">
        <f>(DI703*DA700-DF703*CX700)/CY700</f>
        <v>-0.118275862068966</v>
      </c>
      <c r="DH703" s="1082">
        <f>(DI703*DA700-DD703*CV700)/CZ700</f>
        <v>-0.0268553459119497</v>
      </c>
      <c r="DI703" s="1085">
        <v>0.07</v>
      </c>
      <c r="DJ703" s="1082">
        <v>-0.08</v>
      </c>
      <c r="DK703" s="1082">
        <v>-0.0389830508474576</v>
      </c>
      <c r="DL703" s="1082">
        <f>(DJ703*DB700+DK703*DC700)/DD700</f>
        <v>-0.06</v>
      </c>
      <c r="DM703" s="1082">
        <f>(DN703*DF700-DL703*DD700)/DE700</f>
        <v>-0.115072463768116</v>
      </c>
      <c r="DN703" s="1082">
        <v>-0.08</v>
      </c>
      <c r="DO703" s="1488">
        <v>0</v>
      </c>
      <c r="DP703" s="1082">
        <f>(DO703*DG700+DM703*DE700)/DH700</f>
        <v>-0.0543835616438356</v>
      </c>
      <c r="DQ703" s="1085">
        <f>(DP703*DH700+DL703*DD700)/DI700</f>
        <v>-0.0569288389513109</v>
      </c>
      <c r="DR703" s="1082"/>
      <c r="DS703" s="1488"/>
      <c r="DT703" s="1082"/>
      <c r="DU703" s="1488"/>
      <c r="DV703" s="1082"/>
      <c r="DW703" s="1488"/>
      <c r="DX703" s="1082"/>
      <c r="DY703" s="1085"/>
      <c r="DZ703" s="1082"/>
      <c r="EA703" s="1488"/>
      <c r="EB703" s="1082"/>
      <c r="EC703" s="1488"/>
      <c r="ED703" s="1082"/>
      <c r="EE703" s="1488"/>
      <c r="EF703" s="1082"/>
      <c r="EG703" s="1085"/>
      <c r="EH703" s="1082"/>
      <c r="EI703" s="1488"/>
      <c r="EJ703" s="1082"/>
      <c r="EK703" s="1488"/>
      <c r="EL703" s="1082"/>
      <c r="EM703" s="1488"/>
      <c r="EN703" s="1082"/>
      <c r="EO703" s="1085"/>
      <c r="EP703" s="1082"/>
      <c r="EQ703" s="1082"/>
      <c r="ER703" s="1082"/>
      <c r="ES703" s="1082"/>
      <c r="ET703" s="1082"/>
      <c r="EU703" s="1082"/>
      <c r="EV703" s="1082"/>
      <c r="IX703" s="1178"/>
      <c r="IY703" s="1178"/>
      <c r="IZ703" s="1178"/>
      <c r="JA703" s="1178"/>
      <c r="JB703" s="1178"/>
      <c r="JC703" s="1178"/>
      <c r="JD703" s="1521"/>
      <c r="JE703" s="1126"/>
      <c r="JF703" s="1037"/>
      <c r="JG703" s="1037"/>
      <c r="JH703" s="1037"/>
      <c r="JI703" s="1035"/>
      <c r="JJ703" s="1035"/>
      <c r="JK703" s="1035"/>
      <c r="JL703" s="1035"/>
      <c r="JM703" s="1035"/>
      <c r="JN703" s="1035"/>
      <c r="JO703" s="1035"/>
      <c r="JP703" s="1035"/>
      <c r="JQ703" s="1035"/>
      <c r="JR703" s="1035"/>
      <c r="JS703" s="1035"/>
      <c r="JT703" s="1035"/>
      <c r="JU703" s="1035"/>
      <c r="JV703" s="1035"/>
      <c r="JW703" s="1035"/>
      <c r="JX703" s="1035"/>
      <c r="JY703" s="1035"/>
    </row>
    <row r="704" spans="1:285">
      <c r="A704" s="1339" t="s">
        <v>642</v>
      </c>
      <c r="B704" s="1409"/>
      <c r="C704" s="1409"/>
      <c r="D704" s="1409"/>
      <c r="E704" s="1409"/>
      <c r="F704" s="1409"/>
      <c r="G704" s="1409"/>
      <c r="H704" s="1409"/>
      <c r="I704" s="1409"/>
      <c r="J704" s="1409"/>
      <c r="K704" s="1409"/>
      <c r="L704" s="1409"/>
      <c r="M704" s="1409"/>
      <c r="N704" s="1409"/>
      <c r="O704" s="1409"/>
      <c r="P704" s="1409"/>
      <c r="Q704" s="1409"/>
      <c r="R704" s="1409"/>
      <c r="S704" s="1409"/>
      <c r="T704" s="1409"/>
      <c r="U704" s="1409"/>
      <c r="V704" s="1409"/>
      <c r="W704" s="1409"/>
      <c r="X704" s="1409"/>
      <c r="Y704" s="1409"/>
      <c r="Z704" s="1409"/>
      <c r="AA704" s="1409"/>
      <c r="AB704" s="1409"/>
      <c r="AC704" s="1409"/>
      <c r="AD704" s="1409"/>
      <c r="AE704" s="1409"/>
      <c r="AF704" s="1409"/>
      <c r="AG704" s="1409"/>
      <c r="AH704" s="1409"/>
      <c r="AI704" s="1409"/>
      <c r="AJ704" s="1409"/>
      <c r="AK704" s="1409"/>
      <c r="AL704" s="1409"/>
      <c r="AM704" s="1409"/>
      <c r="AN704" s="1409"/>
      <c r="AO704" s="1409"/>
      <c r="AP704" s="1409"/>
      <c r="AQ704" s="1409"/>
      <c r="AR704" s="1409"/>
      <c r="AS704" s="1409"/>
      <c r="AT704" s="1409"/>
      <c r="AU704" s="1409"/>
      <c r="AV704" s="1409"/>
      <c r="AW704" s="1409"/>
      <c r="AX704" s="1408"/>
      <c r="AY704" s="1409"/>
      <c r="AZ704" s="1409"/>
      <c r="BA704" s="1409"/>
      <c r="BB704" s="1409"/>
      <c r="BC704" s="1409"/>
      <c r="BD704" s="1409"/>
      <c r="BE704" s="1410"/>
      <c r="BF704" s="1409"/>
      <c r="BG704" s="1409"/>
      <c r="BH704" s="1409"/>
      <c r="BI704" s="1409"/>
      <c r="BJ704" s="1409"/>
      <c r="BK704" s="1409"/>
      <c r="BL704" s="1409"/>
      <c r="BM704" s="1409"/>
      <c r="BN704" s="1408"/>
      <c r="BO704" s="1409"/>
      <c r="BP704" s="1409"/>
      <c r="BQ704" s="1409"/>
      <c r="BR704" s="1409"/>
      <c r="BS704" s="1409"/>
      <c r="BT704" s="1409"/>
      <c r="BU704" s="1410"/>
      <c r="BV704" s="1303"/>
      <c r="BW704" s="1302"/>
      <c r="BX704" s="1302"/>
      <c r="BY704" s="1302"/>
      <c r="BZ704" s="1302"/>
      <c r="CA704" s="1302"/>
      <c r="CB704" s="1302"/>
      <c r="CC704" s="1304"/>
      <c r="CD704" s="1303"/>
      <c r="CE704" s="1302"/>
      <c r="CF704" s="1302"/>
      <c r="CG704" s="1302"/>
      <c r="CH704" s="1302"/>
      <c r="CI704" s="1302"/>
      <c r="CJ704" s="1302"/>
      <c r="CK704" s="1304"/>
      <c r="CL704" s="1303">
        <f>CL700/CL$710</f>
        <v>0.0881057268722467</v>
      </c>
      <c r="CM704" s="1302">
        <f>CM700/CM$710</f>
        <v>0.100671140939597</v>
      </c>
      <c r="CN704" s="1302">
        <f>CN700/CN$710</f>
        <v>0.0952380952380952</v>
      </c>
      <c r="CO704" s="1302">
        <f>CM704</f>
        <v>0.100671140939597</v>
      </c>
      <c r="CP704" s="1302">
        <f t="shared" ref="CP704:DQ704" si="4461">CP700/CP$710</f>
        <v>0.0896664844177146</v>
      </c>
      <c r="CQ704" s="1302">
        <f t="shared" si="4461"/>
        <v>0.10077519379845</v>
      </c>
      <c r="CR704" s="1302">
        <f t="shared" si="4461"/>
        <v>0.0905898876404494</v>
      </c>
      <c r="CS704" s="1304">
        <f t="shared" si="4461"/>
        <v>0.0925626515763945</v>
      </c>
      <c r="CT704" s="1303">
        <f t="shared" si="4461"/>
        <v>0.0973282442748092</v>
      </c>
      <c r="CU704" s="1302">
        <f t="shared" si="4461"/>
        <v>0.114785992217899</v>
      </c>
      <c r="CV704" s="1302">
        <f t="shared" si="4461"/>
        <v>0.10597302504817</v>
      </c>
      <c r="CW704" s="1302">
        <f t="shared" si="4461"/>
        <v>0.0991735537190083</v>
      </c>
      <c r="CX704" s="1302">
        <f t="shared" si="4461"/>
        <v>0.103174603174603</v>
      </c>
      <c r="CY704" s="1302">
        <f t="shared" si="4461"/>
        <v>0.153169014084507</v>
      </c>
      <c r="CZ704" s="1302">
        <f t="shared" si="4461"/>
        <v>0.122874806800618</v>
      </c>
      <c r="DA704" s="1304">
        <f t="shared" si="4461"/>
        <v>0.115351629502573</v>
      </c>
      <c r="DB704" s="1109">
        <f t="shared" si="4461"/>
        <v>0.136563876651982</v>
      </c>
      <c r="DC704" s="1082">
        <f t="shared" si="4461"/>
        <v>0.125799573560768</v>
      </c>
      <c r="DD704" s="1082">
        <f t="shared" si="4461"/>
        <v>0.131094257854821</v>
      </c>
      <c r="DE704" s="1082">
        <f t="shared" si="4461"/>
        <v>0.103915662650602</v>
      </c>
      <c r="DF704" s="1082">
        <f t="shared" si="4461"/>
        <v>0.119722747321991</v>
      </c>
      <c r="DG704" s="1082">
        <f t="shared" si="4461"/>
        <v>0.137254901960784</v>
      </c>
      <c r="DH704" s="1082">
        <f t="shared" si="4461"/>
        <v>0.119183673469388</v>
      </c>
      <c r="DI704" s="1085">
        <f t="shared" si="4461"/>
        <v>0.124301675977654</v>
      </c>
      <c r="DJ704" s="1082">
        <f t="shared" si="4461"/>
        <v>0.12882096069869</v>
      </c>
      <c r="DK704" s="1082">
        <f t="shared" si="4461"/>
        <v>0.131403118040089</v>
      </c>
      <c r="DL704" s="1082">
        <f t="shared" si="4461"/>
        <v>0.130099228224917</v>
      </c>
      <c r="DM704" s="1082">
        <f t="shared" si="4461"/>
        <v>0.104906937394247</v>
      </c>
      <c r="DN704" s="1082">
        <f t="shared" si="4461"/>
        <v>0.120160213618158</v>
      </c>
      <c r="DO704" s="1082" t="e">
        <f t="shared" si="4461"/>
        <v>#REF!</v>
      </c>
      <c r="DP704" s="1082" t="e">
        <f t="shared" si="4461"/>
        <v>#REF!</v>
      </c>
      <c r="DQ704" s="1085" t="e">
        <f t="shared" si="4461"/>
        <v>#REF!</v>
      </c>
      <c r="DR704" s="1082"/>
      <c r="DS704" s="1082"/>
      <c r="DT704" s="1082"/>
      <c r="DU704" s="1082"/>
      <c r="DV704" s="1082"/>
      <c r="DW704" s="1082"/>
      <c r="DX704" s="1082"/>
      <c r="DY704" s="1085"/>
      <c r="DZ704" s="1082"/>
      <c r="EA704" s="1082"/>
      <c r="EB704" s="1082"/>
      <c r="EC704" s="1082"/>
      <c r="ED704" s="1082"/>
      <c r="EE704" s="1082"/>
      <c r="EF704" s="1082"/>
      <c r="EG704" s="1085"/>
      <c r="EH704" s="1082"/>
      <c r="EI704" s="1082"/>
      <c r="EJ704" s="1082"/>
      <c r="EK704" s="1082"/>
      <c r="EL704" s="1082"/>
      <c r="EM704" s="1082"/>
      <c r="EN704" s="1082"/>
      <c r="EO704" s="1085"/>
      <c r="EP704" s="1082"/>
      <c r="EQ704" s="1082"/>
      <c r="ER704" s="1082"/>
      <c r="ES704" s="1082"/>
      <c r="ET704" s="1082"/>
      <c r="EU704" s="1082"/>
      <c r="EV704" s="1082"/>
      <c r="IX704" s="1178"/>
      <c r="IY704" s="1178"/>
      <c r="IZ704" s="1178"/>
      <c r="JA704" s="1178"/>
      <c r="JB704" s="1178"/>
      <c r="JC704" s="1178"/>
      <c r="JD704" s="1521"/>
      <c r="JE704" s="1126"/>
      <c r="JF704" s="1037"/>
      <c r="JG704" s="1037"/>
      <c r="JH704" s="1037"/>
      <c r="JI704" s="1035"/>
      <c r="JJ704" s="1035"/>
      <c r="JK704" s="1035"/>
      <c r="JL704" s="1035"/>
      <c r="JM704" s="1035"/>
      <c r="JN704" s="1035"/>
      <c r="JO704" s="1035"/>
      <c r="JP704" s="1035"/>
      <c r="JQ704" s="1035"/>
      <c r="JR704" s="1035"/>
      <c r="JS704" s="1035"/>
      <c r="JT704" s="1035"/>
      <c r="JU704" s="1035"/>
      <c r="JV704" s="1035"/>
      <c r="JW704" s="1035"/>
      <c r="JX704" s="1035"/>
      <c r="JY704" s="1035"/>
    </row>
    <row r="705" spans="1:285">
      <c r="A705" s="1306" t="s">
        <v>102</v>
      </c>
      <c r="B705" s="1307"/>
      <c r="C705" s="1307"/>
      <c r="D705" s="1307"/>
      <c r="E705" s="1307"/>
      <c r="F705" s="1307"/>
      <c r="G705" s="1307"/>
      <c r="H705" s="1307"/>
      <c r="I705" s="1307"/>
      <c r="J705" s="1307"/>
      <c r="K705" s="1307"/>
      <c r="L705" s="1307"/>
      <c r="M705" s="1307"/>
      <c r="N705" s="1307"/>
      <c r="O705" s="1307"/>
      <c r="P705" s="1307"/>
      <c r="Q705" s="1307"/>
      <c r="R705" s="1307"/>
      <c r="S705" s="1307"/>
      <c r="T705" s="1307"/>
      <c r="U705" s="1307"/>
      <c r="V705" s="1307"/>
      <c r="W705" s="1307"/>
      <c r="X705" s="1307"/>
      <c r="Y705" s="1307"/>
      <c r="Z705" s="1307"/>
      <c r="AA705" s="1307"/>
      <c r="AB705" s="1307"/>
      <c r="AC705" s="1307"/>
      <c r="AD705" s="1307"/>
      <c r="AE705" s="1307"/>
      <c r="AF705" s="1307"/>
      <c r="AG705" s="1307"/>
      <c r="AH705" s="1307"/>
      <c r="AI705" s="1307"/>
      <c r="AJ705" s="1307"/>
      <c r="AK705" s="1307"/>
      <c r="AL705" s="1307"/>
      <c r="AM705" s="1307"/>
      <c r="AN705" s="1307"/>
      <c r="AO705" s="1307"/>
      <c r="AP705" s="1307"/>
      <c r="AQ705" s="1307"/>
      <c r="AR705" s="1307"/>
      <c r="AS705" s="1307"/>
      <c r="AT705" s="1307"/>
      <c r="AU705" s="1307"/>
      <c r="AV705" s="1307"/>
      <c r="AW705" s="1307"/>
      <c r="AX705" s="1308"/>
      <c r="AY705" s="1307"/>
      <c r="AZ705" s="1307"/>
      <c r="BA705" s="1307"/>
      <c r="BB705" s="1307"/>
      <c r="BC705" s="1307"/>
      <c r="BD705" s="1307"/>
      <c r="BE705" s="1309"/>
      <c r="BF705" s="1307"/>
      <c r="BG705" s="1307"/>
      <c r="BH705" s="1307"/>
      <c r="BI705" s="1307"/>
      <c r="BJ705" s="1307"/>
      <c r="BK705" s="1307"/>
      <c r="BL705" s="1307"/>
      <c r="BM705" s="1307"/>
      <c r="BN705" s="1308"/>
      <c r="BO705" s="1307"/>
      <c r="BP705" s="1307"/>
      <c r="BQ705" s="1307"/>
      <c r="BR705" s="1307"/>
      <c r="BS705" s="1307"/>
      <c r="BT705" s="1307"/>
      <c r="BU705" s="1309"/>
      <c r="BV705" s="1308"/>
      <c r="BW705" s="1307"/>
      <c r="BX705" s="1307"/>
      <c r="BY705" s="1307"/>
      <c r="BZ705" s="1307"/>
      <c r="CA705" s="1307"/>
      <c r="CB705" s="1307"/>
      <c r="CC705" s="1309"/>
      <c r="CD705" s="1308"/>
      <c r="CE705" s="1307"/>
      <c r="CF705" s="1307"/>
      <c r="CG705" s="1307"/>
      <c r="CH705" s="1307"/>
      <c r="CI705" s="1307"/>
      <c r="CJ705" s="1307"/>
      <c r="CK705" s="1309"/>
      <c r="CL705" s="1308">
        <v>14</v>
      </c>
      <c r="CM705" s="1307">
        <f>CN705-CL705</f>
        <v>16</v>
      </c>
      <c r="CN705" s="1307">
        <v>30</v>
      </c>
      <c r="CO705" s="1307">
        <f>CP705-CN705</f>
        <v>22</v>
      </c>
      <c r="CP705" s="1307">
        <v>52</v>
      </c>
      <c r="CQ705" s="1307">
        <f>CS705-CP705</f>
        <v>17</v>
      </c>
      <c r="CR705" s="1307">
        <f>CQ705+CO705</f>
        <v>39</v>
      </c>
      <c r="CS705" s="1309">
        <v>69</v>
      </c>
      <c r="CT705" s="1308">
        <v>22</v>
      </c>
      <c r="CU705" s="1307">
        <f>CV705-CT705</f>
        <v>17</v>
      </c>
      <c r="CV705" s="1307">
        <v>39</v>
      </c>
      <c r="CW705" s="1307">
        <f>CX705-CV705</f>
        <v>24</v>
      </c>
      <c r="CX705" s="1307">
        <v>63</v>
      </c>
      <c r="CY705" s="1307">
        <f>DA705-CX705</f>
        <v>21</v>
      </c>
      <c r="CZ705" s="1307">
        <f>CY705+CW705</f>
        <v>45</v>
      </c>
      <c r="DA705" s="1309">
        <v>84</v>
      </c>
      <c r="DB705" s="1332">
        <v>19</v>
      </c>
      <c r="DC705" s="1311">
        <f>DD705-DB705</f>
        <v>52</v>
      </c>
      <c r="DD705" s="1311">
        <v>71</v>
      </c>
      <c r="DE705" s="1311">
        <f>DF705-DD705</f>
        <v>74</v>
      </c>
      <c r="DF705" s="1311">
        <v>145</v>
      </c>
      <c r="DG705" s="1311">
        <f>DH705-DE705</f>
        <v>81</v>
      </c>
      <c r="DH705" s="1311">
        <f>DI705-DD705</f>
        <v>155</v>
      </c>
      <c r="DI705" s="1312">
        <v>226</v>
      </c>
      <c r="DJ705" s="1311">
        <f>DJ710-DJ700-DJ695-DJ690</f>
        <v>46</v>
      </c>
      <c r="DK705" s="1311">
        <f>DK710-DK700-DK695-DK690</f>
        <v>54</v>
      </c>
      <c r="DL705" s="1311">
        <f t="shared" ref="DL705:DQ705" si="4462">DL710-DL700-DL695-DL690</f>
        <v>100</v>
      </c>
      <c r="DM705" s="1311">
        <f>DN705-DL705</f>
        <v>70</v>
      </c>
      <c r="DN705" s="1311">
        <f t="shared" si="4462"/>
        <v>170</v>
      </c>
      <c r="DO705" s="1311" t="e">
        <f t="shared" si="4462"/>
        <v>#REF!</v>
      </c>
      <c r="DP705" s="1311" t="e">
        <f t="shared" si="4462"/>
        <v>#REF!</v>
      </c>
      <c r="DQ705" s="1312" t="e">
        <f t="shared" si="4462"/>
        <v>#REF!</v>
      </c>
      <c r="DR705" s="1311"/>
      <c r="DS705" s="1311"/>
      <c r="DT705" s="1311"/>
      <c r="DU705" s="1311"/>
      <c r="DV705" s="1311"/>
      <c r="DW705" s="1311"/>
      <c r="DX705" s="1311"/>
      <c r="DY705" s="1312"/>
      <c r="DZ705" s="1311"/>
      <c r="EA705" s="1311"/>
      <c r="EB705" s="1311"/>
      <c r="EC705" s="1311"/>
      <c r="ED705" s="1311"/>
      <c r="EE705" s="1311"/>
      <c r="EF705" s="1311"/>
      <c r="EG705" s="1312"/>
      <c r="EH705" s="1311"/>
      <c r="EI705" s="1311"/>
      <c r="EJ705" s="1311"/>
      <c r="EK705" s="1311"/>
      <c r="EL705" s="1311"/>
      <c r="EM705" s="1311"/>
      <c r="EN705" s="1311"/>
      <c r="EO705" s="1312"/>
      <c r="EP705" s="1311"/>
      <c r="EQ705" s="1311"/>
      <c r="ER705" s="1311"/>
      <c r="ES705" s="1311"/>
      <c r="ET705" s="1311"/>
      <c r="EU705" s="1311"/>
      <c r="EV705" s="1311"/>
      <c r="IX705" s="1178"/>
      <c r="IY705" s="1178"/>
      <c r="IZ705" s="1178"/>
      <c r="JA705" s="1178"/>
      <c r="JB705" s="1178"/>
      <c r="JC705" s="1178"/>
      <c r="JD705" s="1518"/>
      <c r="JE705" s="1126"/>
      <c r="JF705" s="1037"/>
      <c r="JG705" s="1037"/>
      <c r="JH705" s="1037"/>
      <c r="JI705" s="1035"/>
      <c r="JJ705" s="1035"/>
      <c r="JK705" s="1035"/>
      <c r="JL705" s="1035"/>
      <c r="JM705" s="1035"/>
      <c r="JN705" s="1035"/>
      <c r="JO705" s="1035"/>
      <c r="JP705" s="1035"/>
      <c r="JQ705" s="1035"/>
      <c r="JR705" s="1035"/>
      <c r="JS705" s="1035"/>
      <c r="JT705" s="1035"/>
      <c r="JU705" s="1035"/>
      <c r="JV705" s="1035"/>
      <c r="JW705" s="1035"/>
      <c r="JX705" s="1035"/>
      <c r="JY705" s="1035"/>
    </row>
    <row r="706" spans="1:285">
      <c r="A706" s="1339" t="s">
        <v>639</v>
      </c>
      <c r="B706" s="1409"/>
      <c r="C706" s="1409"/>
      <c r="D706" s="1409"/>
      <c r="E706" s="1409"/>
      <c r="F706" s="1409"/>
      <c r="G706" s="1409"/>
      <c r="H706" s="1409"/>
      <c r="I706" s="1409"/>
      <c r="J706" s="1409"/>
      <c r="K706" s="1409"/>
      <c r="L706" s="1409"/>
      <c r="M706" s="1409"/>
      <c r="N706" s="1409"/>
      <c r="O706" s="1409"/>
      <c r="P706" s="1409"/>
      <c r="Q706" s="1409"/>
      <c r="R706" s="1409"/>
      <c r="S706" s="1409"/>
      <c r="T706" s="1409"/>
      <c r="U706" s="1409"/>
      <c r="V706" s="1409"/>
      <c r="W706" s="1409"/>
      <c r="X706" s="1409"/>
      <c r="Y706" s="1409"/>
      <c r="Z706" s="1409"/>
      <c r="AA706" s="1409"/>
      <c r="AB706" s="1409"/>
      <c r="AC706" s="1409"/>
      <c r="AD706" s="1409"/>
      <c r="AE706" s="1409"/>
      <c r="AF706" s="1409"/>
      <c r="AG706" s="1409"/>
      <c r="AH706" s="1409"/>
      <c r="AI706" s="1409"/>
      <c r="AJ706" s="1409"/>
      <c r="AK706" s="1409"/>
      <c r="AL706" s="1409"/>
      <c r="AM706" s="1409"/>
      <c r="AN706" s="1409"/>
      <c r="AO706" s="1409"/>
      <c r="AP706" s="1409"/>
      <c r="AQ706" s="1409"/>
      <c r="AR706" s="1409"/>
      <c r="AS706" s="1409"/>
      <c r="AT706" s="1409"/>
      <c r="AU706" s="1409"/>
      <c r="AV706" s="1409"/>
      <c r="AW706" s="1409"/>
      <c r="AX706" s="1408"/>
      <c r="AY706" s="1409"/>
      <c r="AZ706" s="1409"/>
      <c r="BA706" s="1409"/>
      <c r="BB706" s="1409"/>
      <c r="BC706" s="1409"/>
      <c r="BD706" s="1409"/>
      <c r="BE706" s="1410"/>
      <c r="BF706" s="1409"/>
      <c r="BG706" s="1409"/>
      <c r="BH706" s="1409"/>
      <c r="BI706" s="1409"/>
      <c r="BJ706" s="1409"/>
      <c r="BK706" s="1409"/>
      <c r="BL706" s="1409"/>
      <c r="BM706" s="1409"/>
      <c r="BN706" s="1408"/>
      <c r="BO706" s="1409"/>
      <c r="BP706" s="1409"/>
      <c r="BQ706" s="1409"/>
      <c r="BR706" s="1409"/>
      <c r="BS706" s="1409"/>
      <c r="BT706" s="1409"/>
      <c r="BU706" s="1410"/>
      <c r="BV706" s="1526"/>
      <c r="BW706" s="1061"/>
      <c r="BX706" s="1061"/>
      <c r="BY706" s="1061"/>
      <c r="BZ706" s="1061"/>
      <c r="CA706" s="1061"/>
      <c r="CB706" s="1061"/>
      <c r="CC706" s="1527"/>
      <c r="CD706" s="1526"/>
      <c r="CE706" s="1061"/>
      <c r="CF706" s="1061"/>
      <c r="CG706" s="1061"/>
      <c r="CH706" s="1061"/>
      <c r="CI706" s="1061"/>
      <c r="CJ706" s="1061"/>
      <c r="CK706" s="1527"/>
      <c r="CL706" s="1526" t="s">
        <v>173</v>
      </c>
      <c r="CM706" s="1061" t="s">
        <v>173</v>
      </c>
      <c r="CN706" s="1061" t="s">
        <v>173</v>
      </c>
      <c r="CO706" s="1061" t="s">
        <v>173</v>
      </c>
      <c r="CP706" s="1061" t="s">
        <v>173</v>
      </c>
      <c r="CQ706" s="1061" t="s">
        <v>173</v>
      </c>
      <c r="CR706" s="1061" t="s">
        <v>173</v>
      </c>
      <c r="CS706" s="1527" t="s">
        <v>173</v>
      </c>
      <c r="CT706" s="1526">
        <f t="shared" ref="CT706:DA706" si="4463">CT705/CL705-1</f>
        <v>0.571428571428571</v>
      </c>
      <c r="CU706" s="1302">
        <f t="shared" si="4463"/>
        <v>0.0625</v>
      </c>
      <c r="CV706" s="1302">
        <f t="shared" si="4463"/>
        <v>0.3</v>
      </c>
      <c r="CW706" s="1302">
        <f t="shared" si="4463"/>
        <v>0.0909090909090908</v>
      </c>
      <c r="CX706" s="1302">
        <f t="shared" si="4463"/>
        <v>0.211538461538461</v>
      </c>
      <c r="CY706" s="1302">
        <f t="shared" si="4463"/>
        <v>0.235294117647059</v>
      </c>
      <c r="CZ706" s="1302">
        <f t="shared" si="4463"/>
        <v>0.153846153846154</v>
      </c>
      <c r="DA706" s="1304">
        <f t="shared" si="4463"/>
        <v>0.217391304347826</v>
      </c>
      <c r="DB706" s="1109">
        <f t="shared" ref="DB706:DI706" si="4464">DB705/CT705-1</f>
        <v>-0.136363636363636</v>
      </c>
      <c r="DC706" s="1082">
        <f t="shared" si="4464"/>
        <v>2.05882352941176</v>
      </c>
      <c r="DD706" s="1082">
        <f t="shared" si="4464"/>
        <v>0.82051282051282</v>
      </c>
      <c r="DE706" s="1082">
        <f t="shared" si="4464"/>
        <v>2.08333333333333</v>
      </c>
      <c r="DF706" s="1082">
        <f t="shared" si="4464"/>
        <v>1.3015873015873</v>
      </c>
      <c r="DG706" s="1082">
        <f t="shared" si="4464"/>
        <v>2.85714285714286</v>
      </c>
      <c r="DH706" s="1082">
        <f t="shared" si="4464"/>
        <v>2.44444444444444</v>
      </c>
      <c r="DI706" s="1085">
        <f t="shared" si="4464"/>
        <v>1.69047619047619</v>
      </c>
      <c r="DJ706" s="1082">
        <f t="shared" ref="DJ706:DQ706" si="4465">DJ705/DB705-1</f>
        <v>1.42105263157895</v>
      </c>
      <c r="DK706" s="1082">
        <f t="shared" si="4465"/>
        <v>0.0384615384615385</v>
      </c>
      <c r="DL706" s="1082">
        <f t="shared" si="4465"/>
        <v>0.408450704225352</v>
      </c>
      <c r="DM706" s="1082">
        <f t="shared" si="4465"/>
        <v>-0.0540540540540541</v>
      </c>
      <c r="DN706" s="1082">
        <f t="shared" si="4465"/>
        <v>0.172413793103448</v>
      </c>
      <c r="DO706" s="1082" t="e">
        <f t="shared" si="4465"/>
        <v>#REF!</v>
      </c>
      <c r="DP706" s="1082" t="e">
        <f t="shared" si="4465"/>
        <v>#REF!</v>
      </c>
      <c r="DQ706" s="1085" t="e">
        <f t="shared" si="4465"/>
        <v>#REF!</v>
      </c>
      <c r="DR706" s="1082"/>
      <c r="DS706" s="1082"/>
      <c r="DT706" s="1082"/>
      <c r="DU706" s="1082"/>
      <c r="DV706" s="1082"/>
      <c r="DW706" s="1082"/>
      <c r="DX706" s="1082"/>
      <c r="DY706" s="1085"/>
      <c r="DZ706" s="1082"/>
      <c r="EA706" s="1082"/>
      <c r="EB706" s="1082"/>
      <c r="EC706" s="1082"/>
      <c r="ED706" s="1082"/>
      <c r="EE706" s="1082"/>
      <c r="EF706" s="1082"/>
      <c r="EG706" s="1085"/>
      <c r="EH706" s="1082"/>
      <c r="EI706" s="1082"/>
      <c r="EJ706" s="1082"/>
      <c r="EK706" s="1082"/>
      <c r="EL706" s="1082"/>
      <c r="EM706" s="1082"/>
      <c r="EN706" s="1082"/>
      <c r="EO706" s="1085"/>
      <c r="EP706" s="1082"/>
      <c r="EQ706" s="1082"/>
      <c r="ER706" s="1082"/>
      <c r="ES706" s="1082"/>
      <c r="ET706" s="1082"/>
      <c r="EU706" s="1082"/>
      <c r="EV706" s="1082"/>
      <c r="IX706" s="1083"/>
      <c r="IY706" s="1083"/>
      <c r="IZ706" s="1083"/>
      <c r="JA706" s="1083"/>
      <c r="JB706" s="1083"/>
      <c r="JC706" s="1083"/>
      <c r="JD706" s="1521"/>
      <c r="JE706" s="1126"/>
      <c r="JF706" s="1037"/>
      <c r="JG706" s="1037"/>
      <c r="JH706" s="1037"/>
      <c r="JI706" s="1035"/>
      <c r="JJ706" s="1035"/>
      <c r="JK706" s="1035"/>
      <c r="JL706" s="1035"/>
      <c r="JM706" s="1035"/>
      <c r="JN706" s="1035"/>
      <c r="JO706" s="1035"/>
      <c r="JP706" s="1035"/>
      <c r="JQ706" s="1035"/>
      <c r="JR706" s="1035"/>
      <c r="JS706" s="1035"/>
      <c r="JT706" s="1035"/>
      <c r="JU706" s="1035"/>
      <c r="JV706" s="1035"/>
      <c r="JW706" s="1035"/>
      <c r="JX706" s="1035"/>
      <c r="JY706" s="1035"/>
    </row>
    <row r="707" spans="1:285">
      <c r="A707" s="1339" t="s">
        <v>640</v>
      </c>
      <c r="B707" s="1409"/>
      <c r="C707" s="1409"/>
      <c r="D707" s="1409"/>
      <c r="E707" s="1409"/>
      <c r="F707" s="1409"/>
      <c r="G707" s="1409"/>
      <c r="H707" s="1409"/>
      <c r="I707" s="1409"/>
      <c r="J707" s="1409"/>
      <c r="K707" s="1409"/>
      <c r="L707" s="1409"/>
      <c r="M707" s="1409"/>
      <c r="N707" s="1409"/>
      <c r="O707" s="1409"/>
      <c r="P707" s="1409"/>
      <c r="Q707" s="1409"/>
      <c r="R707" s="1409"/>
      <c r="S707" s="1409"/>
      <c r="T707" s="1409"/>
      <c r="U707" s="1409"/>
      <c r="V707" s="1409"/>
      <c r="W707" s="1409"/>
      <c r="X707" s="1409"/>
      <c r="Y707" s="1409"/>
      <c r="Z707" s="1409"/>
      <c r="AA707" s="1409"/>
      <c r="AB707" s="1409"/>
      <c r="AC707" s="1409"/>
      <c r="AD707" s="1409"/>
      <c r="AE707" s="1409"/>
      <c r="AF707" s="1409"/>
      <c r="AG707" s="1409"/>
      <c r="AH707" s="1409"/>
      <c r="AI707" s="1409"/>
      <c r="AJ707" s="1409"/>
      <c r="AK707" s="1409"/>
      <c r="AL707" s="1409"/>
      <c r="AM707" s="1409"/>
      <c r="AN707" s="1409"/>
      <c r="AO707" s="1409"/>
      <c r="AP707" s="1409"/>
      <c r="AQ707" s="1409"/>
      <c r="AR707" s="1409"/>
      <c r="AS707" s="1409"/>
      <c r="AT707" s="1409"/>
      <c r="AU707" s="1409"/>
      <c r="AV707" s="1409"/>
      <c r="AW707" s="1409"/>
      <c r="AX707" s="1408"/>
      <c r="AY707" s="1409"/>
      <c r="AZ707" s="1409"/>
      <c r="BA707" s="1409"/>
      <c r="BB707" s="1409"/>
      <c r="BC707" s="1409"/>
      <c r="BD707" s="1409"/>
      <c r="BE707" s="1410"/>
      <c r="BF707" s="1409"/>
      <c r="BG707" s="1409"/>
      <c r="BH707" s="1409"/>
      <c r="BI707" s="1409"/>
      <c r="BJ707" s="1409"/>
      <c r="BK707" s="1409"/>
      <c r="BL707" s="1409"/>
      <c r="BM707" s="1409"/>
      <c r="BN707" s="1408"/>
      <c r="BO707" s="1409"/>
      <c r="BP707" s="1409"/>
      <c r="BQ707" s="1409"/>
      <c r="BR707" s="1409"/>
      <c r="BS707" s="1409"/>
      <c r="BT707" s="1409"/>
      <c r="BU707" s="1410"/>
      <c r="BV707" s="1526"/>
      <c r="BW707" s="1061"/>
      <c r="BX707" s="1061"/>
      <c r="BY707" s="1061"/>
      <c r="BZ707" s="1061"/>
      <c r="CA707" s="1061"/>
      <c r="CB707" s="1061"/>
      <c r="CC707" s="1527"/>
      <c r="CD707" s="1526"/>
      <c r="CE707" s="1061"/>
      <c r="CF707" s="1061"/>
      <c r="CG707" s="1061"/>
      <c r="CH707" s="1061"/>
      <c r="CI707" s="1061"/>
      <c r="CJ707" s="1061"/>
      <c r="CK707" s="1527"/>
      <c r="CL707" s="1526"/>
      <c r="CM707" s="1061"/>
      <c r="CN707" s="1061"/>
      <c r="CO707" s="1061"/>
      <c r="CP707" s="1061"/>
      <c r="CQ707" s="1061"/>
      <c r="CR707" s="1061"/>
      <c r="CS707" s="1527"/>
      <c r="CT707" s="1526">
        <f t="shared" ref="CT707:DD707" si="4466">CT706-CT708</f>
        <v>-0.138571428571429</v>
      </c>
      <c r="CU707" s="1302">
        <f t="shared" si="4466"/>
        <v>-0.0287500000000001</v>
      </c>
      <c r="CV707" s="1302">
        <f t="shared" si="4466"/>
        <v>-0.08</v>
      </c>
      <c r="CW707" s="1302">
        <f t="shared" si="4466"/>
        <v>-0.123636363636364</v>
      </c>
      <c r="CX707" s="1302">
        <f t="shared" si="4466"/>
        <v>-0.0984615384615385</v>
      </c>
      <c r="CY707" s="1302">
        <f t="shared" si="4466"/>
        <v>-0.115294117647059</v>
      </c>
      <c r="CZ707" s="1302">
        <f t="shared" si="4466"/>
        <v>-0.12</v>
      </c>
      <c r="DA707" s="1304">
        <f t="shared" si="4466"/>
        <v>-0.102608695652174</v>
      </c>
      <c r="DB707" s="1109">
        <f t="shared" si="4466"/>
        <v>-0.116363636363636</v>
      </c>
      <c r="DC707" s="1082">
        <f t="shared" si="4466"/>
        <v>-0.375882352941177</v>
      </c>
      <c r="DD707" s="1082">
        <f t="shared" si="4466"/>
        <v>-0.22948717948718</v>
      </c>
      <c r="DE707" s="1082">
        <f t="shared" ref="DE707:DJ707" si="4467">DE706-DE708</f>
        <v>-0.200416666666666</v>
      </c>
      <c r="DF707" s="1082">
        <f t="shared" si="4467"/>
        <v>-0.218412698412699</v>
      </c>
      <c r="DG707" s="1082">
        <f t="shared" si="4467"/>
        <v>-0.262857142857142</v>
      </c>
      <c r="DH707" s="1082">
        <f t="shared" si="4467"/>
        <v>-0.229555555555555</v>
      </c>
      <c r="DI707" s="1085">
        <f t="shared" si="4467"/>
        <v>-0.229523809523809</v>
      </c>
      <c r="DJ707" s="1094">
        <f t="shared" si="4467"/>
        <v>-0.0589473684210526</v>
      </c>
      <c r="DK707" s="1082">
        <f t="shared" ref="DK707:DQ707" si="4468">DK706-DK708</f>
        <v>-0.125</v>
      </c>
      <c r="DL707" s="1082">
        <f t="shared" si="4468"/>
        <v>-0.0601408450704226</v>
      </c>
      <c r="DM707" s="1082">
        <f t="shared" si="4468"/>
        <v>-0.0961351351351353</v>
      </c>
      <c r="DN707" s="1082">
        <f t="shared" si="4468"/>
        <v>-0.0785103448275864</v>
      </c>
      <c r="DO707" s="1082" t="e">
        <f t="shared" si="4468"/>
        <v>#REF!</v>
      </c>
      <c r="DP707" s="1082" t="e">
        <f t="shared" si="4468"/>
        <v>#REF!</v>
      </c>
      <c r="DQ707" s="1085" t="e">
        <f t="shared" si="4468"/>
        <v>#REF!</v>
      </c>
      <c r="DR707" s="1094"/>
      <c r="DS707" s="1082"/>
      <c r="DT707" s="1082"/>
      <c r="DU707" s="1082"/>
      <c r="DV707" s="1082"/>
      <c r="DW707" s="1082"/>
      <c r="DX707" s="1082"/>
      <c r="DY707" s="1085"/>
      <c r="DZ707" s="1094"/>
      <c r="EA707" s="1082"/>
      <c r="EB707" s="1082"/>
      <c r="EC707" s="1082"/>
      <c r="ED707" s="1082"/>
      <c r="EE707" s="1082"/>
      <c r="EF707" s="1082"/>
      <c r="EG707" s="1085"/>
      <c r="EH707" s="1094"/>
      <c r="EI707" s="1082"/>
      <c r="EJ707" s="1082"/>
      <c r="EK707" s="1082"/>
      <c r="EL707" s="1082"/>
      <c r="EM707" s="1082"/>
      <c r="EN707" s="1082"/>
      <c r="EO707" s="1085"/>
      <c r="EP707" s="1082"/>
      <c r="EQ707" s="1082"/>
      <c r="ER707" s="1082"/>
      <c r="ES707" s="1082"/>
      <c r="ET707" s="1082"/>
      <c r="EU707" s="1082"/>
      <c r="EV707" s="1082"/>
      <c r="IX707" s="1083"/>
      <c r="IY707" s="1083"/>
      <c r="IZ707" s="1083"/>
      <c r="JA707" s="1083"/>
      <c r="JB707" s="1083"/>
      <c r="JC707" s="1083"/>
      <c r="JD707" s="1521"/>
      <c r="JE707" s="1126"/>
      <c r="JF707" s="1037"/>
      <c r="JG707" s="1037"/>
      <c r="JH707" s="1037"/>
      <c r="JI707" s="1035"/>
      <c r="JJ707" s="1035"/>
      <c r="JK707" s="1035"/>
      <c r="JL707" s="1035"/>
      <c r="JM707" s="1035"/>
      <c r="JN707" s="1035"/>
      <c r="JO707" s="1035"/>
      <c r="JP707" s="1035"/>
      <c r="JQ707" s="1035"/>
      <c r="JR707" s="1035"/>
      <c r="JS707" s="1035"/>
      <c r="JT707" s="1035"/>
      <c r="JU707" s="1035"/>
      <c r="JV707" s="1035"/>
      <c r="JW707" s="1035"/>
      <c r="JX707" s="1035"/>
      <c r="JY707" s="1035"/>
    </row>
    <row r="708" spans="1:285">
      <c r="A708" s="1339" t="s">
        <v>641</v>
      </c>
      <c r="B708" s="1409"/>
      <c r="C708" s="1409"/>
      <c r="D708" s="1409"/>
      <c r="E708" s="1409"/>
      <c r="F708" s="1409"/>
      <c r="G708" s="1409"/>
      <c r="H708" s="1409"/>
      <c r="I708" s="1409"/>
      <c r="J708" s="1409"/>
      <c r="K708" s="1409"/>
      <c r="L708" s="1409"/>
      <c r="M708" s="1409"/>
      <c r="N708" s="1409"/>
      <c r="O708" s="1409"/>
      <c r="P708" s="1409"/>
      <c r="Q708" s="1409"/>
      <c r="R708" s="1409"/>
      <c r="S708" s="1409"/>
      <c r="T708" s="1409"/>
      <c r="U708" s="1409"/>
      <c r="V708" s="1409"/>
      <c r="W708" s="1409"/>
      <c r="X708" s="1409"/>
      <c r="Y708" s="1409"/>
      <c r="Z708" s="1409"/>
      <c r="AA708" s="1409"/>
      <c r="AB708" s="1409"/>
      <c r="AC708" s="1409"/>
      <c r="AD708" s="1409"/>
      <c r="AE708" s="1409"/>
      <c r="AF708" s="1409"/>
      <c r="AG708" s="1409"/>
      <c r="AH708" s="1409"/>
      <c r="AI708" s="1409"/>
      <c r="AJ708" s="1409"/>
      <c r="AK708" s="1409"/>
      <c r="AL708" s="1409"/>
      <c r="AM708" s="1409"/>
      <c r="AN708" s="1409"/>
      <c r="AO708" s="1409"/>
      <c r="AP708" s="1409"/>
      <c r="AQ708" s="1409"/>
      <c r="AR708" s="1409"/>
      <c r="AS708" s="1409"/>
      <c r="AT708" s="1409"/>
      <c r="AU708" s="1409"/>
      <c r="AV708" s="1409"/>
      <c r="AW708" s="1409"/>
      <c r="AX708" s="1408"/>
      <c r="AY708" s="1409"/>
      <c r="AZ708" s="1409"/>
      <c r="BA708" s="1409"/>
      <c r="BB708" s="1409"/>
      <c r="BC708" s="1409"/>
      <c r="BD708" s="1409"/>
      <c r="BE708" s="1410"/>
      <c r="BF708" s="1409"/>
      <c r="BG708" s="1409"/>
      <c r="BH708" s="1409"/>
      <c r="BI708" s="1409"/>
      <c r="BJ708" s="1409"/>
      <c r="BK708" s="1409"/>
      <c r="BL708" s="1409"/>
      <c r="BM708" s="1409"/>
      <c r="BN708" s="1408"/>
      <c r="BO708" s="1409"/>
      <c r="BP708" s="1409"/>
      <c r="BQ708" s="1409"/>
      <c r="BR708" s="1409"/>
      <c r="BS708" s="1409"/>
      <c r="BT708" s="1409"/>
      <c r="BU708" s="1410"/>
      <c r="BV708" s="1526"/>
      <c r="BW708" s="1061"/>
      <c r="BX708" s="1061"/>
      <c r="BY708" s="1061"/>
      <c r="BZ708" s="1061"/>
      <c r="CA708" s="1061"/>
      <c r="CB708" s="1061"/>
      <c r="CC708" s="1527"/>
      <c r="CD708" s="1526"/>
      <c r="CE708" s="1061"/>
      <c r="CF708" s="1061"/>
      <c r="CG708" s="1061"/>
      <c r="CH708" s="1061"/>
      <c r="CI708" s="1061"/>
      <c r="CJ708" s="1061"/>
      <c r="CK708" s="1527"/>
      <c r="CL708" s="1526"/>
      <c r="CM708" s="1061"/>
      <c r="CN708" s="1061"/>
      <c r="CO708" s="1061"/>
      <c r="CP708" s="1061"/>
      <c r="CQ708" s="1061"/>
      <c r="CR708" s="1061"/>
      <c r="CS708" s="1527"/>
      <c r="CT708" s="1526">
        <v>0.71</v>
      </c>
      <c r="CU708" s="1302">
        <f>(CV708*CN705-CT708*CL705)/CM705</f>
        <v>0.0912500000000001</v>
      </c>
      <c r="CV708" s="1302">
        <v>0.38</v>
      </c>
      <c r="CW708" s="1302">
        <f>(CX708*CP705-CV708*CN705)/CO705</f>
        <v>0.214545454545455</v>
      </c>
      <c r="CX708" s="1302">
        <v>0.31</v>
      </c>
      <c r="CY708" s="1302">
        <f>(DA708*CS705-CX708*CP705)/CQ705</f>
        <v>0.350588235294118</v>
      </c>
      <c r="CZ708" s="1302">
        <f>(DA708*CS705-CV708*CN705)/CR705</f>
        <v>0.273846153846154</v>
      </c>
      <c r="DA708" s="1304">
        <v>0.32</v>
      </c>
      <c r="DB708" s="1109">
        <v>-0.02</v>
      </c>
      <c r="DC708" s="1082">
        <f>(DD708*CV705-DB708*CT705)/CU705</f>
        <v>2.43470588235294</v>
      </c>
      <c r="DD708" s="1082">
        <v>1.05</v>
      </c>
      <c r="DE708" s="1082">
        <f>(DF708*CX705-DD708*CV705)/CW705</f>
        <v>2.28375</v>
      </c>
      <c r="DF708" s="1082">
        <v>1.52</v>
      </c>
      <c r="DG708" s="1082">
        <f>(DI708*DA705-DF708*CX705)/CY705</f>
        <v>3.12</v>
      </c>
      <c r="DH708" s="1082">
        <f>(DI708*DA705-DD708*CV705)/CZ705</f>
        <v>2.674</v>
      </c>
      <c r="DI708" s="1085">
        <v>1.92</v>
      </c>
      <c r="DJ708" s="1094">
        <v>1.48</v>
      </c>
      <c r="DK708" s="1082">
        <f t="shared" ref="DK708:DQ708" si="4469">(DK712*DC710-DK703*DC700-DK698*DC695-DK693*DC690)/DC705</f>
        <v>0.163461538461538</v>
      </c>
      <c r="DL708" s="1082">
        <f t="shared" si="4469"/>
        <v>0.468591549295775</v>
      </c>
      <c r="DM708" s="1082">
        <f t="shared" si="4469"/>
        <v>0.0420810810810812</v>
      </c>
      <c r="DN708" s="1082">
        <f t="shared" si="4469"/>
        <v>0.250924137931035</v>
      </c>
      <c r="DO708" s="1082">
        <f t="shared" si="4469"/>
        <v>0.588703703703704</v>
      </c>
      <c r="DP708" s="1082">
        <f t="shared" si="4469"/>
        <v>0.327735483870968</v>
      </c>
      <c r="DQ708" s="1085">
        <f t="shared" si="4469"/>
        <v>0.371986725663717</v>
      </c>
      <c r="DR708" s="1094"/>
      <c r="DS708" s="1082"/>
      <c r="DT708" s="1082"/>
      <c r="DU708" s="1082"/>
      <c r="DV708" s="1082"/>
      <c r="DW708" s="1082"/>
      <c r="DX708" s="1082"/>
      <c r="DY708" s="1085"/>
      <c r="DZ708" s="1094"/>
      <c r="EA708" s="1082"/>
      <c r="EB708" s="1082"/>
      <c r="EC708" s="1082"/>
      <c r="ED708" s="1082"/>
      <c r="EE708" s="1082"/>
      <c r="EF708" s="1082"/>
      <c r="EG708" s="1085"/>
      <c r="EH708" s="1094"/>
      <c r="EI708" s="1082"/>
      <c r="EJ708" s="1082"/>
      <c r="EK708" s="1082"/>
      <c r="EL708" s="1082"/>
      <c r="EM708" s="1082"/>
      <c r="EN708" s="1082"/>
      <c r="EO708" s="1085"/>
      <c r="EP708" s="1082"/>
      <c r="EQ708" s="1082"/>
      <c r="ER708" s="1082"/>
      <c r="ES708" s="1082"/>
      <c r="ET708" s="1082"/>
      <c r="EU708" s="1082"/>
      <c r="EV708" s="1082"/>
      <c r="IX708" s="1083"/>
      <c r="IY708" s="1083"/>
      <c r="IZ708" s="1083"/>
      <c r="JA708" s="1083"/>
      <c r="JB708" s="1083"/>
      <c r="JC708" s="1083"/>
      <c r="JD708" s="1521"/>
      <c r="JE708" s="1126"/>
      <c r="JF708" s="1037"/>
      <c r="JG708" s="1037"/>
      <c r="JH708" s="1037"/>
      <c r="JI708" s="1035"/>
      <c r="JJ708" s="1035"/>
      <c r="JK708" s="1035"/>
      <c r="JL708" s="1035"/>
      <c r="JM708" s="1035"/>
      <c r="JN708" s="1035"/>
      <c r="JO708" s="1035"/>
      <c r="JP708" s="1035"/>
      <c r="JQ708" s="1035"/>
      <c r="JR708" s="1035"/>
      <c r="JS708" s="1035"/>
      <c r="JT708" s="1035"/>
      <c r="JU708" s="1035"/>
      <c r="JV708" s="1035"/>
      <c r="JW708" s="1035"/>
      <c r="JX708" s="1035"/>
      <c r="JY708" s="1035"/>
    </row>
    <row r="709" spans="1:285">
      <c r="A709" s="1339" t="s">
        <v>642</v>
      </c>
      <c r="B709" s="1409"/>
      <c r="C709" s="1409"/>
      <c r="D709" s="1409"/>
      <c r="E709" s="1409"/>
      <c r="F709" s="1409"/>
      <c r="G709" s="1409"/>
      <c r="H709" s="1409"/>
      <c r="I709" s="1409"/>
      <c r="J709" s="1409"/>
      <c r="K709" s="1409"/>
      <c r="L709" s="1409"/>
      <c r="M709" s="1409"/>
      <c r="N709" s="1409"/>
      <c r="O709" s="1409"/>
      <c r="P709" s="1409"/>
      <c r="Q709" s="1409"/>
      <c r="R709" s="1409"/>
      <c r="S709" s="1409"/>
      <c r="T709" s="1409"/>
      <c r="U709" s="1409"/>
      <c r="V709" s="1409"/>
      <c r="W709" s="1409"/>
      <c r="X709" s="1409"/>
      <c r="Y709" s="1409"/>
      <c r="Z709" s="1409"/>
      <c r="AA709" s="1409"/>
      <c r="AB709" s="1409"/>
      <c r="AC709" s="1409"/>
      <c r="AD709" s="1409"/>
      <c r="AE709" s="1409"/>
      <c r="AF709" s="1409"/>
      <c r="AG709" s="1409"/>
      <c r="AH709" s="1409"/>
      <c r="AI709" s="1409"/>
      <c r="AJ709" s="1409"/>
      <c r="AK709" s="1409"/>
      <c r="AL709" s="1409"/>
      <c r="AM709" s="1409"/>
      <c r="AN709" s="1409"/>
      <c r="AO709" s="1409"/>
      <c r="AP709" s="1409"/>
      <c r="AQ709" s="1409"/>
      <c r="AR709" s="1409"/>
      <c r="AS709" s="1409"/>
      <c r="AT709" s="1409"/>
      <c r="AU709" s="1409"/>
      <c r="AV709" s="1409"/>
      <c r="AW709" s="1409"/>
      <c r="AX709" s="1408"/>
      <c r="AY709" s="1409"/>
      <c r="AZ709" s="1409"/>
      <c r="BA709" s="1409"/>
      <c r="BB709" s="1409"/>
      <c r="BC709" s="1409"/>
      <c r="BD709" s="1409"/>
      <c r="BE709" s="1410"/>
      <c r="BF709" s="1409"/>
      <c r="BG709" s="1409"/>
      <c r="BH709" s="1409"/>
      <c r="BI709" s="1409"/>
      <c r="BJ709" s="1409"/>
      <c r="BK709" s="1409"/>
      <c r="BL709" s="1409"/>
      <c r="BM709" s="1409"/>
      <c r="BN709" s="1408"/>
      <c r="BO709" s="1409"/>
      <c r="BP709" s="1409"/>
      <c r="BQ709" s="1409"/>
      <c r="BR709" s="1409"/>
      <c r="BS709" s="1409"/>
      <c r="BT709" s="1409"/>
      <c r="BU709" s="1410"/>
      <c r="BV709" s="1303"/>
      <c r="BW709" s="1302"/>
      <c r="BX709" s="1302"/>
      <c r="BY709" s="1302"/>
      <c r="BZ709" s="1302"/>
      <c r="CA709" s="1302"/>
      <c r="CB709" s="1302"/>
      <c r="CC709" s="1304"/>
      <c r="CD709" s="1303"/>
      <c r="CE709" s="1302"/>
      <c r="CF709" s="1302"/>
      <c r="CG709" s="1302"/>
      <c r="CH709" s="1302"/>
      <c r="CI709" s="1302"/>
      <c r="CJ709" s="1302"/>
      <c r="CK709" s="1304"/>
      <c r="CL709" s="1303">
        <f>CL705/CL$710</f>
        <v>0.0308370044052863</v>
      </c>
      <c r="CM709" s="1302">
        <f>CM705/CM$710</f>
        <v>0.0268456375838926</v>
      </c>
      <c r="CN709" s="1302">
        <f>CN705/CN$710</f>
        <v>0.0285714285714286</v>
      </c>
      <c r="CO709" s="1302">
        <f>CM709</f>
        <v>0.0268456375838926</v>
      </c>
      <c r="CP709" s="1302">
        <f t="shared" ref="CP709:DQ709" si="4470">CP705/CP$710</f>
        <v>0.02843083652269</v>
      </c>
      <c r="CQ709" s="1302">
        <f t="shared" si="4470"/>
        <v>0.0263565891472868</v>
      </c>
      <c r="CR709" s="1302">
        <f t="shared" si="4470"/>
        <v>0.0273876404494382</v>
      </c>
      <c r="CS709" s="1304">
        <f t="shared" si="4470"/>
        <v>0.0278900565885206</v>
      </c>
      <c r="CT709" s="1303">
        <f t="shared" si="4470"/>
        <v>0.0419847328244275</v>
      </c>
      <c r="CU709" s="1302">
        <f t="shared" si="4470"/>
        <v>0.0330739299610895</v>
      </c>
      <c r="CV709" s="1302">
        <f t="shared" si="4470"/>
        <v>0.0375722543352601</v>
      </c>
      <c r="CW709" s="1302">
        <f t="shared" si="4470"/>
        <v>0.0330578512396694</v>
      </c>
      <c r="CX709" s="1302">
        <f t="shared" si="4470"/>
        <v>0.0357142857142857</v>
      </c>
      <c r="CY709" s="1302">
        <f t="shared" si="4470"/>
        <v>0.0369718309859155</v>
      </c>
      <c r="CZ709" s="1302">
        <f t="shared" si="4470"/>
        <v>0.0347758887171561</v>
      </c>
      <c r="DA709" s="1304">
        <f t="shared" si="4470"/>
        <v>0.0360205831903945</v>
      </c>
      <c r="DB709" s="1109">
        <f t="shared" si="4470"/>
        <v>0.0418502202643172</v>
      </c>
      <c r="DC709" s="1082">
        <f t="shared" si="4470"/>
        <v>0.110874200426439</v>
      </c>
      <c r="DD709" s="1082">
        <f t="shared" si="4470"/>
        <v>0.0769230769230769</v>
      </c>
      <c r="DE709" s="1082">
        <f t="shared" si="4470"/>
        <v>0.11144578313253</v>
      </c>
      <c r="DF709" s="1082">
        <f t="shared" si="4470"/>
        <v>0.0913673597983617</v>
      </c>
      <c r="DG709" s="1082">
        <f t="shared" si="4470"/>
        <v>0.144385026737968</v>
      </c>
      <c r="DH709" s="1082">
        <f t="shared" si="4470"/>
        <v>0.126530612244898</v>
      </c>
      <c r="DI709" s="1085">
        <f t="shared" si="4470"/>
        <v>0.105214152700186</v>
      </c>
      <c r="DJ709" s="1094">
        <f t="shared" si="4470"/>
        <v>0.100436681222707</v>
      </c>
      <c r="DK709" s="1082">
        <f t="shared" si="4470"/>
        <v>0.120267260579065</v>
      </c>
      <c r="DL709" s="1082">
        <f t="shared" si="4470"/>
        <v>0.110253583241455</v>
      </c>
      <c r="DM709" s="1082">
        <f t="shared" si="4470"/>
        <v>0.11844331641286</v>
      </c>
      <c r="DN709" s="1082">
        <f t="shared" si="4470"/>
        <v>0.113484646194927</v>
      </c>
      <c r="DO709" s="1082" t="e">
        <f t="shared" si="4470"/>
        <v>#REF!</v>
      </c>
      <c r="DP709" s="1082" t="e">
        <f t="shared" si="4470"/>
        <v>#REF!</v>
      </c>
      <c r="DQ709" s="1085" t="e">
        <f t="shared" si="4470"/>
        <v>#REF!</v>
      </c>
      <c r="DR709" s="1094"/>
      <c r="DS709" s="1082"/>
      <c r="DT709" s="1082"/>
      <c r="DU709" s="1082"/>
      <c r="DV709" s="1082"/>
      <c r="DW709" s="1082"/>
      <c r="DX709" s="1082"/>
      <c r="DY709" s="1085"/>
      <c r="DZ709" s="1094"/>
      <c r="EA709" s="1082"/>
      <c r="EB709" s="1082"/>
      <c r="EC709" s="1082"/>
      <c r="ED709" s="1082"/>
      <c r="EE709" s="1082"/>
      <c r="EF709" s="1082"/>
      <c r="EG709" s="1085"/>
      <c r="EH709" s="1094"/>
      <c r="EI709" s="1082"/>
      <c r="EJ709" s="1082"/>
      <c r="EK709" s="1082"/>
      <c r="EL709" s="1082"/>
      <c r="EM709" s="1082"/>
      <c r="EN709" s="1082"/>
      <c r="EO709" s="1085"/>
      <c r="EP709" s="1082"/>
      <c r="EQ709" s="1082"/>
      <c r="ER709" s="1082"/>
      <c r="ES709" s="1082"/>
      <c r="ET709" s="1082"/>
      <c r="EU709" s="1082"/>
      <c r="EV709" s="1082"/>
      <c r="IX709" s="1083"/>
      <c r="IY709" s="1083"/>
      <c r="IZ709" s="1083"/>
      <c r="JA709" s="1083"/>
      <c r="JB709" s="1083"/>
      <c r="JC709" s="1083"/>
      <c r="JD709" s="1521"/>
      <c r="JE709" s="1126"/>
      <c r="JF709" s="1037"/>
      <c r="JG709" s="1037"/>
      <c r="JH709" s="1037"/>
      <c r="JI709" s="1035"/>
      <c r="JJ709" s="1035"/>
      <c r="JK709" s="1035"/>
      <c r="JL709" s="1035"/>
      <c r="JM709" s="1035"/>
      <c r="JN709" s="1035"/>
      <c r="JO709" s="1035"/>
      <c r="JP709" s="1035"/>
      <c r="JQ709" s="1035"/>
      <c r="JR709" s="1035"/>
      <c r="JS709" s="1035"/>
      <c r="JT709" s="1035"/>
      <c r="JU709" s="1035"/>
      <c r="JV709" s="1035"/>
      <c r="JW709" s="1035"/>
      <c r="JX709" s="1035"/>
      <c r="JY709" s="1035"/>
    </row>
    <row r="710" spans="1:285">
      <c r="A710" s="1191" t="s">
        <v>71</v>
      </c>
      <c r="B710" s="1499"/>
      <c r="C710" s="1499"/>
      <c r="D710" s="1499"/>
      <c r="E710" s="1499"/>
      <c r="F710" s="1499"/>
      <c r="G710" s="1499"/>
      <c r="H710" s="1499"/>
      <c r="I710" s="1499"/>
      <c r="J710" s="1499"/>
      <c r="K710" s="1499"/>
      <c r="L710" s="1499"/>
      <c r="M710" s="1499"/>
      <c r="N710" s="1499"/>
      <c r="O710" s="1499"/>
      <c r="P710" s="1499"/>
      <c r="Q710" s="1499"/>
      <c r="R710" s="1499"/>
      <c r="S710" s="1499"/>
      <c r="T710" s="1499"/>
      <c r="U710" s="1499"/>
      <c r="V710" s="1499"/>
      <c r="W710" s="1499"/>
      <c r="X710" s="1499"/>
      <c r="Y710" s="1499"/>
      <c r="Z710" s="1499"/>
      <c r="AA710" s="1499"/>
      <c r="AB710" s="1499"/>
      <c r="AC710" s="1499"/>
      <c r="AD710" s="1499"/>
      <c r="AE710" s="1499"/>
      <c r="AF710" s="1499"/>
      <c r="AG710" s="1499"/>
      <c r="AH710" s="1499"/>
      <c r="AI710" s="1499"/>
      <c r="AJ710" s="1499"/>
      <c r="AK710" s="1499"/>
      <c r="AL710" s="1499"/>
      <c r="AM710" s="1499"/>
      <c r="AN710" s="1499"/>
      <c r="AO710" s="1499"/>
      <c r="AP710" s="1499"/>
      <c r="AQ710" s="1499"/>
      <c r="AR710" s="1499"/>
      <c r="AS710" s="1499"/>
      <c r="AT710" s="1499"/>
      <c r="AU710" s="1499"/>
      <c r="AV710" s="1499"/>
      <c r="AW710" s="1499"/>
      <c r="AX710" s="1500"/>
      <c r="AY710" s="1499"/>
      <c r="AZ710" s="1499"/>
      <c r="BA710" s="1499"/>
      <c r="BB710" s="1499"/>
      <c r="BC710" s="1499"/>
      <c r="BD710" s="1499"/>
      <c r="BE710" s="1501"/>
      <c r="BF710" s="1499"/>
      <c r="BG710" s="1499"/>
      <c r="BH710" s="1499"/>
      <c r="BI710" s="1499"/>
      <c r="BJ710" s="1499"/>
      <c r="BK710" s="1499"/>
      <c r="BL710" s="1499"/>
      <c r="BM710" s="1499"/>
      <c r="BN710" s="1500"/>
      <c r="BO710" s="1499"/>
      <c r="BP710" s="1499"/>
      <c r="BQ710" s="1499"/>
      <c r="BR710" s="1499"/>
      <c r="BS710" s="1499"/>
      <c r="BT710" s="1499"/>
      <c r="BU710" s="1501"/>
      <c r="BV710" s="1500"/>
      <c r="BW710" s="1499"/>
      <c r="BX710" s="1499"/>
      <c r="BY710" s="1499"/>
      <c r="BZ710" s="1499"/>
      <c r="CA710" s="1499"/>
      <c r="CB710" s="1499"/>
      <c r="CC710" s="1501"/>
      <c r="CD710" s="1500"/>
      <c r="CE710" s="1499"/>
      <c r="CF710" s="1499"/>
      <c r="CG710" s="1499"/>
      <c r="CH710" s="1499"/>
      <c r="CI710" s="1499"/>
      <c r="CJ710" s="1499"/>
      <c r="CK710" s="1501"/>
      <c r="CL710" s="1500">
        <v>454</v>
      </c>
      <c r="CM710" s="1499">
        <f>CN710-CL710</f>
        <v>596</v>
      </c>
      <c r="CN710" s="1499">
        <v>1050</v>
      </c>
      <c r="CO710" s="1499">
        <f>CP710-CN710</f>
        <v>779</v>
      </c>
      <c r="CP710" s="1499">
        <f>CP705+CP700+CP695+CP690</f>
        <v>1829</v>
      </c>
      <c r="CQ710" s="1499">
        <f>CS710-CP710</f>
        <v>645</v>
      </c>
      <c r="CR710" s="1499">
        <f>CQ710+CO710</f>
        <v>1424</v>
      </c>
      <c r="CS710" s="1501">
        <f>CS705+CS700+CS690+CS695</f>
        <v>2474</v>
      </c>
      <c r="CT710" s="1500">
        <f>CT562</f>
        <v>524</v>
      </c>
      <c r="CU710" s="1499">
        <f t="shared" ref="CU710:DA710" si="4471">CU705+CU700+CU695+CU690</f>
        <v>514</v>
      </c>
      <c r="CV710" s="1499">
        <f t="shared" si="4471"/>
        <v>1038</v>
      </c>
      <c r="CW710" s="1499">
        <f t="shared" si="4471"/>
        <v>726</v>
      </c>
      <c r="CX710" s="1499">
        <f t="shared" si="4471"/>
        <v>1764</v>
      </c>
      <c r="CY710" s="1499">
        <f t="shared" si="4471"/>
        <v>568</v>
      </c>
      <c r="CZ710" s="1499">
        <f t="shared" si="4471"/>
        <v>1294</v>
      </c>
      <c r="DA710" s="1501">
        <f t="shared" si="4471"/>
        <v>2332</v>
      </c>
      <c r="DB710" s="1502">
        <f>DB562</f>
        <v>454</v>
      </c>
      <c r="DC710" s="1372">
        <f t="shared" ref="DC710:DI710" si="4472">SUM(DC705,DC700,DC695,DC690)</f>
        <v>469</v>
      </c>
      <c r="DD710" s="1372">
        <f t="shared" si="4472"/>
        <v>923</v>
      </c>
      <c r="DE710" s="1372">
        <f t="shared" si="4472"/>
        <v>664</v>
      </c>
      <c r="DF710" s="1372">
        <f t="shared" si="4472"/>
        <v>1587</v>
      </c>
      <c r="DG710" s="1372">
        <f t="shared" si="4472"/>
        <v>561</v>
      </c>
      <c r="DH710" s="1372">
        <f t="shared" si="4472"/>
        <v>1225</v>
      </c>
      <c r="DI710" s="1503">
        <f t="shared" si="4472"/>
        <v>2148</v>
      </c>
      <c r="DJ710" s="1372">
        <f t="shared" ref="DJ710:DQ710" si="4473">DJ562</f>
        <v>458</v>
      </c>
      <c r="DK710" s="1372">
        <f t="shared" si="4473"/>
        <v>449</v>
      </c>
      <c r="DL710" s="1372">
        <f t="shared" si="4473"/>
        <v>907</v>
      </c>
      <c r="DM710" s="1372">
        <f t="shared" si="4473"/>
        <v>591</v>
      </c>
      <c r="DN710" s="1372">
        <f t="shared" si="4473"/>
        <v>1498</v>
      </c>
      <c r="DO710" s="1372" t="e">
        <f t="shared" si="4473"/>
        <v>#REF!</v>
      </c>
      <c r="DP710" s="1372" t="e">
        <f t="shared" si="4473"/>
        <v>#REF!</v>
      </c>
      <c r="DQ710" s="1503" t="e">
        <f t="shared" si="4473"/>
        <v>#REF!</v>
      </c>
      <c r="DR710" s="1372"/>
      <c r="DS710" s="1372"/>
      <c r="DT710" s="1372"/>
      <c r="DU710" s="1372"/>
      <c r="DV710" s="1372"/>
      <c r="DW710" s="1372"/>
      <c r="DX710" s="1372"/>
      <c r="DY710" s="1503"/>
      <c r="DZ710" s="1372"/>
      <c r="EA710" s="1372"/>
      <c r="EB710" s="1372"/>
      <c r="EC710" s="1372"/>
      <c r="ED710" s="1372"/>
      <c r="EE710" s="1372"/>
      <c r="EF710" s="1372"/>
      <c r="EG710" s="1503"/>
      <c r="EH710" s="1372"/>
      <c r="EI710" s="1372"/>
      <c r="EJ710" s="1372"/>
      <c r="EK710" s="1372"/>
      <c r="EL710" s="1372"/>
      <c r="EM710" s="1372"/>
      <c r="EN710" s="1372"/>
      <c r="EO710" s="1503"/>
      <c r="EP710" s="1372"/>
      <c r="EQ710" s="1372"/>
      <c r="ER710" s="1372"/>
      <c r="ES710" s="1372"/>
      <c r="ET710" s="1372"/>
      <c r="EU710" s="1372"/>
      <c r="EV710" s="1372"/>
      <c r="IX710" s="1354"/>
      <c r="IY710" s="1354"/>
      <c r="IZ710" s="1354"/>
      <c r="JA710" s="1354"/>
      <c r="JB710" s="1354"/>
      <c r="JC710" s="1354"/>
      <c r="JD710" s="1518"/>
      <c r="JE710" s="1126"/>
      <c r="JF710" s="1037"/>
      <c r="JG710" s="1037"/>
      <c r="JH710" s="1037"/>
      <c r="JI710" s="1035"/>
      <c r="JJ710" s="1035"/>
      <c r="JK710" s="1035"/>
      <c r="JL710" s="1035"/>
      <c r="JM710" s="1035"/>
      <c r="JN710" s="1035"/>
      <c r="JO710" s="1035"/>
      <c r="JP710" s="1035"/>
      <c r="JQ710" s="1035"/>
      <c r="JR710" s="1035"/>
      <c r="JS710" s="1035"/>
      <c r="JT710" s="1035"/>
      <c r="JU710" s="1035"/>
      <c r="JV710" s="1035"/>
      <c r="JW710" s="1035"/>
      <c r="JX710" s="1035"/>
      <c r="JY710" s="1035"/>
    </row>
    <row r="711" s="1031" customFormat="1" spans="1:285">
      <c r="A711" s="1031" t="s">
        <v>142</v>
      </c>
      <c r="B711" s="1405"/>
      <c r="C711" s="1405"/>
      <c r="D711" s="1405"/>
      <c r="E711" s="1405"/>
      <c r="F711" s="1405"/>
      <c r="G711" s="1405"/>
      <c r="H711" s="1405"/>
      <c r="I711" s="1405"/>
      <c r="J711" s="1405"/>
      <c r="K711" s="1405"/>
      <c r="L711" s="1405"/>
      <c r="M711" s="1405"/>
      <c r="N711" s="1405"/>
      <c r="O711" s="1405"/>
      <c r="P711" s="1405"/>
      <c r="Q711" s="1405"/>
      <c r="R711" s="1405"/>
      <c r="S711" s="1405"/>
      <c r="T711" s="1405"/>
      <c r="U711" s="1405"/>
      <c r="V711" s="1405"/>
      <c r="W711" s="1405"/>
      <c r="X711" s="1405"/>
      <c r="Y711" s="1405"/>
      <c r="Z711" s="1405"/>
      <c r="AA711" s="1405"/>
      <c r="AB711" s="1405"/>
      <c r="AC711" s="1405"/>
      <c r="AD711" s="1405"/>
      <c r="AE711" s="1405"/>
      <c r="AF711" s="1405"/>
      <c r="AG711" s="1405"/>
      <c r="AH711" s="1405"/>
      <c r="AI711" s="1405"/>
      <c r="AJ711" s="1405"/>
      <c r="AK711" s="1405"/>
      <c r="AL711" s="1405"/>
      <c r="AM711" s="1405"/>
      <c r="AN711" s="1405"/>
      <c r="AO711" s="1405"/>
      <c r="AP711" s="1405"/>
      <c r="AQ711" s="1405"/>
      <c r="AR711" s="1405"/>
      <c r="AS711" s="1405"/>
      <c r="AT711" s="1405"/>
      <c r="AU711" s="1405"/>
      <c r="AV711" s="1405"/>
      <c r="AW711" s="1405"/>
      <c r="AX711" s="1406"/>
      <c r="AY711" s="1405"/>
      <c r="AZ711" s="1405"/>
      <c r="BA711" s="1405"/>
      <c r="BB711" s="1405"/>
      <c r="BC711" s="1405"/>
      <c r="BD711" s="1405"/>
      <c r="BE711" s="1407"/>
      <c r="BF711" s="1405"/>
      <c r="BG711" s="1405"/>
      <c r="BH711" s="1405"/>
      <c r="BI711" s="1405"/>
      <c r="BJ711" s="1405"/>
      <c r="BK711" s="1405"/>
      <c r="BL711" s="1405"/>
      <c r="BM711" s="1405"/>
      <c r="BN711" s="1406"/>
      <c r="BO711" s="1405"/>
      <c r="BP711" s="1405"/>
      <c r="BQ711" s="1405"/>
      <c r="BR711" s="1405"/>
      <c r="BS711" s="1405"/>
      <c r="BT711" s="1405"/>
      <c r="BU711" s="1407"/>
      <c r="BV711" s="1303"/>
      <c r="BW711" s="1302"/>
      <c r="BX711" s="1302"/>
      <c r="BY711" s="1302"/>
      <c r="BZ711" s="1302"/>
      <c r="CA711" s="1302"/>
      <c r="CB711" s="1302"/>
      <c r="CC711" s="1304"/>
      <c r="CD711" s="1303"/>
      <c r="CE711" s="1302"/>
      <c r="CF711" s="1302"/>
      <c r="CG711" s="1302"/>
      <c r="CH711" s="1302"/>
      <c r="CI711" s="1302"/>
      <c r="CJ711" s="1302"/>
      <c r="CK711" s="1304"/>
      <c r="CL711" s="1303">
        <v>-0.1</v>
      </c>
      <c r="CM711" s="1302">
        <v>-0.08</v>
      </c>
      <c r="CN711" s="1302">
        <v>-0.09</v>
      </c>
      <c r="CO711" s="1302" t="s">
        <v>173</v>
      </c>
      <c r="CP711" s="1302">
        <v>-0.07</v>
      </c>
      <c r="CQ711" s="1302" t="s">
        <v>173</v>
      </c>
      <c r="CR711" s="1302" t="s">
        <v>173</v>
      </c>
      <c r="CS711" s="1304">
        <v>-0.09</v>
      </c>
      <c r="CT711" s="1303">
        <f t="shared" ref="CT711:DA711" si="4474">CT710/CL710-1</f>
        <v>0.154185022026432</v>
      </c>
      <c r="CU711" s="1302">
        <f t="shared" si="4474"/>
        <v>-0.13758389261745</v>
      </c>
      <c r="CV711" s="1302">
        <f t="shared" si="4474"/>
        <v>-0.0114285714285715</v>
      </c>
      <c r="CW711" s="1302">
        <f t="shared" si="4474"/>
        <v>-0.0680359435173299</v>
      </c>
      <c r="CX711" s="1302">
        <f t="shared" si="4474"/>
        <v>-0.0355385456533625</v>
      </c>
      <c r="CY711" s="1302">
        <f t="shared" si="4474"/>
        <v>-0.11937984496124</v>
      </c>
      <c r="CZ711" s="1302">
        <f t="shared" si="4474"/>
        <v>-0.0912921348314607</v>
      </c>
      <c r="DA711" s="1304">
        <f t="shared" si="4474"/>
        <v>-0.0573969280517381</v>
      </c>
      <c r="DB711" s="1109">
        <f t="shared" ref="DB711:DI711" si="4475">DB710/CT710-1</f>
        <v>-0.133587786259542</v>
      </c>
      <c r="DC711" s="1082">
        <f t="shared" si="4475"/>
        <v>-0.0875486381322957</v>
      </c>
      <c r="DD711" s="1082">
        <f t="shared" si="4475"/>
        <v>-0.110789980732177</v>
      </c>
      <c r="DE711" s="1082">
        <f t="shared" si="4475"/>
        <v>-0.0853994490358126</v>
      </c>
      <c r="DF711" s="1082">
        <f t="shared" si="4475"/>
        <v>-0.100340136054422</v>
      </c>
      <c r="DG711" s="1082">
        <f t="shared" si="4475"/>
        <v>-0.0123239436619719</v>
      </c>
      <c r="DH711" s="1082">
        <f t="shared" si="4475"/>
        <v>-0.0533230293663061</v>
      </c>
      <c r="DI711" s="1085">
        <f t="shared" si="4475"/>
        <v>-0.0789022298456261</v>
      </c>
      <c r="DJ711" s="1082">
        <f t="shared" ref="DJ711:DQ711" si="4476">DJ710/DB710-1</f>
        <v>0.00881057268722474</v>
      </c>
      <c r="DK711" s="1082">
        <f t="shared" si="4476"/>
        <v>-0.0426439232409381</v>
      </c>
      <c r="DL711" s="1082">
        <f t="shared" si="4476"/>
        <v>-0.0173347778981582</v>
      </c>
      <c r="DM711" s="1082">
        <f t="shared" si="4476"/>
        <v>-0.109939759036145</v>
      </c>
      <c r="DN711" s="1082">
        <f t="shared" si="4476"/>
        <v>-0.0560806553245117</v>
      </c>
      <c r="DO711" s="1082" t="e">
        <f t="shared" si="4476"/>
        <v>#REF!</v>
      </c>
      <c r="DP711" s="1082" t="e">
        <f t="shared" si="4476"/>
        <v>#REF!</v>
      </c>
      <c r="DQ711" s="1085" t="e">
        <f t="shared" si="4476"/>
        <v>#REF!</v>
      </c>
      <c r="DR711" s="1082"/>
      <c r="DS711" s="1082"/>
      <c r="DT711" s="1082"/>
      <c r="DU711" s="1082"/>
      <c r="DV711" s="1082"/>
      <c r="DW711" s="1082"/>
      <c r="DX711" s="1082"/>
      <c r="DY711" s="1085"/>
      <c r="DZ711" s="1082"/>
      <c r="EA711" s="1082"/>
      <c r="EB711" s="1082"/>
      <c r="EC711" s="1082"/>
      <c r="ED711" s="1082"/>
      <c r="EE711" s="1082"/>
      <c r="EF711" s="1082"/>
      <c r="EG711" s="1085"/>
      <c r="EH711" s="1082"/>
      <c r="EI711" s="1082"/>
      <c r="EJ711" s="1082"/>
      <c r="EK711" s="1082"/>
      <c r="EL711" s="1082"/>
      <c r="EM711" s="1082"/>
      <c r="EN711" s="1082"/>
      <c r="EO711" s="1085"/>
      <c r="EP711" s="1082"/>
      <c r="EQ711" s="1082"/>
      <c r="ER711" s="1082"/>
      <c r="ES711" s="1082"/>
      <c r="ET711" s="1082"/>
      <c r="EU711" s="1082"/>
      <c r="EV711" s="1082"/>
      <c r="EW711" s="1039"/>
      <c r="EX711" s="891"/>
      <c r="EY711" s="891"/>
      <c r="EZ711" s="891"/>
      <c r="FA711" s="891"/>
      <c r="FB711" s="891"/>
      <c r="FC711" s="891"/>
      <c r="FD711" s="891"/>
      <c r="FE711" s="1039"/>
      <c r="FF711" s="891"/>
      <c r="FG711" s="891"/>
      <c r="FH711" s="891"/>
      <c r="FI711" s="891"/>
      <c r="FJ711" s="891"/>
      <c r="FK711" s="891"/>
      <c r="FL711" s="891"/>
      <c r="FM711" s="1039"/>
      <c r="FN711" s="891"/>
      <c r="FO711" s="891"/>
      <c r="FP711" s="891"/>
      <c r="FQ711" s="891"/>
      <c r="FR711" s="891"/>
      <c r="FS711" s="891"/>
      <c r="FT711" s="891"/>
      <c r="FU711" s="891"/>
      <c r="FV711" s="1040"/>
      <c r="FW711" s="891"/>
      <c r="FX711" s="891"/>
      <c r="FY711" s="891"/>
      <c r="FZ711" s="891"/>
      <c r="GA711" s="891"/>
      <c r="GB711" s="891"/>
      <c r="GC711" s="1039"/>
      <c r="GD711" s="891"/>
      <c r="GE711" s="891"/>
      <c r="GF711" s="891"/>
      <c r="GG711" s="891"/>
      <c r="GH711" s="891"/>
      <c r="GI711" s="891"/>
      <c r="GJ711" s="891"/>
      <c r="GK711" s="1039"/>
      <c r="GL711" s="891"/>
      <c r="GM711" s="891"/>
      <c r="GN711" s="891"/>
      <c r="GO711" s="891"/>
      <c r="GP711" s="891"/>
      <c r="GQ711" s="891"/>
      <c r="GR711" s="891"/>
      <c r="GS711" s="1039"/>
      <c r="GT711" s="891"/>
      <c r="GU711" s="891"/>
      <c r="GV711" s="891"/>
      <c r="GW711" s="891"/>
      <c r="GX711" s="891"/>
      <c r="GY711" s="891"/>
      <c r="GZ711" s="891"/>
      <c r="HA711" s="1039"/>
      <c r="HB711" s="891"/>
      <c r="HC711" s="891"/>
      <c r="HD711" s="891"/>
      <c r="HE711" s="891"/>
      <c r="HF711" s="891"/>
      <c r="HG711" s="891"/>
      <c r="HH711" s="891"/>
      <c r="HI711" s="1039"/>
      <c r="HJ711" s="891"/>
      <c r="HK711" s="891"/>
      <c r="HL711" s="891"/>
      <c r="HM711" s="891"/>
      <c r="HN711" s="891"/>
      <c r="HO711" s="891"/>
      <c r="HP711" s="891"/>
      <c r="HQ711" s="1039"/>
      <c r="HR711" s="891"/>
      <c r="HS711" s="891"/>
      <c r="HT711" s="891"/>
      <c r="HU711" s="891"/>
      <c r="HV711" s="891"/>
      <c r="HW711" s="891"/>
      <c r="HX711" s="891"/>
      <c r="HY711" s="891"/>
      <c r="HZ711" s="891"/>
      <c r="IA711" s="891"/>
      <c r="IB711" s="891"/>
      <c r="IC711" s="891"/>
      <c r="ID711" s="891"/>
      <c r="IE711" s="891"/>
      <c r="IF711" s="891"/>
      <c r="IG711" s="1039"/>
      <c r="IH711" s="891"/>
      <c r="II711" s="891"/>
      <c r="IJ711" s="891"/>
      <c r="IK711" s="891"/>
      <c r="IL711" s="891"/>
      <c r="IM711" s="891"/>
      <c r="IN711" s="891"/>
      <c r="IO711" s="1039"/>
      <c r="IP711" s="891"/>
      <c r="IQ711" s="891"/>
      <c r="IR711" s="891"/>
      <c r="IS711" s="891"/>
      <c r="IT711" s="891"/>
      <c r="IU711" s="891"/>
      <c r="IV711" s="891"/>
      <c r="IW711" s="891"/>
      <c r="IX711" s="1083"/>
      <c r="IY711" s="1083"/>
      <c r="IZ711" s="1083"/>
      <c r="JA711" s="1083"/>
      <c r="JB711" s="1083"/>
      <c r="JC711" s="1083"/>
      <c r="JD711" s="1521"/>
      <c r="JE711" s="1429"/>
      <c r="JF711" s="1426"/>
      <c r="JG711" s="1426"/>
      <c r="JH711" s="1426"/>
    </row>
    <row r="712" s="883" customFormat="1" spans="1:285">
      <c r="A712" s="883" t="s">
        <v>656</v>
      </c>
      <c r="B712" s="1302"/>
      <c r="C712" s="1302"/>
      <c r="D712" s="1302"/>
      <c r="E712" s="1302"/>
      <c r="F712" s="1302"/>
      <c r="G712" s="1302"/>
      <c r="H712" s="1302"/>
      <c r="I712" s="1302"/>
      <c r="J712" s="1302"/>
      <c r="K712" s="1302"/>
      <c r="L712" s="1302"/>
      <c r="M712" s="1302"/>
      <c r="N712" s="1302"/>
      <c r="O712" s="1302"/>
      <c r="P712" s="1302"/>
      <c r="Q712" s="1302"/>
      <c r="R712" s="1302"/>
      <c r="S712" s="1302"/>
      <c r="T712" s="1302"/>
      <c r="U712" s="1302"/>
      <c r="V712" s="1302"/>
      <c r="W712" s="1302"/>
      <c r="X712" s="1302"/>
      <c r="Y712" s="1302"/>
      <c r="Z712" s="1302"/>
      <c r="AA712" s="1302"/>
      <c r="AB712" s="1302"/>
      <c r="AC712" s="1302"/>
      <c r="AD712" s="1302"/>
      <c r="AE712" s="1302"/>
      <c r="AF712" s="1302"/>
      <c r="AG712" s="1302"/>
      <c r="AH712" s="1302"/>
      <c r="AI712" s="1302"/>
      <c r="AJ712" s="1302"/>
      <c r="AK712" s="1302"/>
      <c r="AL712" s="1302"/>
      <c r="AM712" s="1302"/>
      <c r="AN712" s="1302"/>
      <c r="AO712" s="1302"/>
      <c r="AP712" s="1302"/>
      <c r="AQ712" s="1302"/>
      <c r="AR712" s="1302"/>
      <c r="AS712" s="1302"/>
      <c r="AT712" s="1302"/>
      <c r="AU712" s="1302"/>
      <c r="AV712" s="1302"/>
      <c r="AW712" s="1302"/>
      <c r="AX712" s="1303"/>
      <c r="AY712" s="1302"/>
      <c r="AZ712" s="1302"/>
      <c r="BA712" s="1302"/>
      <c r="BB712" s="1302"/>
      <c r="BC712" s="1302"/>
      <c r="BD712" s="1302"/>
      <c r="BE712" s="1304"/>
      <c r="BF712" s="1302"/>
      <c r="BG712" s="1302"/>
      <c r="BH712" s="1302"/>
      <c r="BI712" s="1302"/>
      <c r="BJ712" s="1302"/>
      <c r="BK712" s="1302"/>
      <c r="BL712" s="1302"/>
      <c r="BM712" s="1302"/>
      <c r="BN712" s="1303"/>
      <c r="BO712" s="1302"/>
      <c r="BP712" s="1302"/>
      <c r="BQ712" s="1302"/>
      <c r="BR712" s="1302"/>
      <c r="BS712" s="1302"/>
      <c r="BT712" s="1302"/>
      <c r="BU712" s="1304"/>
      <c r="BV712" s="1303"/>
      <c r="BW712" s="1302"/>
      <c r="BX712" s="1302"/>
      <c r="BY712" s="1302"/>
      <c r="BZ712" s="1302"/>
      <c r="CA712" s="1302"/>
      <c r="CB712" s="1302"/>
      <c r="CC712" s="1304"/>
      <c r="CD712" s="1303"/>
      <c r="CE712" s="1302"/>
      <c r="CF712" s="1302"/>
      <c r="CG712" s="1302"/>
      <c r="CH712" s="1302"/>
      <c r="CI712" s="1302"/>
      <c r="CJ712" s="1302"/>
      <c r="CK712" s="1304"/>
      <c r="CL712" s="1303">
        <v>-0.16</v>
      </c>
      <c r="CM712" s="1302">
        <v>-0.095</v>
      </c>
      <c r="CN712" s="1302">
        <v>-0.12</v>
      </c>
      <c r="CO712" s="1302"/>
      <c r="CP712" s="1302">
        <v>-0.09</v>
      </c>
      <c r="CQ712" s="1302"/>
      <c r="CR712" s="1302"/>
      <c r="CS712" s="1304">
        <v>-0.06</v>
      </c>
      <c r="CT712" s="1303">
        <v>0.22</v>
      </c>
      <c r="CU712" s="1302">
        <f t="shared" ref="CU712:DB712" si="4477">CU565</f>
        <v>-0.0493025210084035</v>
      </c>
      <c r="CV712" s="1302">
        <f t="shared" si="4477"/>
        <v>0.04</v>
      </c>
      <c r="CW712" s="1302">
        <f t="shared" si="4477"/>
        <v>-0.043</v>
      </c>
      <c r="CX712" s="1302">
        <f t="shared" si="4477"/>
        <v>0.02</v>
      </c>
      <c r="CY712" s="1302">
        <f t="shared" si="4477"/>
        <v>-0.0574322720507751</v>
      </c>
      <c r="CZ712" s="1302">
        <f t="shared" si="4477"/>
        <v>-0.0294655159772062</v>
      </c>
      <c r="DA712" s="1304">
        <f t="shared" si="4477"/>
        <v>0</v>
      </c>
      <c r="DB712" s="1109">
        <f t="shared" si="4477"/>
        <v>-0.06</v>
      </c>
      <c r="DC712" s="1082">
        <f>(DC708*CV705+DC703*CV700+DC698*CV695+DC693*CV690)/CV710</f>
        <v>0.0283572879021612</v>
      </c>
      <c r="DD712" s="1082">
        <v>-0.02</v>
      </c>
      <c r="DE712" s="1082">
        <f>(DE708*CW705+DE703*CW700+DE698*CW695+DE693*CW690)/CW710</f>
        <v>-0.00877410468319557</v>
      </c>
      <c r="DF712" s="1082">
        <f>(DF708*CX705+DF703*CX700+DF698*CX695+DF693*CX690)/CX710</f>
        <v>-0.0166553287981859</v>
      </c>
      <c r="DG712" s="1082">
        <f>(DG708*CY705+DG703*CY700+DG698*CY695+DG693*CY690)/CY710</f>
        <v>-0.0174471830985916</v>
      </c>
      <c r="DH712" s="1082">
        <f>(DH708*CZ705+DH703*CZ700+DH698*CZ695+DH693*CZ690)/CZ710</f>
        <v>-0.01258114374034</v>
      </c>
      <c r="DI712" s="1085">
        <v>-0.02</v>
      </c>
      <c r="DJ712" s="1082">
        <f t="shared" ref="DJ712:DQ712" si="4478">DJ565</f>
        <v>-0.04</v>
      </c>
      <c r="DK712" s="1082">
        <f t="shared" si="4478"/>
        <v>-0.0793603411513859</v>
      </c>
      <c r="DL712" s="1082">
        <f t="shared" si="4478"/>
        <v>-0.06</v>
      </c>
      <c r="DM712" s="1082">
        <f t="shared" si="4478"/>
        <v>-0.119</v>
      </c>
      <c r="DN712" s="1082">
        <f t="shared" si="4478"/>
        <v>-0.0846855702583491</v>
      </c>
      <c r="DO712" s="1082">
        <f t="shared" si="4478"/>
        <v>0.085</v>
      </c>
      <c r="DP712" s="1082">
        <f t="shared" si="4478"/>
        <v>-0.0255763265306122</v>
      </c>
      <c r="DQ712" s="1085">
        <f t="shared" si="4478"/>
        <v>-0.0403682495344506</v>
      </c>
      <c r="DR712" s="1082"/>
      <c r="DS712" s="1082"/>
      <c r="DT712" s="1082"/>
      <c r="DU712" s="1082"/>
      <c r="DV712" s="1082"/>
      <c r="DW712" s="1082"/>
      <c r="DX712" s="1082"/>
      <c r="DY712" s="1085"/>
      <c r="DZ712" s="1082"/>
      <c r="EA712" s="1082"/>
      <c r="EB712" s="1082"/>
      <c r="EC712" s="1082"/>
      <c r="ED712" s="1082"/>
      <c r="EE712" s="1082"/>
      <c r="EF712" s="1082"/>
      <c r="EG712" s="1085"/>
      <c r="EH712" s="1082"/>
      <c r="EI712" s="1082"/>
      <c r="EJ712" s="1082"/>
      <c r="EK712" s="1082"/>
      <c r="EL712" s="1082"/>
      <c r="EM712" s="1082"/>
      <c r="EN712" s="1082"/>
      <c r="EO712" s="1085"/>
      <c r="EP712" s="1082"/>
      <c r="EQ712" s="1082"/>
      <c r="ER712" s="1082"/>
      <c r="ES712" s="1082"/>
      <c r="ET712" s="1082"/>
      <c r="EU712" s="1082"/>
      <c r="EV712" s="1082"/>
      <c r="EW712" s="1039"/>
      <c r="EX712" s="891"/>
      <c r="EY712" s="891"/>
      <c r="EZ712" s="891"/>
      <c r="FA712" s="891"/>
      <c r="FB712" s="891"/>
      <c r="FC712" s="891"/>
      <c r="FD712" s="891"/>
      <c r="FE712" s="1039"/>
      <c r="FF712" s="891"/>
      <c r="FG712" s="891"/>
      <c r="FH712" s="891"/>
      <c r="FI712" s="891"/>
      <c r="FJ712" s="891"/>
      <c r="FK712" s="891"/>
      <c r="FL712" s="891"/>
      <c r="FM712" s="1039"/>
      <c r="FN712" s="891"/>
      <c r="FO712" s="891"/>
      <c r="FP712" s="891"/>
      <c r="FQ712" s="891"/>
      <c r="FR712" s="891"/>
      <c r="FS712" s="891"/>
      <c r="FT712" s="891"/>
      <c r="FU712" s="891"/>
      <c r="FV712" s="1040"/>
      <c r="FW712" s="891"/>
      <c r="FX712" s="891"/>
      <c r="FY712" s="891"/>
      <c r="FZ712" s="891"/>
      <c r="GA712" s="891"/>
      <c r="GB712" s="891"/>
      <c r="GC712" s="1039"/>
      <c r="GD712" s="891"/>
      <c r="GE712" s="891"/>
      <c r="GF712" s="891"/>
      <c r="GG712" s="891"/>
      <c r="GH712" s="891"/>
      <c r="GI712" s="891"/>
      <c r="GJ712" s="891"/>
      <c r="GK712" s="1039"/>
      <c r="GL712" s="891"/>
      <c r="GM712" s="891"/>
      <c r="GN712" s="891"/>
      <c r="GO712" s="891"/>
      <c r="GP712" s="891"/>
      <c r="GQ712" s="891"/>
      <c r="GR712" s="891"/>
      <c r="GS712" s="1039"/>
      <c r="GT712" s="891"/>
      <c r="GU712" s="891"/>
      <c r="GV712" s="891"/>
      <c r="GW712" s="891"/>
      <c r="GX712" s="891"/>
      <c r="GY712" s="891"/>
      <c r="GZ712" s="891"/>
      <c r="HA712" s="1039"/>
      <c r="HB712" s="891"/>
      <c r="HC712" s="891"/>
      <c r="HD712" s="891"/>
      <c r="HE712" s="891"/>
      <c r="HF712" s="891"/>
      <c r="HG712" s="891"/>
      <c r="HH712" s="891"/>
      <c r="HI712" s="1039"/>
      <c r="HJ712" s="891"/>
      <c r="HK712" s="891"/>
      <c r="HL712" s="891"/>
      <c r="HM712" s="891"/>
      <c r="HN712" s="891"/>
      <c r="HO712" s="891"/>
      <c r="HP712" s="891"/>
      <c r="HQ712" s="1039"/>
      <c r="HR712" s="891"/>
      <c r="HS712" s="891"/>
      <c r="HT712" s="891"/>
      <c r="HU712" s="891"/>
      <c r="HV712" s="891"/>
      <c r="HW712" s="891"/>
      <c r="HX712" s="891"/>
      <c r="HY712" s="891"/>
      <c r="HZ712" s="891"/>
      <c r="IA712" s="891"/>
      <c r="IB712" s="891"/>
      <c r="IC712" s="891"/>
      <c r="ID712" s="891"/>
      <c r="IE712" s="891"/>
      <c r="IF712" s="891"/>
      <c r="IG712" s="1039"/>
      <c r="IH712" s="891"/>
      <c r="II712" s="891"/>
      <c r="IJ712" s="891"/>
      <c r="IK712" s="891"/>
      <c r="IL712" s="891"/>
      <c r="IM712" s="891"/>
      <c r="IN712" s="891"/>
      <c r="IO712" s="1039"/>
      <c r="IP712" s="891"/>
      <c r="IQ712" s="891"/>
      <c r="IR712" s="891"/>
      <c r="IS712" s="891"/>
      <c r="IT712" s="891"/>
      <c r="IU712" s="891"/>
      <c r="IV712" s="891"/>
      <c r="IW712" s="891"/>
      <c r="IX712" s="1083"/>
      <c r="IY712" s="1083"/>
      <c r="IZ712" s="1083"/>
      <c r="JA712" s="1083"/>
      <c r="JB712" s="1083"/>
      <c r="JC712" s="1083"/>
      <c r="JD712" s="1521"/>
      <c r="JE712" s="1083"/>
      <c r="JF712" s="1082"/>
      <c r="JG712" s="1082"/>
      <c r="JH712" s="1082"/>
    </row>
    <row r="713" outlineLevel="1" spans="1:285">
      <c r="A713" s="1191" t="s">
        <v>657</v>
      </c>
      <c r="B713" s="1499"/>
      <c r="C713" s="1499"/>
      <c r="D713" s="1499"/>
      <c r="E713" s="1499"/>
      <c r="F713" s="1499"/>
      <c r="G713" s="1499"/>
      <c r="H713" s="1499"/>
      <c r="I713" s="1499"/>
      <c r="J713" s="1499"/>
      <c r="K713" s="1499"/>
      <c r="L713" s="1499"/>
      <c r="M713" s="1499"/>
      <c r="N713" s="1499"/>
      <c r="O713" s="1499"/>
      <c r="P713" s="1499"/>
      <c r="Q713" s="1499"/>
      <c r="R713" s="1499"/>
      <c r="S713" s="1499"/>
      <c r="T713" s="1499"/>
      <c r="U713" s="1499"/>
      <c r="V713" s="1499"/>
      <c r="W713" s="1499"/>
      <c r="X713" s="1499"/>
      <c r="Y713" s="1499"/>
      <c r="Z713" s="1499"/>
      <c r="AA713" s="1499"/>
      <c r="AB713" s="1499"/>
      <c r="AC713" s="1499"/>
      <c r="AD713" s="1499"/>
      <c r="AE713" s="1499"/>
      <c r="AF713" s="1499"/>
      <c r="AG713" s="1499"/>
      <c r="AH713" s="1499"/>
      <c r="AI713" s="1499"/>
      <c r="AJ713" s="1499"/>
      <c r="AK713" s="1499"/>
      <c r="AL713" s="1499"/>
      <c r="AM713" s="1499"/>
      <c r="AN713" s="1499"/>
      <c r="AO713" s="1499"/>
      <c r="AP713" s="1499"/>
      <c r="AQ713" s="1499"/>
      <c r="AR713" s="1499"/>
      <c r="AS713" s="1499"/>
      <c r="AT713" s="1499"/>
      <c r="AU713" s="1499"/>
      <c r="AV713" s="1499"/>
      <c r="AW713" s="1499"/>
      <c r="AX713" s="1500"/>
      <c r="AY713" s="1499"/>
      <c r="AZ713" s="1499"/>
      <c r="BA713" s="1499"/>
      <c r="BB713" s="1499"/>
      <c r="BC713" s="1499"/>
      <c r="BD713" s="1499"/>
      <c r="BE713" s="1501"/>
      <c r="BF713" s="1499"/>
      <c r="BG713" s="1499"/>
      <c r="BH713" s="1499"/>
      <c r="BI713" s="1499"/>
      <c r="BJ713" s="1499"/>
      <c r="BK713" s="1499"/>
      <c r="BL713" s="1499"/>
      <c r="BM713" s="1499"/>
      <c r="BN713" s="1500"/>
      <c r="BO713" s="1499"/>
      <c r="BP713" s="1499"/>
      <c r="BQ713" s="1499"/>
      <c r="BR713" s="1499"/>
      <c r="BS713" s="1499"/>
      <c r="BT713" s="1499"/>
      <c r="BU713" s="1501"/>
      <c r="BV713" s="1500"/>
      <c r="BW713" s="1499"/>
      <c r="BX713" s="1499"/>
      <c r="BY713" s="1499"/>
      <c r="BZ713" s="1499"/>
      <c r="CA713" s="1499"/>
      <c r="CB713" s="1499"/>
      <c r="CC713" s="1501"/>
      <c r="CD713" s="1500"/>
      <c r="CE713" s="1499"/>
      <c r="CF713" s="1499"/>
      <c r="CG713" s="1499"/>
      <c r="CH713" s="1499"/>
      <c r="CI713" s="1499"/>
      <c r="CJ713" s="1499"/>
      <c r="CK713" s="1501"/>
      <c r="CL713" s="1500">
        <f>CL715*CL710</f>
        <v>162.078</v>
      </c>
      <c r="CM713" s="1499">
        <f>CN713-CL713</f>
        <v>190.722</v>
      </c>
      <c r="CN713" s="1499">
        <f>CN715*CN710</f>
        <v>352.8</v>
      </c>
      <c r="CO713" s="1499">
        <f>CP713-CN713</f>
        <v>283.2</v>
      </c>
      <c r="CP713" s="1499">
        <v>636</v>
      </c>
      <c r="CQ713" s="1499">
        <f>CS713-CP713</f>
        <v>229</v>
      </c>
      <c r="CR713" s="1499">
        <f>CS713-CQ713-CO713</f>
        <v>352.8</v>
      </c>
      <c r="CS713" s="1501">
        <v>865</v>
      </c>
      <c r="CT713" s="1500">
        <v>193</v>
      </c>
      <c r="CU713" s="1499">
        <f>CV713-CT713</f>
        <v>201</v>
      </c>
      <c r="CV713" s="1499">
        <v>394</v>
      </c>
      <c r="CW713" s="1499">
        <f>CX713-CV713</f>
        <v>292</v>
      </c>
      <c r="CX713" s="1499">
        <v>686</v>
      </c>
      <c r="CY713" s="1499">
        <f>DA713-CX713</f>
        <v>216</v>
      </c>
      <c r="CZ713" s="1499">
        <f>CY713+CW713</f>
        <v>508</v>
      </c>
      <c r="DA713" s="1501">
        <v>902</v>
      </c>
      <c r="DB713" s="1502">
        <f>DB582</f>
        <v>168</v>
      </c>
      <c r="DC713" s="1372">
        <f t="shared" ref="DC713:DI715" si="4479">DC717</f>
        <v>193</v>
      </c>
      <c r="DD713" s="1372">
        <f t="shared" si="4479"/>
        <v>361</v>
      </c>
      <c r="DE713" s="1372">
        <f t="shared" si="4479"/>
        <v>242</v>
      </c>
      <c r="DF713" s="1372">
        <f t="shared" si="4479"/>
        <v>603</v>
      </c>
      <c r="DG713" s="1372">
        <f t="shared" si="4479"/>
        <v>192</v>
      </c>
      <c r="DH713" s="1372">
        <f t="shared" si="4479"/>
        <v>434</v>
      </c>
      <c r="DI713" s="1503">
        <v>795</v>
      </c>
      <c r="DJ713" s="1372">
        <f t="shared" ref="DJ713:DQ713" si="4480">DJ582</f>
        <v>135</v>
      </c>
      <c r="DK713" s="1372">
        <f t="shared" si="4480"/>
        <v>148</v>
      </c>
      <c r="DL713" s="1372">
        <f t="shared" si="4480"/>
        <v>283</v>
      </c>
      <c r="DM713" s="1372">
        <f t="shared" si="4480"/>
        <v>204</v>
      </c>
      <c r="DN713" s="1372">
        <f t="shared" si="4480"/>
        <v>487</v>
      </c>
      <c r="DO713" s="1372" t="e">
        <f t="shared" si="4480"/>
        <v>#REF!</v>
      </c>
      <c r="DP713" s="1372" t="e">
        <f t="shared" si="4480"/>
        <v>#REF!</v>
      </c>
      <c r="DQ713" s="1503" t="e">
        <f t="shared" si="4480"/>
        <v>#REF!</v>
      </c>
      <c r="DR713" s="1372"/>
      <c r="DS713" s="1372"/>
      <c r="DT713" s="1372"/>
      <c r="DU713" s="1372"/>
      <c r="DV713" s="1372"/>
      <c r="DW713" s="1372"/>
      <c r="DX713" s="1372"/>
      <c r="DY713" s="1503"/>
      <c r="DZ713" s="1372"/>
      <c r="EA713" s="1372"/>
      <c r="EB713" s="1372"/>
      <c r="EC713" s="1372"/>
      <c r="ED713" s="1372"/>
      <c r="EE713" s="1372"/>
      <c r="EF713" s="1372"/>
      <c r="EG713" s="1503"/>
      <c r="EH713" s="1372"/>
      <c r="EI713" s="1372"/>
      <c r="EJ713" s="1372"/>
      <c r="EK713" s="1372"/>
      <c r="EL713" s="1372"/>
      <c r="EM713" s="1372"/>
      <c r="EN713" s="1372"/>
      <c r="EO713" s="1503"/>
      <c r="EP713" s="1372"/>
      <c r="EQ713" s="1372"/>
      <c r="ER713" s="1372"/>
      <c r="ES713" s="1372"/>
      <c r="ET713" s="1372"/>
      <c r="EU713" s="1372"/>
      <c r="EV713" s="1372"/>
      <c r="IX713" s="1354"/>
      <c r="IY713" s="1354"/>
      <c r="IZ713" s="1354"/>
      <c r="JA713" s="1354"/>
      <c r="JB713" s="1354"/>
      <c r="JC713" s="1354"/>
      <c r="JD713" s="1518"/>
      <c r="JE713" s="1126"/>
      <c r="JF713" s="1037"/>
      <c r="JG713" s="1037"/>
      <c r="JH713" s="1037"/>
      <c r="JI713" s="1035"/>
      <c r="JJ713" s="1035"/>
      <c r="JK713" s="1035"/>
      <c r="JL713" s="1035"/>
      <c r="JM713" s="1035"/>
      <c r="JN713" s="1035"/>
      <c r="JO713" s="1035"/>
      <c r="JP713" s="1035"/>
      <c r="JQ713" s="1035"/>
      <c r="JR713" s="1035"/>
      <c r="JS713" s="1035"/>
      <c r="JT713" s="1035"/>
      <c r="JU713" s="1035"/>
      <c r="JV713" s="1035"/>
      <c r="JW713" s="1035"/>
      <c r="JX713" s="1035"/>
      <c r="JY713" s="1035"/>
    </row>
    <row r="714" outlineLevel="1" spans="1:285">
      <c r="A714" s="1339" t="s">
        <v>142</v>
      </c>
      <c r="B714" s="1409"/>
      <c r="C714" s="1409"/>
      <c r="D714" s="1409"/>
      <c r="E714" s="1409"/>
      <c r="F714" s="1409"/>
      <c r="G714" s="1409"/>
      <c r="H714" s="1409"/>
      <c r="I714" s="1409"/>
      <c r="J714" s="1409"/>
      <c r="K714" s="1409"/>
      <c r="L714" s="1409"/>
      <c r="M714" s="1409"/>
      <c r="N714" s="1409"/>
      <c r="O714" s="1409"/>
      <c r="P714" s="1409"/>
      <c r="Q714" s="1409"/>
      <c r="R714" s="1409"/>
      <c r="S714" s="1409"/>
      <c r="T714" s="1409"/>
      <c r="U714" s="1409"/>
      <c r="V714" s="1409"/>
      <c r="W714" s="1409"/>
      <c r="X714" s="1409"/>
      <c r="Y714" s="1409"/>
      <c r="Z714" s="1409"/>
      <c r="AA714" s="1409"/>
      <c r="AB714" s="1409"/>
      <c r="AC714" s="1409"/>
      <c r="AD714" s="1409"/>
      <c r="AE714" s="1409"/>
      <c r="AF714" s="1409"/>
      <c r="AG714" s="1409"/>
      <c r="AH714" s="1409"/>
      <c r="AI714" s="1409"/>
      <c r="AJ714" s="1409"/>
      <c r="AK714" s="1409"/>
      <c r="AL714" s="1409"/>
      <c r="AM714" s="1409"/>
      <c r="AN714" s="1409"/>
      <c r="AO714" s="1409"/>
      <c r="AP714" s="1409"/>
      <c r="AQ714" s="1409"/>
      <c r="AR714" s="1409"/>
      <c r="AS714" s="1409"/>
      <c r="AT714" s="1409"/>
      <c r="AU714" s="1409"/>
      <c r="AV714" s="1409"/>
      <c r="AW714" s="1409"/>
      <c r="AX714" s="1408"/>
      <c r="AY714" s="1409"/>
      <c r="AZ714" s="1409"/>
      <c r="BA714" s="1409"/>
      <c r="BB714" s="1409"/>
      <c r="BC714" s="1409"/>
      <c r="BD714" s="1409"/>
      <c r="BE714" s="1410"/>
      <c r="BF714" s="1409"/>
      <c r="BG714" s="1409"/>
      <c r="BH714" s="1409"/>
      <c r="BI714" s="1409"/>
      <c r="BJ714" s="1409"/>
      <c r="BK714" s="1409"/>
      <c r="BL714" s="1409"/>
      <c r="BM714" s="1409"/>
      <c r="BN714" s="1408"/>
      <c r="BO714" s="1409"/>
      <c r="BP714" s="1409"/>
      <c r="BQ714" s="1409"/>
      <c r="BR714" s="1409"/>
      <c r="BS714" s="1409"/>
      <c r="BT714" s="1409"/>
      <c r="BU714" s="1410"/>
      <c r="BV714" s="1526"/>
      <c r="BW714" s="1061"/>
      <c r="BX714" s="1061"/>
      <c r="BY714" s="1061"/>
      <c r="BZ714" s="1061"/>
      <c r="CA714" s="1061"/>
      <c r="CB714" s="1061"/>
      <c r="CC714" s="1527"/>
      <c r="CD714" s="1526"/>
      <c r="CE714" s="1061"/>
      <c r="CF714" s="1061"/>
      <c r="CG714" s="1061"/>
      <c r="CH714" s="1061"/>
      <c r="CI714" s="1061"/>
      <c r="CJ714" s="1061"/>
      <c r="CK714" s="1527"/>
      <c r="CL714" s="1526" t="s">
        <v>173</v>
      </c>
      <c r="CM714" s="1061" t="s">
        <v>173</v>
      </c>
      <c r="CN714" s="1061" t="s">
        <v>173</v>
      </c>
      <c r="CO714" s="1061" t="s">
        <v>173</v>
      </c>
      <c r="CP714" s="1061" t="s">
        <v>173</v>
      </c>
      <c r="CQ714" s="1061" t="s">
        <v>173</v>
      </c>
      <c r="CR714" s="1061" t="s">
        <v>173</v>
      </c>
      <c r="CS714" s="1527" t="s">
        <v>173</v>
      </c>
      <c r="CT714" s="1303">
        <f t="shared" ref="CT714:DB714" si="4481">CT713/CL713-1</f>
        <v>0.19078468391762</v>
      </c>
      <c r="CU714" s="1302">
        <f t="shared" si="4481"/>
        <v>0.0538899550130556</v>
      </c>
      <c r="CV714" s="1302">
        <f t="shared" si="4481"/>
        <v>0.116780045351474</v>
      </c>
      <c r="CW714" s="1302">
        <f t="shared" si="4481"/>
        <v>0.0310734463276836</v>
      </c>
      <c r="CX714" s="1302">
        <f t="shared" si="4481"/>
        <v>0.078616352201258</v>
      </c>
      <c r="CY714" s="1302">
        <f t="shared" si="4481"/>
        <v>-0.0567685589519651</v>
      </c>
      <c r="CZ714" s="1302">
        <f t="shared" si="4481"/>
        <v>0.439909297052154</v>
      </c>
      <c r="DA714" s="1304">
        <f t="shared" si="4481"/>
        <v>0.0427745664739885</v>
      </c>
      <c r="DB714" s="1109">
        <f t="shared" si="4481"/>
        <v>-0.129533678756477</v>
      </c>
      <c r="DC714" s="1082">
        <f t="shared" si="4479"/>
        <v>-0.0398009950248757</v>
      </c>
      <c r="DD714" s="1082">
        <f t="shared" si="4479"/>
        <v>-0.0837563451776649</v>
      </c>
      <c r="DE714" s="1082">
        <f t="shared" si="4479"/>
        <v>-0.171232876712329</v>
      </c>
      <c r="DF714" s="1082">
        <f t="shared" si="4479"/>
        <v>-0.120991253644315</v>
      </c>
      <c r="DG714" s="1082">
        <f t="shared" si="4479"/>
        <v>-0.111111111111111</v>
      </c>
      <c r="DH714" s="1082">
        <f t="shared" si="4479"/>
        <v>-0.145669291338583</v>
      </c>
      <c r="DI714" s="1085">
        <f t="shared" si="4479"/>
        <v>-0.118625277161863</v>
      </c>
      <c r="DJ714" s="1082">
        <f t="shared" ref="DJ714:DQ714" si="4482">DJ713/DB713-1</f>
        <v>-0.196428571428571</v>
      </c>
      <c r="DK714" s="1082">
        <f t="shared" si="4482"/>
        <v>-0.233160621761659</v>
      </c>
      <c r="DL714" s="1082">
        <f t="shared" si="4482"/>
        <v>-0.21606648199446</v>
      </c>
      <c r="DM714" s="1082">
        <f t="shared" si="4482"/>
        <v>-0.15702479338843</v>
      </c>
      <c r="DN714" s="1082">
        <f t="shared" si="4482"/>
        <v>-0.192371475953566</v>
      </c>
      <c r="DO714" s="1082" t="e">
        <f t="shared" si="4482"/>
        <v>#REF!</v>
      </c>
      <c r="DP714" s="1082" t="e">
        <f t="shared" si="4482"/>
        <v>#REF!</v>
      </c>
      <c r="DQ714" s="1085" t="e">
        <f t="shared" si="4482"/>
        <v>#REF!</v>
      </c>
      <c r="DR714" s="1082"/>
      <c r="DS714" s="1082"/>
      <c r="DT714" s="1082"/>
      <c r="DU714" s="1082"/>
      <c r="DV714" s="1082"/>
      <c r="DW714" s="1082"/>
      <c r="DX714" s="1082"/>
      <c r="DY714" s="1085"/>
      <c r="DZ714" s="1082"/>
      <c r="EA714" s="1082"/>
      <c r="EB714" s="1082"/>
      <c r="EC714" s="1082"/>
      <c r="ED714" s="1082"/>
      <c r="EE714" s="1082"/>
      <c r="EF714" s="1082"/>
      <c r="EG714" s="1085"/>
      <c r="EH714" s="1082"/>
      <c r="EI714" s="1082"/>
      <c r="EJ714" s="1082"/>
      <c r="EK714" s="1082"/>
      <c r="EL714" s="1082"/>
      <c r="EM714" s="1082"/>
      <c r="EN714" s="1082"/>
      <c r="EO714" s="1085"/>
      <c r="EP714" s="1082"/>
      <c r="EQ714" s="1082"/>
      <c r="ER714" s="1082"/>
      <c r="ES714" s="1082"/>
      <c r="ET714" s="1082"/>
      <c r="EU714" s="1082"/>
      <c r="EV714" s="1082"/>
      <c r="IX714" s="1083"/>
      <c r="IY714" s="1083"/>
      <c r="IZ714" s="1083"/>
      <c r="JA714" s="1083"/>
      <c r="JB714" s="1083"/>
      <c r="JC714" s="1083"/>
      <c r="JD714" s="1521"/>
      <c r="JE714" s="1126"/>
      <c r="JF714" s="1037"/>
      <c r="JG714" s="1037"/>
      <c r="JH714" s="1037"/>
      <c r="JI714" s="1035"/>
      <c r="JJ714" s="1035"/>
      <c r="JK714" s="1035"/>
      <c r="JL714" s="1035"/>
      <c r="JM714" s="1035"/>
      <c r="JN714" s="1035"/>
      <c r="JO714" s="1035"/>
      <c r="JP714" s="1035"/>
      <c r="JQ714" s="1035"/>
      <c r="JR714" s="1035"/>
      <c r="JS714" s="1035"/>
      <c r="JT714" s="1035"/>
      <c r="JU714" s="1035"/>
      <c r="JV714" s="1035"/>
      <c r="JW714" s="1035"/>
      <c r="JX714" s="1035"/>
      <c r="JY714" s="1035"/>
    </row>
    <row r="715" s="883" customFormat="1" outlineLevel="1" spans="1:285">
      <c r="A715" s="883" t="s">
        <v>631</v>
      </c>
      <c r="B715" s="1302"/>
      <c r="C715" s="1302"/>
      <c r="D715" s="1302"/>
      <c r="E715" s="1302"/>
      <c r="F715" s="1302"/>
      <c r="G715" s="1302"/>
      <c r="H715" s="1302"/>
      <c r="I715" s="1302"/>
      <c r="J715" s="1302"/>
      <c r="K715" s="1302"/>
      <c r="L715" s="1302"/>
      <c r="M715" s="1302"/>
      <c r="N715" s="1302"/>
      <c r="O715" s="1302"/>
      <c r="P715" s="1302"/>
      <c r="Q715" s="1302"/>
      <c r="R715" s="1302"/>
      <c r="S715" s="1302"/>
      <c r="T715" s="1302"/>
      <c r="U715" s="1302"/>
      <c r="V715" s="1302"/>
      <c r="W715" s="1302"/>
      <c r="X715" s="1302"/>
      <c r="Y715" s="1302"/>
      <c r="Z715" s="1302"/>
      <c r="AA715" s="1302"/>
      <c r="AB715" s="1302"/>
      <c r="AC715" s="1302"/>
      <c r="AD715" s="1302"/>
      <c r="AE715" s="1302"/>
      <c r="AF715" s="1302"/>
      <c r="AG715" s="1302"/>
      <c r="AH715" s="1302"/>
      <c r="AI715" s="1302"/>
      <c r="AJ715" s="1302"/>
      <c r="AK715" s="1302"/>
      <c r="AL715" s="1302"/>
      <c r="AM715" s="1302"/>
      <c r="AN715" s="1302"/>
      <c r="AO715" s="1302"/>
      <c r="AP715" s="1302"/>
      <c r="AQ715" s="1302"/>
      <c r="AR715" s="1302"/>
      <c r="AS715" s="1302"/>
      <c r="AT715" s="1302"/>
      <c r="AU715" s="1302"/>
      <c r="AV715" s="1302"/>
      <c r="AW715" s="1302"/>
      <c r="AX715" s="1303"/>
      <c r="AY715" s="1302"/>
      <c r="AZ715" s="1302"/>
      <c r="BA715" s="1302"/>
      <c r="BB715" s="1302"/>
      <c r="BC715" s="1302"/>
      <c r="BD715" s="1302"/>
      <c r="BE715" s="1304"/>
      <c r="BF715" s="1302"/>
      <c r="BG715" s="1302"/>
      <c r="BH715" s="1302"/>
      <c r="BI715" s="1302"/>
      <c r="BJ715" s="1302"/>
      <c r="BK715" s="1302"/>
      <c r="BL715" s="1302"/>
      <c r="BM715" s="1302"/>
      <c r="BN715" s="1303"/>
      <c r="BO715" s="1302"/>
      <c r="BP715" s="1302"/>
      <c r="BQ715" s="1302"/>
      <c r="BR715" s="1302"/>
      <c r="BS715" s="1302"/>
      <c r="BT715" s="1302"/>
      <c r="BU715" s="1304"/>
      <c r="BV715" s="1303"/>
      <c r="BW715" s="1302"/>
      <c r="BX715" s="1302"/>
      <c r="BY715" s="1302"/>
      <c r="BZ715" s="1302"/>
      <c r="CA715" s="1302"/>
      <c r="CB715" s="1302"/>
      <c r="CC715" s="1304"/>
      <c r="CD715" s="1303"/>
      <c r="CE715" s="1302"/>
      <c r="CF715" s="1302"/>
      <c r="CG715" s="1302"/>
      <c r="CH715" s="1302"/>
      <c r="CI715" s="1302"/>
      <c r="CJ715" s="1302"/>
      <c r="CK715" s="1304"/>
      <c r="CL715" s="1303">
        <v>0.357</v>
      </c>
      <c r="CM715" s="1302">
        <f>CM713/CM710</f>
        <v>0.320003355704698</v>
      </c>
      <c r="CN715" s="1302">
        <v>0.336</v>
      </c>
      <c r="CO715" s="1302">
        <f t="shared" ref="CO715:DB715" si="4483">CO713/CO710</f>
        <v>0.363543003851091</v>
      </c>
      <c r="CP715" s="1302">
        <f t="shared" si="4483"/>
        <v>0.347731000546747</v>
      </c>
      <c r="CQ715" s="1302">
        <f t="shared" si="4483"/>
        <v>0.355038759689922</v>
      </c>
      <c r="CR715" s="1302">
        <f t="shared" si="4483"/>
        <v>0.247752808988764</v>
      </c>
      <c r="CS715" s="1304">
        <f t="shared" si="4483"/>
        <v>0.349636216653193</v>
      </c>
      <c r="CT715" s="1303">
        <f t="shared" si="4483"/>
        <v>0.368320610687023</v>
      </c>
      <c r="CU715" s="1302">
        <f t="shared" si="4483"/>
        <v>0.391050583657588</v>
      </c>
      <c r="CV715" s="1302">
        <f t="shared" si="4483"/>
        <v>0.379576107899807</v>
      </c>
      <c r="CW715" s="1302">
        <f t="shared" si="4483"/>
        <v>0.402203856749311</v>
      </c>
      <c r="CX715" s="1302">
        <f t="shared" si="4483"/>
        <v>0.388888888888889</v>
      </c>
      <c r="CY715" s="1302">
        <f t="shared" si="4483"/>
        <v>0.380281690140845</v>
      </c>
      <c r="CZ715" s="1302">
        <f t="shared" si="4483"/>
        <v>0.39258114374034</v>
      </c>
      <c r="DA715" s="1304">
        <f t="shared" si="4483"/>
        <v>0.386792452830189</v>
      </c>
      <c r="DB715" s="1109">
        <f t="shared" si="4483"/>
        <v>0.370044052863436</v>
      </c>
      <c r="DC715" s="1082">
        <f t="shared" si="4479"/>
        <v>0.411513859275053</v>
      </c>
      <c r="DD715" s="1082">
        <f t="shared" si="4479"/>
        <v>0.391115926327194</v>
      </c>
      <c r="DE715" s="1082">
        <f t="shared" si="4479"/>
        <v>0.364457831325301</v>
      </c>
      <c r="DF715" s="1082">
        <f t="shared" si="4479"/>
        <v>0.379962192816635</v>
      </c>
      <c r="DG715" s="1082">
        <f t="shared" si="4479"/>
        <v>0.342245989304813</v>
      </c>
      <c r="DH715" s="1082">
        <f t="shared" si="4479"/>
        <v>0.354285714285714</v>
      </c>
      <c r="DI715" s="1085">
        <f t="shared" si="4479"/>
        <v>0.370111731843575</v>
      </c>
      <c r="DJ715" s="1082">
        <f>DJ719</f>
        <v>0.294759825327511</v>
      </c>
      <c r="DK715" s="1082">
        <f t="shared" ref="DK715:DQ715" si="4484">DK719</f>
        <v>0.329621380846325</v>
      </c>
      <c r="DL715" s="1082">
        <f t="shared" si="4484"/>
        <v>0.312017640573319</v>
      </c>
      <c r="DM715" s="1082">
        <f t="shared" si="4484"/>
        <v>0.345177664974619</v>
      </c>
      <c r="DN715" s="1082">
        <f t="shared" si="4484"/>
        <v>0.325100133511348</v>
      </c>
      <c r="DO715" s="1082" t="e">
        <f t="shared" si="4484"/>
        <v>#REF!</v>
      </c>
      <c r="DP715" s="1082" t="e">
        <f t="shared" si="4484"/>
        <v>#REF!</v>
      </c>
      <c r="DQ715" s="1085" t="e">
        <f t="shared" si="4484"/>
        <v>#REF!</v>
      </c>
      <c r="DR715" s="1082"/>
      <c r="DS715" s="1082"/>
      <c r="DT715" s="1082"/>
      <c r="DU715" s="1082"/>
      <c r="DV715" s="1082"/>
      <c r="DW715" s="1082"/>
      <c r="DX715" s="1082"/>
      <c r="DY715" s="1085"/>
      <c r="DZ715" s="1082"/>
      <c r="EA715" s="1082"/>
      <c r="EB715" s="1082"/>
      <c r="EC715" s="1082"/>
      <c r="ED715" s="1082"/>
      <c r="EE715" s="1082"/>
      <c r="EF715" s="1082"/>
      <c r="EG715" s="1085"/>
      <c r="EH715" s="1082"/>
      <c r="EI715" s="1082"/>
      <c r="EJ715" s="1082"/>
      <c r="EK715" s="1082"/>
      <c r="EL715" s="1082"/>
      <c r="EM715" s="1082"/>
      <c r="EN715" s="1082"/>
      <c r="EO715" s="1085"/>
      <c r="EP715" s="1082"/>
      <c r="EQ715" s="1082"/>
      <c r="ER715" s="1082"/>
      <c r="ES715" s="1082"/>
      <c r="ET715" s="1082"/>
      <c r="EU715" s="1082"/>
      <c r="EV715" s="1082"/>
      <c r="EW715" s="1039"/>
      <c r="EX715" s="891"/>
      <c r="EY715" s="891"/>
      <c r="EZ715" s="891"/>
      <c r="FA715" s="891"/>
      <c r="FB715" s="891"/>
      <c r="FC715" s="891"/>
      <c r="FD715" s="891"/>
      <c r="FE715" s="1039"/>
      <c r="FF715" s="891"/>
      <c r="FG715" s="891"/>
      <c r="FH715" s="891"/>
      <c r="FI715" s="891"/>
      <c r="FJ715" s="891"/>
      <c r="FK715" s="891"/>
      <c r="FL715" s="891"/>
      <c r="FM715" s="1039"/>
      <c r="FN715" s="891"/>
      <c r="FO715" s="891"/>
      <c r="FP715" s="891"/>
      <c r="FQ715" s="891"/>
      <c r="FR715" s="891"/>
      <c r="FS715" s="891"/>
      <c r="FT715" s="891"/>
      <c r="FU715" s="891"/>
      <c r="FV715" s="1040"/>
      <c r="FW715" s="891"/>
      <c r="FX715" s="891"/>
      <c r="FY715" s="891"/>
      <c r="FZ715" s="891"/>
      <c r="GA715" s="891"/>
      <c r="GB715" s="891"/>
      <c r="GC715" s="1039"/>
      <c r="GD715" s="891"/>
      <c r="GE715" s="891"/>
      <c r="GF715" s="891"/>
      <c r="GG715" s="891"/>
      <c r="GH715" s="891"/>
      <c r="GI715" s="891"/>
      <c r="GJ715" s="891"/>
      <c r="GK715" s="1039"/>
      <c r="GL715" s="891"/>
      <c r="GM715" s="891"/>
      <c r="GN715" s="891"/>
      <c r="GO715" s="891"/>
      <c r="GP715" s="891"/>
      <c r="GQ715" s="891"/>
      <c r="GR715" s="891"/>
      <c r="GS715" s="1039"/>
      <c r="GT715" s="891"/>
      <c r="GU715" s="891"/>
      <c r="GV715" s="891"/>
      <c r="GW715" s="891"/>
      <c r="GX715" s="891"/>
      <c r="GY715" s="891"/>
      <c r="GZ715" s="891"/>
      <c r="HA715" s="1039"/>
      <c r="HB715" s="891"/>
      <c r="HC715" s="891"/>
      <c r="HD715" s="891"/>
      <c r="HE715" s="891"/>
      <c r="HF715" s="891"/>
      <c r="HG715" s="891"/>
      <c r="HH715" s="891"/>
      <c r="HI715" s="1039"/>
      <c r="HJ715" s="891"/>
      <c r="HK715" s="891"/>
      <c r="HL715" s="891"/>
      <c r="HM715" s="891"/>
      <c r="HN715" s="891"/>
      <c r="HO715" s="891"/>
      <c r="HP715" s="891"/>
      <c r="HQ715" s="1039"/>
      <c r="HR715" s="891"/>
      <c r="HS715" s="891"/>
      <c r="HT715" s="891"/>
      <c r="HU715" s="891"/>
      <c r="HV715" s="891"/>
      <c r="HW715" s="891"/>
      <c r="HX715" s="891"/>
      <c r="HY715" s="891"/>
      <c r="HZ715" s="891"/>
      <c r="IA715" s="891"/>
      <c r="IB715" s="891"/>
      <c r="IC715" s="891"/>
      <c r="ID715" s="891"/>
      <c r="IE715" s="891"/>
      <c r="IF715" s="891"/>
      <c r="IG715" s="1039"/>
      <c r="IH715" s="891"/>
      <c r="II715" s="891"/>
      <c r="IJ715" s="891"/>
      <c r="IK715" s="891"/>
      <c r="IL715" s="891"/>
      <c r="IM715" s="891"/>
      <c r="IN715" s="891"/>
      <c r="IO715" s="1039"/>
      <c r="IP715" s="891"/>
      <c r="IQ715" s="891"/>
      <c r="IR715" s="891"/>
      <c r="IS715" s="891"/>
      <c r="IT715" s="891"/>
      <c r="IU715" s="891"/>
      <c r="IV715" s="891"/>
      <c r="IW715" s="891"/>
      <c r="IX715" s="1083"/>
      <c r="IY715" s="1083"/>
      <c r="IZ715" s="1083"/>
      <c r="JA715" s="1083"/>
      <c r="JB715" s="1083"/>
      <c r="JC715" s="1083"/>
      <c r="JD715" s="1521"/>
      <c r="JE715" s="1083"/>
      <c r="JF715" s="1082"/>
      <c r="JG715" s="1082"/>
      <c r="JH715" s="1082"/>
    </row>
    <row r="716" s="1024" customFormat="1" outlineLevel="1" spans="1:285">
      <c r="A716" s="1204" t="s">
        <v>658</v>
      </c>
      <c r="B716" s="1543"/>
      <c r="C716" s="1543"/>
      <c r="D716" s="1543"/>
      <c r="E716" s="1543"/>
      <c r="F716" s="1543"/>
      <c r="G716" s="1543"/>
      <c r="H716" s="1543"/>
      <c r="I716" s="1543"/>
      <c r="J716" s="1543"/>
      <c r="K716" s="1543"/>
      <c r="L716" s="1543"/>
      <c r="M716" s="1543"/>
      <c r="N716" s="1543"/>
      <c r="O716" s="1543"/>
      <c r="P716" s="1543"/>
      <c r="Q716" s="1543"/>
      <c r="R716" s="1543"/>
      <c r="S716" s="1543"/>
      <c r="T716" s="1543"/>
      <c r="U716" s="1543"/>
      <c r="V716" s="1543"/>
      <c r="W716" s="1543"/>
      <c r="X716" s="1543"/>
      <c r="Y716" s="1543"/>
      <c r="Z716" s="1543"/>
      <c r="AA716" s="1543"/>
      <c r="AB716" s="1543"/>
      <c r="AC716" s="1543"/>
      <c r="AD716" s="1543"/>
      <c r="AE716" s="1543"/>
      <c r="AF716" s="1543"/>
      <c r="AG716" s="1543"/>
      <c r="AH716" s="1543"/>
      <c r="AI716" s="1543"/>
      <c r="AJ716" s="1543"/>
      <c r="AK716" s="1543"/>
      <c r="AL716" s="1543"/>
      <c r="AM716" s="1543"/>
      <c r="AN716" s="1543"/>
      <c r="AO716" s="1543"/>
      <c r="AP716" s="1543"/>
      <c r="AQ716" s="1543"/>
      <c r="AR716" s="1543"/>
      <c r="AS716" s="1543"/>
      <c r="AT716" s="1543"/>
      <c r="AU716" s="1543"/>
      <c r="AV716" s="1543"/>
      <c r="AW716" s="1543"/>
      <c r="AX716" s="1544"/>
      <c r="AY716" s="1543"/>
      <c r="AZ716" s="1543"/>
      <c r="BA716" s="1543"/>
      <c r="BB716" s="1543"/>
      <c r="BC716" s="1543"/>
      <c r="BD716" s="1543"/>
      <c r="BE716" s="1545"/>
      <c r="BF716" s="1543"/>
      <c r="BG716" s="1543"/>
      <c r="BH716" s="1543"/>
      <c r="BI716" s="1543"/>
      <c r="BJ716" s="1543"/>
      <c r="BK716" s="1543"/>
      <c r="BL716" s="1543"/>
      <c r="BM716" s="1543"/>
      <c r="BN716" s="1544"/>
      <c r="BO716" s="1543"/>
      <c r="BP716" s="1543"/>
      <c r="BQ716" s="1543"/>
      <c r="BR716" s="1543"/>
      <c r="BS716" s="1543"/>
      <c r="BT716" s="1543"/>
      <c r="BU716" s="1545"/>
      <c r="BV716" s="1544"/>
      <c r="BW716" s="1543"/>
      <c r="BX716" s="1543"/>
      <c r="BY716" s="1543"/>
      <c r="BZ716" s="1543"/>
      <c r="CA716" s="1543"/>
      <c r="CB716" s="1543"/>
      <c r="CC716" s="1545"/>
      <c r="CD716" s="1544"/>
      <c r="CE716" s="1543"/>
      <c r="CF716" s="1543"/>
      <c r="CG716" s="1543"/>
      <c r="CH716" s="1543"/>
      <c r="CI716" s="1543"/>
      <c r="CJ716" s="1543"/>
      <c r="CK716" s="1545"/>
      <c r="CL716" s="1544">
        <v>22</v>
      </c>
      <c r="CM716" s="1543">
        <f>CN716-CL716</f>
        <v>27</v>
      </c>
      <c r="CN716" s="1543">
        <v>49</v>
      </c>
      <c r="CO716" s="1543">
        <f>CP716-CN716</f>
        <v>15</v>
      </c>
      <c r="CP716" s="1543">
        <v>64</v>
      </c>
      <c r="CQ716" s="1543">
        <f>CS716-CP716</f>
        <v>-140</v>
      </c>
      <c r="CR716" s="1543">
        <f>CS716-CQ716-CO716</f>
        <v>49</v>
      </c>
      <c r="CS716" s="1545">
        <v>-76</v>
      </c>
      <c r="CT716" s="1544">
        <v>0</v>
      </c>
      <c r="CU716" s="1543">
        <v>0</v>
      </c>
      <c r="CV716" s="1543">
        <v>0</v>
      </c>
      <c r="CW716" s="1543">
        <f>CX716-CV716</f>
        <v>0</v>
      </c>
      <c r="CX716" s="1543">
        <v>0</v>
      </c>
      <c r="CY716" s="1543">
        <v>0</v>
      </c>
      <c r="CZ716" s="1543">
        <v>0</v>
      </c>
      <c r="DA716" s="1545">
        <v>0</v>
      </c>
      <c r="DB716" s="1546">
        <v>0</v>
      </c>
      <c r="DC716" s="1354">
        <v>0</v>
      </c>
      <c r="DD716" s="1354">
        <v>0</v>
      </c>
      <c r="DE716" s="1354">
        <v>0</v>
      </c>
      <c r="DF716" s="1354">
        <v>0</v>
      </c>
      <c r="DG716" s="1354">
        <v>0</v>
      </c>
      <c r="DH716" s="1354">
        <v>0</v>
      </c>
      <c r="DI716" s="1355">
        <v>0</v>
      </c>
      <c r="DJ716" s="1354">
        <v>0</v>
      </c>
      <c r="DK716" s="1354">
        <v>0</v>
      </c>
      <c r="DL716" s="1354">
        <v>0</v>
      </c>
      <c r="DM716" s="1354">
        <v>0</v>
      </c>
      <c r="DN716" s="1354">
        <v>0</v>
      </c>
      <c r="DO716" s="1354">
        <v>0</v>
      </c>
      <c r="DP716" s="1354">
        <v>0</v>
      </c>
      <c r="DQ716" s="1355">
        <v>0</v>
      </c>
      <c r="DR716" s="1354"/>
      <c r="DS716" s="1354"/>
      <c r="DT716" s="1354"/>
      <c r="DU716" s="1354"/>
      <c r="DV716" s="1354"/>
      <c r="DW716" s="1354"/>
      <c r="DX716" s="1354"/>
      <c r="DY716" s="1355"/>
      <c r="DZ716" s="1354"/>
      <c r="EA716" s="1354"/>
      <c r="EB716" s="1354"/>
      <c r="EC716" s="1354"/>
      <c r="ED716" s="1354"/>
      <c r="EE716" s="1354"/>
      <c r="EF716" s="1354"/>
      <c r="EG716" s="1355"/>
      <c r="EH716" s="1354"/>
      <c r="EI716" s="1354"/>
      <c r="EJ716" s="1354"/>
      <c r="EK716" s="1354"/>
      <c r="EL716" s="1354"/>
      <c r="EM716" s="1354"/>
      <c r="EN716" s="1354"/>
      <c r="EO716" s="1355"/>
      <c r="EP716" s="1354"/>
      <c r="EQ716" s="1354"/>
      <c r="ER716" s="1354"/>
      <c r="ES716" s="1354"/>
      <c r="ET716" s="1354"/>
      <c r="EU716" s="1354"/>
      <c r="EV716" s="1354"/>
      <c r="EW716" s="1039"/>
      <c r="EX716" s="891"/>
      <c r="EY716" s="891"/>
      <c r="EZ716" s="891"/>
      <c r="FA716" s="891"/>
      <c r="FB716" s="891"/>
      <c r="FC716" s="891"/>
      <c r="FD716" s="891"/>
      <c r="FE716" s="1039"/>
      <c r="FF716" s="891"/>
      <c r="FG716" s="891"/>
      <c r="FH716" s="891"/>
      <c r="FI716" s="891"/>
      <c r="FJ716" s="891"/>
      <c r="FK716" s="891"/>
      <c r="FL716" s="891"/>
      <c r="FM716" s="1039"/>
      <c r="FN716" s="891"/>
      <c r="FO716" s="891"/>
      <c r="FP716" s="891"/>
      <c r="FQ716" s="891"/>
      <c r="FR716" s="891"/>
      <c r="FS716" s="891"/>
      <c r="FT716" s="891"/>
      <c r="FU716" s="891"/>
      <c r="FV716" s="1040"/>
      <c r="FW716" s="891"/>
      <c r="FX716" s="891"/>
      <c r="FY716" s="891"/>
      <c r="FZ716" s="891"/>
      <c r="GA716" s="891"/>
      <c r="GB716" s="891"/>
      <c r="GC716" s="1039"/>
      <c r="GD716" s="891"/>
      <c r="GE716" s="891"/>
      <c r="GF716" s="891"/>
      <c r="GG716" s="891"/>
      <c r="GH716" s="891"/>
      <c r="GI716" s="891"/>
      <c r="GJ716" s="891"/>
      <c r="GK716" s="1039"/>
      <c r="GL716" s="891"/>
      <c r="GM716" s="891"/>
      <c r="GN716" s="891"/>
      <c r="GO716" s="891"/>
      <c r="GP716" s="891"/>
      <c r="GQ716" s="891"/>
      <c r="GR716" s="891"/>
      <c r="GS716" s="1039"/>
      <c r="GT716" s="891"/>
      <c r="GU716" s="891"/>
      <c r="GV716" s="891"/>
      <c r="GW716" s="891"/>
      <c r="GX716" s="891"/>
      <c r="GY716" s="891"/>
      <c r="GZ716" s="891"/>
      <c r="HA716" s="1039"/>
      <c r="HB716" s="891"/>
      <c r="HC716" s="891"/>
      <c r="HD716" s="891"/>
      <c r="HE716" s="891"/>
      <c r="HF716" s="891"/>
      <c r="HG716" s="891"/>
      <c r="HH716" s="891"/>
      <c r="HI716" s="1039"/>
      <c r="HJ716" s="891"/>
      <c r="HK716" s="891"/>
      <c r="HL716" s="891"/>
      <c r="HM716" s="891"/>
      <c r="HN716" s="891"/>
      <c r="HO716" s="891"/>
      <c r="HP716" s="891"/>
      <c r="HQ716" s="1039"/>
      <c r="HR716" s="891"/>
      <c r="HS716" s="891"/>
      <c r="HT716" s="891"/>
      <c r="HU716" s="891"/>
      <c r="HV716" s="891"/>
      <c r="HW716" s="891"/>
      <c r="HX716" s="891"/>
      <c r="HY716" s="891"/>
      <c r="HZ716" s="891"/>
      <c r="IA716" s="891"/>
      <c r="IB716" s="891"/>
      <c r="IC716" s="891"/>
      <c r="ID716" s="891"/>
      <c r="IE716" s="891"/>
      <c r="IF716" s="891"/>
      <c r="IG716" s="1039"/>
      <c r="IH716" s="891"/>
      <c r="II716" s="891"/>
      <c r="IJ716" s="891"/>
      <c r="IK716" s="891"/>
      <c r="IL716" s="891"/>
      <c r="IM716" s="891"/>
      <c r="IN716" s="891"/>
      <c r="IO716" s="1039"/>
      <c r="IP716" s="891"/>
      <c r="IQ716" s="891"/>
      <c r="IR716" s="891"/>
      <c r="IS716" s="891"/>
      <c r="IT716" s="891"/>
      <c r="IU716" s="891"/>
      <c r="IV716" s="891"/>
      <c r="IW716" s="891"/>
      <c r="IX716" s="1354"/>
      <c r="IY716" s="1354"/>
      <c r="IZ716" s="1354"/>
      <c r="JA716" s="1354"/>
      <c r="JB716" s="1354"/>
      <c r="JC716" s="1354"/>
      <c r="JD716" s="1518"/>
      <c r="JE716" s="1126"/>
      <c r="JF716" s="1126"/>
      <c r="JG716" s="1126"/>
      <c r="JH716" s="1126"/>
    </row>
    <row r="717" spans="1:285">
      <c r="A717" s="1191" t="s">
        <v>659</v>
      </c>
      <c r="B717" s="1499"/>
      <c r="C717" s="1499"/>
      <c r="D717" s="1499"/>
      <c r="E717" s="1499"/>
      <c r="F717" s="1499"/>
      <c r="G717" s="1499"/>
      <c r="H717" s="1499"/>
      <c r="I717" s="1499"/>
      <c r="J717" s="1499"/>
      <c r="K717" s="1499"/>
      <c r="L717" s="1499"/>
      <c r="M717" s="1499"/>
      <c r="N717" s="1499"/>
      <c r="O717" s="1499"/>
      <c r="P717" s="1499"/>
      <c r="Q717" s="1499"/>
      <c r="R717" s="1499"/>
      <c r="S717" s="1499"/>
      <c r="T717" s="1499"/>
      <c r="U717" s="1499"/>
      <c r="V717" s="1499"/>
      <c r="W717" s="1499"/>
      <c r="X717" s="1499"/>
      <c r="Y717" s="1499"/>
      <c r="Z717" s="1499"/>
      <c r="AA717" s="1499"/>
      <c r="AB717" s="1499"/>
      <c r="AC717" s="1499"/>
      <c r="AD717" s="1499"/>
      <c r="AE717" s="1499"/>
      <c r="AF717" s="1499"/>
      <c r="AG717" s="1499"/>
      <c r="AH717" s="1499"/>
      <c r="AI717" s="1499"/>
      <c r="AJ717" s="1499"/>
      <c r="AK717" s="1499"/>
      <c r="AL717" s="1499"/>
      <c r="AM717" s="1499"/>
      <c r="AN717" s="1499"/>
      <c r="AO717" s="1499"/>
      <c r="AP717" s="1499"/>
      <c r="AQ717" s="1499"/>
      <c r="AR717" s="1499"/>
      <c r="AS717" s="1499"/>
      <c r="AT717" s="1499"/>
      <c r="AU717" s="1499"/>
      <c r="AV717" s="1499"/>
      <c r="AW717" s="1499"/>
      <c r="AX717" s="1500"/>
      <c r="AY717" s="1499"/>
      <c r="AZ717" s="1499"/>
      <c r="BA717" s="1499"/>
      <c r="BB717" s="1499"/>
      <c r="BC717" s="1499"/>
      <c r="BD717" s="1499"/>
      <c r="BE717" s="1501"/>
      <c r="BF717" s="1499"/>
      <c r="BG717" s="1499"/>
      <c r="BH717" s="1499"/>
      <c r="BI717" s="1499"/>
      <c r="BJ717" s="1499"/>
      <c r="BK717" s="1499"/>
      <c r="BL717" s="1499"/>
      <c r="BM717" s="1499"/>
      <c r="BN717" s="1500"/>
      <c r="BO717" s="1499"/>
      <c r="BP717" s="1499"/>
      <c r="BQ717" s="1499"/>
      <c r="BR717" s="1499"/>
      <c r="BS717" s="1499"/>
      <c r="BT717" s="1499"/>
      <c r="BU717" s="1501"/>
      <c r="BV717" s="1500"/>
      <c r="BW717" s="1499"/>
      <c r="BX717" s="1499"/>
      <c r="BY717" s="1499"/>
      <c r="BZ717" s="1499"/>
      <c r="CA717" s="1499"/>
      <c r="CB717" s="1499"/>
      <c r="CC717" s="1501"/>
      <c r="CD717" s="1500"/>
      <c r="CE717" s="1499"/>
      <c r="CF717" s="1499"/>
      <c r="CG717" s="1499"/>
      <c r="CH717" s="1499"/>
      <c r="CI717" s="1499"/>
      <c r="CJ717" s="1499"/>
      <c r="CK717" s="1501"/>
      <c r="CL717" s="1500">
        <f>CL713+CL716</f>
        <v>184.078</v>
      </c>
      <c r="CM717" s="1499">
        <f>CN717-CL717</f>
        <v>217.722</v>
      </c>
      <c r="CN717" s="1499">
        <f>CN713+CN716</f>
        <v>401.8</v>
      </c>
      <c r="CO717" s="1499">
        <f>CO713+CO716</f>
        <v>298.2</v>
      </c>
      <c r="CP717" s="1499">
        <f>CP713+CP716</f>
        <v>700</v>
      </c>
      <c r="CQ717" s="1499">
        <f>CS717-CP717</f>
        <v>89</v>
      </c>
      <c r="CR717" s="1499">
        <f>CS717-CQ717-CO717</f>
        <v>401.8</v>
      </c>
      <c r="CS717" s="1501">
        <f t="shared" ref="CS717:DB717" si="4485">CS713+CS716</f>
        <v>789</v>
      </c>
      <c r="CT717" s="1500">
        <f t="shared" si="4485"/>
        <v>193</v>
      </c>
      <c r="CU717" s="1499">
        <f t="shared" si="4485"/>
        <v>201</v>
      </c>
      <c r="CV717" s="1499">
        <f t="shared" si="4485"/>
        <v>394</v>
      </c>
      <c r="CW717" s="1499">
        <f t="shared" si="4485"/>
        <v>292</v>
      </c>
      <c r="CX717" s="1499">
        <f t="shared" si="4485"/>
        <v>686</v>
      </c>
      <c r="CY717" s="1499">
        <f t="shared" si="4485"/>
        <v>216</v>
      </c>
      <c r="CZ717" s="1499">
        <f t="shared" si="4485"/>
        <v>508</v>
      </c>
      <c r="DA717" s="1501">
        <f t="shared" si="4485"/>
        <v>902</v>
      </c>
      <c r="DB717" s="1502">
        <f t="shared" si="4485"/>
        <v>168</v>
      </c>
      <c r="DC717" s="1372">
        <f>DD717-DB717</f>
        <v>193</v>
      </c>
      <c r="DD717" s="1372">
        <v>361</v>
      </c>
      <c r="DE717" s="1372">
        <f>DF717-DD717</f>
        <v>242</v>
      </c>
      <c r="DF717" s="1372">
        <v>603</v>
      </c>
      <c r="DG717" s="1372">
        <f>DH717-DE717</f>
        <v>192</v>
      </c>
      <c r="DH717" s="1372">
        <f>DI717-DD717</f>
        <v>434</v>
      </c>
      <c r="DI717" s="1503">
        <v>795</v>
      </c>
      <c r="DJ717" s="1372">
        <f>DJ716+DJ713</f>
        <v>135</v>
      </c>
      <c r="DK717" s="1372">
        <f t="shared" ref="DK717:DQ717" si="4486">DK716+DK713</f>
        <v>148</v>
      </c>
      <c r="DL717" s="1372">
        <f t="shared" si="4486"/>
        <v>283</v>
      </c>
      <c r="DM717" s="1372">
        <f t="shared" si="4486"/>
        <v>204</v>
      </c>
      <c r="DN717" s="1372">
        <f t="shared" si="4486"/>
        <v>487</v>
      </c>
      <c r="DO717" s="1372" t="e">
        <f t="shared" si="4486"/>
        <v>#REF!</v>
      </c>
      <c r="DP717" s="1372" t="e">
        <f t="shared" si="4486"/>
        <v>#REF!</v>
      </c>
      <c r="DQ717" s="1503" t="e">
        <f t="shared" si="4486"/>
        <v>#REF!</v>
      </c>
      <c r="DR717" s="1372"/>
      <c r="DS717" s="1372"/>
      <c r="DT717" s="1372"/>
      <c r="DU717" s="1372"/>
      <c r="DV717" s="1372"/>
      <c r="DW717" s="1372"/>
      <c r="DX717" s="1372"/>
      <c r="DY717" s="1503"/>
      <c r="DZ717" s="1372"/>
      <c r="EA717" s="1372"/>
      <c r="EB717" s="1372"/>
      <c r="EC717" s="1372"/>
      <c r="ED717" s="1372"/>
      <c r="EE717" s="1372"/>
      <c r="EF717" s="1372"/>
      <c r="EG717" s="1503"/>
      <c r="EH717" s="1372"/>
      <c r="EI717" s="1372"/>
      <c r="EJ717" s="1372"/>
      <c r="EK717" s="1372"/>
      <c r="EL717" s="1372"/>
      <c r="EM717" s="1372"/>
      <c r="EN717" s="1372"/>
      <c r="EO717" s="1503"/>
      <c r="EP717" s="1372"/>
      <c r="EQ717" s="1372"/>
      <c r="ER717" s="1372"/>
      <c r="ES717" s="1372"/>
      <c r="ET717" s="1372"/>
      <c r="EU717" s="1372"/>
      <c r="EV717" s="1372"/>
      <c r="IX717" s="1354"/>
      <c r="IY717" s="1354"/>
      <c r="IZ717" s="1354"/>
      <c r="JA717" s="1354"/>
      <c r="JB717" s="1354"/>
      <c r="JC717" s="1354"/>
      <c r="JD717" s="1518"/>
      <c r="JE717" s="1126"/>
      <c r="JF717" s="1037"/>
      <c r="JG717" s="1037"/>
      <c r="JH717" s="1037"/>
      <c r="JI717" s="1035"/>
      <c r="JJ717" s="1035"/>
      <c r="JK717" s="1035"/>
      <c r="JL717" s="1035"/>
      <c r="JM717" s="1035"/>
      <c r="JN717" s="1035"/>
      <c r="JO717" s="1035"/>
      <c r="JP717" s="1035"/>
      <c r="JQ717" s="1035"/>
      <c r="JR717" s="1035"/>
      <c r="JS717" s="1035"/>
      <c r="JT717" s="1035"/>
      <c r="JU717" s="1035"/>
      <c r="JV717" s="1035"/>
      <c r="JW717" s="1035"/>
      <c r="JX717" s="1035"/>
      <c r="JY717" s="1035"/>
    </row>
    <row r="718" spans="1:285">
      <c r="A718" s="1339" t="s">
        <v>142</v>
      </c>
      <c r="B718" s="1409"/>
      <c r="C718" s="1409"/>
      <c r="D718" s="1409"/>
      <c r="E718" s="1409"/>
      <c r="F718" s="1409"/>
      <c r="G718" s="1409"/>
      <c r="H718" s="1409"/>
      <c r="I718" s="1409"/>
      <c r="J718" s="1409"/>
      <c r="K718" s="1409"/>
      <c r="L718" s="1409"/>
      <c r="M718" s="1409"/>
      <c r="N718" s="1409"/>
      <c r="O718" s="1409"/>
      <c r="P718" s="1409"/>
      <c r="Q718" s="1409"/>
      <c r="R718" s="1409"/>
      <c r="S718" s="1409"/>
      <c r="T718" s="1409"/>
      <c r="U718" s="1409"/>
      <c r="V718" s="1409"/>
      <c r="W718" s="1409"/>
      <c r="X718" s="1409"/>
      <c r="Y718" s="1409"/>
      <c r="Z718" s="1409"/>
      <c r="AA718" s="1409"/>
      <c r="AB718" s="1409"/>
      <c r="AC718" s="1409"/>
      <c r="AD718" s="1409"/>
      <c r="AE718" s="1409"/>
      <c r="AF718" s="1409"/>
      <c r="AG718" s="1409"/>
      <c r="AH718" s="1409"/>
      <c r="AI718" s="1409"/>
      <c r="AJ718" s="1409"/>
      <c r="AK718" s="1409"/>
      <c r="AL718" s="1409"/>
      <c r="AM718" s="1409"/>
      <c r="AN718" s="1409"/>
      <c r="AO718" s="1409"/>
      <c r="AP718" s="1409"/>
      <c r="AQ718" s="1409"/>
      <c r="AR718" s="1409"/>
      <c r="AS718" s="1409"/>
      <c r="AT718" s="1409"/>
      <c r="AU718" s="1409"/>
      <c r="AV718" s="1409"/>
      <c r="AW718" s="1409"/>
      <c r="AX718" s="1408"/>
      <c r="AY718" s="1409"/>
      <c r="AZ718" s="1409"/>
      <c r="BA718" s="1409"/>
      <c r="BB718" s="1409"/>
      <c r="BC718" s="1409"/>
      <c r="BD718" s="1409"/>
      <c r="BE718" s="1410"/>
      <c r="BF718" s="1409"/>
      <c r="BG718" s="1409"/>
      <c r="BH718" s="1409"/>
      <c r="BI718" s="1409"/>
      <c r="BJ718" s="1409"/>
      <c r="BK718" s="1409"/>
      <c r="BL718" s="1409"/>
      <c r="BM718" s="1409"/>
      <c r="BN718" s="1408"/>
      <c r="BO718" s="1409"/>
      <c r="BP718" s="1409"/>
      <c r="BQ718" s="1409"/>
      <c r="BR718" s="1409"/>
      <c r="BS718" s="1409"/>
      <c r="BT718" s="1409"/>
      <c r="BU718" s="1410"/>
      <c r="BV718" s="1526"/>
      <c r="BW718" s="1061"/>
      <c r="BX718" s="1061"/>
      <c r="BY718" s="1061"/>
      <c r="BZ718" s="1061"/>
      <c r="CA718" s="1061"/>
      <c r="CB718" s="1061"/>
      <c r="CC718" s="1527"/>
      <c r="CD718" s="1526"/>
      <c r="CE718" s="1061"/>
      <c r="CF718" s="1061"/>
      <c r="CG718" s="1061"/>
      <c r="CH718" s="1061"/>
      <c r="CI718" s="1061"/>
      <c r="CJ718" s="1061"/>
      <c r="CK718" s="1527"/>
      <c r="CL718" s="1526" t="s">
        <v>173</v>
      </c>
      <c r="CM718" s="1061" t="s">
        <v>173</v>
      </c>
      <c r="CN718" s="1061" t="s">
        <v>173</v>
      </c>
      <c r="CO718" s="1061" t="s">
        <v>173</v>
      </c>
      <c r="CP718" s="1061" t="s">
        <v>173</v>
      </c>
      <c r="CQ718" s="1061" t="s">
        <v>173</v>
      </c>
      <c r="CR718" s="1061" t="s">
        <v>173</v>
      </c>
      <c r="CS718" s="1527" t="s">
        <v>173</v>
      </c>
      <c r="CT718" s="1303">
        <f t="shared" ref="CT718:DA718" si="4487">CT717/CL717-1</f>
        <v>0.0484685839698389</v>
      </c>
      <c r="CU718" s="1302">
        <f t="shared" si="4487"/>
        <v>-0.0768043651996583</v>
      </c>
      <c r="CV718" s="1302">
        <f t="shared" si="4487"/>
        <v>-0.019412643106023</v>
      </c>
      <c r="CW718" s="1302">
        <f t="shared" si="4487"/>
        <v>-0.0207914151576123</v>
      </c>
      <c r="CX718" s="1302">
        <f t="shared" si="4487"/>
        <v>-0.02</v>
      </c>
      <c r="CY718" s="1302">
        <f t="shared" si="4487"/>
        <v>1.42696629213483</v>
      </c>
      <c r="CZ718" s="1302">
        <f t="shared" si="4487"/>
        <v>0.264310602289696</v>
      </c>
      <c r="DA718" s="1304">
        <f t="shared" si="4487"/>
        <v>0.143219264892269</v>
      </c>
      <c r="DB718" s="1109">
        <f t="shared" ref="DB718:DI718" si="4488">DB717/CT717-1</f>
        <v>-0.129533678756477</v>
      </c>
      <c r="DC718" s="1082">
        <f t="shared" si="4488"/>
        <v>-0.0398009950248757</v>
      </c>
      <c r="DD718" s="1082">
        <f t="shared" si="4488"/>
        <v>-0.0837563451776649</v>
      </c>
      <c r="DE718" s="1082">
        <f t="shared" si="4488"/>
        <v>-0.171232876712329</v>
      </c>
      <c r="DF718" s="1082">
        <f t="shared" si="4488"/>
        <v>-0.120991253644315</v>
      </c>
      <c r="DG718" s="1082">
        <f t="shared" si="4488"/>
        <v>-0.111111111111111</v>
      </c>
      <c r="DH718" s="1082">
        <f t="shared" si="4488"/>
        <v>-0.145669291338583</v>
      </c>
      <c r="DI718" s="1085">
        <f t="shared" si="4488"/>
        <v>-0.118625277161863</v>
      </c>
      <c r="DJ718" s="1082">
        <f t="shared" ref="DJ718:DQ718" si="4489">DJ717/DB717-1</f>
        <v>-0.196428571428571</v>
      </c>
      <c r="DK718" s="1082">
        <f t="shared" si="4489"/>
        <v>-0.233160621761659</v>
      </c>
      <c r="DL718" s="1082">
        <f t="shared" si="4489"/>
        <v>-0.21606648199446</v>
      </c>
      <c r="DM718" s="1082">
        <f t="shared" si="4489"/>
        <v>-0.15702479338843</v>
      </c>
      <c r="DN718" s="1082">
        <f t="shared" si="4489"/>
        <v>-0.192371475953566</v>
      </c>
      <c r="DO718" s="1082" t="e">
        <f t="shared" si="4489"/>
        <v>#REF!</v>
      </c>
      <c r="DP718" s="1082" t="e">
        <f t="shared" si="4489"/>
        <v>#REF!</v>
      </c>
      <c r="DQ718" s="1085" t="e">
        <f t="shared" si="4489"/>
        <v>#REF!</v>
      </c>
      <c r="DR718" s="1082"/>
      <c r="DS718" s="1082"/>
      <c r="DT718" s="1082"/>
      <c r="DU718" s="1082"/>
      <c r="DV718" s="1082"/>
      <c r="DW718" s="1082"/>
      <c r="DX718" s="1082"/>
      <c r="DY718" s="1085"/>
      <c r="DZ718" s="1082"/>
      <c r="EA718" s="1082"/>
      <c r="EB718" s="1082"/>
      <c r="EC718" s="1082"/>
      <c r="ED718" s="1082"/>
      <c r="EE718" s="1082"/>
      <c r="EF718" s="1082"/>
      <c r="EG718" s="1085"/>
      <c r="EH718" s="1082"/>
      <c r="EI718" s="1082"/>
      <c r="EJ718" s="1082"/>
      <c r="EK718" s="1082"/>
      <c r="EL718" s="1082"/>
      <c r="EM718" s="1082"/>
      <c r="EN718" s="1082"/>
      <c r="EO718" s="1085"/>
      <c r="EP718" s="1082"/>
      <c r="EQ718" s="1082"/>
      <c r="ER718" s="1082"/>
      <c r="ES718" s="1082"/>
      <c r="ET718" s="1082"/>
      <c r="EU718" s="1082"/>
      <c r="EV718" s="1082"/>
      <c r="IX718" s="1083"/>
      <c r="IY718" s="1083"/>
      <c r="IZ718" s="1083"/>
      <c r="JA718" s="1083"/>
      <c r="JB718" s="1083"/>
      <c r="JC718" s="1083"/>
      <c r="JD718" s="1521"/>
      <c r="JE718" s="1126"/>
      <c r="JF718" s="1037"/>
      <c r="JG718" s="1037"/>
      <c r="JH718" s="1037"/>
      <c r="JI718" s="1035"/>
      <c r="JJ718" s="1035"/>
      <c r="JK718" s="1035"/>
      <c r="JL718" s="1035"/>
      <c r="JM718" s="1035"/>
      <c r="JN718" s="1035"/>
      <c r="JO718" s="1035"/>
      <c r="JP718" s="1035"/>
      <c r="JQ718" s="1035"/>
      <c r="JR718" s="1035"/>
      <c r="JS718" s="1035"/>
      <c r="JT718" s="1035"/>
      <c r="JU718" s="1035"/>
      <c r="JV718" s="1035"/>
      <c r="JW718" s="1035"/>
      <c r="JX718" s="1035"/>
      <c r="JY718" s="1035"/>
    </row>
    <row r="719" s="883" customFormat="1" spans="1:285">
      <c r="A719" s="883" t="s">
        <v>631</v>
      </c>
      <c r="B719" s="1302"/>
      <c r="C719" s="1302"/>
      <c r="D719" s="1302"/>
      <c r="E719" s="1302"/>
      <c r="F719" s="1302"/>
      <c r="G719" s="1302"/>
      <c r="H719" s="1302"/>
      <c r="I719" s="1302"/>
      <c r="J719" s="1302"/>
      <c r="K719" s="1302"/>
      <c r="L719" s="1302"/>
      <c r="M719" s="1302"/>
      <c r="N719" s="1302"/>
      <c r="O719" s="1302"/>
      <c r="P719" s="1302"/>
      <c r="Q719" s="1302"/>
      <c r="R719" s="1302"/>
      <c r="S719" s="1302"/>
      <c r="T719" s="1302"/>
      <c r="U719" s="1302"/>
      <c r="V719" s="1302"/>
      <c r="W719" s="1302"/>
      <c r="X719" s="1302"/>
      <c r="Y719" s="1302"/>
      <c r="Z719" s="1302"/>
      <c r="AA719" s="1302"/>
      <c r="AB719" s="1302"/>
      <c r="AC719" s="1302"/>
      <c r="AD719" s="1302"/>
      <c r="AE719" s="1302"/>
      <c r="AF719" s="1302"/>
      <c r="AG719" s="1302"/>
      <c r="AH719" s="1302"/>
      <c r="AI719" s="1302"/>
      <c r="AJ719" s="1302"/>
      <c r="AK719" s="1302"/>
      <c r="AL719" s="1302"/>
      <c r="AM719" s="1302"/>
      <c r="AN719" s="1302"/>
      <c r="AO719" s="1302"/>
      <c r="AP719" s="1302"/>
      <c r="AQ719" s="1302"/>
      <c r="AR719" s="1302"/>
      <c r="AS719" s="1302"/>
      <c r="AT719" s="1302"/>
      <c r="AU719" s="1302"/>
      <c r="AV719" s="1302"/>
      <c r="AW719" s="1302"/>
      <c r="AX719" s="1303"/>
      <c r="AY719" s="1302"/>
      <c r="AZ719" s="1302"/>
      <c r="BA719" s="1302"/>
      <c r="BB719" s="1302"/>
      <c r="BC719" s="1302"/>
      <c r="BD719" s="1302"/>
      <c r="BE719" s="1304"/>
      <c r="BF719" s="1302"/>
      <c r="BG719" s="1302"/>
      <c r="BH719" s="1302"/>
      <c r="BI719" s="1302"/>
      <c r="BJ719" s="1302"/>
      <c r="BK719" s="1302"/>
      <c r="BL719" s="1302"/>
      <c r="BM719" s="1302"/>
      <c r="BN719" s="1303"/>
      <c r="BO719" s="1302"/>
      <c r="BP719" s="1302"/>
      <c r="BQ719" s="1302"/>
      <c r="BR719" s="1302"/>
      <c r="BS719" s="1302"/>
      <c r="BT719" s="1302"/>
      <c r="BU719" s="1304"/>
      <c r="BV719" s="1303"/>
      <c r="BW719" s="1302"/>
      <c r="BX719" s="1302"/>
      <c r="BY719" s="1302"/>
      <c r="BZ719" s="1302"/>
      <c r="CA719" s="1302"/>
      <c r="CB719" s="1302"/>
      <c r="CC719" s="1304"/>
      <c r="CD719" s="1303"/>
      <c r="CE719" s="1302"/>
      <c r="CF719" s="1302"/>
      <c r="CG719" s="1302"/>
      <c r="CH719" s="1302"/>
      <c r="CI719" s="1302"/>
      <c r="CJ719" s="1302"/>
      <c r="CK719" s="1304"/>
      <c r="CL719" s="1303">
        <f>CL717/CL710</f>
        <v>0.405458149779736</v>
      </c>
      <c r="CM719" s="1302">
        <f>CM717/CM710</f>
        <v>0.365305369127517</v>
      </c>
      <c r="CN719" s="1302">
        <v>0.382</v>
      </c>
      <c r="CO719" s="1302">
        <f t="shared" ref="CO719:DJ719" si="4490">CO717/CO710</f>
        <v>0.382798459563543</v>
      </c>
      <c r="CP719" s="1302">
        <f t="shared" si="4490"/>
        <v>0.382722799343904</v>
      </c>
      <c r="CQ719" s="1302">
        <f t="shared" si="4490"/>
        <v>0.137984496124031</v>
      </c>
      <c r="CR719" s="1302">
        <f t="shared" si="4490"/>
        <v>0.282162921348315</v>
      </c>
      <c r="CS719" s="1304">
        <f t="shared" si="4490"/>
        <v>0.318916734033953</v>
      </c>
      <c r="CT719" s="1303">
        <f t="shared" si="4490"/>
        <v>0.368320610687023</v>
      </c>
      <c r="CU719" s="1302">
        <f t="shared" si="4490"/>
        <v>0.391050583657588</v>
      </c>
      <c r="CV719" s="1302">
        <f t="shared" si="4490"/>
        <v>0.379576107899807</v>
      </c>
      <c r="CW719" s="1302">
        <f t="shared" si="4490"/>
        <v>0.402203856749311</v>
      </c>
      <c r="CX719" s="1302">
        <f t="shared" si="4490"/>
        <v>0.388888888888889</v>
      </c>
      <c r="CY719" s="1302">
        <f t="shared" si="4490"/>
        <v>0.380281690140845</v>
      </c>
      <c r="CZ719" s="1302">
        <f t="shared" si="4490"/>
        <v>0.39258114374034</v>
      </c>
      <c r="DA719" s="1304">
        <f t="shared" si="4490"/>
        <v>0.386792452830189</v>
      </c>
      <c r="DB719" s="1109">
        <f t="shared" si="4490"/>
        <v>0.370044052863436</v>
      </c>
      <c r="DC719" s="1082">
        <f t="shared" si="4490"/>
        <v>0.411513859275053</v>
      </c>
      <c r="DD719" s="1082">
        <f t="shared" si="4490"/>
        <v>0.391115926327194</v>
      </c>
      <c r="DE719" s="1082">
        <f t="shared" si="4490"/>
        <v>0.364457831325301</v>
      </c>
      <c r="DF719" s="1082">
        <f t="shared" si="4490"/>
        <v>0.379962192816635</v>
      </c>
      <c r="DG719" s="1082">
        <f t="shared" si="4490"/>
        <v>0.342245989304813</v>
      </c>
      <c r="DH719" s="1082">
        <f t="shared" si="4490"/>
        <v>0.354285714285714</v>
      </c>
      <c r="DI719" s="1085">
        <f t="shared" si="4490"/>
        <v>0.370111731843575</v>
      </c>
      <c r="DJ719" s="1082">
        <f t="shared" si="4490"/>
        <v>0.294759825327511</v>
      </c>
      <c r="DK719" s="1082">
        <f t="shared" ref="DK719:DQ719" si="4491">DK717/DK710</f>
        <v>0.329621380846325</v>
      </c>
      <c r="DL719" s="1082">
        <f t="shared" si="4491"/>
        <v>0.312017640573319</v>
      </c>
      <c r="DM719" s="1082">
        <f t="shared" si="4491"/>
        <v>0.345177664974619</v>
      </c>
      <c r="DN719" s="1082">
        <f t="shared" si="4491"/>
        <v>0.325100133511348</v>
      </c>
      <c r="DO719" s="1082" t="e">
        <f t="shared" si="4491"/>
        <v>#REF!</v>
      </c>
      <c r="DP719" s="1082" t="e">
        <f t="shared" si="4491"/>
        <v>#REF!</v>
      </c>
      <c r="DQ719" s="1085" t="e">
        <f t="shared" si="4491"/>
        <v>#REF!</v>
      </c>
      <c r="DR719" s="1082"/>
      <c r="DS719" s="1082"/>
      <c r="DT719" s="1082"/>
      <c r="DU719" s="1082"/>
      <c r="DV719" s="1082"/>
      <c r="DW719" s="1082"/>
      <c r="DX719" s="1082"/>
      <c r="DY719" s="1085"/>
      <c r="DZ719" s="1082"/>
      <c r="EA719" s="1082"/>
      <c r="EB719" s="1082"/>
      <c r="EC719" s="1082"/>
      <c r="ED719" s="1082"/>
      <c r="EE719" s="1082"/>
      <c r="EF719" s="1082"/>
      <c r="EG719" s="1085"/>
      <c r="EH719" s="1082"/>
      <c r="EI719" s="1082"/>
      <c r="EJ719" s="1082"/>
      <c r="EK719" s="1082"/>
      <c r="EL719" s="1082"/>
      <c r="EM719" s="1082"/>
      <c r="EN719" s="1082"/>
      <c r="EO719" s="1085"/>
      <c r="EP719" s="1082"/>
      <c r="EQ719" s="1082"/>
      <c r="ER719" s="1082"/>
      <c r="ES719" s="1082"/>
      <c r="ET719" s="1082"/>
      <c r="EU719" s="1082"/>
      <c r="EV719" s="1082"/>
      <c r="EW719" s="1039"/>
      <c r="EX719" s="891"/>
      <c r="EY719" s="891"/>
      <c r="EZ719" s="891"/>
      <c r="FA719" s="891"/>
      <c r="FB719" s="891"/>
      <c r="FC719" s="891"/>
      <c r="FD719" s="891"/>
      <c r="FE719" s="1039"/>
      <c r="FF719" s="891"/>
      <c r="FG719" s="891"/>
      <c r="FH719" s="891"/>
      <c r="FI719" s="891"/>
      <c r="FJ719" s="891"/>
      <c r="FK719" s="891"/>
      <c r="FL719" s="891"/>
      <c r="FM719" s="1039"/>
      <c r="FN719" s="891"/>
      <c r="FO719" s="891"/>
      <c r="FP719" s="891"/>
      <c r="FQ719" s="891"/>
      <c r="FR719" s="891"/>
      <c r="FS719" s="891"/>
      <c r="FT719" s="891"/>
      <c r="FU719" s="891"/>
      <c r="FV719" s="1040"/>
      <c r="FW719" s="891"/>
      <c r="FX719" s="891"/>
      <c r="FY719" s="891"/>
      <c r="FZ719" s="891"/>
      <c r="GA719" s="891"/>
      <c r="GB719" s="891"/>
      <c r="GC719" s="1039"/>
      <c r="GD719" s="891"/>
      <c r="GE719" s="891"/>
      <c r="GF719" s="891"/>
      <c r="GG719" s="891"/>
      <c r="GH719" s="891"/>
      <c r="GI719" s="891"/>
      <c r="GJ719" s="891"/>
      <c r="GK719" s="1039"/>
      <c r="GL719" s="891"/>
      <c r="GM719" s="891"/>
      <c r="GN719" s="891"/>
      <c r="GO719" s="891"/>
      <c r="GP719" s="891"/>
      <c r="GQ719" s="891"/>
      <c r="GR719" s="891"/>
      <c r="GS719" s="1039"/>
      <c r="GT719" s="891"/>
      <c r="GU719" s="891"/>
      <c r="GV719" s="891"/>
      <c r="GW719" s="891"/>
      <c r="GX719" s="891"/>
      <c r="GY719" s="891"/>
      <c r="GZ719" s="891"/>
      <c r="HA719" s="1039"/>
      <c r="HB719" s="891"/>
      <c r="HC719" s="891"/>
      <c r="HD719" s="891"/>
      <c r="HE719" s="891"/>
      <c r="HF719" s="891"/>
      <c r="HG719" s="891"/>
      <c r="HH719" s="891"/>
      <c r="HI719" s="1039"/>
      <c r="HJ719" s="891"/>
      <c r="HK719" s="891"/>
      <c r="HL719" s="891"/>
      <c r="HM719" s="891"/>
      <c r="HN719" s="891"/>
      <c r="HO719" s="891"/>
      <c r="HP719" s="891"/>
      <c r="HQ719" s="1039"/>
      <c r="HR719" s="891"/>
      <c r="HS719" s="891"/>
      <c r="HT719" s="891"/>
      <c r="HU719" s="891"/>
      <c r="HV719" s="891"/>
      <c r="HW719" s="891"/>
      <c r="HX719" s="891"/>
      <c r="HY719" s="891"/>
      <c r="HZ719" s="891"/>
      <c r="IA719" s="891"/>
      <c r="IB719" s="891"/>
      <c r="IC719" s="891"/>
      <c r="ID719" s="891"/>
      <c r="IE719" s="891"/>
      <c r="IF719" s="891"/>
      <c r="IG719" s="1039"/>
      <c r="IH719" s="891"/>
      <c r="II719" s="891"/>
      <c r="IJ719" s="891"/>
      <c r="IK719" s="891"/>
      <c r="IL719" s="891"/>
      <c r="IM719" s="891"/>
      <c r="IN719" s="891"/>
      <c r="IO719" s="1039"/>
      <c r="IP719" s="891"/>
      <c r="IQ719" s="891"/>
      <c r="IR719" s="891"/>
      <c r="IS719" s="891"/>
      <c r="IT719" s="891"/>
      <c r="IU719" s="891"/>
      <c r="IV719" s="891"/>
      <c r="IW719" s="891"/>
      <c r="IX719" s="1083"/>
      <c r="IY719" s="1083"/>
      <c r="IZ719" s="1083"/>
      <c r="JA719" s="1083"/>
      <c r="JB719" s="1083"/>
      <c r="JC719" s="1083"/>
      <c r="JD719" s="1521"/>
      <c r="JE719" s="1083"/>
      <c r="JF719" s="1082"/>
      <c r="JG719" s="1082"/>
      <c r="JH719" s="1082"/>
    </row>
    <row r="720" outlineLevel="1" spans="1:285">
      <c r="A720" s="1191" t="s">
        <v>660</v>
      </c>
      <c r="B720" s="1499"/>
      <c r="C720" s="1499"/>
      <c r="D720" s="1499"/>
      <c r="E720" s="1499"/>
      <c r="F720" s="1499"/>
      <c r="G720" s="1499"/>
      <c r="H720" s="1499"/>
      <c r="I720" s="1499"/>
      <c r="J720" s="1499"/>
      <c r="K720" s="1499"/>
      <c r="L720" s="1499"/>
      <c r="M720" s="1499"/>
      <c r="N720" s="1499"/>
      <c r="O720" s="1499"/>
      <c r="P720" s="1499"/>
      <c r="Q720" s="1499"/>
      <c r="R720" s="1499"/>
      <c r="S720" s="1499"/>
      <c r="T720" s="1499"/>
      <c r="U720" s="1499"/>
      <c r="V720" s="1499"/>
      <c r="W720" s="1499"/>
      <c r="X720" s="1499"/>
      <c r="Y720" s="1499"/>
      <c r="Z720" s="1499"/>
      <c r="AA720" s="1499"/>
      <c r="AB720" s="1499"/>
      <c r="AC720" s="1499"/>
      <c r="AD720" s="1499"/>
      <c r="AE720" s="1499"/>
      <c r="AF720" s="1499"/>
      <c r="AG720" s="1499"/>
      <c r="AH720" s="1499"/>
      <c r="AI720" s="1499"/>
      <c r="AJ720" s="1499"/>
      <c r="AK720" s="1499"/>
      <c r="AL720" s="1499"/>
      <c r="AM720" s="1499"/>
      <c r="AN720" s="1499"/>
      <c r="AO720" s="1499"/>
      <c r="AP720" s="1499"/>
      <c r="AQ720" s="1499"/>
      <c r="AR720" s="1499"/>
      <c r="AS720" s="1499"/>
      <c r="AT720" s="1499"/>
      <c r="AU720" s="1499"/>
      <c r="AV720" s="1499"/>
      <c r="AW720" s="1499"/>
      <c r="AX720" s="1500"/>
      <c r="AY720" s="1499"/>
      <c r="AZ720" s="1499"/>
      <c r="BA720" s="1499"/>
      <c r="BB720" s="1499"/>
      <c r="BC720" s="1499"/>
      <c r="BD720" s="1499"/>
      <c r="BE720" s="1501"/>
      <c r="BF720" s="1499"/>
      <c r="BG720" s="1499"/>
      <c r="BH720" s="1499"/>
      <c r="BI720" s="1499"/>
      <c r="BJ720" s="1499"/>
      <c r="BK720" s="1499"/>
      <c r="BL720" s="1499"/>
      <c r="BM720" s="1499"/>
      <c r="BN720" s="1500"/>
      <c r="BO720" s="1499"/>
      <c r="BP720" s="1499"/>
      <c r="BQ720" s="1499"/>
      <c r="BR720" s="1499"/>
      <c r="BS720" s="1499"/>
      <c r="BT720" s="1499"/>
      <c r="BU720" s="1501"/>
      <c r="BV720" s="1500"/>
      <c r="BW720" s="1499"/>
      <c r="BX720" s="1499"/>
      <c r="BY720" s="1499"/>
      <c r="BZ720" s="1499"/>
      <c r="CA720" s="1499"/>
      <c r="CB720" s="1499"/>
      <c r="CC720" s="1501"/>
      <c r="CD720" s="1500"/>
      <c r="CE720" s="1499"/>
      <c r="CF720" s="1499"/>
      <c r="CG720" s="1499"/>
      <c r="CH720" s="1499"/>
      <c r="CI720" s="1499"/>
      <c r="CJ720" s="1499"/>
      <c r="CK720" s="1501"/>
      <c r="CL720" s="1500">
        <v>17</v>
      </c>
      <c r="CM720" s="1499">
        <f>CN720-CL720</f>
        <v>-4</v>
      </c>
      <c r="CN720" s="1499">
        <v>13</v>
      </c>
      <c r="CO720" s="1499">
        <v>58</v>
      </c>
      <c r="CP720" s="1499">
        <v>71</v>
      </c>
      <c r="CQ720" s="1499">
        <f>CS720-CP720</f>
        <v>15</v>
      </c>
      <c r="CR720" s="1499">
        <f>CS720-CQ720-CO720</f>
        <v>13</v>
      </c>
      <c r="CS720" s="1501">
        <v>86</v>
      </c>
      <c r="CT720" s="1500">
        <v>6</v>
      </c>
      <c r="CU720" s="1499">
        <f>CV720-CT720</f>
        <v>-2</v>
      </c>
      <c r="CV720" s="1499">
        <v>4</v>
      </c>
      <c r="CW720" s="1499">
        <f>CX720-CV720</f>
        <v>85</v>
      </c>
      <c r="CX720" s="1499">
        <v>89</v>
      </c>
      <c r="CY720" s="1499">
        <f>DA720-CX720</f>
        <v>20</v>
      </c>
      <c r="CZ720" s="1499">
        <f>CY720+CW720</f>
        <v>105</v>
      </c>
      <c r="DA720" s="1501">
        <v>109</v>
      </c>
      <c r="DB720" s="1502">
        <v>-13</v>
      </c>
      <c r="DC720" s="1372">
        <f t="shared" ref="DB720:DF722" si="4492">DC724</f>
        <v>-11</v>
      </c>
      <c r="DD720" s="1372">
        <f t="shared" si="4492"/>
        <v>-24</v>
      </c>
      <c r="DE720" s="1372">
        <f t="shared" si="4492"/>
        <v>26</v>
      </c>
      <c r="DF720" s="1372">
        <f t="shared" si="4492"/>
        <v>2</v>
      </c>
      <c r="DG720" s="1372">
        <f>DH720-DE720</f>
        <v>-9</v>
      </c>
      <c r="DH720" s="1372">
        <f>DI720-DD720</f>
        <v>17</v>
      </c>
      <c r="DI720" s="1503">
        <v>-7</v>
      </c>
      <c r="DJ720" s="1372">
        <f t="shared" ref="DJ720:DQ720" si="4493">DJ599</f>
        <v>-95.9999999999999</v>
      </c>
      <c r="DK720" s="1372">
        <f t="shared" si="4493"/>
        <v>-51</v>
      </c>
      <c r="DL720" s="1372">
        <f t="shared" si="4493"/>
        <v>-147</v>
      </c>
      <c r="DM720" s="1372">
        <f t="shared" si="4493"/>
        <v>16.9999999999999</v>
      </c>
      <c r="DN720" s="1372">
        <f t="shared" si="4493"/>
        <v>-130</v>
      </c>
      <c r="DO720" s="1372" t="e">
        <f t="shared" si="4493"/>
        <v>#REF!</v>
      </c>
      <c r="DP720" s="1372" t="e">
        <f t="shared" si="4493"/>
        <v>#REF!</v>
      </c>
      <c r="DQ720" s="1503" t="e">
        <f t="shared" si="4493"/>
        <v>#REF!</v>
      </c>
      <c r="DR720" s="1372"/>
      <c r="DS720" s="1372"/>
      <c r="DT720" s="1372"/>
      <c r="DU720" s="1372"/>
      <c r="DV720" s="1372"/>
      <c r="DW720" s="1372"/>
      <c r="DX720" s="1372"/>
      <c r="DY720" s="1503"/>
      <c r="DZ720" s="1372"/>
      <c r="EA720" s="1372"/>
      <c r="EB720" s="1372"/>
      <c r="EC720" s="1372"/>
      <c r="ED720" s="1372"/>
      <c r="EE720" s="1372"/>
      <c r="EF720" s="1372"/>
      <c r="EG720" s="1503"/>
      <c r="EH720" s="1372"/>
      <c r="EI720" s="1372"/>
      <c r="EJ720" s="1372"/>
      <c r="EK720" s="1372"/>
      <c r="EL720" s="1372"/>
      <c r="EM720" s="1372"/>
      <c r="EN720" s="1372"/>
      <c r="EO720" s="1503"/>
      <c r="EP720" s="1372"/>
      <c r="EQ720" s="1372"/>
      <c r="ER720" s="1372"/>
      <c r="ES720" s="1372"/>
      <c r="ET720" s="1372"/>
      <c r="EU720" s="1372"/>
      <c r="EV720" s="1372"/>
      <c r="IX720" s="1354"/>
      <c r="IY720" s="1354"/>
      <c r="IZ720" s="1354"/>
      <c r="JA720" s="1354"/>
      <c r="JB720" s="1354"/>
      <c r="JC720" s="1354"/>
      <c r="JD720" s="1518"/>
      <c r="JE720" s="1126"/>
      <c r="JF720" s="1037"/>
      <c r="JG720" s="1037"/>
      <c r="JH720" s="1037"/>
      <c r="JI720" s="1035"/>
      <c r="JJ720" s="1035"/>
      <c r="JK720" s="1035"/>
      <c r="JL720" s="1035"/>
      <c r="JM720" s="1035"/>
      <c r="JN720" s="1035"/>
      <c r="JO720" s="1035"/>
      <c r="JP720" s="1035"/>
      <c r="JQ720" s="1035"/>
      <c r="JR720" s="1035"/>
      <c r="JS720" s="1035"/>
      <c r="JT720" s="1035"/>
      <c r="JU720" s="1035"/>
      <c r="JV720" s="1035"/>
      <c r="JW720" s="1035"/>
      <c r="JX720" s="1035"/>
      <c r="JY720" s="1035"/>
    </row>
    <row r="721" outlineLevel="1" spans="1:285">
      <c r="A721" s="1339" t="s">
        <v>142</v>
      </c>
      <c r="B721" s="1409"/>
      <c r="C721" s="1409"/>
      <c r="D721" s="1409"/>
      <c r="E721" s="1409"/>
      <c r="F721" s="1409"/>
      <c r="G721" s="1409"/>
      <c r="H721" s="1409"/>
      <c r="I721" s="1409"/>
      <c r="J721" s="1409"/>
      <c r="K721" s="1409"/>
      <c r="L721" s="1409"/>
      <c r="M721" s="1409"/>
      <c r="N721" s="1409"/>
      <c r="O721" s="1409"/>
      <c r="P721" s="1409"/>
      <c r="Q721" s="1409"/>
      <c r="R721" s="1409"/>
      <c r="S721" s="1409"/>
      <c r="T721" s="1409"/>
      <c r="U721" s="1409"/>
      <c r="V721" s="1409"/>
      <c r="W721" s="1409"/>
      <c r="X721" s="1409"/>
      <c r="Y721" s="1409"/>
      <c r="Z721" s="1409"/>
      <c r="AA721" s="1409"/>
      <c r="AB721" s="1409"/>
      <c r="AC721" s="1409"/>
      <c r="AD721" s="1409"/>
      <c r="AE721" s="1409"/>
      <c r="AF721" s="1409"/>
      <c r="AG721" s="1409"/>
      <c r="AH721" s="1409"/>
      <c r="AI721" s="1409"/>
      <c r="AJ721" s="1409"/>
      <c r="AK721" s="1409"/>
      <c r="AL721" s="1409"/>
      <c r="AM721" s="1409"/>
      <c r="AN721" s="1409"/>
      <c r="AO721" s="1409"/>
      <c r="AP721" s="1409"/>
      <c r="AQ721" s="1409"/>
      <c r="AR721" s="1409"/>
      <c r="AS721" s="1409"/>
      <c r="AT721" s="1409"/>
      <c r="AU721" s="1409"/>
      <c r="AV721" s="1409"/>
      <c r="AW721" s="1409"/>
      <c r="AX721" s="1408"/>
      <c r="AY721" s="1409"/>
      <c r="AZ721" s="1409"/>
      <c r="BA721" s="1409"/>
      <c r="BB721" s="1409"/>
      <c r="BC721" s="1409"/>
      <c r="BD721" s="1409"/>
      <c r="BE721" s="1410"/>
      <c r="BF721" s="1409"/>
      <c r="BG721" s="1409"/>
      <c r="BH721" s="1409"/>
      <c r="BI721" s="1409"/>
      <c r="BJ721" s="1409"/>
      <c r="BK721" s="1409"/>
      <c r="BL721" s="1409"/>
      <c r="BM721" s="1409"/>
      <c r="BN721" s="1408"/>
      <c r="BO721" s="1409"/>
      <c r="BP721" s="1409"/>
      <c r="BQ721" s="1409"/>
      <c r="BR721" s="1409"/>
      <c r="BS721" s="1409"/>
      <c r="BT721" s="1409"/>
      <c r="BU721" s="1410"/>
      <c r="BV721" s="1526"/>
      <c r="BW721" s="1061"/>
      <c r="BX721" s="1061"/>
      <c r="BY721" s="1061"/>
      <c r="BZ721" s="1061"/>
      <c r="CA721" s="1061"/>
      <c r="CB721" s="1061"/>
      <c r="CC721" s="1527"/>
      <c r="CD721" s="1526"/>
      <c r="CE721" s="1061"/>
      <c r="CF721" s="1061"/>
      <c r="CG721" s="1061"/>
      <c r="CH721" s="1061"/>
      <c r="CI721" s="1061"/>
      <c r="CJ721" s="1061"/>
      <c r="CK721" s="1527"/>
      <c r="CL721" s="1526" t="s">
        <v>173</v>
      </c>
      <c r="CM721" s="1061" t="s">
        <v>173</v>
      </c>
      <c r="CN721" s="1061" t="s">
        <v>173</v>
      </c>
      <c r="CO721" s="1061" t="s">
        <v>173</v>
      </c>
      <c r="CP721" s="1061" t="s">
        <v>173</v>
      </c>
      <c r="CQ721" s="1061" t="s">
        <v>173</v>
      </c>
      <c r="CR721" s="1061" t="s">
        <v>173</v>
      </c>
      <c r="CS721" s="1527" t="s">
        <v>173</v>
      </c>
      <c r="CT721" s="1303">
        <f t="shared" ref="CT721:DA721" si="4494">CT720/CL720-1</f>
        <v>-0.647058823529412</v>
      </c>
      <c r="CU721" s="1302">
        <f t="shared" si="4494"/>
        <v>-0.5</v>
      </c>
      <c r="CV721" s="1302">
        <f t="shared" si="4494"/>
        <v>-0.692307692307692</v>
      </c>
      <c r="CW721" s="1302">
        <f t="shared" si="4494"/>
        <v>0.46551724137931</v>
      </c>
      <c r="CX721" s="1302">
        <f t="shared" si="4494"/>
        <v>0.253521126760563</v>
      </c>
      <c r="CY721" s="1302">
        <f t="shared" si="4494"/>
        <v>0.333333333333333</v>
      </c>
      <c r="CZ721" s="1302">
        <f t="shared" si="4494"/>
        <v>7.07692307692308</v>
      </c>
      <c r="DA721" s="1304">
        <f t="shared" si="4494"/>
        <v>0.267441860465116</v>
      </c>
      <c r="DB721" s="1109">
        <f t="shared" si="4492"/>
        <v>-2.44444444444444</v>
      </c>
      <c r="DC721" s="1082">
        <f t="shared" si="4492"/>
        <v>-4.66666666666667</v>
      </c>
      <c r="DD721" s="1082">
        <f t="shared" si="4492"/>
        <v>-3</v>
      </c>
      <c r="DE721" s="1082">
        <f t="shared" si="4492"/>
        <v>-0.662337662337662</v>
      </c>
      <c r="DF721" s="1082">
        <f t="shared" si="4492"/>
        <v>-0.97752808988764</v>
      </c>
      <c r="DG721" s="1082">
        <f t="shared" ref="DG721:DI722" si="4495">DG725</f>
        <v>-1.45</v>
      </c>
      <c r="DH721" s="1082">
        <f t="shared" si="4495"/>
        <v>-0.838095238095238</v>
      </c>
      <c r="DI721" s="1085">
        <f t="shared" si="4495"/>
        <v>-1.06422018348624</v>
      </c>
      <c r="DJ721" s="1082">
        <f t="shared" ref="DJ721:DQ721" si="4496">DJ720/DB720-1</f>
        <v>6.38461538461537</v>
      </c>
      <c r="DK721" s="1082">
        <f t="shared" si="4496"/>
        <v>3.63636363636364</v>
      </c>
      <c r="DL721" s="1082">
        <f t="shared" si="4496"/>
        <v>5.125</v>
      </c>
      <c r="DM721" s="1082">
        <f t="shared" si="4496"/>
        <v>-0.346153846153849</v>
      </c>
      <c r="DN721" s="1082">
        <f t="shared" si="4496"/>
        <v>-66</v>
      </c>
      <c r="DO721" s="1082" t="e">
        <f t="shared" si="4496"/>
        <v>#REF!</v>
      </c>
      <c r="DP721" s="1082" t="e">
        <f t="shared" si="4496"/>
        <v>#REF!</v>
      </c>
      <c r="DQ721" s="1085" t="e">
        <f t="shared" si="4496"/>
        <v>#REF!</v>
      </c>
      <c r="DR721" s="1082"/>
      <c r="DS721" s="1082"/>
      <c r="DT721" s="1082"/>
      <c r="DU721" s="1082"/>
      <c r="DV721" s="1082"/>
      <c r="DW721" s="1082"/>
      <c r="DX721" s="1082"/>
      <c r="DY721" s="1085"/>
      <c r="DZ721" s="1082"/>
      <c r="EA721" s="1082"/>
      <c r="EB721" s="1082"/>
      <c r="EC721" s="1082"/>
      <c r="ED721" s="1082"/>
      <c r="EE721" s="1082"/>
      <c r="EF721" s="1082"/>
      <c r="EG721" s="1085"/>
      <c r="EH721" s="1082"/>
      <c r="EI721" s="1082"/>
      <c r="EJ721" s="1082"/>
      <c r="EK721" s="1082"/>
      <c r="EL721" s="1082"/>
      <c r="EM721" s="1082"/>
      <c r="EN721" s="1082"/>
      <c r="EO721" s="1085"/>
      <c r="EP721" s="1082"/>
      <c r="EQ721" s="1082"/>
      <c r="ER721" s="1082"/>
      <c r="ES721" s="1082"/>
      <c r="ET721" s="1082"/>
      <c r="EU721" s="1082"/>
      <c r="EV721" s="1082"/>
      <c r="IX721" s="1083"/>
      <c r="IY721" s="1083"/>
      <c r="IZ721" s="1083"/>
      <c r="JA721" s="1083"/>
      <c r="JB721" s="1083"/>
      <c r="JC721" s="1083"/>
      <c r="JD721" s="1521"/>
      <c r="JE721" s="1126"/>
      <c r="JF721" s="1037"/>
      <c r="JG721" s="1037"/>
      <c r="JH721" s="1037"/>
      <c r="JI721" s="1035"/>
      <c r="JJ721" s="1035"/>
      <c r="JK721" s="1035"/>
      <c r="JL721" s="1035"/>
      <c r="JM721" s="1035"/>
      <c r="JN721" s="1035"/>
      <c r="JO721" s="1035"/>
      <c r="JP721" s="1035"/>
      <c r="JQ721" s="1035"/>
      <c r="JR721" s="1035"/>
      <c r="JS721" s="1035"/>
      <c r="JT721" s="1035"/>
      <c r="JU721" s="1035"/>
      <c r="JV721" s="1035"/>
      <c r="JW721" s="1035"/>
      <c r="JX721" s="1035"/>
      <c r="JY721" s="1035"/>
    </row>
    <row r="722" s="883" customFormat="1" outlineLevel="1" spans="1:285">
      <c r="A722" s="883" t="s">
        <v>652</v>
      </c>
      <c r="B722" s="1302"/>
      <c r="C722" s="1302"/>
      <c r="D722" s="1302"/>
      <c r="E722" s="1302"/>
      <c r="F722" s="1302"/>
      <c r="G722" s="1302"/>
      <c r="H722" s="1302"/>
      <c r="I722" s="1302"/>
      <c r="J722" s="1302"/>
      <c r="K722" s="1302"/>
      <c r="L722" s="1302"/>
      <c r="M722" s="1302"/>
      <c r="N722" s="1302"/>
      <c r="O722" s="1302"/>
      <c r="P722" s="1302"/>
      <c r="Q722" s="1302"/>
      <c r="R722" s="1302"/>
      <c r="S722" s="1302"/>
      <c r="T722" s="1302"/>
      <c r="U722" s="1302"/>
      <c r="V722" s="1302"/>
      <c r="W722" s="1302"/>
      <c r="X722" s="1302"/>
      <c r="Y722" s="1302"/>
      <c r="Z722" s="1302"/>
      <c r="AA722" s="1302"/>
      <c r="AB722" s="1302"/>
      <c r="AC722" s="1302"/>
      <c r="AD722" s="1302"/>
      <c r="AE722" s="1302"/>
      <c r="AF722" s="1302"/>
      <c r="AG722" s="1302"/>
      <c r="AH722" s="1302"/>
      <c r="AI722" s="1302"/>
      <c r="AJ722" s="1302"/>
      <c r="AK722" s="1302"/>
      <c r="AL722" s="1302"/>
      <c r="AM722" s="1302"/>
      <c r="AN722" s="1302"/>
      <c r="AO722" s="1302"/>
      <c r="AP722" s="1302"/>
      <c r="AQ722" s="1302"/>
      <c r="AR722" s="1302"/>
      <c r="AS722" s="1302"/>
      <c r="AT722" s="1302"/>
      <c r="AU722" s="1302"/>
      <c r="AV722" s="1302"/>
      <c r="AW722" s="1302"/>
      <c r="AX722" s="1303"/>
      <c r="AY722" s="1302"/>
      <c r="AZ722" s="1302"/>
      <c r="BA722" s="1302"/>
      <c r="BB722" s="1302"/>
      <c r="BC722" s="1302"/>
      <c r="BD722" s="1302"/>
      <c r="BE722" s="1304"/>
      <c r="BF722" s="1302"/>
      <c r="BG722" s="1302"/>
      <c r="BH722" s="1302"/>
      <c r="BI722" s="1302"/>
      <c r="BJ722" s="1302"/>
      <c r="BK722" s="1302"/>
      <c r="BL722" s="1302"/>
      <c r="BM722" s="1302"/>
      <c r="BN722" s="1303"/>
      <c r="BO722" s="1302"/>
      <c r="BP722" s="1302"/>
      <c r="BQ722" s="1302"/>
      <c r="BR722" s="1302"/>
      <c r="BS722" s="1302"/>
      <c r="BT722" s="1302"/>
      <c r="BU722" s="1304"/>
      <c r="BV722" s="1303"/>
      <c r="BW722" s="1302"/>
      <c r="BX722" s="1302"/>
      <c r="BY722" s="1302"/>
      <c r="BZ722" s="1302"/>
      <c r="CA722" s="1302"/>
      <c r="CB722" s="1302"/>
      <c r="CC722" s="1304"/>
      <c r="CD722" s="1303"/>
      <c r="CE722" s="1302"/>
      <c r="CF722" s="1302"/>
      <c r="CG722" s="1302"/>
      <c r="CH722" s="1302"/>
      <c r="CI722" s="1302"/>
      <c r="CJ722" s="1302"/>
      <c r="CK722" s="1304"/>
      <c r="CL722" s="1303">
        <f t="shared" ref="CL722:DA722" si="4497">CL720/CL710</f>
        <v>0.0374449339207048</v>
      </c>
      <c r="CM722" s="1302">
        <f t="shared" si="4497"/>
        <v>-0.00671140939597315</v>
      </c>
      <c r="CN722" s="1302">
        <f t="shared" si="4497"/>
        <v>0.0123809523809524</v>
      </c>
      <c r="CO722" s="1302">
        <f t="shared" si="4497"/>
        <v>0.0744544287548139</v>
      </c>
      <c r="CP722" s="1302">
        <f t="shared" si="4497"/>
        <v>0.038819026790596</v>
      </c>
      <c r="CQ722" s="1302">
        <f t="shared" si="4497"/>
        <v>0.0232558139534884</v>
      </c>
      <c r="CR722" s="1302">
        <f t="shared" si="4497"/>
        <v>0.00912921348314607</v>
      </c>
      <c r="CS722" s="1304">
        <f t="shared" si="4497"/>
        <v>0.0347615198059822</v>
      </c>
      <c r="CT722" s="1303">
        <f t="shared" si="4497"/>
        <v>0.0114503816793893</v>
      </c>
      <c r="CU722" s="1302">
        <f t="shared" si="4497"/>
        <v>-0.00389105058365759</v>
      </c>
      <c r="CV722" s="1302">
        <f t="shared" si="4497"/>
        <v>0.00385356454720617</v>
      </c>
      <c r="CW722" s="1302">
        <f t="shared" si="4497"/>
        <v>0.117079889807163</v>
      </c>
      <c r="CX722" s="1302">
        <f t="shared" si="4497"/>
        <v>0.050453514739229</v>
      </c>
      <c r="CY722" s="1302">
        <f t="shared" si="4497"/>
        <v>0.0352112676056338</v>
      </c>
      <c r="CZ722" s="1302">
        <f t="shared" si="4497"/>
        <v>0.0811437403400309</v>
      </c>
      <c r="DA722" s="1304">
        <f t="shared" si="4497"/>
        <v>0.0467409948542024</v>
      </c>
      <c r="DB722" s="1109">
        <f t="shared" si="4492"/>
        <v>-0.0286343612334802</v>
      </c>
      <c r="DC722" s="1082">
        <f t="shared" si="4492"/>
        <v>-0.023454157782516</v>
      </c>
      <c r="DD722" s="1082">
        <f t="shared" si="4492"/>
        <v>-0.0260021668472373</v>
      </c>
      <c r="DE722" s="1082">
        <f t="shared" si="4492"/>
        <v>0.0391566265060241</v>
      </c>
      <c r="DF722" s="1082">
        <f t="shared" si="4492"/>
        <v>0.00126023944549464</v>
      </c>
      <c r="DG722" s="1082">
        <f t="shared" si="4495"/>
        <v>-0.0160427807486631</v>
      </c>
      <c r="DH722" s="1082">
        <f t="shared" si="4495"/>
        <v>0.0138775510204082</v>
      </c>
      <c r="DI722" s="1085">
        <f t="shared" si="4495"/>
        <v>-0.00325884543761639</v>
      </c>
      <c r="DJ722" s="1082">
        <f>DJ726</f>
        <v>-0.209606986899563</v>
      </c>
      <c r="DK722" s="1082">
        <f t="shared" ref="DK722:DQ722" si="4498">DK726</f>
        <v>-0.11358574610245</v>
      </c>
      <c r="DL722" s="1082">
        <f t="shared" si="4498"/>
        <v>-0.162072767364939</v>
      </c>
      <c r="DM722" s="1082">
        <f t="shared" si="4498"/>
        <v>0.0287648054145515</v>
      </c>
      <c r="DN722" s="1082">
        <f t="shared" si="4498"/>
        <v>-0.0867823765020027</v>
      </c>
      <c r="DO722" s="1082" t="e">
        <f t="shared" si="4498"/>
        <v>#REF!</v>
      </c>
      <c r="DP722" s="1082" t="e">
        <f t="shared" si="4498"/>
        <v>#REF!</v>
      </c>
      <c r="DQ722" s="1085" t="e">
        <f t="shared" si="4498"/>
        <v>#REF!</v>
      </c>
      <c r="DR722" s="1082"/>
      <c r="DS722" s="1082"/>
      <c r="DT722" s="1082"/>
      <c r="DU722" s="1082"/>
      <c r="DV722" s="1082"/>
      <c r="DW722" s="1082"/>
      <c r="DX722" s="1082"/>
      <c r="DY722" s="1085"/>
      <c r="DZ722" s="1082"/>
      <c r="EA722" s="1082"/>
      <c r="EB722" s="1082"/>
      <c r="EC722" s="1082"/>
      <c r="ED722" s="1082"/>
      <c r="EE722" s="1082"/>
      <c r="EF722" s="1082"/>
      <c r="EG722" s="1085"/>
      <c r="EH722" s="1082"/>
      <c r="EI722" s="1082"/>
      <c r="EJ722" s="1082"/>
      <c r="EK722" s="1082"/>
      <c r="EL722" s="1082"/>
      <c r="EM722" s="1082"/>
      <c r="EN722" s="1082"/>
      <c r="EO722" s="1085"/>
      <c r="EP722" s="1082"/>
      <c r="EQ722" s="1082"/>
      <c r="ER722" s="1082"/>
      <c r="ES722" s="1082"/>
      <c r="ET722" s="1082"/>
      <c r="EU722" s="1082"/>
      <c r="EV722" s="1082"/>
      <c r="EW722" s="1039"/>
      <c r="EX722" s="891"/>
      <c r="EY722" s="891"/>
      <c r="EZ722" s="891"/>
      <c r="FA722" s="891"/>
      <c r="FB722" s="891"/>
      <c r="FC722" s="891"/>
      <c r="FD722" s="891"/>
      <c r="FE722" s="1039"/>
      <c r="FF722" s="891"/>
      <c r="FG722" s="891"/>
      <c r="FH722" s="891"/>
      <c r="FI722" s="891"/>
      <c r="FJ722" s="891"/>
      <c r="FK722" s="891"/>
      <c r="FL722" s="891"/>
      <c r="FM722" s="1039"/>
      <c r="FN722" s="891"/>
      <c r="FO722" s="891"/>
      <c r="FP722" s="891"/>
      <c r="FQ722" s="891"/>
      <c r="FR722" s="891"/>
      <c r="FS722" s="891"/>
      <c r="FT722" s="891"/>
      <c r="FU722" s="891"/>
      <c r="FV722" s="1040"/>
      <c r="FW722" s="891"/>
      <c r="FX722" s="891"/>
      <c r="FY722" s="891"/>
      <c r="FZ722" s="891"/>
      <c r="GA722" s="891"/>
      <c r="GB722" s="891"/>
      <c r="GC722" s="1039"/>
      <c r="GD722" s="891"/>
      <c r="GE722" s="891"/>
      <c r="GF722" s="891"/>
      <c r="GG722" s="891"/>
      <c r="GH722" s="891"/>
      <c r="GI722" s="891"/>
      <c r="GJ722" s="891"/>
      <c r="GK722" s="1039"/>
      <c r="GL722" s="891"/>
      <c r="GM722" s="891"/>
      <c r="GN722" s="891"/>
      <c r="GO722" s="891"/>
      <c r="GP722" s="891"/>
      <c r="GQ722" s="891"/>
      <c r="GR722" s="891"/>
      <c r="GS722" s="1039"/>
      <c r="GT722" s="891"/>
      <c r="GU722" s="891"/>
      <c r="GV722" s="891"/>
      <c r="GW722" s="891"/>
      <c r="GX722" s="891"/>
      <c r="GY722" s="891"/>
      <c r="GZ722" s="891"/>
      <c r="HA722" s="1039"/>
      <c r="HB722" s="891"/>
      <c r="HC722" s="891"/>
      <c r="HD722" s="891"/>
      <c r="HE722" s="891"/>
      <c r="HF722" s="891"/>
      <c r="HG722" s="891"/>
      <c r="HH722" s="891"/>
      <c r="HI722" s="1039"/>
      <c r="HJ722" s="891"/>
      <c r="HK722" s="891"/>
      <c r="HL722" s="891"/>
      <c r="HM722" s="891"/>
      <c r="HN722" s="891"/>
      <c r="HO722" s="891"/>
      <c r="HP722" s="891"/>
      <c r="HQ722" s="1039"/>
      <c r="HR722" s="891"/>
      <c r="HS722" s="891"/>
      <c r="HT722" s="891"/>
      <c r="HU722" s="891"/>
      <c r="HV722" s="891"/>
      <c r="HW722" s="891"/>
      <c r="HX722" s="891"/>
      <c r="HY722" s="891"/>
      <c r="HZ722" s="891"/>
      <c r="IA722" s="891"/>
      <c r="IB722" s="891"/>
      <c r="IC722" s="891"/>
      <c r="ID722" s="891"/>
      <c r="IE722" s="891"/>
      <c r="IF722" s="891"/>
      <c r="IG722" s="1039"/>
      <c r="IH722" s="891"/>
      <c r="II722" s="891"/>
      <c r="IJ722" s="891"/>
      <c r="IK722" s="891"/>
      <c r="IL722" s="891"/>
      <c r="IM722" s="891"/>
      <c r="IN722" s="891"/>
      <c r="IO722" s="1039"/>
      <c r="IP722" s="891"/>
      <c r="IQ722" s="891"/>
      <c r="IR722" s="891"/>
      <c r="IS722" s="891"/>
      <c r="IT722" s="891"/>
      <c r="IU722" s="891"/>
      <c r="IV722" s="891"/>
      <c r="IW722" s="891"/>
      <c r="IX722" s="1083"/>
      <c r="IY722" s="1083"/>
      <c r="IZ722" s="1083"/>
      <c r="JA722" s="1083"/>
      <c r="JB722" s="1083"/>
      <c r="JC722" s="1083"/>
      <c r="JD722" s="1521"/>
      <c r="JE722" s="1083"/>
      <c r="JF722" s="1082"/>
      <c r="JG722" s="1082"/>
      <c r="JH722" s="1082"/>
    </row>
    <row r="723" s="1024" customFormat="1" outlineLevel="1" spans="1:285">
      <c r="A723" s="1204" t="s">
        <v>661</v>
      </c>
      <c r="B723" s="1543"/>
      <c r="C723" s="1543"/>
      <c r="D723" s="1543"/>
      <c r="E723" s="1543"/>
      <c r="F723" s="1543"/>
      <c r="G723" s="1543"/>
      <c r="H723" s="1543"/>
      <c r="I723" s="1543"/>
      <c r="J723" s="1543"/>
      <c r="K723" s="1543"/>
      <c r="L723" s="1543"/>
      <c r="M723" s="1543"/>
      <c r="N723" s="1543"/>
      <c r="O723" s="1543"/>
      <c r="P723" s="1543"/>
      <c r="Q723" s="1543"/>
      <c r="R723" s="1543"/>
      <c r="S723" s="1543"/>
      <c r="T723" s="1543"/>
      <c r="U723" s="1543"/>
      <c r="V723" s="1543"/>
      <c r="W723" s="1543"/>
      <c r="X723" s="1543"/>
      <c r="Y723" s="1543"/>
      <c r="Z723" s="1543"/>
      <c r="AA723" s="1543"/>
      <c r="AB723" s="1543"/>
      <c r="AC723" s="1543"/>
      <c r="AD723" s="1543"/>
      <c r="AE723" s="1543"/>
      <c r="AF723" s="1543"/>
      <c r="AG723" s="1543"/>
      <c r="AH723" s="1543"/>
      <c r="AI723" s="1543"/>
      <c r="AJ723" s="1543"/>
      <c r="AK723" s="1543"/>
      <c r="AL723" s="1543"/>
      <c r="AM723" s="1543"/>
      <c r="AN723" s="1543"/>
      <c r="AO723" s="1543"/>
      <c r="AP723" s="1543"/>
      <c r="AQ723" s="1543"/>
      <c r="AR723" s="1543"/>
      <c r="AS723" s="1543"/>
      <c r="AT723" s="1543"/>
      <c r="AU723" s="1543"/>
      <c r="AV723" s="1543"/>
      <c r="AW723" s="1543"/>
      <c r="AX723" s="1544"/>
      <c r="AY723" s="1543"/>
      <c r="AZ723" s="1543"/>
      <c r="BA723" s="1543"/>
      <c r="BB723" s="1543"/>
      <c r="BC723" s="1543"/>
      <c r="BD723" s="1543"/>
      <c r="BE723" s="1545"/>
      <c r="BF723" s="1543"/>
      <c r="BG723" s="1543"/>
      <c r="BH723" s="1543"/>
      <c r="BI723" s="1543"/>
      <c r="BJ723" s="1543"/>
      <c r="BK723" s="1543"/>
      <c r="BL723" s="1543"/>
      <c r="BM723" s="1543"/>
      <c r="BN723" s="1544"/>
      <c r="BO723" s="1543"/>
      <c r="BP723" s="1543"/>
      <c r="BQ723" s="1543"/>
      <c r="BR723" s="1543"/>
      <c r="BS723" s="1543"/>
      <c r="BT723" s="1543"/>
      <c r="BU723" s="1545"/>
      <c r="BV723" s="1544"/>
      <c r="BW723" s="1543"/>
      <c r="BX723" s="1543"/>
      <c r="BY723" s="1543"/>
      <c r="BZ723" s="1543"/>
      <c r="CA723" s="1543"/>
      <c r="CB723" s="1543"/>
      <c r="CC723" s="1545"/>
      <c r="CD723" s="1544"/>
      <c r="CE723" s="1543"/>
      <c r="CF723" s="1543"/>
      <c r="CG723" s="1543"/>
      <c r="CH723" s="1543"/>
      <c r="CI723" s="1543"/>
      <c r="CJ723" s="1543"/>
      <c r="CK723" s="1545"/>
      <c r="CL723" s="1544">
        <v>26</v>
      </c>
      <c r="CM723" s="1543">
        <f>CN723-CL723</f>
        <v>31</v>
      </c>
      <c r="CN723" s="1543">
        <v>57</v>
      </c>
      <c r="CO723" s="1543">
        <f>CP723-CN723</f>
        <v>14</v>
      </c>
      <c r="CP723" s="1543">
        <v>71</v>
      </c>
      <c r="CQ723" s="1307">
        <f>CS723-CP723</f>
        <v>18</v>
      </c>
      <c r="CR723" s="1307">
        <f>CS723-CQ723-CO723</f>
        <v>57</v>
      </c>
      <c r="CS723" s="1309">
        <v>89</v>
      </c>
      <c r="CT723" s="1308">
        <v>3</v>
      </c>
      <c r="CU723" s="1307">
        <f>CV723-CT723</f>
        <v>5</v>
      </c>
      <c r="CV723" s="1307">
        <v>8</v>
      </c>
      <c r="CW723" s="1307">
        <f>CX723-CV723</f>
        <v>-8</v>
      </c>
      <c r="CX723" s="1307">
        <v>0</v>
      </c>
      <c r="CY723" s="1307">
        <v>0</v>
      </c>
      <c r="CZ723" s="1307">
        <v>0</v>
      </c>
      <c r="DA723" s="1309">
        <v>0</v>
      </c>
      <c r="DB723" s="1332">
        <v>0</v>
      </c>
      <c r="DC723" s="1311">
        <v>0</v>
      </c>
      <c r="DD723" s="1311">
        <v>0</v>
      </c>
      <c r="DE723" s="1311">
        <v>0</v>
      </c>
      <c r="DF723" s="1311">
        <v>0</v>
      </c>
      <c r="DG723" s="1311">
        <v>0</v>
      </c>
      <c r="DH723" s="1311">
        <v>0</v>
      </c>
      <c r="DI723" s="1312">
        <v>0</v>
      </c>
      <c r="DJ723" s="1311">
        <v>0</v>
      </c>
      <c r="DK723" s="1311">
        <v>0</v>
      </c>
      <c r="DL723" s="1311">
        <v>0</v>
      </c>
      <c r="DM723" s="1311">
        <v>0</v>
      </c>
      <c r="DN723" s="1311">
        <v>0</v>
      </c>
      <c r="DO723" s="1311">
        <v>0</v>
      </c>
      <c r="DP723" s="1311">
        <v>0</v>
      </c>
      <c r="DQ723" s="1312">
        <v>0</v>
      </c>
      <c r="DR723" s="1311"/>
      <c r="DS723" s="1311"/>
      <c r="DT723" s="1311"/>
      <c r="DU723" s="1311"/>
      <c r="DV723" s="1311"/>
      <c r="DW723" s="1311"/>
      <c r="DX723" s="1311"/>
      <c r="DY723" s="1312"/>
      <c r="DZ723" s="1311"/>
      <c r="EA723" s="1311"/>
      <c r="EB723" s="1311"/>
      <c r="EC723" s="1311"/>
      <c r="ED723" s="1311"/>
      <c r="EE723" s="1311"/>
      <c r="EF723" s="1311"/>
      <c r="EG723" s="1312"/>
      <c r="EH723" s="1311"/>
      <c r="EI723" s="1311"/>
      <c r="EJ723" s="1311"/>
      <c r="EK723" s="1311"/>
      <c r="EL723" s="1311"/>
      <c r="EM723" s="1311"/>
      <c r="EN723" s="1311"/>
      <c r="EO723" s="1312"/>
      <c r="EP723" s="1311"/>
      <c r="EQ723" s="1311"/>
      <c r="ER723" s="1311"/>
      <c r="ES723" s="1311"/>
      <c r="ET723" s="1311"/>
      <c r="EU723" s="1311"/>
      <c r="EV723" s="1311"/>
      <c r="EW723" s="1039"/>
      <c r="EX723" s="891"/>
      <c r="EY723" s="891"/>
      <c r="EZ723" s="891"/>
      <c r="FA723" s="891"/>
      <c r="FB723" s="891"/>
      <c r="FC723" s="891"/>
      <c r="FD723" s="891"/>
      <c r="FE723" s="1039"/>
      <c r="FF723" s="891"/>
      <c r="FG723" s="891"/>
      <c r="FH723" s="891"/>
      <c r="FI723" s="891"/>
      <c r="FJ723" s="891"/>
      <c r="FK723" s="891"/>
      <c r="FL723" s="891"/>
      <c r="FM723" s="1039"/>
      <c r="FN723" s="891"/>
      <c r="FO723" s="891"/>
      <c r="FP723" s="891"/>
      <c r="FQ723" s="891"/>
      <c r="FR723" s="891"/>
      <c r="FS723" s="891"/>
      <c r="FT723" s="891"/>
      <c r="FU723" s="891"/>
      <c r="FV723" s="1040"/>
      <c r="FW723" s="891"/>
      <c r="FX723" s="891"/>
      <c r="FY723" s="891"/>
      <c r="FZ723" s="891"/>
      <c r="GA723" s="891"/>
      <c r="GB723" s="891"/>
      <c r="GC723" s="1039"/>
      <c r="GD723" s="891"/>
      <c r="GE723" s="891"/>
      <c r="GF723" s="891"/>
      <c r="GG723" s="891"/>
      <c r="GH723" s="891"/>
      <c r="GI723" s="891"/>
      <c r="GJ723" s="891"/>
      <c r="GK723" s="1039"/>
      <c r="GL723" s="891"/>
      <c r="GM723" s="891"/>
      <c r="GN723" s="891"/>
      <c r="GO723" s="891"/>
      <c r="GP723" s="891"/>
      <c r="GQ723" s="891"/>
      <c r="GR723" s="891"/>
      <c r="GS723" s="1039"/>
      <c r="GT723" s="891"/>
      <c r="GU723" s="891"/>
      <c r="GV723" s="891"/>
      <c r="GW723" s="891"/>
      <c r="GX723" s="891"/>
      <c r="GY723" s="891"/>
      <c r="GZ723" s="891"/>
      <c r="HA723" s="1039"/>
      <c r="HB723" s="891"/>
      <c r="HC723" s="891"/>
      <c r="HD723" s="891"/>
      <c r="HE723" s="891"/>
      <c r="HF723" s="891"/>
      <c r="HG723" s="891"/>
      <c r="HH723" s="891"/>
      <c r="HI723" s="1039"/>
      <c r="HJ723" s="891"/>
      <c r="HK723" s="891"/>
      <c r="HL723" s="891"/>
      <c r="HM723" s="891"/>
      <c r="HN723" s="891"/>
      <c r="HO723" s="891"/>
      <c r="HP723" s="891"/>
      <c r="HQ723" s="1039"/>
      <c r="HR723" s="891"/>
      <c r="HS723" s="891"/>
      <c r="HT723" s="891"/>
      <c r="HU723" s="891"/>
      <c r="HV723" s="891"/>
      <c r="HW723" s="891"/>
      <c r="HX723" s="891"/>
      <c r="HY723" s="891"/>
      <c r="HZ723" s="891"/>
      <c r="IA723" s="891"/>
      <c r="IB723" s="891"/>
      <c r="IC723" s="891"/>
      <c r="ID723" s="891"/>
      <c r="IE723" s="891"/>
      <c r="IF723" s="891"/>
      <c r="IG723" s="1039"/>
      <c r="IH723" s="891"/>
      <c r="II723" s="891"/>
      <c r="IJ723" s="891"/>
      <c r="IK723" s="891"/>
      <c r="IL723" s="891"/>
      <c r="IM723" s="891"/>
      <c r="IN723" s="891"/>
      <c r="IO723" s="1039"/>
      <c r="IP723" s="891"/>
      <c r="IQ723" s="891"/>
      <c r="IR723" s="891"/>
      <c r="IS723" s="891"/>
      <c r="IT723" s="891"/>
      <c r="IU723" s="891"/>
      <c r="IV723" s="891"/>
      <c r="IW723" s="891"/>
      <c r="IX723" s="1354"/>
      <c r="IY723" s="1354"/>
      <c r="IZ723" s="1354"/>
      <c r="JA723" s="1354"/>
      <c r="JB723" s="1354"/>
      <c r="JC723" s="1354"/>
      <c r="JD723" s="1518"/>
      <c r="JE723" s="1126"/>
      <c r="JF723" s="1126"/>
      <c r="JG723" s="1126"/>
      <c r="JH723" s="1126"/>
    </row>
    <row r="724" spans="1:285">
      <c r="A724" s="1191" t="s">
        <v>662</v>
      </c>
      <c r="B724" s="1499"/>
      <c r="C724" s="1499"/>
      <c r="D724" s="1499"/>
      <c r="E724" s="1499"/>
      <c r="F724" s="1499"/>
      <c r="G724" s="1499"/>
      <c r="H724" s="1499"/>
      <c r="I724" s="1499"/>
      <c r="J724" s="1499"/>
      <c r="K724" s="1499"/>
      <c r="L724" s="1499"/>
      <c r="M724" s="1499"/>
      <c r="N724" s="1499"/>
      <c r="O724" s="1499"/>
      <c r="P724" s="1499"/>
      <c r="Q724" s="1499"/>
      <c r="R724" s="1499"/>
      <c r="S724" s="1499"/>
      <c r="T724" s="1499"/>
      <c r="U724" s="1499"/>
      <c r="V724" s="1499"/>
      <c r="W724" s="1499"/>
      <c r="X724" s="1499"/>
      <c r="Y724" s="1499"/>
      <c r="Z724" s="1499"/>
      <c r="AA724" s="1499"/>
      <c r="AB724" s="1499"/>
      <c r="AC724" s="1499"/>
      <c r="AD724" s="1499"/>
      <c r="AE724" s="1499"/>
      <c r="AF724" s="1499"/>
      <c r="AG724" s="1499"/>
      <c r="AH724" s="1499"/>
      <c r="AI724" s="1499"/>
      <c r="AJ724" s="1499"/>
      <c r="AK724" s="1499"/>
      <c r="AL724" s="1499"/>
      <c r="AM724" s="1499"/>
      <c r="AN724" s="1499"/>
      <c r="AO724" s="1499"/>
      <c r="AP724" s="1499"/>
      <c r="AQ724" s="1499"/>
      <c r="AR724" s="1499"/>
      <c r="AS724" s="1499"/>
      <c r="AT724" s="1499"/>
      <c r="AU724" s="1499"/>
      <c r="AV724" s="1499"/>
      <c r="AW724" s="1499"/>
      <c r="AX724" s="1500"/>
      <c r="AY724" s="1499"/>
      <c r="AZ724" s="1499"/>
      <c r="BA724" s="1499"/>
      <c r="BB724" s="1499"/>
      <c r="BC724" s="1499"/>
      <c r="BD724" s="1499"/>
      <c r="BE724" s="1501"/>
      <c r="BF724" s="1499"/>
      <c r="BG724" s="1499"/>
      <c r="BH724" s="1499"/>
      <c r="BI724" s="1499"/>
      <c r="BJ724" s="1499"/>
      <c r="BK724" s="1499"/>
      <c r="BL724" s="1499"/>
      <c r="BM724" s="1499"/>
      <c r="BN724" s="1500"/>
      <c r="BO724" s="1499"/>
      <c r="BP724" s="1499"/>
      <c r="BQ724" s="1499"/>
      <c r="BR724" s="1499"/>
      <c r="BS724" s="1499"/>
      <c r="BT724" s="1499"/>
      <c r="BU724" s="1501"/>
      <c r="BV724" s="1500"/>
      <c r="BW724" s="1499"/>
      <c r="BX724" s="1499"/>
      <c r="BY724" s="1499"/>
      <c r="BZ724" s="1499"/>
      <c r="CA724" s="1499"/>
      <c r="CB724" s="1499"/>
      <c r="CC724" s="1501"/>
      <c r="CD724" s="1500"/>
      <c r="CE724" s="1499"/>
      <c r="CF724" s="1499"/>
      <c r="CG724" s="1499"/>
      <c r="CH724" s="1499"/>
      <c r="CI724" s="1499"/>
      <c r="CJ724" s="1499"/>
      <c r="CK724" s="1501"/>
      <c r="CL724" s="1500">
        <f>CL720+CL723</f>
        <v>43</v>
      </c>
      <c r="CM724" s="1499">
        <f>CM720+CM723</f>
        <v>27</v>
      </c>
      <c r="CN724" s="1499">
        <f>CN720+CN723</f>
        <v>70</v>
      </c>
      <c r="CO724" s="1499">
        <v>58</v>
      </c>
      <c r="CP724" s="1499">
        <f>CP720+CP723</f>
        <v>142</v>
      </c>
      <c r="CQ724" s="1499">
        <f>CQ720+CQ723</f>
        <v>33</v>
      </c>
      <c r="CR724" s="1499">
        <f>CS724-CQ724-CO724</f>
        <v>84</v>
      </c>
      <c r="CS724" s="1501">
        <f t="shared" ref="CS724:DB724" si="4499">CS720+CS723</f>
        <v>175</v>
      </c>
      <c r="CT724" s="1500">
        <f t="shared" si="4499"/>
        <v>9</v>
      </c>
      <c r="CU724" s="1499">
        <f t="shared" si="4499"/>
        <v>3</v>
      </c>
      <c r="CV724" s="1499">
        <f t="shared" si="4499"/>
        <v>12</v>
      </c>
      <c r="CW724" s="1499">
        <f t="shared" si="4499"/>
        <v>77</v>
      </c>
      <c r="CX724" s="1499">
        <f t="shared" si="4499"/>
        <v>89</v>
      </c>
      <c r="CY724" s="1499">
        <f t="shared" si="4499"/>
        <v>20</v>
      </c>
      <c r="CZ724" s="1499">
        <f t="shared" si="4499"/>
        <v>105</v>
      </c>
      <c r="DA724" s="1501">
        <f t="shared" si="4499"/>
        <v>109</v>
      </c>
      <c r="DB724" s="1502">
        <f t="shared" si="4499"/>
        <v>-13</v>
      </c>
      <c r="DC724" s="1372">
        <f>DD724-DB724</f>
        <v>-11</v>
      </c>
      <c r="DD724" s="1372">
        <v>-24</v>
      </c>
      <c r="DE724" s="1372">
        <f>DF724-DD724</f>
        <v>26</v>
      </c>
      <c r="DF724" s="1372">
        <v>2</v>
      </c>
      <c r="DG724" s="1372">
        <f>DG720+DG723</f>
        <v>-9</v>
      </c>
      <c r="DH724" s="1372">
        <f>DH720+DH723</f>
        <v>17</v>
      </c>
      <c r="DI724" s="1503">
        <f>DI720+DI723</f>
        <v>-7</v>
      </c>
      <c r="DJ724" s="1372">
        <f>DJ720+DJ723</f>
        <v>-95.9999999999999</v>
      </c>
      <c r="DK724" s="1372">
        <f t="shared" ref="DK724:DQ724" si="4500">DK720+DK723</f>
        <v>-51</v>
      </c>
      <c r="DL724" s="1372">
        <f t="shared" si="4500"/>
        <v>-147</v>
      </c>
      <c r="DM724" s="1372">
        <f t="shared" si="4500"/>
        <v>16.9999999999999</v>
      </c>
      <c r="DN724" s="1372">
        <f t="shared" si="4500"/>
        <v>-130</v>
      </c>
      <c r="DO724" s="1372" t="e">
        <f t="shared" si="4500"/>
        <v>#REF!</v>
      </c>
      <c r="DP724" s="1372" t="e">
        <f t="shared" si="4500"/>
        <v>#REF!</v>
      </c>
      <c r="DQ724" s="1503" t="e">
        <f t="shared" si="4500"/>
        <v>#REF!</v>
      </c>
      <c r="DR724" s="1372"/>
      <c r="DS724" s="1372"/>
      <c r="DT724" s="1372"/>
      <c r="DU724" s="1372"/>
      <c r="DV724" s="1372"/>
      <c r="DW724" s="1372"/>
      <c r="DX724" s="1372"/>
      <c r="DY724" s="1503"/>
      <c r="DZ724" s="1372"/>
      <c r="EA724" s="1372"/>
      <c r="EB724" s="1372"/>
      <c r="EC724" s="1372"/>
      <c r="ED724" s="1372"/>
      <c r="EE724" s="1372"/>
      <c r="EF724" s="1372"/>
      <c r="EG724" s="1503"/>
      <c r="EH724" s="1372"/>
      <c r="EI724" s="1372"/>
      <c r="EJ724" s="1372"/>
      <c r="EK724" s="1372"/>
      <c r="EL724" s="1372"/>
      <c r="EM724" s="1372"/>
      <c r="EN724" s="1372"/>
      <c r="EO724" s="1503"/>
      <c r="EP724" s="1372"/>
      <c r="EQ724" s="1372"/>
      <c r="ER724" s="1372"/>
      <c r="ES724" s="1372"/>
      <c r="ET724" s="1372"/>
      <c r="EU724" s="1372"/>
      <c r="EV724" s="1372"/>
      <c r="IX724" s="1354"/>
      <c r="IY724" s="1354"/>
      <c r="IZ724" s="1354"/>
      <c r="JA724" s="1354"/>
      <c r="JB724" s="1354"/>
      <c r="JC724" s="1354"/>
      <c r="JD724" s="1518"/>
      <c r="JE724" s="1126"/>
      <c r="JF724" s="1037"/>
      <c r="JG724" s="1037"/>
      <c r="JH724" s="1037"/>
      <c r="JI724" s="1035"/>
      <c r="JJ724" s="1035"/>
      <c r="JK724" s="1035"/>
      <c r="JL724" s="1035"/>
      <c r="JM724" s="1035"/>
      <c r="JN724" s="1035"/>
      <c r="JO724" s="1035"/>
      <c r="JP724" s="1035"/>
      <c r="JQ724" s="1035"/>
      <c r="JR724" s="1035"/>
      <c r="JS724" s="1035"/>
      <c r="JT724" s="1035"/>
      <c r="JU724" s="1035"/>
      <c r="JV724" s="1035"/>
      <c r="JW724" s="1035"/>
      <c r="JX724" s="1035"/>
      <c r="JY724" s="1035"/>
    </row>
    <row r="725" spans="1:285">
      <c r="A725" s="1339" t="s">
        <v>142</v>
      </c>
      <c r="B725" s="1409"/>
      <c r="C725" s="1409"/>
      <c r="D725" s="1409"/>
      <c r="E725" s="1409"/>
      <c r="F725" s="1409"/>
      <c r="G725" s="1409"/>
      <c r="H725" s="1409"/>
      <c r="I725" s="1409"/>
      <c r="J725" s="1409"/>
      <c r="K725" s="1409"/>
      <c r="L725" s="1409"/>
      <c r="M725" s="1409"/>
      <c r="N725" s="1409"/>
      <c r="O725" s="1409"/>
      <c r="P725" s="1409"/>
      <c r="Q725" s="1409"/>
      <c r="R725" s="1409"/>
      <c r="S725" s="1409"/>
      <c r="T725" s="1409"/>
      <c r="U725" s="1409"/>
      <c r="V725" s="1409"/>
      <c r="W725" s="1409"/>
      <c r="X725" s="1409"/>
      <c r="Y725" s="1409"/>
      <c r="Z725" s="1409"/>
      <c r="AA725" s="1409"/>
      <c r="AB725" s="1409"/>
      <c r="AC725" s="1409"/>
      <c r="AD725" s="1409"/>
      <c r="AE725" s="1409"/>
      <c r="AF725" s="1409"/>
      <c r="AG725" s="1409"/>
      <c r="AH725" s="1409"/>
      <c r="AI725" s="1409"/>
      <c r="AJ725" s="1409"/>
      <c r="AK725" s="1409"/>
      <c r="AL725" s="1409"/>
      <c r="AM725" s="1409"/>
      <c r="AN725" s="1409"/>
      <c r="AO725" s="1409"/>
      <c r="AP725" s="1409"/>
      <c r="AQ725" s="1409"/>
      <c r="AR725" s="1409"/>
      <c r="AS725" s="1409"/>
      <c r="AT725" s="1409"/>
      <c r="AU725" s="1409"/>
      <c r="AV725" s="1409"/>
      <c r="AW725" s="1409"/>
      <c r="AX725" s="1408"/>
      <c r="AY725" s="1409"/>
      <c r="AZ725" s="1409"/>
      <c r="BA725" s="1409"/>
      <c r="BB725" s="1409"/>
      <c r="BC725" s="1409"/>
      <c r="BD725" s="1409"/>
      <c r="BE725" s="1410"/>
      <c r="BF725" s="1409"/>
      <c r="BG725" s="1409"/>
      <c r="BH725" s="1409"/>
      <c r="BI725" s="1409"/>
      <c r="BJ725" s="1409"/>
      <c r="BK725" s="1409"/>
      <c r="BL725" s="1409"/>
      <c r="BM725" s="1409"/>
      <c r="BN725" s="1408"/>
      <c r="BO725" s="1409"/>
      <c r="BP725" s="1409"/>
      <c r="BQ725" s="1409"/>
      <c r="BR725" s="1409"/>
      <c r="BS725" s="1409"/>
      <c r="BT725" s="1409"/>
      <c r="BU725" s="1410"/>
      <c r="BV725" s="1526"/>
      <c r="BW725" s="1061"/>
      <c r="BX725" s="1061"/>
      <c r="BY725" s="1061"/>
      <c r="BZ725" s="1061"/>
      <c r="CA725" s="1061"/>
      <c r="CB725" s="1061"/>
      <c r="CC725" s="1527"/>
      <c r="CD725" s="1526"/>
      <c r="CE725" s="1061"/>
      <c r="CF725" s="1061"/>
      <c r="CG725" s="1061"/>
      <c r="CH725" s="1061"/>
      <c r="CI725" s="1061"/>
      <c r="CJ725" s="1061"/>
      <c r="CK725" s="1527"/>
      <c r="CL725" s="1526" t="s">
        <v>173</v>
      </c>
      <c r="CM725" s="1061" t="s">
        <v>173</v>
      </c>
      <c r="CN725" s="1061" t="s">
        <v>173</v>
      </c>
      <c r="CO725" s="1061" t="s">
        <v>173</v>
      </c>
      <c r="CP725" s="1061" t="s">
        <v>173</v>
      </c>
      <c r="CQ725" s="1061" t="s">
        <v>173</v>
      </c>
      <c r="CR725" s="1061" t="s">
        <v>173</v>
      </c>
      <c r="CS725" s="1527" t="s">
        <v>173</v>
      </c>
      <c r="CT725" s="1303">
        <f t="shared" ref="CT725:DA725" si="4501">CT724/CL724-1</f>
        <v>-0.790697674418605</v>
      </c>
      <c r="CU725" s="1302">
        <f t="shared" si="4501"/>
        <v>-0.888888888888889</v>
      </c>
      <c r="CV725" s="1302">
        <f t="shared" si="4501"/>
        <v>-0.828571428571429</v>
      </c>
      <c r="CW725" s="1302">
        <f t="shared" si="4501"/>
        <v>0.327586206896552</v>
      </c>
      <c r="CX725" s="1302">
        <f t="shared" si="4501"/>
        <v>-0.373239436619718</v>
      </c>
      <c r="CY725" s="1302">
        <f t="shared" si="4501"/>
        <v>-0.393939393939394</v>
      </c>
      <c r="CZ725" s="1302">
        <f t="shared" si="4501"/>
        <v>0.25</v>
      </c>
      <c r="DA725" s="1304">
        <f t="shared" si="4501"/>
        <v>-0.377142857142857</v>
      </c>
      <c r="DB725" s="1109">
        <f t="shared" ref="DB725:DI725" si="4502">DB724/CT724-1</f>
        <v>-2.44444444444444</v>
      </c>
      <c r="DC725" s="1082">
        <f t="shared" si="4502"/>
        <v>-4.66666666666667</v>
      </c>
      <c r="DD725" s="1082">
        <f t="shared" si="4502"/>
        <v>-3</v>
      </c>
      <c r="DE725" s="1082">
        <f t="shared" si="4502"/>
        <v>-0.662337662337662</v>
      </c>
      <c r="DF725" s="1082">
        <f t="shared" si="4502"/>
        <v>-0.97752808988764</v>
      </c>
      <c r="DG725" s="1082">
        <f t="shared" si="4502"/>
        <v>-1.45</v>
      </c>
      <c r="DH725" s="1082">
        <f t="shared" si="4502"/>
        <v>-0.838095238095238</v>
      </c>
      <c r="DI725" s="1085">
        <f t="shared" si="4502"/>
        <v>-1.06422018348624</v>
      </c>
      <c r="DJ725" s="1082">
        <f t="shared" ref="DJ725:DQ725" si="4503">DJ724/DB724-1</f>
        <v>6.38461538461537</v>
      </c>
      <c r="DK725" s="1082">
        <f t="shared" si="4503"/>
        <v>3.63636363636364</v>
      </c>
      <c r="DL725" s="1082">
        <f t="shared" si="4503"/>
        <v>5.125</v>
      </c>
      <c r="DM725" s="1082">
        <f t="shared" si="4503"/>
        <v>-0.346153846153849</v>
      </c>
      <c r="DN725" s="1082">
        <f t="shared" si="4503"/>
        <v>-66</v>
      </c>
      <c r="DO725" s="1082" t="e">
        <f t="shared" si="4503"/>
        <v>#REF!</v>
      </c>
      <c r="DP725" s="1082" t="e">
        <f t="shared" si="4503"/>
        <v>#REF!</v>
      </c>
      <c r="DQ725" s="1085" t="e">
        <f t="shared" si="4503"/>
        <v>#REF!</v>
      </c>
      <c r="DR725" s="1082"/>
      <c r="DS725" s="1082"/>
      <c r="DT725" s="1082"/>
      <c r="DU725" s="1082"/>
      <c r="DV725" s="1082"/>
      <c r="DW725" s="1082"/>
      <c r="DX725" s="1082"/>
      <c r="DY725" s="1085"/>
      <c r="DZ725" s="1082"/>
      <c r="EA725" s="1082"/>
      <c r="EB725" s="1082"/>
      <c r="EC725" s="1082"/>
      <c r="ED725" s="1082"/>
      <c r="EE725" s="1082"/>
      <c r="EF725" s="1082"/>
      <c r="EG725" s="1085"/>
      <c r="EH725" s="1082"/>
      <c r="EI725" s="1082"/>
      <c r="EJ725" s="1082"/>
      <c r="EK725" s="1082"/>
      <c r="EL725" s="1082"/>
      <c r="EM725" s="1082"/>
      <c r="EN725" s="1082"/>
      <c r="EO725" s="1085"/>
      <c r="EP725" s="1082"/>
      <c r="EQ725" s="1082"/>
      <c r="ER725" s="1082"/>
      <c r="ES725" s="1082"/>
      <c r="ET725" s="1082"/>
      <c r="EU725" s="1082"/>
      <c r="EV725" s="1082"/>
      <c r="IX725" s="1083"/>
      <c r="IY725" s="1083"/>
      <c r="IZ725" s="1083"/>
      <c r="JA725" s="1083"/>
      <c r="JB725" s="1083"/>
      <c r="JC725" s="1083"/>
      <c r="JD725" s="1521"/>
      <c r="JE725" s="1126"/>
      <c r="JF725" s="1037"/>
      <c r="JG725" s="1037"/>
      <c r="JH725" s="1037"/>
      <c r="JI725" s="1035"/>
      <c r="JJ725" s="1035"/>
      <c r="JK725" s="1035"/>
      <c r="JL725" s="1035"/>
      <c r="JM725" s="1035"/>
      <c r="JN725" s="1035"/>
      <c r="JO725" s="1035"/>
      <c r="JP725" s="1035"/>
      <c r="JQ725" s="1035"/>
      <c r="JR725" s="1035"/>
      <c r="JS725" s="1035"/>
      <c r="JT725" s="1035"/>
      <c r="JU725" s="1035"/>
      <c r="JV725" s="1035"/>
      <c r="JW725" s="1035"/>
      <c r="JX725" s="1035"/>
      <c r="JY725" s="1035"/>
    </row>
    <row r="726" s="883" customFormat="1" spans="1:285">
      <c r="A726" s="883" t="s">
        <v>652</v>
      </c>
      <c r="B726" s="1302"/>
      <c r="C726" s="1302"/>
      <c r="D726" s="1302"/>
      <c r="E726" s="1302"/>
      <c r="F726" s="1302"/>
      <c r="G726" s="1302"/>
      <c r="H726" s="1302"/>
      <c r="I726" s="1302"/>
      <c r="J726" s="1302"/>
      <c r="K726" s="1302"/>
      <c r="L726" s="1302"/>
      <c r="M726" s="1302"/>
      <c r="N726" s="1302"/>
      <c r="O726" s="1302"/>
      <c r="P726" s="1302"/>
      <c r="Q726" s="1302"/>
      <c r="R726" s="1302"/>
      <c r="S726" s="1302"/>
      <c r="T726" s="1302"/>
      <c r="U726" s="1302"/>
      <c r="V726" s="1302"/>
      <c r="W726" s="1302"/>
      <c r="X726" s="1302"/>
      <c r="Y726" s="1302"/>
      <c r="Z726" s="1302"/>
      <c r="AA726" s="1302"/>
      <c r="AB726" s="1302"/>
      <c r="AC726" s="1302"/>
      <c r="AD726" s="1302"/>
      <c r="AE726" s="1302"/>
      <c r="AF726" s="1302"/>
      <c r="AG726" s="1302"/>
      <c r="AH726" s="1302"/>
      <c r="AI726" s="1302"/>
      <c r="AJ726" s="1302"/>
      <c r="AK726" s="1302"/>
      <c r="AL726" s="1302"/>
      <c r="AM726" s="1302"/>
      <c r="AN726" s="1302"/>
      <c r="AO726" s="1302"/>
      <c r="AP726" s="1302"/>
      <c r="AQ726" s="1302"/>
      <c r="AR726" s="1302"/>
      <c r="AS726" s="1302"/>
      <c r="AT726" s="1302"/>
      <c r="AU726" s="1302"/>
      <c r="AV726" s="1302"/>
      <c r="AW726" s="1302"/>
      <c r="AX726" s="1303"/>
      <c r="AY726" s="1302"/>
      <c r="AZ726" s="1302"/>
      <c r="BA726" s="1302"/>
      <c r="BB726" s="1302"/>
      <c r="BC726" s="1302"/>
      <c r="BD726" s="1302"/>
      <c r="BE726" s="1304"/>
      <c r="BF726" s="1302"/>
      <c r="BG726" s="1302"/>
      <c r="BH726" s="1302"/>
      <c r="BI726" s="1302"/>
      <c r="BJ726" s="1302"/>
      <c r="BK726" s="1302"/>
      <c r="BL726" s="1302"/>
      <c r="BM726" s="1302"/>
      <c r="BN726" s="1303"/>
      <c r="BO726" s="1302"/>
      <c r="BP726" s="1302"/>
      <c r="BQ726" s="1302"/>
      <c r="BR726" s="1302"/>
      <c r="BS726" s="1302"/>
      <c r="BT726" s="1302"/>
      <c r="BU726" s="1304"/>
      <c r="BV726" s="1303"/>
      <c r="BW726" s="1302"/>
      <c r="BX726" s="1302"/>
      <c r="BY726" s="1302"/>
      <c r="BZ726" s="1302"/>
      <c r="CA726" s="1302"/>
      <c r="CB726" s="1302"/>
      <c r="CC726" s="1304"/>
      <c r="CD726" s="1303"/>
      <c r="CE726" s="1302"/>
      <c r="CF726" s="1302"/>
      <c r="CG726" s="1302"/>
      <c r="CH726" s="1302"/>
      <c r="CI726" s="1302"/>
      <c r="CJ726" s="1302"/>
      <c r="CK726" s="1304"/>
      <c r="CL726" s="1303">
        <f>CL724/CL710</f>
        <v>0.0947136563876652</v>
      </c>
      <c r="CM726" s="1302">
        <f>CM724/CM710</f>
        <v>0.0453020134228188</v>
      </c>
      <c r="CN726" s="1302">
        <v>0.066</v>
      </c>
      <c r="CO726" s="1302">
        <v>0.08</v>
      </c>
      <c r="CP726" s="1302">
        <f t="shared" ref="CP726:DJ726" si="4504">CP724/CP710</f>
        <v>0.0776380535811919</v>
      </c>
      <c r="CQ726" s="1302">
        <f t="shared" si="4504"/>
        <v>0.0511627906976744</v>
      </c>
      <c r="CR726" s="1302">
        <f t="shared" si="4504"/>
        <v>0.0589887640449438</v>
      </c>
      <c r="CS726" s="1304">
        <f t="shared" si="4504"/>
        <v>0.0707356507679871</v>
      </c>
      <c r="CT726" s="1303">
        <f t="shared" si="4504"/>
        <v>0.017175572519084</v>
      </c>
      <c r="CU726" s="1302">
        <f t="shared" si="4504"/>
        <v>0.00583657587548638</v>
      </c>
      <c r="CV726" s="1302">
        <f t="shared" si="4504"/>
        <v>0.0115606936416185</v>
      </c>
      <c r="CW726" s="1302">
        <f t="shared" si="4504"/>
        <v>0.106060606060606</v>
      </c>
      <c r="CX726" s="1302">
        <f t="shared" si="4504"/>
        <v>0.050453514739229</v>
      </c>
      <c r="CY726" s="1302">
        <f t="shared" si="4504"/>
        <v>0.0352112676056338</v>
      </c>
      <c r="CZ726" s="1302">
        <f t="shared" si="4504"/>
        <v>0.0811437403400309</v>
      </c>
      <c r="DA726" s="1304">
        <f t="shared" si="4504"/>
        <v>0.0467409948542024</v>
      </c>
      <c r="DB726" s="1109">
        <f t="shared" si="4504"/>
        <v>-0.0286343612334802</v>
      </c>
      <c r="DC726" s="1082">
        <f t="shared" si="4504"/>
        <v>-0.023454157782516</v>
      </c>
      <c r="DD726" s="1082">
        <f t="shared" si="4504"/>
        <v>-0.0260021668472373</v>
      </c>
      <c r="DE726" s="1082">
        <f t="shared" si="4504"/>
        <v>0.0391566265060241</v>
      </c>
      <c r="DF726" s="1082">
        <f t="shared" si="4504"/>
        <v>0.00126023944549464</v>
      </c>
      <c r="DG726" s="1082">
        <f t="shared" si="4504"/>
        <v>-0.0160427807486631</v>
      </c>
      <c r="DH726" s="1082">
        <f t="shared" si="4504"/>
        <v>0.0138775510204082</v>
      </c>
      <c r="DI726" s="1085">
        <f t="shared" si="4504"/>
        <v>-0.00325884543761639</v>
      </c>
      <c r="DJ726" s="1082">
        <f t="shared" si="4504"/>
        <v>-0.209606986899563</v>
      </c>
      <c r="DK726" s="1082">
        <f t="shared" ref="DK726:DQ726" si="4505">DK724/DK710</f>
        <v>-0.11358574610245</v>
      </c>
      <c r="DL726" s="1082">
        <f t="shared" si="4505"/>
        <v>-0.162072767364939</v>
      </c>
      <c r="DM726" s="1082">
        <f t="shared" si="4505"/>
        <v>0.0287648054145515</v>
      </c>
      <c r="DN726" s="1082">
        <f t="shared" si="4505"/>
        <v>-0.0867823765020027</v>
      </c>
      <c r="DO726" s="1082" t="e">
        <f t="shared" si="4505"/>
        <v>#REF!</v>
      </c>
      <c r="DP726" s="1082" t="e">
        <f t="shared" si="4505"/>
        <v>#REF!</v>
      </c>
      <c r="DQ726" s="1085" t="e">
        <f t="shared" si="4505"/>
        <v>#REF!</v>
      </c>
      <c r="DR726" s="1082"/>
      <c r="DS726" s="1082"/>
      <c r="DT726" s="1082"/>
      <c r="DU726" s="1082"/>
      <c r="DV726" s="1082"/>
      <c r="DW726" s="1082"/>
      <c r="DX726" s="1082"/>
      <c r="DY726" s="1085"/>
      <c r="DZ726" s="1082"/>
      <c r="EA726" s="1082"/>
      <c r="EB726" s="1082"/>
      <c r="EC726" s="1082"/>
      <c r="ED726" s="1082"/>
      <c r="EE726" s="1082"/>
      <c r="EF726" s="1082"/>
      <c r="EG726" s="1085"/>
      <c r="EH726" s="1082"/>
      <c r="EI726" s="1082"/>
      <c r="EJ726" s="1082"/>
      <c r="EK726" s="1082"/>
      <c r="EL726" s="1082"/>
      <c r="EM726" s="1082"/>
      <c r="EN726" s="1082"/>
      <c r="EO726" s="1085"/>
      <c r="EP726" s="1082"/>
      <c r="EQ726" s="1082"/>
      <c r="ER726" s="1082"/>
      <c r="ES726" s="1082"/>
      <c r="ET726" s="1082"/>
      <c r="EU726" s="1082"/>
      <c r="EV726" s="1082"/>
      <c r="EW726" s="1039"/>
      <c r="EX726" s="891"/>
      <c r="EY726" s="891"/>
      <c r="EZ726" s="891"/>
      <c r="FA726" s="891"/>
      <c r="FB726" s="891"/>
      <c r="FC726" s="891"/>
      <c r="FD726" s="891"/>
      <c r="FE726" s="1039"/>
      <c r="FF726" s="891"/>
      <c r="FG726" s="891"/>
      <c r="FH726" s="891"/>
      <c r="FI726" s="891"/>
      <c r="FJ726" s="891"/>
      <c r="FK726" s="891"/>
      <c r="FL726" s="891"/>
      <c r="FM726" s="1039"/>
      <c r="FN726" s="891"/>
      <c r="FO726" s="891"/>
      <c r="FP726" s="891"/>
      <c r="FQ726" s="891"/>
      <c r="FR726" s="891"/>
      <c r="FS726" s="891"/>
      <c r="FT726" s="891"/>
      <c r="FU726" s="891"/>
      <c r="FV726" s="1040"/>
      <c r="FW726" s="891"/>
      <c r="FX726" s="891"/>
      <c r="FY726" s="891"/>
      <c r="FZ726" s="891"/>
      <c r="GA726" s="891"/>
      <c r="GB726" s="891"/>
      <c r="GC726" s="1039"/>
      <c r="GD726" s="891"/>
      <c r="GE726" s="891"/>
      <c r="GF726" s="891"/>
      <c r="GG726" s="891"/>
      <c r="GH726" s="891"/>
      <c r="GI726" s="891"/>
      <c r="GJ726" s="891"/>
      <c r="GK726" s="1039"/>
      <c r="GL726" s="891"/>
      <c r="GM726" s="891"/>
      <c r="GN726" s="891"/>
      <c r="GO726" s="891"/>
      <c r="GP726" s="891"/>
      <c r="GQ726" s="891"/>
      <c r="GR726" s="891"/>
      <c r="GS726" s="1039"/>
      <c r="GT726" s="891"/>
      <c r="GU726" s="891"/>
      <c r="GV726" s="891"/>
      <c r="GW726" s="891"/>
      <c r="GX726" s="891"/>
      <c r="GY726" s="891"/>
      <c r="GZ726" s="891"/>
      <c r="HA726" s="1039"/>
      <c r="HB726" s="891"/>
      <c r="HC726" s="891"/>
      <c r="HD726" s="891"/>
      <c r="HE726" s="891"/>
      <c r="HF726" s="891"/>
      <c r="HG726" s="891"/>
      <c r="HH726" s="891"/>
      <c r="HI726" s="1039"/>
      <c r="HJ726" s="891"/>
      <c r="HK726" s="891"/>
      <c r="HL726" s="891"/>
      <c r="HM726" s="891"/>
      <c r="HN726" s="891"/>
      <c r="HO726" s="891"/>
      <c r="HP726" s="891"/>
      <c r="HQ726" s="1039"/>
      <c r="HR726" s="891"/>
      <c r="HS726" s="891"/>
      <c r="HT726" s="891"/>
      <c r="HU726" s="891"/>
      <c r="HV726" s="891"/>
      <c r="HW726" s="891"/>
      <c r="HX726" s="891"/>
      <c r="HY726" s="891"/>
      <c r="HZ726" s="891"/>
      <c r="IA726" s="891"/>
      <c r="IB726" s="891"/>
      <c r="IC726" s="891"/>
      <c r="ID726" s="891"/>
      <c r="IE726" s="891"/>
      <c r="IF726" s="891"/>
      <c r="IG726" s="1039"/>
      <c r="IH726" s="891"/>
      <c r="II726" s="891"/>
      <c r="IJ726" s="891"/>
      <c r="IK726" s="891"/>
      <c r="IL726" s="891"/>
      <c r="IM726" s="891"/>
      <c r="IN726" s="891"/>
      <c r="IO726" s="1039"/>
      <c r="IP726" s="891"/>
      <c r="IQ726" s="891"/>
      <c r="IR726" s="891"/>
      <c r="IS726" s="891"/>
      <c r="IT726" s="891"/>
      <c r="IU726" s="891"/>
      <c r="IV726" s="891"/>
      <c r="IW726" s="891"/>
      <c r="IX726" s="1083"/>
      <c r="IY726" s="1083"/>
      <c r="IZ726" s="1083"/>
      <c r="JA726" s="1083"/>
      <c r="JB726" s="1083"/>
      <c r="JC726" s="1083"/>
      <c r="JD726" s="1521"/>
      <c r="JE726" s="1083"/>
      <c r="JF726" s="1082"/>
      <c r="JG726" s="1082"/>
      <c r="JH726" s="1082"/>
    </row>
    <row r="727" spans="1:285">
      <c r="A727" s="1307"/>
      <c r="B727" s="1307"/>
      <c r="C727" s="1307"/>
      <c r="D727" s="1307"/>
      <c r="E727" s="1307"/>
      <c r="F727" s="1307"/>
      <c r="G727" s="1307"/>
      <c r="H727" s="1307"/>
      <c r="I727" s="1307"/>
      <c r="J727" s="1307"/>
      <c r="K727" s="1307"/>
      <c r="L727" s="1307"/>
      <c r="M727" s="1307"/>
      <c r="N727" s="1307"/>
      <c r="O727" s="1307"/>
      <c r="P727" s="1307"/>
      <c r="Q727" s="1307"/>
      <c r="R727" s="1307"/>
      <c r="S727" s="1307"/>
      <c r="T727" s="1307"/>
      <c r="U727" s="1307"/>
      <c r="V727" s="1307"/>
      <c r="W727" s="1307"/>
      <c r="X727" s="1307"/>
      <c r="Y727" s="1307"/>
      <c r="Z727" s="1307"/>
      <c r="AA727" s="1307"/>
      <c r="AB727" s="1307"/>
      <c r="AC727" s="1307"/>
      <c r="AD727" s="1307"/>
      <c r="AE727" s="1307"/>
      <c r="AF727" s="1307"/>
      <c r="AG727" s="1307"/>
      <c r="AH727" s="1307"/>
      <c r="AI727" s="1307"/>
      <c r="AJ727" s="1307"/>
      <c r="AK727" s="1307"/>
      <c r="AL727" s="1307"/>
      <c r="AM727" s="1307"/>
      <c r="AN727" s="1307"/>
      <c r="AO727" s="1307"/>
      <c r="AP727" s="1307"/>
      <c r="AQ727" s="1307"/>
      <c r="AR727" s="1307"/>
      <c r="AS727" s="1307"/>
      <c r="AT727" s="1307"/>
      <c r="AU727" s="1307"/>
      <c r="AV727" s="1307"/>
      <c r="AW727" s="1307"/>
      <c r="AX727" s="1308"/>
      <c r="AY727" s="1307"/>
      <c r="AZ727" s="1307"/>
      <c r="BA727" s="1307"/>
      <c r="BB727" s="1307"/>
      <c r="BC727" s="1307"/>
      <c r="BD727" s="1307"/>
      <c r="BE727" s="1309"/>
      <c r="BF727" s="1307"/>
      <c r="BG727" s="1307"/>
      <c r="BH727" s="1307"/>
      <c r="BI727" s="1307"/>
      <c r="BJ727" s="1307"/>
      <c r="BK727" s="1307"/>
      <c r="BL727" s="1307"/>
      <c r="BM727" s="1307"/>
      <c r="BN727" s="1308"/>
      <c r="BO727" s="1307"/>
      <c r="BP727" s="1307"/>
      <c r="BQ727" s="1307"/>
      <c r="BR727" s="1307"/>
      <c r="BS727" s="1307"/>
      <c r="BT727" s="1307"/>
      <c r="BU727" s="1309"/>
      <c r="BV727" s="1308"/>
      <c r="BW727" s="1307"/>
      <c r="BX727" s="1307"/>
      <c r="BY727" s="1307"/>
      <c r="BZ727" s="1307"/>
      <c r="CA727" s="1307"/>
      <c r="CB727" s="1307"/>
      <c r="CC727" s="1309"/>
      <c r="CD727" s="1308"/>
      <c r="CE727" s="1307"/>
      <c r="CF727" s="1307"/>
      <c r="CG727" s="1307"/>
      <c r="CH727" s="1307"/>
      <c r="CI727" s="1307"/>
      <c r="CJ727" s="1307"/>
      <c r="CK727" s="1309"/>
      <c r="CL727" s="1308"/>
      <c r="CM727" s="1307"/>
      <c r="CN727" s="1307"/>
      <c r="CO727" s="1307"/>
      <c r="CP727" s="1307"/>
      <c r="CQ727" s="1307"/>
      <c r="CR727" s="1307"/>
      <c r="CS727" s="1309"/>
      <c r="CT727" s="1308"/>
      <c r="CU727" s="1035"/>
      <c r="CV727" s="1035"/>
      <c r="CW727" s="1035"/>
      <c r="CX727" s="1035"/>
      <c r="CY727" s="1035"/>
      <c r="CZ727" s="1035"/>
      <c r="DA727" s="1542"/>
      <c r="DB727" s="1063"/>
      <c r="IX727" s="1126"/>
      <c r="IY727" s="1126"/>
      <c r="IZ727" s="1126"/>
      <c r="JA727" s="1126"/>
      <c r="JB727" s="1126"/>
      <c r="JC727" s="1126"/>
      <c r="JD727" s="1125"/>
      <c r="JE727" s="1126"/>
      <c r="JF727" s="1037"/>
      <c r="JG727" s="1037"/>
      <c r="JH727" s="1037"/>
      <c r="JI727" s="1035"/>
      <c r="JJ727" s="1035"/>
      <c r="JK727" s="1035"/>
      <c r="JL727" s="1035"/>
      <c r="JM727" s="1035"/>
      <c r="JN727" s="1035"/>
      <c r="JO727" s="1035"/>
      <c r="JP727" s="1035"/>
      <c r="JQ727" s="1035"/>
      <c r="JR727" s="1035"/>
      <c r="JS727" s="1035"/>
      <c r="JT727" s="1035"/>
      <c r="JU727" s="1035"/>
      <c r="JV727" s="1035"/>
      <c r="JW727" s="1035"/>
      <c r="JX727" s="1035"/>
      <c r="JY727" s="1035"/>
    </row>
    <row r="728" outlineLevel="1" spans="1:285">
      <c r="A728" s="1051" t="s">
        <v>663</v>
      </c>
      <c r="B728" s="1482" t="s">
        <v>259</v>
      </c>
      <c r="C728" s="1482" t="s">
        <v>260</v>
      </c>
      <c r="D728" s="1482" t="s">
        <v>261</v>
      </c>
      <c r="E728" s="1482" t="s">
        <v>262</v>
      </c>
      <c r="F728" s="1482" t="s">
        <v>263</v>
      </c>
      <c r="G728" s="1482" t="s">
        <v>264</v>
      </c>
      <c r="H728" s="1482" t="s">
        <v>327</v>
      </c>
      <c r="I728" s="1482" t="s">
        <v>14</v>
      </c>
      <c r="J728" s="1482" t="s">
        <v>266</v>
      </c>
      <c r="K728" s="1482" t="s">
        <v>267</v>
      </c>
      <c r="L728" s="1482" t="s">
        <v>268</v>
      </c>
      <c r="M728" s="1482" t="s">
        <v>269</v>
      </c>
      <c r="N728" s="1482" t="s">
        <v>270</v>
      </c>
      <c r="O728" s="1482" t="s">
        <v>271</v>
      </c>
      <c r="P728" s="1482" t="s">
        <v>327</v>
      </c>
      <c r="Q728" s="1482" t="s">
        <v>15</v>
      </c>
      <c r="R728" s="1482" t="s">
        <v>273</v>
      </c>
      <c r="S728" s="1482" t="s">
        <v>274</v>
      </c>
      <c r="T728" s="1482" t="s">
        <v>275</v>
      </c>
      <c r="U728" s="1482" t="s">
        <v>276</v>
      </c>
      <c r="V728" s="1482" t="s">
        <v>277</v>
      </c>
      <c r="W728" s="1482" t="s">
        <v>278</v>
      </c>
      <c r="X728" s="1482" t="s">
        <v>327</v>
      </c>
      <c r="Y728" s="1482" t="s">
        <v>16</v>
      </c>
      <c r="Z728" s="1482" t="s">
        <v>280</v>
      </c>
      <c r="AA728" s="1482" t="s">
        <v>281</v>
      </c>
      <c r="AB728" s="1482" t="s">
        <v>282</v>
      </c>
      <c r="AC728" s="1482" t="s">
        <v>283</v>
      </c>
      <c r="AD728" s="1482" t="s">
        <v>277</v>
      </c>
      <c r="AE728" s="1482" t="s">
        <v>284</v>
      </c>
      <c r="AF728" s="1482" t="s">
        <v>327</v>
      </c>
      <c r="AG728" s="1482" t="s">
        <v>17</v>
      </c>
      <c r="AH728" s="1482" t="s">
        <v>286</v>
      </c>
      <c r="AI728" s="1482" t="s">
        <v>287</v>
      </c>
      <c r="AJ728" s="1482" t="s">
        <v>288</v>
      </c>
      <c r="AK728" s="1482" t="s">
        <v>289</v>
      </c>
      <c r="AL728" s="1482" t="s">
        <v>290</v>
      </c>
      <c r="AM728" s="1482" t="s">
        <v>291</v>
      </c>
      <c r="AN728" s="1482" t="s">
        <v>327</v>
      </c>
      <c r="AO728" s="1482" t="s">
        <v>18</v>
      </c>
      <c r="AP728" s="1482" t="s">
        <v>293</v>
      </c>
      <c r="AQ728" s="1482" t="s">
        <v>294</v>
      </c>
      <c r="AR728" s="1482" t="s">
        <v>295</v>
      </c>
      <c r="AS728" s="1482" t="s">
        <v>296</v>
      </c>
      <c r="AT728" s="1482" t="s">
        <v>297</v>
      </c>
      <c r="AU728" s="1482" t="s">
        <v>298</v>
      </c>
      <c r="AV728" s="1482" t="s">
        <v>327</v>
      </c>
      <c r="AW728" s="1482" t="s">
        <v>19</v>
      </c>
      <c r="AX728" s="1483" t="s">
        <v>300</v>
      </c>
      <c r="AY728" s="1482" t="s">
        <v>301</v>
      </c>
      <c r="AZ728" s="1482" t="s">
        <v>302</v>
      </c>
      <c r="BA728" s="1482" t="s">
        <v>303</v>
      </c>
      <c r="BB728" s="1482" t="s">
        <v>304</v>
      </c>
      <c r="BC728" s="1482" t="s">
        <v>305</v>
      </c>
      <c r="BD728" s="1482" t="s">
        <v>327</v>
      </c>
      <c r="BE728" s="1484" t="s">
        <v>20</v>
      </c>
      <c r="BF728" s="1482" t="s">
        <v>307</v>
      </c>
      <c r="BG728" s="1482" t="s">
        <v>308</v>
      </c>
      <c r="BH728" s="1482" t="s">
        <v>309</v>
      </c>
      <c r="BI728" s="1482" t="s">
        <v>310</v>
      </c>
      <c r="BJ728" s="1482" t="s">
        <v>311</v>
      </c>
      <c r="BK728" s="1482" t="s">
        <v>312</v>
      </c>
      <c r="BL728" s="1482" t="s">
        <v>327</v>
      </c>
      <c r="BM728" s="1482" t="s">
        <v>21</v>
      </c>
      <c r="BN728" s="1483" t="s">
        <v>314</v>
      </c>
      <c r="BO728" s="1482" t="s">
        <v>315</v>
      </c>
      <c r="BP728" s="1482" t="s">
        <v>316</v>
      </c>
      <c r="BQ728" s="1482" t="s">
        <v>317</v>
      </c>
      <c r="BR728" s="1482" t="s">
        <v>318</v>
      </c>
      <c r="BS728" s="1482" t="s">
        <v>319</v>
      </c>
      <c r="BT728" s="1482" t="s">
        <v>327</v>
      </c>
      <c r="BU728" s="1484" t="s">
        <v>22</v>
      </c>
      <c r="BV728" s="1483" t="s">
        <v>321</v>
      </c>
      <c r="BW728" s="1482" t="s">
        <v>322</v>
      </c>
      <c r="BX728" s="1482"/>
      <c r="BY728" s="1482" t="s">
        <v>324</v>
      </c>
      <c r="BZ728" s="1482"/>
      <c r="CA728" s="1482" t="s">
        <v>326</v>
      </c>
      <c r="CB728" s="1482"/>
      <c r="CC728" s="1484"/>
      <c r="CD728" s="1483" t="s">
        <v>328</v>
      </c>
      <c r="CE728" s="1482" t="s">
        <v>329</v>
      </c>
      <c r="CF728" s="1482"/>
      <c r="CG728" s="1482" t="s">
        <v>331</v>
      </c>
      <c r="CH728" s="1482"/>
      <c r="CI728" s="1482" t="s">
        <v>333</v>
      </c>
      <c r="CJ728" s="1482"/>
      <c r="CK728" s="1484"/>
      <c r="CL728" s="1483" t="s">
        <v>335</v>
      </c>
      <c r="CM728" s="1482" t="s">
        <v>336</v>
      </c>
      <c r="CN728" s="1482"/>
      <c r="CO728" s="1482" t="s">
        <v>338</v>
      </c>
      <c r="CP728" s="1482"/>
      <c r="CQ728" s="1482" t="str">
        <f t="shared" ref="CQ728:DA728" si="4506">CQ2</f>
        <v>Q4 06</v>
      </c>
      <c r="CR728" s="1482" t="str">
        <f t="shared" si="4506"/>
        <v>H2 06</v>
      </c>
      <c r="CS728" s="1484" t="str">
        <f t="shared" si="4506"/>
        <v>FY 06</v>
      </c>
      <c r="CT728" s="1483" t="str">
        <f t="shared" si="4506"/>
        <v>Q1 07</v>
      </c>
      <c r="CU728" s="1482" t="str">
        <f t="shared" si="4506"/>
        <v>Q2 07</v>
      </c>
      <c r="CV728" s="1482" t="str">
        <f t="shared" si="4506"/>
        <v>H1 07</v>
      </c>
      <c r="CW728" s="1482" t="str">
        <f t="shared" si="4506"/>
        <v>Q3 07</v>
      </c>
      <c r="CX728" s="1482" t="str">
        <f t="shared" si="4506"/>
        <v>9M 07</v>
      </c>
      <c r="CY728" s="1482" t="str">
        <f t="shared" si="4506"/>
        <v>Q4 07</v>
      </c>
      <c r="CZ728" s="1482" t="str">
        <f t="shared" si="4506"/>
        <v>H2 07</v>
      </c>
      <c r="DA728" s="1484" t="str">
        <f t="shared" si="4506"/>
        <v>FY 07</v>
      </c>
      <c r="DB728" s="1485" t="s">
        <v>349</v>
      </c>
      <c r="DC728" s="1486" t="str">
        <f t="shared" ref="DC728:DI728" si="4507">DC2</f>
        <v>Q2 08</v>
      </c>
      <c r="DD728" s="1486" t="str">
        <f t="shared" si="4507"/>
        <v>H1 08</v>
      </c>
      <c r="DE728" s="1486" t="str">
        <f t="shared" si="4507"/>
        <v>Q3 08</v>
      </c>
      <c r="DF728" s="1486" t="str">
        <f t="shared" si="4507"/>
        <v>9M 08</v>
      </c>
      <c r="DG728" s="1486" t="str">
        <f t="shared" si="4507"/>
        <v>Q4 08</v>
      </c>
      <c r="DH728" s="1486" t="str">
        <f t="shared" si="4507"/>
        <v>H2 08</v>
      </c>
      <c r="DI728" s="1487" t="str">
        <f t="shared" si="4507"/>
        <v>FY 08</v>
      </c>
      <c r="DJ728" s="1486" t="s">
        <v>349</v>
      </c>
      <c r="DK728" s="1486" t="str">
        <f t="shared" ref="DK728:DQ728" si="4508">DK2</f>
        <v>Q2 09</v>
      </c>
      <c r="DL728" s="1486" t="str">
        <f t="shared" si="4508"/>
        <v>H1 09</v>
      </c>
      <c r="DM728" s="1486" t="str">
        <f t="shared" si="4508"/>
        <v>Q3 09</v>
      </c>
      <c r="DN728" s="1486" t="str">
        <f t="shared" si="4508"/>
        <v>9M 09</v>
      </c>
      <c r="DO728" s="1486" t="str">
        <f t="shared" si="4508"/>
        <v>Q4 09</v>
      </c>
      <c r="DP728" s="1486" t="str">
        <f t="shared" si="4508"/>
        <v>H2 09</v>
      </c>
      <c r="DQ728" s="1487" t="str">
        <f t="shared" si="4508"/>
        <v>FY 09</v>
      </c>
      <c r="DR728" s="1486" t="s">
        <v>349</v>
      </c>
      <c r="DS728" s="1486" t="str">
        <f t="shared" ref="DS728:DY728" si="4509">DS2</f>
        <v>Q2 10</v>
      </c>
      <c r="DT728" s="1486" t="str">
        <f t="shared" si="4509"/>
        <v>H1 10</v>
      </c>
      <c r="DU728" s="1486" t="str">
        <f t="shared" si="4509"/>
        <v>Q3 10</v>
      </c>
      <c r="DV728" s="1486" t="str">
        <f t="shared" si="4509"/>
        <v>9M 10</v>
      </c>
      <c r="DW728" s="1486" t="str">
        <f t="shared" si="4509"/>
        <v>Q4 10</v>
      </c>
      <c r="DX728" s="1486" t="str">
        <f t="shared" si="4509"/>
        <v>H2 10</v>
      </c>
      <c r="DY728" s="1487" t="str">
        <f t="shared" si="4509"/>
        <v>FY 10</v>
      </c>
      <c r="DZ728" s="1486" t="s">
        <v>349</v>
      </c>
      <c r="EA728" s="1486" t="str">
        <f t="shared" ref="EA728:EG728" si="4510">EA2</f>
        <v>Q2 11</v>
      </c>
      <c r="EB728" s="1486" t="str">
        <f t="shared" si="4510"/>
        <v>H1 11</v>
      </c>
      <c r="EC728" s="1486" t="str">
        <f t="shared" si="4510"/>
        <v>Q3 11</v>
      </c>
      <c r="ED728" s="1486" t="str">
        <f t="shared" si="4510"/>
        <v>9M 11</v>
      </c>
      <c r="EE728" s="1486" t="str">
        <f t="shared" si="4510"/>
        <v>Q4 11</v>
      </c>
      <c r="EF728" s="1486" t="str">
        <f t="shared" si="4510"/>
        <v>H2 11</v>
      </c>
      <c r="EG728" s="1487" t="str">
        <f t="shared" si="4510"/>
        <v>FY 11</v>
      </c>
      <c r="EH728" s="1486" t="s">
        <v>349</v>
      </c>
      <c r="EI728" s="1486" t="str">
        <f t="shared" ref="EI728:EO728" si="4511">EI2</f>
        <v>Q2 12</v>
      </c>
      <c r="EJ728" s="1486" t="str">
        <f t="shared" si="4511"/>
        <v>H1 12</v>
      </c>
      <c r="EK728" s="1486" t="str">
        <f t="shared" si="4511"/>
        <v>Q3 12</v>
      </c>
      <c r="EL728" s="1486" t="str">
        <f t="shared" si="4511"/>
        <v>9M 12</v>
      </c>
      <c r="EM728" s="1486" t="str">
        <f t="shared" si="4511"/>
        <v>Q4 12</v>
      </c>
      <c r="EN728" s="1486" t="str">
        <f t="shared" si="4511"/>
        <v>H2 12</v>
      </c>
      <c r="EO728" s="1487" t="str">
        <f t="shared" si="4511"/>
        <v>FY 12</v>
      </c>
      <c r="EP728" s="1486"/>
      <c r="EQ728" s="1486"/>
      <c r="ER728" s="1486"/>
      <c r="ES728" s="1486"/>
      <c r="ET728" s="1486"/>
      <c r="EU728" s="1486"/>
      <c r="EV728" s="1486"/>
      <c r="IX728" s="1523"/>
      <c r="IY728" s="1523"/>
      <c r="IZ728" s="1523"/>
      <c r="JA728" s="1523"/>
      <c r="JB728" s="1523"/>
      <c r="JC728" s="1523"/>
      <c r="JD728" s="1522"/>
      <c r="JE728" s="1126"/>
      <c r="JF728" s="1037"/>
      <c r="JG728" s="1037"/>
      <c r="JH728" s="1037"/>
      <c r="JI728" s="1035"/>
      <c r="JJ728" s="1035"/>
      <c r="JK728" s="1035"/>
      <c r="JL728" s="1035"/>
      <c r="JM728" s="1035"/>
      <c r="JN728" s="1035"/>
      <c r="JO728" s="1035"/>
      <c r="JP728" s="1035"/>
      <c r="JQ728" s="1035"/>
      <c r="JR728" s="1035"/>
      <c r="JS728" s="1035"/>
      <c r="JT728" s="1035"/>
      <c r="JU728" s="1035"/>
      <c r="JV728" s="1035"/>
      <c r="JW728" s="1035"/>
      <c r="JX728" s="1035"/>
      <c r="JY728" s="1035"/>
    </row>
    <row r="729" outlineLevel="1" spans="1:285">
      <c r="A729" s="1528" t="s">
        <v>101</v>
      </c>
      <c r="B729" s="1499"/>
      <c r="C729" s="1499"/>
      <c r="D729" s="1499"/>
      <c r="E729" s="1499"/>
      <c r="F729" s="1499"/>
      <c r="G729" s="1499"/>
      <c r="H729" s="1499"/>
      <c r="I729" s="1499"/>
      <c r="J729" s="1499"/>
      <c r="K729" s="1499"/>
      <c r="L729" s="1499"/>
      <c r="M729" s="1499"/>
      <c r="N729" s="1499"/>
      <c r="O729" s="1499"/>
      <c r="P729" s="1499"/>
      <c r="Q729" s="1499"/>
      <c r="R729" s="1499"/>
      <c r="S729" s="1499"/>
      <c r="T729" s="1499"/>
      <c r="U729" s="1499"/>
      <c r="V729" s="1499"/>
      <c r="W729" s="1499"/>
      <c r="X729" s="1499"/>
      <c r="Y729" s="1499"/>
      <c r="Z729" s="1499"/>
      <c r="AA729" s="1499"/>
      <c r="AB729" s="1499"/>
      <c r="AC729" s="1499"/>
      <c r="AD729" s="1499"/>
      <c r="AE729" s="1499"/>
      <c r="AF729" s="1499"/>
      <c r="AG729" s="1499"/>
      <c r="AH729" s="1499"/>
      <c r="AI729" s="1499"/>
      <c r="AJ729" s="1499"/>
      <c r="AK729" s="1499"/>
      <c r="AL729" s="1499"/>
      <c r="AM729" s="1499"/>
      <c r="AN729" s="1499"/>
      <c r="AO729" s="1499"/>
      <c r="AP729" s="1499"/>
      <c r="AQ729" s="1499"/>
      <c r="AR729" s="1499"/>
      <c r="AS729" s="1499"/>
      <c r="AT729" s="1499"/>
      <c r="AU729" s="1499"/>
      <c r="AV729" s="1499"/>
      <c r="AW729" s="1499"/>
      <c r="AX729" s="1500"/>
      <c r="AY729" s="1499"/>
      <c r="AZ729" s="1499"/>
      <c r="BA729" s="1499"/>
      <c r="BB729" s="1499"/>
      <c r="BC729" s="1499"/>
      <c r="BD729" s="1499"/>
      <c r="BE729" s="1501"/>
      <c r="BF729" s="1499"/>
      <c r="BG729" s="1499"/>
      <c r="BH729" s="1499"/>
      <c r="BI729" s="1499"/>
      <c r="BJ729" s="1499"/>
      <c r="BK729" s="1499"/>
      <c r="BL729" s="1499"/>
      <c r="BM729" s="1499"/>
      <c r="BN729" s="1500"/>
      <c r="BO729" s="1499"/>
      <c r="BP729" s="1499"/>
      <c r="BQ729" s="1499"/>
      <c r="BR729" s="1499"/>
      <c r="BS729" s="1499"/>
      <c r="BT729" s="1499"/>
      <c r="BU729" s="1501"/>
      <c r="BV729" s="1529">
        <v>0.04</v>
      </c>
      <c r="BW729" s="1530">
        <v>0.05</v>
      </c>
      <c r="BX729" s="1530">
        <v>0</v>
      </c>
      <c r="BY729" s="1530">
        <v>0.04</v>
      </c>
      <c r="BZ729" s="1530">
        <v>0</v>
      </c>
      <c r="CA729" s="1530">
        <v>0.05</v>
      </c>
      <c r="CB729" s="1530">
        <v>0</v>
      </c>
      <c r="CC729" s="1531">
        <v>0</v>
      </c>
      <c r="CD729" s="1547">
        <v>0.05</v>
      </c>
      <c r="CE729" s="1548">
        <v>0</v>
      </c>
      <c r="CF729" s="1548">
        <v>0</v>
      </c>
      <c r="CG729" s="1548">
        <v>-0.17</v>
      </c>
      <c r="CH729" s="1548">
        <v>0</v>
      </c>
      <c r="CI729" s="1548">
        <v>-0.28</v>
      </c>
      <c r="CJ729" s="1530">
        <v>0</v>
      </c>
      <c r="CK729" s="1531">
        <v>0</v>
      </c>
      <c r="CL729" s="1547">
        <v>-0.08</v>
      </c>
      <c r="CM729" s="1548">
        <v>-0.22</v>
      </c>
      <c r="CN729" s="1548">
        <v>0</v>
      </c>
      <c r="CO729" s="1548">
        <v>-0.29</v>
      </c>
      <c r="CP729" s="1548">
        <v>0</v>
      </c>
      <c r="CQ729" s="1548">
        <v>-0.33</v>
      </c>
      <c r="CR729" s="1548">
        <v>0</v>
      </c>
      <c r="CS729" s="1549">
        <v>0</v>
      </c>
      <c r="CT729" s="1547">
        <v>-0.08</v>
      </c>
      <c r="CU729" s="1548">
        <v>-0.09</v>
      </c>
      <c r="CV729" s="1548"/>
      <c r="CW729" s="1548">
        <v>-0.2</v>
      </c>
      <c r="CX729" s="1548"/>
      <c r="CY729" s="1548">
        <v>-0.27</v>
      </c>
      <c r="CZ729" s="1548"/>
      <c r="DA729" s="1549"/>
      <c r="DB729" s="1550">
        <v>-0.33</v>
      </c>
      <c r="DC729" s="1551">
        <v>-0.32</v>
      </c>
      <c r="DD729" s="1551"/>
      <c r="DE729" s="1551">
        <v>-0.22</v>
      </c>
      <c r="DF729" s="1551"/>
      <c r="DG729" s="1551">
        <v>-0.26</v>
      </c>
      <c r="DH729" s="1551"/>
      <c r="DI729" s="1552"/>
      <c r="DJ729" s="1551"/>
      <c r="DK729" s="1551"/>
      <c r="DL729" s="1551"/>
      <c r="DM729" s="1551"/>
      <c r="DN729" s="1551"/>
      <c r="DO729" s="1551"/>
      <c r="DP729" s="1551"/>
      <c r="DQ729" s="1552"/>
      <c r="DR729" s="1551"/>
      <c r="DS729" s="1551"/>
      <c r="DT729" s="1551"/>
      <c r="DU729" s="1551"/>
      <c r="DV729" s="1551"/>
      <c r="DW729" s="1551"/>
      <c r="DX729" s="1551"/>
      <c r="DY729" s="1552"/>
      <c r="DZ729" s="1551"/>
      <c r="EA729" s="1551"/>
      <c r="EB729" s="1551"/>
      <c r="EC729" s="1551"/>
      <c r="ED729" s="1551"/>
      <c r="EE729" s="1551"/>
      <c r="EF729" s="1551"/>
      <c r="EG729" s="1552"/>
      <c r="EH729" s="1551"/>
      <c r="EI729" s="1551"/>
      <c r="EJ729" s="1551"/>
      <c r="EK729" s="1551"/>
      <c r="EL729" s="1551"/>
      <c r="EM729" s="1551"/>
      <c r="EN729" s="1551"/>
      <c r="EO729" s="1552"/>
      <c r="EP729" s="1551"/>
      <c r="EQ729" s="1551"/>
      <c r="ER729" s="1551"/>
      <c r="ES729" s="1551"/>
      <c r="ET729" s="1551"/>
      <c r="EU729" s="1551"/>
      <c r="EV729" s="1551"/>
      <c r="IX729" s="1553"/>
      <c r="IY729" s="1553"/>
      <c r="IZ729" s="1553"/>
      <c r="JA729" s="1553"/>
      <c r="JB729" s="1553"/>
      <c r="JC729" s="1553"/>
      <c r="JD729" s="1554"/>
      <c r="JE729" s="1126"/>
      <c r="JF729" s="1037"/>
      <c r="JG729" s="1037"/>
      <c r="JH729" s="1037"/>
      <c r="JI729" s="1035"/>
      <c r="JJ729" s="1035"/>
      <c r="JK729" s="1035"/>
      <c r="JL729" s="1035"/>
      <c r="JM729" s="1035"/>
      <c r="JN729" s="1035"/>
      <c r="JO729" s="1035"/>
      <c r="JP729" s="1035"/>
      <c r="JQ729" s="1035"/>
      <c r="JR729" s="1035"/>
      <c r="JS729" s="1035"/>
      <c r="JT729" s="1035"/>
      <c r="JU729" s="1035"/>
      <c r="JV729" s="1035"/>
      <c r="JW729" s="1035"/>
      <c r="JX729" s="1035"/>
      <c r="JY729" s="1035"/>
    </row>
    <row r="730" outlineLevel="1" spans="1:285">
      <c r="A730" s="1306" t="s">
        <v>654</v>
      </c>
      <c r="B730" s="1307"/>
      <c r="C730" s="1307"/>
      <c r="D730" s="1307"/>
      <c r="E730" s="1307"/>
      <c r="F730" s="1307"/>
      <c r="G730" s="1307"/>
      <c r="H730" s="1307"/>
      <c r="I730" s="1307"/>
      <c r="J730" s="1307"/>
      <c r="K730" s="1307"/>
      <c r="L730" s="1307"/>
      <c r="M730" s="1307"/>
      <c r="N730" s="1307"/>
      <c r="O730" s="1307"/>
      <c r="P730" s="1307"/>
      <c r="Q730" s="1307"/>
      <c r="R730" s="1307"/>
      <c r="S730" s="1307"/>
      <c r="T730" s="1307"/>
      <c r="U730" s="1307"/>
      <c r="V730" s="1307"/>
      <c r="W730" s="1307"/>
      <c r="X730" s="1307"/>
      <c r="Y730" s="1307"/>
      <c r="Z730" s="1307"/>
      <c r="AA730" s="1307"/>
      <c r="AB730" s="1307"/>
      <c r="AC730" s="1307"/>
      <c r="AD730" s="1307"/>
      <c r="AE730" s="1307"/>
      <c r="AF730" s="1307"/>
      <c r="AG730" s="1307"/>
      <c r="AH730" s="1307"/>
      <c r="AI730" s="1307"/>
      <c r="AJ730" s="1307"/>
      <c r="AK730" s="1307"/>
      <c r="AL730" s="1307"/>
      <c r="AM730" s="1307"/>
      <c r="AN730" s="1307"/>
      <c r="AO730" s="1307"/>
      <c r="AP730" s="1307"/>
      <c r="AQ730" s="1307"/>
      <c r="AR730" s="1307"/>
      <c r="AS730" s="1307"/>
      <c r="AT730" s="1307"/>
      <c r="AU730" s="1307"/>
      <c r="AV730" s="1307"/>
      <c r="AW730" s="1307"/>
      <c r="AX730" s="1308"/>
      <c r="AY730" s="1307"/>
      <c r="AZ730" s="1307"/>
      <c r="BA730" s="1307"/>
      <c r="BB730" s="1307"/>
      <c r="BC730" s="1307"/>
      <c r="BD730" s="1307"/>
      <c r="BE730" s="1309"/>
      <c r="BF730" s="1307"/>
      <c r="BG730" s="1307"/>
      <c r="BH730" s="1307"/>
      <c r="BI730" s="1307"/>
      <c r="BJ730" s="1307"/>
      <c r="BK730" s="1307"/>
      <c r="BL730" s="1307"/>
      <c r="BM730" s="1307"/>
      <c r="BN730" s="1308"/>
      <c r="BO730" s="1307"/>
      <c r="BP730" s="1307"/>
      <c r="BQ730" s="1307"/>
      <c r="BR730" s="1307"/>
      <c r="BS730" s="1307"/>
      <c r="BT730" s="1307"/>
      <c r="BU730" s="1309"/>
      <c r="BV730" s="1308">
        <v>0</v>
      </c>
      <c r="BW730" s="1307">
        <v>0</v>
      </c>
      <c r="BX730" s="1307">
        <v>0</v>
      </c>
      <c r="BY730" s="1307">
        <v>0</v>
      </c>
      <c r="BZ730" s="1307">
        <v>0</v>
      </c>
      <c r="CA730" s="1307">
        <v>0</v>
      </c>
      <c r="CB730" s="1307">
        <v>0</v>
      </c>
      <c r="CC730" s="1309">
        <v>0</v>
      </c>
      <c r="CD730" s="1555" t="s">
        <v>173</v>
      </c>
      <c r="CE730" s="1556" t="s">
        <v>173</v>
      </c>
      <c r="CF730" s="1556">
        <v>0</v>
      </c>
      <c r="CG730" s="1556" t="s">
        <v>173</v>
      </c>
      <c r="CH730" s="1556">
        <v>0</v>
      </c>
      <c r="CI730" s="1556" t="s">
        <v>173</v>
      </c>
      <c r="CJ730" s="1556">
        <v>0</v>
      </c>
      <c r="CK730" s="1557">
        <v>0</v>
      </c>
      <c r="CL730" s="1555">
        <v>-0.08</v>
      </c>
      <c r="CM730" s="1556">
        <v>-0.18</v>
      </c>
      <c r="CN730" s="1556">
        <v>0</v>
      </c>
      <c r="CO730" s="1556">
        <v>-0.25</v>
      </c>
      <c r="CP730" s="1556">
        <v>0</v>
      </c>
      <c r="CQ730" s="1556">
        <v>-0.25</v>
      </c>
      <c r="CR730" s="1556">
        <v>0</v>
      </c>
      <c r="CS730" s="1557">
        <v>0</v>
      </c>
      <c r="CT730" s="1555">
        <v>0.01</v>
      </c>
      <c r="CU730" s="1556">
        <v>-0.04</v>
      </c>
      <c r="CV730" s="1556"/>
      <c r="CW730" s="1556">
        <v>-0.11</v>
      </c>
      <c r="CX730" s="1556"/>
      <c r="CY730" s="1556">
        <v>-0.2</v>
      </c>
      <c r="CZ730" s="1556"/>
      <c r="DA730" s="1557"/>
      <c r="DB730" s="1558">
        <v>-0.22</v>
      </c>
      <c r="DC730" s="1559">
        <v>-0.21</v>
      </c>
      <c r="DD730" s="1559"/>
      <c r="DE730" s="1559">
        <v>-0.21</v>
      </c>
      <c r="DF730" s="1559"/>
      <c r="DG730" s="1559">
        <v>-0.29</v>
      </c>
      <c r="DH730" s="1559"/>
      <c r="DI730" s="1560"/>
      <c r="DJ730" s="1559"/>
      <c r="DK730" s="1559"/>
      <c r="DL730" s="1559"/>
      <c r="DM730" s="1559"/>
      <c r="DN730" s="1559"/>
      <c r="DO730" s="1559"/>
      <c r="DP730" s="1559"/>
      <c r="DQ730" s="1560"/>
      <c r="DR730" s="1559"/>
      <c r="DS730" s="1559"/>
      <c r="DT730" s="1559"/>
      <c r="DU730" s="1559"/>
      <c r="DV730" s="1559"/>
      <c r="DW730" s="1559"/>
      <c r="DX730" s="1559"/>
      <c r="DY730" s="1560"/>
      <c r="DZ730" s="1559"/>
      <c r="EA730" s="1559"/>
      <c r="EB730" s="1559"/>
      <c r="EC730" s="1559"/>
      <c r="ED730" s="1559"/>
      <c r="EE730" s="1559"/>
      <c r="EF730" s="1559"/>
      <c r="EG730" s="1560"/>
      <c r="EH730" s="1559"/>
      <c r="EI730" s="1559"/>
      <c r="EJ730" s="1559"/>
      <c r="EK730" s="1559"/>
      <c r="EL730" s="1559"/>
      <c r="EM730" s="1559"/>
      <c r="EN730" s="1559"/>
      <c r="EO730" s="1560"/>
      <c r="EP730" s="1559"/>
      <c r="EQ730" s="1559"/>
      <c r="ER730" s="1559"/>
      <c r="ES730" s="1559"/>
      <c r="ET730" s="1559"/>
      <c r="EU730" s="1559"/>
      <c r="EV730" s="1559"/>
      <c r="IX730" s="1525"/>
      <c r="IY730" s="1525"/>
      <c r="IZ730" s="1525"/>
      <c r="JA730" s="1525"/>
      <c r="JB730" s="1525"/>
      <c r="JC730" s="1525"/>
      <c r="JD730" s="1561"/>
      <c r="JE730" s="1126"/>
      <c r="JF730" s="1037"/>
      <c r="JG730" s="1037"/>
      <c r="JH730" s="1037"/>
      <c r="JI730" s="1035"/>
      <c r="JJ730" s="1035"/>
      <c r="JK730" s="1035"/>
      <c r="JL730" s="1035"/>
      <c r="JM730" s="1035"/>
      <c r="JN730" s="1035"/>
      <c r="JO730" s="1035"/>
      <c r="JP730" s="1035"/>
      <c r="JQ730" s="1035"/>
      <c r="JR730" s="1035"/>
      <c r="JS730" s="1035"/>
      <c r="JT730" s="1035"/>
      <c r="JU730" s="1035"/>
      <c r="JV730" s="1035"/>
      <c r="JW730" s="1035"/>
      <c r="JX730" s="1035"/>
      <c r="JY730" s="1035"/>
    </row>
    <row r="731" outlineLevel="1" spans="1:285">
      <c r="A731" s="1339" t="s">
        <v>533</v>
      </c>
      <c r="B731" s="1409"/>
      <c r="C731" s="1409"/>
      <c r="D731" s="1409"/>
      <c r="E731" s="1409"/>
      <c r="F731" s="1409"/>
      <c r="G731" s="1409"/>
      <c r="H731" s="1409"/>
      <c r="I731" s="1409"/>
      <c r="J731" s="1409"/>
      <c r="K731" s="1409"/>
      <c r="L731" s="1409"/>
      <c r="M731" s="1409"/>
      <c r="N731" s="1409"/>
      <c r="O731" s="1409"/>
      <c r="P731" s="1409"/>
      <c r="Q731" s="1409"/>
      <c r="R731" s="1409"/>
      <c r="S731" s="1409"/>
      <c r="T731" s="1409"/>
      <c r="U731" s="1409"/>
      <c r="V731" s="1409"/>
      <c r="W731" s="1409"/>
      <c r="X731" s="1409"/>
      <c r="Y731" s="1409"/>
      <c r="Z731" s="1409"/>
      <c r="AA731" s="1409"/>
      <c r="AB731" s="1409"/>
      <c r="AC731" s="1409"/>
      <c r="AD731" s="1409"/>
      <c r="AE731" s="1409"/>
      <c r="AF731" s="1409"/>
      <c r="AG731" s="1409"/>
      <c r="AH731" s="1409"/>
      <c r="AI731" s="1409"/>
      <c r="AJ731" s="1409"/>
      <c r="AK731" s="1409"/>
      <c r="AL731" s="1409"/>
      <c r="AM731" s="1409"/>
      <c r="AN731" s="1409"/>
      <c r="AO731" s="1409"/>
      <c r="AP731" s="1409"/>
      <c r="AQ731" s="1409"/>
      <c r="AR731" s="1409"/>
      <c r="AS731" s="1409"/>
      <c r="AT731" s="1409"/>
      <c r="AU731" s="1409"/>
      <c r="AV731" s="1409"/>
      <c r="AW731" s="1409"/>
      <c r="AX731" s="1408"/>
      <c r="AY731" s="1409"/>
      <c r="AZ731" s="1409"/>
      <c r="BA731" s="1409"/>
      <c r="BB731" s="1409"/>
      <c r="BC731" s="1409"/>
      <c r="BD731" s="1409"/>
      <c r="BE731" s="1410"/>
      <c r="BF731" s="1409"/>
      <c r="BG731" s="1409"/>
      <c r="BH731" s="1409"/>
      <c r="BI731" s="1409"/>
      <c r="BJ731" s="1409"/>
      <c r="BK731" s="1409"/>
      <c r="BL731" s="1409"/>
      <c r="BM731" s="1409"/>
      <c r="BN731" s="1408"/>
      <c r="BO731" s="1409"/>
      <c r="BP731" s="1409"/>
      <c r="BQ731" s="1409"/>
      <c r="BR731" s="1409"/>
      <c r="BS731" s="1409"/>
      <c r="BT731" s="1409"/>
      <c r="BU731" s="1410"/>
      <c r="BV731" s="1526">
        <v>0</v>
      </c>
      <c r="BW731" s="1061">
        <v>0</v>
      </c>
      <c r="BX731" s="1061">
        <v>0</v>
      </c>
      <c r="BY731" s="1061">
        <v>0</v>
      </c>
      <c r="BZ731" s="1061">
        <v>0</v>
      </c>
      <c r="CA731" s="1061">
        <v>0</v>
      </c>
      <c r="CB731" s="1061">
        <v>0</v>
      </c>
      <c r="CC731" s="1527">
        <v>0</v>
      </c>
      <c r="CD731" s="1562">
        <v>0</v>
      </c>
      <c r="CE731" s="1563">
        <v>0</v>
      </c>
      <c r="CF731" s="1563">
        <v>0</v>
      </c>
      <c r="CG731" s="1563">
        <v>0</v>
      </c>
      <c r="CH731" s="1563">
        <v>0</v>
      </c>
      <c r="CI731" s="1563">
        <v>0</v>
      </c>
      <c r="CJ731" s="1061">
        <v>0</v>
      </c>
      <c r="CK731" s="1527">
        <v>0</v>
      </c>
      <c r="CL731" s="1562">
        <v>0</v>
      </c>
      <c r="CM731" s="1563">
        <v>-0.29</v>
      </c>
      <c r="CN731" s="1563">
        <v>0</v>
      </c>
      <c r="CO731" s="1563">
        <v>0</v>
      </c>
      <c r="CP731" s="1563">
        <v>0</v>
      </c>
      <c r="CQ731" s="1563">
        <v>-0.33</v>
      </c>
      <c r="CR731" s="1563">
        <v>0</v>
      </c>
      <c r="CS731" s="1564">
        <v>0</v>
      </c>
      <c r="CT731" s="1562">
        <v>-0.21</v>
      </c>
      <c r="CU731" s="1563">
        <v>-0.31</v>
      </c>
      <c r="CV731" s="1563"/>
      <c r="CW731" s="1563">
        <v>-0.3</v>
      </c>
      <c r="CX731" s="1563"/>
      <c r="CY731" s="1563">
        <v>-0.36</v>
      </c>
      <c r="CZ731" s="1563"/>
      <c r="DA731" s="1564"/>
      <c r="DB731" s="1565">
        <v>-0.49</v>
      </c>
      <c r="DC731" s="1566">
        <v>-0.39</v>
      </c>
      <c r="DD731" s="1566"/>
      <c r="DE731" s="1566">
        <v>-0.23</v>
      </c>
      <c r="DF731" s="1566"/>
      <c r="DG731" s="1566">
        <v>-0.19</v>
      </c>
      <c r="DH731" s="1566"/>
      <c r="DI731" s="1567"/>
      <c r="DJ731" s="1566"/>
      <c r="DK731" s="1566"/>
      <c r="DL731" s="1566"/>
      <c r="DM731" s="1566"/>
      <c r="DN731" s="1566"/>
      <c r="DO731" s="1566"/>
      <c r="DP731" s="1566"/>
      <c r="DQ731" s="1567"/>
      <c r="DR731" s="1566"/>
      <c r="DS731" s="1566"/>
      <c r="DT731" s="1566"/>
      <c r="DU731" s="1566"/>
      <c r="DV731" s="1566"/>
      <c r="DW731" s="1566"/>
      <c r="DX731" s="1566"/>
      <c r="DY731" s="1567"/>
      <c r="DZ731" s="1566"/>
      <c r="EA731" s="1566"/>
      <c r="EB731" s="1566"/>
      <c r="EC731" s="1566"/>
      <c r="ED731" s="1566"/>
      <c r="EE731" s="1566"/>
      <c r="EF731" s="1566"/>
      <c r="EG731" s="1567"/>
      <c r="EH731" s="1566"/>
      <c r="EI731" s="1566"/>
      <c r="EJ731" s="1566"/>
      <c r="EK731" s="1566"/>
      <c r="EL731" s="1566"/>
      <c r="EM731" s="1566"/>
      <c r="EN731" s="1566"/>
      <c r="EO731" s="1567"/>
      <c r="EP731" s="1566"/>
      <c r="EQ731" s="1566"/>
      <c r="ER731" s="1566"/>
      <c r="ES731" s="1566"/>
      <c r="ET731" s="1566"/>
      <c r="EU731" s="1566"/>
      <c r="EV731" s="1566"/>
      <c r="IX731" s="1568"/>
      <c r="IY731" s="1568"/>
      <c r="IZ731" s="1568"/>
      <c r="JA731" s="1568"/>
      <c r="JB731" s="1568"/>
      <c r="JC731" s="1568"/>
      <c r="JD731" s="1554"/>
      <c r="JE731" s="1126"/>
      <c r="JF731" s="1037"/>
      <c r="JG731" s="1037"/>
      <c r="JH731" s="1037"/>
      <c r="JI731" s="1035"/>
      <c r="JJ731" s="1035"/>
      <c r="JK731" s="1035"/>
      <c r="JL731" s="1035"/>
      <c r="JM731" s="1035"/>
      <c r="JN731" s="1035"/>
      <c r="JO731" s="1035"/>
      <c r="JP731" s="1035"/>
      <c r="JQ731" s="1035"/>
      <c r="JR731" s="1035"/>
      <c r="JS731" s="1035"/>
      <c r="JT731" s="1035"/>
      <c r="JU731" s="1035"/>
      <c r="JV731" s="1035"/>
      <c r="JW731" s="1035"/>
      <c r="JX731" s="1035"/>
      <c r="JY731" s="1035"/>
    </row>
    <row r="732" outlineLevel="1" spans="1:285">
      <c r="A732" s="1339" t="s">
        <v>654</v>
      </c>
      <c r="B732" s="1409"/>
      <c r="C732" s="1409"/>
      <c r="D732" s="1409"/>
      <c r="E732" s="1409"/>
      <c r="F732" s="1409"/>
      <c r="G732" s="1409"/>
      <c r="H732" s="1409"/>
      <c r="I732" s="1409"/>
      <c r="J732" s="1409"/>
      <c r="K732" s="1409"/>
      <c r="L732" s="1409"/>
      <c r="M732" s="1409"/>
      <c r="N732" s="1409"/>
      <c r="O732" s="1409"/>
      <c r="P732" s="1409"/>
      <c r="Q732" s="1409"/>
      <c r="R732" s="1409"/>
      <c r="S732" s="1409"/>
      <c r="T732" s="1409"/>
      <c r="U732" s="1409"/>
      <c r="V732" s="1409"/>
      <c r="W732" s="1409"/>
      <c r="X732" s="1409"/>
      <c r="Y732" s="1409"/>
      <c r="Z732" s="1409"/>
      <c r="AA732" s="1409"/>
      <c r="AB732" s="1409"/>
      <c r="AC732" s="1409"/>
      <c r="AD732" s="1409"/>
      <c r="AE732" s="1409"/>
      <c r="AF732" s="1409"/>
      <c r="AG732" s="1409"/>
      <c r="AH732" s="1409"/>
      <c r="AI732" s="1409"/>
      <c r="AJ732" s="1409"/>
      <c r="AK732" s="1409"/>
      <c r="AL732" s="1409"/>
      <c r="AM732" s="1409"/>
      <c r="AN732" s="1409"/>
      <c r="AO732" s="1409"/>
      <c r="AP732" s="1409"/>
      <c r="AQ732" s="1409"/>
      <c r="AR732" s="1409"/>
      <c r="AS732" s="1409"/>
      <c r="AT732" s="1409"/>
      <c r="AU732" s="1409"/>
      <c r="AV732" s="1409"/>
      <c r="AW732" s="1409"/>
      <c r="AX732" s="1408"/>
      <c r="AY732" s="1409"/>
      <c r="AZ732" s="1409"/>
      <c r="BA732" s="1409"/>
      <c r="BB732" s="1409"/>
      <c r="BC732" s="1409"/>
      <c r="BD732" s="1409"/>
      <c r="BE732" s="1410"/>
      <c r="BF732" s="1409"/>
      <c r="BG732" s="1409"/>
      <c r="BH732" s="1409"/>
      <c r="BI732" s="1409"/>
      <c r="BJ732" s="1409"/>
      <c r="BK732" s="1409"/>
      <c r="BL732" s="1409"/>
      <c r="BM732" s="1409"/>
      <c r="BN732" s="1408"/>
      <c r="BO732" s="1409"/>
      <c r="BP732" s="1409"/>
      <c r="BQ732" s="1409"/>
      <c r="BR732" s="1409"/>
      <c r="BS732" s="1409"/>
      <c r="BT732" s="1409"/>
      <c r="BU732" s="1410"/>
      <c r="BV732" s="1526">
        <v>0</v>
      </c>
      <c r="BW732" s="1061">
        <v>0</v>
      </c>
      <c r="BX732" s="1061">
        <v>0</v>
      </c>
      <c r="BY732" s="1061">
        <v>0</v>
      </c>
      <c r="BZ732" s="1061">
        <v>0</v>
      </c>
      <c r="CA732" s="1061">
        <v>0</v>
      </c>
      <c r="CB732" s="1061">
        <v>0</v>
      </c>
      <c r="CC732" s="1527">
        <v>0</v>
      </c>
      <c r="CD732" s="1562">
        <v>0</v>
      </c>
      <c r="CE732" s="1563">
        <v>0</v>
      </c>
      <c r="CF732" s="1563">
        <v>0</v>
      </c>
      <c r="CG732" s="1563">
        <v>0</v>
      </c>
      <c r="CH732" s="1563">
        <v>0</v>
      </c>
      <c r="CI732" s="1563">
        <v>0</v>
      </c>
      <c r="CJ732" s="1061">
        <v>0</v>
      </c>
      <c r="CK732" s="1527">
        <v>0</v>
      </c>
      <c r="CL732" s="1562">
        <v>0</v>
      </c>
      <c r="CM732" s="1563">
        <v>-0.26</v>
      </c>
      <c r="CN732" s="1563">
        <v>0</v>
      </c>
      <c r="CO732" s="1563">
        <v>0</v>
      </c>
      <c r="CP732" s="1563">
        <v>0</v>
      </c>
      <c r="CQ732" s="1563">
        <v>-0.25</v>
      </c>
      <c r="CR732" s="1563">
        <v>0</v>
      </c>
      <c r="CS732" s="1564">
        <v>0</v>
      </c>
      <c r="CT732" s="1562">
        <v>-0.06</v>
      </c>
      <c r="CU732" s="1563">
        <v>-0.27</v>
      </c>
      <c r="CV732" s="1563"/>
      <c r="CW732" s="1563">
        <v>-0.22</v>
      </c>
      <c r="CX732" s="1563"/>
      <c r="CY732" s="1563">
        <v>-0.3</v>
      </c>
      <c r="CZ732" s="1563"/>
      <c r="DA732" s="1564"/>
      <c r="DB732" s="1565">
        <v>-0.4</v>
      </c>
      <c r="DC732" s="1566">
        <v>-0.29</v>
      </c>
      <c r="DD732" s="1566"/>
      <c r="DE732" s="1566">
        <v>-0.22</v>
      </c>
      <c r="DF732" s="1566"/>
      <c r="DG732" s="1566">
        <v>-0.22</v>
      </c>
      <c r="DH732" s="1566"/>
      <c r="DI732" s="1567"/>
      <c r="DJ732" s="1566"/>
      <c r="DK732" s="1566"/>
      <c r="DL732" s="1566"/>
      <c r="DM732" s="1566"/>
      <c r="DN732" s="1566"/>
      <c r="DO732" s="1566"/>
      <c r="DP732" s="1566"/>
      <c r="DQ732" s="1567"/>
      <c r="DR732" s="1566"/>
      <c r="DS732" s="1566"/>
      <c r="DT732" s="1566"/>
      <c r="DU732" s="1566"/>
      <c r="DV732" s="1566"/>
      <c r="DW732" s="1566"/>
      <c r="DX732" s="1566"/>
      <c r="DY732" s="1567"/>
      <c r="DZ732" s="1566"/>
      <c r="EA732" s="1566"/>
      <c r="EB732" s="1566"/>
      <c r="EC732" s="1566"/>
      <c r="ED732" s="1566"/>
      <c r="EE732" s="1566"/>
      <c r="EF732" s="1566"/>
      <c r="EG732" s="1567"/>
      <c r="EH732" s="1566"/>
      <c r="EI732" s="1566"/>
      <c r="EJ732" s="1566"/>
      <c r="EK732" s="1566"/>
      <c r="EL732" s="1566"/>
      <c r="EM732" s="1566"/>
      <c r="EN732" s="1566"/>
      <c r="EO732" s="1567"/>
      <c r="EP732" s="1566"/>
      <c r="EQ732" s="1566"/>
      <c r="ER732" s="1566"/>
      <c r="ES732" s="1566"/>
      <c r="ET732" s="1566"/>
      <c r="EU732" s="1566"/>
      <c r="EV732" s="1566"/>
      <c r="IX732" s="1568"/>
      <c r="IY732" s="1568"/>
      <c r="IZ732" s="1568"/>
      <c r="JA732" s="1568"/>
      <c r="JB732" s="1568"/>
      <c r="JC732" s="1568"/>
      <c r="JD732" s="1554"/>
      <c r="JE732" s="1126"/>
      <c r="JF732" s="1037"/>
      <c r="JG732" s="1037"/>
      <c r="JH732" s="1037"/>
      <c r="JI732" s="1035"/>
      <c r="JJ732" s="1035"/>
      <c r="JK732" s="1035"/>
      <c r="JL732" s="1035"/>
      <c r="JM732" s="1035"/>
      <c r="JN732" s="1035"/>
      <c r="JO732" s="1035"/>
      <c r="JP732" s="1035"/>
      <c r="JQ732" s="1035"/>
      <c r="JR732" s="1035"/>
      <c r="JS732" s="1035"/>
      <c r="JT732" s="1035"/>
      <c r="JU732" s="1035"/>
      <c r="JV732" s="1035"/>
      <c r="JW732" s="1035"/>
      <c r="JX732" s="1035"/>
      <c r="JY732" s="1035"/>
    </row>
    <row r="733" outlineLevel="1" spans="1:285">
      <c r="A733" s="1339" t="s">
        <v>536</v>
      </c>
      <c r="B733" s="1409"/>
      <c r="C733" s="1409"/>
      <c r="D733" s="1409"/>
      <c r="E733" s="1409"/>
      <c r="F733" s="1409"/>
      <c r="G733" s="1409"/>
      <c r="H733" s="1409"/>
      <c r="I733" s="1409"/>
      <c r="J733" s="1409"/>
      <c r="K733" s="1409"/>
      <c r="L733" s="1409"/>
      <c r="M733" s="1409"/>
      <c r="N733" s="1409"/>
      <c r="O733" s="1409"/>
      <c r="P733" s="1409"/>
      <c r="Q733" s="1409"/>
      <c r="R733" s="1409"/>
      <c r="S733" s="1409"/>
      <c r="T733" s="1409"/>
      <c r="U733" s="1409"/>
      <c r="V733" s="1409"/>
      <c r="W733" s="1409"/>
      <c r="X733" s="1409"/>
      <c r="Y733" s="1409"/>
      <c r="Z733" s="1409"/>
      <c r="AA733" s="1409"/>
      <c r="AB733" s="1409"/>
      <c r="AC733" s="1409"/>
      <c r="AD733" s="1409"/>
      <c r="AE733" s="1409"/>
      <c r="AF733" s="1409"/>
      <c r="AG733" s="1409"/>
      <c r="AH733" s="1409"/>
      <c r="AI733" s="1409"/>
      <c r="AJ733" s="1409"/>
      <c r="AK733" s="1409"/>
      <c r="AL733" s="1409"/>
      <c r="AM733" s="1409"/>
      <c r="AN733" s="1409"/>
      <c r="AO733" s="1409"/>
      <c r="AP733" s="1409"/>
      <c r="AQ733" s="1409"/>
      <c r="AR733" s="1409"/>
      <c r="AS733" s="1409"/>
      <c r="AT733" s="1409"/>
      <c r="AU733" s="1409"/>
      <c r="AV733" s="1409"/>
      <c r="AW733" s="1409"/>
      <c r="AX733" s="1408"/>
      <c r="AY733" s="1409"/>
      <c r="AZ733" s="1409"/>
      <c r="BA733" s="1409"/>
      <c r="BB733" s="1409"/>
      <c r="BC733" s="1409"/>
      <c r="BD733" s="1409"/>
      <c r="BE733" s="1410"/>
      <c r="BF733" s="1409"/>
      <c r="BG733" s="1409"/>
      <c r="BH733" s="1409"/>
      <c r="BI733" s="1409"/>
      <c r="BJ733" s="1409"/>
      <c r="BK733" s="1409"/>
      <c r="BL733" s="1409"/>
      <c r="BM733" s="1409"/>
      <c r="BN733" s="1408"/>
      <c r="BO733" s="1409"/>
      <c r="BP733" s="1409"/>
      <c r="BQ733" s="1409"/>
      <c r="BR733" s="1409"/>
      <c r="BS733" s="1409"/>
      <c r="BT733" s="1409"/>
      <c r="BU733" s="1410"/>
      <c r="BV733" s="1526">
        <v>0</v>
      </c>
      <c r="BW733" s="1061">
        <v>0</v>
      </c>
      <c r="BX733" s="1061">
        <v>0</v>
      </c>
      <c r="BY733" s="1061">
        <v>0</v>
      </c>
      <c r="BZ733" s="1061">
        <v>0</v>
      </c>
      <c r="CA733" s="1061">
        <v>0</v>
      </c>
      <c r="CB733" s="1061">
        <v>0</v>
      </c>
      <c r="CC733" s="1527">
        <v>0</v>
      </c>
      <c r="CD733" s="1562">
        <v>0</v>
      </c>
      <c r="CE733" s="1563">
        <v>0</v>
      </c>
      <c r="CF733" s="1563">
        <v>0</v>
      </c>
      <c r="CG733" s="1563">
        <v>0</v>
      </c>
      <c r="CH733" s="1563">
        <v>0</v>
      </c>
      <c r="CI733" s="1563">
        <v>0</v>
      </c>
      <c r="CJ733" s="1061">
        <v>0</v>
      </c>
      <c r="CK733" s="1527">
        <v>0</v>
      </c>
      <c r="CL733" s="1562">
        <v>0</v>
      </c>
      <c r="CM733" s="1563">
        <v>-0.1</v>
      </c>
      <c r="CN733" s="1563">
        <v>0</v>
      </c>
      <c r="CO733" s="1563">
        <v>0</v>
      </c>
      <c r="CP733" s="1563">
        <v>0</v>
      </c>
      <c r="CQ733" s="1563">
        <v>-0.32</v>
      </c>
      <c r="CR733" s="1563">
        <v>0</v>
      </c>
      <c r="CS733" s="1564">
        <v>0</v>
      </c>
      <c r="CT733" s="1562">
        <v>0.07</v>
      </c>
      <c r="CU733" s="1563">
        <v>0.16</v>
      </c>
      <c r="CV733" s="1563"/>
      <c r="CW733" s="1563">
        <v>-0.01</v>
      </c>
      <c r="CX733" s="1563"/>
      <c r="CY733" s="1563">
        <v>0.08</v>
      </c>
      <c r="CZ733" s="1563"/>
      <c r="DA733" s="1564"/>
      <c r="DB733" s="1565">
        <v>-0.27</v>
      </c>
      <c r="DC733" s="1566">
        <v>-0.32</v>
      </c>
      <c r="DD733" s="1566"/>
      <c r="DE733" s="1566">
        <v>-0.23</v>
      </c>
      <c r="DF733" s="1566"/>
      <c r="DG733" s="1566">
        <v>-0.49</v>
      </c>
      <c r="DH733" s="1566"/>
      <c r="DI733" s="1567"/>
      <c r="DJ733" s="1566"/>
      <c r="DK733" s="1566"/>
      <c r="DL733" s="1566"/>
      <c r="DM733" s="1566"/>
      <c r="DN733" s="1566"/>
      <c r="DO733" s="1566"/>
      <c r="DP733" s="1566"/>
      <c r="DQ733" s="1567"/>
      <c r="DR733" s="1566"/>
      <c r="DS733" s="1566"/>
      <c r="DT733" s="1566"/>
      <c r="DU733" s="1566"/>
      <c r="DV733" s="1566"/>
      <c r="DW733" s="1566"/>
      <c r="DX733" s="1566"/>
      <c r="DY733" s="1567"/>
      <c r="DZ733" s="1566"/>
      <c r="EA733" s="1566"/>
      <c r="EB733" s="1566"/>
      <c r="EC733" s="1566"/>
      <c r="ED733" s="1566"/>
      <c r="EE733" s="1566"/>
      <c r="EF733" s="1566"/>
      <c r="EG733" s="1567"/>
      <c r="EH733" s="1566"/>
      <c r="EI733" s="1566"/>
      <c r="EJ733" s="1566"/>
      <c r="EK733" s="1566"/>
      <c r="EL733" s="1566"/>
      <c r="EM733" s="1566"/>
      <c r="EN733" s="1566"/>
      <c r="EO733" s="1567"/>
      <c r="EP733" s="1566"/>
      <c r="EQ733" s="1566"/>
      <c r="ER733" s="1566"/>
      <c r="ES733" s="1566"/>
      <c r="ET733" s="1566"/>
      <c r="EU733" s="1566"/>
      <c r="EV733" s="1566"/>
      <c r="IX733" s="1568"/>
      <c r="IY733" s="1568"/>
      <c r="IZ733" s="1568"/>
      <c r="JA733" s="1568"/>
      <c r="JB733" s="1568"/>
      <c r="JC733" s="1568"/>
      <c r="JD733" s="1554"/>
      <c r="JE733" s="1126"/>
      <c r="JF733" s="1037"/>
      <c r="JG733" s="1037"/>
      <c r="JH733" s="1037"/>
      <c r="JI733" s="1035"/>
      <c r="JJ733" s="1035"/>
      <c r="JK733" s="1035"/>
      <c r="JL733" s="1035"/>
      <c r="JM733" s="1035"/>
      <c r="JN733" s="1035"/>
      <c r="JO733" s="1035"/>
      <c r="JP733" s="1035"/>
      <c r="JQ733" s="1035"/>
      <c r="JR733" s="1035"/>
      <c r="JS733" s="1035"/>
      <c r="JT733" s="1035"/>
      <c r="JU733" s="1035"/>
      <c r="JV733" s="1035"/>
      <c r="JW733" s="1035"/>
      <c r="JX733" s="1035"/>
      <c r="JY733" s="1035"/>
    </row>
    <row r="734" outlineLevel="1" spans="1:285">
      <c r="A734" s="1339" t="s">
        <v>654</v>
      </c>
      <c r="B734" s="1409"/>
      <c r="C734" s="1409"/>
      <c r="D734" s="1409"/>
      <c r="E734" s="1409"/>
      <c r="F734" s="1409"/>
      <c r="G734" s="1409"/>
      <c r="H734" s="1409"/>
      <c r="I734" s="1409"/>
      <c r="J734" s="1409"/>
      <c r="K734" s="1409"/>
      <c r="L734" s="1409"/>
      <c r="M734" s="1409"/>
      <c r="N734" s="1409"/>
      <c r="O734" s="1409"/>
      <c r="P734" s="1409"/>
      <c r="Q734" s="1409"/>
      <c r="R734" s="1409"/>
      <c r="S734" s="1409"/>
      <c r="T734" s="1409"/>
      <c r="U734" s="1409"/>
      <c r="V734" s="1409"/>
      <c r="W734" s="1409"/>
      <c r="X734" s="1409"/>
      <c r="Y734" s="1409"/>
      <c r="Z734" s="1409"/>
      <c r="AA734" s="1409"/>
      <c r="AB734" s="1409"/>
      <c r="AC734" s="1409"/>
      <c r="AD734" s="1409"/>
      <c r="AE734" s="1409"/>
      <c r="AF734" s="1409"/>
      <c r="AG734" s="1409"/>
      <c r="AH734" s="1409"/>
      <c r="AI734" s="1409"/>
      <c r="AJ734" s="1409"/>
      <c r="AK734" s="1409"/>
      <c r="AL734" s="1409"/>
      <c r="AM734" s="1409"/>
      <c r="AN734" s="1409"/>
      <c r="AO734" s="1409"/>
      <c r="AP734" s="1409"/>
      <c r="AQ734" s="1409"/>
      <c r="AR734" s="1409"/>
      <c r="AS734" s="1409"/>
      <c r="AT734" s="1409"/>
      <c r="AU734" s="1409"/>
      <c r="AV734" s="1409"/>
      <c r="AW734" s="1409"/>
      <c r="AX734" s="1408"/>
      <c r="AY734" s="1409"/>
      <c r="AZ734" s="1409"/>
      <c r="BA734" s="1409"/>
      <c r="BB734" s="1409"/>
      <c r="BC734" s="1409"/>
      <c r="BD734" s="1409"/>
      <c r="BE734" s="1410"/>
      <c r="BF734" s="1409"/>
      <c r="BG734" s="1409"/>
      <c r="BH734" s="1409"/>
      <c r="BI734" s="1409"/>
      <c r="BJ734" s="1409"/>
      <c r="BK734" s="1409"/>
      <c r="BL734" s="1409"/>
      <c r="BM734" s="1409"/>
      <c r="BN734" s="1408"/>
      <c r="BO734" s="1409"/>
      <c r="BP734" s="1409"/>
      <c r="BQ734" s="1409"/>
      <c r="BR734" s="1409"/>
      <c r="BS734" s="1409"/>
      <c r="BT734" s="1409"/>
      <c r="BU734" s="1410"/>
      <c r="BV734" s="1526">
        <v>0</v>
      </c>
      <c r="BW734" s="1061">
        <v>0</v>
      </c>
      <c r="BX734" s="1061">
        <v>0</v>
      </c>
      <c r="BY734" s="1061">
        <v>0</v>
      </c>
      <c r="BZ734" s="1061">
        <v>0</v>
      </c>
      <c r="CA734" s="1061">
        <v>0</v>
      </c>
      <c r="CB734" s="1061">
        <v>0</v>
      </c>
      <c r="CC734" s="1527">
        <v>0</v>
      </c>
      <c r="CD734" s="1562">
        <v>0</v>
      </c>
      <c r="CE734" s="1563">
        <v>0</v>
      </c>
      <c r="CF734" s="1563">
        <v>0</v>
      </c>
      <c r="CG734" s="1563">
        <v>0</v>
      </c>
      <c r="CH734" s="1563">
        <v>0</v>
      </c>
      <c r="CI734" s="1563">
        <v>0</v>
      </c>
      <c r="CJ734" s="1061">
        <v>0</v>
      </c>
      <c r="CK734" s="1527">
        <v>0</v>
      </c>
      <c r="CL734" s="1562">
        <v>0</v>
      </c>
      <c r="CM734" s="1563">
        <v>-0.06</v>
      </c>
      <c r="CN734" s="1563">
        <v>0</v>
      </c>
      <c r="CO734" s="1563">
        <v>0</v>
      </c>
      <c r="CP734" s="1563">
        <v>0</v>
      </c>
      <c r="CQ734" s="1563">
        <v>-0.24</v>
      </c>
      <c r="CR734" s="1563">
        <v>0</v>
      </c>
      <c r="CS734" s="1564">
        <v>0</v>
      </c>
      <c r="CT734" s="1562">
        <v>0.03</v>
      </c>
      <c r="CU734" s="1563">
        <v>0.22</v>
      </c>
      <c r="CV734" s="1563"/>
      <c r="CW734" s="1563">
        <v>0.08</v>
      </c>
      <c r="CX734" s="1563"/>
      <c r="CY734" s="1563">
        <v>0.19</v>
      </c>
      <c r="CZ734" s="1563"/>
      <c r="DA734" s="1564"/>
      <c r="DB734" s="1565">
        <v>-0.15</v>
      </c>
      <c r="DC734" s="1566">
        <v>-0.21</v>
      </c>
      <c r="DD734" s="1566"/>
      <c r="DE734" s="1566">
        <v>-0.22</v>
      </c>
      <c r="DF734" s="1566"/>
      <c r="DG734" s="1566">
        <v>-0.5</v>
      </c>
      <c r="DH734" s="1566"/>
      <c r="DI734" s="1567"/>
      <c r="DJ734" s="1566"/>
      <c r="DK734" s="1566"/>
      <c r="DL734" s="1566"/>
      <c r="DM734" s="1566"/>
      <c r="DN734" s="1566"/>
      <c r="DO734" s="1566"/>
      <c r="DP734" s="1566"/>
      <c r="DQ734" s="1567"/>
      <c r="DR734" s="1566"/>
      <c r="DS734" s="1566"/>
      <c r="DT734" s="1566"/>
      <c r="DU734" s="1566"/>
      <c r="DV734" s="1566"/>
      <c r="DW734" s="1566"/>
      <c r="DX734" s="1566"/>
      <c r="DY734" s="1567"/>
      <c r="DZ734" s="1566"/>
      <c r="EA734" s="1566"/>
      <c r="EB734" s="1566"/>
      <c r="EC734" s="1566"/>
      <c r="ED734" s="1566"/>
      <c r="EE734" s="1566"/>
      <c r="EF734" s="1566"/>
      <c r="EG734" s="1567"/>
      <c r="EH734" s="1566"/>
      <c r="EI734" s="1566"/>
      <c r="EJ734" s="1566"/>
      <c r="EK734" s="1566"/>
      <c r="EL734" s="1566"/>
      <c r="EM734" s="1566"/>
      <c r="EN734" s="1566"/>
      <c r="EO734" s="1567"/>
      <c r="EP734" s="1566"/>
      <c r="EQ734" s="1566"/>
      <c r="ER734" s="1566"/>
      <c r="ES734" s="1566"/>
      <c r="ET734" s="1566"/>
      <c r="EU734" s="1566"/>
      <c r="EV734" s="1566"/>
      <c r="IX734" s="1568"/>
      <c r="IY734" s="1568"/>
      <c r="IZ734" s="1568"/>
      <c r="JA734" s="1568"/>
      <c r="JB734" s="1568"/>
      <c r="JC734" s="1568"/>
      <c r="JD734" s="1554"/>
      <c r="JE734" s="1126"/>
      <c r="JF734" s="1037"/>
      <c r="JG734" s="1037"/>
      <c r="JH734" s="1037"/>
      <c r="JI734" s="1035"/>
      <c r="JJ734" s="1035"/>
      <c r="JK734" s="1035"/>
      <c r="JL734" s="1035"/>
      <c r="JM734" s="1035"/>
      <c r="JN734" s="1035"/>
      <c r="JO734" s="1035"/>
      <c r="JP734" s="1035"/>
      <c r="JQ734" s="1035"/>
      <c r="JR734" s="1035"/>
      <c r="JS734" s="1035"/>
      <c r="JT734" s="1035"/>
      <c r="JU734" s="1035"/>
      <c r="JV734" s="1035"/>
      <c r="JW734" s="1035"/>
      <c r="JX734" s="1035"/>
      <c r="JY734" s="1035"/>
    </row>
    <row r="735" outlineLevel="1" spans="1:285">
      <c r="A735" s="1528" t="s">
        <v>209</v>
      </c>
      <c r="B735" s="1499"/>
      <c r="C735" s="1499"/>
      <c r="D735" s="1499"/>
      <c r="E735" s="1499"/>
      <c r="F735" s="1499"/>
      <c r="G735" s="1499"/>
      <c r="H735" s="1499"/>
      <c r="I735" s="1499"/>
      <c r="J735" s="1499"/>
      <c r="K735" s="1499"/>
      <c r="L735" s="1499"/>
      <c r="M735" s="1499"/>
      <c r="N735" s="1499"/>
      <c r="O735" s="1499"/>
      <c r="P735" s="1499"/>
      <c r="Q735" s="1499"/>
      <c r="R735" s="1499"/>
      <c r="S735" s="1499"/>
      <c r="T735" s="1499"/>
      <c r="U735" s="1499"/>
      <c r="V735" s="1499"/>
      <c r="W735" s="1499"/>
      <c r="X735" s="1499"/>
      <c r="Y735" s="1499"/>
      <c r="Z735" s="1499"/>
      <c r="AA735" s="1499"/>
      <c r="AB735" s="1499"/>
      <c r="AC735" s="1499"/>
      <c r="AD735" s="1499"/>
      <c r="AE735" s="1499"/>
      <c r="AF735" s="1499"/>
      <c r="AG735" s="1499"/>
      <c r="AH735" s="1499"/>
      <c r="AI735" s="1499"/>
      <c r="AJ735" s="1499"/>
      <c r="AK735" s="1499"/>
      <c r="AL735" s="1499"/>
      <c r="AM735" s="1499"/>
      <c r="AN735" s="1499"/>
      <c r="AO735" s="1499"/>
      <c r="AP735" s="1499"/>
      <c r="AQ735" s="1499"/>
      <c r="AR735" s="1499"/>
      <c r="AS735" s="1499"/>
      <c r="AT735" s="1499"/>
      <c r="AU735" s="1499"/>
      <c r="AV735" s="1499"/>
      <c r="AW735" s="1499"/>
      <c r="AX735" s="1500"/>
      <c r="AY735" s="1499"/>
      <c r="AZ735" s="1499"/>
      <c r="BA735" s="1499"/>
      <c r="BB735" s="1499"/>
      <c r="BC735" s="1499"/>
      <c r="BD735" s="1499"/>
      <c r="BE735" s="1501"/>
      <c r="BF735" s="1499"/>
      <c r="BG735" s="1499"/>
      <c r="BH735" s="1499"/>
      <c r="BI735" s="1499"/>
      <c r="BJ735" s="1499"/>
      <c r="BK735" s="1499"/>
      <c r="BL735" s="1499"/>
      <c r="BM735" s="1499"/>
      <c r="BN735" s="1500"/>
      <c r="BO735" s="1499"/>
      <c r="BP735" s="1499"/>
      <c r="BQ735" s="1499"/>
      <c r="BR735" s="1499"/>
      <c r="BS735" s="1499"/>
      <c r="BT735" s="1499"/>
      <c r="BU735" s="1501"/>
      <c r="BV735" s="1529">
        <v>0.08</v>
      </c>
      <c r="BW735" s="1530">
        <v>0</v>
      </c>
      <c r="BX735" s="1530">
        <v>0</v>
      </c>
      <c r="BY735" s="1530">
        <v>0.07</v>
      </c>
      <c r="BZ735" s="1530">
        <v>0</v>
      </c>
      <c r="CA735" s="1530">
        <v>-0.01</v>
      </c>
      <c r="CB735" s="1530">
        <v>0</v>
      </c>
      <c r="CC735" s="1531">
        <v>0</v>
      </c>
      <c r="CD735" s="1547">
        <v>0.03</v>
      </c>
      <c r="CE735" s="1548">
        <v>0.02</v>
      </c>
      <c r="CF735" s="1548">
        <v>0</v>
      </c>
      <c r="CG735" s="1548">
        <v>0.04</v>
      </c>
      <c r="CH735" s="1548">
        <v>0</v>
      </c>
      <c r="CI735" s="1548">
        <v>-0.12</v>
      </c>
      <c r="CJ735" s="1530">
        <v>0</v>
      </c>
      <c r="CK735" s="1531">
        <v>0</v>
      </c>
      <c r="CL735" s="1547">
        <v>-0.14</v>
      </c>
      <c r="CM735" s="1548">
        <v>-0.14</v>
      </c>
      <c r="CN735" s="1548">
        <v>0</v>
      </c>
      <c r="CO735" s="1548">
        <v>-0.06</v>
      </c>
      <c r="CP735" s="1548">
        <v>0</v>
      </c>
      <c r="CQ735" s="1548">
        <v>-0.08</v>
      </c>
      <c r="CR735" s="1548">
        <v>0</v>
      </c>
      <c r="CS735" s="1549">
        <v>0</v>
      </c>
      <c r="CT735" s="1547">
        <v>-0.01</v>
      </c>
      <c r="CU735" s="1548">
        <v>0</v>
      </c>
      <c r="CV735" s="1548"/>
      <c r="CW735" s="1548">
        <v>-0.07</v>
      </c>
      <c r="CX735" s="1548"/>
      <c r="CY735" s="1548">
        <v>-0.04</v>
      </c>
      <c r="CZ735" s="1548"/>
      <c r="DA735" s="1549"/>
      <c r="DB735" s="1550">
        <v>-0.13</v>
      </c>
      <c r="DC735" s="1551">
        <v>-0.15</v>
      </c>
      <c r="DD735" s="1551"/>
      <c r="DE735" s="1551">
        <v>-0.16</v>
      </c>
      <c r="DF735" s="1551"/>
      <c r="DG735" s="1551">
        <v>-0.2</v>
      </c>
      <c r="DH735" s="1551"/>
      <c r="DI735" s="1552"/>
      <c r="DJ735" s="1551"/>
      <c r="DK735" s="1551"/>
      <c r="DL735" s="1551"/>
      <c r="DM735" s="1551"/>
      <c r="DN735" s="1551"/>
      <c r="DO735" s="1551"/>
      <c r="DP735" s="1551"/>
      <c r="DQ735" s="1552"/>
      <c r="DR735" s="1551"/>
      <c r="DS735" s="1551"/>
      <c r="DT735" s="1551"/>
      <c r="DU735" s="1551"/>
      <c r="DV735" s="1551"/>
      <c r="DW735" s="1551"/>
      <c r="DX735" s="1551"/>
      <c r="DY735" s="1552"/>
      <c r="DZ735" s="1551"/>
      <c r="EA735" s="1551"/>
      <c r="EB735" s="1551"/>
      <c r="EC735" s="1551"/>
      <c r="ED735" s="1551"/>
      <c r="EE735" s="1551"/>
      <c r="EF735" s="1551"/>
      <c r="EG735" s="1552"/>
      <c r="EH735" s="1551"/>
      <c r="EI735" s="1551"/>
      <c r="EJ735" s="1551"/>
      <c r="EK735" s="1551"/>
      <c r="EL735" s="1551"/>
      <c r="EM735" s="1551"/>
      <c r="EN735" s="1551"/>
      <c r="EO735" s="1552"/>
      <c r="EP735" s="1551"/>
      <c r="EQ735" s="1551"/>
      <c r="ER735" s="1551"/>
      <c r="ES735" s="1551"/>
      <c r="ET735" s="1551"/>
      <c r="EU735" s="1551"/>
      <c r="EV735" s="1551"/>
      <c r="IX735" s="1553"/>
      <c r="IY735" s="1553"/>
      <c r="IZ735" s="1553"/>
      <c r="JA735" s="1553"/>
      <c r="JB735" s="1553"/>
      <c r="JC735" s="1553"/>
      <c r="JD735" s="1554"/>
      <c r="JE735" s="1126"/>
      <c r="JF735" s="1037"/>
      <c r="JG735" s="1037"/>
      <c r="JH735" s="1037"/>
      <c r="JI735" s="1035"/>
      <c r="JJ735" s="1035"/>
      <c r="JK735" s="1035"/>
      <c r="JL735" s="1035"/>
      <c r="JM735" s="1035"/>
      <c r="JN735" s="1035"/>
      <c r="JO735" s="1035"/>
      <c r="JP735" s="1035"/>
      <c r="JQ735" s="1035"/>
      <c r="JR735" s="1035"/>
      <c r="JS735" s="1035"/>
      <c r="JT735" s="1035"/>
      <c r="JU735" s="1035"/>
      <c r="JV735" s="1035"/>
      <c r="JW735" s="1035"/>
      <c r="JX735" s="1035"/>
      <c r="JY735" s="1035"/>
    </row>
    <row r="736" outlineLevel="1" spans="1:285">
      <c r="A736" s="1306" t="s">
        <v>654</v>
      </c>
      <c r="B736" s="1307"/>
      <c r="C736" s="1307"/>
      <c r="D736" s="1307"/>
      <c r="E736" s="1307"/>
      <c r="F736" s="1307"/>
      <c r="G736" s="1307"/>
      <c r="H736" s="1307"/>
      <c r="I736" s="1307"/>
      <c r="J736" s="1307"/>
      <c r="K736" s="1307"/>
      <c r="L736" s="1307"/>
      <c r="M736" s="1307"/>
      <c r="N736" s="1307"/>
      <c r="O736" s="1307"/>
      <c r="P736" s="1307"/>
      <c r="Q736" s="1307"/>
      <c r="R736" s="1307"/>
      <c r="S736" s="1307"/>
      <c r="T736" s="1307"/>
      <c r="U736" s="1307"/>
      <c r="V736" s="1307"/>
      <c r="W736" s="1307"/>
      <c r="X736" s="1307"/>
      <c r="Y736" s="1307"/>
      <c r="Z736" s="1307"/>
      <c r="AA736" s="1307"/>
      <c r="AB736" s="1307"/>
      <c r="AC736" s="1307"/>
      <c r="AD736" s="1307"/>
      <c r="AE736" s="1307"/>
      <c r="AF736" s="1307"/>
      <c r="AG736" s="1307"/>
      <c r="AH736" s="1307"/>
      <c r="AI736" s="1307"/>
      <c r="AJ736" s="1307"/>
      <c r="AK736" s="1307"/>
      <c r="AL736" s="1307"/>
      <c r="AM736" s="1307"/>
      <c r="AN736" s="1307"/>
      <c r="AO736" s="1307"/>
      <c r="AP736" s="1307"/>
      <c r="AQ736" s="1307"/>
      <c r="AR736" s="1307"/>
      <c r="AS736" s="1307"/>
      <c r="AT736" s="1307"/>
      <c r="AU736" s="1307"/>
      <c r="AV736" s="1307"/>
      <c r="AW736" s="1307"/>
      <c r="AX736" s="1308"/>
      <c r="AY736" s="1307"/>
      <c r="AZ736" s="1307"/>
      <c r="BA736" s="1307"/>
      <c r="BB736" s="1307"/>
      <c r="BC736" s="1307"/>
      <c r="BD736" s="1307"/>
      <c r="BE736" s="1309"/>
      <c r="BF736" s="1307"/>
      <c r="BG736" s="1307"/>
      <c r="BH736" s="1307"/>
      <c r="BI736" s="1307"/>
      <c r="BJ736" s="1307"/>
      <c r="BK736" s="1307"/>
      <c r="BL736" s="1307"/>
      <c r="BM736" s="1307"/>
      <c r="BN736" s="1308"/>
      <c r="BO736" s="1307"/>
      <c r="BP736" s="1307"/>
      <c r="BQ736" s="1307"/>
      <c r="BR736" s="1307"/>
      <c r="BS736" s="1307"/>
      <c r="BT736" s="1307"/>
      <c r="BU736" s="1309"/>
      <c r="BV736" s="1308">
        <v>0</v>
      </c>
      <c r="BW736" s="1307">
        <v>0</v>
      </c>
      <c r="BX736" s="1307">
        <v>0</v>
      </c>
      <c r="BY736" s="1307">
        <v>0</v>
      </c>
      <c r="BZ736" s="1307">
        <v>0</v>
      </c>
      <c r="CA736" s="1307">
        <v>0</v>
      </c>
      <c r="CB736" s="1307">
        <v>0</v>
      </c>
      <c r="CC736" s="1309">
        <v>0</v>
      </c>
      <c r="CD736" s="1555" t="s">
        <v>173</v>
      </c>
      <c r="CE736" s="1556" t="s">
        <v>173</v>
      </c>
      <c r="CF736" s="1556">
        <v>0</v>
      </c>
      <c r="CG736" s="1556" t="s">
        <v>173</v>
      </c>
      <c r="CH736" s="1556">
        <v>0</v>
      </c>
      <c r="CI736" s="1556" t="s">
        <v>173</v>
      </c>
      <c r="CJ736" s="1556">
        <v>0</v>
      </c>
      <c r="CK736" s="1557">
        <v>0</v>
      </c>
      <c r="CL736" s="1555">
        <v>-0.2</v>
      </c>
      <c r="CM736" s="1556">
        <v>-0.12</v>
      </c>
      <c r="CN736" s="1556">
        <v>0</v>
      </c>
      <c r="CO736" s="1556">
        <v>-0.05</v>
      </c>
      <c r="CP736" s="1556">
        <v>0</v>
      </c>
      <c r="CQ736" s="1556">
        <v>-0.07</v>
      </c>
      <c r="CR736" s="1556">
        <v>0</v>
      </c>
      <c r="CS736" s="1557">
        <v>0</v>
      </c>
      <c r="CT736" s="1555">
        <v>0</v>
      </c>
      <c r="CU736" s="1556">
        <v>0</v>
      </c>
      <c r="CV736" s="1556"/>
      <c r="CW736" s="1556">
        <v>-0.05</v>
      </c>
      <c r="CX736" s="1556"/>
      <c r="CY736" s="1556">
        <v>-0.01</v>
      </c>
      <c r="CZ736" s="1556"/>
      <c r="DA736" s="1557"/>
      <c r="DB736" s="1558">
        <v>-0.08</v>
      </c>
      <c r="DC736" s="1559">
        <v>-0.1</v>
      </c>
      <c r="DD736" s="1559"/>
      <c r="DE736" s="1559">
        <v>-0.14</v>
      </c>
      <c r="DF736" s="1559"/>
      <c r="DG736" s="1559">
        <v>-0.15</v>
      </c>
      <c r="DH736" s="1559"/>
      <c r="DI736" s="1560"/>
      <c r="DJ736" s="1559"/>
      <c r="DK736" s="1559"/>
      <c r="DL736" s="1559"/>
      <c r="DM736" s="1559"/>
      <c r="DN736" s="1559"/>
      <c r="DO736" s="1559"/>
      <c r="DP736" s="1559"/>
      <c r="DQ736" s="1560"/>
      <c r="DR736" s="1559"/>
      <c r="DS736" s="1559"/>
      <c r="DT736" s="1559"/>
      <c r="DU736" s="1559"/>
      <c r="DV736" s="1559"/>
      <c r="DW736" s="1559"/>
      <c r="DX736" s="1559"/>
      <c r="DY736" s="1560"/>
      <c r="DZ736" s="1559"/>
      <c r="EA736" s="1559"/>
      <c r="EB736" s="1559"/>
      <c r="EC736" s="1559"/>
      <c r="ED736" s="1559"/>
      <c r="EE736" s="1559"/>
      <c r="EF736" s="1559"/>
      <c r="EG736" s="1560"/>
      <c r="EH736" s="1559"/>
      <c r="EI736" s="1559"/>
      <c r="EJ736" s="1559"/>
      <c r="EK736" s="1559"/>
      <c r="EL736" s="1559"/>
      <c r="EM736" s="1559"/>
      <c r="EN736" s="1559"/>
      <c r="EO736" s="1560"/>
      <c r="EP736" s="1559"/>
      <c r="EQ736" s="1559"/>
      <c r="ER736" s="1559"/>
      <c r="ES736" s="1559"/>
      <c r="ET736" s="1559"/>
      <c r="EU736" s="1559"/>
      <c r="EV736" s="1559"/>
      <c r="IX736" s="1525"/>
      <c r="IY736" s="1525"/>
      <c r="IZ736" s="1525"/>
      <c r="JA736" s="1525"/>
      <c r="JB736" s="1525"/>
      <c r="JC736" s="1525"/>
      <c r="JD736" s="1561"/>
      <c r="JE736" s="1126"/>
      <c r="JF736" s="1037"/>
      <c r="JG736" s="1037"/>
      <c r="JH736" s="1037"/>
      <c r="JI736" s="1035"/>
      <c r="JJ736" s="1035"/>
      <c r="JK736" s="1035"/>
      <c r="JL736" s="1035"/>
      <c r="JM736" s="1035"/>
      <c r="JN736" s="1035"/>
      <c r="JO736" s="1035"/>
      <c r="JP736" s="1035"/>
      <c r="JQ736" s="1035"/>
      <c r="JR736" s="1035"/>
      <c r="JS736" s="1035"/>
      <c r="JT736" s="1035"/>
      <c r="JU736" s="1035"/>
      <c r="JV736" s="1035"/>
      <c r="JW736" s="1035"/>
      <c r="JX736" s="1035"/>
      <c r="JY736" s="1035"/>
    </row>
    <row r="737" outlineLevel="1" spans="1:285">
      <c r="A737" s="1339" t="s">
        <v>533</v>
      </c>
      <c r="B737" s="1409"/>
      <c r="C737" s="1409"/>
      <c r="D737" s="1409"/>
      <c r="E737" s="1409"/>
      <c r="F737" s="1409"/>
      <c r="G737" s="1409"/>
      <c r="H737" s="1409"/>
      <c r="I737" s="1409"/>
      <c r="J737" s="1409"/>
      <c r="K737" s="1409"/>
      <c r="L737" s="1409"/>
      <c r="M737" s="1409"/>
      <c r="N737" s="1409"/>
      <c r="O737" s="1409"/>
      <c r="P737" s="1409"/>
      <c r="Q737" s="1409"/>
      <c r="R737" s="1409"/>
      <c r="S737" s="1409"/>
      <c r="T737" s="1409"/>
      <c r="U737" s="1409"/>
      <c r="V737" s="1409"/>
      <c r="W737" s="1409"/>
      <c r="X737" s="1409"/>
      <c r="Y737" s="1409"/>
      <c r="Z737" s="1409"/>
      <c r="AA737" s="1409"/>
      <c r="AB737" s="1409"/>
      <c r="AC737" s="1409"/>
      <c r="AD737" s="1409"/>
      <c r="AE737" s="1409"/>
      <c r="AF737" s="1409"/>
      <c r="AG737" s="1409"/>
      <c r="AH737" s="1409"/>
      <c r="AI737" s="1409"/>
      <c r="AJ737" s="1409"/>
      <c r="AK737" s="1409"/>
      <c r="AL737" s="1409"/>
      <c r="AM737" s="1409"/>
      <c r="AN737" s="1409"/>
      <c r="AO737" s="1409"/>
      <c r="AP737" s="1409"/>
      <c r="AQ737" s="1409"/>
      <c r="AR737" s="1409"/>
      <c r="AS737" s="1409"/>
      <c r="AT737" s="1409"/>
      <c r="AU737" s="1409"/>
      <c r="AV737" s="1409"/>
      <c r="AW737" s="1409"/>
      <c r="AX737" s="1408"/>
      <c r="AY737" s="1409"/>
      <c r="AZ737" s="1409"/>
      <c r="BA737" s="1409"/>
      <c r="BB737" s="1409"/>
      <c r="BC737" s="1409"/>
      <c r="BD737" s="1409"/>
      <c r="BE737" s="1410"/>
      <c r="BF737" s="1409"/>
      <c r="BG737" s="1409"/>
      <c r="BH737" s="1409"/>
      <c r="BI737" s="1409"/>
      <c r="BJ737" s="1409"/>
      <c r="BK737" s="1409"/>
      <c r="BL737" s="1409"/>
      <c r="BM737" s="1409"/>
      <c r="BN737" s="1408"/>
      <c r="BO737" s="1409"/>
      <c r="BP737" s="1409"/>
      <c r="BQ737" s="1409"/>
      <c r="BR737" s="1409"/>
      <c r="BS737" s="1409"/>
      <c r="BT737" s="1409"/>
      <c r="BU737" s="1410"/>
      <c r="BV737" s="1526">
        <v>0</v>
      </c>
      <c r="BW737" s="1061">
        <v>0</v>
      </c>
      <c r="BX737" s="1061">
        <v>0</v>
      </c>
      <c r="BY737" s="1061">
        <v>0</v>
      </c>
      <c r="BZ737" s="1061">
        <v>0</v>
      </c>
      <c r="CA737" s="1061">
        <v>0</v>
      </c>
      <c r="CB737" s="1061">
        <v>0</v>
      </c>
      <c r="CC737" s="1527">
        <v>0</v>
      </c>
      <c r="CD737" s="1562">
        <v>0</v>
      </c>
      <c r="CE737" s="1563">
        <v>0</v>
      </c>
      <c r="CF737" s="1563">
        <v>0</v>
      </c>
      <c r="CG737" s="1563">
        <v>0</v>
      </c>
      <c r="CH737" s="1563">
        <v>0</v>
      </c>
      <c r="CI737" s="1563">
        <v>0</v>
      </c>
      <c r="CJ737" s="1061">
        <v>0</v>
      </c>
      <c r="CK737" s="1527">
        <v>0</v>
      </c>
      <c r="CL737" s="1562">
        <v>0</v>
      </c>
      <c r="CM737" s="1563">
        <v>0.02</v>
      </c>
      <c r="CN737" s="1563">
        <v>0</v>
      </c>
      <c r="CO737" s="1563">
        <v>0</v>
      </c>
      <c r="CP737" s="1563">
        <v>0</v>
      </c>
      <c r="CQ737" s="1563">
        <v>-0.09</v>
      </c>
      <c r="CR737" s="1563">
        <v>0</v>
      </c>
      <c r="CS737" s="1564">
        <v>0</v>
      </c>
      <c r="CT737" s="1562">
        <v>-0.07</v>
      </c>
      <c r="CU737" s="1563">
        <v>-0.08</v>
      </c>
      <c r="CV737" s="1563"/>
      <c r="CW737" s="1563">
        <v>-0.08</v>
      </c>
      <c r="CX737" s="1563"/>
      <c r="CY737" s="1563">
        <v>0.06</v>
      </c>
      <c r="CZ737" s="1563"/>
      <c r="DA737" s="1564"/>
      <c r="DB737" s="1565">
        <v>-0.13</v>
      </c>
      <c r="DC737" s="1566">
        <v>-0.13</v>
      </c>
      <c r="DD737" s="1566"/>
      <c r="DE737" s="1566">
        <v>-0.12</v>
      </c>
      <c r="DF737" s="1566"/>
      <c r="DG737" s="1566">
        <v>-0.18</v>
      </c>
      <c r="DH737" s="1566"/>
      <c r="DI737" s="1567"/>
      <c r="DJ737" s="1566"/>
      <c r="DK737" s="1566"/>
      <c r="DL737" s="1566"/>
      <c r="DM737" s="1566"/>
      <c r="DN737" s="1566"/>
      <c r="DO737" s="1566"/>
      <c r="DP737" s="1566"/>
      <c r="DQ737" s="1567"/>
      <c r="DR737" s="1566"/>
      <c r="DS737" s="1566"/>
      <c r="DT737" s="1566"/>
      <c r="DU737" s="1566"/>
      <c r="DV737" s="1566"/>
      <c r="DW737" s="1566"/>
      <c r="DX737" s="1566"/>
      <c r="DY737" s="1567"/>
      <c r="DZ737" s="1566"/>
      <c r="EA737" s="1566"/>
      <c r="EB737" s="1566"/>
      <c r="EC737" s="1566"/>
      <c r="ED737" s="1566"/>
      <c r="EE737" s="1566"/>
      <c r="EF737" s="1566"/>
      <c r="EG737" s="1567"/>
      <c r="EH737" s="1566"/>
      <c r="EI737" s="1566"/>
      <c r="EJ737" s="1566"/>
      <c r="EK737" s="1566"/>
      <c r="EL737" s="1566"/>
      <c r="EM737" s="1566"/>
      <c r="EN737" s="1566"/>
      <c r="EO737" s="1567"/>
      <c r="EP737" s="1566"/>
      <c r="EQ737" s="1566"/>
      <c r="ER737" s="1566"/>
      <c r="ES737" s="1566"/>
      <c r="ET737" s="1566"/>
      <c r="EU737" s="1566"/>
      <c r="EV737" s="1566"/>
      <c r="IX737" s="1568"/>
      <c r="IY737" s="1568"/>
      <c r="IZ737" s="1568"/>
      <c r="JA737" s="1568"/>
      <c r="JB737" s="1568"/>
      <c r="JC737" s="1568"/>
      <c r="JD737" s="1554"/>
      <c r="JE737" s="1126"/>
      <c r="JF737" s="1037"/>
      <c r="JG737" s="1037"/>
      <c r="JH737" s="1037"/>
      <c r="JI737" s="1035"/>
      <c r="JJ737" s="1035"/>
      <c r="JK737" s="1035"/>
      <c r="JL737" s="1035"/>
      <c r="JM737" s="1035"/>
      <c r="JN737" s="1035"/>
      <c r="JO737" s="1035"/>
      <c r="JP737" s="1035"/>
      <c r="JQ737" s="1035"/>
      <c r="JR737" s="1035"/>
      <c r="JS737" s="1035"/>
      <c r="JT737" s="1035"/>
      <c r="JU737" s="1035"/>
      <c r="JV737" s="1035"/>
      <c r="JW737" s="1035"/>
      <c r="JX737" s="1035"/>
      <c r="JY737" s="1035"/>
    </row>
    <row r="738" outlineLevel="1" spans="1:285">
      <c r="A738" s="1339" t="s">
        <v>654</v>
      </c>
      <c r="B738" s="1409"/>
      <c r="C738" s="1409"/>
      <c r="D738" s="1409"/>
      <c r="E738" s="1409"/>
      <c r="F738" s="1409"/>
      <c r="G738" s="1409"/>
      <c r="H738" s="1409"/>
      <c r="I738" s="1409"/>
      <c r="J738" s="1409"/>
      <c r="K738" s="1409"/>
      <c r="L738" s="1409"/>
      <c r="M738" s="1409"/>
      <c r="N738" s="1409"/>
      <c r="O738" s="1409"/>
      <c r="P738" s="1409"/>
      <c r="Q738" s="1409"/>
      <c r="R738" s="1409"/>
      <c r="S738" s="1409"/>
      <c r="T738" s="1409"/>
      <c r="U738" s="1409"/>
      <c r="V738" s="1409"/>
      <c r="W738" s="1409"/>
      <c r="X738" s="1409"/>
      <c r="Y738" s="1409"/>
      <c r="Z738" s="1409"/>
      <c r="AA738" s="1409"/>
      <c r="AB738" s="1409"/>
      <c r="AC738" s="1409"/>
      <c r="AD738" s="1409"/>
      <c r="AE738" s="1409"/>
      <c r="AF738" s="1409"/>
      <c r="AG738" s="1409"/>
      <c r="AH738" s="1409"/>
      <c r="AI738" s="1409"/>
      <c r="AJ738" s="1409"/>
      <c r="AK738" s="1409"/>
      <c r="AL738" s="1409"/>
      <c r="AM738" s="1409"/>
      <c r="AN738" s="1409"/>
      <c r="AO738" s="1409"/>
      <c r="AP738" s="1409"/>
      <c r="AQ738" s="1409"/>
      <c r="AR738" s="1409"/>
      <c r="AS738" s="1409"/>
      <c r="AT738" s="1409"/>
      <c r="AU738" s="1409"/>
      <c r="AV738" s="1409"/>
      <c r="AW738" s="1409"/>
      <c r="AX738" s="1408"/>
      <c r="AY738" s="1409"/>
      <c r="AZ738" s="1409"/>
      <c r="BA738" s="1409"/>
      <c r="BB738" s="1409"/>
      <c r="BC738" s="1409"/>
      <c r="BD738" s="1409"/>
      <c r="BE738" s="1410"/>
      <c r="BF738" s="1409"/>
      <c r="BG738" s="1409"/>
      <c r="BH738" s="1409"/>
      <c r="BI738" s="1409"/>
      <c r="BJ738" s="1409"/>
      <c r="BK738" s="1409"/>
      <c r="BL738" s="1409"/>
      <c r="BM738" s="1409"/>
      <c r="BN738" s="1408"/>
      <c r="BO738" s="1409"/>
      <c r="BP738" s="1409"/>
      <c r="BQ738" s="1409"/>
      <c r="BR738" s="1409"/>
      <c r="BS738" s="1409"/>
      <c r="BT738" s="1409"/>
      <c r="BU738" s="1410"/>
      <c r="BV738" s="1526">
        <v>0</v>
      </c>
      <c r="BW738" s="1061">
        <v>0</v>
      </c>
      <c r="BX738" s="1061">
        <v>0</v>
      </c>
      <c r="BY738" s="1061">
        <v>0</v>
      </c>
      <c r="BZ738" s="1061">
        <v>0</v>
      </c>
      <c r="CA738" s="1061">
        <v>0</v>
      </c>
      <c r="CB738" s="1061">
        <v>0</v>
      </c>
      <c r="CC738" s="1527">
        <v>0</v>
      </c>
      <c r="CD738" s="1562">
        <v>0</v>
      </c>
      <c r="CE738" s="1563">
        <v>0</v>
      </c>
      <c r="CF738" s="1563">
        <v>0</v>
      </c>
      <c r="CG738" s="1563">
        <v>0</v>
      </c>
      <c r="CH738" s="1563">
        <v>0</v>
      </c>
      <c r="CI738" s="1563">
        <v>0</v>
      </c>
      <c r="CJ738" s="1061">
        <v>0</v>
      </c>
      <c r="CK738" s="1527">
        <v>0</v>
      </c>
      <c r="CL738" s="1562">
        <v>0</v>
      </c>
      <c r="CM738" s="1563">
        <v>0.04</v>
      </c>
      <c r="CN738" s="1563">
        <v>0</v>
      </c>
      <c r="CO738" s="1563">
        <v>0</v>
      </c>
      <c r="CP738" s="1563">
        <v>0</v>
      </c>
      <c r="CQ738" s="1563">
        <v>-0.08</v>
      </c>
      <c r="CR738" s="1563">
        <v>0</v>
      </c>
      <c r="CS738" s="1564">
        <v>0</v>
      </c>
      <c r="CT738" s="1562">
        <v>-0.06</v>
      </c>
      <c r="CU738" s="1563">
        <v>-0.08</v>
      </c>
      <c r="CV738" s="1563"/>
      <c r="CW738" s="1563">
        <v>-0.07</v>
      </c>
      <c r="CX738" s="1563"/>
      <c r="CY738" s="1563">
        <v>0.09</v>
      </c>
      <c r="CZ738" s="1563"/>
      <c r="DA738" s="1564"/>
      <c r="DB738" s="1565">
        <v>-0.08</v>
      </c>
      <c r="DC738" s="1566">
        <v>-0.09</v>
      </c>
      <c r="DD738" s="1566"/>
      <c r="DE738" s="1566">
        <v>-0.1</v>
      </c>
      <c r="DF738" s="1566"/>
      <c r="DG738" s="1566">
        <v>-0.12</v>
      </c>
      <c r="DH738" s="1566"/>
      <c r="DI738" s="1567"/>
      <c r="DJ738" s="1566"/>
      <c r="DK738" s="1566"/>
      <c r="DL738" s="1566"/>
      <c r="DM738" s="1566"/>
      <c r="DN738" s="1566"/>
      <c r="DO738" s="1566"/>
      <c r="DP738" s="1566"/>
      <c r="DQ738" s="1567"/>
      <c r="DR738" s="1566"/>
      <c r="DS738" s="1566"/>
      <c r="DT738" s="1566"/>
      <c r="DU738" s="1566"/>
      <c r="DV738" s="1566"/>
      <c r="DW738" s="1566"/>
      <c r="DX738" s="1566"/>
      <c r="DY738" s="1567"/>
      <c r="DZ738" s="1566"/>
      <c r="EA738" s="1566"/>
      <c r="EB738" s="1566"/>
      <c r="EC738" s="1566"/>
      <c r="ED738" s="1566"/>
      <c r="EE738" s="1566"/>
      <c r="EF738" s="1566"/>
      <c r="EG738" s="1567"/>
      <c r="EH738" s="1566"/>
      <c r="EI738" s="1566"/>
      <c r="EJ738" s="1566"/>
      <c r="EK738" s="1566"/>
      <c r="EL738" s="1566"/>
      <c r="EM738" s="1566"/>
      <c r="EN738" s="1566"/>
      <c r="EO738" s="1567"/>
      <c r="EP738" s="1566"/>
      <c r="EQ738" s="1566"/>
      <c r="ER738" s="1566"/>
      <c r="ES738" s="1566"/>
      <c r="ET738" s="1566"/>
      <c r="EU738" s="1566"/>
      <c r="EV738" s="1566"/>
      <c r="IX738" s="1568"/>
      <c r="IY738" s="1568"/>
      <c r="IZ738" s="1568"/>
      <c r="JA738" s="1568"/>
      <c r="JB738" s="1568"/>
      <c r="JC738" s="1568"/>
      <c r="JD738" s="1554"/>
      <c r="JE738" s="1126"/>
      <c r="JF738" s="1037"/>
      <c r="JG738" s="1037"/>
      <c r="JH738" s="1037"/>
      <c r="JI738" s="1035"/>
      <c r="JJ738" s="1035"/>
      <c r="JK738" s="1035"/>
      <c r="JL738" s="1035"/>
      <c r="JM738" s="1035"/>
      <c r="JN738" s="1035"/>
      <c r="JO738" s="1035"/>
      <c r="JP738" s="1035"/>
      <c r="JQ738" s="1035"/>
      <c r="JR738" s="1035"/>
      <c r="JS738" s="1035"/>
      <c r="JT738" s="1035"/>
      <c r="JU738" s="1035"/>
      <c r="JV738" s="1035"/>
      <c r="JW738" s="1035"/>
      <c r="JX738" s="1035"/>
      <c r="JY738" s="1035"/>
    </row>
    <row r="739" outlineLevel="1" spans="1:285">
      <c r="A739" s="1339" t="s">
        <v>536</v>
      </c>
      <c r="B739" s="1409"/>
      <c r="C739" s="1409"/>
      <c r="D739" s="1409"/>
      <c r="E739" s="1409"/>
      <c r="F739" s="1409"/>
      <c r="G739" s="1409"/>
      <c r="H739" s="1409"/>
      <c r="I739" s="1409"/>
      <c r="J739" s="1409"/>
      <c r="K739" s="1409"/>
      <c r="L739" s="1409"/>
      <c r="M739" s="1409"/>
      <c r="N739" s="1409"/>
      <c r="O739" s="1409"/>
      <c r="P739" s="1409"/>
      <c r="Q739" s="1409"/>
      <c r="R739" s="1409"/>
      <c r="S739" s="1409"/>
      <c r="T739" s="1409"/>
      <c r="U739" s="1409"/>
      <c r="V739" s="1409"/>
      <c r="W739" s="1409"/>
      <c r="X739" s="1409"/>
      <c r="Y739" s="1409"/>
      <c r="Z739" s="1409"/>
      <c r="AA739" s="1409"/>
      <c r="AB739" s="1409"/>
      <c r="AC739" s="1409"/>
      <c r="AD739" s="1409"/>
      <c r="AE739" s="1409"/>
      <c r="AF739" s="1409"/>
      <c r="AG739" s="1409"/>
      <c r="AH739" s="1409"/>
      <c r="AI739" s="1409"/>
      <c r="AJ739" s="1409"/>
      <c r="AK739" s="1409"/>
      <c r="AL739" s="1409"/>
      <c r="AM739" s="1409"/>
      <c r="AN739" s="1409"/>
      <c r="AO739" s="1409"/>
      <c r="AP739" s="1409"/>
      <c r="AQ739" s="1409"/>
      <c r="AR739" s="1409"/>
      <c r="AS739" s="1409"/>
      <c r="AT739" s="1409"/>
      <c r="AU739" s="1409"/>
      <c r="AV739" s="1409"/>
      <c r="AW739" s="1409"/>
      <c r="AX739" s="1408"/>
      <c r="AY739" s="1409"/>
      <c r="AZ739" s="1409"/>
      <c r="BA739" s="1409"/>
      <c r="BB739" s="1409"/>
      <c r="BC739" s="1409"/>
      <c r="BD739" s="1409"/>
      <c r="BE739" s="1410"/>
      <c r="BF739" s="1409"/>
      <c r="BG739" s="1409"/>
      <c r="BH739" s="1409"/>
      <c r="BI739" s="1409"/>
      <c r="BJ739" s="1409"/>
      <c r="BK739" s="1409"/>
      <c r="BL739" s="1409"/>
      <c r="BM739" s="1409"/>
      <c r="BN739" s="1408"/>
      <c r="BO739" s="1409"/>
      <c r="BP739" s="1409"/>
      <c r="BQ739" s="1409"/>
      <c r="BR739" s="1409"/>
      <c r="BS739" s="1409"/>
      <c r="BT739" s="1409"/>
      <c r="BU739" s="1410"/>
      <c r="BV739" s="1526">
        <v>0</v>
      </c>
      <c r="BW739" s="1061">
        <v>0</v>
      </c>
      <c r="BX739" s="1061">
        <v>0</v>
      </c>
      <c r="BY739" s="1061">
        <v>0</v>
      </c>
      <c r="BZ739" s="1061">
        <v>0</v>
      </c>
      <c r="CA739" s="1061">
        <v>0</v>
      </c>
      <c r="CB739" s="1061">
        <v>0</v>
      </c>
      <c r="CC739" s="1527">
        <v>0</v>
      </c>
      <c r="CD739" s="1562">
        <v>0</v>
      </c>
      <c r="CE739" s="1563">
        <v>0</v>
      </c>
      <c r="CF739" s="1563">
        <v>0</v>
      </c>
      <c r="CG739" s="1563">
        <v>0</v>
      </c>
      <c r="CH739" s="1563">
        <v>0</v>
      </c>
      <c r="CI739" s="1563">
        <v>0</v>
      </c>
      <c r="CJ739" s="1061">
        <v>0</v>
      </c>
      <c r="CK739" s="1527">
        <v>0</v>
      </c>
      <c r="CL739" s="1562">
        <v>0</v>
      </c>
      <c r="CM739" s="1563">
        <v>-0.33</v>
      </c>
      <c r="CN739" s="1563">
        <v>0</v>
      </c>
      <c r="CO739" s="1563">
        <v>0</v>
      </c>
      <c r="CP739" s="1563">
        <v>0</v>
      </c>
      <c r="CQ739" s="1563">
        <v>-0.13</v>
      </c>
      <c r="CR739" s="1563">
        <v>0</v>
      </c>
      <c r="CS739" s="1564">
        <v>0</v>
      </c>
      <c r="CT739" s="1562">
        <v>0.02</v>
      </c>
      <c r="CU739" s="1563">
        <v>0.1</v>
      </c>
      <c r="CV739" s="1563"/>
      <c r="CW739" s="1563">
        <v>-0.09</v>
      </c>
      <c r="CX739" s="1563"/>
      <c r="CY739" s="1563">
        <v>-0.16</v>
      </c>
      <c r="CZ739" s="1563"/>
      <c r="DA739" s="1564"/>
      <c r="DB739" s="1565">
        <v>-0.19</v>
      </c>
      <c r="DC739" s="1566">
        <v>-0.27</v>
      </c>
      <c r="DD739" s="1566"/>
      <c r="DE739" s="1566">
        <v>-0.24</v>
      </c>
      <c r="DF739" s="1566"/>
      <c r="DG739" s="1566">
        <v>-0.25</v>
      </c>
      <c r="DH739" s="1566"/>
      <c r="DI739" s="1567"/>
      <c r="DJ739" s="1566"/>
      <c r="DK739" s="1566"/>
      <c r="DL739" s="1566"/>
      <c r="DM739" s="1566"/>
      <c r="DN739" s="1566"/>
      <c r="DO739" s="1566"/>
      <c r="DP739" s="1566"/>
      <c r="DQ739" s="1567"/>
      <c r="DR739" s="1566"/>
      <c r="DS739" s="1566"/>
      <c r="DT739" s="1566"/>
      <c r="DU739" s="1566"/>
      <c r="DV739" s="1566"/>
      <c r="DW739" s="1566"/>
      <c r="DX739" s="1566"/>
      <c r="DY739" s="1567"/>
      <c r="DZ739" s="1566"/>
      <c r="EA739" s="1566"/>
      <c r="EB739" s="1566"/>
      <c r="EC739" s="1566"/>
      <c r="ED739" s="1566"/>
      <c r="EE739" s="1566"/>
      <c r="EF739" s="1566"/>
      <c r="EG739" s="1567"/>
      <c r="EH739" s="1566"/>
      <c r="EI739" s="1566"/>
      <c r="EJ739" s="1566"/>
      <c r="EK739" s="1566"/>
      <c r="EL739" s="1566"/>
      <c r="EM739" s="1566"/>
      <c r="EN739" s="1566"/>
      <c r="EO739" s="1567"/>
      <c r="EP739" s="1566"/>
      <c r="EQ739" s="1566"/>
      <c r="ER739" s="1566"/>
      <c r="ES739" s="1566"/>
      <c r="ET739" s="1566"/>
      <c r="EU739" s="1566"/>
      <c r="EV739" s="1566"/>
      <c r="IX739" s="1568"/>
      <c r="IY739" s="1568"/>
      <c r="IZ739" s="1568"/>
      <c r="JA739" s="1568"/>
      <c r="JB739" s="1568"/>
      <c r="JC739" s="1568"/>
      <c r="JD739" s="1554"/>
      <c r="JE739" s="1126"/>
      <c r="JF739" s="1037"/>
      <c r="JG739" s="1037"/>
      <c r="JH739" s="1037"/>
      <c r="JI739" s="1035"/>
      <c r="JJ739" s="1035"/>
      <c r="JK739" s="1035"/>
      <c r="JL739" s="1035"/>
      <c r="JM739" s="1035"/>
      <c r="JN739" s="1035"/>
      <c r="JO739" s="1035"/>
      <c r="JP739" s="1035"/>
      <c r="JQ739" s="1035"/>
      <c r="JR739" s="1035"/>
      <c r="JS739" s="1035"/>
      <c r="JT739" s="1035"/>
      <c r="JU739" s="1035"/>
      <c r="JV739" s="1035"/>
      <c r="JW739" s="1035"/>
      <c r="JX739" s="1035"/>
      <c r="JY739" s="1035"/>
    </row>
    <row r="740" outlineLevel="1" spans="1:285">
      <c r="A740" s="1339" t="s">
        <v>654</v>
      </c>
      <c r="B740" s="1409"/>
      <c r="C740" s="1409"/>
      <c r="D740" s="1409"/>
      <c r="E740" s="1409"/>
      <c r="F740" s="1409"/>
      <c r="G740" s="1409"/>
      <c r="H740" s="1409"/>
      <c r="I740" s="1409"/>
      <c r="J740" s="1409"/>
      <c r="K740" s="1409"/>
      <c r="L740" s="1409"/>
      <c r="M740" s="1409"/>
      <c r="N740" s="1409"/>
      <c r="O740" s="1409"/>
      <c r="P740" s="1409"/>
      <c r="Q740" s="1409"/>
      <c r="R740" s="1409"/>
      <c r="S740" s="1409"/>
      <c r="T740" s="1409"/>
      <c r="U740" s="1409"/>
      <c r="V740" s="1409"/>
      <c r="W740" s="1409"/>
      <c r="X740" s="1409"/>
      <c r="Y740" s="1409"/>
      <c r="Z740" s="1409"/>
      <c r="AA740" s="1409"/>
      <c r="AB740" s="1409"/>
      <c r="AC740" s="1409"/>
      <c r="AD740" s="1409"/>
      <c r="AE740" s="1409"/>
      <c r="AF740" s="1409"/>
      <c r="AG740" s="1409"/>
      <c r="AH740" s="1409"/>
      <c r="AI740" s="1409"/>
      <c r="AJ740" s="1409"/>
      <c r="AK740" s="1409"/>
      <c r="AL740" s="1409"/>
      <c r="AM740" s="1409"/>
      <c r="AN740" s="1409"/>
      <c r="AO740" s="1409"/>
      <c r="AP740" s="1409"/>
      <c r="AQ740" s="1409"/>
      <c r="AR740" s="1409"/>
      <c r="AS740" s="1409"/>
      <c r="AT740" s="1409"/>
      <c r="AU740" s="1409"/>
      <c r="AV740" s="1409"/>
      <c r="AW740" s="1409"/>
      <c r="AX740" s="1408"/>
      <c r="AY740" s="1409"/>
      <c r="AZ740" s="1409"/>
      <c r="BA740" s="1409"/>
      <c r="BB740" s="1409"/>
      <c r="BC740" s="1409"/>
      <c r="BD740" s="1409"/>
      <c r="BE740" s="1410"/>
      <c r="BF740" s="1409"/>
      <c r="BG740" s="1409"/>
      <c r="BH740" s="1409"/>
      <c r="BI740" s="1409"/>
      <c r="BJ740" s="1409"/>
      <c r="BK740" s="1409"/>
      <c r="BL740" s="1409"/>
      <c r="BM740" s="1409"/>
      <c r="BN740" s="1408"/>
      <c r="BO740" s="1409"/>
      <c r="BP740" s="1409"/>
      <c r="BQ740" s="1409"/>
      <c r="BR740" s="1409"/>
      <c r="BS740" s="1409"/>
      <c r="BT740" s="1409"/>
      <c r="BU740" s="1410"/>
      <c r="BV740" s="1526">
        <v>0</v>
      </c>
      <c r="BW740" s="1061">
        <v>0</v>
      </c>
      <c r="BX740" s="1061">
        <v>0</v>
      </c>
      <c r="BY740" s="1061">
        <v>0</v>
      </c>
      <c r="BZ740" s="1061">
        <v>0</v>
      </c>
      <c r="CA740" s="1061">
        <v>0</v>
      </c>
      <c r="CB740" s="1061">
        <v>0</v>
      </c>
      <c r="CC740" s="1527">
        <v>0</v>
      </c>
      <c r="CD740" s="1562">
        <v>0</v>
      </c>
      <c r="CE740" s="1563">
        <v>0</v>
      </c>
      <c r="CF740" s="1563">
        <v>0</v>
      </c>
      <c r="CG740" s="1563">
        <v>0</v>
      </c>
      <c r="CH740" s="1563">
        <v>0</v>
      </c>
      <c r="CI740" s="1563">
        <v>0</v>
      </c>
      <c r="CJ740" s="1061">
        <v>0</v>
      </c>
      <c r="CK740" s="1527">
        <v>0</v>
      </c>
      <c r="CL740" s="1562">
        <v>0</v>
      </c>
      <c r="CM740" s="1563">
        <v>-0.32</v>
      </c>
      <c r="CN740" s="1563">
        <v>0</v>
      </c>
      <c r="CO740" s="1563">
        <v>0</v>
      </c>
      <c r="CP740" s="1563">
        <v>0</v>
      </c>
      <c r="CQ740" s="1563">
        <v>-0.11</v>
      </c>
      <c r="CR740" s="1563">
        <v>0</v>
      </c>
      <c r="CS740" s="1564">
        <v>0</v>
      </c>
      <c r="CT740" s="1562">
        <v>0.03</v>
      </c>
      <c r="CU740" s="1563">
        <v>0.1</v>
      </c>
      <c r="CV740" s="1563"/>
      <c r="CW740" s="1563">
        <v>-0.07</v>
      </c>
      <c r="CX740" s="1563"/>
      <c r="CY740" s="1563">
        <v>-0.13</v>
      </c>
      <c r="CZ740" s="1563"/>
      <c r="DA740" s="1564"/>
      <c r="DB740" s="1565">
        <v>-0.13</v>
      </c>
      <c r="DC740" s="1566">
        <v>-0.22</v>
      </c>
      <c r="DD740" s="1566"/>
      <c r="DE740" s="1566">
        <v>-0.23</v>
      </c>
      <c r="DF740" s="1566"/>
      <c r="DG740" s="1566">
        <v>-0.22</v>
      </c>
      <c r="DH740" s="1566"/>
      <c r="DI740" s="1567"/>
      <c r="DJ740" s="1566"/>
      <c r="DK740" s="1566"/>
      <c r="DL740" s="1566"/>
      <c r="DM740" s="1566"/>
      <c r="DN740" s="1566"/>
      <c r="DO740" s="1566"/>
      <c r="DP740" s="1566"/>
      <c r="DQ740" s="1567"/>
      <c r="DR740" s="1566"/>
      <c r="DS740" s="1566"/>
      <c r="DT740" s="1566"/>
      <c r="DU740" s="1566"/>
      <c r="DV740" s="1566"/>
      <c r="DW740" s="1566"/>
      <c r="DX740" s="1566"/>
      <c r="DY740" s="1567"/>
      <c r="DZ740" s="1566"/>
      <c r="EA740" s="1566"/>
      <c r="EB740" s="1566"/>
      <c r="EC740" s="1566"/>
      <c r="ED740" s="1566"/>
      <c r="EE740" s="1566"/>
      <c r="EF740" s="1566"/>
      <c r="EG740" s="1567"/>
      <c r="EH740" s="1566"/>
      <c r="EI740" s="1566"/>
      <c r="EJ740" s="1566"/>
      <c r="EK740" s="1566"/>
      <c r="EL740" s="1566"/>
      <c r="EM740" s="1566"/>
      <c r="EN740" s="1566"/>
      <c r="EO740" s="1567"/>
      <c r="EP740" s="1566"/>
      <c r="EQ740" s="1566"/>
      <c r="ER740" s="1566"/>
      <c r="ES740" s="1566"/>
      <c r="ET740" s="1566"/>
      <c r="EU740" s="1566"/>
      <c r="EV740" s="1566"/>
      <c r="IX740" s="1568"/>
      <c r="IY740" s="1568"/>
      <c r="IZ740" s="1568"/>
      <c r="JA740" s="1568"/>
      <c r="JB740" s="1568"/>
      <c r="JC740" s="1568"/>
      <c r="JD740" s="1554"/>
      <c r="JE740" s="1126"/>
      <c r="JF740" s="1037"/>
      <c r="JG740" s="1037"/>
      <c r="JH740" s="1037"/>
      <c r="JI740" s="1035"/>
      <c r="JJ740" s="1035"/>
      <c r="JK740" s="1035"/>
      <c r="JL740" s="1035"/>
      <c r="JM740" s="1035"/>
      <c r="JN740" s="1035"/>
      <c r="JO740" s="1035"/>
      <c r="JP740" s="1035"/>
      <c r="JQ740" s="1035"/>
      <c r="JR740" s="1035"/>
      <c r="JS740" s="1035"/>
      <c r="JT740" s="1035"/>
      <c r="JU740" s="1035"/>
      <c r="JV740" s="1035"/>
      <c r="JW740" s="1035"/>
      <c r="JX740" s="1035"/>
      <c r="JY740" s="1035"/>
    </row>
    <row r="741" outlineLevel="1" spans="1:285">
      <c r="A741" s="1528" t="s">
        <v>211</v>
      </c>
      <c r="B741" s="1499"/>
      <c r="C741" s="1499"/>
      <c r="D741" s="1499"/>
      <c r="E741" s="1499"/>
      <c r="F741" s="1499"/>
      <c r="G741" s="1499"/>
      <c r="H741" s="1499"/>
      <c r="I741" s="1499"/>
      <c r="J741" s="1499"/>
      <c r="K741" s="1499"/>
      <c r="L741" s="1499"/>
      <c r="M741" s="1499"/>
      <c r="N741" s="1499"/>
      <c r="O741" s="1499"/>
      <c r="P741" s="1499"/>
      <c r="Q741" s="1499"/>
      <c r="R741" s="1499"/>
      <c r="S741" s="1499"/>
      <c r="T741" s="1499"/>
      <c r="U741" s="1499"/>
      <c r="V741" s="1499"/>
      <c r="W741" s="1499"/>
      <c r="X741" s="1499"/>
      <c r="Y741" s="1499"/>
      <c r="Z741" s="1499"/>
      <c r="AA741" s="1499"/>
      <c r="AB741" s="1499"/>
      <c r="AC741" s="1499"/>
      <c r="AD741" s="1499"/>
      <c r="AE741" s="1499"/>
      <c r="AF741" s="1499"/>
      <c r="AG741" s="1499"/>
      <c r="AH741" s="1499"/>
      <c r="AI741" s="1499"/>
      <c r="AJ741" s="1499"/>
      <c r="AK741" s="1499"/>
      <c r="AL741" s="1499"/>
      <c r="AM741" s="1499"/>
      <c r="AN741" s="1499"/>
      <c r="AO741" s="1499"/>
      <c r="AP741" s="1499"/>
      <c r="AQ741" s="1499"/>
      <c r="AR741" s="1499"/>
      <c r="AS741" s="1499"/>
      <c r="AT741" s="1499"/>
      <c r="AU741" s="1499"/>
      <c r="AV741" s="1499"/>
      <c r="AW741" s="1499"/>
      <c r="AX741" s="1500"/>
      <c r="AY741" s="1499"/>
      <c r="AZ741" s="1499"/>
      <c r="BA741" s="1499"/>
      <c r="BB741" s="1499"/>
      <c r="BC741" s="1499"/>
      <c r="BD741" s="1499"/>
      <c r="BE741" s="1501"/>
      <c r="BF741" s="1499"/>
      <c r="BG741" s="1499"/>
      <c r="BH741" s="1499"/>
      <c r="BI741" s="1499"/>
      <c r="BJ741" s="1499"/>
      <c r="BK741" s="1499"/>
      <c r="BL741" s="1499"/>
      <c r="BM741" s="1499"/>
      <c r="BN741" s="1500"/>
      <c r="BO741" s="1499"/>
      <c r="BP741" s="1499"/>
      <c r="BQ741" s="1499"/>
      <c r="BR741" s="1499"/>
      <c r="BS741" s="1499"/>
      <c r="BT741" s="1499"/>
      <c r="BU741" s="1501"/>
      <c r="BV741" s="1529">
        <v>0.08</v>
      </c>
      <c r="BW741" s="1530">
        <v>0</v>
      </c>
      <c r="BX741" s="1530">
        <v>0</v>
      </c>
      <c r="BY741" s="1530">
        <v>0.07</v>
      </c>
      <c r="BZ741" s="1530">
        <v>0</v>
      </c>
      <c r="CA741" s="1530">
        <v>-0.01</v>
      </c>
      <c r="CB741" s="1530">
        <v>0</v>
      </c>
      <c r="CC741" s="1531">
        <v>0</v>
      </c>
      <c r="CD741" s="1547">
        <v>0.03</v>
      </c>
      <c r="CE741" s="1548">
        <v>0.02</v>
      </c>
      <c r="CF741" s="1548">
        <v>0</v>
      </c>
      <c r="CG741" s="1548">
        <v>0.04</v>
      </c>
      <c r="CH741" s="1548">
        <v>0</v>
      </c>
      <c r="CI741" s="1548">
        <v>-0.12</v>
      </c>
      <c r="CJ741" s="1530">
        <v>0</v>
      </c>
      <c r="CK741" s="1531">
        <v>0</v>
      </c>
      <c r="CL741" s="1547">
        <v>-0.14</v>
      </c>
      <c r="CM741" s="1548">
        <v>-0.14</v>
      </c>
      <c r="CN741" s="1548">
        <v>0</v>
      </c>
      <c r="CO741" s="1548">
        <v>-0.06</v>
      </c>
      <c r="CP741" s="1548">
        <v>0</v>
      </c>
      <c r="CQ741" s="1548">
        <v>0</v>
      </c>
      <c r="CR741" s="1548">
        <v>0</v>
      </c>
      <c r="CS741" s="1549">
        <v>0</v>
      </c>
      <c r="CT741" s="1547">
        <v>-0.01</v>
      </c>
      <c r="CU741" s="1548">
        <v>0.42</v>
      </c>
      <c r="CV741" s="1548"/>
      <c r="CW741" s="1548">
        <v>1</v>
      </c>
      <c r="CX741" s="1548"/>
      <c r="CY741" s="1548">
        <v>0.05</v>
      </c>
      <c r="CZ741" s="1548"/>
      <c r="DA741" s="1549"/>
      <c r="DB741" s="1550">
        <v>-0.02</v>
      </c>
      <c r="DC741" s="1551">
        <v>0.01</v>
      </c>
      <c r="DD741" s="1551"/>
      <c r="DE741" s="1551">
        <v>-0.35</v>
      </c>
      <c r="DF741" s="1551"/>
      <c r="DG741" s="1551">
        <v>-0.09</v>
      </c>
      <c r="DH741" s="1551"/>
      <c r="DI741" s="1552"/>
      <c r="DJ741" s="1551"/>
      <c r="DK741" s="1551"/>
      <c r="DL741" s="1551"/>
      <c r="DM741" s="1551"/>
      <c r="DN741" s="1551"/>
      <c r="DO741" s="1551"/>
      <c r="DP741" s="1551"/>
      <c r="DQ741" s="1552"/>
      <c r="DR741" s="1551"/>
      <c r="DS741" s="1551"/>
      <c r="DT741" s="1551"/>
      <c r="DU741" s="1551"/>
      <c r="DV741" s="1551"/>
      <c r="DW741" s="1551"/>
      <c r="DX741" s="1551"/>
      <c r="DY741" s="1552"/>
      <c r="DZ741" s="1551"/>
      <c r="EA741" s="1551"/>
      <c r="EB741" s="1551"/>
      <c r="EC741" s="1551"/>
      <c r="ED741" s="1551"/>
      <c r="EE741" s="1551"/>
      <c r="EF741" s="1551"/>
      <c r="EG741" s="1552"/>
      <c r="EH741" s="1551"/>
      <c r="EI741" s="1551"/>
      <c r="EJ741" s="1551"/>
      <c r="EK741" s="1551"/>
      <c r="EL741" s="1551"/>
      <c r="EM741" s="1551"/>
      <c r="EN741" s="1551"/>
      <c r="EO741" s="1552"/>
      <c r="EP741" s="1551"/>
      <c r="EQ741" s="1551"/>
      <c r="ER741" s="1551"/>
      <c r="ES741" s="1551"/>
      <c r="ET741" s="1551"/>
      <c r="EU741" s="1551"/>
      <c r="EV741" s="1551"/>
      <c r="IX741" s="1553"/>
      <c r="IY741" s="1553"/>
      <c r="IZ741" s="1553"/>
      <c r="JA741" s="1553"/>
      <c r="JB741" s="1553"/>
      <c r="JC741" s="1553"/>
      <c r="JD741" s="1554"/>
      <c r="JE741" s="1126"/>
      <c r="JF741" s="1037"/>
      <c r="JG741" s="1037"/>
      <c r="JH741" s="1037"/>
      <c r="JI741" s="1035"/>
      <c r="JJ741" s="1035"/>
      <c r="JK741" s="1035"/>
      <c r="JL741" s="1035"/>
      <c r="JM741" s="1035"/>
      <c r="JN741" s="1035"/>
      <c r="JO741" s="1035"/>
      <c r="JP741" s="1035"/>
      <c r="JQ741" s="1035"/>
      <c r="JR741" s="1035"/>
      <c r="JS741" s="1035"/>
      <c r="JT741" s="1035"/>
      <c r="JU741" s="1035"/>
      <c r="JV741" s="1035"/>
      <c r="JW741" s="1035"/>
      <c r="JX741" s="1035"/>
      <c r="JY741" s="1035"/>
    </row>
    <row r="742" outlineLevel="1" spans="1:285">
      <c r="A742" s="1306" t="s">
        <v>654</v>
      </c>
      <c r="B742" s="1307"/>
      <c r="C742" s="1307"/>
      <c r="D742" s="1307"/>
      <c r="E742" s="1307"/>
      <c r="F742" s="1307"/>
      <c r="G742" s="1307"/>
      <c r="H742" s="1307"/>
      <c r="I742" s="1307"/>
      <c r="J742" s="1307"/>
      <c r="K742" s="1307"/>
      <c r="L742" s="1307"/>
      <c r="M742" s="1307"/>
      <c r="N742" s="1307"/>
      <c r="O742" s="1307"/>
      <c r="P742" s="1307"/>
      <c r="Q742" s="1307"/>
      <c r="R742" s="1307"/>
      <c r="S742" s="1307"/>
      <c r="T742" s="1307"/>
      <c r="U742" s="1307"/>
      <c r="V742" s="1307"/>
      <c r="W742" s="1307"/>
      <c r="X742" s="1307"/>
      <c r="Y742" s="1307"/>
      <c r="Z742" s="1307"/>
      <c r="AA742" s="1307"/>
      <c r="AB742" s="1307"/>
      <c r="AC742" s="1307"/>
      <c r="AD742" s="1307"/>
      <c r="AE742" s="1307"/>
      <c r="AF742" s="1307"/>
      <c r="AG742" s="1307"/>
      <c r="AH742" s="1307"/>
      <c r="AI742" s="1307"/>
      <c r="AJ742" s="1307"/>
      <c r="AK742" s="1307"/>
      <c r="AL742" s="1307"/>
      <c r="AM742" s="1307"/>
      <c r="AN742" s="1307"/>
      <c r="AO742" s="1307"/>
      <c r="AP742" s="1307"/>
      <c r="AQ742" s="1307"/>
      <c r="AR742" s="1307"/>
      <c r="AS742" s="1307"/>
      <c r="AT742" s="1307"/>
      <c r="AU742" s="1307"/>
      <c r="AV742" s="1307"/>
      <c r="AW742" s="1307"/>
      <c r="AX742" s="1308"/>
      <c r="AY742" s="1307"/>
      <c r="AZ742" s="1307"/>
      <c r="BA742" s="1307"/>
      <c r="BB742" s="1307"/>
      <c r="BC742" s="1307"/>
      <c r="BD742" s="1307"/>
      <c r="BE742" s="1309"/>
      <c r="BF742" s="1307"/>
      <c r="BG742" s="1307"/>
      <c r="BH742" s="1307"/>
      <c r="BI742" s="1307"/>
      <c r="BJ742" s="1307"/>
      <c r="BK742" s="1307"/>
      <c r="BL742" s="1307"/>
      <c r="BM742" s="1307"/>
      <c r="BN742" s="1308"/>
      <c r="BO742" s="1307"/>
      <c r="BP742" s="1307"/>
      <c r="BQ742" s="1307"/>
      <c r="BR742" s="1307"/>
      <c r="BS742" s="1307"/>
      <c r="BT742" s="1307"/>
      <c r="BU742" s="1309"/>
      <c r="BV742" s="1308">
        <v>0</v>
      </c>
      <c r="BW742" s="1307">
        <v>0</v>
      </c>
      <c r="BX742" s="1307">
        <v>0</v>
      </c>
      <c r="BY742" s="1307">
        <v>0</v>
      </c>
      <c r="BZ742" s="1307">
        <v>0</v>
      </c>
      <c r="CA742" s="1307">
        <v>0</v>
      </c>
      <c r="CB742" s="1307">
        <v>0</v>
      </c>
      <c r="CC742" s="1309">
        <v>0</v>
      </c>
      <c r="CD742" s="1555" t="s">
        <v>173</v>
      </c>
      <c r="CE742" s="1556" t="s">
        <v>173</v>
      </c>
      <c r="CF742" s="1556">
        <v>0</v>
      </c>
      <c r="CG742" s="1556" t="s">
        <v>173</v>
      </c>
      <c r="CH742" s="1556">
        <v>0</v>
      </c>
      <c r="CI742" s="1556" t="s">
        <v>173</v>
      </c>
      <c r="CJ742" s="1556">
        <v>0</v>
      </c>
      <c r="CK742" s="1557">
        <v>0</v>
      </c>
      <c r="CL742" s="1555">
        <v>-0.2</v>
      </c>
      <c r="CM742" s="1556">
        <v>-0.12</v>
      </c>
      <c r="CN742" s="1556">
        <v>0</v>
      </c>
      <c r="CO742" s="1556">
        <v>-0.05</v>
      </c>
      <c r="CP742" s="1556">
        <v>0</v>
      </c>
      <c r="CQ742" s="1556">
        <v>0</v>
      </c>
      <c r="CR742" s="1556">
        <v>0</v>
      </c>
      <c r="CS742" s="1557">
        <v>0</v>
      </c>
      <c r="CT742" s="1555">
        <v>0</v>
      </c>
      <c r="CU742" s="1556">
        <v>0.5</v>
      </c>
      <c r="CV742" s="1556"/>
      <c r="CW742" s="1556">
        <v>1.17</v>
      </c>
      <c r="CX742" s="1556"/>
      <c r="CY742" s="1556">
        <v>0.12</v>
      </c>
      <c r="CZ742" s="1556"/>
      <c r="DA742" s="1557"/>
      <c r="DB742" s="1558">
        <v>0.04</v>
      </c>
      <c r="DC742" s="1559">
        <v>0.06</v>
      </c>
      <c r="DD742" s="1559"/>
      <c r="DE742" s="1559">
        <v>-0.39</v>
      </c>
      <c r="DF742" s="1559"/>
      <c r="DG742" s="1559">
        <v>-0.13</v>
      </c>
      <c r="DH742" s="1559"/>
      <c r="DI742" s="1560"/>
      <c r="DJ742" s="1559"/>
      <c r="DK742" s="1559"/>
      <c r="DL742" s="1559"/>
      <c r="DM742" s="1559"/>
      <c r="DN742" s="1559"/>
      <c r="DO742" s="1559"/>
      <c r="DP742" s="1559"/>
      <c r="DQ742" s="1560"/>
      <c r="DR742" s="1559"/>
      <c r="DS742" s="1559"/>
      <c r="DT742" s="1559"/>
      <c r="DU742" s="1559"/>
      <c r="DV742" s="1559"/>
      <c r="DW742" s="1559"/>
      <c r="DX742" s="1559"/>
      <c r="DY742" s="1560"/>
      <c r="DZ742" s="1559"/>
      <c r="EA742" s="1559"/>
      <c r="EB742" s="1559"/>
      <c r="EC742" s="1559"/>
      <c r="ED742" s="1559"/>
      <c r="EE742" s="1559"/>
      <c r="EF742" s="1559"/>
      <c r="EG742" s="1560"/>
      <c r="EH742" s="1559"/>
      <c r="EI742" s="1559"/>
      <c r="EJ742" s="1559"/>
      <c r="EK742" s="1559"/>
      <c r="EL742" s="1559"/>
      <c r="EM742" s="1559"/>
      <c r="EN742" s="1559"/>
      <c r="EO742" s="1560"/>
      <c r="EP742" s="1559"/>
      <c r="EQ742" s="1559"/>
      <c r="ER742" s="1559"/>
      <c r="ES742" s="1559"/>
      <c r="ET742" s="1559"/>
      <c r="EU742" s="1559"/>
      <c r="EV742" s="1559"/>
      <c r="IX742" s="1525"/>
      <c r="IY742" s="1525"/>
      <c r="IZ742" s="1525"/>
      <c r="JA742" s="1525"/>
      <c r="JB742" s="1525"/>
      <c r="JC742" s="1525"/>
      <c r="JD742" s="1561"/>
      <c r="JE742" s="1126"/>
      <c r="JF742" s="1037"/>
      <c r="JG742" s="1037"/>
      <c r="JH742" s="1037"/>
      <c r="JI742" s="1035"/>
      <c r="JJ742" s="1035"/>
      <c r="JK742" s="1035"/>
      <c r="JL742" s="1035"/>
      <c r="JM742" s="1035"/>
      <c r="JN742" s="1035"/>
      <c r="JO742" s="1035"/>
      <c r="JP742" s="1035"/>
      <c r="JQ742" s="1035"/>
      <c r="JR742" s="1035"/>
      <c r="JS742" s="1035"/>
      <c r="JT742" s="1035"/>
      <c r="JU742" s="1035"/>
      <c r="JV742" s="1035"/>
      <c r="JW742" s="1035"/>
      <c r="JX742" s="1035"/>
      <c r="JY742" s="1035"/>
    </row>
    <row r="743" outlineLevel="1" spans="1:285">
      <c r="A743" s="1339" t="s">
        <v>533</v>
      </c>
      <c r="B743" s="1409"/>
      <c r="C743" s="1409"/>
      <c r="D743" s="1409"/>
      <c r="E743" s="1409"/>
      <c r="F743" s="1409"/>
      <c r="G743" s="1409"/>
      <c r="H743" s="1409"/>
      <c r="I743" s="1409"/>
      <c r="J743" s="1409"/>
      <c r="K743" s="1409"/>
      <c r="L743" s="1409"/>
      <c r="M743" s="1409"/>
      <c r="N743" s="1409"/>
      <c r="O743" s="1409"/>
      <c r="P743" s="1409"/>
      <c r="Q743" s="1409"/>
      <c r="R743" s="1409"/>
      <c r="S743" s="1409"/>
      <c r="T743" s="1409"/>
      <c r="U743" s="1409"/>
      <c r="V743" s="1409"/>
      <c r="W743" s="1409"/>
      <c r="X743" s="1409"/>
      <c r="Y743" s="1409"/>
      <c r="Z743" s="1409"/>
      <c r="AA743" s="1409"/>
      <c r="AB743" s="1409"/>
      <c r="AC743" s="1409"/>
      <c r="AD743" s="1409"/>
      <c r="AE743" s="1409"/>
      <c r="AF743" s="1409"/>
      <c r="AG743" s="1409"/>
      <c r="AH743" s="1409"/>
      <c r="AI743" s="1409"/>
      <c r="AJ743" s="1409"/>
      <c r="AK743" s="1409"/>
      <c r="AL743" s="1409"/>
      <c r="AM743" s="1409"/>
      <c r="AN743" s="1409"/>
      <c r="AO743" s="1409"/>
      <c r="AP743" s="1409"/>
      <c r="AQ743" s="1409"/>
      <c r="AR743" s="1409"/>
      <c r="AS743" s="1409"/>
      <c r="AT743" s="1409"/>
      <c r="AU743" s="1409"/>
      <c r="AV743" s="1409"/>
      <c r="AW743" s="1409"/>
      <c r="AX743" s="1408"/>
      <c r="AY743" s="1409"/>
      <c r="AZ743" s="1409"/>
      <c r="BA743" s="1409"/>
      <c r="BB743" s="1409"/>
      <c r="BC743" s="1409"/>
      <c r="BD743" s="1409"/>
      <c r="BE743" s="1410"/>
      <c r="BF743" s="1409"/>
      <c r="BG743" s="1409"/>
      <c r="BH743" s="1409"/>
      <c r="BI743" s="1409"/>
      <c r="BJ743" s="1409"/>
      <c r="BK743" s="1409"/>
      <c r="BL743" s="1409"/>
      <c r="BM743" s="1409"/>
      <c r="BN743" s="1408"/>
      <c r="BO743" s="1409"/>
      <c r="BP743" s="1409"/>
      <c r="BQ743" s="1409"/>
      <c r="BR743" s="1409"/>
      <c r="BS743" s="1409"/>
      <c r="BT743" s="1409"/>
      <c r="BU743" s="1410"/>
      <c r="BV743" s="1526">
        <v>0</v>
      </c>
      <c r="BW743" s="1061">
        <v>0</v>
      </c>
      <c r="BX743" s="1061">
        <v>0</v>
      </c>
      <c r="BY743" s="1061">
        <v>0</v>
      </c>
      <c r="BZ743" s="1061">
        <v>0</v>
      </c>
      <c r="CA743" s="1061">
        <v>0</v>
      </c>
      <c r="CB743" s="1061">
        <v>0</v>
      </c>
      <c r="CC743" s="1527">
        <v>0</v>
      </c>
      <c r="CD743" s="1562">
        <v>0</v>
      </c>
      <c r="CE743" s="1563">
        <v>0</v>
      </c>
      <c r="CF743" s="1563">
        <v>0</v>
      </c>
      <c r="CG743" s="1563">
        <v>0</v>
      </c>
      <c r="CH743" s="1563">
        <v>0</v>
      </c>
      <c r="CI743" s="1563">
        <v>0</v>
      </c>
      <c r="CJ743" s="1061">
        <v>0</v>
      </c>
      <c r="CK743" s="1527">
        <v>0</v>
      </c>
      <c r="CL743" s="1562">
        <v>0</v>
      </c>
      <c r="CM743" s="1563">
        <v>0</v>
      </c>
      <c r="CN743" s="1563">
        <v>0</v>
      </c>
      <c r="CO743" s="1563">
        <v>0</v>
      </c>
      <c r="CP743" s="1563">
        <v>0</v>
      </c>
      <c r="CQ743" s="1563">
        <v>0</v>
      </c>
      <c r="CR743" s="1563">
        <v>0</v>
      </c>
      <c r="CS743" s="1564">
        <v>0</v>
      </c>
      <c r="CT743" s="1562">
        <v>0</v>
      </c>
      <c r="CU743" s="1563">
        <v>0</v>
      </c>
      <c r="CV743" s="1563"/>
      <c r="CW743" s="1563">
        <v>0.6</v>
      </c>
      <c r="CX743" s="1563"/>
      <c r="CY743" s="1563">
        <v>0</v>
      </c>
      <c r="CZ743" s="1563"/>
      <c r="DA743" s="1564"/>
      <c r="DB743" s="1565">
        <v>-0.12</v>
      </c>
      <c r="DC743" s="1566">
        <v>0.02</v>
      </c>
      <c r="DD743" s="1566"/>
      <c r="DE743" s="1566">
        <v>-0.37</v>
      </c>
      <c r="DF743" s="1566"/>
      <c r="DG743" s="1566">
        <v>-0.07</v>
      </c>
      <c r="DH743" s="1566"/>
      <c r="DI743" s="1567"/>
      <c r="DJ743" s="1566"/>
      <c r="DK743" s="1566"/>
      <c r="DL743" s="1566"/>
      <c r="DM743" s="1566"/>
      <c r="DN743" s="1566"/>
      <c r="DO743" s="1566"/>
      <c r="DP743" s="1566"/>
      <c r="DQ743" s="1567"/>
      <c r="DR743" s="1566"/>
      <c r="DS743" s="1566"/>
      <c r="DT743" s="1566"/>
      <c r="DU743" s="1566"/>
      <c r="DV743" s="1566"/>
      <c r="DW743" s="1566"/>
      <c r="DX743" s="1566"/>
      <c r="DY743" s="1567"/>
      <c r="DZ743" s="1566"/>
      <c r="EA743" s="1566"/>
      <c r="EB743" s="1566"/>
      <c r="EC743" s="1566"/>
      <c r="ED743" s="1566"/>
      <c r="EE743" s="1566"/>
      <c r="EF743" s="1566"/>
      <c r="EG743" s="1567"/>
      <c r="EH743" s="1566"/>
      <c r="EI743" s="1566"/>
      <c r="EJ743" s="1566"/>
      <c r="EK743" s="1566"/>
      <c r="EL743" s="1566"/>
      <c r="EM743" s="1566"/>
      <c r="EN743" s="1566"/>
      <c r="EO743" s="1567"/>
      <c r="EP743" s="1566"/>
      <c r="EQ743" s="1566"/>
      <c r="ER743" s="1566"/>
      <c r="ES743" s="1566"/>
      <c r="ET743" s="1566"/>
      <c r="EU743" s="1566"/>
      <c r="EV743" s="1566"/>
      <c r="IX743" s="1568"/>
      <c r="IY743" s="1568"/>
      <c r="IZ743" s="1568"/>
      <c r="JA743" s="1568"/>
      <c r="JB743" s="1568"/>
      <c r="JC743" s="1568"/>
      <c r="JD743" s="1554"/>
      <c r="JE743" s="1126"/>
      <c r="JF743" s="1037"/>
      <c r="JG743" s="1037"/>
      <c r="JH743" s="1037"/>
      <c r="JI743" s="1035"/>
      <c r="JJ743" s="1035"/>
      <c r="JK743" s="1035"/>
      <c r="JL743" s="1035"/>
      <c r="JM743" s="1035"/>
      <c r="JN743" s="1035"/>
      <c r="JO743" s="1035"/>
      <c r="JP743" s="1035"/>
      <c r="JQ743" s="1035"/>
      <c r="JR743" s="1035"/>
      <c r="JS743" s="1035"/>
      <c r="JT743" s="1035"/>
      <c r="JU743" s="1035"/>
      <c r="JV743" s="1035"/>
      <c r="JW743" s="1035"/>
      <c r="JX743" s="1035"/>
      <c r="JY743" s="1035"/>
    </row>
    <row r="744" outlineLevel="1" spans="1:285">
      <c r="A744" s="1339" t="s">
        <v>654</v>
      </c>
      <c r="B744" s="1409"/>
      <c r="C744" s="1409"/>
      <c r="D744" s="1409"/>
      <c r="E744" s="1409"/>
      <c r="F744" s="1409"/>
      <c r="G744" s="1409"/>
      <c r="H744" s="1409"/>
      <c r="I744" s="1409"/>
      <c r="J744" s="1409"/>
      <c r="K744" s="1409"/>
      <c r="L744" s="1409"/>
      <c r="M744" s="1409"/>
      <c r="N744" s="1409"/>
      <c r="O744" s="1409"/>
      <c r="P744" s="1409"/>
      <c r="Q744" s="1409"/>
      <c r="R744" s="1409"/>
      <c r="S744" s="1409"/>
      <c r="T744" s="1409"/>
      <c r="U744" s="1409"/>
      <c r="V744" s="1409"/>
      <c r="W744" s="1409"/>
      <c r="X744" s="1409"/>
      <c r="Y744" s="1409"/>
      <c r="Z744" s="1409"/>
      <c r="AA744" s="1409"/>
      <c r="AB744" s="1409"/>
      <c r="AC744" s="1409"/>
      <c r="AD744" s="1409"/>
      <c r="AE744" s="1409"/>
      <c r="AF744" s="1409"/>
      <c r="AG744" s="1409"/>
      <c r="AH744" s="1409"/>
      <c r="AI744" s="1409"/>
      <c r="AJ744" s="1409"/>
      <c r="AK744" s="1409"/>
      <c r="AL744" s="1409"/>
      <c r="AM744" s="1409"/>
      <c r="AN744" s="1409"/>
      <c r="AO744" s="1409"/>
      <c r="AP744" s="1409"/>
      <c r="AQ744" s="1409"/>
      <c r="AR744" s="1409"/>
      <c r="AS744" s="1409"/>
      <c r="AT744" s="1409"/>
      <c r="AU744" s="1409"/>
      <c r="AV744" s="1409"/>
      <c r="AW744" s="1409"/>
      <c r="AX744" s="1408"/>
      <c r="AY744" s="1409"/>
      <c r="AZ744" s="1409"/>
      <c r="BA744" s="1409"/>
      <c r="BB744" s="1409"/>
      <c r="BC744" s="1409"/>
      <c r="BD744" s="1409"/>
      <c r="BE744" s="1410"/>
      <c r="BF744" s="1409"/>
      <c r="BG744" s="1409"/>
      <c r="BH744" s="1409"/>
      <c r="BI744" s="1409"/>
      <c r="BJ744" s="1409"/>
      <c r="BK744" s="1409"/>
      <c r="BL744" s="1409"/>
      <c r="BM744" s="1409"/>
      <c r="BN744" s="1408"/>
      <c r="BO744" s="1409"/>
      <c r="BP744" s="1409"/>
      <c r="BQ744" s="1409"/>
      <c r="BR744" s="1409"/>
      <c r="BS744" s="1409"/>
      <c r="BT744" s="1409"/>
      <c r="BU744" s="1410"/>
      <c r="BV744" s="1526">
        <v>0</v>
      </c>
      <c r="BW744" s="1061">
        <v>0</v>
      </c>
      <c r="BX744" s="1061">
        <v>0</v>
      </c>
      <c r="BY744" s="1061">
        <v>0</v>
      </c>
      <c r="BZ744" s="1061">
        <v>0</v>
      </c>
      <c r="CA744" s="1061">
        <v>0</v>
      </c>
      <c r="CB744" s="1061">
        <v>0</v>
      </c>
      <c r="CC744" s="1527">
        <v>0</v>
      </c>
      <c r="CD744" s="1562">
        <v>0</v>
      </c>
      <c r="CE744" s="1563">
        <v>0</v>
      </c>
      <c r="CF744" s="1563">
        <v>0</v>
      </c>
      <c r="CG744" s="1563">
        <v>0</v>
      </c>
      <c r="CH744" s="1563">
        <v>0</v>
      </c>
      <c r="CI744" s="1563">
        <v>0</v>
      </c>
      <c r="CJ744" s="1061">
        <v>0</v>
      </c>
      <c r="CK744" s="1527">
        <v>0</v>
      </c>
      <c r="CL744" s="1562">
        <v>0</v>
      </c>
      <c r="CM744" s="1563">
        <v>0</v>
      </c>
      <c r="CN744" s="1563">
        <v>0</v>
      </c>
      <c r="CO744" s="1563">
        <v>0</v>
      </c>
      <c r="CP744" s="1563">
        <v>0</v>
      </c>
      <c r="CQ744" s="1563">
        <v>0</v>
      </c>
      <c r="CR744" s="1563">
        <v>0</v>
      </c>
      <c r="CS744" s="1564">
        <v>0</v>
      </c>
      <c r="CT744" s="1562">
        <v>0</v>
      </c>
      <c r="CU744" s="1563">
        <v>0</v>
      </c>
      <c r="CV744" s="1563"/>
      <c r="CW744" s="1563">
        <v>0.75</v>
      </c>
      <c r="CX744" s="1563"/>
      <c r="CY744" s="1563">
        <v>0.06</v>
      </c>
      <c r="CZ744" s="1563"/>
      <c r="DA744" s="1564"/>
      <c r="DB744" s="1565">
        <v>-0.06</v>
      </c>
      <c r="DC744" s="1566">
        <v>0.08</v>
      </c>
      <c r="DD744" s="1566"/>
      <c r="DE744" s="1566">
        <v>-0.41</v>
      </c>
      <c r="DF744" s="1566"/>
      <c r="DG744" s="1566">
        <v>-0.11</v>
      </c>
      <c r="DH744" s="1566"/>
      <c r="DI744" s="1567"/>
      <c r="DJ744" s="1566"/>
      <c r="DK744" s="1566"/>
      <c r="DL744" s="1566"/>
      <c r="DM744" s="1566"/>
      <c r="DN744" s="1566"/>
      <c r="DO744" s="1566"/>
      <c r="DP744" s="1566"/>
      <c r="DQ744" s="1567"/>
      <c r="DR744" s="1566"/>
      <c r="DS744" s="1566"/>
      <c r="DT744" s="1566"/>
      <c r="DU744" s="1566"/>
      <c r="DV744" s="1566"/>
      <c r="DW744" s="1566"/>
      <c r="DX744" s="1566"/>
      <c r="DY744" s="1567"/>
      <c r="DZ744" s="1566"/>
      <c r="EA744" s="1566"/>
      <c r="EB744" s="1566"/>
      <c r="EC744" s="1566"/>
      <c r="ED744" s="1566"/>
      <c r="EE744" s="1566"/>
      <c r="EF744" s="1566"/>
      <c r="EG744" s="1567"/>
      <c r="EH744" s="1566"/>
      <c r="EI744" s="1566"/>
      <c r="EJ744" s="1566"/>
      <c r="EK744" s="1566"/>
      <c r="EL744" s="1566"/>
      <c r="EM744" s="1566"/>
      <c r="EN744" s="1566"/>
      <c r="EO744" s="1567"/>
      <c r="EP744" s="1566"/>
      <c r="EQ744" s="1566"/>
      <c r="ER744" s="1566"/>
      <c r="ES744" s="1566"/>
      <c r="ET744" s="1566"/>
      <c r="EU744" s="1566"/>
      <c r="EV744" s="1566"/>
      <c r="IX744" s="1568"/>
      <c r="IY744" s="1568"/>
      <c r="IZ744" s="1568"/>
      <c r="JA744" s="1568"/>
      <c r="JB744" s="1568"/>
      <c r="JC744" s="1568"/>
      <c r="JD744" s="1554"/>
      <c r="JE744" s="1126"/>
      <c r="JF744" s="1037"/>
      <c r="JG744" s="1037"/>
      <c r="JH744" s="1037"/>
      <c r="JI744" s="1035"/>
      <c r="JJ744" s="1035"/>
      <c r="JK744" s="1035"/>
      <c r="JL744" s="1035"/>
      <c r="JM744" s="1035"/>
      <c r="JN744" s="1035"/>
      <c r="JO744" s="1035"/>
      <c r="JP744" s="1035"/>
      <c r="JQ744" s="1035"/>
      <c r="JR744" s="1035"/>
      <c r="JS744" s="1035"/>
      <c r="JT744" s="1035"/>
      <c r="JU744" s="1035"/>
      <c r="JV744" s="1035"/>
      <c r="JW744" s="1035"/>
      <c r="JX744" s="1035"/>
      <c r="JY744" s="1035"/>
    </row>
    <row r="745" outlineLevel="1" spans="1:285">
      <c r="A745" s="1339" t="s">
        <v>536</v>
      </c>
      <c r="B745" s="1409"/>
      <c r="C745" s="1409"/>
      <c r="D745" s="1409"/>
      <c r="E745" s="1409"/>
      <c r="F745" s="1409"/>
      <c r="G745" s="1409"/>
      <c r="H745" s="1409"/>
      <c r="I745" s="1409"/>
      <c r="J745" s="1409"/>
      <c r="K745" s="1409"/>
      <c r="L745" s="1409"/>
      <c r="M745" s="1409"/>
      <c r="N745" s="1409"/>
      <c r="O745" s="1409"/>
      <c r="P745" s="1409"/>
      <c r="Q745" s="1409"/>
      <c r="R745" s="1409"/>
      <c r="S745" s="1409"/>
      <c r="T745" s="1409"/>
      <c r="U745" s="1409"/>
      <c r="V745" s="1409"/>
      <c r="W745" s="1409"/>
      <c r="X745" s="1409"/>
      <c r="Y745" s="1409"/>
      <c r="Z745" s="1409"/>
      <c r="AA745" s="1409"/>
      <c r="AB745" s="1409"/>
      <c r="AC745" s="1409"/>
      <c r="AD745" s="1409"/>
      <c r="AE745" s="1409"/>
      <c r="AF745" s="1409"/>
      <c r="AG745" s="1409"/>
      <c r="AH745" s="1409"/>
      <c r="AI745" s="1409"/>
      <c r="AJ745" s="1409"/>
      <c r="AK745" s="1409"/>
      <c r="AL745" s="1409"/>
      <c r="AM745" s="1409"/>
      <c r="AN745" s="1409"/>
      <c r="AO745" s="1409"/>
      <c r="AP745" s="1409"/>
      <c r="AQ745" s="1409"/>
      <c r="AR745" s="1409"/>
      <c r="AS745" s="1409"/>
      <c r="AT745" s="1409"/>
      <c r="AU745" s="1409"/>
      <c r="AV745" s="1409"/>
      <c r="AW745" s="1409"/>
      <c r="AX745" s="1408"/>
      <c r="AY745" s="1409"/>
      <c r="AZ745" s="1409"/>
      <c r="BA745" s="1409"/>
      <c r="BB745" s="1409"/>
      <c r="BC745" s="1409"/>
      <c r="BD745" s="1409"/>
      <c r="BE745" s="1410"/>
      <c r="BF745" s="1409"/>
      <c r="BG745" s="1409"/>
      <c r="BH745" s="1409"/>
      <c r="BI745" s="1409"/>
      <c r="BJ745" s="1409"/>
      <c r="BK745" s="1409"/>
      <c r="BL745" s="1409"/>
      <c r="BM745" s="1409"/>
      <c r="BN745" s="1408"/>
      <c r="BO745" s="1409"/>
      <c r="BP745" s="1409"/>
      <c r="BQ745" s="1409"/>
      <c r="BR745" s="1409"/>
      <c r="BS745" s="1409"/>
      <c r="BT745" s="1409"/>
      <c r="BU745" s="1410"/>
      <c r="BV745" s="1526">
        <v>0</v>
      </c>
      <c r="BW745" s="1061">
        <v>0</v>
      </c>
      <c r="BX745" s="1061">
        <v>0</v>
      </c>
      <c r="BY745" s="1061">
        <v>0</v>
      </c>
      <c r="BZ745" s="1061">
        <v>0</v>
      </c>
      <c r="CA745" s="1061">
        <v>0</v>
      </c>
      <c r="CB745" s="1061">
        <v>0</v>
      </c>
      <c r="CC745" s="1527">
        <v>0</v>
      </c>
      <c r="CD745" s="1562">
        <v>0</v>
      </c>
      <c r="CE745" s="1563">
        <v>0</v>
      </c>
      <c r="CF745" s="1563">
        <v>0</v>
      </c>
      <c r="CG745" s="1563">
        <v>0</v>
      </c>
      <c r="CH745" s="1563">
        <v>0</v>
      </c>
      <c r="CI745" s="1563">
        <v>0</v>
      </c>
      <c r="CJ745" s="1061">
        <v>0</v>
      </c>
      <c r="CK745" s="1527">
        <v>0</v>
      </c>
      <c r="CL745" s="1562">
        <v>0</v>
      </c>
      <c r="CM745" s="1563">
        <v>0</v>
      </c>
      <c r="CN745" s="1563">
        <v>0</v>
      </c>
      <c r="CO745" s="1563">
        <v>0</v>
      </c>
      <c r="CP745" s="1563">
        <v>0</v>
      </c>
      <c r="CQ745" s="1563">
        <v>0</v>
      </c>
      <c r="CR745" s="1563">
        <v>0</v>
      </c>
      <c r="CS745" s="1564">
        <v>0</v>
      </c>
      <c r="CT745" s="1562">
        <v>0</v>
      </c>
      <c r="CU745" s="1563">
        <v>0</v>
      </c>
      <c r="CV745" s="1563"/>
      <c r="CW745" s="1563">
        <v>2.34</v>
      </c>
      <c r="CX745" s="1563"/>
      <c r="CY745" s="1563">
        <v>0.14</v>
      </c>
      <c r="CZ745" s="1563"/>
      <c r="DA745" s="1564"/>
      <c r="DB745" s="1565">
        <v>0</v>
      </c>
      <c r="DC745" s="1566">
        <v>-0.01</v>
      </c>
      <c r="DD745" s="1566"/>
      <c r="DE745" s="1566">
        <v>-0.31</v>
      </c>
      <c r="DF745" s="1566"/>
      <c r="DG745" s="1566">
        <v>-0.12</v>
      </c>
      <c r="DH745" s="1566"/>
      <c r="DI745" s="1567"/>
      <c r="DJ745" s="1566"/>
      <c r="DK745" s="1566"/>
      <c r="DL745" s="1566"/>
      <c r="DM745" s="1566"/>
      <c r="DN745" s="1566"/>
      <c r="DO745" s="1566"/>
      <c r="DP745" s="1566"/>
      <c r="DQ745" s="1567"/>
      <c r="DR745" s="1566"/>
      <c r="DS745" s="1566"/>
      <c r="DT745" s="1566"/>
      <c r="DU745" s="1566"/>
      <c r="DV745" s="1566"/>
      <c r="DW745" s="1566"/>
      <c r="DX745" s="1566"/>
      <c r="DY745" s="1567"/>
      <c r="DZ745" s="1566"/>
      <c r="EA745" s="1566"/>
      <c r="EB745" s="1566"/>
      <c r="EC745" s="1566"/>
      <c r="ED745" s="1566"/>
      <c r="EE745" s="1566"/>
      <c r="EF745" s="1566"/>
      <c r="EG745" s="1567"/>
      <c r="EH745" s="1566"/>
      <c r="EI745" s="1566"/>
      <c r="EJ745" s="1566"/>
      <c r="EK745" s="1566"/>
      <c r="EL745" s="1566"/>
      <c r="EM745" s="1566"/>
      <c r="EN745" s="1566"/>
      <c r="EO745" s="1567"/>
      <c r="EP745" s="1566"/>
      <c r="EQ745" s="1566"/>
      <c r="ER745" s="1566"/>
      <c r="ES745" s="1566"/>
      <c r="ET745" s="1566"/>
      <c r="EU745" s="1566"/>
      <c r="EV745" s="1566"/>
      <c r="IX745" s="1568"/>
      <c r="IY745" s="1568"/>
      <c r="IZ745" s="1568"/>
      <c r="JA745" s="1568"/>
      <c r="JB745" s="1568"/>
      <c r="JC745" s="1568"/>
      <c r="JD745" s="1554"/>
      <c r="JE745" s="1126"/>
      <c r="JF745" s="1037"/>
      <c r="JG745" s="1037"/>
      <c r="JH745" s="1037"/>
      <c r="JI745" s="1035"/>
      <c r="JJ745" s="1035"/>
      <c r="JK745" s="1035"/>
      <c r="JL745" s="1035"/>
      <c r="JM745" s="1035"/>
      <c r="JN745" s="1035"/>
      <c r="JO745" s="1035"/>
      <c r="JP745" s="1035"/>
      <c r="JQ745" s="1035"/>
      <c r="JR745" s="1035"/>
      <c r="JS745" s="1035"/>
      <c r="JT745" s="1035"/>
      <c r="JU745" s="1035"/>
      <c r="JV745" s="1035"/>
      <c r="JW745" s="1035"/>
      <c r="JX745" s="1035"/>
      <c r="JY745" s="1035"/>
    </row>
    <row r="746" outlineLevel="1" spans="1:285">
      <c r="A746" s="1339" t="s">
        <v>654</v>
      </c>
      <c r="B746" s="1409"/>
      <c r="C746" s="1409"/>
      <c r="D746" s="1409"/>
      <c r="E746" s="1409"/>
      <c r="F746" s="1409"/>
      <c r="G746" s="1409"/>
      <c r="H746" s="1409"/>
      <c r="I746" s="1409"/>
      <c r="J746" s="1409"/>
      <c r="K746" s="1409"/>
      <c r="L746" s="1409"/>
      <c r="M746" s="1409"/>
      <c r="N746" s="1409"/>
      <c r="O746" s="1409"/>
      <c r="P746" s="1409"/>
      <c r="Q746" s="1409"/>
      <c r="R746" s="1409"/>
      <c r="S746" s="1409"/>
      <c r="T746" s="1409"/>
      <c r="U746" s="1409"/>
      <c r="V746" s="1409"/>
      <c r="W746" s="1409"/>
      <c r="X746" s="1409"/>
      <c r="Y746" s="1409"/>
      <c r="Z746" s="1409"/>
      <c r="AA746" s="1409"/>
      <c r="AB746" s="1409"/>
      <c r="AC746" s="1409"/>
      <c r="AD746" s="1409"/>
      <c r="AE746" s="1409"/>
      <c r="AF746" s="1409"/>
      <c r="AG746" s="1409"/>
      <c r="AH746" s="1409"/>
      <c r="AI746" s="1409"/>
      <c r="AJ746" s="1409"/>
      <c r="AK746" s="1409"/>
      <c r="AL746" s="1409"/>
      <c r="AM746" s="1409"/>
      <c r="AN746" s="1409"/>
      <c r="AO746" s="1409"/>
      <c r="AP746" s="1409"/>
      <c r="AQ746" s="1409"/>
      <c r="AR746" s="1409"/>
      <c r="AS746" s="1409"/>
      <c r="AT746" s="1409"/>
      <c r="AU746" s="1409"/>
      <c r="AV746" s="1409"/>
      <c r="AW746" s="1409"/>
      <c r="AX746" s="1408"/>
      <c r="AY746" s="1409"/>
      <c r="AZ746" s="1409"/>
      <c r="BA746" s="1409"/>
      <c r="BB746" s="1409"/>
      <c r="BC746" s="1409"/>
      <c r="BD746" s="1409"/>
      <c r="BE746" s="1410"/>
      <c r="BF746" s="1409"/>
      <c r="BG746" s="1409"/>
      <c r="BH746" s="1409"/>
      <c r="BI746" s="1409"/>
      <c r="BJ746" s="1409"/>
      <c r="BK746" s="1409"/>
      <c r="BL746" s="1409"/>
      <c r="BM746" s="1409"/>
      <c r="BN746" s="1408"/>
      <c r="BO746" s="1409"/>
      <c r="BP746" s="1409"/>
      <c r="BQ746" s="1409"/>
      <c r="BR746" s="1409"/>
      <c r="BS746" s="1409"/>
      <c r="BT746" s="1409"/>
      <c r="BU746" s="1410"/>
      <c r="BV746" s="1526">
        <v>0</v>
      </c>
      <c r="BW746" s="1061">
        <v>0</v>
      </c>
      <c r="BX746" s="1061">
        <v>0</v>
      </c>
      <c r="BY746" s="1061">
        <v>0</v>
      </c>
      <c r="BZ746" s="1061">
        <v>0</v>
      </c>
      <c r="CA746" s="1061">
        <v>0</v>
      </c>
      <c r="CB746" s="1061">
        <v>0</v>
      </c>
      <c r="CC746" s="1527">
        <v>0</v>
      </c>
      <c r="CD746" s="1562">
        <v>0</v>
      </c>
      <c r="CE746" s="1563">
        <v>0</v>
      </c>
      <c r="CF746" s="1563">
        <v>0</v>
      </c>
      <c r="CG746" s="1563">
        <v>0</v>
      </c>
      <c r="CH746" s="1563">
        <v>0</v>
      </c>
      <c r="CI746" s="1563">
        <v>0</v>
      </c>
      <c r="CJ746" s="1061">
        <v>0</v>
      </c>
      <c r="CK746" s="1527">
        <v>0</v>
      </c>
      <c r="CL746" s="1562">
        <v>0</v>
      </c>
      <c r="CM746" s="1563">
        <v>0</v>
      </c>
      <c r="CN746" s="1563">
        <v>0</v>
      </c>
      <c r="CO746" s="1563">
        <v>0</v>
      </c>
      <c r="CP746" s="1563">
        <v>0</v>
      </c>
      <c r="CQ746" s="1563">
        <v>0</v>
      </c>
      <c r="CR746" s="1563">
        <v>0</v>
      </c>
      <c r="CS746" s="1564">
        <v>0</v>
      </c>
      <c r="CT746" s="1562">
        <v>0</v>
      </c>
      <c r="CU746" s="1563">
        <v>0</v>
      </c>
      <c r="CV746" s="1563"/>
      <c r="CW746" s="1563">
        <v>2.71</v>
      </c>
      <c r="CX746" s="1563"/>
      <c r="CY746" s="1563">
        <v>0.2</v>
      </c>
      <c r="CZ746" s="1563"/>
      <c r="DA746" s="1564"/>
      <c r="DB746" s="1565">
        <v>0.06</v>
      </c>
      <c r="DC746" s="1566">
        <v>0.03</v>
      </c>
      <c r="DD746" s="1566"/>
      <c r="DE746" s="1566">
        <v>-0.36</v>
      </c>
      <c r="DF746" s="1566"/>
      <c r="DG746" s="1566">
        <v>-0.16</v>
      </c>
      <c r="DH746" s="1566"/>
      <c r="DI746" s="1567"/>
      <c r="DJ746" s="1566"/>
      <c r="DK746" s="1566"/>
      <c r="DL746" s="1566"/>
      <c r="DM746" s="1566"/>
      <c r="DN746" s="1566"/>
      <c r="DO746" s="1566"/>
      <c r="DP746" s="1566"/>
      <c r="DQ746" s="1567"/>
      <c r="DR746" s="1566"/>
      <c r="DS746" s="1566"/>
      <c r="DT746" s="1566"/>
      <c r="DU746" s="1566"/>
      <c r="DV746" s="1566"/>
      <c r="DW746" s="1566"/>
      <c r="DX746" s="1566"/>
      <c r="DY746" s="1567"/>
      <c r="DZ746" s="1566"/>
      <c r="EA746" s="1566"/>
      <c r="EB746" s="1566"/>
      <c r="EC746" s="1566"/>
      <c r="ED746" s="1566"/>
      <c r="EE746" s="1566"/>
      <c r="EF746" s="1566"/>
      <c r="EG746" s="1567"/>
      <c r="EH746" s="1566"/>
      <c r="EI746" s="1566"/>
      <c r="EJ746" s="1566"/>
      <c r="EK746" s="1566"/>
      <c r="EL746" s="1566"/>
      <c r="EM746" s="1566"/>
      <c r="EN746" s="1566"/>
      <c r="EO746" s="1567"/>
      <c r="EP746" s="1566"/>
      <c r="EQ746" s="1566"/>
      <c r="ER746" s="1566"/>
      <c r="ES746" s="1566"/>
      <c r="ET746" s="1566"/>
      <c r="EU746" s="1566"/>
      <c r="EV746" s="1566"/>
      <c r="IX746" s="1568"/>
      <c r="IY746" s="1568"/>
      <c r="IZ746" s="1568"/>
      <c r="JA746" s="1568"/>
      <c r="JB746" s="1568"/>
      <c r="JC746" s="1568"/>
      <c r="JD746" s="1554"/>
      <c r="JE746" s="1126"/>
      <c r="JF746" s="1037"/>
      <c r="JG746" s="1037"/>
      <c r="JH746" s="1037"/>
      <c r="JI746" s="1035"/>
      <c r="JJ746" s="1035"/>
      <c r="JK746" s="1035"/>
      <c r="JL746" s="1035"/>
      <c r="JM746" s="1035"/>
      <c r="JN746" s="1035"/>
      <c r="JO746" s="1035"/>
      <c r="JP746" s="1035"/>
      <c r="JQ746" s="1035"/>
      <c r="JR746" s="1035"/>
      <c r="JS746" s="1035"/>
      <c r="JT746" s="1035"/>
      <c r="JU746" s="1035"/>
      <c r="JV746" s="1035"/>
      <c r="JW746" s="1035"/>
      <c r="JX746" s="1035"/>
      <c r="JY746" s="1035"/>
    </row>
    <row r="747" outlineLevel="1" spans="1:285">
      <c r="A747" s="1191" t="s">
        <v>212</v>
      </c>
      <c r="B747" s="1499"/>
      <c r="C747" s="1499"/>
      <c r="D747" s="1499"/>
      <c r="E747" s="1499"/>
      <c r="F747" s="1499"/>
      <c r="G747" s="1499"/>
      <c r="H747" s="1499"/>
      <c r="I747" s="1499"/>
      <c r="J747" s="1499"/>
      <c r="K747" s="1499"/>
      <c r="L747" s="1499"/>
      <c r="M747" s="1499"/>
      <c r="N747" s="1499"/>
      <c r="O747" s="1499"/>
      <c r="P747" s="1499"/>
      <c r="Q747" s="1499"/>
      <c r="R747" s="1499"/>
      <c r="S747" s="1499"/>
      <c r="T747" s="1499"/>
      <c r="U747" s="1499"/>
      <c r="V747" s="1499"/>
      <c r="W747" s="1499"/>
      <c r="X747" s="1499"/>
      <c r="Y747" s="1499"/>
      <c r="Z747" s="1499"/>
      <c r="AA747" s="1499"/>
      <c r="AB747" s="1499"/>
      <c r="AC747" s="1499"/>
      <c r="AD747" s="1499"/>
      <c r="AE747" s="1499"/>
      <c r="AF747" s="1499"/>
      <c r="AG747" s="1499"/>
      <c r="AH747" s="1499"/>
      <c r="AI747" s="1499"/>
      <c r="AJ747" s="1499"/>
      <c r="AK747" s="1499"/>
      <c r="AL747" s="1499"/>
      <c r="AM747" s="1499"/>
      <c r="AN747" s="1499"/>
      <c r="AO747" s="1499"/>
      <c r="AP747" s="1499"/>
      <c r="AQ747" s="1499"/>
      <c r="AR747" s="1499"/>
      <c r="AS747" s="1499"/>
      <c r="AT747" s="1499"/>
      <c r="AU747" s="1499"/>
      <c r="AV747" s="1499"/>
      <c r="AW747" s="1499"/>
      <c r="AX747" s="1500"/>
      <c r="AY747" s="1499"/>
      <c r="AZ747" s="1499"/>
      <c r="BA747" s="1499"/>
      <c r="BB747" s="1499"/>
      <c r="BC747" s="1499"/>
      <c r="BD747" s="1499"/>
      <c r="BE747" s="1501"/>
      <c r="BF747" s="1499"/>
      <c r="BG747" s="1499"/>
      <c r="BH747" s="1499"/>
      <c r="BI747" s="1499"/>
      <c r="BJ747" s="1499"/>
      <c r="BK747" s="1499"/>
      <c r="BL747" s="1499"/>
      <c r="BM747" s="1499"/>
      <c r="BN747" s="1500"/>
      <c r="BO747" s="1499"/>
      <c r="BP747" s="1499"/>
      <c r="BQ747" s="1499"/>
      <c r="BR747" s="1499"/>
      <c r="BS747" s="1499"/>
      <c r="BT747" s="1499"/>
      <c r="BU747" s="1501"/>
      <c r="BV747" s="1500">
        <v>0.05</v>
      </c>
      <c r="BW747" s="1499">
        <v>0.03</v>
      </c>
      <c r="BX747" s="1499">
        <v>0</v>
      </c>
      <c r="BY747" s="1499">
        <v>0.05</v>
      </c>
      <c r="BZ747" s="1499">
        <v>0</v>
      </c>
      <c r="CA747" s="1499">
        <v>0.02</v>
      </c>
      <c r="CB747" s="1499">
        <v>0</v>
      </c>
      <c r="CC747" s="1501">
        <v>0</v>
      </c>
      <c r="CD747" s="1569">
        <v>0.04</v>
      </c>
      <c r="CE747" s="1570">
        <v>0.01</v>
      </c>
      <c r="CF747" s="1570">
        <v>0</v>
      </c>
      <c r="CG747" s="1570">
        <v>-0.08</v>
      </c>
      <c r="CH747" s="1570">
        <v>0</v>
      </c>
      <c r="CI747" s="1570">
        <v>-0.24</v>
      </c>
      <c r="CJ747" s="1570">
        <v>0</v>
      </c>
      <c r="CK747" s="1571">
        <v>0</v>
      </c>
      <c r="CL747" s="1569">
        <v>-0.1</v>
      </c>
      <c r="CM747" s="1570">
        <v>-0.16</v>
      </c>
      <c r="CN747" s="1570">
        <v>0</v>
      </c>
      <c r="CO747" s="1570">
        <v>-0.16</v>
      </c>
      <c r="CP747" s="1570">
        <v>0</v>
      </c>
      <c r="CQ747" s="1570">
        <v>-0.18</v>
      </c>
      <c r="CR747" s="1570">
        <v>0</v>
      </c>
      <c r="CS747" s="1571">
        <v>0</v>
      </c>
      <c r="CT747" s="1569">
        <v>-0.03</v>
      </c>
      <c r="CU747" s="1570">
        <v>-0.03</v>
      </c>
      <c r="CV747" s="1570"/>
      <c r="CW747" s="1570">
        <v>-0.08</v>
      </c>
      <c r="CX747" s="1570"/>
      <c r="CY747" s="1570">
        <v>-0.14</v>
      </c>
      <c r="CZ747" s="1570"/>
      <c r="DA747" s="1571"/>
      <c r="DB747" s="1572">
        <v>-0.22</v>
      </c>
      <c r="DC747" s="1573">
        <v>-0.21</v>
      </c>
      <c r="DD747" s="1573"/>
      <c r="DE747" s="1573">
        <v>-0.13</v>
      </c>
      <c r="DF747" s="1573"/>
      <c r="DG747" s="1573">
        <v>-0.18</v>
      </c>
      <c r="DH747" s="1573"/>
      <c r="DI747" s="1574"/>
      <c r="DJ747" s="1573"/>
      <c r="DK747" s="1573"/>
      <c r="DL747" s="1573"/>
      <c r="DM747" s="1573"/>
      <c r="DN747" s="1573"/>
      <c r="DO747" s="1573"/>
      <c r="DP747" s="1573"/>
      <c r="DQ747" s="1574"/>
      <c r="DR747" s="1573"/>
      <c r="DS747" s="1573"/>
      <c r="DT747" s="1573"/>
      <c r="DU747" s="1573"/>
      <c r="DV747" s="1573"/>
      <c r="DW747" s="1573"/>
      <c r="DX747" s="1573"/>
      <c r="DY747" s="1574"/>
      <c r="DZ747" s="1573"/>
      <c r="EA747" s="1573"/>
      <c r="EB747" s="1573"/>
      <c r="EC747" s="1573"/>
      <c r="ED747" s="1573"/>
      <c r="EE747" s="1573"/>
      <c r="EF747" s="1573"/>
      <c r="EG747" s="1574"/>
      <c r="EH747" s="1573"/>
      <c r="EI747" s="1573"/>
      <c r="EJ747" s="1573"/>
      <c r="EK747" s="1573"/>
      <c r="EL747" s="1573"/>
      <c r="EM747" s="1573"/>
      <c r="EN747" s="1573"/>
      <c r="EO747" s="1574"/>
      <c r="EP747" s="1573"/>
      <c r="EQ747" s="1573"/>
      <c r="ER747" s="1573"/>
      <c r="ES747" s="1573"/>
      <c r="ET747" s="1573"/>
      <c r="EU747" s="1573"/>
      <c r="EV747" s="1573"/>
      <c r="IX747" s="1525"/>
      <c r="IY747" s="1525"/>
      <c r="IZ747" s="1525"/>
      <c r="JA747" s="1525"/>
      <c r="JB747" s="1525"/>
      <c r="JC747" s="1525"/>
      <c r="JD747" s="1561"/>
      <c r="JE747" s="1126"/>
      <c r="JF747" s="1037"/>
      <c r="JG747" s="1037"/>
      <c r="JH747" s="1037"/>
      <c r="JI747" s="1035"/>
      <c r="JJ747" s="1035"/>
      <c r="JK747" s="1035"/>
      <c r="JL747" s="1035"/>
      <c r="JM747" s="1035"/>
      <c r="JN747" s="1035"/>
      <c r="JO747" s="1035"/>
      <c r="JP747" s="1035"/>
      <c r="JQ747" s="1035"/>
      <c r="JR747" s="1035"/>
      <c r="JS747" s="1035"/>
      <c r="JT747" s="1035"/>
      <c r="JU747" s="1035"/>
      <c r="JV747" s="1035"/>
      <c r="JW747" s="1035"/>
      <c r="JX747" s="1035"/>
      <c r="JY747" s="1035"/>
    </row>
    <row r="748" outlineLevel="1" spans="1:285">
      <c r="A748" s="1306" t="s">
        <v>654</v>
      </c>
      <c r="B748" s="1307"/>
      <c r="C748" s="1307"/>
      <c r="D748" s="1307"/>
      <c r="E748" s="1307"/>
      <c r="F748" s="1307"/>
      <c r="G748" s="1307"/>
      <c r="H748" s="1307"/>
      <c r="I748" s="1307"/>
      <c r="J748" s="1307"/>
      <c r="K748" s="1307"/>
      <c r="L748" s="1307"/>
      <c r="M748" s="1307"/>
      <c r="N748" s="1307"/>
      <c r="O748" s="1307"/>
      <c r="P748" s="1307"/>
      <c r="Q748" s="1307"/>
      <c r="R748" s="1307"/>
      <c r="S748" s="1307"/>
      <c r="T748" s="1307"/>
      <c r="U748" s="1307"/>
      <c r="V748" s="1307"/>
      <c r="W748" s="1307"/>
      <c r="X748" s="1307"/>
      <c r="Y748" s="1307"/>
      <c r="Z748" s="1307"/>
      <c r="AA748" s="1307"/>
      <c r="AB748" s="1307"/>
      <c r="AC748" s="1307"/>
      <c r="AD748" s="1307"/>
      <c r="AE748" s="1307"/>
      <c r="AF748" s="1307"/>
      <c r="AG748" s="1307"/>
      <c r="AH748" s="1307"/>
      <c r="AI748" s="1307"/>
      <c r="AJ748" s="1307"/>
      <c r="AK748" s="1307"/>
      <c r="AL748" s="1307"/>
      <c r="AM748" s="1307"/>
      <c r="AN748" s="1307"/>
      <c r="AO748" s="1307"/>
      <c r="AP748" s="1307"/>
      <c r="AQ748" s="1307"/>
      <c r="AR748" s="1307"/>
      <c r="AS748" s="1307"/>
      <c r="AT748" s="1307"/>
      <c r="AU748" s="1307"/>
      <c r="AV748" s="1307"/>
      <c r="AW748" s="1307"/>
      <c r="AX748" s="1308"/>
      <c r="AY748" s="1307"/>
      <c r="AZ748" s="1307"/>
      <c r="BA748" s="1307"/>
      <c r="BB748" s="1307"/>
      <c r="BC748" s="1307"/>
      <c r="BD748" s="1307"/>
      <c r="BE748" s="1309"/>
      <c r="BF748" s="1307"/>
      <c r="BG748" s="1307"/>
      <c r="BH748" s="1307"/>
      <c r="BI748" s="1307"/>
      <c r="BJ748" s="1307"/>
      <c r="BK748" s="1307"/>
      <c r="BL748" s="1307"/>
      <c r="BM748" s="1307"/>
      <c r="BN748" s="1308"/>
      <c r="BO748" s="1307"/>
      <c r="BP748" s="1307"/>
      <c r="BQ748" s="1307"/>
      <c r="BR748" s="1307"/>
      <c r="BS748" s="1307"/>
      <c r="BT748" s="1307"/>
      <c r="BU748" s="1309"/>
      <c r="BV748" s="1308">
        <v>0</v>
      </c>
      <c r="BW748" s="1307">
        <v>0</v>
      </c>
      <c r="BX748" s="1307">
        <v>0</v>
      </c>
      <c r="BY748" s="1307">
        <v>0</v>
      </c>
      <c r="BZ748" s="1307">
        <v>0</v>
      </c>
      <c r="CA748" s="1307">
        <v>0</v>
      </c>
      <c r="CB748" s="1307">
        <v>0</v>
      </c>
      <c r="CC748" s="1309">
        <v>0</v>
      </c>
      <c r="CD748" s="1555" t="s">
        <v>173</v>
      </c>
      <c r="CE748" s="1556" t="s">
        <v>173</v>
      </c>
      <c r="CF748" s="1556">
        <v>0</v>
      </c>
      <c r="CG748" s="1556" t="s">
        <v>173</v>
      </c>
      <c r="CH748" s="1556">
        <v>0</v>
      </c>
      <c r="CI748" s="1556" t="s">
        <v>173</v>
      </c>
      <c r="CJ748" s="1556">
        <v>0</v>
      </c>
      <c r="CK748" s="1557">
        <v>0</v>
      </c>
      <c r="CL748" s="1555">
        <v>-0.14</v>
      </c>
      <c r="CM748" s="1556">
        <v>-0.13</v>
      </c>
      <c r="CN748" s="1556">
        <v>0</v>
      </c>
      <c r="CO748" s="1556">
        <v>-0.14</v>
      </c>
      <c r="CP748" s="1556">
        <v>0</v>
      </c>
      <c r="CQ748" s="1556">
        <v>-0.12</v>
      </c>
      <c r="CR748" s="1556">
        <v>0</v>
      </c>
      <c r="CS748" s="1557">
        <v>0</v>
      </c>
      <c r="CT748" s="1555">
        <v>0.03</v>
      </c>
      <c r="CU748" s="1556">
        <v>0</v>
      </c>
      <c r="CV748" s="1556"/>
      <c r="CW748" s="1556">
        <v>-0.02</v>
      </c>
      <c r="CX748" s="1556"/>
      <c r="CY748" s="1556">
        <v>-0.08</v>
      </c>
      <c r="CZ748" s="1556"/>
      <c r="DA748" s="1557"/>
      <c r="DB748" s="1558">
        <v>-0.13</v>
      </c>
      <c r="DC748" s="1559">
        <v>-0.13</v>
      </c>
      <c r="DD748" s="1559"/>
      <c r="DE748" s="1559">
        <v>-0.13</v>
      </c>
      <c r="DF748" s="1559"/>
      <c r="DG748" s="1559">
        <v>-0.17</v>
      </c>
      <c r="DH748" s="1559"/>
      <c r="DI748" s="1560"/>
      <c r="DJ748" s="1559"/>
      <c r="DK748" s="1559"/>
      <c r="DL748" s="1559"/>
      <c r="DM748" s="1559"/>
      <c r="DN748" s="1559"/>
      <c r="DO748" s="1559"/>
      <c r="DP748" s="1559"/>
      <c r="DQ748" s="1560"/>
      <c r="DR748" s="1559"/>
      <c r="DS748" s="1559"/>
      <c r="DT748" s="1559"/>
      <c r="DU748" s="1559"/>
      <c r="DV748" s="1559"/>
      <c r="DW748" s="1559"/>
      <c r="DX748" s="1559"/>
      <c r="DY748" s="1560"/>
      <c r="DZ748" s="1559"/>
      <c r="EA748" s="1559"/>
      <c r="EB748" s="1559"/>
      <c r="EC748" s="1559"/>
      <c r="ED748" s="1559"/>
      <c r="EE748" s="1559"/>
      <c r="EF748" s="1559"/>
      <c r="EG748" s="1560"/>
      <c r="EH748" s="1559"/>
      <c r="EI748" s="1559"/>
      <c r="EJ748" s="1559"/>
      <c r="EK748" s="1559"/>
      <c r="EL748" s="1559"/>
      <c r="EM748" s="1559"/>
      <c r="EN748" s="1559"/>
      <c r="EO748" s="1560"/>
      <c r="EP748" s="1559"/>
      <c r="EQ748" s="1559"/>
      <c r="ER748" s="1559"/>
      <c r="ES748" s="1559"/>
      <c r="ET748" s="1559"/>
      <c r="EU748" s="1559"/>
      <c r="EV748" s="1559"/>
      <c r="IX748" s="1525"/>
      <c r="IY748" s="1525"/>
      <c r="IZ748" s="1525"/>
      <c r="JA748" s="1525"/>
      <c r="JB748" s="1525"/>
      <c r="JC748" s="1525"/>
      <c r="JD748" s="1561"/>
      <c r="JE748" s="1126"/>
      <c r="JF748" s="1037"/>
      <c r="JG748" s="1037"/>
      <c r="JH748" s="1037"/>
      <c r="JI748" s="1035"/>
      <c r="JJ748" s="1035"/>
      <c r="JK748" s="1035"/>
      <c r="JL748" s="1035"/>
      <c r="JM748" s="1035"/>
      <c r="JN748" s="1035"/>
      <c r="JO748" s="1035"/>
      <c r="JP748" s="1035"/>
      <c r="JQ748" s="1035"/>
      <c r="JR748" s="1035"/>
      <c r="JS748" s="1035"/>
      <c r="JT748" s="1035"/>
      <c r="JU748" s="1035"/>
      <c r="JV748" s="1035"/>
      <c r="JW748" s="1035"/>
      <c r="JX748" s="1035"/>
      <c r="JY748" s="1035"/>
    </row>
    <row r="749" outlineLevel="1" spans="1:285">
      <c r="A749" s="1339" t="s">
        <v>533</v>
      </c>
      <c r="B749" s="1409"/>
      <c r="C749" s="1409"/>
      <c r="D749" s="1409"/>
      <c r="E749" s="1409"/>
      <c r="F749" s="1409"/>
      <c r="G749" s="1409"/>
      <c r="H749" s="1409"/>
      <c r="I749" s="1409"/>
      <c r="J749" s="1409"/>
      <c r="K749" s="1409"/>
      <c r="L749" s="1409"/>
      <c r="M749" s="1409"/>
      <c r="N749" s="1409"/>
      <c r="O749" s="1409"/>
      <c r="P749" s="1409"/>
      <c r="Q749" s="1409"/>
      <c r="R749" s="1409"/>
      <c r="S749" s="1409"/>
      <c r="T749" s="1409"/>
      <c r="U749" s="1409"/>
      <c r="V749" s="1409"/>
      <c r="W749" s="1409"/>
      <c r="X749" s="1409"/>
      <c r="Y749" s="1409"/>
      <c r="Z749" s="1409"/>
      <c r="AA749" s="1409"/>
      <c r="AB749" s="1409"/>
      <c r="AC749" s="1409"/>
      <c r="AD749" s="1409"/>
      <c r="AE749" s="1409"/>
      <c r="AF749" s="1409"/>
      <c r="AG749" s="1409"/>
      <c r="AH749" s="1409"/>
      <c r="AI749" s="1409"/>
      <c r="AJ749" s="1409"/>
      <c r="AK749" s="1409"/>
      <c r="AL749" s="1409"/>
      <c r="AM749" s="1409"/>
      <c r="AN749" s="1409"/>
      <c r="AO749" s="1409"/>
      <c r="AP749" s="1409"/>
      <c r="AQ749" s="1409"/>
      <c r="AR749" s="1409"/>
      <c r="AS749" s="1409"/>
      <c r="AT749" s="1409"/>
      <c r="AU749" s="1409"/>
      <c r="AV749" s="1409"/>
      <c r="AW749" s="1409"/>
      <c r="AX749" s="1408"/>
      <c r="AY749" s="1409"/>
      <c r="AZ749" s="1409"/>
      <c r="BA749" s="1409"/>
      <c r="BB749" s="1409"/>
      <c r="BC749" s="1409"/>
      <c r="BD749" s="1409"/>
      <c r="BE749" s="1410"/>
      <c r="BF749" s="1409"/>
      <c r="BG749" s="1409"/>
      <c r="BH749" s="1409"/>
      <c r="BI749" s="1409"/>
      <c r="BJ749" s="1409"/>
      <c r="BK749" s="1409"/>
      <c r="BL749" s="1409"/>
      <c r="BM749" s="1409"/>
      <c r="BN749" s="1408"/>
      <c r="BO749" s="1409"/>
      <c r="BP749" s="1409"/>
      <c r="BQ749" s="1409"/>
      <c r="BR749" s="1409"/>
      <c r="BS749" s="1409"/>
      <c r="BT749" s="1409"/>
      <c r="BU749" s="1410"/>
      <c r="BV749" s="1526"/>
      <c r="BW749" s="1061"/>
      <c r="BX749" s="1061"/>
      <c r="BY749" s="1061"/>
      <c r="BZ749" s="1061"/>
      <c r="CA749" s="1061"/>
      <c r="CB749" s="1061"/>
      <c r="CC749" s="1527"/>
      <c r="CD749" s="1526"/>
      <c r="CE749" s="1061"/>
      <c r="CF749" s="1061"/>
      <c r="CG749" s="1061"/>
      <c r="CH749" s="1061"/>
      <c r="CI749" s="1061"/>
      <c r="CJ749" s="1061"/>
      <c r="CK749" s="1527"/>
      <c r="CL749" s="1575"/>
      <c r="CM749" s="1576">
        <v>-15</v>
      </c>
      <c r="CN749" s="1576"/>
      <c r="CO749" s="1576"/>
      <c r="CP749" s="1576"/>
      <c r="CQ749" s="1576">
        <v>-21</v>
      </c>
      <c r="CR749" s="1576"/>
      <c r="CS749" s="1577"/>
      <c r="CT749" s="1578">
        <v>-0.14</v>
      </c>
      <c r="CU749" s="1578">
        <v>-0.2</v>
      </c>
      <c r="CV749" s="1578">
        <v>0</v>
      </c>
      <c r="CW749" s="1578">
        <v>-0.15</v>
      </c>
      <c r="CX749" s="1578">
        <v>0</v>
      </c>
      <c r="CY749" s="1578">
        <v>-0.18</v>
      </c>
      <c r="CZ749" s="1576"/>
      <c r="DA749" s="1577"/>
      <c r="DB749" s="1565">
        <v>-0.29</v>
      </c>
      <c r="DC749" s="1566">
        <v>-0.21</v>
      </c>
      <c r="DD749" s="1579"/>
      <c r="DE749" s="1566">
        <v>-0.1</v>
      </c>
      <c r="DF749" s="1579"/>
      <c r="DG749" s="1566">
        <v>-0.11</v>
      </c>
      <c r="DH749" s="1579"/>
      <c r="DI749" s="1580"/>
      <c r="DJ749" s="1566"/>
      <c r="DK749" s="1566"/>
      <c r="DL749" s="1579"/>
      <c r="DM749" s="1566"/>
      <c r="DN749" s="1579"/>
      <c r="DO749" s="1566"/>
      <c r="DP749" s="1579"/>
      <c r="DQ749" s="1580"/>
      <c r="DR749" s="1566"/>
      <c r="DS749" s="1566"/>
      <c r="DT749" s="1579"/>
      <c r="DU749" s="1566"/>
      <c r="DV749" s="1579"/>
      <c r="DW749" s="1566"/>
      <c r="DX749" s="1579"/>
      <c r="DY749" s="1580"/>
      <c r="DZ749" s="1566"/>
      <c r="EA749" s="1566"/>
      <c r="EB749" s="1579"/>
      <c r="EC749" s="1566"/>
      <c r="ED749" s="1579"/>
      <c r="EE749" s="1566"/>
      <c r="EF749" s="1579"/>
      <c r="EG749" s="1580"/>
      <c r="EH749" s="1566"/>
      <c r="EI749" s="1566"/>
      <c r="EJ749" s="1579"/>
      <c r="EK749" s="1566"/>
      <c r="EL749" s="1579"/>
      <c r="EM749" s="1566"/>
      <c r="EN749" s="1579"/>
      <c r="EO749" s="1580"/>
      <c r="EP749" s="1579"/>
      <c r="EQ749" s="1579"/>
      <c r="ER749" s="1579"/>
      <c r="ES749" s="1579"/>
      <c r="ET749" s="1579"/>
      <c r="EU749" s="1579"/>
      <c r="EV749" s="1579"/>
      <c r="IX749" s="1581"/>
      <c r="IY749" s="1581"/>
      <c r="IZ749" s="1581"/>
      <c r="JA749" s="1581"/>
      <c r="JB749" s="1581"/>
      <c r="JC749" s="1581"/>
      <c r="JD749" s="1582"/>
      <c r="JE749" s="1126"/>
      <c r="JF749" s="1037"/>
      <c r="JG749" s="1037"/>
      <c r="JH749" s="1037"/>
      <c r="JI749" s="1035"/>
      <c r="JJ749" s="1035"/>
      <c r="JK749" s="1035"/>
      <c r="JL749" s="1035"/>
      <c r="JM749" s="1035"/>
      <c r="JN749" s="1035"/>
      <c r="JO749" s="1035"/>
      <c r="JP749" s="1035"/>
      <c r="JQ749" s="1035"/>
      <c r="JR749" s="1035"/>
      <c r="JS749" s="1035"/>
      <c r="JT749" s="1035"/>
      <c r="JU749" s="1035"/>
      <c r="JV749" s="1035"/>
      <c r="JW749" s="1035"/>
      <c r="JX749" s="1035"/>
      <c r="JY749" s="1035"/>
    </row>
    <row r="750" outlineLevel="1" spans="1:285">
      <c r="A750" s="1339" t="s">
        <v>654</v>
      </c>
      <c r="B750" s="1409"/>
      <c r="C750" s="1409"/>
      <c r="D750" s="1409"/>
      <c r="E750" s="1409"/>
      <c r="F750" s="1409"/>
      <c r="G750" s="1409"/>
      <c r="H750" s="1409"/>
      <c r="I750" s="1409"/>
      <c r="J750" s="1409"/>
      <c r="K750" s="1409"/>
      <c r="L750" s="1409"/>
      <c r="M750" s="1409"/>
      <c r="N750" s="1409"/>
      <c r="O750" s="1409"/>
      <c r="P750" s="1409"/>
      <c r="Q750" s="1409"/>
      <c r="R750" s="1409"/>
      <c r="S750" s="1409"/>
      <c r="T750" s="1409"/>
      <c r="U750" s="1409"/>
      <c r="V750" s="1409"/>
      <c r="W750" s="1409"/>
      <c r="X750" s="1409"/>
      <c r="Y750" s="1409"/>
      <c r="Z750" s="1409"/>
      <c r="AA750" s="1409"/>
      <c r="AB750" s="1409"/>
      <c r="AC750" s="1409"/>
      <c r="AD750" s="1409"/>
      <c r="AE750" s="1409"/>
      <c r="AF750" s="1409"/>
      <c r="AG750" s="1409"/>
      <c r="AH750" s="1409"/>
      <c r="AI750" s="1409"/>
      <c r="AJ750" s="1409"/>
      <c r="AK750" s="1409"/>
      <c r="AL750" s="1409"/>
      <c r="AM750" s="1409"/>
      <c r="AN750" s="1409"/>
      <c r="AO750" s="1409"/>
      <c r="AP750" s="1409"/>
      <c r="AQ750" s="1409"/>
      <c r="AR750" s="1409"/>
      <c r="AS750" s="1409"/>
      <c r="AT750" s="1409"/>
      <c r="AU750" s="1409"/>
      <c r="AV750" s="1409"/>
      <c r="AW750" s="1409"/>
      <c r="AX750" s="1408"/>
      <c r="AY750" s="1409"/>
      <c r="AZ750" s="1409"/>
      <c r="BA750" s="1409"/>
      <c r="BB750" s="1409"/>
      <c r="BC750" s="1409"/>
      <c r="BD750" s="1409"/>
      <c r="BE750" s="1410"/>
      <c r="BF750" s="1409"/>
      <c r="BG750" s="1409"/>
      <c r="BH750" s="1409"/>
      <c r="BI750" s="1409"/>
      <c r="BJ750" s="1409"/>
      <c r="BK750" s="1409"/>
      <c r="BL750" s="1409"/>
      <c r="BM750" s="1409"/>
      <c r="BN750" s="1408"/>
      <c r="BO750" s="1409"/>
      <c r="BP750" s="1409"/>
      <c r="BQ750" s="1409"/>
      <c r="BR750" s="1409"/>
      <c r="BS750" s="1409"/>
      <c r="BT750" s="1409"/>
      <c r="BU750" s="1410"/>
      <c r="BV750" s="1526"/>
      <c r="BW750" s="1061"/>
      <c r="BX750" s="1061"/>
      <c r="BY750" s="1061"/>
      <c r="BZ750" s="1061"/>
      <c r="CA750" s="1061"/>
      <c r="CB750" s="1061"/>
      <c r="CC750" s="1527"/>
      <c r="CD750" s="1526"/>
      <c r="CE750" s="1061"/>
      <c r="CF750" s="1061"/>
      <c r="CG750" s="1061"/>
      <c r="CH750" s="1061"/>
      <c r="CI750" s="1061"/>
      <c r="CJ750" s="1061"/>
      <c r="CK750" s="1527"/>
      <c r="CL750" s="1575"/>
      <c r="CM750" s="1576">
        <v>-12</v>
      </c>
      <c r="CN750" s="1576"/>
      <c r="CO750" s="1576"/>
      <c r="CP750" s="1576"/>
      <c r="CQ750" s="1576">
        <v>-15</v>
      </c>
      <c r="CR750" s="1576"/>
      <c r="CS750" s="1577"/>
      <c r="CT750" s="1578">
        <v>-0.09</v>
      </c>
      <c r="CU750" s="1578">
        <v>-0.17</v>
      </c>
      <c r="CV750" s="1578">
        <v>0</v>
      </c>
      <c r="CW750" s="1578">
        <v>-0.1</v>
      </c>
      <c r="CX750" s="1578">
        <v>0</v>
      </c>
      <c r="CY750" s="1578">
        <v>-0.12</v>
      </c>
      <c r="CZ750" s="1576"/>
      <c r="DA750" s="1577"/>
      <c r="DB750" s="1565">
        <v>-0.22</v>
      </c>
      <c r="DC750" s="1566">
        <v>-0.13</v>
      </c>
      <c r="DD750" s="1579"/>
      <c r="DE750" s="1566">
        <v>-0.1</v>
      </c>
      <c r="DF750" s="1579"/>
      <c r="DG750" s="1566">
        <v>-0.1</v>
      </c>
      <c r="DH750" s="1579"/>
      <c r="DI750" s="1580"/>
      <c r="DJ750" s="1566"/>
      <c r="DK750" s="1566"/>
      <c r="DL750" s="1579"/>
      <c r="DM750" s="1566"/>
      <c r="DN750" s="1579"/>
      <c r="DO750" s="1566"/>
      <c r="DP750" s="1579"/>
      <c r="DQ750" s="1580"/>
      <c r="DR750" s="1566"/>
      <c r="DS750" s="1566"/>
      <c r="DT750" s="1579"/>
      <c r="DU750" s="1566"/>
      <c r="DV750" s="1579"/>
      <c r="DW750" s="1566"/>
      <c r="DX750" s="1579"/>
      <c r="DY750" s="1580"/>
      <c r="DZ750" s="1566"/>
      <c r="EA750" s="1566"/>
      <c r="EB750" s="1579"/>
      <c r="EC750" s="1566"/>
      <c r="ED750" s="1579"/>
      <c r="EE750" s="1566"/>
      <c r="EF750" s="1579"/>
      <c r="EG750" s="1580"/>
      <c r="EH750" s="1566"/>
      <c r="EI750" s="1566"/>
      <c r="EJ750" s="1579"/>
      <c r="EK750" s="1566"/>
      <c r="EL750" s="1579"/>
      <c r="EM750" s="1566"/>
      <c r="EN750" s="1579"/>
      <c r="EO750" s="1580"/>
      <c r="EP750" s="1579"/>
      <c r="EQ750" s="1579"/>
      <c r="ER750" s="1579"/>
      <c r="ES750" s="1579"/>
      <c r="ET750" s="1579"/>
      <c r="EU750" s="1579"/>
      <c r="EV750" s="1579"/>
      <c r="IX750" s="1581"/>
      <c r="IY750" s="1581"/>
      <c r="IZ750" s="1581"/>
      <c r="JA750" s="1581"/>
      <c r="JB750" s="1581"/>
      <c r="JC750" s="1581"/>
      <c r="JD750" s="1582"/>
      <c r="JE750" s="1126"/>
      <c r="JF750" s="1037"/>
      <c r="JG750" s="1037"/>
      <c r="JH750" s="1037"/>
      <c r="JI750" s="1035"/>
      <c r="JJ750" s="1035"/>
      <c r="JK750" s="1035"/>
      <c r="JL750" s="1035"/>
      <c r="JM750" s="1035"/>
      <c r="JN750" s="1035"/>
      <c r="JO750" s="1035"/>
      <c r="JP750" s="1035"/>
      <c r="JQ750" s="1035"/>
      <c r="JR750" s="1035"/>
      <c r="JS750" s="1035"/>
      <c r="JT750" s="1035"/>
      <c r="JU750" s="1035"/>
      <c r="JV750" s="1035"/>
      <c r="JW750" s="1035"/>
      <c r="JX750" s="1035"/>
      <c r="JY750" s="1035"/>
    </row>
    <row r="751" outlineLevel="1" spans="1:285">
      <c r="A751" s="1339" t="s">
        <v>536</v>
      </c>
      <c r="B751" s="1409"/>
      <c r="C751" s="1409"/>
      <c r="D751" s="1409"/>
      <c r="E751" s="1409"/>
      <c r="F751" s="1409"/>
      <c r="G751" s="1409"/>
      <c r="H751" s="1409"/>
      <c r="I751" s="1409"/>
      <c r="J751" s="1409"/>
      <c r="K751" s="1409"/>
      <c r="L751" s="1409"/>
      <c r="M751" s="1409"/>
      <c r="N751" s="1409"/>
      <c r="O751" s="1409"/>
      <c r="P751" s="1409"/>
      <c r="Q751" s="1409"/>
      <c r="R751" s="1409"/>
      <c r="S751" s="1409"/>
      <c r="T751" s="1409"/>
      <c r="U751" s="1409"/>
      <c r="V751" s="1409"/>
      <c r="W751" s="1409"/>
      <c r="X751" s="1409"/>
      <c r="Y751" s="1409"/>
      <c r="Z751" s="1409"/>
      <c r="AA751" s="1409"/>
      <c r="AB751" s="1409"/>
      <c r="AC751" s="1409"/>
      <c r="AD751" s="1409"/>
      <c r="AE751" s="1409"/>
      <c r="AF751" s="1409"/>
      <c r="AG751" s="1409"/>
      <c r="AH751" s="1409"/>
      <c r="AI751" s="1409"/>
      <c r="AJ751" s="1409"/>
      <c r="AK751" s="1409"/>
      <c r="AL751" s="1409"/>
      <c r="AM751" s="1409"/>
      <c r="AN751" s="1409"/>
      <c r="AO751" s="1409"/>
      <c r="AP751" s="1409"/>
      <c r="AQ751" s="1409"/>
      <c r="AR751" s="1409"/>
      <c r="AS751" s="1409"/>
      <c r="AT751" s="1409"/>
      <c r="AU751" s="1409"/>
      <c r="AV751" s="1409"/>
      <c r="AW751" s="1409"/>
      <c r="AX751" s="1408"/>
      <c r="AY751" s="1409"/>
      <c r="AZ751" s="1409"/>
      <c r="BA751" s="1409"/>
      <c r="BB751" s="1409"/>
      <c r="BC751" s="1409"/>
      <c r="BD751" s="1409"/>
      <c r="BE751" s="1410"/>
      <c r="BF751" s="1409"/>
      <c r="BG751" s="1409"/>
      <c r="BH751" s="1409"/>
      <c r="BI751" s="1409"/>
      <c r="BJ751" s="1409"/>
      <c r="BK751" s="1409"/>
      <c r="BL751" s="1409"/>
      <c r="BM751" s="1409"/>
      <c r="BN751" s="1408"/>
      <c r="BO751" s="1409"/>
      <c r="BP751" s="1409"/>
      <c r="BQ751" s="1409"/>
      <c r="BR751" s="1409"/>
      <c r="BS751" s="1409"/>
      <c r="BT751" s="1409"/>
      <c r="BU751" s="1410"/>
      <c r="BV751" s="1526"/>
      <c r="BW751" s="1061"/>
      <c r="BX751" s="1061"/>
      <c r="BY751" s="1061"/>
      <c r="BZ751" s="1061"/>
      <c r="CA751" s="1061"/>
      <c r="CB751" s="1061"/>
      <c r="CC751" s="1527"/>
      <c r="CD751" s="1526"/>
      <c r="CE751" s="1061"/>
      <c r="CF751" s="1061"/>
      <c r="CG751" s="1061"/>
      <c r="CH751" s="1061"/>
      <c r="CI751" s="1061"/>
      <c r="CJ751" s="1061"/>
      <c r="CK751" s="1527"/>
      <c r="CL751" s="1575"/>
      <c r="CM751" s="1576">
        <v>-19</v>
      </c>
      <c r="CN751" s="1576"/>
      <c r="CO751" s="1576"/>
      <c r="CP751" s="1576"/>
      <c r="CQ751" s="1576">
        <v>-14</v>
      </c>
      <c r="CR751" s="1576"/>
      <c r="CS751" s="1577"/>
      <c r="CT751" s="1578">
        <v>0.09</v>
      </c>
      <c r="CU751" s="1578">
        <v>0.17</v>
      </c>
      <c r="CV751" s="1578">
        <v>0</v>
      </c>
      <c r="CW751" s="1578">
        <v>0.03</v>
      </c>
      <c r="CX751" s="1578">
        <v>0</v>
      </c>
      <c r="CY751" s="1578">
        <v>-0.03</v>
      </c>
      <c r="CZ751" s="1576"/>
      <c r="DA751" s="1577"/>
      <c r="DB751" s="1565">
        <v>-0.22</v>
      </c>
      <c r="DC751" s="1566">
        <v>-0.28</v>
      </c>
      <c r="DD751" s="1579"/>
      <c r="DE751" s="1566">
        <v>-0.24</v>
      </c>
      <c r="DF751" s="1579"/>
      <c r="DG751" s="1566">
        <v>-0.33</v>
      </c>
      <c r="DH751" s="1579"/>
      <c r="DI751" s="1580"/>
      <c r="DJ751" s="1566"/>
      <c r="DK751" s="1566"/>
      <c r="DL751" s="1579"/>
      <c r="DM751" s="1566"/>
      <c r="DN751" s="1579"/>
      <c r="DO751" s="1566"/>
      <c r="DP751" s="1579"/>
      <c r="DQ751" s="1580"/>
      <c r="DR751" s="1566"/>
      <c r="DS751" s="1566"/>
      <c r="DT751" s="1579"/>
      <c r="DU751" s="1566"/>
      <c r="DV751" s="1579"/>
      <c r="DW751" s="1566"/>
      <c r="DX751" s="1579"/>
      <c r="DY751" s="1580"/>
      <c r="DZ751" s="1566"/>
      <c r="EA751" s="1566"/>
      <c r="EB751" s="1579"/>
      <c r="EC751" s="1566"/>
      <c r="ED751" s="1579"/>
      <c r="EE751" s="1566"/>
      <c r="EF751" s="1579"/>
      <c r="EG751" s="1580"/>
      <c r="EH751" s="1566"/>
      <c r="EI751" s="1566"/>
      <c r="EJ751" s="1579"/>
      <c r="EK751" s="1566"/>
      <c r="EL751" s="1579"/>
      <c r="EM751" s="1566"/>
      <c r="EN751" s="1579"/>
      <c r="EO751" s="1580"/>
      <c r="EP751" s="1579"/>
      <c r="EQ751" s="1579"/>
      <c r="ER751" s="1579"/>
      <c r="ES751" s="1579"/>
      <c r="ET751" s="1579"/>
      <c r="EU751" s="1579"/>
      <c r="EV751" s="1579"/>
      <c r="IX751" s="1581"/>
      <c r="IY751" s="1581"/>
      <c r="IZ751" s="1581"/>
      <c r="JA751" s="1581"/>
      <c r="JB751" s="1581"/>
      <c r="JC751" s="1581"/>
      <c r="JD751" s="1582"/>
      <c r="JE751" s="1126"/>
      <c r="JF751" s="1037"/>
      <c r="JG751" s="1037"/>
      <c r="JH751" s="1037"/>
      <c r="JI751" s="1035"/>
      <c r="JJ751" s="1035"/>
      <c r="JK751" s="1035"/>
      <c r="JL751" s="1035"/>
      <c r="JM751" s="1035"/>
      <c r="JN751" s="1035"/>
      <c r="JO751" s="1035"/>
      <c r="JP751" s="1035"/>
      <c r="JQ751" s="1035"/>
      <c r="JR751" s="1035"/>
      <c r="JS751" s="1035"/>
      <c r="JT751" s="1035"/>
      <c r="JU751" s="1035"/>
      <c r="JV751" s="1035"/>
      <c r="JW751" s="1035"/>
      <c r="JX751" s="1035"/>
      <c r="JY751" s="1035"/>
    </row>
    <row r="752" outlineLevel="1" spans="1:285">
      <c r="A752" s="1339" t="s">
        <v>654</v>
      </c>
      <c r="B752" s="1409"/>
      <c r="C752" s="1409"/>
      <c r="D752" s="1409"/>
      <c r="E752" s="1409"/>
      <c r="F752" s="1409"/>
      <c r="G752" s="1409"/>
      <c r="H752" s="1409"/>
      <c r="I752" s="1409"/>
      <c r="J752" s="1409"/>
      <c r="K752" s="1409"/>
      <c r="L752" s="1409"/>
      <c r="M752" s="1409"/>
      <c r="N752" s="1409"/>
      <c r="O752" s="1409"/>
      <c r="P752" s="1409"/>
      <c r="Q752" s="1409"/>
      <c r="R752" s="1409"/>
      <c r="S752" s="1409"/>
      <c r="T752" s="1409"/>
      <c r="U752" s="1409"/>
      <c r="V752" s="1409"/>
      <c r="W752" s="1409"/>
      <c r="X752" s="1409"/>
      <c r="Y752" s="1409"/>
      <c r="Z752" s="1409"/>
      <c r="AA752" s="1409"/>
      <c r="AB752" s="1409"/>
      <c r="AC752" s="1409"/>
      <c r="AD752" s="1409"/>
      <c r="AE752" s="1409"/>
      <c r="AF752" s="1409"/>
      <c r="AG752" s="1409"/>
      <c r="AH752" s="1409"/>
      <c r="AI752" s="1409"/>
      <c r="AJ752" s="1409"/>
      <c r="AK752" s="1409"/>
      <c r="AL752" s="1409"/>
      <c r="AM752" s="1409"/>
      <c r="AN752" s="1409"/>
      <c r="AO752" s="1409"/>
      <c r="AP752" s="1409"/>
      <c r="AQ752" s="1409"/>
      <c r="AR752" s="1409"/>
      <c r="AS752" s="1409"/>
      <c r="AT752" s="1409"/>
      <c r="AU752" s="1409"/>
      <c r="AV752" s="1409"/>
      <c r="AW752" s="1409"/>
      <c r="AX752" s="1408"/>
      <c r="AY752" s="1409"/>
      <c r="AZ752" s="1409"/>
      <c r="BA752" s="1409"/>
      <c r="BB752" s="1409"/>
      <c r="BC752" s="1409"/>
      <c r="BD752" s="1409"/>
      <c r="BE752" s="1410"/>
      <c r="BF752" s="1409"/>
      <c r="BG752" s="1409"/>
      <c r="BH752" s="1409"/>
      <c r="BI752" s="1409"/>
      <c r="BJ752" s="1409"/>
      <c r="BK752" s="1409"/>
      <c r="BL752" s="1409"/>
      <c r="BM752" s="1409"/>
      <c r="BN752" s="1408"/>
      <c r="BO752" s="1409"/>
      <c r="BP752" s="1409"/>
      <c r="BQ752" s="1409"/>
      <c r="BR752" s="1409"/>
      <c r="BS752" s="1409"/>
      <c r="BT752" s="1409"/>
      <c r="BU752" s="1410"/>
      <c r="BV752" s="1526"/>
      <c r="BW752" s="1061"/>
      <c r="BX752" s="1061"/>
      <c r="BY752" s="1061"/>
      <c r="BZ752" s="1061"/>
      <c r="CA752" s="1061"/>
      <c r="CB752" s="1061"/>
      <c r="CC752" s="1527"/>
      <c r="CD752" s="1526"/>
      <c r="CE752" s="1061"/>
      <c r="CF752" s="1061"/>
      <c r="CG752" s="1061"/>
      <c r="CH752" s="1061"/>
      <c r="CI752" s="1061"/>
      <c r="CJ752" s="1061"/>
      <c r="CK752" s="1527"/>
      <c r="CL752" s="1575"/>
      <c r="CM752" s="1576">
        <v>-16</v>
      </c>
      <c r="CN752" s="1576"/>
      <c r="CO752" s="1576"/>
      <c r="CP752" s="1576"/>
      <c r="CQ752" s="1576">
        <v>-9</v>
      </c>
      <c r="CR752" s="1576"/>
      <c r="CS752" s="1577"/>
      <c r="CT752" s="1578">
        <v>0.16</v>
      </c>
      <c r="CU752" s="1578">
        <v>0.21</v>
      </c>
      <c r="CV752" s="1578">
        <v>0</v>
      </c>
      <c r="CW752" s="1578">
        <v>0.09</v>
      </c>
      <c r="CX752" s="1578">
        <v>0</v>
      </c>
      <c r="CY752" s="1578">
        <v>0.03</v>
      </c>
      <c r="CZ752" s="1576"/>
      <c r="DA752" s="1577"/>
      <c r="DB752" s="1565">
        <v>-0.12</v>
      </c>
      <c r="DC752" s="1566">
        <v>-0.2</v>
      </c>
      <c r="DD752" s="1579"/>
      <c r="DE752" s="1566">
        <v>-0.23</v>
      </c>
      <c r="DF752" s="1579"/>
      <c r="DG752" s="1566">
        <v>-0.33</v>
      </c>
      <c r="DH752" s="1579"/>
      <c r="DI752" s="1580"/>
      <c r="DJ752" s="1566"/>
      <c r="DK752" s="1566"/>
      <c r="DL752" s="1579"/>
      <c r="DM752" s="1566"/>
      <c r="DN752" s="1579"/>
      <c r="DO752" s="1566"/>
      <c r="DP752" s="1579"/>
      <c r="DQ752" s="1580"/>
      <c r="DR752" s="1566"/>
      <c r="DS752" s="1566"/>
      <c r="DT752" s="1579"/>
      <c r="DU752" s="1566"/>
      <c r="DV752" s="1579"/>
      <c r="DW752" s="1566"/>
      <c r="DX752" s="1579"/>
      <c r="DY752" s="1580"/>
      <c r="DZ752" s="1566"/>
      <c r="EA752" s="1566"/>
      <c r="EB752" s="1579"/>
      <c r="EC752" s="1566"/>
      <c r="ED752" s="1579"/>
      <c r="EE752" s="1566"/>
      <c r="EF752" s="1579"/>
      <c r="EG752" s="1580"/>
      <c r="EH752" s="1566"/>
      <c r="EI752" s="1566"/>
      <c r="EJ752" s="1579"/>
      <c r="EK752" s="1566"/>
      <c r="EL752" s="1579"/>
      <c r="EM752" s="1566"/>
      <c r="EN752" s="1579"/>
      <c r="EO752" s="1580"/>
      <c r="EP752" s="1579"/>
      <c r="EQ752" s="1579"/>
      <c r="ER752" s="1579"/>
      <c r="ES752" s="1579"/>
      <c r="ET752" s="1579"/>
      <c r="EU752" s="1579"/>
      <c r="EV752" s="1579"/>
      <c r="IX752" s="1581"/>
      <c r="IY752" s="1581"/>
      <c r="IZ752" s="1581"/>
      <c r="JA752" s="1581"/>
      <c r="JB752" s="1581"/>
      <c r="JC752" s="1581"/>
      <c r="JD752" s="1582"/>
      <c r="JE752" s="1126"/>
      <c r="JF752" s="1037"/>
      <c r="JG752" s="1037"/>
      <c r="JH752" s="1037"/>
      <c r="JI752" s="1035"/>
      <c r="JJ752" s="1035"/>
      <c r="JK752" s="1035"/>
      <c r="JL752" s="1035"/>
      <c r="JM752" s="1035"/>
      <c r="JN752" s="1035"/>
      <c r="JO752" s="1035"/>
      <c r="JP752" s="1035"/>
      <c r="JQ752" s="1035"/>
      <c r="JR752" s="1035"/>
      <c r="JS752" s="1035"/>
      <c r="JT752" s="1035"/>
      <c r="JU752" s="1035"/>
      <c r="JV752" s="1035"/>
      <c r="JW752" s="1035"/>
      <c r="JX752" s="1035"/>
      <c r="JY752" s="1035"/>
    </row>
    <row r="753" outlineLevel="1" spans="1:285">
      <c r="B753" s="1409"/>
      <c r="C753" s="1409"/>
      <c r="D753" s="1409"/>
      <c r="E753" s="1409"/>
      <c r="F753" s="1409"/>
      <c r="G753" s="1409"/>
      <c r="H753" s="1409"/>
      <c r="I753" s="1409"/>
      <c r="J753" s="1409"/>
      <c r="K753" s="1409"/>
      <c r="L753" s="1409"/>
      <c r="M753" s="1409"/>
      <c r="N753" s="1409"/>
      <c r="O753" s="1409"/>
      <c r="P753" s="1409"/>
      <c r="Q753" s="1409"/>
      <c r="R753" s="1409"/>
      <c r="S753" s="1409"/>
      <c r="T753" s="1409"/>
      <c r="U753" s="1409"/>
      <c r="V753" s="1409"/>
      <c r="W753" s="1409"/>
      <c r="X753" s="1409"/>
      <c r="Y753" s="1409"/>
      <c r="Z753" s="1409"/>
      <c r="AA753" s="1409"/>
      <c r="AB753" s="1409"/>
      <c r="AC753" s="1409"/>
      <c r="AD753" s="1409"/>
      <c r="AE753" s="1409"/>
      <c r="AF753" s="1409"/>
      <c r="AG753" s="1409"/>
      <c r="AH753" s="1409"/>
      <c r="AI753" s="1409"/>
      <c r="AJ753" s="1409"/>
      <c r="AK753" s="1409"/>
      <c r="AL753" s="1409"/>
      <c r="AM753" s="1409"/>
      <c r="AN753" s="1409"/>
      <c r="AO753" s="1409"/>
      <c r="AP753" s="1409"/>
      <c r="AQ753" s="1409"/>
      <c r="AR753" s="1409"/>
      <c r="AS753" s="1409"/>
      <c r="AT753" s="1409"/>
      <c r="AU753" s="1409"/>
      <c r="AV753" s="1409"/>
      <c r="AW753" s="1409"/>
      <c r="AX753" s="1408"/>
      <c r="AY753" s="1409"/>
      <c r="AZ753" s="1409"/>
      <c r="BA753" s="1409"/>
      <c r="BB753" s="1409"/>
      <c r="BC753" s="1409"/>
      <c r="BD753" s="1409"/>
      <c r="BE753" s="1410"/>
      <c r="BF753" s="1409"/>
      <c r="BG753" s="1409"/>
      <c r="BH753" s="1409"/>
      <c r="BI753" s="1409"/>
      <c r="BJ753" s="1409"/>
      <c r="BK753" s="1409"/>
      <c r="BL753" s="1409"/>
      <c r="BM753" s="1409"/>
      <c r="BN753" s="1408"/>
      <c r="BO753" s="1409"/>
      <c r="BP753" s="1409"/>
      <c r="BQ753" s="1409"/>
      <c r="BR753" s="1409"/>
      <c r="BS753" s="1409"/>
      <c r="BT753" s="1409"/>
      <c r="BU753" s="1410"/>
      <c r="BV753" s="1408"/>
      <c r="BW753" s="1409"/>
      <c r="BX753" s="1409"/>
      <c r="BY753" s="1409"/>
      <c r="BZ753" s="1409"/>
      <c r="CA753" s="1409"/>
      <c r="CB753" s="1409"/>
      <c r="CC753" s="1410"/>
      <c r="CD753" s="1408"/>
      <c r="CE753" s="1409"/>
      <c r="CF753" s="1409"/>
      <c r="CG753" s="1409"/>
      <c r="CH753" s="1409"/>
      <c r="CI753" s="1409"/>
      <c r="CJ753" s="1409"/>
      <c r="CK753" s="1410"/>
      <c r="CL753" s="1583">
        <f>CL748/100</f>
        <v>-0.0014</v>
      </c>
      <c r="CM753" s="1584">
        <f>CM748/100</f>
        <v>-0.0013</v>
      </c>
      <c r="CN753" s="1585"/>
      <c r="CO753" s="1584">
        <f>CO748/100</f>
        <v>-0.0014</v>
      </c>
      <c r="CP753" s="1585"/>
      <c r="CQ753" s="1061"/>
      <c r="CR753" s="1585"/>
      <c r="CS753" s="1586"/>
      <c r="CT753" s="1408"/>
      <c r="CU753" s="1409"/>
      <c r="CV753" s="1409"/>
      <c r="CW753" s="1409"/>
      <c r="CX753" s="1409"/>
      <c r="CY753" s="1409"/>
      <c r="CZ753" s="1409"/>
      <c r="DA753" s="1410"/>
      <c r="DB753" s="1411"/>
      <c r="DC753" s="1412"/>
      <c r="DD753" s="1412"/>
      <c r="DE753" s="1412"/>
      <c r="DF753" s="1412"/>
      <c r="DG753" s="1412"/>
      <c r="DH753" s="1412"/>
      <c r="DI753" s="1413"/>
      <c r="DJ753" s="1412"/>
      <c r="DK753" s="1412"/>
      <c r="DL753" s="1412"/>
      <c r="DM753" s="1412"/>
      <c r="DN753" s="1412"/>
      <c r="DO753" s="1412"/>
      <c r="DP753" s="1412"/>
      <c r="DQ753" s="1413"/>
      <c r="DR753" s="1412"/>
      <c r="DS753" s="1412"/>
      <c r="DT753" s="1412"/>
      <c r="DU753" s="1412"/>
      <c r="DV753" s="1412"/>
      <c r="DW753" s="1412"/>
      <c r="DX753" s="1412"/>
      <c r="DY753" s="1413"/>
      <c r="DZ753" s="1412"/>
      <c r="EA753" s="1412"/>
      <c r="EB753" s="1412"/>
      <c r="EC753" s="1412"/>
      <c r="ED753" s="1412"/>
      <c r="EE753" s="1412"/>
      <c r="EF753" s="1412"/>
      <c r="EG753" s="1413"/>
      <c r="EH753" s="1412"/>
      <c r="EI753" s="1412"/>
      <c r="EJ753" s="1412"/>
      <c r="EK753" s="1412"/>
      <c r="EL753" s="1412"/>
      <c r="EM753" s="1412"/>
      <c r="EN753" s="1412"/>
      <c r="EO753" s="1413"/>
      <c r="EP753" s="1412"/>
      <c r="EQ753" s="1412"/>
      <c r="ER753" s="1412"/>
      <c r="ES753" s="1412"/>
      <c r="ET753" s="1412"/>
      <c r="EU753" s="1412"/>
      <c r="EV753" s="1412"/>
      <c r="IX753" s="1414"/>
      <c r="IY753" s="1414"/>
      <c r="IZ753" s="1414"/>
      <c r="JA753" s="1414"/>
      <c r="JB753" s="1414"/>
      <c r="JC753" s="1414"/>
      <c r="JD753" s="1518"/>
      <c r="JE753" s="1126"/>
      <c r="JF753" s="1037"/>
      <c r="JG753" s="1037"/>
      <c r="JH753" s="1037"/>
      <c r="JI753" s="1035"/>
      <c r="JJ753" s="1035"/>
      <c r="JK753" s="1035"/>
      <c r="JL753" s="1035"/>
      <c r="JM753" s="1035"/>
      <c r="JN753" s="1035"/>
      <c r="JO753" s="1035"/>
      <c r="JP753" s="1035"/>
      <c r="JQ753" s="1035"/>
      <c r="JR753" s="1035"/>
      <c r="JS753" s="1035"/>
      <c r="JT753" s="1035"/>
      <c r="JU753" s="1035"/>
      <c r="JV753" s="1035"/>
      <c r="JW753" s="1035"/>
      <c r="JX753" s="1035"/>
      <c r="JY753" s="1035"/>
    </row>
    <row r="754" spans="1:285">
      <c r="A754" s="969" t="s">
        <v>629</v>
      </c>
      <c r="B754" s="1409"/>
      <c r="C754" s="1409"/>
      <c r="D754" s="1409"/>
      <c r="E754" s="1409"/>
      <c r="F754" s="1409"/>
      <c r="G754" s="1409"/>
      <c r="H754" s="1409"/>
      <c r="I754" s="1409"/>
      <c r="J754" s="1409"/>
      <c r="K754" s="1409"/>
      <c r="L754" s="1409"/>
      <c r="M754" s="1409"/>
      <c r="N754" s="1409"/>
      <c r="O754" s="1409"/>
      <c r="P754" s="1409"/>
      <c r="Q754" s="1409"/>
      <c r="R754" s="1409"/>
      <c r="S754" s="1409"/>
      <c r="T754" s="1409"/>
      <c r="U754" s="1409"/>
      <c r="V754" s="1409"/>
      <c r="W754" s="1409"/>
      <c r="X754" s="1409"/>
      <c r="Y754" s="1409"/>
      <c r="Z754" s="1409"/>
      <c r="AA754" s="1409"/>
      <c r="AB754" s="1409"/>
      <c r="AC754" s="1409"/>
      <c r="AD754" s="1409"/>
      <c r="AE754" s="1409"/>
      <c r="AF754" s="1409"/>
      <c r="AG754" s="1409"/>
      <c r="AH754" s="1409"/>
      <c r="AI754" s="1409"/>
      <c r="AJ754" s="1409"/>
      <c r="AK754" s="1409"/>
      <c r="AL754" s="1409"/>
      <c r="AM754" s="1409"/>
      <c r="AN754" s="1409"/>
      <c r="AO754" s="1409"/>
      <c r="AP754" s="1409"/>
      <c r="AQ754" s="1409"/>
      <c r="AR754" s="1409"/>
      <c r="AS754" s="1409"/>
      <c r="AT754" s="1409"/>
      <c r="AU754" s="1409"/>
      <c r="AV754" s="1409"/>
      <c r="AW754" s="1409"/>
      <c r="AX754" s="1408"/>
      <c r="AY754" s="1409"/>
      <c r="AZ754" s="1409"/>
      <c r="BA754" s="1409"/>
      <c r="BB754" s="1409"/>
      <c r="BC754" s="1409"/>
      <c r="BD754" s="1409"/>
      <c r="BE754" s="1410"/>
      <c r="BF754" s="1409"/>
      <c r="BG754" s="1409"/>
      <c r="BH754" s="1409"/>
      <c r="BI754" s="1409"/>
      <c r="BJ754" s="1409"/>
      <c r="BK754" s="1409"/>
      <c r="BL754" s="1409"/>
      <c r="BM754" s="1409"/>
      <c r="BN754" s="1408"/>
      <c r="BO754" s="1409"/>
      <c r="BP754" s="1409"/>
      <c r="BQ754" s="1409"/>
      <c r="BR754" s="1409"/>
      <c r="BS754" s="1409"/>
      <c r="BT754" s="1409"/>
      <c r="BU754" s="1410"/>
      <c r="BV754" s="1408"/>
      <c r="BW754" s="1409"/>
      <c r="BX754" s="1409"/>
      <c r="BY754" s="1409"/>
      <c r="BZ754" s="1409"/>
      <c r="CA754" s="1409"/>
      <c r="CB754" s="1409"/>
      <c r="CC754" s="1410"/>
      <c r="CD754" s="1408"/>
      <c r="CE754" s="1409"/>
      <c r="CF754" s="1409"/>
      <c r="CG754" s="1409"/>
      <c r="CH754" s="1409"/>
      <c r="CI754" s="1409"/>
      <c r="CJ754" s="1409"/>
      <c r="CK754" s="1410"/>
      <c r="CL754" s="1583"/>
      <c r="CM754" s="1584"/>
      <c r="CN754" s="1585"/>
      <c r="CO754" s="1584"/>
      <c r="CP754" s="1585"/>
      <c r="CQ754" s="1061"/>
      <c r="CR754" s="1585"/>
      <c r="CS754" s="1586"/>
      <c r="CT754" s="1408"/>
      <c r="CU754" s="1409"/>
      <c r="CV754" s="1409"/>
      <c r="CW754" s="1409"/>
      <c r="CX754" s="1409"/>
      <c r="CY754" s="1409"/>
      <c r="CZ754" s="1409"/>
      <c r="DA754" s="1410"/>
      <c r="DB754" s="1411"/>
      <c r="DC754" s="1412"/>
      <c r="DD754" s="1412"/>
      <c r="DE754" s="1412"/>
      <c r="DF754" s="1412"/>
      <c r="DG754" s="1412"/>
      <c r="DH754" s="1412"/>
      <c r="DI754" s="1413"/>
      <c r="DJ754" s="1412"/>
      <c r="DK754" s="1412"/>
      <c r="DL754" s="1412"/>
      <c r="DM754" s="1412"/>
      <c r="DN754" s="1412"/>
      <c r="DO754" s="1412"/>
      <c r="DP754" s="1412"/>
      <c r="DQ754" s="1413"/>
      <c r="DR754" s="1412"/>
      <c r="DS754" s="1412"/>
      <c r="DT754" s="1412"/>
      <c r="DU754" s="1412"/>
      <c r="DV754" s="1412"/>
      <c r="DW754" s="1412"/>
      <c r="DX754" s="1412"/>
      <c r="DY754" s="1413"/>
      <c r="DZ754" s="1412"/>
      <c r="EA754" s="1412"/>
      <c r="EB754" s="1412"/>
      <c r="EC754" s="1412"/>
      <c r="ED754" s="1412"/>
      <c r="EE754" s="1412"/>
      <c r="EF754" s="1412"/>
      <c r="EG754" s="1413"/>
      <c r="EH754" s="1412"/>
      <c r="EI754" s="1412"/>
      <c r="EJ754" s="1412"/>
      <c r="EK754" s="1412"/>
      <c r="EL754" s="1412"/>
      <c r="EM754" s="1412"/>
      <c r="EN754" s="1412"/>
      <c r="EO754" s="1413"/>
      <c r="EP754" s="1412"/>
      <c r="EQ754" s="1412"/>
      <c r="ER754" s="1412"/>
      <c r="ES754" s="1412"/>
      <c r="ET754" s="1412"/>
      <c r="EU754" s="1412"/>
      <c r="EV754" s="1412"/>
      <c r="IX754" s="1414"/>
      <c r="IY754" s="1414"/>
      <c r="IZ754" s="1414"/>
      <c r="JA754" s="1414"/>
      <c r="JB754" s="1414"/>
      <c r="JC754" s="1414"/>
      <c r="JD754" s="1518"/>
      <c r="JE754" s="1126"/>
      <c r="JF754" s="1037"/>
      <c r="JG754" s="1037"/>
      <c r="JH754" s="1037"/>
      <c r="JI754" s="1035"/>
      <c r="JJ754" s="1035"/>
      <c r="JK754" s="1035"/>
      <c r="JL754" s="1035"/>
      <c r="JM754" s="1035"/>
      <c r="JN754" s="1035"/>
      <c r="JO754" s="1035"/>
      <c r="JP754" s="1035"/>
      <c r="JQ754" s="1035"/>
      <c r="JR754" s="1035"/>
      <c r="JS754" s="1035"/>
      <c r="JT754" s="1035"/>
      <c r="JU754" s="1035"/>
      <c r="JV754" s="1035"/>
      <c r="JW754" s="1035"/>
      <c r="JX754" s="1035"/>
      <c r="JY754" s="1035"/>
    </row>
    <row r="755" spans="1:285">
      <c r="B755" s="1409"/>
      <c r="C755" s="1409"/>
      <c r="D755" s="1409"/>
      <c r="E755" s="1409"/>
      <c r="F755" s="1409"/>
      <c r="G755" s="1409"/>
      <c r="H755" s="1409"/>
      <c r="I755" s="1409"/>
      <c r="J755" s="1409"/>
      <c r="K755" s="1409"/>
      <c r="L755" s="1409"/>
      <c r="M755" s="1409"/>
      <c r="N755" s="1409"/>
      <c r="O755" s="1409"/>
      <c r="P755" s="1409"/>
      <c r="Q755" s="1409"/>
      <c r="R755" s="1409"/>
      <c r="S755" s="1409"/>
      <c r="T755" s="1409"/>
      <c r="U755" s="1409"/>
      <c r="V755" s="1409"/>
      <c r="W755" s="1409"/>
      <c r="X755" s="1409"/>
      <c r="Y755" s="1409"/>
      <c r="Z755" s="1409"/>
      <c r="AA755" s="1409"/>
      <c r="AB755" s="1409"/>
      <c r="AC755" s="1409"/>
      <c r="AD755" s="1409"/>
      <c r="AE755" s="1409"/>
      <c r="AF755" s="1409"/>
      <c r="AG755" s="1409"/>
      <c r="AH755" s="1409"/>
      <c r="AI755" s="1409"/>
      <c r="AJ755" s="1409"/>
      <c r="AK755" s="1409"/>
      <c r="AL755" s="1409"/>
      <c r="AM755" s="1409"/>
      <c r="AN755" s="1409"/>
      <c r="AO755" s="1409"/>
      <c r="AP755" s="1409"/>
      <c r="AQ755" s="1409"/>
      <c r="AR755" s="1409"/>
      <c r="AS755" s="1409"/>
      <c r="AT755" s="1409"/>
      <c r="AU755" s="1409"/>
      <c r="AV755" s="1409"/>
      <c r="AW755" s="1409"/>
      <c r="AX755" s="1408"/>
      <c r="AY755" s="1409"/>
      <c r="AZ755" s="1409"/>
      <c r="BA755" s="1409"/>
      <c r="BB755" s="1409"/>
      <c r="BC755" s="1409"/>
      <c r="BD755" s="1409"/>
      <c r="BE755" s="1410"/>
      <c r="BF755" s="1409"/>
      <c r="BG755" s="1409"/>
      <c r="BH755" s="1409"/>
      <c r="BI755" s="1409"/>
      <c r="BJ755" s="1409"/>
      <c r="BK755" s="1409"/>
      <c r="BL755" s="1409"/>
      <c r="BM755" s="1409"/>
      <c r="BN755" s="1408"/>
      <c r="BO755" s="1409"/>
      <c r="BP755" s="1409"/>
      <c r="BQ755" s="1409"/>
      <c r="BR755" s="1409"/>
      <c r="BS755" s="1409"/>
      <c r="BT755" s="1409"/>
      <c r="BU755" s="1410"/>
      <c r="BV755" s="1408"/>
      <c r="BW755" s="1409"/>
      <c r="BX755" s="1409"/>
      <c r="BY755" s="1409"/>
      <c r="BZ755" s="1409"/>
      <c r="CA755" s="1409"/>
      <c r="CB755" s="1409"/>
      <c r="CC755" s="1410"/>
      <c r="CD755" s="1408"/>
      <c r="CE755" s="1409"/>
      <c r="CF755" s="1409"/>
      <c r="CG755" s="1409"/>
      <c r="CH755" s="1409"/>
      <c r="CI755" s="1409"/>
      <c r="CJ755" s="1409"/>
      <c r="CK755" s="1410"/>
      <c r="CL755" s="1583"/>
      <c r="CM755" s="1584"/>
      <c r="CN755" s="1585"/>
      <c r="CO755" s="1584"/>
      <c r="CP755" s="1585"/>
      <c r="CQ755" s="1061"/>
      <c r="CR755" s="1585"/>
      <c r="CS755" s="1586"/>
      <c r="CT755" s="1408"/>
      <c r="CU755" s="1409"/>
      <c r="CV755" s="1409"/>
      <c r="CW755" s="1409"/>
      <c r="CX755" s="1409"/>
      <c r="CY755" s="1409"/>
      <c r="CZ755" s="1409"/>
      <c r="DA755" s="1410"/>
      <c r="DB755" s="1411"/>
      <c r="DC755" s="1412"/>
      <c r="DD755" s="1412"/>
      <c r="DE755" s="1412"/>
      <c r="DF755" s="1412"/>
      <c r="DG755" s="1412"/>
      <c r="DH755" s="1412"/>
      <c r="DI755" s="1413"/>
      <c r="DJ755" s="1412"/>
      <c r="DK755" s="1412"/>
      <c r="DL755" s="1412"/>
      <c r="DM755" s="1412"/>
      <c r="DN755" s="1412"/>
      <c r="DO755" s="1412"/>
      <c r="DP755" s="1412"/>
      <c r="DQ755" s="1413"/>
      <c r="DR755" s="1412"/>
      <c r="DS755" s="1412"/>
      <c r="DT755" s="1412"/>
      <c r="DU755" s="1412"/>
      <c r="DV755" s="1412"/>
      <c r="DW755" s="1412"/>
      <c r="DX755" s="1412"/>
      <c r="DY755" s="1413"/>
      <c r="DZ755" s="1412"/>
      <c r="EA755" s="1412"/>
      <c r="EB755" s="1412"/>
      <c r="EC755" s="1412"/>
      <c r="ED755" s="1412"/>
      <c r="EE755" s="1412"/>
      <c r="EF755" s="1412"/>
      <c r="EG755" s="1413"/>
      <c r="EH755" s="1412"/>
      <c r="EI755" s="1412"/>
      <c r="EJ755" s="1412"/>
      <c r="EK755" s="1412"/>
      <c r="EL755" s="1412"/>
      <c r="EM755" s="1412"/>
      <c r="EN755" s="1412"/>
      <c r="EO755" s="1413"/>
      <c r="EP755" s="1412"/>
      <c r="EQ755" s="1412"/>
      <c r="ER755" s="1412"/>
      <c r="ES755" s="1412"/>
      <c r="ET755" s="1412"/>
      <c r="EU755" s="1412"/>
      <c r="EV755" s="1412"/>
      <c r="IX755" s="1414"/>
      <c r="IY755" s="1414"/>
      <c r="IZ755" s="1414"/>
      <c r="JA755" s="1414"/>
      <c r="JB755" s="1414"/>
      <c r="JC755" s="1414"/>
      <c r="JD755" s="1518"/>
      <c r="JE755" s="1126"/>
      <c r="JF755" s="1037"/>
      <c r="JG755" s="1037"/>
      <c r="JH755" s="1037"/>
      <c r="JI755" s="1035"/>
      <c r="JJ755" s="1035"/>
      <c r="JK755" s="1035"/>
      <c r="JL755" s="1035"/>
      <c r="JM755" s="1035"/>
      <c r="JN755" s="1035"/>
      <c r="JO755" s="1035"/>
      <c r="JP755" s="1035"/>
      <c r="JQ755" s="1035"/>
      <c r="JR755" s="1035"/>
      <c r="JS755" s="1035"/>
      <c r="JT755" s="1035"/>
      <c r="JU755" s="1035"/>
      <c r="JV755" s="1035"/>
      <c r="JW755" s="1035"/>
      <c r="JX755" s="1035"/>
      <c r="JY755" s="1035"/>
    </row>
    <row r="756" spans="1:285">
      <c r="A756" s="1051" t="s">
        <v>664</v>
      </c>
      <c r="B756" s="1482"/>
      <c r="C756" s="1482"/>
      <c r="D756" s="1482"/>
      <c r="E756" s="1482"/>
      <c r="F756" s="1482"/>
      <c r="G756" s="1482"/>
      <c r="H756" s="1482"/>
      <c r="I756" s="1482"/>
      <c r="J756" s="1482"/>
      <c r="K756" s="1482"/>
      <c r="L756" s="1482"/>
      <c r="M756" s="1482"/>
      <c r="N756" s="1482"/>
      <c r="O756" s="1482"/>
      <c r="P756" s="1482"/>
      <c r="Q756" s="1482"/>
      <c r="R756" s="1482"/>
      <c r="S756" s="1482"/>
      <c r="T756" s="1482"/>
      <c r="U756" s="1482"/>
      <c r="V756" s="1482"/>
      <c r="W756" s="1482"/>
      <c r="X756" s="1482"/>
      <c r="Y756" s="1482"/>
      <c r="Z756" s="1482"/>
      <c r="AA756" s="1482"/>
      <c r="AB756" s="1482"/>
      <c r="AC756" s="1482"/>
      <c r="AD756" s="1482"/>
      <c r="AE756" s="1482"/>
      <c r="AF756" s="1482"/>
      <c r="AG756" s="1482"/>
      <c r="AH756" s="1482"/>
      <c r="AI756" s="1482"/>
      <c r="AJ756" s="1482"/>
      <c r="AK756" s="1482"/>
      <c r="AL756" s="1482"/>
      <c r="AM756" s="1482"/>
      <c r="AN756" s="1482"/>
      <c r="AO756" s="1482"/>
      <c r="AP756" s="1482"/>
      <c r="AQ756" s="1482"/>
      <c r="AR756" s="1482"/>
      <c r="AS756" s="1482"/>
      <c r="AT756" s="1482"/>
      <c r="AU756" s="1482"/>
      <c r="AV756" s="1482"/>
      <c r="AW756" s="1482"/>
      <c r="AX756" s="1483"/>
      <c r="AY756" s="1482"/>
      <c r="AZ756" s="1482"/>
      <c r="BA756" s="1482"/>
      <c r="BB756" s="1482"/>
      <c r="BC756" s="1482"/>
      <c r="BD756" s="1482"/>
      <c r="BE756" s="1484"/>
      <c r="BF756" s="1482"/>
      <c r="BG756" s="1482"/>
      <c r="BH756" s="1482"/>
      <c r="BI756" s="1482"/>
      <c r="BJ756" s="1482"/>
      <c r="BK756" s="1482"/>
      <c r="BL756" s="1482"/>
      <c r="BM756" s="1482"/>
      <c r="BN756" s="1483"/>
      <c r="BO756" s="1482"/>
      <c r="BP756" s="1482"/>
      <c r="BQ756" s="1482"/>
      <c r="BR756" s="1482"/>
      <c r="BS756" s="1482"/>
      <c r="BT756" s="1482"/>
      <c r="BU756" s="1484"/>
      <c r="BV756" s="1483" t="s">
        <v>321</v>
      </c>
      <c r="BW756" s="1482" t="s">
        <v>322</v>
      </c>
      <c r="BX756" s="1482" t="s">
        <v>323</v>
      </c>
      <c r="BY756" s="1482" t="s">
        <v>324</v>
      </c>
      <c r="BZ756" s="1482" t="s">
        <v>325</v>
      </c>
      <c r="CA756" s="1482" t="s">
        <v>326</v>
      </c>
      <c r="CB756" s="1482" t="s">
        <v>327</v>
      </c>
      <c r="CC756" s="1484" t="s">
        <v>23</v>
      </c>
      <c r="CD756" s="1483" t="s">
        <v>328</v>
      </c>
      <c r="CE756" s="1482" t="s">
        <v>329</v>
      </c>
      <c r="CF756" s="1482" t="s">
        <v>330</v>
      </c>
      <c r="CG756" s="1482" t="s">
        <v>331</v>
      </c>
      <c r="CH756" s="1482" t="s">
        <v>332</v>
      </c>
      <c r="CI756" s="1482" t="s">
        <v>333</v>
      </c>
      <c r="CJ756" s="1482" t="s">
        <v>334</v>
      </c>
      <c r="CK756" s="1484" t="s">
        <v>24</v>
      </c>
      <c r="CL756" s="1483" t="s">
        <v>335</v>
      </c>
      <c r="CM756" s="1482" t="s">
        <v>336</v>
      </c>
      <c r="CN756" s="1482" t="s">
        <v>337</v>
      </c>
      <c r="CO756" s="1482" t="s">
        <v>338</v>
      </c>
      <c r="CP756" s="1482" t="str">
        <f t="shared" ref="CP756:DU756" si="4512">CP2</f>
        <v>9M 06</v>
      </c>
      <c r="CQ756" s="1482" t="str">
        <f t="shared" si="4512"/>
        <v>Q4 06</v>
      </c>
      <c r="CR756" s="1482" t="str">
        <f t="shared" si="4512"/>
        <v>H2 06</v>
      </c>
      <c r="CS756" s="1484" t="str">
        <f t="shared" si="4512"/>
        <v>FY 06</v>
      </c>
      <c r="CT756" s="1483" t="str">
        <f t="shared" si="4512"/>
        <v>Q1 07</v>
      </c>
      <c r="CU756" s="1482" t="str">
        <f t="shared" si="4512"/>
        <v>Q2 07</v>
      </c>
      <c r="CV756" s="1482" t="str">
        <f t="shared" si="4512"/>
        <v>H1 07</v>
      </c>
      <c r="CW756" s="1482" t="str">
        <f t="shared" si="4512"/>
        <v>Q3 07</v>
      </c>
      <c r="CX756" s="1482" t="str">
        <f t="shared" si="4512"/>
        <v>9M 07</v>
      </c>
      <c r="CY756" s="1482" t="str">
        <f t="shared" si="4512"/>
        <v>Q4 07</v>
      </c>
      <c r="CZ756" s="1482" t="str">
        <f t="shared" si="4512"/>
        <v>H2 07</v>
      </c>
      <c r="DA756" s="1484" t="str">
        <f t="shared" si="4512"/>
        <v>FY 07</v>
      </c>
      <c r="DB756" s="1485" t="str">
        <f t="shared" si="4512"/>
        <v>Q1 08</v>
      </c>
      <c r="DC756" s="1486" t="str">
        <f t="shared" si="4512"/>
        <v>Q2 08</v>
      </c>
      <c r="DD756" s="1486" t="str">
        <f t="shared" si="4512"/>
        <v>H1 08</v>
      </c>
      <c r="DE756" s="1486" t="str">
        <f t="shared" si="4512"/>
        <v>Q3 08</v>
      </c>
      <c r="DF756" s="1486" t="str">
        <f t="shared" si="4512"/>
        <v>9M 08</v>
      </c>
      <c r="DG756" s="1486" t="str">
        <f t="shared" si="4512"/>
        <v>Q4 08</v>
      </c>
      <c r="DH756" s="1486" t="str">
        <f t="shared" si="4512"/>
        <v>H2 08</v>
      </c>
      <c r="DI756" s="1487" t="str">
        <f t="shared" si="4512"/>
        <v>FY 08</v>
      </c>
      <c r="DJ756" s="1486" t="str">
        <f t="shared" si="4512"/>
        <v>Q1 09</v>
      </c>
      <c r="DK756" s="1486" t="str">
        <f t="shared" si="4512"/>
        <v>Q2 09</v>
      </c>
      <c r="DL756" s="1486" t="str">
        <f t="shared" si="4512"/>
        <v>H1 09</v>
      </c>
      <c r="DM756" s="1486" t="str">
        <f t="shared" si="4512"/>
        <v>Q3 09</v>
      </c>
      <c r="DN756" s="1486" t="str">
        <f t="shared" si="4512"/>
        <v>9M 09</v>
      </c>
      <c r="DO756" s="1486" t="str">
        <f t="shared" si="4512"/>
        <v>Q4 09</v>
      </c>
      <c r="DP756" s="1486" t="str">
        <f t="shared" si="4512"/>
        <v>H2 09</v>
      </c>
      <c r="DQ756" s="1487" t="str">
        <f t="shared" si="4512"/>
        <v>FY 09</v>
      </c>
      <c r="DR756" s="1486" t="str">
        <f t="shared" si="4512"/>
        <v>Q1 10</v>
      </c>
      <c r="DS756" s="1486" t="str">
        <f t="shared" si="4512"/>
        <v>Q2 10</v>
      </c>
      <c r="DT756" s="1486" t="str">
        <f t="shared" si="4512"/>
        <v>H1 10</v>
      </c>
      <c r="DU756" s="1486" t="str">
        <f t="shared" si="4512"/>
        <v>Q3 10</v>
      </c>
      <c r="DV756" s="1486" t="str">
        <f t="shared" ref="DV756:EO756" si="4513">DV2</f>
        <v>9M 10</v>
      </c>
      <c r="DW756" s="1486" t="str">
        <f t="shared" si="4513"/>
        <v>Q4 10</v>
      </c>
      <c r="DX756" s="1486" t="str">
        <f t="shared" si="4513"/>
        <v>H2 10</v>
      </c>
      <c r="DY756" s="1487" t="str">
        <f t="shared" si="4513"/>
        <v>FY 10</v>
      </c>
      <c r="DZ756" s="1486" t="str">
        <f t="shared" si="4513"/>
        <v>Q1 11</v>
      </c>
      <c r="EA756" s="1486" t="str">
        <f t="shared" si="4513"/>
        <v>Q2 11</v>
      </c>
      <c r="EB756" s="1486" t="str">
        <f t="shared" si="4513"/>
        <v>H1 11</v>
      </c>
      <c r="EC756" s="1486" t="str">
        <f t="shared" si="4513"/>
        <v>Q3 11</v>
      </c>
      <c r="ED756" s="1486" t="str">
        <f t="shared" si="4513"/>
        <v>9M 11</v>
      </c>
      <c r="EE756" s="1486" t="str">
        <f t="shared" si="4513"/>
        <v>Q4 11</v>
      </c>
      <c r="EF756" s="1486" t="str">
        <f t="shared" si="4513"/>
        <v>H2 11</v>
      </c>
      <c r="EG756" s="1487" t="str">
        <f t="shared" si="4513"/>
        <v>FY 11</v>
      </c>
      <c r="EH756" s="1486" t="str">
        <f t="shared" si="4513"/>
        <v>Q1 12</v>
      </c>
      <c r="EI756" s="1486" t="str">
        <f t="shared" si="4513"/>
        <v>Q2 12</v>
      </c>
      <c r="EJ756" s="1486" t="str">
        <f t="shared" si="4513"/>
        <v>H1 12</v>
      </c>
      <c r="EK756" s="1486" t="str">
        <f t="shared" si="4513"/>
        <v>Q3 12</v>
      </c>
      <c r="EL756" s="1486" t="str">
        <f t="shared" si="4513"/>
        <v>9M 12</v>
      </c>
      <c r="EM756" s="1486" t="str">
        <f t="shared" si="4513"/>
        <v>Q4 12</v>
      </c>
      <c r="EN756" s="1486" t="str">
        <f t="shared" si="4513"/>
        <v>H2 12</v>
      </c>
      <c r="EO756" s="1487" t="str">
        <f t="shared" si="4513"/>
        <v>FY 12</v>
      </c>
      <c r="EP756" s="1486"/>
      <c r="EQ756" s="1486"/>
      <c r="ER756" s="1486"/>
      <c r="ES756" s="1486"/>
      <c r="ET756" s="1486"/>
      <c r="EU756" s="1486"/>
      <c r="EV756" s="1486"/>
      <c r="IX756" s="1523"/>
      <c r="IY756" s="1523"/>
      <c r="IZ756" s="1523"/>
      <c r="JA756" s="1523"/>
      <c r="JB756" s="1523"/>
      <c r="JC756" s="1523"/>
      <c r="JD756" s="1522"/>
      <c r="JE756" s="1126"/>
      <c r="JF756" s="1037"/>
      <c r="JG756" s="1037"/>
      <c r="JH756" s="1037"/>
      <c r="JI756" s="1035"/>
      <c r="JJ756" s="1035"/>
      <c r="JK756" s="1035"/>
      <c r="JL756" s="1035"/>
      <c r="JM756" s="1035"/>
      <c r="JN756" s="1035"/>
      <c r="JO756" s="1035"/>
      <c r="JP756" s="1035"/>
      <c r="JQ756" s="1035"/>
      <c r="JR756" s="1035"/>
      <c r="JS756" s="1035"/>
      <c r="JT756" s="1035"/>
      <c r="JU756" s="1035"/>
      <c r="JV756" s="1035"/>
      <c r="JW756" s="1035"/>
      <c r="JX756" s="1035"/>
      <c r="JY756" s="1035"/>
    </row>
    <row r="757" spans="1:285">
      <c r="A757" s="1306" t="s">
        <v>209</v>
      </c>
      <c r="B757" s="1307"/>
      <c r="C757" s="1307"/>
      <c r="D757" s="1307"/>
      <c r="E757" s="1307"/>
      <c r="F757" s="1307"/>
      <c r="G757" s="1307"/>
      <c r="H757" s="1307"/>
      <c r="I757" s="1307"/>
      <c r="J757" s="1307"/>
      <c r="K757" s="1307"/>
      <c r="L757" s="1307"/>
      <c r="M757" s="1307"/>
      <c r="N757" s="1307"/>
      <c r="O757" s="1307"/>
      <c r="P757" s="1307"/>
      <c r="Q757" s="1307"/>
      <c r="R757" s="1307"/>
      <c r="S757" s="1307"/>
      <c r="T757" s="1307"/>
      <c r="U757" s="1307"/>
      <c r="V757" s="1307"/>
      <c r="W757" s="1307"/>
      <c r="X757" s="1307"/>
      <c r="Y757" s="1307"/>
      <c r="Z757" s="1307"/>
      <c r="AA757" s="1307"/>
      <c r="AB757" s="1307"/>
      <c r="AC757" s="1307"/>
      <c r="AD757" s="1307"/>
      <c r="AE757" s="1307"/>
      <c r="AF757" s="1307"/>
      <c r="AG757" s="1307"/>
      <c r="AH757" s="1307"/>
      <c r="AI757" s="1307"/>
      <c r="AJ757" s="1307"/>
      <c r="AK757" s="1307"/>
      <c r="AL757" s="1307"/>
      <c r="AM757" s="1307"/>
      <c r="AN757" s="1307"/>
      <c r="AO757" s="1307"/>
      <c r="AP757" s="1307"/>
      <c r="AQ757" s="1307"/>
      <c r="AR757" s="1307"/>
      <c r="AS757" s="1307"/>
      <c r="AT757" s="1307"/>
      <c r="AU757" s="1307"/>
      <c r="AV757" s="1307"/>
      <c r="AW757" s="1307"/>
      <c r="AX757" s="1308"/>
      <c r="AY757" s="1307"/>
      <c r="AZ757" s="1307"/>
      <c r="BA757" s="1307"/>
      <c r="BB757" s="1307"/>
      <c r="BC757" s="1307"/>
      <c r="BD757" s="1307"/>
      <c r="BE757" s="1309"/>
      <c r="BF757" s="1307"/>
      <c r="BG757" s="1307"/>
      <c r="BH757" s="1307"/>
      <c r="BI757" s="1307"/>
      <c r="BJ757" s="1307"/>
      <c r="BK757" s="1307"/>
      <c r="BL757" s="1307"/>
      <c r="BM757" s="1307"/>
      <c r="BN757" s="1308"/>
      <c r="BO757" s="1307"/>
      <c r="BP757" s="1307"/>
      <c r="BQ757" s="1307"/>
      <c r="BR757" s="1307"/>
      <c r="BS757" s="1307"/>
      <c r="BT757" s="1307"/>
      <c r="BU757" s="1309"/>
      <c r="BV757" s="1308">
        <v>16</v>
      </c>
      <c r="BW757" s="1307">
        <f>BX757-BV757</f>
        <v>31</v>
      </c>
      <c r="BX757" s="1307">
        <v>47</v>
      </c>
      <c r="BY757" s="1307">
        <f>BZ757-BX757</f>
        <v>24</v>
      </c>
      <c r="BZ757" s="1307">
        <v>71</v>
      </c>
      <c r="CA757" s="1307">
        <f>CC757-BZ757</f>
        <v>25</v>
      </c>
      <c r="CB757" s="1307">
        <f>CA757+BY757</f>
        <v>49</v>
      </c>
      <c r="CC757" s="1309">
        <v>96</v>
      </c>
      <c r="CD757" s="1308">
        <v>27</v>
      </c>
      <c r="CE757" s="1307">
        <f>CF757-CD757</f>
        <v>26</v>
      </c>
      <c r="CF757" s="1307">
        <v>53</v>
      </c>
      <c r="CG757" s="1307">
        <f>CH757-CF757</f>
        <v>24</v>
      </c>
      <c r="CH757" s="1307">
        <v>77</v>
      </c>
      <c r="CI757" s="1307">
        <f>CK757-CH757</f>
        <v>25</v>
      </c>
      <c r="CJ757" s="1307">
        <f>CI757+CG757</f>
        <v>49</v>
      </c>
      <c r="CK757" s="1309">
        <v>102</v>
      </c>
      <c r="CL757" s="1308">
        <v>23</v>
      </c>
      <c r="CM757" s="1307">
        <f>CN757-CL757</f>
        <v>27</v>
      </c>
      <c r="CN757" s="1307">
        <v>50</v>
      </c>
      <c r="CO757" s="1307">
        <v>24.24</v>
      </c>
      <c r="CP757" s="1307">
        <v>74.24</v>
      </c>
      <c r="CQ757" s="1307">
        <f>CS757-CP757</f>
        <v>17.76</v>
      </c>
      <c r="CR757" s="1307">
        <f>CS757-CN757</f>
        <v>42</v>
      </c>
      <c r="CS757" s="1309">
        <v>92</v>
      </c>
      <c r="CT757" s="1308">
        <v>24</v>
      </c>
      <c r="CU757" s="1307">
        <f>+CV757-CT757</f>
        <v>30</v>
      </c>
      <c r="CV757" s="1307">
        <v>54</v>
      </c>
      <c r="CW757" s="1307">
        <f>CX757-CV757</f>
        <v>22</v>
      </c>
      <c r="CX757" s="1307">
        <v>76</v>
      </c>
      <c r="CY757" s="1307">
        <f>DA757-CX757</f>
        <v>19</v>
      </c>
      <c r="CZ757" s="1307">
        <f>CY757+CW757</f>
        <v>41</v>
      </c>
      <c r="DA757" s="1309">
        <v>95</v>
      </c>
      <c r="DB757" s="1332">
        <v>32</v>
      </c>
      <c r="DC757" s="1311">
        <f>DD757-DB757</f>
        <v>30</v>
      </c>
      <c r="DD757" s="1311">
        <v>62</v>
      </c>
      <c r="DE757" s="1311">
        <f>DF757-DD757</f>
        <v>18</v>
      </c>
      <c r="DF757" s="1311">
        <v>80</v>
      </c>
      <c r="DG757" s="1311">
        <f>DH757-DE757</f>
        <v>15</v>
      </c>
      <c r="DH757" s="1311">
        <f>DI757-DD757</f>
        <v>33</v>
      </c>
      <c r="DI757" s="1312">
        <v>95</v>
      </c>
      <c r="DJ757" s="1311">
        <v>30</v>
      </c>
      <c r="DK757" s="1311">
        <f>DC757*(1+DK758)</f>
        <v>33</v>
      </c>
      <c r="DL757" s="1311">
        <f>DK757+DJ757</f>
        <v>63</v>
      </c>
      <c r="DM757" s="1311">
        <f>DN757-DL757</f>
        <v>23</v>
      </c>
      <c r="DN757" s="1311">
        <v>86</v>
      </c>
      <c r="DO757" s="1311">
        <v>0</v>
      </c>
      <c r="DP757" s="1311">
        <f>DO757+DM757</f>
        <v>23</v>
      </c>
      <c r="DQ757" s="1312">
        <f>DP757+DL757</f>
        <v>86</v>
      </c>
      <c r="DR757" s="1311"/>
      <c r="DS757" s="1311"/>
      <c r="DT757" s="1311"/>
      <c r="DU757" s="1311"/>
      <c r="DV757" s="1311"/>
      <c r="DW757" s="1311"/>
      <c r="DX757" s="1311"/>
      <c r="DY757" s="1312"/>
      <c r="DZ757" s="1311"/>
      <c r="EA757" s="1311"/>
      <c r="EB757" s="1311"/>
      <c r="EC757" s="1311"/>
      <c r="ED757" s="1311"/>
      <c r="EE757" s="1311"/>
      <c r="EF757" s="1311"/>
      <c r="EG757" s="1312"/>
      <c r="EH757" s="1311"/>
      <c r="EI757" s="1311"/>
      <c r="EJ757" s="1311"/>
      <c r="EK757" s="1311"/>
      <c r="EL757" s="1311"/>
      <c r="EM757" s="1311"/>
      <c r="EN757" s="1311"/>
      <c r="EO757" s="1312"/>
      <c r="EP757" s="1311"/>
      <c r="EQ757" s="1311"/>
      <c r="ER757" s="1311"/>
      <c r="ES757" s="1311"/>
      <c r="ET757" s="1311"/>
      <c r="EU757" s="1311"/>
      <c r="EV757" s="1311"/>
      <c r="IX757" s="1354"/>
      <c r="IY757" s="1354"/>
      <c r="IZ757" s="1354"/>
      <c r="JA757" s="1354"/>
      <c r="JB757" s="1354"/>
      <c r="JC757" s="1354"/>
      <c r="JD757" s="1518"/>
      <c r="JE757" s="1126"/>
      <c r="JF757" s="1037"/>
      <c r="JG757" s="1037"/>
      <c r="JH757" s="1037"/>
      <c r="JI757" s="1035"/>
      <c r="JJ757" s="1035"/>
      <c r="JK757" s="1035"/>
      <c r="JL757" s="1035"/>
      <c r="JM757" s="1035"/>
      <c r="JN757" s="1035"/>
      <c r="JO757" s="1035"/>
      <c r="JP757" s="1035"/>
      <c r="JQ757" s="1035"/>
      <c r="JR757" s="1035"/>
      <c r="JS757" s="1035"/>
      <c r="JT757" s="1035"/>
      <c r="JU757" s="1035"/>
      <c r="JV757" s="1035"/>
      <c r="JW757" s="1035"/>
      <c r="JX757" s="1035"/>
      <c r="JY757" s="1035"/>
    </row>
    <row r="758" s="1031" customFormat="1" spans="1:285">
      <c r="A758" s="1339" t="s">
        <v>639</v>
      </c>
      <c r="B758" s="1405"/>
      <c r="C758" s="1405"/>
      <c r="D758" s="1405"/>
      <c r="E758" s="1405"/>
      <c r="F758" s="1405"/>
      <c r="G758" s="1405"/>
      <c r="H758" s="1405"/>
      <c r="I758" s="1405"/>
      <c r="J758" s="1405"/>
      <c r="K758" s="1405"/>
      <c r="L758" s="1405"/>
      <c r="M758" s="1405"/>
      <c r="N758" s="1405"/>
      <c r="O758" s="1405"/>
      <c r="P758" s="1405"/>
      <c r="Q758" s="1405"/>
      <c r="R758" s="1405"/>
      <c r="S758" s="1405"/>
      <c r="T758" s="1405"/>
      <c r="U758" s="1405"/>
      <c r="V758" s="1405"/>
      <c r="W758" s="1405"/>
      <c r="X758" s="1405"/>
      <c r="Y758" s="1405"/>
      <c r="Z758" s="1405"/>
      <c r="AA758" s="1405"/>
      <c r="AB758" s="1405"/>
      <c r="AC758" s="1405"/>
      <c r="AD758" s="1405"/>
      <c r="AE758" s="1405"/>
      <c r="AF758" s="1405"/>
      <c r="AG758" s="1405"/>
      <c r="AH758" s="1405"/>
      <c r="AI758" s="1405"/>
      <c r="AJ758" s="1405"/>
      <c r="AK758" s="1405"/>
      <c r="AL758" s="1405"/>
      <c r="AM758" s="1405"/>
      <c r="AN758" s="1405"/>
      <c r="AO758" s="1405"/>
      <c r="AP758" s="1405"/>
      <c r="AQ758" s="1405"/>
      <c r="AR758" s="1405"/>
      <c r="AS758" s="1405"/>
      <c r="AT758" s="1405"/>
      <c r="AU758" s="1405"/>
      <c r="AV758" s="1405"/>
      <c r="AW758" s="1405"/>
      <c r="AX758" s="1406"/>
      <c r="AY758" s="1405"/>
      <c r="AZ758" s="1405"/>
      <c r="BA758" s="1405"/>
      <c r="BB758" s="1405"/>
      <c r="BC758" s="1405"/>
      <c r="BD758" s="1405"/>
      <c r="BE758" s="1407"/>
      <c r="BF758" s="1405"/>
      <c r="BG758" s="1405"/>
      <c r="BH758" s="1405"/>
      <c r="BI758" s="1405"/>
      <c r="BJ758" s="1405"/>
      <c r="BK758" s="1405"/>
      <c r="BL758" s="1405"/>
      <c r="BM758" s="1405"/>
      <c r="BN758" s="1406"/>
      <c r="BO758" s="1405"/>
      <c r="BP758" s="1405"/>
      <c r="BQ758" s="1405"/>
      <c r="BR758" s="1405"/>
      <c r="BS758" s="1405"/>
      <c r="BT758" s="1405"/>
      <c r="BU758" s="1407"/>
      <c r="BV758" s="1303" t="s">
        <v>173</v>
      </c>
      <c r="BW758" s="1302" t="s">
        <v>173</v>
      </c>
      <c r="BX758" s="1302" t="s">
        <v>173</v>
      </c>
      <c r="BY758" s="1302" t="s">
        <v>173</v>
      </c>
      <c r="BZ758" s="1302" t="s">
        <v>173</v>
      </c>
      <c r="CA758" s="1302" t="s">
        <v>173</v>
      </c>
      <c r="CB758" s="1302" t="s">
        <v>173</v>
      </c>
      <c r="CC758" s="1304" t="s">
        <v>173</v>
      </c>
      <c r="CD758" s="1303">
        <f t="shared" ref="CD758:CN758" si="4514">CD757/BV757-1</f>
        <v>0.6875</v>
      </c>
      <c r="CE758" s="1302">
        <f t="shared" si="4514"/>
        <v>-0.161290322580645</v>
      </c>
      <c r="CF758" s="1302">
        <f t="shared" si="4514"/>
        <v>0.127659574468085</v>
      </c>
      <c r="CG758" s="1302">
        <f t="shared" si="4514"/>
        <v>0</v>
      </c>
      <c r="CH758" s="1302">
        <f t="shared" si="4514"/>
        <v>0.0845070422535212</v>
      </c>
      <c r="CI758" s="1302">
        <f t="shared" si="4514"/>
        <v>0</v>
      </c>
      <c r="CJ758" s="1302">
        <f t="shared" si="4514"/>
        <v>0</v>
      </c>
      <c r="CK758" s="1304">
        <f t="shared" si="4514"/>
        <v>0.0625</v>
      </c>
      <c r="CL758" s="1303">
        <f t="shared" si="4514"/>
        <v>-0.148148148148148</v>
      </c>
      <c r="CM758" s="1302">
        <f t="shared" si="4514"/>
        <v>0.0384615384615385</v>
      </c>
      <c r="CN758" s="1302">
        <f t="shared" si="4514"/>
        <v>-0.0566037735849056</v>
      </c>
      <c r="CO758" s="1302">
        <v>0.01</v>
      </c>
      <c r="CP758" s="1302">
        <f>CP757/CH757-1</f>
        <v>-0.0358441558441559</v>
      </c>
      <c r="CQ758" s="1302">
        <f>CQ757/CI757-1</f>
        <v>-0.2896</v>
      </c>
      <c r="CR758" s="1302">
        <f>CR757/CG757-1</f>
        <v>0.75</v>
      </c>
      <c r="CS758" s="1304">
        <f t="shared" ref="CS758:CX758" si="4515">CS757/CK757-1</f>
        <v>-0.0980392156862745</v>
      </c>
      <c r="CT758" s="1303">
        <f t="shared" si="4515"/>
        <v>0.0434782608695652</v>
      </c>
      <c r="CU758" s="1302">
        <f t="shared" si="4515"/>
        <v>0.111111111111111</v>
      </c>
      <c r="CV758" s="1302">
        <f t="shared" si="4515"/>
        <v>0.0800000000000001</v>
      </c>
      <c r="CW758" s="1302">
        <f t="shared" si="4515"/>
        <v>-0.0924092409240923</v>
      </c>
      <c r="CX758" s="1302">
        <f t="shared" si="4515"/>
        <v>0.0237068965517242</v>
      </c>
      <c r="CY758" s="1302">
        <f t="shared" ref="CY758:DD758" si="4516">CY757/CQ757-1</f>
        <v>0.0698198198198194</v>
      </c>
      <c r="CZ758" s="1302">
        <f t="shared" si="4516"/>
        <v>-0.0238095238095238</v>
      </c>
      <c r="DA758" s="1304">
        <f t="shared" si="4516"/>
        <v>0.0326086956521738</v>
      </c>
      <c r="DB758" s="1109">
        <f t="shared" si="4516"/>
        <v>0.333333333333333</v>
      </c>
      <c r="DC758" s="1082">
        <f t="shared" si="4516"/>
        <v>0</v>
      </c>
      <c r="DD758" s="1082">
        <f t="shared" si="4516"/>
        <v>0.148148148148148</v>
      </c>
      <c r="DE758" s="1082">
        <f t="shared" ref="DE758:DJ758" si="4517">DE757/CW757-1</f>
        <v>-0.181818181818182</v>
      </c>
      <c r="DF758" s="1082">
        <f t="shared" si="4517"/>
        <v>0.0526315789473684</v>
      </c>
      <c r="DG758" s="1082">
        <f t="shared" si="4517"/>
        <v>-0.210526315789474</v>
      </c>
      <c r="DH758" s="1082">
        <f t="shared" si="4517"/>
        <v>-0.195121951219512</v>
      </c>
      <c r="DI758" s="1085">
        <f t="shared" si="4517"/>
        <v>0</v>
      </c>
      <c r="DJ758" s="1082">
        <f t="shared" si="4517"/>
        <v>-0.0625</v>
      </c>
      <c r="DK758" s="1082">
        <f>SUM(DK759:DK760)</f>
        <v>0.1</v>
      </c>
      <c r="DL758" s="1082">
        <f t="shared" ref="DL758:DQ758" si="4518">DL757/DD757-1</f>
        <v>0.0161290322580645</v>
      </c>
      <c r="DM758" s="1082">
        <f t="shared" si="4518"/>
        <v>0.277777777777778</v>
      </c>
      <c r="DN758" s="1082">
        <f t="shared" si="4518"/>
        <v>0.075</v>
      </c>
      <c r="DO758" s="1082">
        <f t="shared" si="4518"/>
        <v>-1</v>
      </c>
      <c r="DP758" s="1082">
        <f t="shared" si="4518"/>
        <v>-0.303030303030303</v>
      </c>
      <c r="DQ758" s="1085">
        <f t="shared" si="4518"/>
        <v>-0.0947368421052631</v>
      </c>
      <c r="DR758" s="1082"/>
      <c r="DS758" s="1082"/>
      <c r="DT758" s="1082"/>
      <c r="DU758" s="1082"/>
      <c r="DV758" s="1082"/>
      <c r="DW758" s="1082"/>
      <c r="DX758" s="1082"/>
      <c r="DY758" s="1085"/>
      <c r="DZ758" s="1082"/>
      <c r="EA758" s="1082"/>
      <c r="EB758" s="1082"/>
      <c r="EC758" s="1082"/>
      <c r="ED758" s="1082"/>
      <c r="EE758" s="1082"/>
      <c r="EF758" s="1082"/>
      <c r="EG758" s="1085"/>
      <c r="EH758" s="1082"/>
      <c r="EI758" s="1082"/>
      <c r="EJ758" s="1082"/>
      <c r="EK758" s="1082"/>
      <c r="EL758" s="1082"/>
      <c r="EM758" s="1082"/>
      <c r="EN758" s="1082"/>
      <c r="EO758" s="1085"/>
      <c r="EP758" s="1082"/>
      <c r="EQ758" s="1082"/>
      <c r="ER758" s="1082"/>
      <c r="ES758" s="1082"/>
      <c r="ET758" s="1082"/>
      <c r="EU758" s="1082"/>
      <c r="EV758" s="1082"/>
      <c r="EW758" s="1039"/>
      <c r="EX758" s="891"/>
      <c r="EY758" s="891"/>
      <c r="EZ758" s="891"/>
      <c r="FA758" s="891"/>
      <c r="FB758" s="891"/>
      <c r="FC758" s="891"/>
      <c r="FD758" s="891"/>
      <c r="FE758" s="1039"/>
      <c r="FF758" s="891"/>
      <c r="FG758" s="891"/>
      <c r="FH758" s="891"/>
      <c r="FI758" s="891"/>
      <c r="FJ758" s="891"/>
      <c r="FK758" s="891"/>
      <c r="FL758" s="891"/>
      <c r="FM758" s="1039"/>
      <c r="FN758" s="891"/>
      <c r="FO758" s="891"/>
      <c r="FP758" s="891"/>
      <c r="FQ758" s="891"/>
      <c r="FR758" s="891"/>
      <c r="FS758" s="891"/>
      <c r="FT758" s="891"/>
      <c r="FU758" s="891"/>
      <c r="FV758" s="1040"/>
      <c r="FW758" s="891"/>
      <c r="FX758" s="891"/>
      <c r="FY758" s="891"/>
      <c r="FZ758" s="891"/>
      <c r="GA758" s="891"/>
      <c r="GB758" s="891"/>
      <c r="GC758" s="1039"/>
      <c r="GD758" s="891"/>
      <c r="GE758" s="891"/>
      <c r="GF758" s="891"/>
      <c r="GG758" s="891"/>
      <c r="GH758" s="891"/>
      <c r="GI758" s="891"/>
      <c r="GJ758" s="891"/>
      <c r="GK758" s="1039"/>
      <c r="GL758" s="891"/>
      <c r="GM758" s="891"/>
      <c r="GN758" s="891"/>
      <c r="GO758" s="891"/>
      <c r="GP758" s="891"/>
      <c r="GQ758" s="891"/>
      <c r="GR758" s="891"/>
      <c r="GS758" s="1039"/>
      <c r="GT758" s="891"/>
      <c r="GU758" s="891"/>
      <c r="GV758" s="891"/>
      <c r="GW758" s="891"/>
      <c r="GX758" s="891"/>
      <c r="GY758" s="891"/>
      <c r="GZ758" s="891"/>
      <c r="HA758" s="1039"/>
      <c r="HB758" s="891"/>
      <c r="HC758" s="891"/>
      <c r="HD758" s="891"/>
      <c r="HE758" s="891"/>
      <c r="HF758" s="891"/>
      <c r="HG758" s="891"/>
      <c r="HH758" s="891"/>
      <c r="HI758" s="1039"/>
      <c r="HJ758" s="891"/>
      <c r="HK758" s="891"/>
      <c r="HL758" s="891"/>
      <c r="HM758" s="891"/>
      <c r="HN758" s="891"/>
      <c r="HO758" s="891"/>
      <c r="HP758" s="891"/>
      <c r="HQ758" s="1039"/>
      <c r="HR758" s="891"/>
      <c r="HS758" s="891"/>
      <c r="HT758" s="891"/>
      <c r="HU758" s="891"/>
      <c r="HV758" s="891"/>
      <c r="HW758" s="891"/>
      <c r="HX758" s="891"/>
      <c r="HY758" s="891"/>
      <c r="HZ758" s="891"/>
      <c r="IA758" s="891"/>
      <c r="IB758" s="891"/>
      <c r="IC758" s="891"/>
      <c r="ID758" s="891"/>
      <c r="IE758" s="891"/>
      <c r="IF758" s="891"/>
      <c r="IG758" s="1039"/>
      <c r="IH758" s="891"/>
      <c r="II758" s="891"/>
      <c r="IJ758" s="891"/>
      <c r="IK758" s="891"/>
      <c r="IL758" s="891"/>
      <c r="IM758" s="891"/>
      <c r="IN758" s="891"/>
      <c r="IO758" s="1039"/>
      <c r="IP758" s="891"/>
      <c r="IQ758" s="891"/>
      <c r="IR758" s="891"/>
      <c r="IS758" s="891"/>
      <c r="IT758" s="891"/>
      <c r="IU758" s="891"/>
      <c r="IV758" s="891"/>
      <c r="IW758" s="891"/>
      <c r="IX758" s="1083"/>
      <c r="IY758" s="1083"/>
      <c r="IZ758" s="1083"/>
      <c r="JA758" s="1083"/>
      <c r="JB758" s="1083"/>
      <c r="JC758" s="1083"/>
      <c r="JD758" s="1521"/>
      <c r="JE758" s="1429"/>
      <c r="JF758" s="1426"/>
      <c r="JG758" s="1426"/>
      <c r="JH758" s="1426"/>
    </row>
    <row r="759" s="1031" customFormat="1" spans="1:285">
      <c r="A759" s="1339" t="s">
        <v>640</v>
      </c>
      <c r="B759" s="1405"/>
      <c r="C759" s="1405"/>
      <c r="D759" s="1405"/>
      <c r="E759" s="1405"/>
      <c r="F759" s="1405"/>
      <c r="G759" s="1405"/>
      <c r="H759" s="1405"/>
      <c r="I759" s="1405"/>
      <c r="J759" s="1405"/>
      <c r="K759" s="1405"/>
      <c r="L759" s="1405"/>
      <c r="M759" s="1405"/>
      <c r="N759" s="1405"/>
      <c r="O759" s="1405"/>
      <c r="P759" s="1405"/>
      <c r="Q759" s="1405"/>
      <c r="R759" s="1405"/>
      <c r="S759" s="1405"/>
      <c r="T759" s="1405"/>
      <c r="U759" s="1405"/>
      <c r="V759" s="1405"/>
      <c r="W759" s="1405"/>
      <c r="X759" s="1405"/>
      <c r="Y759" s="1405"/>
      <c r="Z759" s="1405"/>
      <c r="AA759" s="1405"/>
      <c r="AB759" s="1405"/>
      <c r="AC759" s="1405"/>
      <c r="AD759" s="1405"/>
      <c r="AE759" s="1405"/>
      <c r="AF759" s="1405"/>
      <c r="AG759" s="1405"/>
      <c r="AH759" s="1405"/>
      <c r="AI759" s="1405"/>
      <c r="AJ759" s="1405"/>
      <c r="AK759" s="1405"/>
      <c r="AL759" s="1405"/>
      <c r="AM759" s="1405"/>
      <c r="AN759" s="1405"/>
      <c r="AO759" s="1405"/>
      <c r="AP759" s="1405"/>
      <c r="AQ759" s="1405"/>
      <c r="AR759" s="1405"/>
      <c r="AS759" s="1405"/>
      <c r="AT759" s="1405"/>
      <c r="AU759" s="1405"/>
      <c r="AV759" s="1405"/>
      <c r="AW759" s="1405"/>
      <c r="AX759" s="1406"/>
      <c r="AY759" s="1405"/>
      <c r="AZ759" s="1405"/>
      <c r="BA759" s="1405"/>
      <c r="BB759" s="1405"/>
      <c r="BC759" s="1405"/>
      <c r="BD759" s="1405"/>
      <c r="BE759" s="1407"/>
      <c r="BF759" s="1405"/>
      <c r="BG759" s="1405"/>
      <c r="BH759" s="1405"/>
      <c r="BI759" s="1405"/>
      <c r="BJ759" s="1405"/>
      <c r="BK759" s="1405"/>
      <c r="BL759" s="1405"/>
      <c r="BM759" s="1405"/>
      <c r="BN759" s="1406"/>
      <c r="BO759" s="1405"/>
      <c r="BP759" s="1405"/>
      <c r="BQ759" s="1405"/>
      <c r="BR759" s="1405"/>
      <c r="BS759" s="1405"/>
      <c r="BT759" s="1405"/>
      <c r="BU759" s="1407"/>
      <c r="BV759" s="1303"/>
      <c r="BW759" s="1302"/>
      <c r="BX759" s="1302"/>
      <c r="BY759" s="1302"/>
      <c r="BZ759" s="1302"/>
      <c r="CA759" s="1302"/>
      <c r="CB759" s="1302"/>
      <c r="CC759" s="1304"/>
      <c r="CD759" s="1303"/>
      <c r="CE759" s="1302"/>
      <c r="CF759" s="1302"/>
      <c r="CG759" s="1302"/>
      <c r="CH759" s="1302"/>
      <c r="CI759" s="1302"/>
      <c r="CJ759" s="1302"/>
      <c r="CK759" s="1304"/>
      <c r="CL759" s="1303"/>
      <c r="CM759" s="1302"/>
      <c r="CN759" s="1302"/>
      <c r="CO759" s="1302"/>
      <c r="CP759" s="1302"/>
      <c r="CQ759" s="1302"/>
      <c r="CR759" s="1302"/>
      <c r="CS759" s="1304"/>
      <c r="CT759" s="1303">
        <f t="shared" ref="CT759:CZ759" si="4519">CT758-CT760</f>
        <v>-0.00652173913043481</v>
      </c>
      <c r="CU759" s="1302">
        <f t="shared" si="4519"/>
        <v>0.00555555555555562</v>
      </c>
      <c r="CV759" s="1302">
        <f t="shared" si="4519"/>
        <v>0</v>
      </c>
      <c r="CW759" s="1302">
        <f t="shared" si="4519"/>
        <v>-0.172409240924092</v>
      </c>
      <c r="CX759" s="1302">
        <f t="shared" si="4519"/>
        <v>-0.0562931034482758</v>
      </c>
      <c r="CY759" s="1302">
        <f t="shared" si="4519"/>
        <v>0.145225225225225</v>
      </c>
      <c r="CZ759" s="1302">
        <f t="shared" si="4519"/>
        <v>-0.0380952380952381</v>
      </c>
      <c r="DA759" s="1304">
        <f t="shared" ref="DA759:DI759" si="4520">DA758-DA760</f>
        <v>-0.0173913043478262</v>
      </c>
      <c r="DB759" s="1109">
        <f t="shared" si="4520"/>
        <v>-0.146666666666667</v>
      </c>
      <c r="DC759" s="1082">
        <f t="shared" si="4520"/>
        <v>-0.174</v>
      </c>
      <c r="DD759" s="1082">
        <f t="shared" si="4520"/>
        <v>-0.161851851851852</v>
      </c>
      <c r="DE759" s="1082">
        <f t="shared" si="4520"/>
        <v>-0.146363636363636</v>
      </c>
      <c r="DF759" s="1082">
        <f t="shared" si="4520"/>
        <v>-0.157368421052632</v>
      </c>
      <c r="DG759" s="1082">
        <f t="shared" si="4520"/>
        <v>-0.220526315789474</v>
      </c>
      <c r="DH759" s="1082">
        <f t="shared" si="4520"/>
        <v>-0.180731707317073</v>
      </c>
      <c r="DI759" s="1085">
        <f t="shared" si="4520"/>
        <v>-0.17</v>
      </c>
      <c r="DJ759" s="1082">
        <v>-0.1725</v>
      </c>
      <c r="DK759" s="1082">
        <v>-0.113333333333333</v>
      </c>
      <c r="DL759" s="1082">
        <f t="shared" ref="DL759:DQ759" si="4521">DL758-DL760</f>
        <v>-0.143870967741936</v>
      </c>
      <c r="DM759" s="1082">
        <f t="shared" si="4521"/>
        <v>-0.0155555555555556</v>
      </c>
      <c r="DN759" s="1082">
        <f t="shared" si="4521"/>
        <v>-0.115</v>
      </c>
      <c r="DO759" s="1082">
        <f t="shared" si="4521"/>
        <v>-1</v>
      </c>
      <c r="DP759" s="1082">
        <f t="shared" si="4521"/>
        <v>-0.463030303030303</v>
      </c>
      <c r="DQ759" s="1085">
        <f t="shared" si="4521"/>
        <v>-0.254736842105263</v>
      </c>
      <c r="DR759" s="1082"/>
      <c r="DS759" s="1488"/>
      <c r="DT759" s="1082"/>
      <c r="DU759" s="1488"/>
      <c r="DV759" s="1082"/>
      <c r="DW759" s="1488"/>
      <c r="DX759" s="1082"/>
      <c r="DY759" s="1085"/>
      <c r="DZ759" s="1082"/>
      <c r="EA759" s="1488"/>
      <c r="EB759" s="1082"/>
      <c r="EC759" s="1488"/>
      <c r="ED759" s="1082"/>
      <c r="EE759" s="1488"/>
      <c r="EF759" s="1082"/>
      <c r="EG759" s="1085"/>
      <c r="EH759" s="1082"/>
      <c r="EI759" s="1488"/>
      <c r="EJ759" s="1082"/>
      <c r="EK759" s="1488"/>
      <c r="EL759" s="1082"/>
      <c r="EM759" s="1488"/>
      <c r="EN759" s="1082"/>
      <c r="EO759" s="1085"/>
      <c r="EP759" s="1082"/>
      <c r="EQ759" s="1082"/>
      <c r="ER759" s="1082"/>
      <c r="ES759" s="1082"/>
      <c r="ET759" s="1082"/>
      <c r="EU759" s="1082"/>
      <c r="EV759" s="1082"/>
      <c r="EW759" s="1039"/>
      <c r="EX759" s="891"/>
      <c r="EY759" s="891"/>
      <c r="EZ759" s="891"/>
      <c r="FA759" s="891"/>
      <c r="FB759" s="891"/>
      <c r="FC759" s="891"/>
      <c r="FD759" s="891"/>
      <c r="FE759" s="1039"/>
      <c r="FF759" s="891"/>
      <c r="FG759" s="891"/>
      <c r="FH759" s="891"/>
      <c r="FI759" s="891"/>
      <c r="FJ759" s="891"/>
      <c r="FK759" s="891"/>
      <c r="FL759" s="891"/>
      <c r="FM759" s="1039"/>
      <c r="FN759" s="891"/>
      <c r="FO759" s="891"/>
      <c r="FP759" s="891"/>
      <c r="FQ759" s="891"/>
      <c r="FR759" s="891"/>
      <c r="FS759" s="891"/>
      <c r="FT759" s="891"/>
      <c r="FU759" s="891"/>
      <c r="FV759" s="1040"/>
      <c r="FW759" s="891"/>
      <c r="FX759" s="891"/>
      <c r="FY759" s="891"/>
      <c r="FZ759" s="891"/>
      <c r="GA759" s="891"/>
      <c r="GB759" s="891"/>
      <c r="GC759" s="1039"/>
      <c r="GD759" s="891"/>
      <c r="GE759" s="891"/>
      <c r="GF759" s="891"/>
      <c r="GG759" s="891"/>
      <c r="GH759" s="891"/>
      <c r="GI759" s="891"/>
      <c r="GJ759" s="891"/>
      <c r="GK759" s="1039"/>
      <c r="GL759" s="891"/>
      <c r="GM759" s="891"/>
      <c r="GN759" s="891"/>
      <c r="GO759" s="891"/>
      <c r="GP759" s="891"/>
      <c r="GQ759" s="891"/>
      <c r="GR759" s="891"/>
      <c r="GS759" s="1039"/>
      <c r="GT759" s="891"/>
      <c r="GU759" s="891"/>
      <c r="GV759" s="891"/>
      <c r="GW759" s="891"/>
      <c r="GX759" s="891"/>
      <c r="GY759" s="891"/>
      <c r="GZ759" s="891"/>
      <c r="HA759" s="1039"/>
      <c r="HB759" s="891"/>
      <c r="HC759" s="891"/>
      <c r="HD759" s="891"/>
      <c r="HE759" s="891"/>
      <c r="HF759" s="891"/>
      <c r="HG759" s="891"/>
      <c r="HH759" s="891"/>
      <c r="HI759" s="1039"/>
      <c r="HJ759" s="891"/>
      <c r="HK759" s="891"/>
      <c r="HL759" s="891"/>
      <c r="HM759" s="891"/>
      <c r="HN759" s="891"/>
      <c r="HO759" s="891"/>
      <c r="HP759" s="891"/>
      <c r="HQ759" s="1039"/>
      <c r="HR759" s="891"/>
      <c r="HS759" s="891"/>
      <c r="HT759" s="891"/>
      <c r="HU759" s="891"/>
      <c r="HV759" s="891"/>
      <c r="HW759" s="891"/>
      <c r="HX759" s="891"/>
      <c r="HY759" s="891"/>
      <c r="HZ759" s="891"/>
      <c r="IA759" s="891"/>
      <c r="IB759" s="891"/>
      <c r="IC759" s="891"/>
      <c r="ID759" s="891"/>
      <c r="IE759" s="891"/>
      <c r="IF759" s="891"/>
      <c r="IG759" s="1039"/>
      <c r="IH759" s="891"/>
      <c r="II759" s="891"/>
      <c r="IJ759" s="891"/>
      <c r="IK759" s="891"/>
      <c r="IL759" s="891"/>
      <c r="IM759" s="891"/>
      <c r="IN759" s="891"/>
      <c r="IO759" s="1039"/>
      <c r="IP759" s="891"/>
      <c r="IQ759" s="891"/>
      <c r="IR759" s="891"/>
      <c r="IS759" s="891"/>
      <c r="IT759" s="891"/>
      <c r="IU759" s="891"/>
      <c r="IV759" s="891"/>
      <c r="IW759" s="891"/>
      <c r="IX759" s="1083"/>
      <c r="IY759" s="1083"/>
      <c r="IZ759" s="1083"/>
      <c r="JA759" s="1083"/>
      <c r="JB759" s="1083"/>
      <c r="JC759" s="1083"/>
      <c r="JD759" s="1521"/>
      <c r="JE759" s="1429"/>
      <c r="JF759" s="1426"/>
      <c r="JG759" s="1426"/>
      <c r="JH759" s="1426"/>
    </row>
    <row r="760" s="1031" customFormat="1" spans="1:285">
      <c r="A760" s="1339" t="s">
        <v>641</v>
      </c>
      <c r="B760" s="1405"/>
      <c r="C760" s="1405"/>
      <c r="D760" s="1405"/>
      <c r="E760" s="1405"/>
      <c r="F760" s="1405"/>
      <c r="G760" s="1405"/>
      <c r="H760" s="1405"/>
      <c r="I760" s="1405"/>
      <c r="J760" s="1405"/>
      <c r="K760" s="1405"/>
      <c r="L760" s="1405"/>
      <c r="M760" s="1405"/>
      <c r="N760" s="1405"/>
      <c r="O760" s="1405"/>
      <c r="P760" s="1405"/>
      <c r="Q760" s="1405"/>
      <c r="R760" s="1405"/>
      <c r="S760" s="1405"/>
      <c r="T760" s="1405"/>
      <c r="U760" s="1405"/>
      <c r="V760" s="1405"/>
      <c r="W760" s="1405"/>
      <c r="X760" s="1405"/>
      <c r="Y760" s="1405"/>
      <c r="Z760" s="1405"/>
      <c r="AA760" s="1405"/>
      <c r="AB760" s="1405"/>
      <c r="AC760" s="1405"/>
      <c r="AD760" s="1405"/>
      <c r="AE760" s="1405"/>
      <c r="AF760" s="1405"/>
      <c r="AG760" s="1405"/>
      <c r="AH760" s="1405"/>
      <c r="AI760" s="1405"/>
      <c r="AJ760" s="1405"/>
      <c r="AK760" s="1405"/>
      <c r="AL760" s="1405"/>
      <c r="AM760" s="1405"/>
      <c r="AN760" s="1405"/>
      <c r="AO760" s="1405"/>
      <c r="AP760" s="1405"/>
      <c r="AQ760" s="1405"/>
      <c r="AR760" s="1405"/>
      <c r="AS760" s="1405"/>
      <c r="AT760" s="1405"/>
      <c r="AU760" s="1405"/>
      <c r="AV760" s="1405"/>
      <c r="AW760" s="1405"/>
      <c r="AX760" s="1406"/>
      <c r="AY760" s="1405"/>
      <c r="AZ760" s="1405"/>
      <c r="BA760" s="1405"/>
      <c r="BB760" s="1405"/>
      <c r="BC760" s="1405"/>
      <c r="BD760" s="1405"/>
      <c r="BE760" s="1407"/>
      <c r="BF760" s="1405"/>
      <c r="BG760" s="1405"/>
      <c r="BH760" s="1405"/>
      <c r="BI760" s="1405"/>
      <c r="BJ760" s="1405"/>
      <c r="BK760" s="1405"/>
      <c r="BL760" s="1405"/>
      <c r="BM760" s="1405"/>
      <c r="BN760" s="1406"/>
      <c r="BO760" s="1405"/>
      <c r="BP760" s="1405"/>
      <c r="BQ760" s="1405"/>
      <c r="BR760" s="1405"/>
      <c r="BS760" s="1405"/>
      <c r="BT760" s="1405"/>
      <c r="BU760" s="1407"/>
      <c r="BV760" s="1303"/>
      <c r="BW760" s="1302"/>
      <c r="BX760" s="1302"/>
      <c r="BY760" s="1302"/>
      <c r="BZ760" s="1302"/>
      <c r="CA760" s="1302"/>
      <c r="CB760" s="1302"/>
      <c r="CC760" s="1304"/>
      <c r="CD760" s="1303"/>
      <c r="CE760" s="1302"/>
      <c r="CF760" s="1302"/>
      <c r="CG760" s="1302"/>
      <c r="CH760" s="1302"/>
      <c r="CI760" s="1302"/>
      <c r="CJ760" s="1302"/>
      <c r="CK760" s="1304"/>
      <c r="CL760" s="1303"/>
      <c r="CM760" s="1302"/>
      <c r="CN760" s="1302"/>
      <c r="CO760" s="1302"/>
      <c r="CP760" s="1302"/>
      <c r="CQ760" s="1302"/>
      <c r="CR760" s="1302"/>
      <c r="CS760" s="1304"/>
      <c r="CT760" s="1303">
        <v>0.05</v>
      </c>
      <c r="CU760" s="1302">
        <f>(CV760*CN757-CT760*CL757)/CM757</f>
        <v>0.105555555555556</v>
      </c>
      <c r="CV760" s="1302">
        <v>0.08</v>
      </c>
      <c r="CW760" s="1302">
        <f>(CX760*CP757-CV760*CN757)/CO757</f>
        <v>0.08</v>
      </c>
      <c r="CX760" s="1302">
        <v>0.08</v>
      </c>
      <c r="CY760" s="1302">
        <f>(DA760*CS757-CX760*CP757)/CQ757</f>
        <v>-0.0754054054054053</v>
      </c>
      <c r="CZ760" s="1302">
        <f>(DA760*CS757-CV760*CN757)/CR757</f>
        <v>0.0142857142857143</v>
      </c>
      <c r="DA760" s="1304">
        <v>0.05</v>
      </c>
      <c r="DB760" s="1109">
        <v>0.48</v>
      </c>
      <c r="DC760" s="1082">
        <f>(DD760*CV757-DB760*CT757)/CU757</f>
        <v>0.174</v>
      </c>
      <c r="DD760" s="1082">
        <v>0.31</v>
      </c>
      <c r="DE760" s="1082">
        <f>(DF760*CX757-DD760*CV757)/CW757</f>
        <v>-0.0354545454545454</v>
      </c>
      <c r="DF760" s="1082">
        <v>0.21</v>
      </c>
      <c r="DG760" s="1082">
        <f>(DI760*DA757-DF760*CX757)/CY757</f>
        <v>0.0100000000000002</v>
      </c>
      <c r="DH760" s="1082">
        <f>(DI760*DA757-DD760*CV757)/CZ757</f>
        <v>-0.0143902439024389</v>
      </c>
      <c r="DI760" s="1085">
        <v>0.17</v>
      </c>
      <c r="DJ760" s="1082">
        <v>0.11</v>
      </c>
      <c r="DK760" s="1082">
        <v>0.213333333333333</v>
      </c>
      <c r="DL760" s="1082">
        <f>(DJ760*DB757+DK760*DC757)/DD757</f>
        <v>0.16</v>
      </c>
      <c r="DM760" s="1082">
        <f>(DN760*DF757-DL760*DD757)/DE757</f>
        <v>0.293333333333333</v>
      </c>
      <c r="DN760" s="1082">
        <v>0.19</v>
      </c>
      <c r="DO760" s="1488">
        <v>0</v>
      </c>
      <c r="DP760" s="1082">
        <f>(DO760*DG757+DM760*DE757)/DH757</f>
        <v>0.16</v>
      </c>
      <c r="DQ760" s="1085">
        <f>(DP760*DH757+DL760*DD757)/DI757</f>
        <v>0.16</v>
      </c>
      <c r="DR760" s="1082"/>
      <c r="DS760" s="1488"/>
      <c r="DT760" s="1082"/>
      <c r="DU760" s="1488"/>
      <c r="DV760" s="1082"/>
      <c r="DW760" s="1488"/>
      <c r="DX760" s="1082"/>
      <c r="DY760" s="1085"/>
      <c r="DZ760" s="1082"/>
      <c r="EA760" s="1488"/>
      <c r="EB760" s="1082"/>
      <c r="EC760" s="1488"/>
      <c r="ED760" s="1082"/>
      <c r="EE760" s="1488"/>
      <c r="EF760" s="1082"/>
      <c r="EG760" s="1085"/>
      <c r="EH760" s="1082"/>
      <c r="EI760" s="1488"/>
      <c r="EJ760" s="1082"/>
      <c r="EK760" s="1488"/>
      <c r="EL760" s="1082"/>
      <c r="EM760" s="1488"/>
      <c r="EN760" s="1082"/>
      <c r="EO760" s="1085"/>
      <c r="EP760" s="1082"/>
      <c r="EQ760" s="1082"/>
      <c r="ER760" s="1082"/>
      <c r="ES760" s="1082"/>
      <c r="ET760" s="1082"/>
      <c r="EU760" s="1082"/>
      <c r="EV760" s="1082"/>
      <c r="EW760" s="1039"/>
      <c r="EX760" s="891"/>
      <c r="EY760" s="891"/>
      <c r="EZ760" s="891"/>
      <c r="FA760" s="891"/>
      <c r="FB760" s="891"/>
      <c r="FC760" s="891"/>
      <c r="FD760" s="891"/>
      <c r="FE760" s="1039"/>
      <c r="FF760" s="891"/>
      <c r="FG760" s="891"/>
      <c r="FH760" s="891"/>
      <c r="FI760" s="891"/>
      <c r="FJ760" s="891"/>
      <c r="FK760" s="891"/>
      <c r="FL760" s="891"/>
      <c r="FM760" s="1039"/>
      <c r="FN760" s="891"/>
      <c r="FO760" s="891"/>
      <c r="FP760" s="891"/>
      <c r="FQ760" s="891"/>
      <c r="FR760" s="891"/>
      <c r="FS760" s="891"/>
      <c r="FT760" s="891"/>
      <c r="FU760" s="891"/>
      <c r="FV760" s="1040"/>
      <c r="FW760" s="891"/>
      <c r="FX760" s="891"/>
      <c r="FY760" s="891"/>
      <c r="FZ760" s="891"/>
      <c r="GA760" s="891"/>
      <c r="GB760" s="891"/>
      <c r="GC760" s="1039"/>
      <c r="GD760" s="891"/>
      <c r="GE760" s="891"/>
      <c r="GF760" s="891"/>
      <c r="GG760" s="891"/>
      <c r="GH760" s="891"/>
      <c r="GI760" s="891"/>
      <c r="GJ760" s="891"/>
      <c r="GK760" s="1039"/>
      <c r="GL760" s="891"/>
      <c r="GM760" s="891"/>
      <c r="GN760" s="891"/>
      <c r="GO760" s="891"/>
      <c r="GP760" s="891"/>
      <c r="GQ760" s="891"/>
      <c r="GR760" s="891"/>
      <c r="GS760" s="1039"/>
      <c r="GT760" s="891"/>
      <c r="GU760" s="891"/>
      <c r="GV760" s="891"/>
      <c r="GW760" s="891"/>
      <c r="GX760" s="891"/>
      <c r="GY760" s="891"/>
      <c r="GZ760" s="891"/>
      <c r="HA760" s="1039"/>
      <c r="HB760" s="891"/>
      <c r="HC760" s="891"/>
      <c r="HD760" s="891"/>
      <c r="HE760" s="891"/>
      <c r="HF760" s="891"/>
      <c r="HG760" s="891"/>
      <c r="HH760" s="891"/>
      <c r="HI760" s="1039"/>
      <c r="HJ760" s="891"/>
      <c r="HK760" s="891"/>
      <c r="HL760" s="891"/>
      <c r="HM760" s="891"/>
      <c r="HN760" s="891"/>
      <c r="HO760" s="891"/>
      <c r="HP760" s="891"/>
      <c r="HQ760" s="1039"/>
      <c r="HR760" s="891"/>
      <c r="HS760" s="891"/>
      <c r="HT760" s="891"/>
      <c r="HU760" s="891"/>
      <c r="HV760" s="891"/>
      <c r="HW760" s="891"/>
      <c r="HX760" s="891"/>
      <c r="HY760" s="891"/>
      <c r="HZ760" s="891"/>
      <c r="IA760" s="891"/>
      <c r="IB760" s="891"/>
      <c r="IC760" s="891"/>
      <c r="ID760" s="891"/>
      <c r="IE760" s="891"/>
      <c r="IF760" s="891"/>
      <c r="IG760" s="1039"/>
      <c r="IH760" s="891"/>
      <c r="II760" s="891"/>
      <c r="IJ760" s="891"/>
      <c r="IK760" s="891"/>
      <c r="IL760" s="891"/>
      <c r="IM760" s="891"/>
      <c r="IN760" s="891"/>
      <c r="IO760" s="1039"/>
      <c r="IP760" s="891"/>
      <c r="IQ760" s="891"/>
      <c r="IR760" s="891"/>
      <c r="IS760" s="891"/>
      <c r="IT760" s="891"/>
      <c r="IU760" s="891"/>
      <c r="IV760" s="891"/>
      <c r="IW760" s="891"/>
      <c r="IX760" s="1083"/>
      <c r="IY760" s="1083"/>
      <c r="IZ760" s="1083"/>
      <c r="JA760" s="1083"/>
      <c r="JB760" s="1083"/>
      <c r="JC760" s="1083"/>
      <c r="JD760" s="1521"/>
      <c r="JE760" s="1429"/>
      <c r="JF760" s="1426"/>
      <c r="JG760" s="1426"/>
      <c r="JH760" s="1426"/>
    </row>
    <row r="761" spans="1:285">
      <c r="A761" s="1339" t="s">
        <v>642</v>
      </c>
      <c r="B761" s="1409"/>
      <c r="C761" s="1409"/>
      <c r="D761" s="1409"/>
      <c r="E761" s="1409"/>
      <c r="F761" s="1409"/>
      <c r="G761" s="1409"/>
      <c r="H761" s="1409"/>
      <c r="I761" s="1409"/>
      <c r="J761" s="1409"/>
      <c r="K761" s="1409"/>
      <c r="L761" s="1409"/>
      <c r="M761" s="1409"/>
      <c r="N761" s="1409"/>
      <c r="O761" s="1409"/>
      <c r="P761" s="1409"/>
      <c r="Q761" s="1409"/>
      <c r="R761" s="1409"/>
      <c r="S761" s="1409"/>
      <c r="T761" s="1409"/>
      <c r="U761" s="1409"/>
      <c r="V761" s="1409"/>
      <c r="W761" s="1409"/>
      <c r="X761" s="1409"/>
      <c r="Y761" s="1409"/>
      <c r="Z761" s="1409"/>
      <c r="AA761" s="1409"/>
      <c r="AB761" s="1409"/>
      <c r="AC761" s="1409"/>
      <c r="AD761" s="1409"/>
      <c r="AE761" s="1409"/>
      <c r="AF761" s="1409"/>
      <c r="AG761" s="1409"/>
      <c r="AH761" s="1409"/>
      <c r="AI761" s="1409"/>
      <c r="AJ761" s="1409"/>
      <c r="AK761" s="1409"/>
      <c r="AL761" s="1409"/>
      <c r="AM761" s="1409"/>
      <c r="AN761" s="1409"/>
      <c r="AO761" s="1409"/>
      <c r="AP761" s="1409"/>
      <c r="AQ761" s="1409"/>
      <c r="AR761" s="1409"/>
      <c r="AS761" s="1409"/>
      <c r="AT761" s="1409"/>
      <c r="AU761" s="1409"/>
      <c r="AV761" s="1409"/>
      <c r="AW761" s="1409"/>
      <c r="AX761" s="1408"/>
      <c r="AY761" s="1409"/>
      <c r="AZ761" s="1409"/>
      <c r="BA761" s="1409"/>
      <c r="BB761" s="1409"/>
      <c r="BC761" s="1409"/>
      <c r="BD761" s="1409"/>
      <c r="BE761" s="1410"/>
      <c r="BF761" s="1409"/>
      <c r="BG761" s="1409"/>
      <c r="BH761" s="1409"/>
      <c r="BI761" s="1409"/>
      <c r="BJ761" s="1409"/>
      <c r="BK761" s="1409"/>
      <c r="BL761" s="1409"/>
      <c r="BM761" s="1409"/>
      <c r="BN761" s="1408"/>
      <c r="BO761" s="1409"/>
      <c r="BP761" s="1409"/>
      <c r="BQ761" s="1409"/>
      <c r="BR761" s="1409"/>
      <c r="BS761" s="1409"/>
      <c r="BT761" s="1409"/>
      <c r="BU761" s="1410"/>
      <c r="BV761" s="1303">
        <f t="shared" ref="BV761:DQ761" si="4522">BV757/BV$777</f>
        <v>0.137931034482759</v>
      </c>
      <c r="BW761" s="1302">
        <f t="shared" si="4522"/>
        <v>0.166666666666667</v>
      </c>
      <c r="BX761" s="1302">
        <f t="shared" si="4522"/>
        <v>0.155629139072848</v>
      </c>
      <c r="BY761" s="1302">
        <f t="shared" si="4522"/>
        <v>0.137142857142857</v>
      </c>
      <c r="BZ761" s="1302">
        <f t="shared" si="4522"/>
        <v>0.148846960167715</v>
      </c>
      <c r="CA761" s="1302">
        <f t="shared" si="4522"/>
        <v>0.16025641025641</v>
      </c>
      <c r="CB761" s="1302">
        <f t="shared" si="4522"/>
        <v>0.148036253776435</v>
      </c>
      <c r="CC761" s="1304">
        <f t="shared" si="4522"/>
        <v>0.151658767772512</v>
      </c>
      <c r="CD761" s="1303">
        <f t="shared" si="4522"/>
        <v>0.181208053691275</v>
      </c>
      <c r="CE761" s="1302">
        <f t="shared" si="4522"/>
        <v>0.128712871287129</v>
      </c>
      <c r="CF761" s="1302">
        <f t="shared" si="4522"/>
        <v>0.150997150997151</v>
      </c>
      <c r="CG761" s="1302">
        <f t="shared" si="4522"/>
        <v>0.135593220338983</v>
      </c>
      <c r="CH761" s="1302">
        <f t="shared" si="4522"/>
        <v>0.145833333333333</v>
      </c>
      <c r="CI761" s="1302">
        <f t="shared" si="4522"/>
        <v>0.138121546961326</v>
      </c>
      <c r="CJ761" s="1302">
        <f t="shared" si="4522"/>
        <v>0.136871508379888</v>
      </c>
      <c r="CK761" s="1304">
        <f t="shared" si="4522"/>
        <v>0.143864598025388</v>
      </c>
      <c r="CL761" s="1303">
        <f t="shared" si="4522"/>
        <v>0.114427860696517</v>
      </c>
      <c r="CM761" s="1302">
        <f t="shared" si="4522"/>
        <v>0.102661596958175</v>
      </c>
      <c r="CN761" s="1302">
        <f t="shared" si="4522"/>
        <v>0.107758620689655</v>
      </c>
      <c r="CO761" s="1302">
        <f t="shared" si="4522"/>
        <v>0.124948453608247</v>
      </c>
      <c r="CP761" s="1302">
        <f t="shared" si="4522"/>
        <v>0.112826747720365</v>
      </c>
      <c r="CQ761" s="1302">
        <f t="shared" si="4522"/>
        <v>0.0896969696969697</v>
      </c>
      <c r="CR761" s="1302">
        <f t="shared" si="4522"/>
        <v>0.0905172413793103</v>
      </c>
      <c r="CS761" s="1304">
        <f t="shared" si="4522"/>
        <v>0.107476635514019</v>
      </c>
      <c r="CT761" s="1303">
        <f t="shared" si="4522"/>
        <v>0.133333333333333</v>
      </c>
      <c r="CU761" s="1302">
        <f t="shared" si="4522"/>
        <v>0.125523012552301</v>
      </c>
      <c r="CV761" s="1302">
        <f t="shared" si="4522"/>
        <v>0.128878281622912</v>
      </c>
      <c r="CW761" s="1302">
        <f t="shared" si="4522"/>
        <v>0.115789473684211</v>
      </c>
      <c r="CX761" s="1302">
        <f t="shared" si="4522"/>
        <v>0.124794745484401</v>
      </c>
      <c r="CY761" s="1302">
        <f t="shared" si="4522"/>
        <v>0.0974358974358974</v>
      </c>
      <c r="CZ761" s="1302">
        <f t="shared" si="4522"/>
        <v>0.106493506493506</v>
      </c>
      <c r="DA761" s="1304">
        <f t="shared" si="4522"/>
        <v>0.1181592039801</v>
      </c>
      <c r="DB761" s="1109">
        <f t="shared" si="4522"/>
        <v>0.167539267015707</v>
      </c>
      <c r="DC761" s="1082">
        <f t="shared" si="4522"/>
        <v>0.13215859030837</v>
      </c>
      <c r="DD761" s="1082">
        <f t="shared" si="4522"/>
        <v>0.148325358851675</v>
      </c>
      <c r="DE761" s="1082">
        <f t="shared" si="4522"/>
        <v>0.0923076923076923</v>
      </c>
      <c r="DF761" s="1082">
        <f t="shared" si="4522"/>
        <v>0.130505709624796</v>
      </c>
      <c r="DG761" s="1082">
        <f t="shared" si="4522"/>
        <v>0.0753768844221105</v>
      </c>
      <c r="DH761" s="1082">
        <f t="shared" si="4522"/>
        <v>0.083756345177665</v>
      </c>
      <c r="DI761" s="1085">
        <f t="shared" si="4522"/>
        <v>0.116995073891626</v>
      </c>
      <c r="DJ761" s="1082">
        <f t="shared" si="4522"/>
        <v>0.154639175257732</v>
      </c>
      <c r="DK761" s="1082">
        <f t="shared" si="4522"/>
        <v>0.129411764705882</v>
      </c>
      <c r="DL761" s="1082">
        <f t="shared" si="4522"/>
        <v>0.140311804008909</v>
      </c>
      <c r="DM761" s="1082">
        <f t="shared" si="4522"/>
        <v>0.125</v>
      </c>
      <c r="DN761" s="1082">
        <f t="shared" si="4522"/>
        <v>0.135860979462875</v>
      </c>
      <c r="DO761" s="1082" t="e">
        <f t="shared" si="4522"/>
        <v>#REF!</v>
      </c>
      <c r="DP761" s="1082" t="e">
        <f t="shared" si="4522"/>
        <v>#REF!</v>
      </c>
      <c r="DQ761" s="1085" t="e">
        <f t="shared" si="4522"/>
        <v>#REF!</v>
      </c>
      <c r="DR761" s="1082"/>
      <c r="DS761" s="1082"/>
      <c r="DT761" s="1082"/>
      <c r="DU761" s="1082"/>
      <c r="DV761" s="1082"/>
      <c r="DW761" s="1082"/>
      <c r="DX761" s="1082"/>
      <c r="DY761" s="1085"/>
      <c r="DZ761" s="1082"/>
      <c r="EA761" s="1082"/>
      <c r="EB761" s="1082"/>
      <c r="EC761" s="1082"/>
      <c r="ED761" s="1082"/>
      <c r="EE761" s="1082"/>
      <c r="EF761" s="1082"/>
      <c r="EG761" s="1085"/>
      <c r="EH761" s="1082"/>
      <c r="EI761" s="1082"/>
      <c r="EJ761" s="1082"/>
      <c r="EK761" s="1082"/>
      <c r="EL761" s="1082"/>
      <c r="EM761" s="1082"/>
      <c r="EN761" s="1082"/>
      <c r="EO761" s="1085"/>
      <c r="EP761" s="1082"/>
      <c r="EQ761" s="1082"/>
      <c r="ER761" s="1082"/>
      <c r="ES761" s="1082"/>
      <c r="ET761" s="1082"/>
      <c r="EU761" s="1082"/>
      <c r="EV761" s="1082"/>
      <c r="IX761" s="1083"/>
      <c r="IY761" s="1083"/>
      <c r="IZ761" s="1083"/>
      <c r="JA761" s="1083"/>
      <c r="JB761" s="1083"/>
      <c r="JC761" s="1083"/>
      <c r="JD761" s="1521"/>
      <c r="JE761" s="1126"/>
      <c r="JF761" s="1037"/>
      <c r="JG761" s="1037"/>
      <c r="JH761" s="1037"/>
      <c r="JI761" s="1035"/>
      <c r="JJ761" s="1035"/>
      <c r="JK761" s="1035"/>
      <c r="JL761" s="1035"/>
      <c r="JM761" s="1035"/>
      <c r="JN761" s="1035"/>
      <c r="JO761" s="1035"/>
      <c r="JP761" s="1035"/>
      <c r="JQ761" s="1035"/>
      <c r="JR761" s="1035"/>
      <c r="JS761" s="1035"/>
      <c r="JT761" s="1035"/>
      <c r="JU761" s="1035"/>
      <c r="JV761" s="1035"/>
      <c r="JW761" s="1035"/>
      <c r="JX761" s="1035"/>
      <c r="JY761" s="1035"/>
    </row>
    <row r="762" spans="1:285">
      <c r="A762" s="1306" t="s">
        <v>101</v>
      </c>
      <c r="B762" s="1307"/>
      <c r="C762" s="1307"/>
      <c r="D762" s="1307"/>
      <c r="E762" s="1307"/>
      <c r="F762" s="1307"/>
      <c r="G762" s="1307"/>
      <c r="H762" s="1307"/>
      <c r="I762" s="1307"/>
      <c r="J762" s="1307"/>
      <c r="K762" s="1307"/>
      <c r="L762" s="1307"/>
      <c r="M762" s="1307"/>
      <c r="N762" s="1307"/>
      <c r="O762" s="1307"/>
      <c r="P762" s="1307"/>
      <c r="Q762" s="1307"/>
      <c r="R762" s="1307"/>
      <c r="S762" s="1307"/>
      <c r="T762" s="1307"/>
      <c r="U762" s="1307"/>
      <c r="V762" s="1307"/>
      <c r="W762" s="1307"/>
      <c r="X762" s="1307"/>
      <c r="Y762" s="1307"/>
      <c r="Z762" s="1307"/>
      <c r="AA762" s="1307"/>
      <c r="AB762" s="1307"/>
      <c r="AC762" s="1307"/>
      <c r="AD762" s="1307"/>
      <c r="AE762" s="1307"/>
      <c r="AF762" s="1307"/>
      <c r="AG762" s="1307"/>
      <c r="AH762" s="1307"/>
      <c r="AI762" s="1307"/>
      <c r="AJ762" s="1307"/>
      <c r="AK762" s="1307"/>
      <c r="AL762" s="1307"/>
      <c r="AM762" s="1307"/>
      <c r="AN762" s="1307"/>
      <c r="AO762" s="1307"/>
      <c r="AP762" s="1307"/>
      <c r="AQ762" s="1307"/>
      <c r="AR762" s="1307"/>
      <c r="AS762" s="1307"/>
      <c r="AT762" s="1307"/>
      <c r="AU762" s="1307"/>
      <c r="AV762" s="1307"/>
      <c r="AW762" s="1307"/>
      <c r="AX762" s="1308"/>
      <c r="AY762" s="1307"/>
      <c r="AZ762" s="1307"/>
      <c r="BA762" s="1307"/>
      <c r="BB762" s="1307"/>
      <c r="BC762" s="1307"/>
      <c r="BD762" s="1307"/>
      <c r="BE762" s="1309"/>
      <c r="BF762" s="1307"/>
      <c r="BG762" s="1307"/>
      <c r="BH762" s="1307"/>
      <c r="BI762" s="1307"/>
      <c r="BJ762" s="1307"/>
      <c r="BK762" s="1307"/>
      <c r="BL762" s="1307"/>
      <c r="BM762" s="1307"/>
      <c r="BN762" s="1308"/>
      <c r="BO762" s="1307"/>
      <c r="BP762" s="1307"/>
      <c r="BQ762" s="1307"/>
      <c r="BR762" s="1307"/>
      <c r="BS762" s="1307"/>
      <c r="BT762" s="1307"/>
      <c r="BU762" s="1309"/>
      <c r="BV762" s="1308">
        <v>61</v>
      </c>
      <c r="BW762" s="1307">
        <f>BX762-BV762</f>
        <v>99</v>
      </c>
      <c r="BX762" s="1307">
        <v>160</v>
      </c>
      <c r="BY762" s="1307">
        <f>BZ762-BX762</f>
        <v>86</v>
      </c>
      <c r="BZ762" s="1307">
        <v>246</v>
      </c>
      <c r="CA762" s="1307">
        <f>CC762-BZ762</f>
        <v>69</v>
      </c>
      <c r="CB762" s="1307">
        <f>CA762+BY762</f>
        <v>155</v>
      </c>
      <c r="CC762" s="1309">
        <v>315</v>
      </c>
      <c r="CD762" s="1308">
        <v>77</v>
      </c>
      <c r="CE762" s="1307">
        <f>CF762-CD762</f>
        <v>124</v>
      </c>
      <c r="CF762" s="1307">
        <v>201</v>
      </c>
      <c r="CG762" s="1307">
        <f>CH762-CF762</f>
        <v>99</v>
      </c>
      <c r="CH762" s="1307">
        <v>300</v>
      </c>
      <c r="CI762" s="1307">
        <f>CK762-CH762</f>
        <v>83</v>
      </c>
      <c r="CJ762" s="1307">
        <f>CI762+CG762</f>
        <v>182</v>
      </c>
      <c r="CK762" s="1309">
        <v>383</v>
      </c>
      <c r="CL762" s="1308">
        <v>122</v>
      </c>
      <c r="CM762" s="1307">
        <f>CN762-CL762</f>
        <v>175</v>
      </c>
      <c r="CN762" s="1307">
        <v>297</v>
      </c>
      <c r="CO762" s="1307">
        <v>118.8</v>
      </c>
      <c r="CP762" s="1307">
        <v>415.8</v>
      </c>
      <c r="CQ762" s="1307">
        <f>CS762-CP762</f>
        <v>89.2</v>
      </c>
      <c r="CR762" s="1307">
        <f>CS762-CN762</f>
        <v>208</v>
      </c>
      <c r="CS762" s="1309">
        <v>505</v>
      </c>
      <c r="CT762" s="1308">
        <v>100</v>
      </c>
      <c r="CU762" s="1307">
        <f>+CV762-CT762</f>
        <v>137</v>
      </c>
      <c r="CV762" s="1307">
        <v>237</v>
      </c>
      <c r="CW762" s="1307">
        <f>CX762-CV762</f>
        <v>93</v>
      </c>
      <c r="CX762" s="1307">
        <v>330</v>
      </c>
      <c r="CY762" s="1307">
        <f>DA762-CX762</f>
        <v>92</v>
      </c>
      <c r="CZ762" s="1307">
        <f>CY762+CW762</f>
        <v>185</v>
      </c>
      <c r="DA762" s="1309">
        <v>422</v>
      </c>
      <c r="DB762" s="1332">
        <v>92</v>
      </c>
      <c r="DC762" s="1311">
        <f>DD762-DB762</f>
        <v>126</v>
      </c>
      <c r="DD762" s="1311">
        <v>218</v>
      </c>
      <c r="DE762" s="1311">
        <f>DF762-DD762</f>
        <v>93</v>
      </c>
      <c r="DF762" s="1311">
        <v>311</v>
      </c>
      <c r="DG762" s="1311">
        <f>DH762-DE762</f>
        <v>94</v>
      </c>
      <c r="DH762" s="1311">
        <f>DI762-DD762</f>
        <v>187</v>
      </c>
      <c r="DI762" s="1312">
        <v>405</v>
      </c>
      <c r="DJ762" s="1311">
        <v>102</v>
      </c>
      <c r="DK762" s="1311">
        <f>DC762*(1+DK763)</f>
        <v>150</v>
      </c>
      <c r="DL762" s="1311">
        <f>DK762+DJ762</f>
        <v>252</v>
      </c>
      <c r="DM762" s="1311">
        <f>DN762-DL762</f>
        <v>83</v>
      </c>
      <c r="DN762" s="1311">
        <v>335</v>
      </c>
      <c r="DO762" s="1311">
        <v>0</v>
      </c>
      <c r="DP762" s="1311">
        <f>DO762+DM762</f>
        <v>83</v>
      </c>
      <c r="DQ762" s="1312">
        <f>DP762+DL762</f>
        <v>335</v>
      </c>
      <c r="DR762" s="1311"/>
      <c r="DS762" s="1311"/>
      <c r="DT762" s="1311"/>
      <c r="DU762" s="1311"/>
      <c r="DV762" s="1311"/>
      <c r="DW762" s="1311"/>
      <c r="DX762" s="1311"/>
      <c r="DY762" s="1312"/>
      <c r="DZ762" s="1311"/>
      <c r="EA762" s="1311"/>
      <c r="EB762" s="1311"/>
      <c r="EC762" s="1311"/>
      <c r="ED762" s="1311"/>
      <c r="EE762" s="1311"/>
      <c r="EF762" s="1311"/>
      <c r="EG762" s="1312"/>
      <c r="EH762" s="1311"/>
      <c r="EI762" s="1311"/>
      <c r="EJ762" s="1311"/>
      <c r="EK762" s="1311"/>
      <c r="EL762" s="1311"/>
      <c r="EM762" s="1311"/>
      <c r="EN762" s="1311"/>
      <c r="EO762" s="1312"/>
      <c r="EP762" s="1311"/>
      <c r="EQ762" s="1311"/>
      <c r="ER762" s="1311"/>
      <c r="ES762" s="1311"/>
      <c r="ET762" s="1311"/>
      <c r="EU762" s="1311"/>
      <c r="EV762" s="1311"/>
      <c r="IX762" s="1354"/>
      <c r="IY762" s="1354"/>
      <c r="IZ762" s="1354"/>
      <c r="JA762" s="1354"/>
      <c r="JB762" s="1354"/>
      <c r="JC762" s="1354"/>
      <c r="JD762" s="1518"/>
      <c r="JE762" s="1126"/>
      <c r="JF762" s="1037"/>
      <c r="JG762" s="1037"/>
      <c r="JH762" s="1037"/>
      <c r="JI762" s="1035"/>
      <c r="JJ762" s="1035"/>
      <c r="JK762" s="1035"/>
      <c r="JL762" s="1035"/>
      <c r="JM762" s="1035"/>
      <c r="JN762" s="1035"/>
      <c r="JO762" s="1035"/>
      <c r="JP762" s="1035"/>
      <c r="JQ762" s="1035"/>
      <c r="JR762" s="1035"/>
      <c r="JS762" s="1035"/>
      <c r="JT762" s="1035"/>
      <c r="JU762" s="1035"/>
      <c r="JV762" s="1035"/>
      <c r="JW762" s="1035"/>
      <c r="JX762" s="1035"/>
      <c r="JY762" s="1035"/>
    </row>
    <row r="763" s="1031" customFormat="1" spans="1:285">
      <c r="A763" s="1339" t="s">
        <v>639</v>
      </c>
      <c r="B763" s="1405"/>
      <c r="C763" s="1405"/>
      <c r="D763" s="1405"/>
      <c r="E763" s="1405"/>
      <c r="F763" s="1405"/>
      <c r="G763" s="1405"/>
      <c r="H763" s="1405"/>
      <c r="I763" s="1405"/>
      <c r="J763" s="1405"/>
      <c r="K763" s="1405"/>
      <c r="L763" s="1405"/>
      <c r="M763" s="1405"/>
      <c r="N763" s="1405"/>
      <c r="O763" s="1405"/>
      <c r="P763" s="1405"/>
      <c r="Q763" s="1405"/>
      <c r="R763" s="1405"/>
      <c r="S763" s="1405"/>
      <c r="T763" s="1405"/>
      <c r="U763" s="1405"/>
      <c r="V763" s="1405"/>
      <c r="W763" s="1405"/>
      <c r="X763" s="1405"/>
      <c r="Y763" s="1405"/>
      <c r="Z763" s="1405"/>
      <c r="AA763" s="1405"/>
      <c r="AB763" s="1405"/>
      <c r="AC763" s="1405"/>
      <c r="AD763" s="1405"/>
      <c r="AE763" s="1405"/>
      <c r="AF763" s="1405"/>
      <c r="AG763" s="1405"/>
      <c r="AH763" s="1405"/>
      <c r="AI763" s="1405"/>
      <c r="AJ763" s="1405"/>
      <c r="AK763" s="1405"/>
      <c r="AL763" s="1405"/>
      <c r="AM763" s="1405"/>
      <c r="AN763" s="1405"/>
      <c r="AO763" s="1405"/>
      <c r="AP763" s="1405"/>
      <c r="AQ763" s="1405"/>
      <c r="AR763" s="1405"/>
      <c r="AS763" s="1405"/>
      <c r="AT763" s="1405"/>
      <c r="AU763" s="1405"/>
      <c r="AV763" s="1405"/>
      <c r="AW763" s="1405"/>
      <c r="AX763" s="1406"/>
      <c r="AY763" s="1405"/>
      <c r="AZ763" s="1405"/>
      <c r="BA763" s="1405"/>
      <c r="BB763" s="1405"/>
      <c r="BC763" s="1405"/>
      <c r="BD763" s="1405"/>
      <c r="BE763" s="1407"/>
      <c r="BF763" s="1405"/>
      <c r="BG763" s="1405"/>
      <c r="BH763" s="1405"/>
      <c r="BI763" s="1405"/>
      <c r="BJ763" s="1405"/>
      <c r="BK763" s="1405"/>
      <c r="BL763" s="1405"/>
      <c r="BM763" s="1405"/>
      <c r="BN763" s="1406"/>
      <c r="BO763" s="1405"/>
      <c r="BP763" s="1405"/>
      <c r="BQ763" s="1405"/>
      <c r="BR763" s="1405"/>
      <c r="BS763" s="1405"/>
      <c r="BT763" s="1405"/>
      <c r="BU763" s="1407"/>
      <c r="BV763" s="1303" t="s">
        <v>173</v>
      </c>
      <c r="BW763" s="1302" t="s">
        <v>173</v>
      </c>
      <c r="BX763" s="1302" t="s">
        <v>173</v>
      </c>
      <c r="BY763" s="1302" t="s">
        <v>173</v>
      </c>
      <c r="BZ763" s="1302" t="s">
        <v>173</v>
      </c>
      <c r="CA763" s="1302" t="s">
        <v>173</v>
      </c>
      <c r="CB763" s="1302" t="s">
        <v>173</v>
      </c>
      <c r="CC763" s="1304" t="s">
        <v>173</v>
      </c>
      <c r="CD763" s="1303">
        <f t="shared" ref="CD763:CN763" si="4523">CD762/BV762-1</f>
        <v>0.262295081967213</v>
      </c>
      <c r="CE763" s="1302">
        <f t="shared" si="4523"/>
        <v>0.252525252525253</v>
      </c>
      <c r="CF763" s="1302">
        <f t="shared" si="4523"/>
        <v>0.25625</v>
      </c>
      <c r="CG763" s="1302">
        <f t="shared" si="4523"/>
        <v>0.151162790697674</v>
      </c>
      <c r="CH763" s="1302">
        <f t="shared" si="4523"/>
        <v>0.219512195121951</v>
      </c>
      <c r="CI763" s="1302">
        <f t="shared" si="4523"/>
        <v>0.202898550724638</v>
      </c>
      <c r="CJ763" s="1302">
        <f t="shared" si="4523"/>
        <v>0.174193548387097</v>
      </c>
      <c r="CK763" s="1304">
        <f t="shared" si="4523"/>
        <v>0.215873015873016</v>
      </c>
      <c r="CL763" s="1303">
        <f t="shared" si="4523"/>
        <v>0.584415584415584</v>
      </c>
      <c r="CM763" s="1302">
        <f t="shared" si="4523"/>
        <v>0.411290322580645</v>
      </c>
      <c r="CN763" s="1302">
        <f t="shared" si="4523"/>
        <v>0.477611940298508</v>
      </c>
      <c r="CO763" s="1302">
        <v>0.2</v>
      </c>
      <c r="CP763" s="1302">
        <f>CP762/CH762-1</f>
        <v>0.386</v>
      </c>
      <c r="CQ763" s="1302">
        <f>CQ762/CI762-1</f>
        <v>0.0746987951807228</v>
      </c>
      <c r="CR763" s="1302">
        <f>CR762/CG762-1</f>
        <v>1.1010101010101</v>
      </c>
      <c r="CS763" s="1304">
        <f t="shared" ref="CS763:CX763" si="4524">CS762/CK762-1</f>
        <v>0.318537859007833</v>
      </c>
      <c r="CT763" s="1303">
        <f t="shared" si="4524"/>
        <v>-0.180327868852459</v>
      </c>
      <c r="CU763" s="1302">
        <f t="shared" si="4524"/>
        <v>-0.217142857142857</v>
      </c>
      <c r="CV763" s="1302">
        <f t="shared" si="4524"/>
        <v>-0.202020202020202</v>
      </c>
      <c r="CW763" s="1302">
        <f t="shared" si="4524"/>
        <v>-0.217171717171717</v>
      </c>
      <c r="CX763" s="1302">
        <f t="shared" si="4524"/>
        <v>-0.206349206349206</v>
      </c>
      <c r="CY763" s="1302">
        <f t="shared" ref="CY763:DD763" si="4525">CY762/CQ762-1</f>
        <v>0.0313901345291481</v>
      </c>
      <c r="CZ763" s="1302">
        <f t="shared" si="4525"/>
        <v>-0.110576923076923</v>
      </c>
      <c r="DA763" s="1304">
        <f t="shared" si="4525"/>
        <v>-0.164356435643564</v>
      </c>
      <c r="DB763" s="1109">
        <f t="shared" si="4525"/>
        <v>-0.08</v>
      </c>
      <c r="DC763" s="1082">
        <f t="shared" si="4525"/>
        <v>-0.0802919708029197</v>
      </c>
      <c r="DD763" s="1082">
        <f t="shared" si="4525"/>
        <v>-0.080168776371308</v>
      </c>
      <c r="DE763" s="1082">
        <f t="shared" ref="DE763:DJ763" si="4526">DE762/CW762-1</f>
        <v>0</v>
      </c>
      <c r="DF763" s="1082">
        <f t="shared" si="4526"/>
        <v>-0.0575757575757576</v>
      </c>
      <c r="DG763" s="1082">
        <f t="shared" si="4526"/>
        <v>0.0217391304347827</v>
      </c>
      <c r="DH763" s="1082">
        <f t="shared" si="4526"/>
        <v>0.0108108108108107</v>
      </c>
      <c r="DI763" s="1085">
        <f t="shared" si="4526"/>
        <v>-0.0402843601895735</v>
      </c>
      <c r="DJ763" s="1082">
        <f t="shared" si="4526"/>
        <v>0.108695652173913</v>
      </c>
      <c r="DK763" s="1082">
        <f>SUM(DK764:DK765)</f>
        <v>0.19047619047619</v>
      </c>
      <c r="DL763" s="1082">
        <f t="shared" ref="DL763:DQ763" si="4527">DL762/DD762-1</f>
        <v>0.155963302752294</v>
      </c>
      <c r="DM763" s="1082">
        <f t="shared" si="4527"/>
        <v>-0.10752688172043</v>
      </c>
      <c r="DN763" s="1082">
        <f t="shared" si="4527"/>
        <v>0.0771704180064308</v>
      </c>
      <c r="DO763" s="1082">
        <f t="shared" si="4527"/>
        <v>-1</v>
      </c>
      <c r="DP763" s="1082">
        <f t="shared" si="4527"/>
        <v>-0.556149732620321</v>
      </c>
      <c r="DQ763" s="1085">
        <f t="shared" si="4527"/>
        <v>-0.172839506172839</v>
      </c>
      <c r="DR763" s="1082"/>
      <c r="DS763" s="1082"/>
      <c r="DT763" s="1082"/>
      <c r="DU763" s="1082"/>
      <c r="DV763" s="1082"/>
      <c r="DW763" s="1082"/>
      <c r="DX763" s="1082"/>
      <c r="DY763" s="1085"/>
      <c r="DZ763" s="1082"/>
      <c r="EA763" s="1082"/>
      <c r="EB763" s="1082"/>
      <c r="EC763" s="1082"/>
      <c r="ED763" s="1082"/>
      <c r="EE763" s="1082"/>
      <c r="EF763" s="1082"/>
      <c r="EG763" s="1085"/>
      <c r="EH763" s="1082"/>
      <c r="EI763" s="1082"/>
      <c r="EJ763" s="1082"/>
      <c r="EK763" s="1082"/>
      <c r="EL763" s="1082"/>
      <c r="EM763" s="1082"/>
      <c r="EN763" s="1082"/>
      <c r="EO763" s="1085"/>
      <c r="EP763" s="1082"/>
      <c r="EQ763" s="1082"/>
      <c r="ER763" s="1082"/>
      <c r="ES763" s="1082"/>
      <c r="ET763" s="1082"/>
      <c r="EU763" s="1082"/>
      <c r="EV763" s="1082"/>
      <c r="EW763" s="1039"/>
      <c r="EX763" s="891"/>
      <c r="EY763" s="891"/>
      <c r="EZ763" s="891"/>
      <c r="FA763" s="891"/>
      <c r="FB763" s="891"/>
      <c r="FC763" s="891"/>
      <c r="FD763" s="891"/>
      <c r="FE763" s="1039"/>
      <c r="FF763" s="891"/>
      <c r="FG763" s="891"/>
      <c r="FH763" s="891"/>
      <c r="FI763" s="891"/>
      <c r="FJ763" s="891"/>
      <c r="FK763" s="891"/>
      <c r="FL763" s="891"/>
      <c r="FM763" s="1039"/>
      <c r="FN763" s="891"/>
      <c r="FO763" s="891"/>
      <c r="FP763" s="891"/>
      <c r="FQ763" s="891"/>
      <c r="FR763" s="891"/>
      <c r="FS763" s="891"/>
      <c r="FT763" s="891"/>
      <c r="FU763" s="891"/>
      <c r="FV763" s="1040"/>
      <c r="FW763" s="891"/>
      <c r="FX763" s="891"/>
      <c r="FY763" s="891"/>
      <c r="FZ763" s="891"/>
      <c r="GA763" s="891"/>
      <c r="GB763" s="891"/>
      <c r="GC763" s="1039"/>
      <c r="GD763" s="891"/>
      <c r="GE763" s="891"/>
      <c r="GF763" s="891"/>
      <c r="GG763" s="891"/>
      <c r="GH763" s="891"/>
      <c r="GI763" s="891"/>
      <c r="GJ763" s="891"/>
      <c r="GK763" s="1039"/>
      <c r="GL763" s="891"/>
      <c r="GM763" s="891"/>
      <c r="GN763" s="891"/>
      <c r="GO763" s="891"/>
      <c r="GP763" s="891"/>
      <c r="GQ763" s="891"/>
      <c r="GR763" s="891"/>
      <c r="GS763" s="1039"/>
      <c r="GT763" s="891"/>
      <c r="GU763" s="891"/>
      <c r="GV763" s="891"/>
      <c r="GW763" s="891"/>
      <c r="GX763" s="891"/>
      <c r="GY763" s="891"/>
      <c r="GZ763" s="891"/>
      <c r="HA763" s="1039"/>
      <c r="HB763" s="891"/>
      <c r="HC763" s="891"/>
      <c r="HD763" s="891"/>
      <c r="HE763" s="891"/>
      <c r="HF763" s="891"/>
      <c r="HG763" s="891"/>
      <c r="HH763" s="891"/>
      <c r="HI763" s="1039"/>
      <c r="HJ763" s="891"/>
      <c r="HK763" s="891"/>
      <c r="HL763" s="891"/>
      <c r="HM763" s="891"/>
      <c r="HN763" s="891"/>
      <c r="HO763" s="891"/>
      <c r="HP763" s="891"/>
      <c r="HQ763" s="1039"/>
      <c r="HR763" s="891"/>
      <c r="HS763" s="891"/>
      <c r="HT763" s="891"/>
      <c r="HU763" s="891"/>
      <c r="HV763" s="891"/>
      <c r="HW763" s="891"/>
      <c r="HX763" s="891"/>
      <c r="HY763" s="891"/>
      <c r="HZ763" s="891"/>
      <c r="IA763" s="891"/>
      <c r="IB763" s="891"/>
      <c r="IC763" s="891"/>
      <c r="ID763" s="891"/>
      <c r="IE763" s="891"/>
      <c r="IF763" s="891"/>
      <c r="IG763" s="1039"/>
      <c r="IH763" s="891"/>
      <c r="II763" s="891"/>
      <c r="IJ763" s="891"/>
      <c r="IK763" s="891"/>
      <c r="IL763" s="891"/>
      <c r="IM763" s="891"/>
      <c r="IN763" s="891"/>
      <c r="IO763" s="1039"/>
      <c r="IP763" s="891"/>
      <c r="IQ763" s="891"/>
      <c r="IR763" s="891"/>
      <c r="IS763" s="891"/>
      <c r="IT763" s="891"/>
      <c r="IU763" s="891"/>
      <c r="IV763" s="891"/>
      <c r="IW763" s="891"/>
      <c r="IX763" s="1083"/>
      <c r="IY763" s="1083"/>
      <c r="IZ763" s="1083"/>
      <c r="JA763" s="1083"/>
      <c r="JB763" s="1083"/>
      <c r="JC763" s="1083"/>
      <c r="JD763" s="1521"/>
      <c r="JE763" s="1429"/>
      <c r="JF763" s="1426"/>
      <c r="JG763" s="1426"/>
      <c r="JH763" s="1426"/>
    </row>
    <row r="764" s="1031" customFormat="1" spans="1:285">
      <c r="A764" s="1339" t="s">
        <v>640</v>
      </c>
      <c r="B764" s="1405"/>
      <c r="C764" s="1405"/>
      <c r="D764" s="1405"/>
      <c r="E764" s="1405"/>
      <c r="F764" s="1405"/>
      <c r="G764" s="1405"/>
      <c r="H764" s="1405"/>
      <c r="I764" s="1405"/>
      <c r="J764" s="1405"/>
      <c r="K764" s="1405"/>
      <c r="L764" s="1405"/>
      <c r="M764" s="1405"/>
      <c r="N764" s="1405"/>
      <c r="O764" s="1405"/>
      <c r="P764" s="1405"/>
      <c r="Q764" s="1405"/>
      <c r="R764" s="1405"/>
      <c r="S764" s="1405"/>
      <c r="T764" s="1405"/>
      <c r="U764" s="1405"/>
      <c r="V764" s="1405"/>
      <c r="W764" s="1405"/>
      <c r="X764" s="1405"/>
      <c r="Y764" s="1405"/>
      <c r="Z764" s="1405"/>
      <c r="AA764" s="1405"/>
      <c r="AB764" s="1405"/>
      <c r="AC764" s="1405"/>
      <c r="AD764" s="1405"/>
      <c r="AE764" s="1405"/>
      <c r="AF764" s="1405"/>
      <c r="AG764" s="1405"/>
      <c r="AH764" s="1405"/>
      <c r="AI764" s="1405"/>
      <c r="AJ764" s="1405"/>
      <c r="AK764" s="1405"/>
      <c r="AL764" s="1405"/>
      <c r="AM764" s="1405"/>
      <c r="AN764" s="1405"/>
      <c r="AO764" s="1405"/>
      <c r="AP764" s="1405"/>
      <c r="AQ764" s="1405"/>
      <c r="AR764" s="1405"/>
      <c r="AS764" s="1405"/>
      <c r="AT764" s="1405"/>
      <c r="AU764" s="1405"/>
      <c r="AV764" s="1405"/>
      <c r="AW764" s="1405"/>
      <c r="AX764" s="1406"/>
      <c r="AY764" s="1405"/>
      <c r="AZ764" s="1405"/>
      <c r="BA764" s="1405"/>
      <c r="BB764" s="1405"/>
      <c r="BC764" s="1405"/>
      <c r="BD764" s="1405"/>
      <c r="BE764" s="1407"/>
      <c r="BF764" s="1405"/>
      <c r="BG764" s="1405"/>
      <c r="BH764" s="1405"/>
      <c r="BI764" s="1405"/>
      <c r="BJ764" s="1405"/>
      <c r="BK764" s="1405"/>
      <c r="BL764" s="1405"/>
      <c r="BM764" s="1405"/>
      <c r="BN764" s="1406"/>
      <c r="BO764" s="1405"/>
      <c r="BP764" s="1405"/>
      <c r="BQ764" s="1405"/>
      <c r="BR764" s="1405"/>
      <c r="BS764" s="1405"/>
      <c r="BT764" s="1405"/>
      <c r="BU764" s="1407"/>
      <c r="BV764" s="1303"/>
      <c r="BW764" s="1302"/>
      <c r="BX764" s="1302"/>
      <c r="BY764" s="1302"/>
      <c r="BZ764" s="1302"/>
      <c r="CA764" s="1302"/>
      <c r="CB764" s="1302"/>
      <c r="CC764" s="1304"/>
      <c r="CD764" s="1303"/>
      <c r="CE764" s="1302"/>
      <c r="CF764" s="1302"/>
      <c r="CG764" s="1302"/>
      <c r="CH764" s="1302"/>
      <c r="CI764" s="1302"/>
      <c r="CJ764" s="1302"/>
      <c r="CK764" s="1304"/>
      <c r="CL764" s="1303"/>
      <c r="CM764" s="1302"/>
      <c r="CN764" s="1302"/>
      <c r="CO764" s="1302"/>
      <c r="CP764" s="1302"/>
      <c r="CQ764" s="1302"/>
      <c r="CR764" s="1302"/>
      <c r="CS764" s="1304"/>
      <c r="CT764" s="1303">
        <f t="shared" ref="CT764:DA764" si="4528">CT765-CT763</f>
        <v>0.070327868852459</v>
      </c>
      <c r="CU764" s="1302">
        <f t="shared" si="4528"/>
        <v>0.0562285714285715</v>
      </c>
      <c r="CV764" s="1302">
        <f t="shared" si="4528"/>
        <v>0.062020202020202</v>
      </c>
      <c r="CW764" s="1302">
        <f t="shared" si="4528"/>
        <v>0.147171717171717</v>
      </c>
      <c r="CX764" s="1302">
        <f t="shared" si="4528"/>
        <v>0.0863492063492064</v>
      </c>
      <c r="CY764" s="1302">
        <f t="shared" si="4528"/>
        <v>0.0184529147982063</v>
      </c>
      <c r="CZ764" s="1302">
        <f t="shared" si="4528"/>
        <v>0.091971153846154</v>
      </c>
      <c r="DA764" s="1304">
        <f t="shared" si="4528"/>
        <v>0.0743564356435644</v>
      </c>
      <c r="DB764" s="1109">
        <f t="shared" ref="DB764:DI764" si="4529">DB763-DB765</f>
        <v>-0.11</v>
      </c>
      <c r="DC764" s="1082">
        <f t="shared" si="4529"/>
        <v>-0.127591240875912</v>
      </c>
      <c r="DD764" s="1082">
        <f t="shared" si="4529"/>
        <v>-0.120168776371308</v>
      </c>
      <c r="DE764" s="1082">
        <f t="shared" si="4529"/>
        <v>-0.110967741935484</v>
      </c>
      <c r="DF764" s="1082">
        <f t="shared" si="4529"/>
        <v>-0.117575757575758</v>
      </c>
      <c r="DG764" s="1082">
        <f t="shared" si="4529"/>
        <v>0.0993478260869566</v>
      </c>
      <c r="DH764" s="1082">
        <f t="shared" si="4529"/>
        <v>-0.00637837837837849</v>
      </c>
      <c r="DI764" s="1085">
        <f t="shared" si="4529"/>
        <v>-0.0702843601895735</v>
      </c>
      <c r="DJ764" s="1082">
        <v>0.118695652173913</v>
      </c>
      <c r="DK764" s="1082">
        <v>0.113968253968254</v>
      </c>
      <c r="DL764" s="1082">
        <f t="shared" ref="DL764:DQ764" si="4530">DL763-DL765</f>
        <v>0.115963302752294</v>
      </c>
      <c r="DM764" s="1082">
        <f t="shared" si="4530"/>
        <v>0.0531182795698925</v>
      </c>
      <c r="DN764" s="1082">
        <f t="shared" si="4530"/>
        <v>0.0971704180064308</v>
      </c>
      <c r="DO764" s="1082">
        <f t="shared" si="4530"/>
        <v>-1</v>
      </c>
      <c r="DP764" s="1082">
        <f t="shared" si="4530"/>
        <v>-0.476256684491979</v>
      </c>
      <c r="DQ764" s="1085">
        <f t="shared" si="4530"/>
        <v>-0.157481481481481</v>
      </c>
      <c r="DR764" s="1082"/>
      <c r="DS764" s="1488"/>
      <c r="DT764" s="1082"/>
      <c r="DU764" s="1488"/>
      <c r="DV764" s="1082"/>
      <c r="DW764" s="1488"/>
      <c r="DX764" s="1082"/>
      <c r="DY764" s="1085"/>
      <c r="DZ764" s="1082"/>
      <c r="EA764" s="1488"/>
      <c r="EB764" s="1082"/>
      <c r="EC764" s="1488"/>
      <c r="ED764" s="1082"/>
      <c r="EE764" s="1488"/>
      <c r="EF764" s="1082"/>
      <c r="EG764" s="1085"/>
      <c r="EH764" s="1082"/>
      <c r="EI764" s="1488"/>
      <c r="EJ764" s="1082"/>
      <c r="EK764" s="1488"/>
      <c r="EL764" s="1082"/>
      <c r="EM764" s="1488"/>
      <c r="EN764" s="1082"/>
      <c r="EO764" s="1085"/>
      <c r="EP764" s="1082"/>
      <c r="EQ764" s="1082"/>
      <c r="ER764" s="1082"/>
      <c r="ES764" s="1082"/>
      <c r="ET764" s="1082"/>
      <c r="EU764" s="1082"/>
      <c r="EV764" s="1082"/>
      <c r="EW764" s="1039"/>
      <c r="EX764" s="891"/>
      <c r="EY764" s="891"/>
      <c r="EZ764" s="891"/>
      <c r="FA764" s="891"/>
      <c r="FB764" s="891"/>
      <c r="FC764" s="891"/>
      <c r="FD764" s="891"/>
      <c r="FE764" s="1039"/>
      <c r="FF764" s="891"/>
      <c r="FG764" s="891"/>
      <c r="FH764" s="891"/>
      <c r="FI764" s="891"/>
      <c r="FJ764" s="891"/>
      <c r="FK764" s="891"/>
      <c r="FL764" s="891"/>
      <c r="FM764" s="1039"/>
      <c r="FN764" s="891"/>
      <c r="FO764" s="891"/>
      <c r="FP764" s="891"/>
      <c r="FQ764" s="891"/>
      <c r="FR764" s="891"/>
      <c r="FS764" s="891"/>
      <c r="FT764" s="891"/>
      <c r="FU764" s="891"/>
      <c r="FV764" s="1040"/>
      <c r="FW764" s="891"/>
      <c r="FX764" s="891"/>
      <c r="FY764" s="891"/>
      <c r="FZ764" s="891"/>
      <c r="GA764" s="891"/>
      <c r="GB764" s="891"/>
      <c r="GC764" s="1039"/>
      <c r="GD764" s="891"/>
      <c r="GE764" s="891"/>
      <c r="GF764" s="891"/>
      <c r="GG764" s="891"/>
      <c r="GH764" s="891"/>
      <c r="GI764" s="891"/>
      <c r="GJ764" s="891"/>
      <c r="GK764" s="1039"/>
      <c r="GL764" s="891"/>
      <c r="GM764" s="891"/>
      <c r="GN764" s="891"/>
      <c r="GO764" s="891"/>
      <c r="GP764" s="891"/>
      <c r="GQ764" s="891"/>
      <c r="GR764" s="891"/>
      <c r="GS764" s="1039"/>
      <c r="GT764" s="891"/>
      <c r="GU764" s="891"/>
      <c r="GV764" s="891"/>
      <c r="GW764" s="891"/>
      <c r="GX764" s="891"/>
      <c r="GY764" s="891"/>
      <c r="GZ764" s="891"/>
      <c r="HA764" s="1039"/>
      <c r="HB764" s="891"/>
      <c r="HC764" s="891"/>
      <c r="HD764" s="891"/>
      <c r="HE764" s="891"/>
      <c r="HF764" s="891"/>
      <c r="HG764" s="891"/>
      <c r="HH764" s="891"/>
      <c r="HI764" s="1039"/>
      <c r="HJ764" s="891"/>
      <c r="HK764" s="891"/>
      <c r="HL764" s="891"/>
      <c r="HM764" s="891"/>
      <c r="HN764" s="891"/>
      <c r="HO764" s="891"/>
      <c r="HP764" s="891"/>
      <c r="HQ764" s="1039"/>
      <c r="HR764" s="891"/>
      <c r="HS764" s="891"/>
      <c r="HT764" s="891"/>
      <c r="HU764" s="891"/>
      <c r="HV764" s="891"/>
      <c r="HW764" s="891"/>
      <c r="HX764" s="891"/>
      <c r="HY764" s="891"/>
      <c r="HZ764" s="891"/>
      <c r="IA764" s="891"/>
      <c r="IB764" s="891"/>
      <c r="IC764" s="891"/>
      <c r="ID764" s="891"/>
      <c r="IE764" s="891"/>
      <c r="IF764" s="891"/>
      <c r="IG764" s="1039"/>
      <c r="IH764" s="891"/>
      <c r="II764" s="891"/>
      <c r="IJ764" s="891"/>
      <c r="IK764" s="891"/>
      <c r="IL764" s="891"/>
      <c r="IM764" s="891"/>
      <c r="IN764" s="891"/>
      <c r="IO764" s="1039"/>
      <c r="IP764" s="891"/>
      <c r="IQ764" s="891"/>
      <c r="IR764" s="891"/>
      <c r="IS764" s="891"/>
      <c r="IT764" s="891"/>
      <c r="IU764" s="891"/>
      <c r="IV764" s="891"/>
      <c r="IW764" s="891"/>
      <c r="IX764" s="1083"/>
      <c r="IY764" s="1083"/>
      <c r="IZ764" s="1083"/>
      <c r="JA764" s="1083"/>
      <c r="JB764" s="1083"/>
      <c r="JC764" s="1083"/>
      <c r="JD764" s="1521"/>
      <c r="JE764" s="1429"/>
      <c r="JF764" s="1426"/>
      <c r="JG764" s="1426"/>
      <c r="JH764" s="1426"/>
    </row>
    <row r="765" s="1031" customFormat="1" spans="1:285">
      <c r="A765" s="1339" t="s">
        <v>641</v>
      </c>
      <c r="B765" s="1405"/>
      <c r="C765" s="1405"/>
      <c r="D765" s="1405"/>
      <c r="E765" s="1405"/>
      <c r="F765" s="1405"/>
      <c r="G765" s="1405"/>
      <c r="H765" s="1405"/>
      <c r="I765" s="1405"/>
      <c r="J765" s="1405"/>
      <c r="K765" s="1405"/>
      <c r="L765" s="1405"/>
      <c r="M765" s="1405"/>
      <c r="N765" s="1405"/>
      <c r="O765" s="1405"/>
      <c r="P765" s="1405"/>
      <c r="Q765" s="1405"/>
      <c r="R765" s="1405"/>
      <c r="S765" s="1405"/>
      <c r="T765" s="1405"/>
      <c r="U765" s="1405"/>
      <c r="V765" s="1405"/>
      <c r="W765" s="1405"/>
      <c r="X765" s="1405"/>
      <c r="Y765" s="1405"/>
      <c r="Z765" s="1405"/>
      <c r="AA765" s="1405"/>
      <c r="AB765" s="1405"/>
      <c r="AC765" s="1405"/>
      <c r="AD765" s="1405"/>
      <c r="AE765" s="1405"/>
      <c r="AF765" s="1405"/>
      <c r="AG765" s="1405"/>
      <c r="AH765" s="1405"/>
      <c r="AI765" s="1405"/>
      <c r="AJ765" s="1405"/>
      <c r="AK765" s="1405"/>
      <c r="AL765" s="1405"/>
      <c r="AM765" s="1405"/>
      <c r="AN765" s="1405"/>
      <c r="AO765" s="1405"/>
      <c r="AP765" s="1405"/>
      <c r="AQ765" s="1405"/>
      <c r="AR765" s="1405"/>
      <c r="AS765" s="1405"/>
      <c r="AT765" s="1405"/>
      <c r="AU765" s="1405"/>
      <c r="AV765" s="1405"/>
      <c r="AW765" s="1405"/>
      <c r="AX765" s="1406"/>
      <c r="AY765" s="1405"/>
      <c r="AZ765" s="1405"/>
      <c r="BA765" s="1405"/>
      <c r="BB765" s="1405"/>
      <c r="BC765" s="1405"/>
      <c r="BD765" s="1405"/>
      <c r="BE765" s="1407"/>
      <c r="BF765" s="1405"/>
      <c r="BG765" s="1405"/>
      <c r="BH765" s="1405"/>
      <c r="BI765" s="1405"/>
      <c r="BJ765" s="1405"/>
      <c r="BK765" s="1405"/>
      <c r="BL765" s="1405"/>
      <c r="BM765" s="1405"/>
      <c r="BN765" s="1406"/>
      <c r="BO765" s="1405"/>
      <c r="BP765" s="1405"/>
      <c r="BQ765" s="1405"/>
      <c r="BR765" s="1405"/>
      <c r="BS765" s="1405"/>
      <c r="BT765" s="1405"/>
      <c r="BU765" s="1407"/>
      <c r="BV765" s="1303"/>
      <c r="BW765" s="1302"/>
      <c r="BX765" s="1302"/>
      <c r="BY765" s="1302"/>
      <c r="BZ765" s="1302"/>
      <c r="CA765" s="1302"/>
      <c r="CB765" s="1302"/>
      <c r="CC765" s="1304"/>
      <c r="CD765" s="1303"/>
      <c r="CE765" s="1302"/>
      <c r="CF765" s="1302"/>
      <c r="CG765" s="1302"/>
      <c r="CH765" s="1302"/>
      <c r="CI765" s="1302"/>
      <c r="CJ765" s="1302"/>
      <c r="CK765" s="1304"/>
      <c r="CL765" s="1303"/>
      <c r="CM765" s="1302"/>
      <c r="CN765" s="1302"/>
      <c r="CO765" s="1302"/>
      <c r="CP765" s="1302"/>
      <c r="CQ765" s="1302"/>
      <c r="CR765" s="1302"/>
      <c r="CS765" s="1304"/>
      <c r="CT765" s="1303">
        <v>-0.11</v>
      </c>
      <c r="CU765" s="1302">
        <f>(CV765*CN762-CT765*CL762)/CM762</f>
        <v>-0.160914285714286</v>
      </c>
      <c r="CV765" s="1302">
        <v>-0.14</v>
      </c>
      <c r="CW765" s="1302">
        <f>(CX765*CP762-CV765*CN762)/CO762</f>
        <v>-0.07</v>
      </c>
      <c r="CX765" s="1302">
        <v>-0.12</v>
      </c>
      <c r="CY765" s="1302">
        <f>(DA765*CS762-CX765*CP762)/CQ762</f>
        <v>0.0498430493273543</v>
      </c>
      <c r="CZ765" s="1302">
        <f>(DA765*CS762-CV765*CN762)/CR762</f>
        <v>-0.0186057692307692</v>
      </c>
      <c r="DA765" s="1304">
        <v>-0.09</v>
      </c>
      <c r="DB765" s="1109">
        <v>0.03</v>
      </c>
      <c r="DC765" s="1082">
        <f>(DD765*CV762-DB765*CT762)/CU762</f>
        <v>0.0472992700729927</v>
      </c>
      <c r="DD765" s="1082">
        <v>0.04</v>
      </c>
      <c r="DE765" s="1082">
        <f>(DF765*CX762-DD765*CV762)/CW762</f>
        <v>0.110967741935484</v>
      </c>
      <c r="DF765" s="1082">
        <v>0.06</v>
      </c>
      <c r="DG765" s="1082">
        <f>(DI765*DA762-DF765*CX762)/CY762</f>
        <v>-0.0776086956521739</v>
      </c>
      <c r="DH765" s="1082">
        <f>(DI765*DA762-DD765*CV762)/CZ762</f>
        <v>0.0171891891891892</v>
      </c>
      <c r="DI765" s="1085">
        <v>0.03</v>
      </c>
      <c r="DJ765" s="1082">
        <v>-0.01</v>
      </c>
      <c r="DK765" s="1082">
        <v>0.0765079365079365</v>
      </c>
      <c r="DL765" s="1082">
        <f>(DJ765*DB762+DK765*DC762)/DD762</f>
        <v>0.04</v>
      </c>
      <c r="DM765" s="1082">
        <f>(DN765*DF762-DL765*DD762)/DE762</f>
        <v>-0.160645161290323</v>
      </c>
      <c r="DN765" s="1082">
        <v>-0.02</v>
      </c>
      <c r="DO765" s="1488">
        <v>0</v>
      </c>
      <c r="DP765" s="1082">
        <f>(DO765*DG762+DM765*DE762)/DH762</f>
        <v>-0.0798930481283423</v>
      </c>
      <c r="DQ765" s="1085">
        <f>(DP765*DH762+DL765*DD762)/DI762</f>
        <v>-0.015358024691358</v>
      </c>
      <c r="DR765" s="1082"/>
      <c r="DS765" s="1488"/>
      <c r="DT765" s="1082"/>
      <c r="DU765" s="1488"/>
      <c r="DV765" s="1082"/>
      <c r="DW765" s="1488"/>
      <c r="DX765" s="1082"/>
      <c r="DY765" s="1085"/>
      <c r="DZ765" s="1082"/>
      <c r="EA765" s="1488"/>
      <c r="EB765" s="1082"/>
      <c r="EC765" s="1488"/>
      <c r="ED765" s="1082"/>
      <c r="EE765" s="1488"/>
      <c r="EF765" s="1082"/>
      <c r="EG765" s="1085"/>
      <c r="EH765" s="1082"/>
      <c r="EI765" s="1488"/>
      <c r="EJ765" s="1082"/>
      <c r="EK765" s="1488"/>
      <c r="EL765" s="1082"/>
      <c r="EM765" s="1488"/>
      <c r="EN765" s="1082"/>
      <c r="EO765" s="1085"/>
      <c r="EP765" s="1082"/>
      <c r="EQ765" s="1082"/>
      <c r="ER765" s="1082"/>
      <c r="ES765" s="1082"/>
      <c r="ET765" s="1082"/>
      <c r="EU765" s="1082"/>
      <c r="EV765" s="1082"/>
      <c r="EW765" s="1039"/>
      <c r="EX765" s="891"/>
      <c r="EY765" s="891"/>
      <c r="EZ765" s="891"/>
      <c r="FA765" s="891"/>
      <c r="FB765" s="891"/>
      <c r="FC765" s="891"/>
      <c r="FD765" s="891"/>
      <c r="FE765" s="1039"/>
      <c r="FF765" s="891"/>
      <c r="FG765" s="891"/>
      <c r="FH765" s="891"/>
      <c r="FI765" s="891"/>
      <c r="FJ765" s="891"/>
      <c r="FK765" s="891"/>
      <c r="FL765" s="891"/>
      <c r="FM765" s="1039"/>
      <c r="FN765" s="891"/>
      <c r="FO765" s="891"/>
      <c r="FP765" s="891"/>
      <c r="FQ765" s="891"/>
      <c r="FR765" s="891"/>
      <c r="FS765" s="891"/>
      <c r="FT765" s="891"/>
      <c r="FU765" s="891"/>
      <c r="FV765" s="1040"/>
      <c r="FW765" s="891"/>
      <c r="FX765" s="891"/>
      <c r="FY765" s="891"/>
      <c r="FZ765" s="891"/>
      <c r="GA765" s="891"/>
      <c r="GB765" s="891"/>
      <c r="GC765" s="1039"/>
      <c r="GD765" s="891"/>
      <c r="GE765" s="891"/>
      <c r="GF765" s="891"/>
      <c r="GG765" s="891"/>
      <c r="GH765" s="891"/>
      <c r="GI765" s="891"/>
      <c r="GJ765" s="891"/>
      <c r="GK765" s="1039"/>
      <c r="GL765" s="891"/>
      <c r="GM765" s="891"/>
      <c r="GN765" s="891"/>
      <c r="GO765" s="891"/>
      <c r="GP765" s="891"/>
      <c r="GQ765" s="891"/>
      <c r="GR765" s="891"/>
      <c r="GS765" s="1039"/>
      <c r="GT765" s="891"/>
      <c r="GU765" s="891"/>
      <c r="GV765" s="891"/>
      <c r="GW765" s="891"/>
      <c r="GX765" s="891"/>
      <c r="GY765" s="891"/>
      <c r="GZ765" s="891"/>
      <c r="HA765" s="1039"/>
      <c r="HB765" s="891"/>
      <c r="HC765" s="891"/>
      <c r="HD765" s="891"/>
      <c r="HE765" s="891"/>
      <c r="HF765" s="891"/>
      <c r="HG765" s="891"/>
      <c r="HH765" s="891"/>
      <c r="HI765" s="1039"/>
      <c r="HJ765" s="891"/>
      <c r="HK765" s="891"/>
      <c r="HL765" s="891"/>
      <c r="HM765" s="891"/>
      <c r="HN765" s="891"/>
      <c r="HO765" s="891"/>
      <c r="HP765" s="891"/>
      <c r="HQ765" s="1039"/>
      <c r="HR765" s="891"/>
      <c r="HS765" s="891"/>
      <c r="HT765" s="891"/>
      <c r="HU765" s="891"/>
      <c r="HV765" s="891"/>
      <c r="HW765" s="891"/>
      <c r="HX765" s="891"/>
      <c r="HY765" s="891"/>
      <c r="HZ765" s="891"/>
      <c r="IA765" s="891"/>
      <c r="IB765" s="891"/>
      <c r="IC765" s="891"/>
      <c r="ID765" s="891"/>
      <c r="IE765" s="891"/>
      <c r="IF765" s="891"/>
      <c r="IG765" s="1039"/>
      <c r="IH765" s="891"/>
      <c r="II765" s="891"/>
      <c r="IJ765" s="891"/>
      <c r="IK765" s="891"/>
      <c r="IL765" s="891"/>
      <c r="IM765" s="891"/>
      <c r="IN765" s="891"/>
      <c r="IO765" s="1039"/>
      <c r="IP765" s="891"/>
      <c r="IQ765" s="891"/>
      <c r="IR765" s="891"/>
      <c r="IS765" s="891"/>
      <c r="IT765" s="891"/>
      <c r="IU765" s="891"/>
      <c r="IV765" s="891"/>
      <c r="IW765" s="891"/>
      <c r="IX765" s="1083"/>
      <c r="IY765" s="1083"/>
      <c r="IZ765" s="1083"/>
      <c r="JA765" s="1083"/>
      <c r="JB765" s="1083"/>
      <c r="JC765" s="1083"/>
      <c r="JD765" s="1521"/>
      <c r="JE765" s="1429"/>
      <c r="JF765" s="1426"/>
      <c r="JG765" s="1426"/>
      <c r="JH765" s="1426"/>
    </row>
    <row r="766" spans="1:285">
      <c r="A766" s="1339" t="s">
        <v>642</v>
      </c>
      <c r="B766" s="1409"/>
      <c r="C766" s="1409"/>
      <c r="D766" s="1409"/>
      <c r="E766" s="1409"/>
      <c r="F766" s="1409"/>
      <c r="G766" s="1409"/>
      <c r="H766" s="1409"/>
      <c r="I766" s="1409"/>
      <c r="J766" s="1409"/>
      <c r="K766" s="1409"/>
      <c r="L766" s="1409"/>
      <c r="M766" s="1409"/>
      <c r="N766" s="1409"/>
      <c r="O766" s="1409"/>
      <c r="P766" s="1409"/>
      <c r="Q766" s="1409"/>
      <c r="R766" s="1409"/>
      <c r="S766" s="1409"/>
      <c r="T766" s="1409"/>
      <c r="U766" s="1409"/>
      <c r="V766" s="1409"/>
      <c r="W766" s="1409"/>
      <c r="X766" s="1409"/>
      <c r="Y766" s="1409"/>
      <c r="Z766" s="1409"/>
      <c r="AA766" s="1409"/>
      <c r="AB766" s="1409"/>
      <c r="AC766" s="1409"/>
      <c r="AD766" s="1409"/>
      <c r="AE766" s="1409"/>
      <c r="AF766" s="1409"/>
      <c r="AG766" s="1409"/>
      <c r="AH766" s="1409"/>
      <c r="AI766" s="1409"/>
      <c r="AJ766" s="1409"/>
      <c r="AK766" s="1409"/>
      <c r="AL766" s="1409"/>
      <c r="AM766" s="1409"/>
      <c r="AN766" s="1409"/>
      <c r="AO766" s="1409"/>
      <c r="AP766" s="1409"/>
      <c r="AQ766" s="1409"/>
      <c r="AR766" s="1409"/>
      <c r="AS766" s="1409"/>
      <c r="AT766" s="1409"/>
      <c r="AU766" s="1409"/>
      <c r="AV766" s="1409"/>
      <c r="AW766" s="1409"/>
      <c r="AX766" s="1408"/>
      <c r="AY766" s="1409"/>
      <c r="AZ766" s="1409"/>
      <c r="BA766" s="1409"/>
      <c r="BB766" s="1409"/>
      <c r="BC766" s="1409"/>
      <c r="BD766" s="1409"/>
      <c r="BE766" s="1410"/>
      <c r="BF766" s="1409"/>
      <c r="BG766" s="1409"/>
      <c r="BH766" s="1409"/>
      <c r="BI766" s="1409"/>
      <c r="BJ766" s="1409"/>
      <c r="BK766" s="1409"/>
      <c r="BL766" s="1409"/>
      <c r="BM766" s="1409"/>
      <c r="BN766" s="1408"/>
      <c r="BO766" s="1409"/>
      <c r="BP766" s="1409"/>
      <c r="BQ766" s="1409"/>
      <c r="BR766" s="1409"/>
      <c r="BS766" s="1409"/>
      <c r="BT766" s="1409"/>
      <c r="BU766" s="1410"/>
      <c r="BV766" s="1303">
        <f t="shared" ref="BV766:DQ766" si="4531">BV762/BV$777</f>
        <v>0.525862068965517</v>
      </c>
      <c r="BW766" s="1302">
        <f t="shared" si="4531"/>
        <v>0.532258064516129</v>
      </c>
      <c r="BX766" s="1302">
        <f t="shared" si="4531"/>
        <v>0.529801324503311</v>
      </c>
      <c r="BY766" s="1302">
        <f t="shared" si="4531"/>
        <v>0.491428571428571</v>
      </c>
      <c r="BZ766" s="1302">
        <f t="shared" si="4531"/>
        <v>0.515723270440252</v>
      </c>
      <c r="CA766" s="1302">
        <f t="shared" si="4531"/>
        <v>0.442307692307692</v>
      </c>
      <c r="CB766" s="1302">
        <f t="shared" si="4531"/>
        <v>0.468277945619335</v>
      </c>
      <c r="CC766" s="1304">
        <f t="shared" si="4531"/>
        <v>0.497630331753554</v>
      </c>
      <c r="CD766" s="1303">
        <f t="shared" si="4531"/>
        <v>0.516778523489933</v>
      </c>
      <c r="CE766" s="1302">
        <f t="shared" si="4531"/>
        <v>0.613861386138614</v>
      </c>
      <c r="CF766" s="1302">
        <f t="shared" si="4531"/>
        <v>0.572649572649573</v>
      </c>
      <c r="CG766" s="1302">
        <f t="shared" si="4531"/>
        <v>0.559322033898305</v>
      </c>
      <c r="CH766" s="1302">
        <f t="shared" si="4531"/>
        <v>0.568181818181818</v>
      </c>
      <c r="CI766" s="1302">
        <f t="shared" si="4531"/>
        <v>0.458563535911602</v>
      </c>
      <c r="CJ766" s="1302">
        <f t="shared" si="4531"/>
        <v>0.508379888268156</v>
      </c>
      <c r="CK766" s="1304">
        <f t="shared" si="4531"/>
        <v>0.540197461212976</v>
      </c>
      <c r="CL766" s="1303">
        <f t="shared" si="4531"/>
        <v>0.606965174129353</v>
      </c>
      <c r="CM766" s="1302">
        <f t="shared" si="4531"/>
        <v>0.665399239543726</v>
      </c>
      <c r="CN766" s="1302">
        <f t="shared" si="4531"/>
        <v>0.640086206896552</v>
      </c>
      <c r="CO766" s="1302">
        <f t="shared" si="4531"/>
        <v>0.612371134020618</v>
      </c>
      <c r="CP766" s="1302">
        <f t="shared" si="4531"/>
        <v>0.631914893617021</v>
      </c>
      <c r="CQ766" s="1302">
        <f t="shared" si="4531"/>
        <v>0.45050505050505</v>
      </c>
      <c r="CR766" s="1302">
        <f t="shared" si="4531"/>
        <v>0.448275862068966</v>
      </c>
      <c r="CS766" s="1304">
        <f t="shared" si="4531"/>
        <v>0.589953271028037</v>
      </c>
      <c r="CT766" s="1303">
        <f t="shared" si="4531"/>
        <v>0.555555555555556</v>
      </c>
      <c r="CU766" s="1302">
        <f t="shared" si="4531"/>
        <v>0.573221757322176</v>
      </c>
      <c r="CV766" s="1302">
        <f t="shared" si="4531"/>
        <v>0.56563245823389</v>
      </c>
      <c r="CW766" s="1302">
        <f t="shared" si="4531"/>
        <v>0.489473684210526</v>
      </c>
      <c r="CX766" s="1302">
        <f t="shared" si="4531"/>
        <v>0.541871921182266</v>
      </c>
      <c r="CY766" s="1302">
        <f t="shared" si="4531"/>
        <v>0.471794871794872</v>
      </c>
      <c r="CZ766" s="1302">
        <f t="shared" si="4531"/>
        <v>0.480519480519481</v>
      </c>
      <c r="DA766" s="1304">
        <f t="shared" si="4531"/>
        <v>0.524875621890547</v>
      </c>
      <c r="DB766" s="1109">
        <f t="shared" si="4531"/>
        <v>0.481675392670157</v>
      </c>
      <c r="DC766" s="1082">
        <f t="shared" si="4531"/>
        <v>0.555066079295154</v>
      </c>
      <c r="DD766" s="1082">
        <f t="shared" si="4531"/>
        <v>0.521531100478469</v>
      </c>
      <c r="DE766" s="1082">
        <f t="shared" si="4531"/>
        <v>0.476923076923077</v>
      </c>
      <c r="DF766" s="1082">
        <f t="shared" si="4531"/>
        <v>0.507340946166395</v>
      </c>
      <c r="DG766" s="1082">
        <f t="shared" si="4531"/>
        <v>0.472361809045226</v>
      </c>
      <c r="DH766" s="1082">
        <f t="shared" si="4531"/>
        <v>0.474619289340102</v>
      </c>
      <c r="DI766" s="1085">
        <f t="shared" si="4531"/>
        <v>0.498768472906404</v>
      </c>
      <c r="DJ766" s="1082">
        <f t="shared" si="4531"/>
        <v>0.525773195876289</v>
      </c>
      <c r="DK766" s="1082">
        <f t="shared" si="4531"/>
        <v>0.588235294117647</v>
      </c>
      <c r="DL766" s="1082">
        <f t="shared" si="4531"/>
        <v>0.561247216035635</v>
      </c>
      <c r="DM766" s="1082">
        <f t="shared" si="4531"/>
        <v>0.451086956521739</v>
      </c>
      <c r="DN766" s="1082">
        <f t="shared" si="4531"/>
        <v>0.529225908372828</v>
      </c>
      <c r="DO766" s="1082" t="e">
        <f t="shared" si="4531"/>
        <v>#REF!</v>
      </c>
      <c r="DP766" s="1082" t="e">
        <f t="shared" si="4531"/>
        <v>#REF!</v>
      </c>
      <c r="DQ766" s="1085" t="e">
        <f t="shared" si="4531"/>
        <v>#REF!</v>
      </c>
      <c r="DR766" s="1082"/>
      <c r="DS766" s="1082"/>
      <c r="DT766" s="1082"/>
      <c r="DU766" s="1082"/>
      <c r="DV766" s="1082"/>
      <c r="DW766" s="1082"/>
      <c r="DX766" s="1082"/>
      <c r="DY766" s="1085"/>
      <c r="DZ766" s="1082"/>
      <c r="EA766" s="1082"/>
      <c r="EB766" s="1082"/>
      <c r="EC766" s="1082"/>
      <c r="ED766" s="1082"/>
      <c r="EE766" s="1082"/>
      <c r="EF766" s="1082"/>
      <c r="EG766" s="1085"/>
      <c r="EH766" s="1082"/>
      <c r="EI766" s="1082"/>
      <c r="EJ766" s="1082"/>
      <c r="EK766" s="1082"/>
      <c r="EL766" s="1082"/>
      <c r="EM766" s="1082"/>
      <c r="EN766" s="1082"/>
      <c r="EO766" s="1085"/>
      <c r="EP766" s="1082"/>
      <c r="EQ766" s="1082"/>
      <c r="ER766" s="1082"/>
      <c r="ES766" s="1082"/>
      <c r="ET766" s="1082"/>
      <c r="EU766" s="1082"/>
      <c r="EV766" s="1082"/>
      <c r="IX766" s="1083"/>
      <c r="IY766" s="1083"/>
      <c r="IZ766" s="1083"/>
      <c r="JA766" s="1083"/>
      <c r="JB766" s="1083"/>
      <c r="JC766" s="1083"/>
      <c r="JD766" s="1521"/>
      <c r="JE766" s="1126"/>
      <c r="JF766" s="1037"/>
      <c r="JG766" s="1037"/>
      <c r="JH766" s="1037"/>
      <c r="JI766" s="1035"/>
      <c r="JJ766" s="1035"/>
      <c r="JK766" s="1035"/>
      <c r="JL766" s="1035"/>
      <c r="JM766" s="1035"/>
      <c r="JN766" s="1035"/>
      <c r="JO766" s="1035"/>
      <c r="JP766" s="1035"/>
      <c r="JQ766" s="1035"/>
      <c r="JR766" s="1035"/>
      <c r="JS766" s="1035"/>
      <c r="JT766" s="1035"/>
      <c r="JU766" s="1035"/>
      <c r="JV766" s="1035"/>
      <c r="JW766" s="1035"/>
      <c r="JX766" s="1035"/>
      <c r="JY766" s="1035"/>
    </row>
    <row r="767" spans="1:285">
      <c r="A767" s="1306" t="s">
        <v>211</v>
      </c>
      <c r="B767" s="1307"/>
      <c r="C767" s="1307"/>
      <c r="D767" s="1307"/>
      <c r="E767" s="1307"/>
      <c r="F767" s="1307"/>
      <c r="G767" s="1307"/>
      <c r="H767" s="1307"/>
      <c r="I767" s="1307"/>
      <c r="J767" s="1307"/>
      <c r="K767" s="1307"/>
      <c r="L767" s="1307"/>
      <c r="M767" s="1307"/>
      <c r="N767" s="1307"/>
      <c r="O767" s="1307"/>
      <c r="P767" s="1307"/>
      <c r="Q767" s="1307"/>
      <c r="R767" s="1307"/>
      <c r="S767" s="1307"/>
      <c r="T767" s="1307"/>
      <c r="U767" s="1307"/>
      <c r="V767" s="1307"/>
      <c r="W767" s="1307"/>
      <c r="X767" s="1307"/>
      <c r="Y767" s="1307"/>
      <c r="Z767" s="1307"/>
      <c r="AA767" s="1307"/>
      <c r="AB767" s="1307"/>
      <c r="AC767" s="1307"/>
      <c r="AD767" s="1307"/>
      <c r="AE767" s="1307"/>
      <c r="AF767" s="1307"/>
      <c r="AG767" s="1307"/>
      <c r="AH767" s="1307"/>
      <c r="AI767" s="1307"/>
      <c r="AJ767" s="1307"/>
      <c r="AK767" s="1307"/>
      <c r="AL767" s="1307"/>
      <c r="AM767" s="1307"/>
      <c r="AN767" s="1307"/>
      <c r="AO767" s="1307"/>
      <c r="AP767" s="1307"/>
      <c r="AQ767" s="1307"/>
      <c r="AR767" s="1307"/>
      <c r="AS767" s="1307"/>
      <c r="AT767" s="1307"/>
      <c r="AU767" s="1307"/>
      <c r="AV767" s="1307"/>
      <c r="AW767" s="1307"/>
      <c r="AX767" s="1308"/>
      <c r="AY767" s="1307"/>
      <c r="AZ767" s="1307"/>
      <c r="BA767" s="1307"/>
      <c r="BB767" s="1307"/>
      <c r="BC767" s="1307"/>
      <c r="BD767" s="1307"/>
      <c r="BE767" s="1309"/>
      <c r="BF767" s="1307"/>
      <c r="BG767" s="1307"/>
      <c r="BH767" s="1307"/>
      <c r="BI767" s="1307"/>
      <c r="BJ767" s="1307"/>
      <c r="BK767" s="1307"/>
      <c r="BL767" s="1307"/>
      <c r="BM767" s="1307"/>
      <c r="BN767" s="1308"/>
      <c r="BO767" s="1307"/>
      <c r="BP767" s="1307"/>
      <c r="BQ767" s="1307"/>
      <c r="BR767" s="1307"/>
      <c r="BS767" s="1307"/>
      <c r="BT767" s="1307"/>
      <c r="BU767" s="1309"/>
      <c r="BV767" s="1308">
        <v>38</v>
      </c>
      <c r="BW767" s="1307">
        <f>BX767-BV767</f>
        <v>56</v>
      </c>
      <c r="BX767" s="1307">
        <v>94</v>
      </c>
      <c r="BY767" s="1307">
        <f>BZ767-BX767</f>
        <v>65</v>
      </c>
      <c r="BZ767" s="1307">
        <v>159</v>
      </c>
      <c r="CA767" s="1307">
        <f>CC767-BZ767</f>
        <v>61</v>
      </c>
      <c r="CB767" s="1307">
        <f>CA767+BY767</f>
        <v>126</v>
      </c>
      <c r="CC767" s="1309">
        <v>220</v>
      </c>
      <c r="CD767" s="1308">
        <v>44</v>
      </c>
      <c r="CE767" s="1307">
        <f>CF767-CD767</f>
        <v>51</v>
      </c>
      <c r="CF767" s="1307">
        <v>95</v>
      </c>
      <c r="CG767" s="1307">
        <f>CH767-CF767</f>
        <v>54</v>
      </c>
      <c r="CH767" s="1307">
        <v>149</v>
      </c>
      <c r="CI767" s="1307">
        <f>CK767-CH767</f>
        <v>72</v>
      </c>
      <c r="CJ767" s="1307">
        <f>CI767+CG767</f>
        <v>126</v>
      </c>
      <c r="CK767" s="1309">
        <v>221</v>
      </c>
      <c r="CL767" s="1308">
        <v>54</v>
      </c>
      <c r="CM767" s="1307">
        <f>CN767-CL767</f>
        <v>61</v>
      </c>
      <c r="CN767" s="1307">
        <v>115</v>
      </c>
      <c r="CO767" s="1307">
        <v>64.8</v>
      </c>
      <c r="CP767" s="1307">
        <v>179.8</v>
      </c>
      <c r="CQ767" s="1307">
        <f>CS767-CP767</f>
        <v>74.2</v>
      </c>
      <c r="CR767" s="1307">
        <f>CS767-CN767</f>
        <v>139</v>
      </c>
      <c r="CS767" s="1309">
        <v>254</v>
      </c>
      <c r="CT767" s="1308">
        <v>55</v>
      </c>
      <c r="CU767" s="1307">
        <f>+CV767-CT767</f>
        <v>71</v>
      </c>
      <c r="CV767" s="1307">
        <v>126</v>
      </c>
      <c r="CW767" s="1307">
        <f>CX767-CV767</f>
        <v>72</v>
      </c>
      <c r="CX767" s="1307">
        <v>198</v>
      </c>
      <c r="CY767" s="1307">
        <f>DA767-CX767</f>
        <v>84</v>
      </c>
      <c r="CZ767" s="1307">
        <f>CY767+CW767</f>
        <v>156</v>
      </c>
      <c r="DA767" s="1309">
        <v>282</v>
      </c>
      <c r="DB767" s="1332">
        <v>65</v>
      </c>
      <c r="DC767" s="1311">
        <f>DD767-DB767</f>
        <v>69</v>
      </c>
      <c r="DD767" s="1311">
        <v>134</v>
      </c>
      <c r="DE767" s="1311">
        <f>DF767-DD767</f>
        <v>83</v>
      </c>
      <c r="DF767" s="1311">
        <v>217</v>
      </c>
      <c r="DG767" s="1311">
        <f>DH767-DE767</f>
        <v>88</v>
      </c>
      <c r="DH767" s="1311">
        <f>DI767-DD767</f>
        <v>171</v>
      </c>
      <c r="DI767" s="1312">
        <v>305</v>
      </c>
      <c r="DJ767" s="1311">
        <f>DJ532-DJ622-DJ700</f>
        <v>61</v>
      </c>
      <c r="DK767" s="1311">
        <f>DC767*(1+DK768)</f>
        <v>69</v>
      </c>
      <c r="DL767" s="1311">
        <f>DK767+DJ767</f>
        <v>130</v>
      </c>
      <c r="DM767" s="1311">
        <f>DN767-DL767</f>
        <v>77</v>
      </c>
      <c r="DN767" s="1311">
        <v>207</v>
      </c>
      <c r="DO767" s="1311">
        <v>0</v>
      </c>
      <c r="DP767" s="1311">
        <f>DO767+DM767</f>
        <v>77</v>
      </c>
      <c r="DQ767" s="1312">
        <f>DP767+DL767</f>
        <v>207</v>
      </c>
      <c r="DR767" s="1311"/>
      <c r="DS767" s="1311"/>
      <c r="DT767" s="1311"/>
      <c r="DU767" s="1311"/>
      <c r="DV767" s="1311"/>
      <c r="DW767" s="1311"/>
      <c r="DX767" s="1311"/>
      <c r="DY767" s="1312"/>
      <c r="DZ767" s="1311"/>
      <c r="EA767" s="1311"/>
      <c r="EB767" s="1311"/>
      <c r="EC767" s="1311"/>
      <c r="ED767" s="1311"/>
      <c r="EE767" s="1311"/>
      <c r="EF767" s="1311"/>
      <c r="EG767" s="1312"/>
      <c r="EH767" s="1311"/>
      <c r="EI767" s="1311"/>
      <c r="EJ767" s="1311"/>
      <c r="EK767" s="1311"/>
      <c r="EL767" s="1311"/>
      <c r="EM767" s="1311"/>
      <c r="EN767" s="1311"/>
      <c r="EO767" s="1312"/>
      <c r="EP767" s="1311"/>
      <c r="EQ767" s="1311"/>
      <c r="ER767" s="1311"/>
      <c r="ES767" s="1311"/>
      <c r="ET767" s="1311"/>
      <c r="EU767" s="1311"/>
      <c r="EV767" s="1311"/>
      <c r="IX767" s="1354"/>
      <c r="IY767" s="1354"/>
      <c r="IZ767" s="1354"/>
      <c r="JA767" s="1354"/>
      <c r="JB767" s="1354"/>
      <c r="JC767" s="1354"/>
      <c r="JD767" s="1518"/>
      <c r="JE767" s="1126"/>
      <c r="JF767" s="1037"/>
      <c r="JG767" s="1037"/>
      <c r="JH767" s="1037"/>
      <c r="JI767" s="1035"/>
      <c r="JJ767" s="1035"/>
      <c r="JK767" s="1035"/>
      <c r="JL767" s="1035"/>
      <c r="JM767" s="1035"/>
      <c r="JN767" s="1035"/>
      <c r="JO767" s="1035"/>
      <c r="JP767" s="1035"/>
      <c r="JQ767" s="1035"/>
      <c r="JR767" s="1035"/>
      <c r="JS767" s="1035"/>
      <c r="JT767" s="1035"/>
      <c r="JU767" s="1035"/>
      <c r="JV767" s="1035"/>
      <c r="JW767" s="1035"/>
      <c r="JX767" s="1035"/>
      <c r="JY767" s="1035"/>
    </row>
    <row r="768" s="1031" customFormat="1" spans="1:285">
      <c r="A768" s="1339" t="s">
        <v>639</v>
      </c>
      <c r="B768" s="1405"/>
      <c r="C768" s="1405"/>
      <c r="D768" s="1405"/>
      <c r="E768" s="1405"/>
      <c r="F768" s="1405"/>
      <c r="G768" s="1405"/>
      <c r="H768" s="1405"/>
      <c r="I768" s="1405"/>
      <c r="J768" s="1405"/>
      <c r="K768" s="1405"/>
      <c r="L768" s="1405"/>
      <c r="M768" s="1405"/>
      <c r="N768" s="1405"/>
      <c r="O768" s="1405"/>
      <c r="P768" s="1405"/>
      <c r="Q768" s="1405"/>
      <c r="R768" s="1405"/>
      <c r="S768" s="1405"/>
      <c r="T768" s="1405"/>
      <c r="U768" s="1405"/>
      <c r="V768" s="1405"/>
      <c r="W768" s="1405"/>
      <c r="X768" s="1405"/>
      <c r="Y768" s="1405"/>
      <c r="Z768" s="1405"/>
      <c r="AA768" s="1405"/>
      <c r="AB768" s="1405"/>
      <c r="AC768" s="1405"/>
      <c r="AD768" s="1405"/>
      <c r="AE768" s="1405"/>
      <c r="AF768" s="1405"/>
      <c r="AG768" s="1405"/>
      <c r="AH768" s="1405"/>
      <c r="AI768" s="1405"/>
      <c r="AJ768" s="1405"/>
      <c r="AK768" s="1405"/>
      <c r="AL768" s="1405"/>
      <c r="AM768" s="1405"/>
      <c r="AN768" s="1405"/>
      <c r="AO768" s="1405"/>
      <c r="AP768" s="1405"/>
      <c r="AQ768" s="1405"/>
      <c r="AR768" s="1405"/>
      <c r="AS768" s="1405"/>
      <c r="AT768" s="1405"/>
      <c r="AU768" s="1405"/>
      <c r="AV768" s="1405"/>
      <c r="AW768" s="1405"/>
      <c r="AX768" s="1406"/>
      <c r="AY768" s="1405"/>
      <c r="AZ768" s="1405"/>
      <c r="BA768" s="1405"/>
      <c r="BB768" s="1405"/>
      <c r="BC768" s="1405"/>
      <c r="BD768" s="1405"/>
      <c r="BE768" s="1407"/>
      <c r="BF768" s="1405"/>
      <c r="BG768" s="1405"/>
      <c r="BH768" s="1405"/>
      <c r="BI768" s="1405"/>
      <c r="BJ768" s="1405"/>
      <c r="BK768" s="1405"/>
      <c r="BL768" s="1405"/>
      <c r="BM768" s="1405"/>
      <c r="BN768" s="1406"/>
      <c r="BO768" s="1405"/>
      <c r="BP768" s="1405"/>
      <c r="BQ768" s="1405"/>
      <c r="BR768" s="1405"/>
      <c r="BS768" s="1405"/>
      <c r="BT768" s="1405"/>
      <c r="BU768" s="1407"/>
      <c r="BV768" s="1303" t="s">
        <v>173</v>
      </c>
      <c r="BW768" s="1302" t="s">
        <v>173</v>
      </c>
      <c r="BX768" s="1302" t="s">
        <v>173</v>
      </c>
      <c r="BY768" s="1302" t="s">
        <v>173</v>
      </c>
      <c r="BZ768" s="1302" t="s">
        <v>173</v>
      </c>
      <c r="CA768" s="1302" t="s">
        <v>173</v>
      </c>
      <c r="CB768" s="1302" t="s">
        <v>173</v>
      </c>
      <c r="CC768" s="1304" t="s">
        <v>173</v>
      </c>
      <c r="CD768" s="1303">
        <f t="shared" ref="CD768:CN768" si="4532">CD767/BV767-1</f>
        <v>0.157894736842105</v>
      </c>
      <c r="CE768" s="1302">
        <f t="shared" si="4532"/>
        <v>-0.0892857142857143</v>
      </c>
      <c r="CF768" s="1302">
        <f t="shared" si="4532"/>
        <v>0.0106382978723405</v>
      </c>
      <c r="CG768" s="1302">
        <f t="shared" si="4532"/>
        <v>-0.169230769230769</v>
      </c>
      <c r="CH768" s="1302">
        <f t="shared" si="4532"/>
        <v>-0.0628930817610063</v>
      </c>
      <c r="CI768" s="1302">
        <f t="shared" si="4532"/>
        <v>0.180327868852459</v>
      </c>
      <c r="CJ768" s="1302">
        <f t="shared" si="4532"/>
        <v>0</v>
      </c>
      <c r="CK768" s="1304">
        <f t="shared" si="4532"/>
        <v>0.00454545454545463</v>
      </c>
      <c r="CL768" s="1303">
        <f t="shared" si="4532"/>
        <v>0.227272727272727</v>
      </c>
      <c r="CM768" s="1302">
        <f t="shared" si="4532"/>
        <v>0.196078431372549</v>
      </c>
      <c r="CN768" s="1302">
        <f t="shared" si="4532"/>
        <v>0.210526315789474</v>
      </c>
      <c r="CO768" s="1302">
        <v>0.2</v>
      </c>
      <c r="CP768" s="1302">
        <f>CP767/CH767-1</f>
        <v>0.206711409395973</v>
      </c>
      <c r="CQ768" s="1302">
        <f>CQ767/CI767-1</f>
        <v>0.0305555555555554</v>
      </c>
      <c r="CR768" s="1302">
        <f>CR767/CG767-1</f>
        <v>1.57407407407407</v>
      </c>
      <c r="CS768" s="1304">
        <f t="shared" ref="CS768:CX768" si="4533">CS767/CK767-1</f>
        <v>0.149321266968326</v>
      </c>
      <c r="CT768" s="1303">
        <f t="shared" si="4533"/>
        <v>0.0185185185185186</v>
      </c>
      <c r="CU768" s="1302">
        <f t="shared" si="4533"/>
        <v>0.163934426229508</v>
      </c>
      <c r="CV768" s="1302">
        <f t="shared" si="4533"/>
        <v>0.0956521739130434</v>
      </c>
      <c r="CW768" s="1302">
        <f t="shared" si="4533"/>
        <v>0.111111111111111</v>
      </c>
      <c r="CX768" s="1302">
        <f t="shared" si="4533"/>
        <v>0.101223581757508</v>
      </c>
      <c r="CY768" s="1302">
        <f t="shared" ref="CY768:DD768" si="4534">CY767/CQ767-1</f>
        <v>0.132075471698113</v>
      </c>
      <c r="CZ768" s="1302">
        <f t="shared" si="4534"/>
        <v>0.122302158273381</v>
      </c>
      <c r="DA768" s="1304">
        <f t="shared" si="4534"/>
        <v>0.110236220472441</v>
      </c>
      <c r="DB768" s="1109">
        <f t="shared" si="4534"/>
        <v>0.181818181818182</v>
      </c>
      <c r="DC768" s="1082">
        <f t="shared" si="4534"/>
        <v>-0.028169014084507</v>
      </c>
      <c r="DD768" s="1082">
        <f t="shared" si="4534"/>
        <v>0.0634920634920635</v>
      </c>
      <c r="DE768" s="1082">
        <f t="shared" ref="DE768:DJ768" si="4535">DE767/CW767-1</f>
        <v>0.152777777777778</v>
      </c>
      <c r="DF768" s="1082">
        <f t="shared" si="4535"/>
        <v>0.095959595959596</v>
      </c>
      <c r="DG768" s="1082">
        <f t="shared" si="4535"/>
        <v>0.0476190476190477</v>
      </c>
      <c r="DH768" s="1082">
        <f t="shared" si="4535"/>
        <v>0.0961538461538463</v>
      </c>
      <c r="DI768" s="1085">
        <f t="shared" si="4535"/>
        <v>0.0815602836879432</v>
      </c>
      <c r="DJ768" s="1082">
        <f t="shared" si="4535"/>
        <v>-0.0615384615384615</v>
      </c>
      <c r="DK768" s="1082">
        <f>SUM(DK769:DK770)</f>
        <v>0</v>
      </c>
      <c r="DL768" s="1082">
        <f t="shared" ref="DL768:DQ768" si="4536">DL767/DD767-1</f>
        <v>-0.0298507462686567</v>
      </c>
      <c r="DM768" s="1082">
        <f t="shared" si="4536"/>
        <v>-0.072289156626506</v>
      </c>
      <c r="DN768" s="1082">
        <f t="shared" si="4536"/>
        <v>-0.0460829493087558</v>
      </c>
      <c r="DO768" s="1082">
        <f t="shared" si="4536"/>
        <v>-1</v>
      </c>
      <c r="DP768" s="1082">
        <f t="shared" si="4536"/>
        <v>-0.549707602339181</v>
      </c>
      <c r="DQ768" s="1085">
        <f t="shared" si="4536"/>
        <v>-0.321311475409836</v>
      </c>
      <c r="DR768" s="1082"/>
      <c r="DS768" s="1082"/>
      <c r="DT768" s="1082"/>
      <c r="DU768" s="1082"/>
      <c r="DV768" s="1082"/>
      <c r="DW768" s="1082"/>
      <c r="DX768" s="1082"/>
      <c r="DY768" s="1085"/>
      <c r="DZ768" s="1082"/>
      <c r="EA768" s="1082"/>
      <c r="EB768" s="1082"/>
      <c r="EC768" s="1082"/>
      <c r="ED768" s="1082"/>
      <c r="EE768" s="1082"/>
      <c r="EF768" s="1082"/>
      <c r="EG768" s="1085"/>
      <c r="EH768" s="1082"/>
      <c r="EI768" s="1082"/>
      <c r="EJ768" s="1082"/>
      <c r="EK768" s="1082"/>
      <c r="EL768" s="1082"/>
      <c r="EM768" s="1082"/>
      <c r="EN768" s="1082"/>
      <c r="EO768" s="1085"/>
      <c r="EP768" s="1082"/>
      <c r="EQ768" s="1082"/>
      <c r="ER768" s="1082"/>
      <c r="ES768" s="1082"/>
      <c r="ET768" s="1082"/>
      <c r="EU768" s="1082"/>
      <c r="EV768" s="1082"/>
      <c r="EW768" s="1039"/>
      <c r="EX768" s="891"/>
      <c r="EY768" s="891"/>
      <c r="EZ768" s="891"/>
      <c r="FA768" s="891"/>
      <c r="FB768" s="891"/>
      <c r="FC768" s="891"/>
      <c r="FD768" s="891"/>
      <c r="FE768" s="1039"/>
      <c r="FF768" s="891"/>
      <c r="FG768" s="891"/>
      <c r="FH768" s="891"/>
      <c r="FI768" s="891"/>
      <c r="FJ768" s="891"/>
      <c r="FK768" s="891"/>
      <c r="FL768" s="891"/>
      <c r="FM768" s="1039"/>
      <c r="FN768" s="891"/>
      <c r="FO768" s="891"/>
      <c r="FP768" s="891"/>
      <c r="FQ768" s="891"/>
      <c r="FR768" s="891"/>
      <c r="FS768" s="891"/>
      <c r="FT768" s="891"/>
      <c r="FU768" s="891"/>
      <c r="FV768" s="1040"/>
      <c r="FW768" s="891"/>
      <c r="FX768" s="891"/>
      <c r="FY768" s="891"/>
      <c r="FZ768" s="891"/>
      <c r="GA768" s="891"/>
      <c r="GB768" s="891"/>
      <c r="GC768" s="1039"/>
      <c r="GD768" s="891"/>
      <c r="GE768" s="891"/>
      <c r="GF768" s="891"/>
      <c r="GG768" s="891"/>
      <c r="GH768" s="891"/>
      <c r="GI768" s="891"/>
      <c r="GJ768" s="891"/>
      <c r="GK768" s="1039"/>
      <c r="GL768" s="891"/>
      <c r="GM768" s="891"/>
      <c r="GN768" s="891"/>
      <c r="GO768" s="891"/>
      <c r="GP768" s="891"/>
      <c r="GQ768" s="891"/>
      <c r="GR768" s="891"/>
      <c r="GS768" s="1039"/>
      <c r="GT768" s="891"/>
      <c r="GU768" s="891"/>
      <c r="GV768" s="891"/>
      <c r="GW768" s="891"/>
      <c r="GX768" s="891"/>
      <c r="GY768" s="891"/>
      <c r="GZ768" s="891"/>
      <c r="HA768" s="1039"/>
      <c r="HB768" s="891"/>
      <c r="HC768" s="891"/>
      <c r="HD768" s="891"/>
      <c r="HE768" s="891"/>
      <c r="HF768" s="891"/>
      <c r="HG768" s="891"/>
      <c r="HH768" s="891"/>
      <c r="HI768" s="1039"/>
      <c r="HJ768" s="891"/>
      <c r="HK768" s="891"/>
      <c r="HL768" s="891"/>
      <c r="HM768" s="891"/>
      <c r="HN768" s="891"/>
      <c r="HO768" s="891"/>
      <c r="HP768" s="891"/>
      <c r="HQ768" s="1039"/>
      <c r="HR768" s="891"/>
      <c r="HS768" s="891"/>
      <c r="HT768" s="891"/>
      <c r="HU768" s="891"/>
      <c r="HV768" s="891"/>
      <c r="HW768" s="891"/>
      <c r="HX768" s="891"/>
      <c r="HY768" s="891"/>
      <c r="HZ768" s="891"/>
      <c r="IA768" s="891"/>
      <c r="IB768" s="891"/>
      <c r="IC768" s="891"/>
      <c r="ID768" s="891"/>
      <c r="IE768" s="891"/>
      <c r="IF768" s="891"/>
      <c r="IG768" s="1039"/>
      <c r="IH768" s="891"/>
      <c r="II768" s="891"/>
      <c r="IJ768" s="891"/>
      <c r="IK768" s="891"/>
      <c r="IL768" s="891"/>
      <c r="IM768" s="891"/>
      <c r="IN768" s="891"/>
      <c r="IO768" s="1039"/>
      <c r="IP768" s="891"/>
      <c r="IQ768" s="891"/>
      <c r="IR768" s="891"/>
      <c r="IS768" s="891"/>
      <c r="IT768" s="891"/>
      <c r="IU768" s="891"/>
      <c r="IV768" s="891"/>
      <c r="IW768" s="891"/>
      <c r="IX768" s="1083"/>
      <c r="IY768" s="1083"/>
      <c r="IZ768" s="1083"/>
      <c r="JA768" s="1083"/>
      <c r="JB768" s="1083"/>
      <c r="JC768" s="1083"/>
      <c r="JD768" s="1521"/>
      <c r="JE768" s="1429"/>
      <c r="JF768" s="1426"/>
      <c r="JG768" s="1426"/>
      <c r="JH768" s="1426"/>
    </row>
    <row r="769" s="1031" customFormat="1" spans="1:285">
      <c r="A769" s="1339" t="s">
        <v>640</v>
      </c>
      <c r="B769" s="1405"/>
      <c r="C769" s="1405"/>
      <c r="D769" s="1405"/>
      <c r="E769" s="1405"/>
      <c r="F769" s="1405"/>
      <c r="G769" s="1405"/>
      <c r="H769" s="1405"/>
      <c r="I769" s="1405"/>
      <c r="J769" s="1405"/>
      <c r="K769" s="1405"/>
      <c r="L769" s="1405"/>
      <c r="M769" s="1405"/>
      <c r="N769" s="1405"/>
      <c r="O769" s="1405"/>
      <c r="P769" s="1405"/>
      <c r="Q769" s="1405"/>
      <c r="R769" s="1405"/>
      <c r="S769" s="1405"/>
      <c r="T769" s="1405"/>
      <c r="U769" s="1405"/>
      <c r="V769" s="1405"/>
      <c r="W769" s="1405"/>
      <c r="X769" s="1405"/>
      <c r="Y769" s="1405"/>
      <c r="Z769" s="1405"/>
      <c r="AA769" s="1405"/>
      <c r="AB769" s="1405"/>
      <c r="AC769" s="1405"/>
      <c r="AD769" s="1405"/>
      <c r="AE769" s="1405"/>
      <c r="AF769" s="1405"/>
      <c r="AG769" s="1405"/>
      <c r="AH769" s="1405"/>
      <c r="AI769" s="1405"/>
      <c r="AJ769" s="1405"/>
      <c r="AK769" s="1405"/>
      <c r="AL769" s="1405"/>
      <c r="AM769" s="1405"/>
      <c r="AN769" s="1405"/>
      <c r="AO769" s="1405"/>
      <c r="AP769" s="1405"/>
      <c r="AQ769" s="1405"/>
      <c r="AR769" s="1405"/>
      <c r="AS769" s="1405"/>
      <c r="AT769" s="1405"/>
      <c r="AU769" s="1405"/>
      <c r="AV769" s="1405"/>
      <c r="AW769" s="1405"/>
      <c r="AX769" s="1406"/>
      <c r="AY769" s="1405"/>
      <c r="AZ769" s="1405"/>
      <c r="BA769" s="1405"/>
      <c r="BB769" s="1405"/>
      <c r="BC769" s="1405"/>
      <c r="BD769" s="1405"/>
      <c r="BE769" s="1407"/>
      <c r="BF769" s="1405"/>
      <c r="BG769" s="1405"/>
      <c r="BH769" s="1405"/>
      <c r="BI769" s="1405"/>
      <c r="BJ769" s="1405"/>
      <c r="BK769" s="1405"/>
      <c r="BL769" s="1405"/>
      <c r="BM769" s="1405"/>
      <c r="BN769" s="1406"/>
      <c r="BO769" s="1405"/>
      <c r="BP769" s="1405"/>
      <c r="BQ769" s="1405"/>
      <c r="BR769" s="1405"/>
      <c r="BS769" s="1405"/>
      <c r="BT769" s="1405"/>
      <c r="BU769" s="1407"/>
      <c r="BV769" s="1303"/>
      <c r="BW769" s="1302"/>
      <c r="BX769" s="1302"/>
      <c r="BY769" s="1302"/>
      <c r="BZ769" s="1302"/>
      <c r="CA769" s="1302"/>
      <c r="CB769" s="1302"/>
      <c r="CC769" s="1304"/>
      <c r="CD769" s="1303"/>
      <c r="CE769" s="1302"/>
      <c r="CF769" s="1302"/>
      <c r="CG769" s="1302"/>
      <c r="CH769" s="1302"/>
      <c r="CI769" s="1302"/>
      <c r="CJ769" s="1302"/>
      <c r="CK769" s="1304"/>
      <c r="CL769" s="1303"/>
      <c r="CM769" s="1302"/>
      <c r="CN769" s="1302"/>
      <c r="CO769" s="1302"/>
      <c r="CP769" s="1302"/>
      <c r="CQ769" s="1302"/>
      <c r="CR769" s="1302"/>
      <c r="CS769" s="1304"/>
      <c r="CT769" s="1303">
        <f t="shared" ref="CT769:CZ769" si="4537">CT768-CT770</f>
        <v>-0.0714814814814814</v>
      </c>
      <c r="CU769" s="1302">
        <f t="shared" si="4537"/>
        <v>-0.114590163934426</v>
      </c>
      <c r="CV769" s="1302">
        <f t="shared" si="4537"/>
        <v>-0.0943478260869566</v>
      </c>
      <c r="CW769" s="1302">
        <f t="shared" si="4537"/>
        <v>-0.051141975308642</v>
      </c>
      <c r="CX769" s="1302">
        <f t="shared" si="4537"/>
        <v>-0.0787764182424918</v>
      </c>
      <c r="CY769" s="1302">
        <f t="shared" si="4537"/>
        <v>-0.116388140161725</v>
      </c>
      <c r="CZ769" s="1302">
        <f t="shared" si="4537"/>
        <v>-0.0859712230215829</v>
      </c>
      <c r="DA769" s="1304">
        <f t="shared" ref="DA769:DI769" si="4538">DA768-DA770</f>
        <v>-0.089763779527559</v>
      </c>
      <c r="DB769" s="1109">
        <f t="shared" si="4538"/>
        <v>-0.0781818181818181</v>
      </c>
      <c r="DC769" s="1082">
        <f t="shared" si="4538"/>
        <v>-0.0574647887323943</v>
      </c>
      <c r="DD769" s="1082">
        <f t="shared" si="4538"/>
        <v>-0.0665079365079365</v>
      </c>
      <c r="DE769" s="1082">
        <f t="shared" si="4538"/>
        <v>-0.0597222222222223</v>
      </c>
      <c r="DF769" s="1082">
        <f t="shared" si="4538"/>
        <v>-0.064040404040404</v>
      </c>
      <c r="DG769" s="1082">
        <f t="shared" si="4538"/>
        <v>0.0890476190476191</v>
      </c>
      <c r="DH769" s="1082">
        <f t="shared" si="4538"/>
        <v>0.0203846153846155</v>
      </c>
      <c r="DI769" s="1085">
        <f t="shared" si="4538"/>
        <v>-0.0184397163120568</v>
      </c>
      <c r="DJ769" s="1082">
        <v>0.108461538461538</v>
      </c>
      <c r="DK769" s="1082">
        <v>0.131159420289855</v>
      </c>
      <c r="DL769" s="1082">
        <f t="shared" ref="DL769:DQ769" si="4539">DL768-DL770</f>
        <v>0.120149253731343</v>
      </c>
      <c r="DM769" s="1082">
        <f t="shared" si="4539"/>
        <v>0.103855421686747</v>
      </c>
      <c r="DN769" s="1082">
        <f t="shared" si="4539"/>
        <v>0.113917050691244</v>
      </c>
      <c r="DO769" s="1082">
        <f t="shared" si="4539"/>
        <v>-1</v>
      </c>
      <c r="DP769" s="1082">
        <f t="shared" si="4539"/>
        <v>-0.46421052631579</v>
      </c>
      <c r="DQ769" s="1085">
        <f t="shared" si="4539"/>
        <v>-0.207475409836066</v>
      </c>
      <c r="DR769" s="1082"/>
      <c r="DS769" s="1488"/>
      <c r="DT769" s="1082"/>
      <c r="DU769" s="1488"/>
      <c r="DV769" s="1082"/>
      <c r="DW769" s="1488"/>
      <c r="DX769" s="1082"/>
      <c r="DY769" s="1085"/>
      <c r="DZ769" s="1082"/>
      <c r="EA769" s="1488"/>
      <c r="EB769" s="1082"/>
      <c r="EC769" s="1488"/>
      <c r="ED769" s="1082"/>
      <c r="EE769" s="1488"/>
      <c r="EF769" s="1082"/>
      <c r="EG769" s="1085"/>
      <c r="EH769" s="1082"/>
      <c r="EI769" s="1488"/>
      <c r="EJ769" s="1082"/>
      <c r="EK769" s="1488"/>
      <c r="EL769" s="1082"/>
      <c r="EM769" s="1488"/>
      <c r="EN769" s="1082"/>
      <c r="EO769" s="1085"/>
      <c r="EP769" s="1082"/>
      <c r="EQ769" s="1082"/>
      <c r="ER769" s="1082"/>
      <c r="ES769" s="1082"/>
      <c r="ET769" s="1082"/>
      <c r="EU769" s="1082"/>
      <c r="EV769" s="1082"/>
      <c r="EW769" s="1039"/>
      <c r="EX769" s="891"/>
      <c r="EY769" s="891"/>
      <c r="EZ769" s="891"/>
      <c r="FA769" s="891"/>
      <c r="FB769" s="891"/>
      <c r="FC769" s="891"/>
      <c r="FD769" s="891"/>
      <c r="FE769" s="1039"/>
      <c r="FF769" s="891"/>
      <c r="FG769" s="891"/>
      <c r="FH769" s="891"/>
      <c r="FI769" s="891"/>
      <c r="FJ769" s="891"/>
      <c r="FK769" s="891"/>
      <c r="FL769" s="891"/>
      <c r="FM769" s="1039"/>
      <c r="FN769" s="891"/>
      <c r="FO769" s="891"/>
      <c r="FP769" s="891"/>
      <c r="FQ769" s="891"/>
      <c r="FR769" s="891"/>
      <c r="FS769" s="891"/>
      <c r="FT769" s="891"/>
      <c r="FU769" s="891"/>
      <c r="FV769" s="1040"/>
      <c r="FW769" s="891"/>
      <c r="FX769" s="891"/>
      <c r="FY769" s="891"/>
      <c r="FZ769" s="891"/>
      <c r="GA769" s="891"/>
      <c r="GB769" s="891"/>
      <c r="GC769" s="1039"/>
      <c r="GD769" s="891"/>
      <c r="GE769" s="891"/>
      <c r="GF769" s="891"/>
      <c r="GG769" s="891"/>
      <c r="GH769" s="891"/>
      <c r="GI769" s="891"/>
      <c r="GJ769" s="891"/>
      <c r="GK769" s="1039"/>
      <c r="GL769" s="891"/>
      <c r="GM769" s="891"/>
      <c r="GN769" s="891"/>
      <c r="GO769" s="891"/>
      <c r="GP769" s="891"/>
      <c r="GQ769" s="891"/>
      <c r="GR769" s="891"/>
      <c r="GS769" s="1039"/>
      <c r="GT769" s="891"/>
      <c r="GU769" s="891"/>
      <c r="GV769" s="891"/>
      <c r="GW769" s="891"/>
      <c r="GX769" s="891"/>
      <c r="GY769" s="891"/>
      <c r="GZ769" s="891"/>
      <c r="HA769" s="1039"/>
      <c r="HB769" s="891"/>
      <c r="HC769" s="891"/>
      <c r="HD769" s="891"/>
      <c r="HE769" s="891"/>
      <c r="HF769" s="891"/>
      <c r="HG769" s="891"/>
      <c r="HH769" s="891"/>
      <c r="HI769" s="1039"/>
      <c r="HJ769" s="891"/>
      <c r="HK769" s="891"/>
      <c r="HL769" s="891"/>
      <c r="HM769" s="891"/>
      <c r="HN769" s="891"/>
      <c r="HO769" s="891"/>
      <c r="HP769" s="891"/>
      <c r="HQ769" s="1039"/>
      <c r="HR769" s="891"/>
      <c r="HS769" s="891"/>
      <c r="HT769" s="891"/>
      <c r="HU769" s="891"/>
      <c r="HV769" s="891"/>
      <c r="HW769" s="891"/>
      <c r="HX769" s="891"/>
      <c r="HY769" s="891"/>
      <c r="HZ769" s="891"/>
      <c r="IA769" s="891"/>
      <c r="IB769" s="891"/>
      <c r="IC769" s="891"/>
      <c r="ID769" s="891"/>
      <c r="IE769" s="891"/>
      <c r="IF769" s="891"/>
      <c r="IG769" s="1039"/>
      <c r="IH769" s="891"/>
      <c r="II769" s="891"/>
      <c r="IJ769" s="891"/>
      <c r="IK769" s="891"/>
      <c r="IL769" s="891"/>
      <c r="IM769" s="891"/>
      <c r="IN769" s="891"/>
      <c r="IO769" s="1039"/>
      <c r="IP769" s="891"/>
      <c r="IQ769" s="891"/>
      <c r="IR769" s="891"/>
      <c r="IS769" s="891"/>
      <c r="IT769" s="891"/>
      <c r="IU769" s="891"/>
      <c r="IV769" s="891"/>
      <c r="IW769" s="891"/>
      <c r="IX769" s="1083"/>
      <c r="IY769" s="1083"/>
      <c r="IZ769" s="1083"/>
      <c r="JA769" s="1083"/>
      <c r="JB769" s="1083"/>
      <c r="JC769" s="1083"/>
      <c r="JD769" s="1521"/>
      <c r="JE769" s="1429"/>
      <c r="JF769" s="1426"/>
      <c r="JG769" s="1426"/>
      <c r="JH769" s="1426"/>
    </row>
    <row r="770" s="1031" customFormat="1" spans="1:285">
      <c r="A770" s="1339" t="s">
        <v>641</v>
      </c>
      <c r="B770" s="1405"/>
      <c r="C770" s="1405"/>
      <c r="D770" s="1405"/>
      <c r="E770" s="1405"/>
      <c r="F770" s="1405"/>
      <c r="G770" s="1405"/>
      <c r="H770" s="1405"/>
      <c r="I770" s="1405"/>
      <c r="J770" s="1405"/>
      <c r="K770" s="1405"/>
      <c r="L770" s="1405"/>
      <c r="M770" s="1405"/>
      <c r="N770" s="1405"/>
      <c r="O770" s="1405"/>
      <c r="P770" s="1405"/>
      <c r="Q770" s="1405"/>
      <c r="R770" s="1405"/>
      <c r="S770" s="1405"/>
      <c r="T770" s="1405"/>
      <c r="U770" s="1405"/>
      <c r="V770" s="1405"/>
      <c r="W770" s="1405"/>
      <c r="X770" s="1405"/>
      <c r="Y770" s="1405"/>
      <c r="Z770" s="1405"/>
      <c r="AA770" s="1405"/>
      <c r="AB770" s="1405"/>
      <c r="AC770" s="1405"/>
      <c r="AD770" s="1405"/>
      <c r="AE770" s="1405"/>
      <c r="AF770" s="1405"/>
      <c r="AG770" s="1405"/>
      <c r="AH770" s="1405"/>
      <c r="AI770" s="1405"/>
      <c r="AJ770" s="1405"/>
      <c r="AK770" s="1405"/>
      <c r="AL770" s="1405"/>
      <c r="AM770" s="1405"/>
      <c r="AN770" s="1405"/>
      <c r="AO770" s="1405"/>
      <c r="AP770" s="1405"/>
      <c r="AQ770" s="1405"/>
      <c r="AR770" s="1405"/>
      <c r="AS770" s="1405"/>
      <c r="AT770" s="1405"/>
      <c r="AU770" s="1405"/>
      <c r="AV770" s="1405"/>
      <c r="AW770" s="1405"/>
      <c r="AX770" s="1406"/>
      <c r="AY770" s="1405"/>
      <c r="AZ770" s="1405"/>
      <c r="BA770" s="1405"/>
      <c r="BB770" s="1405"/>
      <c r="BC770" s="1405"/>
      <c r="BD770" s="1405"/>
      <c r="BE770" s="1407"/>
      <c r="BF770" s="1405"/>
      <c r="BG770" s="1405"/>
      <c r="BH770" s="1405"/>
      <c r="BI770" s="1405"/>
      <c r="BJ770" s="1405"/>
      <c r="BK770" s="1405"/>
      <c r="BL770" s="1405"/>
      <c r="BM770" s="1405"/>
      <c r="BN770" s="1406"/>
      <c r="BO770" s="1405"/>
      <c r="BP770" s="1405"/>
      <c r="BQ770" s="1405"/>
      <c r="BR770" s="1405"/>
      <c r="BS770" s="1405"/>
      <c r="BT770" s="1405"/>
      <c r="BU770" s="1407"/>
      <c r="BV770" s="1303"/>
      <c r="BW770" s="1302"/>
      <c r="BX770" s="1302"/>
      <c r="BY770" s="1302"/>
      <c r="BZ770" s="1302"/>
      <c r="CA770" s="1302"/>
      <c r="CB770" s="1302"/>
      <c r="CC770" s="1304"/>
      <c r="CD770" s="1303"/>
      <c r="CE770" s="1302"/>
      <c r="CF770" s="1302"/>
      <c r="CG770" s="1302"/>
      <c r="CH770" s="1302"/>
      <c r="CI770" s="1302"/>
      <c r="CJ770" s="1302"/>
      <c r="CK770" s="1304"/>
      <c r="CL770" s="1303"/>
      <c r="CM770" s="1302"/>
      <c r="CN770" s="1302"/>
      <c r="CO770" s="1302"/>
      <c r="CP770" s="1302"/>
      <c r="CQ770" s="1302"/>
      <c r="CR770" s="1302"/>
      <c r="CS770" s="1304"/>
      <c r="CT770" s="1303">
        <v>0.09</v>
      </c>
      <c r="CU770" s="1302">
        <f>(CV770*CN767-CT770*CL767)/CM767</f>
        <v>0.278524590163934</v>
      </c>
      <c r="CV770" s="1302">
        <v>0.19</v>
      </c>
      <c r="CW770" s="1302">
        <f>(CX770*CP767-CV770*CN767)/CO767</f>
        <v>0.162253086419753</v>
      </c>
      <c r="CX770" s="1302">
        <v>0.18</v>
      </c>
      <c r="CY770" s="1302">
        <f>(DA770*CS767-CX770*CP767)/CQ767</f>
        <v>0.248463611859838</v>
      </c>
      <c r="CZ770" s="1302">
        <f>(DA770*CS767-CV770*CN767)/CR767</f>
        <v>0.208273381294964</v>
      </c>
      <c r="DA770" s="1304">
        <v>0.2</v>
      </c>
      <c r="DB770" s="1109">
        <v>0.26</v>
      </c>
      <c r="DC770" s="1082">
        <f>(DD770*CV767-DB770*CT767)/CU767</f>
        <v>0.0292957746478873</v>
      </c>
      <c r="DD770" s="1082">
        <v>0.13</v>
      </c>
      <c r="DE770" s="1082">
        <f>(DF770*CX767-DD770*CV767)/CW767</f>
        <v>0.2125</v>
      </c>
      <c r="DF770" s="1082">
        <v>0.16</v>
      </c>
      <c r="DG770" s="1082">
        <f>(DI770*DA767-DF770*CX767)/CY767</f>
        <v>-0.0414285714285714</v>
      </c>
      <c r="DH770" s="1082">
        <f>(DI770*DA767-DD770*CV767)/CZ767</f>
        <v>0.0757692307692308</v>
      </c>
      <c r="DI770" s="1085">
        <v>0.1</v>
      </c>
      <c r="DJ770" s="1082">
        <v>-0.17</v>
      </c>
      <c r="DK770" s="1082">
        <v>-0.131159420289855</v>
      </c>
      <c r="DL770" s="1082">
        <f>(DJ770*DB767+DK770*DC767)/DD767</f>
        <v>-0.15</v>
      </c>
      <c r="DM770" s="1082">
        <f>(DN770*DF767-DL770*DD767)/DE767</f>
        <v>-0.176144578313253</v>
      </c>
      <c r="DN770" s="1082">
        <v>-0.16</v>
      </c>
      <c r="DO770" s="1488">
        <v>0</v>
      </c>
      <c r="DP770" s="1082">
        <f>(DO770*DG767+DM770*DE767)/DH767</f>
        <v>-0.0854970760233918</v>
      </c>
      <c r="DQ770" s="1085">
        <f>(DP770*DH767+DL770*DD767)/DI767</f>
        <v>-0.11383606557377</v>
      </c>
      <c r="DR770" s="1082"/>
      <c r="DS770" s="1488"/>
      <c r="DT770" s="1082"/>
      <c r="DU770" s="1488"/>
      <c r="DV770" s="1082"/>
      <c r="DW770" s="1488"/>
      <c r="DX770" s="1082"/>
      <c r="DY770" s="1085"/>
      <c r="DZ770" s="1082"/>
      <c r="EA770" s="1488"/>
      <c r="EB770" s="1082"/>
      <c r="EC770" s="1488"/>
      <c r="ED770" s="1082"/>
      <c r="EE770" s="1488"/>
      <c r="EF770" s="1082"/>
      <c r="EG770" s="1085"/>
      <c r="EH770" s="1082"/>
      <c r="EI770" s="1488"/>
      <c r="EJ770" s="1082"/>
      <c r="EK770" s="1488"/>
      <c r="EL770" s="1082"/>
      <c r="EM770" s="1488"/>
      <c r="EN770" s="1082"/>
      <c r="EO770" s="1085"/>
      <c r="EP770" s="1082"/>
      <c r="EQ770" s="1082"/>
      <c r="ER770" s="1082"/>
      <c r="ES770" s="1082"/>
      <c r="ET770" s="1082"/>
      <c r="EU770" s="1082"/>
      <c r="EV770" s="1082"/>
      <c r="EW770" s="1039"/>
      <c r="EX770" s="891"/>
      <c r="EY770" s="891"/>
      <c r="EZ770" s="891"/>
      <c r="FA770" s="891"/>
      <c r="FB770" s="891"/>
      <c r="FC770" s="891"/>
      <c r="FD770" s="891"/>
      <c r="FE770" s="1039"/>
      <c r="FF770" s="891"/>
      <c r="FG770" s="891"/>
      <c r="FH770" s="891"/>
      <c r="FI770" s="891"/>
      <c r="FJ770" s="891"/>
      <c r="FK770" s="891"/>
      <c r="FL770" s="891"/>
      <c r="FM770" s="1039"/>
      <c r="FN770" s="891"/>
      <c r="FO770" s="891"/>
      <c r="FP770" s="891"/>
      <c r="FQ770" s="891"/>
      <c r="FR770" s="891"/>
      <c r="FS770" s="891"/>
      <c r="FT770" s="891"/>
      <c r="FU770" s="891"/>
      <c r="FV770" s="1040"/>
      <c r="FW770" s="891"/>
      <c r="FX770" s="891"/>
      <c r="FY770" s="891"/>
      <c r="FZ770" s="891"/>
      <c r="GA770" s="891"/>
      <c r="GB770" s="891"/>
      <c r="GC770" s="1039"/>
      <c r="GD770" s="891"/>
      <c r="GE770" s="891"/>
      <c r="GF770" s="891"/>
      <c r="GG770" s="891"/>
      <c r="GH770" s="891"/>
      <c r="GI770" s="891"/>
      <c r="GJ770" s="891"/>
      <c r="GK770" s="1039"/>
      <c r="GL770" s="891"/>
      <c r="GM770" s="891"/>
      <c r="GN770" s="891"/>
      <c r="GO770" s="891"/>
      <c r="GP770" s="891"/>
      <c r="GQ770" s="891"/>
      <c r="GR770" s="891"/>
      <c r="GS770" s="1039"/>
      <c r="GT770" s="891"/>
      <c r="GU770" s="891"/>
      <c r="GV770" s="891"/>
      <c r="GW770" s="891"/>
      <c r="GX770" s="891"/>
      <c r="GY770" s="891"/>
      <c r="GZ770" s="891"/>
      <c r="HA770" s="1039"/>
      <c r="HB770" s="891"/>
      <c r="HC770" s="891"/>
      <c r="HD770" s="891"/>
      <c r="HE770" s="891"/>
      <c r="HF770" s="891"/>
      <c r="HG770" s="891"/>
      <c r="HH770" s="891"/>
      <c r="HI770" s="1039"/>
      <c r="HJ770" s="891"/>
      <c r="HK770" s="891"/>
      <c r="HL770" s="891"/>
      <c r="HM770" s="891"/>
      <c r="HN770" s="891"/>
      <c r="HO770" s="891"/>
      <c r="HP770" s="891"/>
      <c r="HQ770" s="1039"/>
      <c r="HR770" s="891"/>
      <c r="HS770" s="891"/>
      <c r="HT770" s="891"/>
      <c r="HU770" s="891"/>
      <c r="HV770" s="891"/>
      <c r="HW770" s="891"/>
      <c r="HX770" s="891"/>
      <c r="HY770" s="891"/>
      <c r="HZ770" s="891"/>
      <c r="IA770" s="891"/>
      <c r="IB770" s="891"/>
      <c r="IC770" s="891"/>
      <c r="ID770" s="891"/>
      <c r="IE770" s="891"/>
      <c r="IF770" s="891"/>
      <c r="IG770" s="1039"/>
      <c r="IH770" s="891"/>
      <c r="II770" s="891"/>
      <c r="IJ770" s="891"/>
      <c r="IK770" s="891"/>
      <c r="IL770" s="891"/>
      <c r="IM770" s="891"/>
      <c r="IN770" s="891"/>
      <c r="IO770" s="1039"/>
      <c r="IP770" s="891"/>
      <c r="IQ770" s="891"/>
      <c r="IR770" s="891"/>
      <c r="IS770" s="891"/>
      <c r="IT770" s="891"/>
      <c r="IU770" s="891"/>
      <c r="IV770" s="891"/>
      <c r="IW770" s="891"/>
      <c r="IX770" s="1083"/>
      <c r="IY770" s="1083"/>
      <c r="IZ770" s="1083"/>
      <c r="JA770" s="1083"/>
      <c r="JB770" s="1083"/>
      <c r="JC770" s="1083"/>
      <c r="JD770" s="1521"/>
      <c r="JE770" s="1429"/>
      <c r="JF770" s="1426"/>
      <c r="JG770" s="1426"/>
      <c r="JH770" s="1426"/>
    </row>
    <row r="771" spans="1:285">
      <c r="A771" s="1339" t="s">
        <v>642</v>
      </c>
      <c r="B771" s="1409"/>
      <c r="C771" s="1409"/>
      <c r="D771" s="1409"/>
      <c r="E771" s="1409"/>
      <c r="F771" s="1409"/>
      <c r="G771" s="1409"/>
      <c r="H771" s="1409"/>
      <c r="I771" s="1409"/>
      <c r="J771" s="1409"/>
      <c r="K771" s="1409"/>
      <c r="L771" s="1409"/>
      <c r="M771" s="1409"/>
      <c r="N771" s="1409"/>
      <c r="O771" s="1409"/>
      <c r="P771" s="1409"/>
      <c r="Q771" s="1409"/>
      <c r="R771" s="1409"/>
      <c r="S771" s="1409"/>
      <c r="T771" s="1409"/>
      <c r="U771" s="1409"/>
      <c r="V771" s="1409"/>
      <c r="W771" s="1409"/>
      <c r="X771" s="1409"/>
      <c r="Y771" s="1409"/>
      <c r="Z771" s="1409"/>
      <c r="AA771" s="1409"/>
      <c r="AB771" s="1409"/>
      <c r="AC771" s="1409"/>
      <c r="AD771" s="1409"/>
      <c r="AE771" s="1409"/>
      <c r="AF771" s="1409"/>
      <c r="AG771" s="1409"/>
      <c r="AH771" s="1409"/>
      <c r="AI771" s="1409"/>
      <c r="AJ771" s="1409"/>
      <c r="AK771" s="1409"/>
      <c r="AL771" s="1409"/>
      <c r="AM771" s="1409"/>
      <c r="AN771" s="1409"/>
      <c r="AO771" s="1409"/>
      <c r="AP771" s="1409"/>
      <c r="AQ771" s="1409"/>
      <c r="AR771" s="1409"/>
      <c r="AS771" s="1409"/>
      <c r="AT771" s="1409"/>
      <c r="AU771" s="1409"/>
      <c r="AV771" s="1409"/>
      <c r="AW771" s="1409"/>
      <c r="AX771" s="1408"/>
      <c r="AY771" s="1409"/>
      <c r="AZ771" s="1409"/>
      <c r="BA771" s="1409"/>
      <c r="BB771" s="1409"/>
      <c r="BC771" s="1409"/>
      <c r="BD771" s="1409"/>
      <c r="BE771" s="1410"/>
      <c r="BF771" s="1409"/>
      <c r="BG771" s="1409"/>
      <c r="BH771" s="1409"/>
      <c r="BI771" s="1409"/>
      <c r="BJ771" s="1409"/>
      <c r="BK771" s="1409"/>
      <c r="BL771" s="1409"/>
      <c r="BM771" s="1409"/>
      <c r="BN771" s="1408"/>
      <c r="BO771" s="1409"/>
      <c r="BP771" s="1409"/>
      <c r="BQ771" s="1409"/>
      <c r="BR771" s="1409"/>
      <c r="BS771" s="1409"/>
      <c r="BT771" s="1409"/>
      <c r="BU771" s="1410"/>
      <c r="BV771" s="1303">
        <f t="shared" ref="BV771:DQ771" si="4540">BV767/BV$777</f>
        <v>0.327586206896552</v>
      </c>
      <c r="BW771" s="1302">
        <f t="shared" si="4540"/>
        <v>0.301075268817204</v>
      </c>
      <c r="BX771" s="1302">
        <f t="shared" si="4540"/>
        <v>0.311258278145695</v>
      </c>
      <c r="BY771" s="1302">
        <f t="shared" si="4540"/>
        <v>0.371428571428571</v>
      </c>
      <c r="BZ771" s="1302">
        <f t="shared" si="4540"/>
        <v>0.333333333333333</v>
      </c>
      <c r="CA771" s="1302">
        <f t="shared" si="4540"/>
        <v>0.391025641025641</v>
      </c>
      <c r="CB771" s="1302">
        <f t="shared" si="4540"/>
        <v>0.380664652567976</v>
      </c>
      <c r="CC771" s="1304">
        <f t="shared" si="4540"/>
        <v>0.347551342812006</v>
      </c>
      <c r="CD771" s="1303">
        <f t="shared" si="4540"/>
        <v>0.295302013422819</v>
      </c>
      <c r="CE771" s="1302">
        <f t="shared" si="4540"/>
        <v>0.252475247524752</v>
      </c>
      <c r="CF771" s="1302">
        <f t="shared" si="4540"/>
        <v>0.270655270655271</v>
      </c>
      <c r="CG771" s="1302">
        <f t="shared" si="4540"/>
        <v>0.305084745762712</v>
      </c>
      <c r="CH771" s="1302">
        <f t="shared" si="4540"/>
        <v>0.28219696969697</v>
      </c>
      <c r="CI771" s="1302">
        <f t="shared" si="4540"/>
        <v>0.397790055248619</v>
      </c>
      <c r="CJ771" s="1302">
        <f t="shared" si="4540"/>
        <v>0.35195530726257</v>
      </c>
      <c r="CK771" s="1304">
        <f t="shared" si="4540"/>
        <v>0.311706629055007</v>
      </c>
      <c r="CL771" s="1303">
        <f t="shared" si="4540"/>
        <v>0.26865671641791</v>
      </c>
      <c r="CM771" s="1302">
        <f t="shared" si="4540"/>
        <v>0.231939163498099</v>
      </c>
      <c r="CN771" s="1302">
        <f t="shared" si="4540"/>
        <v>0.247844827586207</v>
      </c>
      <c r="CO771" s="1302">
        <f t="shared" si="4540"/>
        <v>0.334020618556701</v>
      </c>
      <c r="CP771" s="1302">
        <f t="shared" si="4540"/>
        <v>0.273252279635258</v>
      </c>
      <c r="CQ771" s="1302">
        <f t="shared" si="4540"/>
        <v>0.374747474747475</v>
      </c>
      <c r="CR771" s="1302">
        <f t="shared" si="4540"/>
        <v>0.299568965517241</v>
      </c>
      <c r="CS771" s="1304">
        <f t="shared" si="4540"/>
        <v>0.296728971962617</v>
      </c>
      <c r="CT771" s="1303">
        <f t="shared" si="4540"/>
        <v>0.305555555555556</v>
      </c>
      <c r="CU771" s="1302">
        <f t="shared" si="4540"/>
        <v>0.297071129707113</v>
      </c>
      <c r="CV771" s="1302">
        <f t="shared" si="4540"/>
        <v>0.300715990453461</v>
      </c>
      <c r="CW771" s="1302">
        <f t="shared" si="4540"/>
        <v>0.378947368421053</v>
      </c>
      <c r="CX771" s="1302">
        <f t="shared" si="4540"/>
        <v>0.32512315270936</v>
      </c>
      <c r="CY771" s="1302">
        <f t="shared" si="4540"/>
        <v>0.430769230769231</v>
      </c>
      <c r="CZ771" s="1302">
        <f t="shared" si="4540"/>
        <v>0.405194805194805</v>
      </c>
      <c r="DA771" s="1304">
        <f t="shared" si="4540"/>
        <v>0.350746268656716</v>
      </c>
      <c r="DB771" s="1109">
        <f t="shared" si="4540"/>
        <v>0.340314136125654</v>
      </c>
      <c r="DC771" s="1082">
        <f t="shared" si="4540"/>
        <v>0.303964757709251</v>
      </c>
      <c r="DD771" s="1082">
        <f t="shared" si="4540"/>
        <v>0.320574162679426</v>
      </c>
      <c r="DE771" s="1082">
        <f t="shared" si="4540"/>
        <v>0.425641025641026</v>
      </c>
      <c r="DF771" s="1082">
        <f t="shared" si="4540"/>
        <v>0.353996737357259</v>
      </c>
      <c r="DG771" s="1082">
        <f t="shared" si="4540"/>
        <v>0.442211055276382</v>
      </c>
      <c r="DH771" s="1082">
        <f t="shared" si="4540"/>
        <v>0.434010152284264</v>
      </c>
      <c r="DI771" s="1085">
        <f t="shared" si="4540"/>
        <v>0.375615763546798</v>
      </c>
      <c r="DJ771" s="1082">
        <f t="shared" si="4540"/>
        <v>0.314432989690722</v>
      </c>
      <c r="DK771" s="1082">
        <f t="shared" si="4540"/>
        <v>0.270588235294118</v>
      </c>
      <c r="DL771" s="1082">
        <f t="shared" si="4540"/>
        <v>0.289532293986637</v>
      </c>
      <c r="DM771" s="1082">
        <f t="shared" si="4540"/>
        <v>0.418478260869565</v>
      </c>
      <c r="DN771" s="1082">
        <f t="shared" si="4540"/>
        <v>0.327014218009479</v>
      </c>
      <c r="DO771" s="1082" t="e">
        <f t="shared" si="4540"/>
        <v>#REF!</v>
      </c>
      <c r="DP771" s="1082" t="e">
        <f t="shared" si="4540"/>
        <v>#REF!</v>
      </c>
      <c r="DQ771" s="1085" t="e">
        <f t="shared" si="4540"/>
        <v>#REF!</v>
      </c>
      <c r="DR771" s="1082"/>
      <c r="DS771" s="1082"/>
      <c r="DT771" s="1082"/>
      <c r="DU771" s="1082"/>
      <c r="DV771" s="1082"/>
      <c r="DW771" s="1082"/>
      <c r="DX771" s="1082"/>
      <c r="DY771" s="1085"/>
      <c r="DZ771" s="1082"/>
      <c r="EA771" s="1082"/>
      <c r="EB771" s="1082"/>
      <c r="EC771" s="1082"/>
      <c r="ED771" s="1082"/>
      <c r="EE771" s="1082"/>
      <c r="EF771" s="1082"/>
      <c r="EG771" s="1085"/>
      <c r="EH771" s="1082"/>
      <c r="EI771" s="1082"/>
      <c r="EJ771" s="1082"/>
      <c r="EK771" s="1082"/>
      <c r="EL771" s="1082"/>
      <c r="EM771" s="1082"/>
      <c r="EN771" s="1082"/>
      <c r="EO771" s="1085"/>
      <c r="EP771" s="1082"/>
      <c r="EQ771" s="1082"/>
      <c r="ER771" s="1082"/>
      <c r="ES771" s="1082"/>
      <c r="ET771" s="1082"/>
      <c r="EU771" s="1082"/>
      <c r="EV771" s="1082"/>
      <c r="IX771" s="1083"/>
      <c r="IY771" s="1083"/>
      <c r="IZ771" s="1083"/>
      <c r="JA771" s="1083"/>
      <c r="JB771" s="1083"/>
      <c r="JC771" s="1083"/>
      <c r="JD771" s="1521"/>
      <c r="JE771" s="1126"/>
      <c r="JF771" s="1037"/>
      <c r="JG771" s="1037"/>
      <c r="JH771" s="1037"/>
      <c r="JI771" s="1035"/>
      <c r="JJ771" s="1035"/>
      <c r="JK771" s="1035"/>
      <c r="JL771" s="1035"/>
      <c r="JM771" s="1035"/>
      <c r="JN771" s="1035"/>
      <c r="JO771" s="1035"/>
      <c r="JP771" s="1035"/>
      <c r="JQ771" s="1035"/>
      <c r="JR771" s="1035"/>
      <c r="JS771" s="1035"/>
      <c r="JT771" s="1035"/>
      <c r="JU771" s="1035"/>
      <c r="JV771" s="1035"/>
      <c r="JW771" s="1035"/>
      <c r="JX771" s="1035"/>
      <c r="JY771" s="1035"/>
    </row>
    <row r="772" spans="1:285">
      <c r="A772" s="1306" t="s">
        <v>102</v>
      </c>
      <c r="B772" s="1307"/>
      <c r="C772" s="1307"/>
      <c r="D772" s="1307"/>
      <c r="E772" s="1307"/>
      <c r="F772" s="1307"/>
      <c r="G772" s="1307"/>
      <c r="H772" s="1307"/>
      <c r="I772" s="1307"/>
      <c r="J772" s="1307"/>
      <c r="K772" s="1307"/>
      <c r="L772" s="1307"/>
      <c r="M772" s="1307"/>
      <c r="N772" s="1307"/>
      <c r="O772" s="1307"/>
      <c r="P772" s="1307"/>
      <c r="Q772" s="1307"/>
      <c r="R772" s="1307"/>
      <c r="S772" s="1307"/>
      <c r="T772" s="1307"/>
      <c r="U772" s="1307"/>
      <c r="V772" s="1307"/>
      <c r="W772" s="1307"/>
      <c r="X772" s="1307"/>
      <c r="Y772" s="1307"/>
      <c r="Z772" s="1307"/>
      <c r="AA772" s="1307"/>
      <c r="AB772" s="1307"/>
      <c r="AC772" s="1307"/>
      <c r="AD772" s="1307"/>
      <c r="AE772" s="1307"/>
      <c r="AF772" s="1307"/>
      <c r="AG772" s="1307"/>
      <c r="AH772" s="1307"/>
      <c r="AI772" s="1307"/>
      <c r="AJ772" s="1307"/>
      <c r="AK772" s="1307"/>
      <c r="AL772" s="1307"/>
      <c r="AM772" s="1307"/>
      <c r="AN772" s="1307"/>
      <c r="AO772" s="1307"/>
      <c r="AP772" s="1307"/>
      <c r="AQ772" s="1307"/>
      <c r="AR772" s="1307"/>
      <c r="AS772" s="1307"/>
      <c r="AT772" s="1307"/>
      <c r="AU772" s="1307"/>
      <c r="AV772" s="1307"/>
      <c r="AW772" s="1307"/>
      <c r="AX772" s="1308"/>
      <c r="AY772" s="1307"/>
      <c r="AZ772" s="1307"/>
      <c r="BA772" s="1307"/>
      <c r="BB772" s="1307"/>
      <c r="BC772" s="1307"/>
      <c r="BD772" s="1307"/>
      <c r="BE772" s="1309"/>
      <c r="BF772" s="1307"/>
      <c r="BG772" s="1307"/>
      <c r="BH772" s="1307"/>
      <c r="BI772" s="1307"/>
      <c r="BJ772" s="1307"/>
      <c r="BK772" s="1307"/>
      <c r="BL772" s="1307"/>
      <c r="BM772" s="1307"/>
      <c r="BN772" s="1308"/>
      <c r="BO772" s="1307"/>
      <c r="BP772" s="1307"/>
      <c r="BQ772" s="1307"/>
      <c r="BR772" s="1307"/>
      <c r="BS772" s="1307"/>
      <c r="BT772" s="1307"/>
      <c r="BU772" s="1309"/>
      <c r="BV772" s="1308">
        <v>0</v>
      </c>
      <c r="BW772" s="1307">
        <f>BX772-BV772</f>
        <v>1</v>
      </c>
      <c r="BX772" s="1307">
        <v>1</v>
      </c>
      <c r="BY772" s="1307">
        <f>BZ772-BX772</f>
        <v>1</v>
      </c>
      <c r="BZ772" s="1307">
        <v>2</v>
      </c>
      <c r="CA772" s="1307">
        <f>CC772-BZ772</f>
        <v>0</v>
      </c>
      <c r="CB772" s="1307">
        <f>CA772+BY772</f>
        <v>1</v>
      </c>
      <c r="CC772" s="1309">
        <v>2</v>
      </c>
      <c r="CD772" s="1308">
        <v>1</v>
      </c>
      <c r="CE772" s="1307">
        <f>CF772-CD772</f>
        <v>1</v>
      </c>
      <c r="CF772" s="1307">
        <v>2</v>
      </c>
      <c r="CG772" s="1307">
        <f>CH772-CF772</f>
        <v>0</v>
      </c>
      <c r="CH772" s="1307">
        <v>2</v>
      </c>
      <c r="CI772" s="1307">
        <f>CK772-CH772</f>
        <v>1</v>
      </c>
      <c r="CJ772" s="1307">
        <f>CI772+CG772</f>
        <v>1</v>
      </c>
      <c r="CK772" s="1309">
        <v>3</v>
      </c>
      <c r="CL772" s="1308">
        <v>1</v>
      </c>
      <c r="CM772" s="1307">
        <f>CN772-CL772</f>
        <v>1</v>
      </c>
      <c r="CN772" s="1307">
        <v>2</v>
      </c>
      <c r="CO772" s="1307">
        <v>0</v>
      </c>
      <c r="CP772" s="1307">
        <v>2</v>
      </c>
      <c r="CQ772" s="1307">
        <f>CS772-CP772</f>
        <v>3</v>
      </c>
      <c r="CR772" s="1307">
        <f>CS772-CN772</f>
        <v>3</v>
      </c>
      <c r="CS772" s="1309">
        <v>5</v>
      </c>
      <c r="CT772" s="1308">
        <v>1</v>
      </c>
      <c r="CU772" s="1307">
        <f>+CV772-CT772</f>
        <v>1</v>
      </c>
      <c r="CV772" s="1307">
        <v>2</v>
      </c>
      <c r="CW772" s="1307">
        <f>CX772-CV772</f>
        <v>3</v>
      </c>
      <c r="CX772" s="1307">
        <f>+CX777-CX767-CX762-CX757</f>
        <v>5</v>
      </c>
      <c r="CY772" s="1307">
        <f>+CY777-CY767-CY762-CY757</f>
        <v>0</v>
      </c>
      <c r="CZ772" s="1307">
        <f>+CZ777-CZ767-CZ762-CZ757</f>
        <v>3</v>
      </c>
      <c r="DA772" s="1309">
        <f>+DA777-DA767-DA762-DA757</f>
        <v>5</v>
      </c>
      <c r="DB772" s="1332">
        <f>DB777-DB767-DB762-DB757</f>
        <v>2</v>
      </c>
      <c r="DC772" s="1311">
        <f>DD772-DB772</f>
        <v>2</v>
      </c>
      <c r="DD772" s="1311">
        <v>4</v>
      </c>
      <c r="DE772" s="1311">
        <f>DF772-DD772</f>
        <v>1</v>
      </c>
      <c r="DF772" s="1311">
        <v>5</v>
      </c>
      <c r="DG772" s="1311">
        <f>DH772-DE772</f>
        <v>2</v>
      </c>
      <c r="DH772" s="1311">
        <f>DI772-DD772</f>
        <v>3</v>
      </c>
      <c r="DI772" s="1312">
        <v>7</v>
      </c>
      <c r="DJ772" s="1311">
        <v>1</v>
      </c>
      <c r="DK772" s="1311">
        <v>3</v>
      </c>
      <c r="DL772" s="1311">
        <f>DK772+DJ772</f>
        <v>4</v>
      </c>
      <c r="DM772" s="1311">
        <f>DN772-DL772</f>
        <v>1</v>
      </c>
      <c r="DN772" s="1311">
        <f>DN777-DN767-DN762-DN757</f>
        <v>5</v>
      </c>
      <c r="DO772" s="1311" t="e">
        <f>DO777-DO767-DO762-DO757</f>
        <v>#REF!</v>
      </c>
      <c r="DP772" s="1311" t="e">
        <f>DP777-DP767-DP762-DP757</f>
        <v>#REF!</v>
      </c>
      <c r="DQ772" s="1312" t="e">
        <f>DQ777-DQ767-DQ762-DQ757</f>
        <v>#REF!</v>
      </c>
      <c r="DR772" s="1311"/>
      <c r="DS772" s="1311"/>
      <c r="DT772" s="1311"/>
      <c r="DU772" s="1311"/>
      <c r="DV772" s="1311"/>
      <c r="DW772" s="1311"/>
      <c r="DX772" s="1311"/>
      <c r="DY772" s="1312"/>
      <c r="DZ772" s="1311"/>
      <c r="EA772" s="1311"/>
      <c r="EB772" s="1311"/>
      <c r="EC772" s="1311"/>
      <c r="ED772" s="1311"/>
      <c r="EE772" s="1311"/>
      <c r="EF772" s="1311"/>
      <c r="EG772" s="1312"/>
      <c r="EH772" s="1311"/>
      <c r="EI772" s="1311"/>
      <c r="EJ772" s="1311"/>
      <c r="EK772" s="1311"/>
      <c r="EL772" s="1311"/>
      <c r="EM772" s="1311"/>
      <c r="EN772" s="1311"/>
      <c r="EO772" s="1312"/>
      <c r="EP772" s="1311"/>
      <c r="EQ772" s="1311"/>
      <c r="ER772" s="1311"/>
      <c r="ES772" s="1311"/>
      <c r="ET772" s="1311"/>
      <c r="EU772" s="1311"/>
      <c r="EV772" s="1311"/>
      <c r="IX772" s="1354"/>
      <c r="IY772" s="1354"/>
      <c r="IZ772" s="1354"/>
      <c r="JA772" s="1354"/>
      <c r="JB772" s="1354"/>
      <c r="JC772" s="1354"/>
      <c r="JD772" s="1518"/>
      <c r="JE772" s="1126"/>
      <c r="JF772" s="1037"/>
      <c r="JG772" s="1037"/>
      <c r="JH772" s="1037"/>
      <c r="JI772" s="1035"/>
      <c r="JJ772" s="1035"/>
      <c r="JK772" s="1035"/>
      <c r="JL772" s="1035"/>
      <c r="JM772" s="1035"/>
      <c r="JN772" s="1035"/>
      <c r="JO772" s="1035"/>
      <c r="JP772" s="1035"/>
      <c r="JQ772" s="1035"/>
      <c r="JR772" s="1035"/>
      <c r="JS772" s="1035"/>
      <c r="JT772" s="1035"/>
      <c r="JU772" s="1035"/>
      <c r="JV772" s="1035"/>
      <c r="JW772" s="1035"/>
      <c r="JX772" s="1035"/>
      <c r="JY772" s="1035"/>
    </row>
    <row r="773" s="1031" customFormat="1" spans="1:285">
      <c r="A773" s="1339" t="s">
        <v>639</v>
      </c>
      <c r="B773" s="1405"/>
      <c r="C773" s="1405"/>
      <c r="D773" s="1405"/>
      <c r="E773" s="1405"/>
      <c r="F773" s="1405"/>
      <c r="G773" s="1405"/>
      <c r="H773" s="1405"/>
      <c r="I773" s="1405"/>
      <c r="J773" s="1405"/>
      <c r="K773" s="1405"/>
      <c r="L773" s="1405"/>
      <c r="M773" s="1405"/>
      <c r="N773" s="1405"/>
      <c r="O773" s="1405"/>
      <c r="P773" s="1405"/>
      <c r="Q773" s="1405"/>
      <c r="R773" s="1405"/>
      <c r="S773" s="1405"/>
      <c r="T773" s="1405"/>
      <c r="U773" s="1405"/>
      <c r="V773" s="1405"/>
      <c r="W773" s="1405"/>
      <c r="X773" s="1405"/>
      <c r="Y773" s="1405"/>
      <c r="Z773" s="1405"/>
      <c r="AA773" s="1405"/>
      <c r="AB773" s="1405"/>
      <c r="AC773" s="1405"/>
      <c r="AD773" s="1405"/>
      <c r="AE773" s="1405"/>
      <c r="AF773" s="1405"/>
      <c r="AG773" s="1405"/>
      <c r="AH773" s="1405"/>
      <c r="AI773" s="1405"/>
      <c r="AJ773" s="1405"/>
      <c r="AK773" s="1405"/>
      <c r="AL773" s="1405"/>
      <c r="AM773" s="1405"/>
      <c r="AN773" s="1405"/>
      <c r="AO773" s="1405"/>
      <c r="AP773" s="1405"/>
      <c r="AQ773" s="1405"/>
      <c r="AR773" s="1405"/>
      <c r="AS773" s="1405"/>
      <c r="AT773" s="1405"/>
      <c r="AU773" s="1405"/>
      <c r="AV773" s="1405"/>
      <c r="AW773" s="1405"/>
      <c r="AX773" s="1406"/>
      <c r="AY773" s="1405"/>
      <c r="AZ773" s="1405"/>
      <c r="BA773" s="1405"/>
      <c r="BB773" s="1405"/>
      <c r="BC773" s="1405"/>
      <c r="BD773" s="1405"/>
      <c r="BE773" s="1407"/>
      <c r="BF773" s="1405"/>
      <c r="BG773" s="1405"/>
      <c r="BH773" s="1405"/>
      <c r="BI773" s="1405"/>
      <c r="BJ773" s="1405"/>
      <c r="BK773" s="1405"/>
      <c r="BL773" s="1405"/>
      <c r="BM773" s="1405"/>
      <c r="BN773" s="1406"/>
      <c r="BO773" s="1405"/>
      <c r="BP773" s="1405"/>
      <c r="BQ773" s="1405"/>
      <c r="BR773" s="1405"/>
      <c r="BS773" s="1405"/>
      <c r="BT773" s="1405"/>
      <c r="BU773" s="1407"/>
      <c r="BV773" s="1303" t="s">
        <v>173</v>
      </c>
      <c r="BW773" s="1302" t="s">
        <v>173</v>
      </c>
      <c r="BX773" s="1302" t="s">
        <v>173</v>
      </c>
      <c r="BY773" s="1302" t="s">
        <v>173</v>
      </c>
      <c r="BZ773" s="1302" t="s">
        <v>173</v>
      </c>
      <c r="CA773" s="1302" t="s">
        <v>173</v>
      </c>
      <c r="CB773" s="1302" t="s">
        <v>173</v>
      </c>
      <c r="CC773" s="1304" t="s">
        <v>173</v>
      </c>
      <c r="CD773" s="1303" t="s">
        <v>173</v>
      </c>
      <c r="CE773" s="1302" t="s">
        <v>173</v>
      </c>
      <c r="CF773" s="1302" t="s">
        <v>173</v>
      </c>
      <c r="CG773" s="1302" t="s">
        <v>173</v>
      </c>
      <c r="CH773" s="1302" t="s">
        <v>173</v>
      </c>
      <c r="CI773" s="1302" t="s">
        <v>173</v>
      </c>
      <c r="CJ773" s="1302" t="s">
        <v>173</v>
      </c>
      <c r="CK773" s="1304" t="s">
        <v>173</v>
      </c>
      <c r="CL773" s="1303">
        <f>CL772/CD772-1</f>
        <v>0</v>
      </c>
      <c r="CM773" s="1302">
        <f>CM772/CE772-1</f>
        <v>0</v>
      </c>
      <c r="CN773" s="1302">
        <f>CN772/CF772-1</f>
        <v>0</v>
      </c>
      <c r="CO773" s="1302">
        <v>0.1</v>
      </c>
      <c r="CP773" s="1302">
        <f>CP772/CH772-1</f>
        <v>0</v>
      </c>
      <c r="CQ773" s="1302">
        <f>CQ772/CI772-1</f>
        <v>2</v>
      </c>
      <c r="CR773" s="1302" t="e">
        <f>CR772/CG772-1</f>
        <v>#DIV/0!</v>
      </c>
      <c r="CS773" s="1304">
        <f t="shared" ref="CS773:CX773" si="4541">CS772/CK772-1</f>
        <v>0.666666666666667</v>
      </c>
      <c r="CT773" s="1303">
        <f t="shared" si="4541"/>
        <v>0</v>
      </c>
      <c r="CU773" s="1302">
        <f t="shared" si="4541"/>
        <v>0</v>
      </c>
      <c r="CV773" s="1302">
        <f t="shared" si="4541"/>
        <v>0</v>
      </c>
      <c r="CW773" s="1302" t="s">
        <v>595</v>
      </c>
      <c r="CX773" s="1302">
        <f t="shared" si="4541"/>
        <v>1.5</v>
      </c>
      <c r="CY773" s="1302" t="s">
        <v>595</v>
      </c>
      <c r="CZ773" s="1302">
        <f t="shared" ref="CZ773:DF773" si="4542">CZ772/CR772-1</f>
        <v>0</v>
      </c>
      <c r="DA773" s="1304">
        <f t="shared" si="4542"/>
        <v>0</v>
      </c>
      <c r="DB773" s="1109">
        <f t="shared" si="4542"/>
        <v>1</v>
      </c>
      <c r="DC773" s="1082">
        <f t="shared" si="4542"/>
        <v>1</v>
      </c>
      <c r="DD773" s="1082">
        <f t="shared" si="4542"/>
        <v>1</v>
      </c>
      <c r="DE773" s="1082">
        <f t="shared" si="4542"/>
        <v>-0.666666666666667</v>
      </c>
      <c r="DF773" s="1082">
        <f t="shared" si="4542"/>
        <v>0</v>
      </c>
      <c r="DG773" s="1082" t="s">
        <v>595</v>
      </c>
      <c r="DH773" s="1082">
        <f>DH772/CZ772-1</f>
        <v>0</v>
      </c>
      <c r="DI773" s="1085">
        <f>DI772/DA772-1</f>
        <v>0.4</v>
      </c>
      <c r="DJ773" s="1082">
        <f>DJ772/DB772-1</f>
        <v>-0.5</v>
      </c>
      <c r="DK773" s="1082">
        <f>(DK772/DC772)-1</f>
        <v>0.5</v>
      </c>
      <c r="DL773" s="1082">
        <f t="shared" ref="DL773:DQ773" si="4543">DL772/DD772-1</f>
        <v>0</v>
      </c>
      <c r="DM773" s="1082">
        <f t="shared" si="4543"/>
        <v>0</v>
      </c>
      <c r="DN773" s="1082">
        <f t="shared" si="4543"/>
        <v>0</v>
      </c>
      <c r="DO773" s="1082" t="e">
        <f t="shared" si="4543"/>
        <v>#REF!</v>
      </c>
      <c r="DP773" s="1082" t="e">
        <f t="shared" si="4543"/>
        <v>#REF!</v>
      </c>
      <c r="DQ773" s="1085" t="e">
        <f t="shared" si="4543"/>
        <v>#REF!</v>
      </c>
      <c r="DR773" s="1082"/>
      <c r="DS773" s="1082"/>
      <c r="DT773" s="1082"/>
      <c r="DU773" s="1082"/>
      <c r="DV773" s="1082"/>
      <c r="DW773" s="1082"/>
      <c r="DX773" s="1082"/>
      <c r="DY773" s="1085"/>
      <c r="DZ773" s="1082"/>
      <c r="EA773" s="1082"/>
      <c r="EB773" s="1082"/>
      <c r="EC773" s="1082"/>
      <c r="ED773" s="1082"/>
      <c r="EE773" s="1082"/>
      <c r="EF773" s="1082"/>
      <c r="EG773" s="1085"/>
      <c r="EH773" s="1082"/>
      <c r="EI773" s="1082"/>
      <c r="EJ773" s="1082"/>
      <c r="EK773" s="1082"/>
      <c r="EL773" s="1082"/>
      <c r="EM773" s="1082"/>
      <c r="EN773" s="1082"/>
      <c r="EO773" s="1085"/>
      <c r="EP773" s="1082"/>
      <c r="EQ773" s="1082"/>
      <c r="ER773" s="1082"/>
      <c r="ES773" s="1082"/>
      <c r="ET773" s="1082"/>
      <c r="EU773" s="1082"/>
      <c r="EV773" s="1082"/>
      <c r="EW773" s="1039"/>
      <c r="EX773" s="891"/>
      <c r="EY773" s="891"/>
      <c r="EZ773" s="891"/>
      <c r="FA773" s="891"/>
      <c r="FB773" s="891"/>
      <c r="FC773" s="891"/>
      <c r="FD773" s="891"/>
      <c r="FE773" s="1039"/>
      <c r="FF773" s="891"/>
      <c r="FG773" s="891"/>
      <c r="FH773" s="891"/>
      <c r="FI773" s="891"/>
      <c r="FJ773" s="891"/>
      <c r="FK773" s="891"/>
      <c r="FL773" s="891"/>
      <c r="FM773" s="1039"/>
      <c r="FN773" s="891"/>
      <c r="FO773" s="891"/>
      <c r="FP773" s="891"/>
      <c r="FQ773" s="891"/>
      <c r="FR773" s="891"/>
      <c r="FS773" s="891"/>
      <c r="FT773" s="891"/>
      <c r="FU773" s="891"/>
      <c r="FV773" s="1040"/>
      <c r="FW773" s="891"/>
      <c r="FX773" s="891"/>
      <c r="FY773" s="891"/>
      <c r="FZ773" s="891"/>
      <c r="GA773" s="891"/>
      <c r="GB773" s="891"/>
      <c r="GC773" s="1039"/>
      <c r="GD773" s="891"/>
      <c r="GE773" s="891"/>
      <c r="GF773" s="891"/>
      <c r="GG773" s="891"/>
      <c r="GH773" s="891"/>
      <c r="GI773" s="891"/>
      <c r="GJ773" s="891"/>
      <c r="GK773" s="1039"/>
      <c r="GL773" s="891"/>
      <c r="GM773" s="891"/>
      <c r="GN773" s="891"/>
      <c r="GO773" s="891"/>
      <c r="GP773" s="891"/>
      <c r="GQ773" s="891"/>
      <c r="GR773" s="891"/>
      <c r="GS773" s="1039"/>
      <c r="GT773" s="891"/>
      <c r="GU773" s="891"/>
      <c r="GV773" s="891"/>
      <c r="GW773" s="891"/>
      <c r="GX773" s="891"/>
      <c r="GY773" s="891"/>
      <c r="GZ773" s="891"/>
      <c r="HA773" s="1039"/>
      <c r="HB773" s="891"/>
      <c r="HC773" s="891"/>
      <c r="HD773" s="891"/>
      <c r="HE773" s="891"/>
      <c r="HF773" s="891"/>
      <c r="HG773" s="891"/>
      <c r="HH773" s="891"/>
      <c r="HI773" s="1039"/>
      <c r="HJ773" s="891"/>
      <c r="HK773" s="891"/>
      <c r="HL773" s="891"/>
      <c r="HM773" s="891"/>
      <c r="HN773" s="891"/>
      <c r="HO773" s="891"/>
      <c r="HP773" s="891"/>
      <c r="HQ773" s="1039"/>
      <c r="HR773" s="891"/>
      <c r="HS773" s="891"/>
      <c r="HT773" s="891"/>
      <c r="HU773" s="891"/>
      <c r="HV773" s="891"/>
      <c r="HW773" s="891"/>
      <c r="HX773" s="891"/>
      <c r="HY773" s="891"/>
      <c r="HZ773" s="891"/>
      <c r="IA773" s="891"/>
      <c r="IB773" s="891"/>
      <c r="IC773" s="891"/>
      <c r="ID773" s="891"/>
      <c r="IE773" s="891"/>
      <c r="IF773" s="891"/>
      <c r="IG773" s="1039"/>
      <c r="IH773" s="891"/>
      <c r="II773" s="891"/>
      <c r="IJ773" s="891"/>
      <c r="IK773" s="891"/>
      <c r="IL773" s="891"/>
      <c r="IM773" s="891"/>
      <c r="IN773" s="891"/>
      <c r="IO773" s="1039"/>
      <c r="IP773" s="891"/>
      <c r="IQ773" s="891"/>
      <c r="IR773" s="891"/>
      <c r="IS773" s="891"/>
      <c r="IT773" s="891"/>
      <c r="IU773" s="891"/>
      <c r="IV773" s="891"/>
      <c r="IW773" s="891"/>
      <c r="IX773" s="1083"/>
      <c r="IY773" s="1083"/>
      <c r="IZ773" s="1083"/>
      <c r="JA773" s="1083"/>
      <c r="JB773" s="1083"/>
      <c r="JC773" s="1083"/>
      <c r="JD773" s="1521"/>
      <c r="JE773" s="1429"/>
      <c r="JF773" s="1426"/>
      <c r="JG773" s="1426"/>
      <c r="JH773" s="1426"/>
    </row>
    <row r="774" s="1031" customFormat="1" spans="1:285">
      <c r="A774" s="1339" t="s">
        <v>640</v>
      </c>
      <c r="B774" s="1405"/>
      <c r="C774" s="1405"/>
      <c r="D774" s="1405"/>
      <c r="E774" s="1405"/>
      <c r="F774" s="1405"/>
      <c r="G774" s="1405"/>
      <c r="H774" s="1405"/>
      <c r="I774" s="1405"/>
      <c r="J774" s="1405"/>
      <c r="K774" s="1405"/>
      <c r="L774" s="1405"/>
      <c r="M774" s="1405"/>
      <c r="N774" s="1405"/>
      <c r="O774" s="1405"/>
      <c r="P774" s="1405"/>
      <c r="Q774" s="1405"/>
      <c r="R774" s="1405"/>
      <c r="S774" s="1405"/>
      <c r="T774" s="1405"/>
      <c r="U774" s="1405"/>
      <c r="V774" s="1405"/>
      <c r="W774" s="1405"/>
      <c r="X774" s="1405"/>
      <c r="Y774" s="1405"/>
      <c r="Z774" s="1405"/>
      <c r="AA774" s="1405"/>
      <c r="AB774" s="1405"/>
      <c r="AC774" s="1405"/>
      <c r="AD774" s="1405"/>
      <c r="AE774" s="1405"/>
      <c r="AF774" s="1405"/>
      <c r="AG774" s="1405"/>
      <c r="AH774" s="1405"/>
      <c r="AI774" s="1405"/>
      <c r="AJ774" s="1405"/>
      <c r="AK774" s="1405"/>
      <c r="AL774" s="1405"/>
      <c r="AM774" s="1405"/>
      <c r="AN774" s="1405"/>
      <c r="AO774" s="1405"/>
      <c r="AP774" s="1405"/>
      <c r="AQ774" s="1405"/>
      <c r="AR774" s="1405"/>
      <c r="AS774" s="1405"/>
      <c r="AT774" s="1405"/>
      <c r="AU774" s="1405"/>
      <c r="AV774" s="1405"/>
      <c r="AW774" s="1405"/>
      <c r="AX774" s="1406"/>
      <c r="AY774" s="1405"/>
      <c r="AZ774" s="1405"/>
      <c r="BA774" s="1405"/>
      <c r="BB774" s="1405"/>
      <c r="BC774" s="1405"/>
      <c r="BD774" s="1405"/>
      <c r="BE774" s="1407"/>
      <c r="BF774" s="1405"/>
      <c r="BG774" s="1405"/>
      <c r="BH774" s="1405"/>
      <c r="BI774" s="1405"/>
      <c r="BJ774" s="1405"/>
      <c r="BK774" s="1405"/>
      <c r="BL774" s="1405"/>
      <c r="BM774" s="1405"/>
      <c r="BN774" s="1406"/>
      <c r="BO774" s="1405"/>
      <c r="BP774" s="1405"/>
      <c r="BQ774" s="1405"/>
      <c r="BR774" s="1405"/>
      <c r="BS774" s="1405"/>
      <c r="BT774" s="1405"/>
      <c r="BU774" s="1407"/>
      <c r="BV774" s="1303"/>
      <c r="BW774" s="1302"/>
      <c r="BX774" s="1302"/>
      <c r="BY774" s="1302"/>
      <c r="BZ774" s="1302"/>
      <c r="CA774" s="1302"/>
      <c r="CB774" s="1302"/>
      <c r="CC774" s="1304"/>
      <c r="CD774" s="1303"/>
      <c r="CE774" s="1302"/>
      <c r="CF774" s="1302"/>
      <c r="CG774" s="1302"/>
      <c r="CH774" s="1302"/>
      <c r="CI774" s="1302"/>
      <c r="CJ774" s="1302"/>
      <c r="CK774" s="1304"/>
      <c r="CL774" s="1303"/>
      <c r="CM774" s="1302"/>
      <c r="CN774" s="1302"/>
      <c r="CO774" s="1302"/>
      <c r="CP774" s="1302"/>
      <c r="CQ774" s="1302"/>
      <c r="CR774" s="1302"/>
      <c r="CS774" s="1304"/>
      <c r="CT774" s="1303">
        <f t="shared" ref="CT774:CZ774" si="4544">CT773-CT775</f>
        <v>-0.05</v>
      </c>
      <c r="CU774" s="1302">
        <f t="shared" si="4544"/>
        <v>-0.11</v>
      </c>
      <c r="CV774" s="1302">
        <f t="shared" si="4544"/>
        <v>-0.08</v>
      </c>
      <c r="CW774" s="1302" t="s">
        <v>595</v>
      </c>
      <c r="CX774" s="1302">
        <f t="shared" si="4544"/>
        <v>1.25</v>
      </c>
      <c r="CY774" s="1302" t="s">
        <v>595</v>
      </c>
      <c r="CZ774" s="1302">
        <f t="shared" si="4544"/>
        <v>-0.48</v>
      </c>
      <c r="DA774" s="1304">
        <f t="shared" ref="DA774:DF774" si="4545">DA773-DA775</f>
        <v>-0.32</v>
      </c>
      <c r="DB774" s="1109">
        <f t="shared" si="4545"/>
        <v>-0.04</v>
      </c>
      <c r="DC774" s="1082">
        <f t="shared" si="4545"/>
        <v>0.46</v>
      </c>
      <c r="DD774" s="1082">
        <f t="shared" si="4545"/>
        <v>0.21</v>
      </c>
      <c r="DE774" s="1082">
        <f t="shared" si="4545"/>
        <v>-0.773333333333333</v>
      </c>
      <c r="DF774" s="1082">
        <f t="shared" si="4545"/>
        <v>-0.38</v>
      </c>
      <c r="DG774" s="1082" t="s">
        <v>595</v>
      </c>
      <c r="DH774" s="1082">
        <f>DH773-DH775</f>
        <v>-0.106666666666667</v>
      </c>
      <c r="DI774" s="1085">
        <f>DI773-DI775</f>
        <v>0.0199999999999999</v>
      </c>
      <c r="DJ774" s="1082">
        <f t="shared" ref="DJ774:DQ774" si="4546">DJ773-DJ775</f>
        <v>-0.33</v>
      </c>
      <c r="DK774" s="1082">
        <f t="shared" si="4546"/>
        <v>10.805</v>
      </c>
      <c r="DL774" s="1082">
        <f t="shared" si="4546"/>
        <v>5.905</v>
      </c>
      <c r="DM774" s="1082">
        <f t="shared" si="4546"/>
        <v>-0.685000000000006</v>
      </c>
      <c r="DN774" s="1082">
        <f t="shared" si="4546"/>
        <v>4.60748566775244</v>
      </c>
      <c r="DO774" s="1082" t="e">
        <f t="shared" si="4546"/>
        <v>#REF!</v>
      </c>
      <c r="DP774" s="1082" t="e">
        <f t="shared" si="4546"/>
        <v>#REF!</v>
      </c>
      <c r="DQ774" s="1085" t="e">
        <f t="shared" si="4546"/>
        <v>#REF!</v>
      </c>
      <c r="DR774" s="1082"/>
      <c r="DS774" s="1082"/>
      <c r="DT774" s="1082"/>
      <c r="DU774" s="1082"/>
      <c r="DV774" s="1082"/>
      <c r="DW774" s="1082"/>
      <c r="DX774" s="1082"/>
      <c r="DY774" s="1085"/>
      <c r="DZ774" s="1082"/>
      <c r="EA774" s="1082"/>
      <c r="EB774" s="1082"/>
      <c r="EC774" s="1082"/>
      <c r="ED774" s="1082"/>
      <c r="EE774" s="1082"/>
      <c r="EF774" s="1082"/>
      <c r="EG774" s="1085"/>
      <c r="EH774" s="1082"/>
      <c r="EI774" s="1082"/>
      <c r="EJ774" s="1082"/>
      <c r="EK774" s="1082"/>
      <c r="EL774" s="1082"/>
      <c r="EM774" s="1082"/>
      <c r="EN774" s="1082"/>
      <c r="EO774" s="1085"/>
      <c r="EP774" s="1082"/>
      <c r="EQ774" s="1082"/>
      <c r="ER774" s="1082"/>
      <c r="ES774" s="1082"/>
      <c r="ET774" s="1082"/>
      <c r="EU774" s="1082"/>
      <c r="EV774" s="1082"/>
      <c r="EW774" s="1039"/>
      <c r="EX774" s="891"/>
      <c r="EY774" s="891"/>
      <c r="EZ774" s="891"/>
      <c r="FA774" s="891"/>
      <c r="FB774" s="891"/>
      <c r="FC774" s="891"/>
      <c r="FD774" s="891"/>
      <c r="FE774" s="1039"/>
      <c r="FF774" s="891"/>
      <c r="FG774" s="891"/>
      <c r="FH774" s="891"/>
      <c r="FI774" s="891"/>
      <c r="FJ774" s="891"/>
      <c r="FK774" s="891"/>
      <c r="FL774" s="891"/>
      <c r="FM774" s="1039"/>
      <c r="FN774" s="891"/>
      <c r="FO774" s="891"/>
      <c r="FP774" s="891"/>
      <c r="FQ774" s="891"/>
      <c r="FR774" s="891"/>
      <c r="FS774" s="891"/>
      <c r="FT774" s="891"/>
      <c r="FU774" s="891"/>
      <c r="FV774" s="1040"/>
      <c r="FW774" s="891"/>
      <c r="FX774" s="891"/>
      <c r="FY774" s="891"/>
      <c r="FZ774" s="891"/>
      <c r="GA774" s="891"/>
      <c r="GB774" s="891"/>
      <c r="GC774" s="1039"/>
      <c r="GD774" s="891"/>
      <c r="GE774" s="891"/>
      <c r="GF774" s="891"/>
      <c r="GG774" s="891"/>
      <c r="GH774" s="891"/>
      <c r="GI774" s="891"/>
      <c r="GJ774" s="891"/>
      <c r="GK774" s="1039"/>
      <c r="GL774" s="891"/>
      <c r="GM774" s="891"/>
      <c r="GN774" s="891"/>
      <c r="GO774" s="891"/>
      <c r="GP774" s="891"/>
      <c r="GQ774" s="891"/>
      <c r="GR774" s="891"/>
      <c r="GS774" s="1039"/>
      <c r="GT774" s="891"/>
      <c r="GU774" s="891"/>
      <c r="GV774" s="891"/>
      <c r="GW774" s="891"/>
      <c r="GX774" s="891"/>
      <c r="GY774" s="891"/>
      <c r="GZ774" s="891"/>
      <c r="HA774" s="1039"/>
      <c r="HB774" s="891"/>
      <c r="HC774" s="891"/>
      <c r="HD774" s="891"/>
      <c r="HE774" s="891"/>
      <c r="HF774" s="891"/>
      <c r="HG774" s="891"/>
      <c r="HH774" s="891"/>
      <c r="HI774" s="1039"/>
      <c r="HJ774" s="891"/>
      <c r="HK774" s="891"/>
      <c r="HL774" s="891"/>
      <c r="HM774" s="891"/>
      <c r="HN774" s="891"/>
      <c r="HO774" s="891"/>
      <c r="HP774" s="891"/>
      <c r="HQ774" s="1039"/>
      <c r="HR774" s="891"/>
      <c r="HS774" s="891"/>
      <c r="HT774" s="891"/>
      <c r="HU774" s="891"/>
      <c r="HV774" s="891"/>
      <c r="HW774" s="891"/>
      <c r="HX774" s="891"/>
      <c r="HY774" s="891"/>
      <c r="HZ774" s="891"/>
      <c r="IA774" s="891"/>
      <c r="IB774" s="891"/>
      <c r="IC774" s="891"/>
      <c r="ID774" s="891"/>
      <c r="IE774" s="891"/>
      <c r="IF774" s="891"/>
      <c r="IG774" s="1039"/>
      <c r="IH774" s="891"/>
      <c r="II774" s="891"/>
      <c r="IJ774" s="891"/>
      <c r="IK774" s="891"/>
      <c r="IL774" s="891"/>
      <c r="IM774" s="891"/>
      <c r="IN774" s="891"/>
      <c r="IO774" s="1039"/>
      <c r="IP774" s="891"/>
      <c r="IQ774" s="891"/>
      <c r="IR774" s="891"/>
      <c r="IS774" s="891"/>
      <c r="IT774" s="891"/>
      <c r="IU774" s="891"/>
      <c r="IV774" s="891"/>
      <c r="IW774" s="891"/>
      <c r="IX774" s="1083"/>
      <c r="IY774" s="1083"/>
      <c r="IZ774" s="1083"/>
      <c r="JA774" s="1083"/>
      <c r="JB774" s="1083"/>
      <c r="JC774" s="1083"/>
      <c r="JD774" s="1521"/>
      <c r="JE774" s="1429"/>
      <c r="JF774" s="1426"/>
      <c r="JG774" s="1426"/>
      <c r="JH774" s="1426"/>
    </row>
    <row r="775" s="1031" customFormat="1" spans="1:285">
      <c r="A775" s="1339" t="s">
        <v>641</v>
      </c>
      <c r="B775" s="1405"/>
      <c r="C775" s="1405"/>
      <c r="D775" s="1405"/>
      <c r="E775" s="1405"/>
      <c r="F775" s="1405"/>
      <c r="G775" s="1405"/>
      <c r="H775" s="1405"/>
      <c r="I775" s="1405"/>
      <c r="J775" s="1405"/>
      <c r="K775" s="1405"/>
      <c r="L775" s="1405"/>
      <c r="M775" s="1405"/>
      <c r="N775" s="1405"/>
      <c r="O775" s="1405"/>
      <c r="P775" s="1405"/>
      <c r="Q775" s="1405"/>
      <c r="R775" s="1405"/>
      <c r="S775" s="1405"/>
      <c r="T775" s="1405"/>
      <c r="U775" s="1405"/>
      <c r="V775" s="1405"/>
      <c r="W775" s="1405"/>
      <c r="X775" s="1405"/>
      <c r="Y775" s="1405"/>
      <c r="Z775" s="1405"/>
      <c r="AA775" s="1405"/>
      <c r="AB775" s="1405"/>
      <c r="AC775" s="1405"/>
      <c r="AD775" s="1405"/>
      <c r="AE775" s="1405"/>
      <c r="AF775" s="1405"/>
      <c r="AG775" s="1405"/>
      <c r="AH775" s="1405"/>
      <c r="AI775" s="1405"/>
      <c r="AJ775" s="1405"/>
      <c r="AK775" s="1405"/>
      <c r="AL775" s="1405"/>
      <c r="AM775" s="1405"/>
      <c r="AN775" s="1405"/>
      <c r="AO775" s="1405"/>
      <c r="AP775" s="1405"/>
      <c r="AQ775" s="1405"/>
      <c r="AR775" s="1405"/>
      <c r="AS775" s="1405"/>
      <c r="AT775" s="1405"/>
      <c r="AU775" s="1405"/>
      <c r="AV775" s="1405"/>
      <c r="AW775" s="1405"/>
      <c r="AX775" s="1406"/>
      <c r="AY775" s="1405"/>
      <c r="AZ775" s="1405"/>
      <c r="BA775" s="1405"/>
      <c r="BB775" s="1405"/>
      <c r="BC775" s="1405"/>
      <c r="BD775" s="1405"/>
      <c r="BE775" s="1407"/>
      <c r="BF775" s="1405"/>
      <c r="BG775" s="1405"/>
      <c r="BH775" s="1405"/>
      <c r="BI775" s="1405"/>
      <c r="BJ775" s="1405"/>
      <c r="BK775" s="1405"/>
      <c r="BL775" s="1405"/>
      <c r="BM775" s="1405"/>
      <c r="BN775" s="1406"/>
      <c r="BO775" s="1405"/>
      <c r="BP775" s="1405"/>
      <c r="BQ775" s="1405"/>
      <c r="BR775" s="1405"/>
      <c r="BS775" s="1405"/>
      <c r="BT775" s="1405"/>
      <c r="BU775" s="1407"/>
      <c r="BV775" s="1303"/>
      <c r="BW775" s="1302"/>
      <c r="BX775" s="1302"/>
      <c r="BY775" s="1302"/>
      <c r="BZ775" s="1302"/>
      <c r="CA775" s="1302"/>
      <c r="CB775" s="1302"/>
      <c r="CC775" s="1304"/>
      <c r="CD775" s="1303"/>
      <c r="CE775" s="1302"/>
      <c r="CF775" s="1302"/>
      <c r="CG775" s="1302"/>
      <c r="CH775" s="1302"/>
      <c r="CI775" s="1302"/>
      <c r="CJ775" s="1302"/>
      <c r="CK775" s="1304"/>
      <c r="CL775" s="1303"/>
      <c r="CM775" s="1302"/>
      <c r="CN775" s="1302"/>
      <c r="CO775" s="1302"/>
      <c r="CP775" s="1302"/>
      <c r="CQ775" s="1302"/>
      <c r="CR775" s="1302"/>
      <c r="CS775" s="1304"/>
      <c r="CT775" s="1303">
        <v>0.05</v>
      </c>
      <c r="CU775" s="1302">
        <f>(CV775*CN772-CT775*CL772)/CM772</f>
        <v>0.11</v>
      </c>
      <c r="CV775" s="1302">
        <v>0.08</v>
      </c>
      <c r="CW775" s="1302" t="s">
        <v>595</v>
      </c>
      <c r="CX775" s="1302">
        <v>0.25</v>
      </c>
      <c r="CY775" s="1302" t="s">
        <v>595</v>
      </c>
      <c r="CZ775" s="1302">
        <f>(DA775*CS772-CV775*CN772)/CR772</f>
        <v>0.48</v>
      </c>
      <c r="DA775" s="1304">
        <v>0.32</v>
      </c>
      <c r="DB775" s="1109">
        <v>1.04</v>
      </c>
      <c r="DC775" s="1082">
        <f>(DD775*CV772-DB775*CT772)/CU772</f>
        <v>0.54</v>
      </c>
      <c r="DD775" s="1082">
        <v>0.79</v>
      </c>
      <c r="DE775" s="1082">
        <f>(DF775*CX772-DD775*CV772)/CW772</f>
        <v>0.106666666666667</v>
      </c>
      <c r="DF775" s="1082">
        <v>0.38</v>
      </c>
      <c r="DG775" s="1082" t="s">
        <v>595</v>
      </c>
      <c r="DH775" s="1082">
        <f>(DI775*DA772-DD775*CV772)/CZ772</f>
        <v>0.106666666666667</v>
      </c>
      <c r="DI775" s="1085">
        <v>0.38</v>
      </c>
      <c r="DJ775" s="1082">
        <v>-0.17</v>
      </c>
      <c r="DK775" s="1082">
        <f>(DK779*DC777-DK770*DC767-DK765*DC762-DK760*DC757)/DC772</f>
        <v>-10.305</v>
      </c>
      <c r="DL775" s="1082">
        <f>(DL779*DD777-DL770*DD767-DL765*DD762-DL760*DD757)/DD772</f>
        <v>-5.905</v>
      </c>
      <c r="DM775" s="1082">
        <f>(DM779*DE777-DM770*DE767-DM765*DE762-DM760*DE757)/DE772</f>
        <v>0.685000000000006</v>
      </c>
      <c r="DN775" s="1082">
        <f>(DN779*DF777-DN770*DF767-DN765*DF762-DN760*DF757)/DF772</f>
        <v>-4.60748566775244</v>
      </c>
      <c r="DO775" s="1082">
        <f>(DO779*DG777-DO770*DG767-DO765*DG762-DO760*DG757)/DG772</f>
        <v>6.965</v>
      </c>
      <c r="DP775" s="1082">
        <f>(DO775*DG772+DM775*DE772)/DH772</f>
        <v>4.87166666666667</v>
      </c>
      <c r="DQ775" s="1085">
        <f>(DP775*DH772+DL775*DD772)/DI772</f>
        <v>-1.28642857142857</v>
      </c>
      <c r="DR775" s="1082"/>
      <c r="DS775" s="1082"/>
      <c r="DT775" s="1082"/>
      <c r="DU775" s="1082"/>
      <c r="DV775" s="1082"/>
      <c r="DW775" s="1082"/>
      <c r="DX775" s="1082"/>
      <c r="DY775" s="1085"/>
      <c r="DZ775" s="1082"/>
      <c r="EA775" s="1082"/>
      <c r="EB775" s="1082"/>
      <c r="EC775" s="1082"/>
      <c r="ED775" s="1082"/>
      <c r="EE775" s="1082"/>
      <c r="EF775" s="1082"/>
      <c r="EG775" s="1085"/>
      <c r="EH775" s="1082"/>
      <c r="EI775" s="1082"/>
      <c r="EJ775" s="1082"/>
      <c r="EK775" s="1082"/>
      <c r="EL775" s="1082"/>
      <c r="EM775" s="1082"/>
      <c r="EN775" s="1082"/>
      <c r="EO775" s="1085"/>
      <c r="EP775" s="1082"/>
      <c r="EQ775" s="1082"/>
      <c r="ER775" s="1082"/>
      <c r="ES775" s="1082"/>
      <c r="ET775" s="1082"/>
      <c r="EU775" s="1082"/>
      <c r="EV775" s="1082"/>
      <c r="EW775" s="1039"/>
      <c r="EX775" s="891"/>
      <c r="EY775" s="891"/>
      <c r="EZ775" s="891"/>
      <c r="FA775" s="891"/>
      <c r="FB775" s="891"/>
      <c r="FC775" s="891"/>
      <c r="FD775" s="891"/>
      <c r="FE775" s="1039"/>
      <c r="FF775" s="891"/>
      <c r="FG775" s="891"/>
      <c r="FH775" s="891"/>
      <c r="FI775" s="891"/>
      <c r="FJ775" s="891"/>
      <c r="FK775" s="891"/>
      <c r="FL775" s="891"/>
      <c r="FM775" s="1039"/>
      <c r="FN775" s="891"/>
      <c r="FO775" s="891"/>
      <c r="FP775" s="891"/>
      <c r="FQ775" s="891"/>
      <c r="FR775" s="891"/>
      <c r="FS775" s="891"/>
      <c r="FT775" s="891"/>
      <c r="FU775" s="891"/>
      <c r="FV775" s="1040"/>
      <c r="FW775" s="891"/>
      <c r="FX775" s="891"/>
      <c r="FY775" s="891"/>
      <c r="FZ775" s="891"/>
      <c r="GA775" s="891"/>
      <c r="GB775" s="891"/>
      <c r="GC775" s="1039"/>
      <c r="GD775" s="891"/>
      <c r="GE775" s="891"/>
      <c r="GF775" s="891"/>
      <c r="GG775" s="891"/>
      <c r="GH775" s="891"/>
      <c r="GI775" s="891"/>
      <c r="GJ775" s="891"/>
      <c r="GK775" s="1039"/>
      <c r="GL775" s="891"/>
      <c r="GM775" s="891"/>
      <c r="GN775" s="891"/>
      <c r="GO775" s="891"/>
      <c r="GP775" s="891"/>
      <c r="GQ775" s="891"/>
      <c r="GR775" s="891"/>
      <c r="GS775" s="1039"/>
      <c r="GT775" s="891"/>
      <c r="GU775" s="891"/>
      <c r="GV775" s="891"/>
      <c r="GW775" s="891"/>
      <c r="GX775" s="891"/>
      <c r="GY775" s="891"/>
      <c r="GZ775" s="891"/>
      <c r="HA775" s="1039"/>
      <c r="HB775" s="891"/>
      <c r="HC775" s="891"/>
      <c r="HD775" s="891"/>
      <c r="HE775" s="891"/>
      <c r="HF775" s="891"/>
      <c r="HG775" s="891"/>
      <c r="HH775" s="891"/>
      <c r="HI775" s="1039"/>
      <c r="HJ775" s="891"/>
      <c r="HK775" s="891"/>
      <c r="HL775" s="891"/>
      <c r="HM775" s="891"/>
      <c r="HN775" s="891"/>
      <c r="HO775" s="891"/>
      <c r="HP775" s="891"/>
      <c r="HQ775" s="1039"/>
      <c r="HR775" s="891"/>
      <c r="HS775" s="891"/>
      <c r="HT775" s="891"/>
      <c r="HU775" s="891"/>
      <c r="HV775" s="891"/>
      <c r="HW775" s="891"/>
      <c r="HX775" s="891"/>
      <c r="HY775" s="891"/>
      <c r="HZ775" s="891"/>
      <c r="IA775" s="891"/>
      <c r="IB775" s="891"/>
      <c r="IC775" s="891"/>
      <c r="ID775" s="891"/>
      <c r="IE775" s="891"/>
      <c r="IF775" s="891"/>
      <c r="IG775" s="1039"/>
      <c r="IH775" s="891"/>
      <c r="II775" s="891"/>
      <c r="IJ775" s="891"/>
      <c r="IK775" s="891"/>
      <c r="IL775" s="891"/>
      <c r="IM775" s="891"/>
      <c r="IN775" s="891"/>
      <c r="IO775" s="1039"/>
      <c r="IP775" s="891"/>
      <c r="IQ775" s="891"/>
      <c r="IR775" s="891"/>
      <c r="IS775" s="891"/>
      <c r="IT775" s="891"/>
      <c r="IU775" s="891"/>
      <c r="IV775" s="891"/>
      <c r="IW775" s="891"/>
      <c r="IX775" s="1083"/>
      <c r="IY775" s="1083"/>
      <c r="IZ775" s="1083"/>
      <c r="JA775" s="1083"/>
      <c r="JB775" s="1083"/>
      <c r="JC775" s="1083"/>
      <c r="JD775" s="1521"/>
      <c r="JE775" s="1429"/>
      <c r="JF775" s="1426"/>
      <c r="JG775" s="1426"/>
      <c r="JH775" s="1426"/>
    </row>
    <row r="776" spans="1:285">
      <c r="A776" s="1339" t="s">
        <v>642</v>
      </c>
      <c r="B776" s="1409"/>
      <c r="C776" s="1409"/>
      <c r="D776" s="1409"/>
      <c r="E776" s="1409"/>
      <c r="F776" s="1409"/>
      <c r="G776" s="1409"/>
      <c r="H776" s="1409"/>
      <c r="I776" s="1409"/>
      <c r="J776" s="1409"/>
      <c r="K776" s="1409"/>
      <c r="L776" s="1409"/>
      <c r="M776" s="1409"/>
      <c r="N776" s="1409"/>
      <c r="O776" s="1409"/>
      <c r="P776" s="1409"/>
      <c r="Q776" s="1409"/>
      <c r="R776" s="1409"/>
      <c r="S776" s="1409"/>
      <c r="T776" s="1409"/>
      <c r="U776" s="1409"/>
      <c r="V776" s="1409"/>
      <c r="W776" s="1409"/>
      <c r="X776" s="1409"/>
      <c r="Y776" s="1409"/>
      <c r="Z776" s="1409"/>
      <c r="AA776" s="1409"/>
      <c r="AB776" s="1409"/>
      <c r="AC776" s="1409"/>
      <c r="AD776" s="1409"/>
      <c r="AE776" s="1409"/>
      <c r="AF776" s="1409"/>
      <c r="AG776" s="1409"/>
      <c r="AH776" s="1409"/>
      <c r="AI776" s="1409"/>
      <c r="AJ776" s="1409"/>
      <c r="AK776" s="1409"/>
      <c r="AL776" s="1409"/>
      <c r="AM776" s="1409"/>
      <c r="AN776" s="1409"/>
      <c r="AO776" s="1409"/>
      <c r="AP776" s="1409"/>
      <c r="AQ776" s="1409"/>
      <c r="AR776" s="1409"/>
      <c r="AS776" s="1409"/>
      <c r="AT776" s="1409"/>
      <c r="AU776" s="1409"/>
      <c r="AV776" s="1409"/>
      <c r="AW776" s="1409"/>
      <c r="AX776" s="1408"/>
      <c r="AY776" s="1409"/>
      <c r="AZ776" s="1409"/>
      <c r="BA776" s="1409"/>
      <c r="BB776" s="1409"/>
      <c r="BC776" s="1409"/>
      <c r="BD776" s="1409"/>
      <c r="BE776" s="1410"/>
      <c r="BF776" s="1409"/>
      <c r="BG776" s="1409"/>
      <c r="BH776" s="1409"/>
      <c r="BI776" s="1409"/>
      <c r="BJ776" s="1409"/>
      <c r="BK776" s="1409"/>
      <c r="BL776" s="1409"/>
      <c r="BM776" s="1409"/>
      <c r="BN776" s="1408"/>
      <c r="BO776" s="1409"/>
      <c r="BP776" s="1409"/>
      <c r="BQ776" s="1409"/>
      <c r="BR776" s="1409"/>
      <c r="BS776" s="1409"/>
      <c r="BT776" s="1409"/>
      <c r="BU776" s="1410"/>
      <c r="BV776" s="1303">
        <f t="shared" ref="BV776:DQ776" si="4547">BV772/BV$777</f>
        <v>0</v>
      </c>
      <c r="BW776" s="1302">
        <f t="shared" si="4547"/>
        <v>0.00537634408602151</v>
      </c>
      <c r="BX776" s="1302">
        <f t="shared" si="4547"/>
        <v>0.0033112582781457</v>
      </c>
      <c r="BY776" s="1302">
        <f t="shared" si="4547"/>
        <v>0.00571428571428571</v>
      </c>
      <c r="BZ776" s="1302">
        <f t="shared" si="4547"/>
        <v>0.00419287211740042</v>
      </c>
      <c r="CA776" s="1302">
        <f t="shared" si="4547"/>
        <v>0</v>
      </c>
      <c r="CB776" s="1302">
        <f t="shared" si="4547"/>
        <v>0.00302114803625378</v>
      </c>
      <c r="CC776" s="1304">
        <f t="shared" si="4547"/>
        <v>0.00315955766192733</v>
      </c>
      <c r="CD776" s="1303">
        <f t="shared" si="4547"/>
        <v>0.00671140939597315</v>
      </c>
      <c r="CE776" s="1302">
        <f t="shared" si="4547"/>
        <v>0.00495049504950495</v>
      </c>
      <c r="CF776" s="1302">
        <f t="shared" si="4547"/>
        <v>0.0056980056980057</v>
      </c>
      <c r="CG776" s="1302">
        <f t="shared" si="4547"/>
        <v>0</v>
      </c>
      <c r="CH776" s="1302">
        <f t="shared" si="4547"/>
        <v>0.00378787878787879</v>
      </c>
      <c r="CI776" s="1302">
        <f t="shared" si="4547"/>
        <v>0.00552486187845304</v>
      </c>
      <c r="CJ776" s="1302">
        <f t="shared" si="4547"/>
        <v>0.00279329608938547</v>
      </c>
      <c r="CK776" s="1304">
        <f t="shared" si="4547"/>
        <v>0.00423131170662906</v>
      </c>
      <c r="CL776" s="1303">
        <f t="shared" si="4547"/>
        <v>0.00497512437810945</v>
      </c>
      <c r="CM776" s="1302">
        <f t="shared" si="4547"/>
        <v>0.00380228136882129</v>
      </c>
      <c r="CN776" s="1302">
        <f t="shared" si="4547"/>
        <v>0.00431034482758621</v>
      </c>
      <c r="CO776" s="1302">
        <f t="shared" si="4547"/>
        <v>0</v>
      </c>
      <c r="CP776" s="1302">
        <f t="shared" si="4547"/>
        <v>0.00303951367781155</v>
      </c>
      <c r="CQ776" s="1302">
        <f t="shared" si="4547"/>
        <v>0.0151515151515152</v>
      </c>
      <c r="CR776" s="1302">
        <f t="shared" si="4547"/>
        <v>0.00646551724137931</v>
      </c>
      <c r="CS776" s="1304">
        <f t="shared" si="4547"/>
        <v>0.0058411214953271</v>
      </c>
      <c r="CT776" s="1303">
        <f t="shared" si="4547"/>
        <v>0.00555555555555556</v>
      </c>
      <c r="CU776" s="1302">
        <f t="shared" si="4547"/>
        <v>0.00418410041841004</v>
      </c>
      <c r="CV776" s="1302">
        <f t="shared" si="4547"/>
        <v>0.00477326968973747</v>
      </c>
      <c r="CW776" s="1302">
        <f t="shared" si="4547"/>
        <v>0.0157894736842105</v>
      </c>
      <c r="CX776" s="1302">
        <f t="shared" si="4547"/>
        <v>0.00821018062397373</v>
      </c>
      <c r="CY776" s="1302">
        <f t="shared" si="4547"/>
        <v>0</v>
      </c>
      <c r="CZ776" s="1302">
        <f t="shared" si="4547"/>
        <v>0.00779220779220779</v>
      </c>
      <c r="DA776" s="1304">
        <f t="shared" si="4547"/>
        <v>0.00621890547263682</v>
      </c>
      <c r="DB776" s="1109">
        <f t="shared" si="4547"/>
        <v>0.0104712041884817</v>
      </c>
      <c r="DC776" s="1082">
        <f t="shared" si="4547"/>
        <v>0.00881057268722467</v>
      </c>
      <c r="DD776" s="1082">
        <f t="shared" si="4547"/>
        <v>0.00956937799043062</v>
      </c>
      <c r="DE776" s="1082">
        <f t="shared" si="4547"/>
        <v>0.00512820512820513</v>
      </c>
      <c r="DF776" s="1082">
        <f t="shared" si="4547"/>
        <v>0.00815660685154975</v>
      </c>
      <c r="DG776" s="1082">
        <f t="shared" si="4547"/>
        <v>0.0100502512562814</v>
      </c>
      <c r="DH776" s="1082">
        <f t="shared" si="4547"/>
        <v>0.00761421319796954</v>
      </c>
      <c r="DI776" s="1085">
        <f t="shared" si="4547"/>
        <v>0.00862068965517241</v>
      </c>
      <c r="DJ776" s="1082">
        <f t="shared" si="4547"/>
        <v>0.00515463917525773</v>
      </c>
      <c r="DK776" s="1082">
        <f t="shared" si="4547"/>
        <v>0.0117647058823529</v>
      </c>
      <c r="DL776" s="1082">
        <f t="shared" si="4547"/>
        <v>0.0089086859688196</v>
      </c>
      <c r="DM776" s="1082">
        <f t="shared" si="4547"/>
        <v>0.00543478260869565</v>
      </c>
      <c r="DN776" s="1082">
        <f t="shared" si="4547"/>
        <v>0.00789889415481832</v>
      </c>
      <c r="DO776" s="1082" t="e">
        <f t="shared" si="4547"/>
        <v>#REF!</v>
      </c>
      <c r="DP776" s="1082" t="e">
        <f t="shared" si="4547"/>
        <v>#REF!</v>
      </c>
      <c r="DQ776" s="1085" t="e">
        <f t="shared" si="4547"/>
        <v>#REF!</v>
      </c>
      <c r="DR776" s="1082"/>
      <c r="DS776" s="1082"/>
      <c r="DT776" s="1082"/>
      <c r="DU776" s="1082"/>
      <c r="DV776" s="1082"/>
      <c r="DW776" s="1082"/>
      <c r="DX776" s="1082"/>
      <c r="DY776" s="1085"/>
      <c r="DZ776" s="1082"/>
      <c r="EA776" s="1082"/>
      <c r="EB776" s="1082"/>
      <c r="EC776" s="1082"/>
      <c r="ED776" s="1082"/>
      <c r="EE776" s="1082"/>
      <c r="EF776" s="1082"/>
      <c r="EG776" s="1085"/>
      <c r="EH776" s="1082"/>
      <c r="EI776" s="1082"/>
      <c r="EJ776" s="1082"/>
      <c r="EK776" s="1082"/>
      <c r="EL776" s="1082"/>
      <c r="EM776" s="1082"/>
      <c r="EN776" s="1082"/>
      <c r="EO776" s="1085"/>
      <c r="EP776" s="1082"/>
      <c r="EQ776" s="1082"/>
      <c r="ER776" s="1082"/>
      <c r="ES776" s="1082"/>
      <c r="ET776" s="1082"/>
      <c r="EU776" s="1082"/>
      <c r="EV776" s="1082"/>
      <c r="IX776" s="1083"/>
      <c r="IY776" s="1083"/>
      <c r="IZ776" s="1083"/>
      <c r="JA776" s="1083"/>
      <c r="JB776" s="1083"/>
      <c r="JC776" s="1083"/>
      <c r="JD776" s="1521"/>
      <c r="JE776" s="1126"/>
      <c r="JF776" s="1037"/>
      <c r="JG776" s="1037"/>
      <c r="JH776" s="1037"/>
      <c r="JI776" s="1035"/>
      <c r="JJ776" s="1035"/>
      <c r="JK776" s="1035"/>
      <c r="JL776" s="1035"/>
      <c r="JM776" s="1035"/>
      <c r="JN776" s="1035"/>
      <c r="JO776" s="1035"/>
      <c r="JP776" s="1035"/>
      <c r="JQ776" s="1035"/>
      <c r="JR776" s="1035"/>
      <c r="JS776" s="1035"/>
      <c r="JT776" s="1035"/>
      <c r="JU776" s="1035"/>
      <c r="JV776" s="1035"/>
      <c r="JW776" s="1035"/>
      <c r="JX776" s="1035"/>
      <c r="JY776" s="1035"/>
    </row>
    <row r="777" spans="1:285">
      <c r="A777" s="1191" t="s">
        <v>71</v>
      </c>
      <c r="B777" s="1499"/>
      <c r="C777" s="1499"/>
      <c r="D777" s="1499"/>
      <c r="E777" s="1499"/>
      <c r="F777" s="1499"/>
      <c r="G777" s="1499"/>
      <c r="H777" s="1499"/>
      <c r="I777" s="1499"/>
      <c r="J777" s="1499"/>
      <c r="K777" s="1499"/>
      <c r="L777" s="1499"/>
      <c r="M777" s="1499"/>
      <c r="N777" s="1499"/>
      <c r="O777" s="1499"/>
      <c r="P777" s="1499"/>
      <c r="Q777" s="1499"/>
      <c r="R777" s="1499"/>
      <c r="S777" s="1499"/>
      <c r="T777" s="1499"/>
      <c r="U777" s="1499"/>
      <c r="V777" s="1499"/>
      <c r="W777" s="1499"/>
      <c r="X777" s="1499"/>
      <c r="Y777" s="1499"/>
      <c r="Z777" s="1499"/>
      <c r="AA777" s="1499"/>
      <c r="AB777" s="1499"/>
      <c r="AC777" s="1499"/>
      <c r="AD777" s="1499"/>
      <c r="AE777" s="1499"/>
      <c r="AF777" s="1499"/>
      <c r="AG777" s="1499"/>
      <c r="AH777" s="1499"/>
      <c r="AI777" s="1499"/>
      <c r="AJ777" s="1499"/>
      <c r="AK777" s="1499"/>
      <c r="AL777" s="1499"/>
      <c r="AM777" s="1499"/>
      <c r="AN777" s="1499"/>
      <c r="AO777" s="1499"/>
      <c r="AP777" s="1499"/>
      <c r="AQ777" s="1499"/>
      <c r="AR777" s="1499"/>
      <c r="AS777" s="1499"/>
      <c r="AT777" s="1499"/>
      <c r="AU777" s="1499"/>
      <c r="AV777" s="1499"/>
      <c r="AW777" s="1499"/>
      <c r="AX777" s="1500"/>
      <c r="AY777" s="1499"/>
      <c r="AZ777" s="1499"/>
      <c r="BA777" s="1499"/>
      <c r="BB777" s="1499"/>
      <c r="BC777" s="1499"/>
      <c r="BD777" s="1499"/>
      <c r="BE777" s="1501"/>
      <c r="BF777" s="1499"/>
      <c r="BG777" s="1499"/>
      <c r="BH777" s="1499"/>
      <c r="BI777" s="1499"/>
      <c r="BJ777" s="1499"/>
      <c r="BK777" s="1499"/>
      <c r="BL777" s="1499"/>
      <c r="BM777" s="1499"/>
      <c r="BN777" s="1500"/>
      <c r="BO777" s="1499"/>
      <c r="BP777" s="1499"/>
      <c r="BQ777" s="1499"/>
      <c r="BR777" s="1499"/>
      <c r="BS777" s="1499"/>
      <c r="BT777" s="1499"/>
      <c r="BU777" s="1501"/>
      <c r="BV777" s="1500">
        <v>116</v>
      </c>
      <c r="BW777" s="1499">
        <f>BX777-BV777</f>
        <v>186</v>
      </c>
      <c r="BX777" s="1499">
        <v>302</v>
      </c>
      <c r="BY777" s="1499">
        <f>BZ777-BX777</f>
        <v>175</v>
      </c>
      <c r="BZ777" s="1499">
        <v>477</v>
      </c>
      <c r="CA777" s="1499">
        <f>CC777-BZ777</f>
        <v>156</v>
      </c>
      <c r="CB777" s="1499">
        <f>CC777-BX777</f>
        <v>331</v>
      </c>
      <c r="CC777" s="1501">
        <v>633</v>
      </c>
      <c r="CD777" s="1500">
        <v>149</v>
      </c>
      <c r="CE777" s="1499">
        <f>CF777-CD777</f>
        <v>202</v>
      </c>
      <c r="CF777" s="1499">
        <v>351</v>
      </c>
      <c r="CG777" s="1499">
        <f>CH777-CF777</f>
        <v>177</v>
      </c>
      <c r="CH777" s="1499">
        <v>528</v>
      </c>
      <c r="CI777" s="1499">
        <f>CK777-CH777</f>
        <v>181</v>
      </c>
      <c r="CJ777" s="1499">
        <f>CK777-CF777</f>
        <v>358</v>
      </c>
      <c r="CK777" s="1501">
        <v>709</v>
      </c>
      <c r="CL777" s="1500">
        <v>201</v>
      </c>
      <c r="CM777" s="1499">
        <f>CN777-CL777</f>
        <v>263</v>
      </c>
      <c r="CN777" s="1499">
        <v>464</v>
      </c>
      <c r="CO777" s="1499">
        <f>CP777-CN777</f>
        <v>194</v>
      </c>
      <c r="CP777" s="1499">
        <v>658</v>
      </c>
      <c r="CQ777" s="1499">
        <f>CS777-CP777</f>
        <v>198</v>
      </c>
      <c r="CR777" s="1499">
        <f>CS777-CQ777-CO777</f>
        <v>464</v>
      </c>
      <c r="CS777" s="1501">
        <v>856</v>
      </c>
      <c r="CT777" s="1500">
        <f>CT557</f>
        <v>180</v>
      </c>
      <c r="CU777" s="1499">
        <f>CV777-CT777</f>
        <v>239</v>
      </c>
      <c r="CV777" s="1499">
        <f>CV757+CV762+CV767+CV772</f>
        <v>419</v>
      </c>
      <c r="CW777" s="1499">
        <f>CW757+CW762+CW767+CW772</f>
        <v>190</v>
      </c>
      <c r="CX777" s="1499">
        <f>+CX557</f>
        <v>609</v>
      </c>
      <c r="CY777" s="1499">
        <f>+CY557</f>
        <v>195</v>
      </c>
      <c r="CZ777" s="1499">
        <f>+CZ557</f>
        <v>385</v>
      </c>
      <c r="DA777" s="1501">
        <f>+DA557</f>
        <v>804</v>
      </c>
      <c r="DB777" s="1502">
        <f>+DB557</f>
        <v>191</v>
      </c>
      <c r="DC777" s="1372">
        <f t="shared" ref="DC777:DI777" si="4548">SUM(DC757,DC762,DC767,DC772)</f>
        <v>227</v>
      </c>
      <c r="DD777" s="1372">
        <f t="shared" si="4548"/>
        <v>418</v>
      </c>
      <c r="DE777" s="1372">
        <f t="shared" si="4548"/>
        <v>195</v>
      </c>
      <c r="DF777" s="1372">
        <f t="shared" si="4548"/>
        <v>613</v>
      </c>
      <c r="DG777" s="1372">
        <f t="shared" si="4548"/>
        <v>199</v>
      </c>
      <c r="DH777" s="1372">
        <f t="shared" si="4548"/>
        <v>394</v>
      </c>
      <c r="DI777" s="1503">
        <f t="shared" si="4548"/>
        <v>812</v>
      </c>
      <c r="DJ777" s="1372">
        <f t="shared" ref="DJ777:DQ777" si="4549">DJ557</f>
        <v>194</v>
      </c>
      <c r="DK777" s="1372">
        <f t="shared" si="4549"/>
        <v>255</v>
      </c>
      <c r="DL777" s="1372">
        <f t="shared" si="4549"/>
        <v>449</v>
      </c>
      <c r="DM777" s="1372">
        <f t="shared" si="4549"/>
        <v>184</v>
      </c>
      <c r="DN777" s="1372">
        <f t="shared" si="4549"/>
        <v>633</v>
      </c>
      <c r="DO777" s="1372" t="e">
        <f t="shared" si="4549"/>
        <v>#REF!</v>
      </c>
      <c r="DP777" s="1372" t="e">
        <f t="shared" si="4549"/>
        <v>#REF!</v>
      </c>
      <c r="DQ777" s="1503" t="e">
        <f t="shared" si="4549"/>
        <v>#REF!</v>
      </c>
      <c r="DR777" s="1372"/>
      <c r="DS777" s="1372"/>
      <c r="DT777" s="1372"/>
      <c r="DU777" s="1372"/>
      <c r="DV777" s="1372"/>
      <c r="DW777" s="1372"/>
      <c r="DX777" s="1372"/>
      <c r="DY777" s="1503"/>
      <c r="DZ777" s="1372"/>
      <c r="EA777" s="1372"/>
      <c r="EB777" s="1372"/>
      <c r="EC777" s="1372"/>
      <c r="ED777" s="1372"/>
      <c r="EE777" s="1372"/>
      <c r="EF777" s="1372"/>
      <c r="EG777" s="1503"/>
      <c r="EH777" s="1372"/>
      <c r="EI777" s="1372"/>
      <c r="EJ777" s="1372"/>
      <c r="EK777" s="1372"/>
      <c r="EL777" s="1372"/>
      <c r="EM777" s="1372"/>
      <c r="EN777" s="1372"/>
      <c r="EO777" s="1503"/>
      <c r="EP777" s="1372"/>
      <c r="EQ777" s="1372"/>
      <c r="ER777" s="1372"/>
      <c r="ES777" s="1372"/>
      <c r="ET777" s="1372"/>
      <c r="EU777" s="1372"/>
      <c r="EV777" s="1372"/>
      <c r="IX777" s="1354"/>
      <c r="IY777" s="1354"/>
      <c r="IZ777" s="1354"/>
      <c r="JA777" s="1354"/>
      <c r="JB777" s="1354"/>
      <c r="JC777" s="1354"/>
      <c r="JD777" s="1518"/>
      <c r="JE777" s="1126"/>
      <c r="JF777" s="1037"/>
      <c r="JG777" s="1037"/>
      <c r="JH777" s="1037"/>
      <c r="JI777" s="1035"/>
      <c r="JJ777" s="1035"/>
      <c r="JK777" s="1035"/>
      <c r="JL777" s="1035"/>
      <c r="JM777" s="1035"/>
      <c r="JN777" s="1035"/>
      <c r="JO777" s="1035"/>
      <c r="JP777" s="1035"/>
      <c r="JQ777" s="1035"/>
      <c r="JR777" s="1035"/>
      <c r="JS777" s="1035"/>
      <c r="JT777" s="1035"/>
      <c r="JU777" s="1035"/>
      <c r="JV777" s="1035"/>
      <c r="JW777" s="1035"/>
      <c r="JX777" s="1035"/>
      <c r="JY777" s="1035"/>
    </row>
    <row r="778" spans="1:285">
      <c r="A778" s="1339" t="s">
        <v>142</v>
      </c>
      <c r="B778" s="1409"/>
      <c r="C778" s="1409"/>
      <c r="D778" s="1409"/>
      <c r="E778" s="1409"/>
      <c r="F778" s="1409"/>
      <c r="G778" s="1409"/>
      <c r="H778" s="1409"/>
      <c r="I778" s="1409"/>
      <c r="J778" s="1409"/>
      <c r="K778" s="1409"/>
      <c r="L778" s="1409"/>
      <c r="M778" s="1409"/>
      <c r="N778" s="1409"/>
      <c r="O778" s="1409"/>
      <c r="P778" s="1409"/>
      <c r="Q778" s="1409"/>
      <c r="R778" s="1409"/>
      <c r="S778" s="1409"/>
      <c r="T778" s="1409"/>
      <c r="U778" s="1409"/>
      <c r="V778" s="1409"/>
      <c r="W778" s="1409"/>
      <c r="X778" s="1409"/>
      <c r="Y778" s="1409"/>
      <c r="Z778" s="1409"/>
      <c r="AA778" s="1409"/>
      <c r="AB778" s="1409"/>
      <c r="AC778" s="1409"/>
      <c r="AD778" s="1409"/>
      <c r="AE778" s="1409"/>
      <c r="AF778" s="1409"/>
      <c r="AG778" s="1409"/>
      <c r="AH778" s="1409"/>
      <c r="AI778" s="1409"/>
      <c r="AJ778" s="1409"/>
      <c r="AK778" s="1409"/>
      <c r="AL778" s="1409"/>
      <c r="AM778" s="1409"/>
      <c r="AN778" s="1409"/>
      <c r="AO778" s="1409"/>
      <c r="AP778" s="1409"/>
      <c r="AQ778" s="1409"/>
      <c r="AR778" s="1409"/>
      <c r="AS778" s="1409"/>
      <c r="AT778" s="1409"/>
      <c r="AU778" s="1409"/>
      <c r="AV778" s="1409"/>
      <c r="AW778" s="1409"/>
      <c r="AX778" s="1408"/>
      <c r="AY778" s="1409"/>
      <c r="AZ778" s="1409"/>
      <c r="BA778" s="1409"/>
      <c r="BB778" s="1409"/>
      <c r="BC778" s="1409"/>
      <c r="BD778" s="1409"/>
      <c r="BE778" s="1410"/>
      <c r="BF778" s="1409"/>
      <c r="BG778" s="1409"/>
      <c r="BH778" s="1409"/>
      <c r="BI778" s="1409"/>
      <c r="BJ778" s="1409"/>
      <c r="BK778" s="1409"/>
      <c r="BL778" s="1409"/>
      <c r="BM778" s="1409"/>
      <c r="BN778" s="1408"/>
      <c r="BO778" s="1409"/>
      <c r="BP778" s="1409"/>
      <c r="BQ778" s="1409"/>
      <c r="BR778" s="1409"/>
      <c r="BS778" s="1409"/>
      <c r="BT778" s="1409"/>
      <c r="BU778" s="1410"/>
      <c r="BV778" s="1526" t="s">
        <v>173</v>
      </c>
      <c r="BW778" s="1061" t="s">
        <v>173</v>
      </c>
      <c r="BX778" s="1061" t="s">
        <v>173</v>
      </c>
      <c r="BY778" s="1061" t="s">
        <v>173</v>
      </c>
      <c r="BZ778" s="1061" t="s">
        <v>173</v>
      </c>
      <c r="CA778" s="1061" t="s">
        <v>173</v>
      </c>
      <c r="CB778" s="1061" t="s">
        <v>173</v>
      </c>
      <c r="CC778" s="1527" t="s">
        <v>173</v>
      </c>
      <c r="CD778" s="1303">
        <f t="shared" ref="CD778:CQ778" si="4550">CD777/BV777-1</f>
        <v>0.28448275862069</v>
      </c>
      <c r="CE778" s="1302">
        <f t="shared" si="4550"/>
        <v>0.086021505376344</v>
      </c>
      <c r="CF778" s="1302">
        <f t="shared" si="4550"/>
        <v>0.162251655629139</v>
      </c>
      <c r="CG778" s="1302">
        <f t="shared" si="4550"/>
        <v>0.0114285714285713</v>
      </c>
      <c r="CH778" s="1302">
        <f t="shared" si="4550"/>
        <v>0.106918238993711</v>
      </c>
      <c r="CI778" s="1302">
        <f t="shared" si="4550"/>
        <v>0.16025641025641</v>
      </c>
      <c r="CJ778" s="1302">
        <f t="shared" si="4550"/>
        <v>0.0815709969788521</v>
      </c>
      <c r="CK778" s="1304">
        <f t="shared" si="4550"/>
        <v>0.120063191153239</v>
      </c>
      <c r="CL778" s="1303">
        <f t="shared" si="4550"/>
        <v>0.348993288590604</v>
      </c>
      <c r="CM778" s="1302">
        <f t="shared" si="4550"/>
        <v>0.301980198019802</v>
      </c>
      <c r="CN778" s="1302">
        <f t="shared" si="4550"/>
        <v>0.321937321937322</v>
      </c>
      <c r="CO778" s="1302">
        <f t="shared" si="4550"/>
        <v>0.0960451977401129</v>
      </c>
      <c r="CP778" s="1302">
        <f t="shared" si="4550"/>
        <v>0.246212121212121</v>
      </c>
      <c r="CQ778" s="1302">
        <f t="shared" si="4550"/>
        <v>0.0939226519337018</v>
      </c>
      <c r="CR778" s="1302">
        <f>CR777/CG777-1</f>
        <v>1.62146892655367</v>
      </c>
      <c r="CS778" s="1304">
        <f t="shared" ref="CS778:CX778" si="4551">CS777/CK777-1</f>
        <v>0.207334273624824</v>
      </c>
      <c r="CT778" s="1303">
        <f t="shared" si="4551"/>
        <v>-0.104477611940298</v>
      </c>
      <c r="CU778" s="1302">
        <f t="shared" si="4551"/>
        <v>-0.091254752851711</v>
      </c>
      <c r="CV778" s="1302">
        <f t="shared" si="4551"/>
        <v>-0.0969827586206896</v>
      </c>
      <c r="CW778" s="1302">
        <f t="shared" si="4551"/>
        <v>-0.020618556701031</v>
      </c>
      <c r="CX778" s="1302">
        <f t="shared" si="4551"/>
        <v>-0.074468085106383</v>
      </c>
      <c r="CY778" s="1302">
        <f t="shared" ref="CY778:DD778" si="4552">CY777/CQ777-1</f>
        <v>-0.0151515151515151</v>
      </c>
      <c r="CZ778" s="1302">
        <f t="shared" si="4552"/>
        <v>-0.170258620689655</v>
      </c>
      <c r="DA778" s="1304">
        <f t="shared" si="4552"/>
        <v>-0.0607476635514018</v>
      </c>
      <c r="DB778" s="1109">
        <f t="shared" si="4552"/>
        <v>0.0611111111111111</v>
      </c>
      <c r="DC778" s="1082">
        <f t="shared" si="4552"/>
        <v>-0.0502092050209205</v>
      </c>
      <c r="DD778" s="1082">
        <f t="shared" si="4552"/>
        <v>-0.00238663484486878</v>
      </c>
      <c r="DE778" s="1082">
        <f t="shared" ref="DE778:DQ778" si="4553">DE777/CW777-1</f>
        <v>0.0263157894736843</v>
      </c>
      <c r="DF778" s="1082">
        <f t="shared" si="4553"/>
        <v>0.00656814449917897</v>
      </c>
      <c r="DG778" s="1082">
        <f t="shared" si="4553"/>
        <v>0.0205128205128204</v>
      </c>
      <c r="DH778" s="1082">
        <f t="shared" si="4553"/>
        <v>0.0233766233766233</v>
      </c>
      <c r="DI778" s="1085">
        <f t="shared" si="4553"/>
        <v>0.00995024875621886</v>
      </c>
      <c r="DJ778" s="1082">
        <f t="shared" si="4553"/>
        <v>0.0157068062827226</v>
      </c>
      <c r="DK778" s="1082">
        <f t="shared" si="4553"/>
        <v>0.123348017621145</v>
      </c>
      <c r="DL778" s="1082">
        <f t="shared" si="4553"/>
        <v>0.0741626794258374</v>
      </c>
      <c r="DM778" s="1082">
        <f t="shared" si="4553"/>
        <v>-0.0564102564102564</v>
      </c>
      <c r="DN778" s="1082">
        <f t="shared" si="4553"/>
        <v>0.0326264274061989</v>
      </c>
      <c r="DO778" s="1082" t="e">
        <f t="shared" si="4553"/>
        <v>#REF!</v>
      </c>
      <c r="DP778" s="1082" t="e">
        <f t="shared" si="4553"/>
        <v>#REF!</v>
      </c>
      <c r="DQ778" s="1085" t="e">
        <f t="shared" si="4553"/>
        <v>#REF!</v>
      </c>
      <c r="DR778" s="1082"/>
      <c r="DS778" s="1082"/>
      <c r="DT778" s="1082"/>
      <c r="DU778" s="1082"/>
      <c r="DV778" s="1082"/>
      <c r="DW778" s="1082"/>
      <c r="DX778" s="1082"/>
      <c r="DY778" s="1085"/>
      <c r="DZ778" s="1082"/>
      <c r="EA778" s="1082"/>
      <c r="EB778" s="1082"/>
      <c r="EC778" s="1082"/>
      <c r="ED778" s="1082"/>
      <c r="EE778" s="1082"/>
      <c r="EF778" s="1082"/>
      <c r="EG778" s="1085"/>
      <c r="EH778" s="1082"/>
      <c r="EI778" s="1082"/>
      <c r="EJ778" s="1082"/>
      <c r="EK778" s="1082"/>
      <c r="EL778" s="1082"/>
      <c r="EM778" s="1082"/>
      <c r="EN778" s="1082"/>
      <c r="EO778" s="1085"/>
      <c r="EP778" s="1082"/>
      <c r="EQ778" s="1082"/>
      <c r="ER778" s="1082"/>
      <c r="ES778" s="1082"/>
      <c r="ET778" s="1082"/>
      <c r="EU778" s="1082"/>
      <c r="EV778" s="1082"/>
      <c r="IX778" s="1083"/>
      <c r="IY778" s="1083"/>
      <c r="IZ778" s="1083"/>
      <c r="JA778" s="1083"/>
      <c r="JB778" s="1083"/>
      <c r="JC778" s="1083"/>
      <c r="JD778" s="1521"/>
      <c r="JE778" s="1126"/>
      <c r="JF778" s="1037"/>
      <c r="JG778" s="1037"/>
      <c r="JH778" s="1037"/>
      <c r="JI778" s="1035"/>
      <c r="JJ778" s="1035"/>
      <c r="JK778" s="1035"/>
      <c r="JL778" s="1035"/>
      <c r="JM778" s="1035"/>
      <c r="JN778" s="1035"/>
      <c r="JO778" s="1035"/>
      <c r="JP778" s="1035"/>
      <c r="JQ778" s="1035"/>
      <c r="JR778" s="1035"/>
      <c r="JS778" s="1035"/>
      <c r="JT778" s="1035"/>
      <c r="JU778" s="1035"/>
      <c r="JV778" s="1035"/>
      <c r="JW778" s="1035"/>
      <c r="JX778" s="1035"/>
      <c r="JY778" s="1035"/>
    </row>
    <row r="779" spans="1:285">
      <c r="A779" s="1339" t="s">
        <v>656</v>
      </c>
      <c r="B779" s="1409"/>
      <c r="C779" s="1409"/>
      <c r="D779" s="1409"/>
      <c r="E779" s="1409"/>
      <c r="F779" s="1409"/>
      <c r="G779" s="1409"/>
      <c r="H779" s="1409"/>
      <c r="I779" s="1409"/>
      <c r="J779" s="1409"/>
      <c r="K779" s="1409"/>
      <c r="L779" s="1409"/>
      <c r="M779" s="1409"/>
      <c r="N779" s="1409"/>
      <c r="O779" s="1409"/>
      <c r="P779" s="1409"/>
      <c r="Q779" s="1409"/>
      <c r="R779" s="1409"/>
      <c r="S779" s="1409"/>
      <c r="T779" s="1409"/>
      <c r="U779" s="1409"/>
      <c r="V779" s="1409"/>
      <c r="W779" s="1409"/>
      <c r="X779" s="1409"/>
      <c r="Y779" s="1409"/>
      <c r="Z779" s="1409"/>
      <c r="AA779" s="1409"/>
      <c r="AB779" s="1409"/>
      <c r="AC779" s="1409"/>
      <c r="AD779" s="1409"/>
      <c r="AE779" s="1409"/>
      <c r="AF779" s="1409"/>
      <c r="AG779" s="1409"/>
      <c r="AH779" s="1409"/>
      <c r="AI779" s="1409"/>
      <c r="AJ779" s="1409"/>
      <c r="AK779" s="1409"/>
      <c r="AL779" s="1409"/>
      <c r="AM779" s="1409"/>
      <c r="AN779" s="1409"/>
      <c r="AO779" s="1409"/>
      <c r="AP779" s="1409"/>
      <c r="AQ779" s="1409"/>
      <c r="AR779" s="1409"/>
      <c r="AS779" s="1409"/>
      <c r="AT779" s="1409"/>
      <c r="AU779" s="1409"/>
      <c r="AV779" s="1409"/>
      <c r="AW779" s="1409"/>
      <c r="AX779" s="1408"/>
      <c r="AY779" s="1409"/>
      <c r="AZ779" s="1409"/>
      <c r="BA779" s="1409"/>
      <c r="BB779" s="1409"/>
      <c r="BC779" s="1409"/>
      <c r="BD779" s="1409"/>
      <c r="BE779" s="1410"/>
      <c r="BF779" s="1409"/>
      <c r="BG779" s="1409"/>
      <c r="BH779" s="1409"/>
      <c r="BI779" s="1409"/>
      <c r="BJ779" s="1409"/>
      <c r="BK779" s="1409"/>
      <c r="BL779" s="1409"/>
      <c r="BM779" s="1409"/>
      <c r="BN779" s="1408"/>
      <c r="BO779" s="1409"/>
      <c r="BP779" s="1409"/>
      <c r="BQ779" s="1409"/>
      <c r="BR779" s="1409"/>
      <c r="BS779" s="1409"/>
      <c r="BT779" s="1409"/>
      <c r="BU779" s="1410"/>
      <c r="BV779" s="1526" t="s">
        <v>173</v>
      </c>
      <c r="BW779" s="1061" t="s">
        <v>173</v>
      </c>
      <c r="BX779" s="1061" t="s">
        <v>173</v>
      </c>
      <c r="BY779" s="1061" t="s">
        <v>173</v>
      </c>
      <c r="BZ779" s="1061" t="s">
        <v>173</v>
      </c>
      <c r="CA779" s="1061" t="s">
        <v>173</v>
      </c>
      <c r="CB779" s="1061" t="s">
        <v>173</v>
      </c>
      <c r="CC779" s="1527" t="s">
        <v>173</v>
      </c>
      <c r="CD779" s="1303">
        <v>0.31</v>
      </c>
      <c r="CE779" s="1302">
        <f>(CF779*(BX777/BW777))-(CD779*(BV777/BW777))</f>
        <v>0.115161290322581</v>
      </c>
      <c r="CF779" s="1302">
        <v>0.19</v>
      </c>
      <c r="CG779" s="1302" t="s">
        <v>173</v>
      </c>
      <c r="CH779" s="1302">
        <v>0.12</v>
      </c>
      <c r="CI779" s="1302" t="s">
        <v>173</v>
      </c>
      <c r="CJ779" s="1302" t="s">
        <v>173</v>
      </c>
      <c r="CK779" s="1304">
        <v>0.11</v>
      </c>
      <c r="CL779" s="1303">
        <v>0.26</v>
      </c>
      <c r="CM779" s="1302">
        <f>(CN779*(CF777/CE777))-(CL779*(CD777/CE777))</f>
        <v>0.294752475247525</v>
      </c>
      <c r="CN779" s="1302">
        <v>0.28</v>
      </c>
      <c r="CO779" s="1302"/>
      <c r="CP779" s="1302"/>
      <c r="CQ779" s="1302"/>
      <c r="CR779" s="1302"/>
      <c r="CS779" s="1304">
        <v>0.22</v>
      </c>
      <c r="CT779" s="1303">
        <v>-0.04</v>
      </c>
      <c r="CU779" s="1302">
        <f t="shared" ref="CU779:DB779" si="4554">CU560</f>
        <v>-0.022</v>
      </c>
      <c r="CV779" s="1302">
        <f t="shared" si="4554"/>
        <v>-0.03</v>
      </c>
      <c r="CW779" s="1302">
        <f t="shared" si="4554"/>
        <v>0.039</v>
      </c>
      <c r="CX779" s="1302">
        <f t="shared" si="4554"/>
        <v>-0.01</v>
      </c>
      <c r="CY779" s="1302">
        <f t="shared" si="4554"/>
        <v>0.0764646464646465</v>
      </c>
      <c r="CZ779" s="1302">
        <f t="shared" si="4554"/>
        <v>0.0575703324808184</v>
      </c>
      <c r="DA779" s="1304">
        <f t="shared" si="4554"/>
        <v>0.01</v>
      </c>
      <c r="DB779" s="1109">
        <f t="shared" si="4554"/>
        <v>0.17</v>
      </c>
      <c r="DC779" s="1082">
        <f t="shared" ref="DC779:DH779" si="4555">(DC775*CU772+DC770*CU767+DC765*CU762+DC760*CU757)/CU777</f>
        <v>0.0599163179916318</v>
      </c>
      <c r="DD779" s="1082">
        <f t="shared" si="4555"/>
        <v>0.105441527446301</v>
      </c>
      <c r="DE779" s="1082">
        <f t="shared" si="4555"/>
        <v>0.132421052631579</v>
      </c>
      <c r="DF779" s="1082">
        <f t="shared" si="4555"/>
        <v>0.113858784893268</v>
      </c>
      <c r="DG779" s="1082" t="s">
        <v>595</v>
      </c>
      <c r="DH779" s="1082">
        <f t="shared" si="4555"/>
        <v>0.0382597402597403</v>
      </c>
      <c r="DI779" s="1085">
        <v>0.07</v>
      </c>
      <c r="DJ779" s="1082">
        <f t="shared" ref="DJ779:DQ779" si="4556">DJ560</f>
        <v>-0.06</v>
      </c>
      <c r="DK779" s="1082">
        <f t="shared" si="4556"/>
        <v>-0.06</v>
      </c>
      <c r="DL779" s="1082">
        <f t="shared" si="4556"/>
        <v>-0.06</v>
      </c>
      <c r="DM779" s="1082">
        <f t="shared" si="4556"/>
        <v>-0.121</v>
      </c>
      <c r="DN779" s="1082">
        <f t="shared" si="4556"/>
        <v>-0.079571661237785</v>
      </c>
      <c r="DO779" s="1082">
        <f t="shared" si="4556"/>
        <v>0.07</v>
      </c>
      <c r="DP779" s="1082">
        <f t="shared" si="4556"/>
        <v>-0.0252582278481013</v>
      </c>
      <c r="DQ779" s="1085">
        <f t="shared" si="4556"/>
        <v>-0.0430997536945813</v>
      </c>
      <c r="DR779" s="1082"/>
      <c r="DS779" s="1082"/>
      <c r="DT779" s="1082"/>
      <c r="DU779" s="1082"/>
      <c r="DV779" s="1082"/>
      <c r="DW779" s="1082"/>
      <c r="DX779" s="1082"/>
      <c r="DY779" s="1085"/>
      <c r="DZ779" s="1082"/>
      <c r="EA779" s="1082"/>
      <c r="EB779" s="1082"/>
      <c r="EC779" s="1082"/>
      <c r="ED779" s="1082"/>
      <c r="EE779" s="1082"/>
      <c r="EF779" s="1082"/>
      <c r="EG779" s="1085"/>
      <c r="EH779" s="1082"/>
      <c r="EI779" s="1082"/>
      <c r="EJ779" s="1082"/>
      <c r="EK779" s="1082"/>
      <c r="EL779" s="1082"/>
      <c r="EM779" s="1082"/>
      <c r="EN779" s="1082"/>
      <c r="EO779" s="1085"/>
      <c r="EP779" s="1082"/>
      <c r="EQ779" s="1082"/>
      <c r="ER779" s="1082"/>
      <c r="ES779" s="1082"/>
      <c r="ET779" s="1082"/>
      <c r="EU779" s="1082"/>
      <c r="EV779" s="1082"/>
      <c r="IX779" s="1083"/>
      <c r="IY779" s="1083"/>
      <c r="IZ779" s="1083"/>
      <c r="JA779" s="1083"/>
      <c r="JB779" s="1083"/>
      <c r="JC779" s="1083"/>
      <c r="JD779" s="1521"/>
      <c r="JE779" s="1126"/>
      <c r="JF779" s="1037"/>
      <c r="JG779" s="1037"/>
      <c r="JH779" s="1037"/>
      <c r="JI779" s="1035"/>
      <c r="JJ779" s="1035"/>
      <c r="JK779" s="1035"/>
      <c r="JL779" s="1035"/>
      <c r="JM779" s="1035"/>
      <c r="JN779" s="1035"/>
      <c r="JO779" s="1035"/>
      <c r="JP779" s="1035"/>
      <c r="JQ779" s="1035"/>
      <c r="JR779" s="1035"/>
      <c r="JS779" s="1035"/>
      <c r="JT779" s="1035"/>
      <c r="JU779" s="1035"/>
      <c r="JV779" s="1035"/>
      <c r="JW779" s="1035"/>
      <c r="JX779" s="1035"/>
      <c r="JY779" s="1035"/>
    </row>
    <row r="780" spans="1:285">
      <c r="A780" s="1191" t="s">
        <v>665</v>
      </c>
      <c r="B780" s="1499"/>
      <c r="C780" s="1499"/>
      <c r="D780" s="1499"/>
      <c r="E780" s="1499"/>
      <c r="F780" s="1499"/>
      <c r="G780" s="1499"/>
      <c r="H780" s="1499"/>
      <c r="I780" s="1499"/>
      <c r="J780" s="1499"/>
      <c r="K780" s="1499"/>
      <c r="L780" s="1499"/>
      <c r="M780" s="1499"/>
      <c r="N780" s="1499"/>
      <c r="O780" s="1499"/>
      <c r="P780" s="1499"/>
      <c r="Q780" s="1499"/>
      <c r="R780" s="1499"/>
      <c r="S780" s="1499"/>
      <c r="T780" s="1499"/>
      <c r="U780" s="1499"/>
      <c r="V780" s="1499"/>
      <c r="W780" s="1499"/>
      <c r="X780" s="1499"/>
      <c r="Y780" s="1499"/>
      <c r="Z780" s="1499"/>
      <c r="AA780" s="1499"/>
      <c r="AB780" s="1499"/>
      <c r="AC780" s="1499"/>
      <c r="AD780" s="1499"/>
      <c r="AE780" s="1499"/>
      <c r="AF780" s="1499"/>
      <c r="AG780" s="1499"/>
      <c r="AH780" s="1499"/>
      <c r="AI780" s="1499"/>
      <c r="AJ780" s="1499"/>
      <c r="AK780" s="1499"/>
      <c r="AL780" s="1499"/>
      <c r="AM780" s="1499"/>
      <c r="AN780" s="1499"/>
      <c r="AO780" s="1499"/>
      <c r="AP780" s="1499"/>
      <c r="AQ780" s="1499"/>
      <c r="AR780" s="1499"/>
      <c r="AS780" s="1499"/>
      <c r="AT780" s="1499"/>
      <c r="AU780" s="1499"/>
      <c r="AV780" s="1499"/>
      <c r="AW780" s="1499"/>
      <c r="AX780" s="1500"/>
      <c r="AY780" s="1499"/>
      <c r="AZ780" s="1499"/>
      <c r="BA780" s="1499"/>
      <c r="BB780" s="1499"/>
      <c r="BC780" s="1499"/>
      <c r="BD780" s="1499"/>
      <c r="BE780" s="1501"/>
      <c r="BF780" s="1499"/>
      <c r="BG780" s="1499"/>
      <c r="BH780" s="1499"/>
      <c r="BI780" s="1499"/>
      <c r="BJ780" s="1499"/>
      <c r="BK780" s="1499"/>
      <c r="BL780" s="1499"/>
      <c r="BM780" s="1499"/>
      <c r="BN780" s="1500"/>
      <c r="BO780" s="1499"/>
      <c r="BP780" s="1499"/>
      <c r="BQ780" s="1499"/>
      <c r="BR780" s="1499"/>
      <c r="BS780" s="1499"/>
      <c r="BT780" s="1499"/>
      <c r="BU780" s="1501"/>
      <c r="BV780" s="1500">
        <f>BV782*BV777</f>
        <v>51.388</v>
      </c>
      <c r="BW780" s="1499">
        <f>BX780-BV780</f>
        <v>92.062</v>
      </c>
      <c r="BX780" s="1499">
        <f>BX782*BX777</f>
        <v>143.45</v>
      </c>
      <c r="BY780" s="1499">
        <f>BZ780-BX780</f>
        <v>83.602</v>
      </c>
      <c r="BZ780" s="1499">
        <f>BZ782*BZ777</f>
        <v>227.052</v>
      </c>
      <c r="CA780" s="1499">
        <f>CC780-BZ780</f>
        <v>70.458</v>
      </c>
      <c r="CB780" s="1499">
        <f>CC780-BX780</f>
        <v>154.06</v>
      </c>
      <c r="CC780" s="1501">
        <f>CC782*CC777</f>
        <v>297.51</v>
      </c>
      <c r="CD780" s="1500">
        <f>CD782*CD777</f>
        <v>63.623</v>
      </c>
      <c r="CE780" s="1499">
        <f>CF780-CD780</f>
        <v>99.943</v>
      </c>
      <c r="CF780" s="1499">
        <f>CF782*CF777</f>
        <v>163.566</v>
      </c>
      <c r="CG780" s="1499">
        <f>CH780-CF780</f>
        <v>77.73</v>
      </c>
      <c r="CH780" s="1499">
        <f>CH782*CH777</f>
        <v>241.296</v>
      </c>
      <c r="CI780" s="1499">
        <f>CK780-CH780</f>
        <v>70.664</v>
      </c>
      <c r="CJ780" s="1499">
        <f>CK780-CF780</f>
        <v>148.394</v>
      </c>
      <c r="CK780" s="1501">
        <f>CK782*CK777</f>
        <v>311.96</v>
      </c>
      <c r="CL780" s="1500">
        <f>CL782*CL777</f>
        <v>86.229</v>
      </c>
      <c r="CM780" s="1499">
        <f>CN780-CL780</f>
        <v>118.395</v>
      </c>
      <c r="CN780" s="1499">
        <f>CN782*CN777</f>
        <v>204.624</v>
      </c>
      <c r="CO780" s="1499">
        <f>CO782*CO777</f>
        <v>84.39</v>
      </c>
      <c r="CP780" s="1499">
        <v>289</v>
      </c>
      <c r="CQ780" s="1499">
        <f>CS780-CP780</f>
        <v>87</v>
      </c>
      <c r="CR780" s="1499">
        <f>CS780-CQ780-CO780</f>
        <v>204.61</v>
      </c>
      <c r="CS780" s="1501">
        <v>376</v>
      </c>
      <c r="CT780" s="1500">
        <v>79</v>
      </c>
      <c r="CU780" s="1499">
        <f>CV780-CT780</f>
        <v>107</v>
      </c>
      <c r="CV780" s="1499">
        <v>186</v>
      </c>
      <c r="CW780" s="1499">
        <f>CX780-CV780</f>
        <v>84</v>
      </c>
      <c r="CX780" s="1499">
        <f>+CX579</f>
        <v>270</v>
      </c>
      <c r="CY780" s="1499">
        <f>+CY579</f>
        <v>90</v>
      </c>
      <c r="CZ780" s="1499">
        <f>+CZ579</f>
        <v>174</v>
      </c>
      <c r="DA780" s="1501">
        <f>+DA579</f>
        <v>360</v>
      </c>
      <c r="DB780" s="1502">
        <f>+DB579</f>
        <v>89</v>
      </c>
      <c r="DC780" s="1372">
        <f>DD780-DB780</f>
        <v>105</v>
      </c>
      <c r="DD780" s="1372">
        <v>194</v>
      </c>
      <c r="DE780" s="1372">
        <f>DF780-DD780</f>
        <v>84</v>
      </c>
      <c r="DF780" s="1372">
        <v>278</v>
      </c>
      <c r="DG780" s="1372">
        <f>DH780-DE780</f>
        <v>81</v>
      </c>
      <c r="DH780" s="1372">
        <f>DI780-DD780</f>
        <v>165</v>
      </c>
      <c r="DI780" s="1503">
        <v>359</v>
      </c>
      <c r="DJ780" s="1372">
        <f t="shared" ref="DJ780:DQ780" si="4557">DJ579</f>
        <v>76.9999999999999</v>
      </c>
      <c r="DK780" s="1372">
        <f t="shared" si="4557"/>
        <v>100</v>
      </c>
      <c r="DL780" s="1372">
        <f t="shared" si="4557"/>
        <v>177</v>
      </c>
      <c r="DM780" s="1372">
        <f t="shared" si="4557"/>
        <v>72.0000000000001</v>
      </c>
      <c r="DN780" s="1372">
        <f t="shared" si="4557"/>
        <v>249</v>
      </c>
      <c r="DO780" s="1372" t="e">
        <f t="shared" si="4557"/>
        <v>#REF!</v>
      </c>
      <c r="DP780" s="1372" t="e">
        <f t="shared" si="4557"/>
        <v>#REF!</v>
      </c>
      <c r="DQ780" s="1503" t="e">
        <f t="shared" si="4557"/>
        <v>#REF!</v>
      </c>
      <c r="DR780" s="1372"/>
      <c r="DS780" s="1372"/>
      <c r="DT780" s="1372"/>
      <c r="DU780" s="1372"/>
      <c r="DV780" s="1372"/>
      <c r="DW780" s="1372"/>
      <c r="DX780" s="1372"/>
      <c r="DY780" s="1503"/>
      <c r="DZ780" s="1372"/>
      <c r="EA780" s="1372"/>
      <c r="EB780" s="1372"/>
      <c r="EC780" s="1372"/>
      <c r="ED780" s="1372"/>
      <c r="EE780" s="1372"/>
      <c r="EF780" s="1372"/>
      <c r="EG780" s="1503"/>
      <c r="EH780" s="1372"/>
      <c r="EI780" s="1372"/>
      <c r="EJ780" s="1372"/>
      <c r="EK780" s="1372"/>
      <c r="EL780" s="1372"/>
      <c r="EM780" s="1372"/>
      <c r="EN780" s="1372"/>
      <c r="EO780" s="1503"/>
      <c r="EP780" s="1372"/>
      <c r="EQ780" s="1372"/>
      <c r="ER780" s="1372"/>
      <c r="ES780" s="1372"/>
      <c r="ET780" s="1372"/>
      <c r="EU780" s="1372"/>
      <c r="EV780" s="1372"/>
      <c r="IX780" s="1354"/>
      <c r="IY780" s="1354"/>
      <c r="IZ780" s="1354"/>
      <c r="JA780" s="1354"/>
      <c r="JB780" s="1354"/>
      <c r="JC780" s="1354"/>
      <c r="JD780" s="1518"/>
      <c r="JE780" s="1126"/>
      <c r="JF780" s="1037"/>
      <c r="JG780" s="1037"/>
      <c r="JH780" s="1037"/>
      <c r="JI780" s="1035"/>
      <c r="JJ780" s="1035"/>
      <c r="JK780" s="1035"/>
      <c r="JL780" s="1035"/>
      <c r="JM780" s="1035"/>
      <c r="JN780" s="1035"/>
      <c r="JO780" s="1035"/>
      <c r="JP780" s="1035"/>
      <c r="JQ780" s="1035"/>
      <c r="JR780" s="1035"/>
      <c r="JS780" s="1035"/>
      <c r="JT780" s="1035"/>
      <c r="JU780" s="1035"/>
      <c r="JV780" s="1035"/>
      <c r="JW780" s="1035"/>
      <c r="JX780" s="1035"/>
      <c r="JY780" s="1035"/>
    </row>
    <row r="781" spans="1:285">
      <c r="A781" s="1339" t="s">
        <v>142</v>
      </c>
      <c r="B781" s="1409"/>
      <c r="C781" s="1409"/>
      <c r="D781" s="1409"/>
      <c r="E781" s="1409"/>
      <c r="F781" s="1409"/>
      <c r="G781" s="1409"/>
      <c r="H781" s="1409"/>
      <c r="I781" s="1409"/>
      <c r="J781" s="1409"/>
      <c r="K781" s="1409"/>
      <c r="L781" s="1409"/>
      <c r="M781" s="1409"/>
      <c r="N781" s="1409"/>
      <c r="O781" s="1409"/>
      <c r="P781" s="1409"/>
      <c r="Q781" s="1409"/>
      <c r="R781" s="1409"/>
      <c r="S781" s="1409"/>
      <c r="T781" s="1409"/>
      <c r="U781" s="1409"/>
      <c r="V781" s="1409"/>
      <c r="W781" s="1409"/>
      <c r="X781" s="1409"/>
      <c r="Y781" s="1409"/>
      <c r="Z781" s="1409"/>
      <c r="AA781" s="1409"/>
      <c r="AB781" s="1409"/>
      <c r="AC781" s="1409"/>
      <c r="AD781" s="1409"/>
      <c r="AE781" s="1409"/>
      <c r="AF781" s="1409"/>
      <c r="AG781" s="1409"/>
      <c r="AH781" s="1409"/>
      <c r="AI781" s="1409"/>
      <c r="AJ781" s="1409"/>
      <c r="AK781" s="1409"/>
      <c r="AL781" s="1409"/>
      <c r="AM781" s="1409"/>
      <c r="AN781" s="1409"/>
      <c r="AO781" s="1409"/>
      <c r="AP781" s="1409"/>
      <c r="AQ781" s="1409"/>
      <c r="AR781" s="1409"/>
      <c r="AS781" s="1409"/>
      <c r="AT781" s="1409"/>
      <c r="AU781" s="1409"/>
      <c r="AV781" s="1409"/>
      <c r="AW781" s="1409"/>
      <c r="AX781" s="1408"/>
      <c r="AY781" s="1409"/>
      <c r="AZ781" s="1409"/>
      <c r="BA781" s="1409"/>
      <c r="BB781" s="1409"/>
      <c r="BC781" s="1409"/>
      <c r="BD781" s="1409"/>
      <c r="BE781" s="1410"/>
      <c r="BF781" s="1409"/>
      <c r="BG781" s="1409"/>
      <c r="BH781" s="1409"/>
      <c r="BI781" s="1409"/>
      <c r="BJ781" s="1409"/>
      <c r="BK781" s="1409"/>
      <c r="BL781" s="1409"/>
      <c r="BM781" s="1409"/>
      <c r="BN781" s="1408"/>
      <c r="BO781" s="1409"/>
      <c r="BP781" s="1409"/>
      <c r="BQ781" s="1409"/>
      <c r="BR781" s="1409"/>
      <c r="BS781" s="1409"/>
      <c r="BT781" s="1409"/>
      <c r="BU781" s="1410"/>
      <c r="BV781" s="1526" t="s">
        <v>173</v>
      </c>
      <c r="BW781" s="1061" t="s">
        <v>173</v>
      </c>
      <c r="BX781" s="1061" t="s">
        <v>173</v>
      </c>
      <c r="BY781" s="1061" t="s">
        <v>173</v>
      </c>
      <c r="BZ781" s="1061" t="s">
        <v>173</v>
      </c>
      <c r="CA781" s="1061" t="s">
        <v>173</v>
      </c>
      <c r="CB781" s="1061" t="s">
        <v>173</v>
      </c>
      <c r="CC781" s="1527" t="s">
        <v>173</v>
      </c>
      <c r="CD781" s="1303">
        <f t="shared" ref="CD781:CQ781" si="4558">CD780/BV780-1</f>
        <v>0.238090604810462</v>
      </c>
      <c r="CE781" s="1302">
        <f t="shared" si="4558"/>
        <v>0.0856053529143406</v>
      </c>
      <c r="CF781" s="1302">
        <f t="shared" si="4558"/>
        <v>0.140230045311956</v>
      </c>
      <c r="CG781" s="1302">
        <f t="shared" si="4558"/>
        <v>-0.0702375541254993</v>
      </c>
      <c r="CH781" s="1302">
        <f t="shared" si="4558"/>
        <v>0.0627345277733735</v>
      </c>
      <c r="CI781" s="1302">
        <f t="shared" si="4558"/>
        <v>0.00292372761077475</v>
      </c>
      <c r="CJ781" s="1302">
        <f t="shared" si="4558"/>
        <v>-0.0367778787485397</v>
      </c>
      <c r="CK781" s="1304">
        <f t="shared" si="4558"/>
        <v>0.0485697959732445</v>
      </c>
      <c r="CL781" s="1303">
        <f t="shared" si="4558"/>
        <v>0.355311758326391</v>
      </c>
      <c r="CM781" s="1302">
        <f t="shared" si="4558"/>
        <v>0.184625236384739</v>
      </c>
      <c r="CN781" s="1302">
        <f t="shared" si="4558"/>
        <v>0.251017937713217</v>
      </c>
      <c r="CO781" s="1302">
        <f t="shared" si="4558"/>
        <v>0.0856812041682746</v>
      </c>
      <c r="CP781" s="1302">
        <f t="shared" si="4558"/>
        <v>0.197699091572177</v>
      </c>
      <c r="CQ781" s="1302">
        <f t="shared" si="4558"/>
        <v>0.231178535039059</v>
      </c>
      <c r="CR781" s="1302">
        <f>CR780/CG780-1</f>
        <v>1.63231699472533</v>
      </c>
      <c r="CS781" s="1304">
        <f t="shared" ref="CS781:CX781" si="4559">CS780/CK780-1</f>
        <v>0.205282728554943</v>
      </c>
      <c r="CT781" s="1303">
        <f t="shared" si="4559"/>
        <v>-0.0838349047304271</v>
      </c>
      <c r="CU781" s="1302">
        <f t="shared" si="4559"/>
        <v>-0.0962456184805102</v>
      </c>
      <c r="CV781" s="1302">
        <f t="shared" si="4559"/>
        <v>-0.0910157166314801</v>
      </c>
      <c r="CW781" s="1302">
        <f t="shared" si="4559"/>
        <v>-0.00462140063988625</v>
      </c>
      <c r="CX781" s="1302">
        <f t="shared" si="4559"/>
        <v>-0.0657439446366782</v>
      </c>
      <c r="CY781" s="1302">
        <f t="shared" ref="CY781:DD781" si="4560">CY780/CQ780-1</f>
        <v>0.0344827586206897</v>
      </c>
      <c r="CZ781" s="1302">
        <f t="shared" si="4560"/>
        <v>-0.149601681247251</v>
      </c>
      <c r="DA781" s="1304">
        <f t="shared" si="4560"/>
        <v>-0.0425531914893617</v>
      </c>
      <c r="DB781" s="1109">
        <f t="shared" si="4560"/>
        <v>0.126582278481013</v>
      </c>
      <c r="DC781" s="1082">
        <f t="shared" si="4560"/>
        <v>-0.0186915887850467</v>
      </c>
      <c r="DD781" s="1082">
        <f t="shared" si="4560"/>
        <v>0.043010752688172</v>
      </c>
      <c r="DE781" s="1082">
        <f t="shared" ref="DE781:DQ781" si="4561">DE780/CW780-1</f>
        <v>0</v>
      </c>
      <c r="DF781" s="1082">
        <f t="shared" si="4561"/>
        <v>0.0296296296296297</v>
      </c>
      <c r="DG781" s="1082">
        <f t="shared" si="4561"/>
        <v>-0.1</v>
      </c>
      <c r="DH781" s="1082">
        <f t="shared" si="4561"/>
        <v>-0.0517241379310345</v>
      </c>
      <c r="DI781" s="1085">
        <f t="shared" si="4561"/>
        <v>-0.00277777777777777</v>
      </c>
      <c r="DJ781" s="1082">
        <f t="shared" si="4561"/>
        <v>-0.134831460674158</v>
      </c>
      <c r="DK781" s="1082">
        <f t="shared" si="4561"/>
        <v>-0.0476190476190477</v>
      </c>
      <c r="DL781" s="1082">
        <f t="shared" si="4561"/>
        <v>-0.0876288659793817</v>
      </c>
      <c r="DM781" s="1082">
        <f t="shared" si="4561"/>
        <v>-0.142857142857142</v>
      </c>
      <c r="DN781" s="1082">
        <f t="shared" si="4561"/>
        <v>-0.10431654676259</v>
      </c>
      <c r="DO781" s="1082" t="e">
        <f t="shared" si="4561"/>
        <v>#REF!</v>
      </c>
      <c r="DP781" s="1082" t="e">
        <f t="shared" si="4561"/>
        <v>#REF!</v>
      </c>
      <c r="DQ781" s="1085" t="e">
        <f t="shared" si="4561"/>
        <v>#REF!</v>
      </c>
      <c r="DR781" s="1082"/>
      <c r="DS781" s="1082"/>
      <c r="DT781" s="1082"/>
      <c r="DU781" s="1082"/>
      <c r="DV781" s="1082"/>
      <c r="DW781" s="1082"/>
      <c r="DX781" s="1082"/>
      <c r="DY781" s="1085"/>
      <c r="DZ781" s="1082"/>
      <c r="EA781" s="1082"/>
      <c r="EB781" s="1082"/>
      <c r="EC781" s="1082"/>
      <c r="ED781" s="1082"/>
      <c r="EE781" s="1082"/>
      <c r="EF781" s="1082"/>
      <c r="EG781" s="1085"/>
      <c r="EH781" s="1082"/>
      <c r="EI781" s="1082"/>
      <c r="EJ781" s="1082"/>
      <c r="EK781" s="1082"/>
      <c r="EL781" s="1082"/>
      <c r="EM781" s="1082"/>
      <c r="EN781" s="1082"/>
      <c r="EO781" s="1085"/>
      <c r="EP781" s="1082"/>
      <c r="EQ781" s="1082"/>
      <c r="ER781" s="1082"/>
      <c r="ES781" s="1082"/>
      <c r="ET781" s="1082"/>
      <c r="EU781" s="1082"/>
      <c r="EV781" s="1082"/>
      <c r="IX781" s="1083"/>
      <c r="IY781" s="1083"/>
      <c r="IZ781" s="1083"/>
      <c r="JA781" s="1083"/>
      <c r="JB781" s="1083"/>
      <c r="JC781" s="1083"/>
      <c r="JD781" s="1521"/>
      <c r="JE781" s="1126"/>
      <c r="JF781" s="1037"/>
      <c r="JG781" s="1037"/>
      <c r="JH781" s="1037"/>
      <c r="JI781" s="1035"/>
      <c r="JJ781" s="1035"/>
      <c r="JK781" s="1035"/>
      <c r="JL781" s="1035"/>
      <c r="JM781" s="1035"/>
      <c r="JN781" s="1035"/>
      <c r="JO781" s="1035"/>
      <c r="JP781" s="1035"/>
      <c r="JQ781" s="1035"/>
      <c r="JR781" s="1035"/>
      <c r="JS781" s="1035"/>
      <c r="JT781" s="1035"/>
      <c r="JU781" s="1035"/>
      <c r="JV781" s="1035"/>
      <c r="JW781" s="1035"/>
      <c r="JX781" s="1035"/>
      <c r="JY781" s="1035"/>
    </row>
    <row r="782" s="883" customFormat="1" spans="1:285">
      <c r="A782" s="883" t="s">
        <v>631</v>
      </c>
      <c r="B782" s="1302"/>
      <c r="C782" s="1302"/>
      <c r="D782" s="1302"/>
      <c r="E782" s="1302"/>
      <c r="F782" s="1302"/>
      <c r="G782" s="1302"/>
      <c r="H782" s="1302"/>
      <c r="I782" s="1302"/>
      <c r="J782" s="1302"/>
      <c r="K782" s="1302"/>
      <c r="L782" s="1302"/>
      <c r="M782" s="1302"/>
      <c r="N782" s="1302"/>
      <c r="O782" s="1302"/>
      <c r="P782" s="1302"/>
      <c r="Q782" s="1302"/>
      <c r="R782" s="1302"/>
      <c r="S782" s="1302"/>
      <c r="T782" s="1302"/>
      <c r="U782" s="1302"/>
      <c r="V782" s="1302"/>
      <c r="W782" s="1302"/>
      <c r="X782" s="1302"/>
      <c r="Y782" s="1302"/>
      <c r="Z782" s="1302"/>
      <c r="AA782" s="1302"/>
      <c r="AB782" s="1302"/>
      <c r="AC782" s="1302"/>
      <c r="AD782" s="1302"/>
      <c r="AE782" s="1302"/>
      <c r="AF782" s="1302"/>
      <c r="AG782" s="1302"/>
      <c r="AH782" s="1302"/>
      <c r="AI782" s="1302"/>
      <c r="AJ782" s="1302"/>
      <c r="AK782" s="1302"/>
      <c r="AL782" s="1302"/>
      <c r="AM782" s="1302"/>
      <c r="AN782" s="1302"/>
      <c r="AO782" s="1302"/>
      <c r="AP782" s="1302"/>
      <c r="AQ782" s="1302"/>
      <c r="AR782" s="1302"/>
      <c r="AS782" s="1302"/>
      <c r="AT782" s="1302"/>
      <c r="AU782" s="1302"/>
      <c r="AV782" s="1302"/>
      <c r="AW782" s="1302"/>
      <c r="AX782" s="1303"/>
      <c r="AY782" s="1302"/>
      <c r="AZ782" s="1302"/>
      <c r="BA782" s="1302"/>
      <c r="BB782" s="1302"/>
      <c r="BC782" s="1302"/>
      <c r="BD782" s="1302"/>
      <c r="BE782" s="1304"/>
      <c r="BF782" s="1302"/>
      <c r="BG782" s="1302"/>
      <c r="BH782" s="1302"/>
      <c r="BI782" s="1302"/>
      <c r="BJ782" s="1302"/>
      <c r="BK782" s="1302"/>
      <c r="BL782" s="1302"/>
      <c r="BM782" s="1302"/>
      <c r="BN782" s="1303"/>
      <c r="BO782" s="1302"/>
      <c r="BP782" s="1302"/>
      <c r="BQ782" s="1302"/>
      <c r="BR782" s="1302"/>
      <c r="BS782" s="1302"/>
      <c r="BT782" s="1302"/>
      <c r="BU782" s="1304"/>
      <c r="BV782" s="1303">
        <v>0.443</v>
      </c>
      <c r="BW782" s="1302">
        <f>BW780/BW777</f>
        <v>0.494956989247312</v>
      </c>
      <c r="BX782" s="1302">
        <v>0.475</v>
      </c>
      <c r="BY782" s="1302">
        <f>BY780/BY777</f>
        <v>0.477725714285714</v>
      </c>
      <c r="BZ782" s="1302">
        <v>0.476</v>
      </c>
      <c r="CA782" s="1302">
        <f>CA780/CA777</f>
        <v>0.451653846153846</v>
      </c>
      <c r="CB782" s="1302">
        <f>CB780/CB777</f>
        <v>0.465438066465257</v>
      </c>
      <c r="CC782" s="1304">
        <v>0.47</v>
      </c>
      <c r="CD782" s="1303">
        <v>0.427</v>
      </c>
      <c r="CE782" s="1302">
        <f>CE780/CE777</f>
        <v>0.494767326732673</v>
      </c>
      <c r="CF782" s="1302">
        <v>0.466</v>
      </c>
      <c r="CG782" s="1302">
        <f>CG780/CG777</f>
        <v>0.439152542372881</v>
      </c>
      <c r="CH782" s="1302">
        <v>0.457</v>
      </c>
      <c r="CI782" s="1302">
        <f>CI780/CI777</f>
        <v>0.390408839779005</v>
      </c>
      <c r="CJ782" s="1302">
        <f>CJ780/CJ777</f>
        <v>0.414508379888268</v>
      </c>
      <c r="CK782" s="1304">
        <v>0.44</v>
      </c>
      <c r="CL782" s="1303">
        <v>0.429</v>
      </c>
      <c r="CM782" s="1302">
        <f>CM780/CM777</f>
        <v>0.450171102661597</v>
      </c>
      <c r="CN782" s="1302">
        <v>0.441</v>
      </c>
      <c r="CO782" s="1302">
        <v>0.435</v>
      </c>
      <c r="CP782" s="1302"/>
      <c r="CQ782" s="1302">
        <f t="shared" ref="CQ782:CV782" si="4562">CQ780/CQ777</f>
        <v>0.439393939393939</v>
      </c>
      <c r="CR782" s="1302">
        <f t="shared" si="4562"/>
        <v>0.440969827586207</v>
      </c>
      <c r="CS782" s="1304">
        <f t="shared" si="4562"/>
        <v>0.439252336448598</v>
      </c>
      <c r="CT782" s="1303">
        <f t="shared" si="4562"/>
        <v>0.438888888888889</v>
      </c>
      <c r="CU782" s="1302">
        <f t="shared" si="4562"/>
        <v>0.447698744769874</v>
      </c>
      <c r="CV782" s="1302">
        <f t="shared" si="4562"/>
        <v>0.443914081145585</v>
      </c>
      <c r="CW782" s="1302">
        <f t="shared" ref="CW782:DB782" si="4563">CW780/CW777</f>
        <v>0.442105263157895</v>
      </c>
      <c r="CX782" s="1302">
        <f t="shared" si="4563"/>
        <v>0.443349753694581</v>
      </c>
      <c r="CY782" s="1302">
        <f t="shared" si="4563"/>
        <v>0.461538461538462</v>
      </c>
      <c r="CZ782" s="1302">
        <f t="shared" si="4563"/>
        <v>0.451948051948052</v>
      </c>
      <c r="DA782" s="1304">
        <f t="shared" si="4563"/>
        <v>0.447761194029851</v>
      </c>
      <c r="DB782" s="1109">
        <f t="shared" si="4563"/>
        <v>0.465968586387435</v>
      </c>
      <c r="DC782" s="1082">
        <f t="shared" ref="DC782:DJ782" si="4564">DC780/DC777</f>
        <v>0.462555066079295</v>
      </c>
      <c r="DD782" s="1082">
        <f t="shared" si="4564"/>
        <v>0.464114832535885</v>
      </c>
      <c r="DE782" s="1082">
        <f t="shared" si="4564"/>
        <v>0.430769230769231</v>
      </c>
      <c r="DF782" s="1082">
        <f t="shared" si="4564"/>
        <v>0.453507340946166</v>
      </c>
      <c r="DG782" s="1082">
        <f t="shared" si="4564"/>
        <v>0.407035175879397</v>
      </c>
      <c r="DH782" s="1082">
        <f t="shared" si="4564"/>
        <v>0.418781725888325</v>
      </c>
      <c r="DI782" s="1085">
        <f t="shared" si="4564"/>
        <v>0.442118226600985</v>
      </c>
      <c r="DJ782" s="1082">
        <f t="shared" si="4564"/>
        <v>0.396907216494845</v>
      </c>
      <c r="DK782" s="1082">
        <f t="shared" ref="DK782:DQ782" si="4565">DK780/DK777</f>
        <v>0.392156862745098</v>
      </c>
      <c r="DL782" s="1082">
        <f t="shared" si="4565"/>
        <v>0.394209354120267</v>
      </c>
      <c r="DM782" s="1082">
        <f t="shared" si="4565"/>
        <v>0.391304347826087</v>
      </c>
      <c r="DN782" s="1082">
        <f t="shared" si="4565"/>
        <v>0.393364928909953</v>
      </c>
      <c r="DO782" s="1082" t="e">
        <f t="shared" si="4565"/>
        <v>#REF!</v>
      </c>
      <c r="DP782" s="1082" t="e">
        <f t="shared" si="4565"/>
        <v>#REF!</v>
      </c>
      <c r="DQ782" s="1085" t="e">
        <f t="shared" si="4565"/>
        <v>#REF!</v>
      </c>
      <c r="DR782" s="1082"/>
      <c r="DS782" s="1082"/>
      <c r="DT782" s="1082"/>
      <c r="DU782" s="1082"/>
      <c r="DV782" s="1082"/>
      <c r="DW782" s="1082"/>
      <c r="DX782" s="1082"/>
      <c r="DY782" s="1085"/>
      <c r="DZ782" s="1082"/>
      <c r="EA782" s="1082"/>
      <c r="EB782" s="1082"/>
      <c r="EC782" s="1082"/>
      <c r="ED782" s="1082"/>
      <c r="EE782" s="1082"/>
      <c r="EF782" s="1082"/>
      <c r="EG782" s="1085"/>
      <c r="EH782" s="1082"/>
      <c r="EI782" s="1082"/>
      <c r="EJ782" s="1082"/>
      <c r="EK782" s="1082"/>
      <c r="EL782" s="1082"/>
      <c r="EM782" s="1082"/>
      <c r="EN782" s="1082"/>
      <c r="EO782" s="1085"/>
      <c r="EP782" s="1082"/>
      <c r="EQ782" s="1082"/>
      <c r="ER782" s="1082"/>
      <c r="ES782" s="1082"/>
      <c r="ET782" s="1082"/>
      <c r="EU782" s="1082"/>
      <c r="EV782" s="1082"/>
      <c r="EW782" s="1039"/>
      <c r="EX782" s="891"/>
      <c r="EY782" s="891"/>
      <c r="EZ782" s="891"/>
      <c r="FA782" s="891"/>
      <c r="FB782" s="891"/>
      <c r="FC782" s="891"/>
      <c r="FD782" s="891"/>
      <c r="FE782" s="1039"/>
      <c r="FF782" s="891"/>
      <c r="FG782" s="891"/>
      <c r="FH782" s="891"/>
      <c r="FI782" s="891"/>
      <c r="FJ782" s="891"/>
      <c r="FK782" s="891"/>
      <c r="FL782" s="891"/>
      <c r="FM782" s="1039"/>
      <c r="FN782" s="891"/>
      <c r="FO782" s="891"/>
      <c r="FP782" s="891"/>
      <c r="FQ782" s="891"/>
      <c r="FR782" s="891"/>
      <c r="FS782" s="891"/>
      <c r="FT782" s="891"/>
      <c r="FU782" s="891"/>
      <c r="FV782" s="1040"/>
      <c r="FW782" s="891"/>
      <c r="FX782" s="891"/>
      <c r="FY782" s="891"/>
      <c r="FZ782" s="891"/>
      <c r="GA782" s="891"/>
      <c r="GB782" s="891"/>
      <c r="GC782" s="1039"/>
      <c r="GD782" s="891"/>
      <c r="GE782" s="891"/>
      <c r="GF782" s="891"/>
      <c r="GG782" s="891"/>
      <c r="GH782" s="891"/>
      <c r="GI782" s="891"/>
      <c r="GJ782" s="891"/>
      <c r="GK782" s="1039"/>
      <c r="GL782" s="891"/>
      <c r="GM782" s="891"/>
      <c r="GN782" s="891"/>
      <c r="GO782" s="891"/>
      <c r="GP782" s="891"/>
      <c r="GQ782" s="891"/>
      <c r="GR782" s="891"/>
      <c r="GS782" s="1039"/>
      <c r="GT782" s="891"/>
      <c r="GU782" s="891"/>
      <c r="GV782" s="891"/>
      <c r="GW782" s="891"/>
      <c r="GX782" s="891"/>
      <c r="GY782" s="891"/>
      <c r="GZ782" s="891"/>
      <c r="HA782" s="1039"/>
      <c r="HB782" s="891"/>
      <c r="HC782" s="891"/>
      <c r="HD782" s="891"/>
      <c r="HE782" s="891"/>
      <c r="HF782" s="891"/>
      <c r="HG782" s="891"/>
      <c r="HH782" s="891"/>
      <c r="HI782" s="1039"/>
      <c r="HJ782" s="891"/>
      <c r="HK782" s="891"/>
      <c r="HL782" s="891"/>
      <c r="HM782" s="891"/>
      <c r="HN782" s="891"/>
      <c r="HO782" s="891"/>
      <c r="HP782" s="891"/>
      <c r="HQ782" s="1039"/>
      <c r="HR782" s="891"/>
      <c r="HS782" s="891"/>
      <c r="HT782" s="891"/>
      <c r="HU782" s="891"/>
      <c r="HV782" s="891"/>
      <c r="HW782" s="891"/>
      <c r="HX782" s="891"/>
      <c r="HY782" s="891"/>
      <c r="HZ782" s="891"/>
      <c r="IA782" s="891"/>
      <c r="IB782" s="891"/>
      <c r="IC782" s="891"/>
      <c r="ID782" s="891"/>
      <c r="IE782" s="891"/>
      <c r="IF782" s="891"/>
      <c r="IG782" s="1039"/>
      <c r="IH782" s="891"/>
      <c r="II782" s="891"/>
      <c r="IJ782" s="891"/>
      <c r="IK782" s="891"/>
      <c r="IL782" s="891"/>
      <c r="IM782" s="891"/>
      <c r="IN782" s="891"/>
      <c r="IO782" s="1039"/>
      <c r="IP782" s="891"/>
      <c r="IQ782" s="891"/>
      <c r="IR782" s="891"/>
      <c r="IS782" s="891"/>
      <c r="IT782" s="891"/>
      <c r="IU782" s="891"/>
      <c r="IV782" s="891"/>
      <c r="IW782" s="891"/>
      <c r="IX782" s="1083"/>
      <c r="IY782" s="1083"/>
      <c r="IZ782" s="1083"/>
      <c r="JA782" s="1083"/>
      <c r="JB782" s="1083"/>
      <c r="JC782" s="1083"/>
      <c r="JD782" s="1521"/>
      <c r="JE782" s="1083"/>
      <c r="JF782" s="1082"/>
      <c r="JG782" s="1082"/>
      <c r="JH782" s="1082"/>
    </row>
    <row r="783" spans="1:285">
      <c r="A783" s="1191" t="s">
        <v>666</v>
      </c>
      <c r="B783" s="1499"/>
      <c r="C783" s="1499"/>
      <c r="D783" s="1499"/>
      <c r="E783" s="1499"/>
      <c r="F783" s="1499"/>
      <c r="G783" s="1499"/>
      <c r="H783" s="1499"/>
      <c r="I783" s="1499"/>
      <c r="J783" s="1499"/>
      <c r="K783" s="1499"/>
      <c r="L783" s="1499"/>
      <c r="M783" s="1499"/>
      <c r="N783" s="1499"/>
      <c r="O783" s="1499"/>
      <c r="P783" s="1499"/>
      <c r="Q783" s="1499"/>
      <c r="R783" s="1499"/>
      <c r="S783" s="1499"/>
      <c r="T783" s="1499"/>
      <c r="U783" s="1499"/>
      <c r="V783" s="1499"/>
      <c r="W783" s="1499"/>
      <c r="X783" s="1499"/>
      <c r="Y783" s="1499"/>
      <c r="Z783" s="1499"/>
      <c r="AA783" s="1499"/>
      <c r="AB783" s="1499"/>
      <c r="AC783" s="1499"/>
      <c r="AD783" s="1499"/>
      <c r="AE783" s="1499"/>
      <c r="AF783" s="1499"/>
      <c r="AG783" s="1499"/>
      <c r="AH783" s="1499"/>
      <c r="AI783" s="1499"/>
      <c r="AJ783" s="1499"/>
      <c r="AK783" s="1499"/>
      <c r="AL783" s="1499"/>
      <c r="AM783" s="1499"/>
      <c r="AN783" s="1499"/>
      <c r="AO783" s="1499"/>
      <c r="AP783" s="1499"/>
      <c r="AQ783" s="1499"/>
      <c r="AR783" s="1499"/>
      <c r="AS783" s="1499"/>
      <c r="AT783" s="1499"/>
      <c r="AU783" s="1499"/>
      <c r="AV783" s="1499"/>
      <c r="AW783" s="1499"/>
      <c r="AX783" s="1500"/>
      <c r="AY783" s="1499"/>
      <c r="AZ783" s="1499"/>
      <c r="BA783" s="1499"/>
      <c r="BB783" s="1499"/>
      <c r="BC783" s="1499"/>
      <c r="BD783" s="1499"/>
      <c r="BE783" s="1501"/>
      <c r="BF783" s="1499"/>
      <c r="BG783" s="1499"/>
      <c r="BH783" s="1499"/>
      <c r="BI783" s="1499"/>
      <c r="BJ783" s="1499"/>
      <c r="BK783" s="1499"/>
      <c r="BL783" s="1499"/>
      <c r="BM783" s="1499"/>
      <c r="BN783" s="1500"/>
      <c r="BO783" s="1499"/>
      <c r="BP783" s="1499"/>
      <c r="BQ783" s="1499"/>
      <c r="BR783" s="1499"/>
      <c r="BS783" s="1499"/>
      <c r="BT783" s="1499"/>
      <c r="BU783" s="1501"/>
      <c r="BV783" s="1500">
        <v>-16</v>
      </c>
      <c r="BW783" s="1499">
        <f>BX783-BV783</f>
        <v>26</v>
      </c>
      <c r="BX783" s="1499">
        <v>10</v>
      </c>
      <c r="BY783" s="1499">
        <f>BZ783-BX783</f>
        <v>23</v>
      </c>
      <c r="BZ783" s="1499">
        <v>33</v>
      </c>
      <c r="CA783" s="1499">
        <f>CC783-BZ783</f>
        <v>15</v>
      </c>
      <c r="CB783" s="1499">
        <f>CC783-BX783</f>
        <v>38</v>
      </c>
      <c r="CC783" s="1501">
        <v>48</v>
      </c>
      <c r="CD783" s="1500">
        <v>-1</v>
      </c>
      <c r="CE783" s="1499">
        <f>CF783-CD783</f>
        <v>30</v>
      </c>
      <c r="CF783" s="1499">
        <v>29</v>
      </c>
      <c r="CG783" s="1499">
        <f>CH783-CF783</f>
        <v>10</v>
      </c>
      <c r="CH783" s="1499">
        <v>39</v>
      </c>
      <c r="CI783" s="1499">
        <f>CK783-CH783</f>
        <v>11</v>
      </c>
      <c r="CJ783" s="1499">
        <f>CK783-CF783</f>
        <v>21</v>
      </c>
      <c r="CK783" s="1501">
        <v>50</v>
      </c>
      <c r="CL783" s="1500">
        <v>2</v>
      </c>
      <c r="CM783" s="1499">
        <f>CN783-CL783</f>
        <v>33</v>
      </c>
      <c r="CN783" s="1499">
        <v>35</v>
      </c>
      <c r="CO783" s="1499">
        <f>CP783-CM783-CL783</f>
        <v>15</v>
      </c>
      <c r="CP783" s="1499">
        <v>50</v>
      </c>
      <c r="CQ783" s="1499">
        <f>CS783-CP783</f>
        <v>23</v>
      </c>
      <c r="CR783" s="1499">
        <f>CS783-CQ783-CO783</f>
        <v>35</v>
      </c>
      <c r="CS783" s="1501">
        <v>73</v>
      </c>
      <c r="CT783" s="1500">
        <v>-1</v>
      </c>
      <c r="CU783" s="1499">
        <f>CV783-CT783</f>
        <v>28</v>
      </c>
      <c r="CV783" s="1499">
        <v>27</v>
      </c>
      <c r="CW783" s="1499">
        <f>CX783-CV783</f>
        <v>15</v>
      </c>
      <c r="CX783" s="1499">
        <f>+CX596</f>
        <v>42</v>
      </c>
      <c r="CY783" s="1499">
        <f>+CY596</f>
        <v>23</v>
      </c>
      <c r="CZ783" s="1499">
        <f>+CZ596</f>
        <v>38</v>
      </c>
      <c r="DA783" s="1501">
        <f>+DA596</f>
        <v>65</v>
      </c>
      <c r="DB783" s="1502">
        <f>+DB596</f>
        <v>23</v>
      </c>
      <c r="DC783" s="1372">
        <v>19</v>
      </c>
      <c r="DD783" s="1372">
        <v>43</v>
      </c>
      <c r="DE783" s="1372">
        <f>DF783-DD783</f>
        <v>11</v>
      </c>
      <c r="DF783" s="1372">
        <v>54</v>
      </c>
      <c r="DG783" s="1372">
        <f>DH783-DE783</f>
        <v>24</v>
      </c>
      <c r="DH783" s="1372">
        <f>DI783-DD783</f>
        <v>35</v>
      </c>
      <c r="DI783" s="1503">
        <v>78</v>
      </c>
      <c r="DJ783" s="1372">
        <f t="shared" ref="DJ783:DQ783" si="4566">DJ596</f>
        <v>-20.9999999999999</v>
      </c>
      <c r="DK783" s="1372">
        <f t="shared" si="4566"/>
        <v>2.99999999999999</v>
      </c>
      <c r="DL783" s="1372">
        <f t="shared" si="4566"/>
        <v>-17.9999999999999</v>
      </c>
      <c r="DM783" s="1372">
        <f t="shared" si="4566"/>
        <v>-5.00000000000006</v>
      </c>
      <c r="DN783" s="1372">
        <f t="shared" si="4566"/>
        <v>-23</v>
      </c>
      <c r="DO783" s="1372" t="e">
        <f t="shared" si="4566"/>
        <v>#REF!</v>
      </c>
      <c r="DP783" s="1372" t="e">
        <f t="shared" si="4566"/>
        <v>#REF!</v>
      </c>
      <c r="DQ783" s="1503" t="e">
        <f t="shared" si="4566"/>
        <v>#REF!</v>
      </c>
      <c r="DR783" s="1372"/>
      <c r="DS783" s="1372"/>
      <c r="DT783" s="1372"/>
      <c r="DU783" s="1372"/>
      <c r="DV783" s="1372"/>
      <c r="DW783" s="1372"/>
      <c r="DX783" s="1372"/>
      <c r="DY783" s="1503"/>
      <c r="DZ783" s="1372"/>
      <c r="EA783" s="1372"/>
      <c r="EB783" s="1372"/>
      <c r="EC783" s="1372"/>
      <c r="ED783" s="1372"/>
      <c r="EE783" s="1372"/>
      <c r="EF783" s="1372"/>
      <c r="EG783" s="1503"/>
      <c r="EH783" s="1372"/>
      <c r="EI783" s="1372"/>
      <c r="EJ783" s="1372"/>
      <c r="EK783" s="1372"/>
      <c r="EL783" s="1372"/>
      <c r="EM783" s="1372"/>
      <c r="EN783" s="1372"/>
      <c r="EO783" s="1503"/>
      <c r="EP783" s="1372"/>
      <c r="EQ783" s="1372"/>
      <c r="ER783" s="1372"/>
      <c r="ES783" s="1372"/>
      <c r="ET783" s="1372"/>
      <c r="EU783" s="1372"/>
      <c r="EV783" s="1372"/>
      <c r="IX783" s="1354"/>
      <c r="IY783" s="1354"/>
      <c r="IZ783" s="1354"/>
      <c r="JA783" s="1354"/>
      <c r="JB783" s="1354"/>
      <c r="JC783" s="1354"/>
      <c r="JD783" s="1518"/>
      <c r="JE783" s="1126"/>
      <c r="JF783" s="1037"/>
      <c r="JG783" s="1037"/>
      <c r="JH783" s="1037"/>
      <c r="JI783" s="1035"/>
      <c r="JJ783" s="1035"/>
      <c r="JK783" s="1035"/>
      <c r="JL783" s="1035"/>
      <c r="JM783" s="1035"/>
      <c r="JN783" s="1035"/>
      <c r="JO783" s="1035"/>
      <c r="JP783" s="1035"/>
      <c r="JQ783" s="1035"/>
      <c r="JR783" s="1035"/>
      <c r="JS783" s="1035"/>
      <c r="JT783" s="1035"/>
      <c r="JU783" s="1035"/>
      <c r="JV783" s="1035"/>
      <c r="JW783" s="1035"/>
      <c r="JX783" s="1035"/>
      <c r="JY783" s="1035"/>
    </row>
    <row r="784" spans="1:285">
      <c r="A784" s="1339" t="s">
        <v>142</v>
      </c>
      <c r="B784" s="1409"/>
      <c r="C784" s="1409"/>
      <c r="D784" s="1409"/>
      <c r="E784" s="1409"/>
      <c r="F784" s="1409"/>
      <c r="G784" s="1409"/>
      <c r="H784" s="1409"/>
      <c r="I784" s="1409"/>
      <c r="J784" s="1409"/>
      <c r="K784" s="1409"/>
      <c r="L784" s="1409"/>
      <c r="M784" s="1409"/>
      <c r="N784" s="1409"/>
      <c r="O784" s="1409"/>
      <c r="P784" s="1409"/>
      <c r="Q784" s="1409"/>
      <c r="R784" s="1409"/>
      <c r="S784" s="1409"/>
      <c r="T784" s="1409"/>
      <c r="U784" s="1409"/>
      <c r="V784" s="1409"/>
      <c r="W784" s="1409"/>
      <c r="X784" s="1409"/>
      <c r="Y784" s="1409"/>
      <c r="Z784" s="1409"/>
      <c r="AA784" s="1409"/>
      <c r="AB784" s="1409"/>
      <c r="AC784" s="1409"/>
      <c r="AD784" s="1409"/>
      <c r="AE784" s="1409"/>
      <c r="AF784" s="1409"/>
      <c r="AG784" s="1409"/>
      <c r="AH784" s="1409"/>
      <c r="AI784" s="1409"/>
      <c r="AJ784" s="1409"/>
      <c r="AK784" s="1409"/>
      <c r="AL784" s="1409"/>
      <c r="AM784" s="1409"/>
      <c r="AN784" s="1409"/>
      <c r="AO784" s="1409"/>
      <c r="AP784" s="1409"/>
      <c r="AQ784" s="1409"/>
      <c r="AR784" s="1409"/>
      <c r="AS784" s="1409"/>
      <c r="AT784" s="1409"/>
      <c r="AU784" s="1409"/>
      <c r="AV784" s="1409"/>
      <c r="AW784" s="1409"/>
      <c r="AX784" s="1408"/>
      <c r="AY784" s="1409"/>
      <c r="AZ784" s="1409"/>
      <c r="BA784" s="1409"/>
      <c r="BB784" s="1409"/>
      <c r="BC784" s="1409"/>
      <c r="BD784" s="1409"/>
      <c r="BE784" s="1410"/>
      <c r="BF784" s="1409"/>
      <c r="BG784" s="1409"/>
      <c r="BH784" s="1409"/>
      <c r="BI784" s="1409"/>
      <c r="BJ784" s="1409"/>
      <c r="BK784" s="1409"/>
      <c r="BL784" s="1409"/>
      <c r="BM784" s="1409"/>
      <c r="BN784" s="1408"/>
      <c r="BO784" s="1409"/>
      <c r="BP784" s="1409"/>
      <c r="BQ784" s="1409"/>
      <c r="BR784" s="1409"/>
      <c r="BS784" s="1409"/>
      <c r="BT784" s="1409"/>
      <c r="BU784" s="1410"/>
      <c r="BV784" s="1526" t="s">
        <v>173</v>
      </c>
      <c r="BW784" s="1061" t="s">
        <v>173</v>
      </c>
      <c r="BX784" s="1061" t="s">
        <v>173</v>
      </c>
      <c r="BY784" s="1061" t="s">
        <v>173</v>
      </c>
      <c r="BZ784" s="1061" t="s">
        <v>173</v>
      </c>
      <c r="CA784" s="1061" t="s">
        <v>173</v>
      </c>
      <c r="CB784" s="1061" t="s">
        <v>173</v>
      </c>
      <c r="CC784" s="1527" t="s">
        <v>173</v>
      </c>
      <c r="CD784" s="1303">
        <f t="shared" ref="CD784:CQ784" si="4567">CD783/BV783-1</f>
        <v>-0.9375</v>
      </c>
      <c r="CE784" s="1302">
        <f t="shared" si="4567"/>
        <v>0.153846153846154</v>
      </c>
      <c r="CF784" s="1302">
        <f t="shared" si="4567"/>
        <v>1.9</v>
      </c>
      <c r="CG784" s="1302">
        <f t="shared" si="4567"/>
        <v>-0.565217391304348</v>
      </c>
      <c r="CH784" s="1302">
        <f t="shared" si="4567"/>
        <v>0.181818181818182</v>
      </c>
      <c r="CI784" s="1302">
        <f t="shared" si="4567"/>
        <v>-0.266666666666667</v>
      </c>
      <c r="CJ784" s="1302">
        <f t="shared" si="4567"/>
        <v>-0.447368421052632</v>
      </c>
      <c r="CK784" s="1304">
        <f t="shared" si="4567"/>
        <v>0.0416666666666667</v>
      </c>
      <c r="CL784" s="1303">
        <f t="shared" si="4567"/>
        <v>-3</v>
      </c>
      <c r="CM784" s="1302">
        <f t="shared" si="4567"/>
        <v>0.1</v>
      </c>
      <c r="CN784" s="1302">
        <f t="shared" si="4567"/>
        <v>0.206896551724138</v>
      </c>
      <c r="CO784" s="1302">
        <f t="shared" si="4567"/>
        <v>0.5</v>
      </c>
      <c r="CP784" s="1302">
        <f t="shared" si="4567"/>
        <v>0.282051282051282</v>
      </c>
      <c r="CQ784" s="1302">
        <f t="shared" si="4567"/>
        <v>1.09090909090909</v>
      </c>
      <c r="CR784" s="1302">
        <f>CR783/CG783-1</f>
        <v>2.5</v>
      </c>
      <c r="CS784" s="1304">
        <f>CS783/CK783-1</f>
        <v>0.46</v>
      </c>
      <c r="CT784" s="1303">
        <f>CT783/CM783-1</f>
        <v>-1.03030303030303</v>
      </c>
      <c r="CU784" s="1302">
        <f t="shared" ref="CU784:DA784" si="4568">CU783/CM783-1</f>
        <v>-0.151515151515151</v>
      </c>
      <c r="CV784" s="1302">
        <f t="shared" si="4568"/>
        <v>-0.228571428571429</v>
      </c>
      <c r="CW784" s="1302">
        <f t="shared" si="4568"/>
        <v>0</v>
      </c>
      <c r="CX784" s="1302">
        <f t="shared" si="4568"/>
        <v>-0.16</v>
      </c>
      <c r="CY784" s="1302">
        <f t="shared" si="4568"/>
        <v>0</v>
      </c>
      <c r="CZ784" s="1302">
        <f t="shared" si="4568"/>
        <v>0.0857142857142856</v>
      </c>
      <c r="DA784" s="1304">
        <f t="shared" si="4568"/>
        <v>-0.10958904109589</v>
      </c>
      <c r="DB784" s="1109">
        <f t="shared" ref="DB784:DI784" si="4569">DB783/CT783-1</f>
        <v>-24</v>
      </c>
      <c r="DC784" s="1082">
        <f t="shared" si="4569"/>
        <v>-0.321428571428571</v>
      </c>
      <c r="DD784" s="1082">
        <f t="shared" si="4569"/>
        <v>0.592592592592593</v>
      </c>
      <c r="DE784" s="1082">
        <f t="shared" si="4569"/>
        <v>-0.266666666666667</v>
      </c>
      <c r="DF784" s="1082">
        <f t="shared" si="4569"/>
        <v>0.285714285714286</v>
      </c>
      <c r="DG784" s="1082">
        <f t="shared" si="4569"/>
        <v>0.0434782608695652</v>
      </c>
      <c r="DH784" s="1082">
        <f t="shared" si="4569"/>
        <v>-0.0789473684210527</v>
      </c>
      <c r="DI784" s="1085">
        <f t="shared" si="4569"/>
        <v>0.2</v>
      </c>
      <c r="DJ784" s="1082">
        <f t="shared" ref="DJ784:DQ784" si="4570">DJ783/DB783-1</f>
        <v>-1.91304347826087</v>
      </c>
      <c r="DK784" s="1082">
        <f t="shared" si="4570"/>
        <v>-0.842105263157895</v>
      </c>
      <c r="DL784" s="1082">
        <f t="shared" si="4570"/>
        <v>-1.41860465116279</v>
      </c>
      <c r="DM784" s="1082">
        <f t="shared" si="4570"/>
        <v>-1.45454545454546</v>
      </c>
      <c r="DN784" s="1082">
        <f t="shared" si="4570"/>
        <v>-1.42592592592593</v>
      </c>
      <c r="DO784" s="1082" t="e">
        <f t="shared" si="4570"/>
        <v>#REF!</v>
      </c>
      <c r="DP784" s="1082" t="e">
        <f t="shared" si="4570"/>
        <v>#REF!</v>
      </c>
      <c r="DQ784" s="1085" t="e">
        <f t="shared" si="4570"/>
        <v>#REF!</v>
      </c>
      <c r="DR784" s="1082"/>
      <c r="DS784" s="1082"/>
      <c r="DT784" s="1082"/>
      <c r="DU784" s="1082"/>
      <c r="DV784" s="1082"/>
      <c r="DW784" s="1082"/>
      <c r="DX784" s="1082"/>
      <c r="DY784" s="1085"/>
      <c r="DZ784" s="1082"/>
      <c r="EA784" s="1082"/>
      <c r="EB784" s="1082"/>
      <c r="EC784" s="1082"/>
      <c r="ED784" s="1082"/>
      <c r="EE784" s="1082"/>
      <c r="EF784" s="1082"/>
      <c r="EG784" s="1085"/>
      <c r="EH784" s="1082"/>
      <c r="EI784" s="1082"/>
      <c r="EJ784" s="1082"/>
      <c r="EK784" s="1082"/>
      <c r="EL784" s="1082"/>
      <c r="EM784" s="1082"/>
      <c r="EN784" s="1082"/>
      <c r="EO784" s="1085"/>
      <c r="EP784" s="1082"/>
      <c r="EQ784" s="1082"/>
      <c r="ER784" s="1082"/>
      <c r="ES784" s="1082"/>
      <c r="ET784" s="1082"/>
      <c r="EU784" s="1082"/>
      <c r="EV784" s="1082"/>
      <c r="IX784" s="1083"/>
      <c r="IY784" s="1083"/>
      <c r="IZ784" s="1083"/>
      <c r="JA784" s="1083"/>
      <c r="JB784" s="1083"/>
      <c r="JC784" s="1083"/>
      <c r="JD784" s="1521"/>
      <c r="JE784" s="1126"/>
      <c r="JF784" s="1037"/>
      <c r="JG784" s="1037"/>
      <c r="JH784" s="1037"/>
      <c r="JI784" s="1035"/>
      <c r="JJ784" s="1035"/>
      <c r="JK784" s="1035"/>
      <c r="JL784" s="1035"/>
      <c r="JM784" s="1035"/>
      <c r="JN784" s="1035"/>
      <c r="JO784" s="1035"/>
      <c r="JP784" s="1035"/>
      <c r="JQ784" s="1035"/>
      <c r="JR784" s="1035"/>
      <c r="JS784" s="1035"/>
      <c r="JT784" s="1035"/>
      <c r="JU784" s="1035"/>
      <c r="JV784" s="1035"/>
      <c r="JW784" s="1035"/>
      <c r="JX784" s="1035"/>
      <c r="JY784" s="1035"/>
    </row>
    <row r="785" s="883" customFormat="1" spans="1:334">
      <c r="A785" s="883" t="s">
        <v>652</v>
      </c>
      <c r="B785" s="1302"/>
      <c r="C785" s="1302"/>
      <c r="D785" s="1302"/>
      <c r="E785" s="1302"/>
      <c r="F785" s="1302"/>
      <c r="G785" s="1302"/>
      <c r="H785" s="1302"/>
      <c r="I785" s="1302"/>
      <c r="J785" s="1302"/>
      <c r="K785" s="1302"/>
      <c r="L785" s="1302"/>
      <c r="M785" s="1302"/>
      <c r="N785" s="1302"/>
      <c r="O785" s="1302"/>
      <c r="P785" s="1302"/>
      <c r="Q785" s="1302"/>
      <c r="R785" s="1302"/>
      <c r="S785" s="1302"/>
      <c r="T785" s="1302"/>
      <c r="U785" s="1302"/>
      <c r="V785" s="1302"/>
      <c r="W785" s="1302"/>
      <c r="X785" s="1302"/>
      <c r="Y785" s="1302"/>
      <c r="Z785" s="1302"/>
      <c r="AA785" s="1302"/>
      <c r="AB785" s="1302"/>
      <c r="AC785" s="1302"/>
      <c r="AD785" s="1302"/>
      <c r="AE785" s="1302"/>
      <c r="AF785" s="1302"/>
      <c r="AG785" s="1302"/>
      <c r="AH785" s="1302"/>
      <c r="AI785" s="1302"/>
      <c r="AJ785" s="1302"/>
      <c r="AK785" s="1302"/>
      <c r="AL785" s="1302"/>
      <c r="AM785" s="1302"/>
      <c r="AN785" s="1302"/>
      <c r="AO785" s="1302"/>
      <c r="AP785" s="1302"/>
      <c r="AQ785" s="1302"/>
      <c r="AR785" s="1302"/>
      <c r="AS785" s="1302"/>
      <c r="AT785" s="1302"/>
      <c r="AU785" s="1302"/>
      <c r="AV785" s="1302"/>
      <c r="AW785" s="1302"/>
      <c r="AX785" s="1303"/>
      <c r="AY785" s="1302"/>
      <c r="AZ785" s="1302"/>
      <c r="BA785" s="1302"/>
      <c r="BB785" s="1302"/>
      <c r="BC785" s="1302"/>
      <c r="BD785" s="1302"/>
      <c r="BE785" s="1304"/>
      <c r="BF785" s="1302"/>
      <c r="BG785" s="1302"/>
      <c r="BH785" s="1302"/>
      <c r="BI785" s="1302"/>
      <c r="BJ785" s="1302"/>
      <c r="BK785" s="1302"/>
      <c r="BL785" s="1302"/>
      <c r="BM785" s="1302"/>
      <c r="BN785" s="1303"/>
      <c r="BO785" s="1302"/>
      <c r="BP785" s="1302"/>
      <c r="BQ785" s="1302"/>
      <c r="BR785" s="1302"/>
      <c r="BS785" s="1302"/>
      <c r="BT785" s="1302"/>
      <c r="BU785" s="1304"/>
      <c r="BV785" s="1303">
        <f t="shared" ref="BV785:CO785" si="4571">BV783/BV777</f>
        <v>-0.137931034482759</v>
      </c>
      <c r="BW785" s="1302">
        <f t="shared" si="4571"/>
        <v>0.139784946236559</v>
      </c>
      <c r="BX785" s="1302">
        <f t="shared" si="4571"/>
        <v>0.033112582781457</v>
      </c>
      <c r="BY785" s="1302">
        <f t="shared" si="4571"/>
        <v>0.131428571428571</v>
      </c>
      <c r="BZ785" s="1302">
        <f t="shared" si="4571"/>
        <v>0.0691823899371069</v>
      </c>
      <c r="CA785" s="1302">
        <f t="shared" si="4571"/>
        <v>0.0961538461538462</v>
      </c>
      <c r="CB785" s="1302">
        <f t="shared" si="4571"/>
        <v>0.114803625377644</v>
      </c>
      <c r="CC785" s="1304">
        <f t="shared" si="4571"/>
        <v>0.0758293838862559</v>
      </c>
      <c r="CD785" s="1303">
        <f t="shared" si="4571"/>
        <v>-0.00671140939597315</v>
      </c>
      <c r="CE785" s="1302">
        <f t="shared" si="4571"/>
        <v>0.148514851485149</v>
      </c>
      <c r="CF785" s="1302">
        <f t="shared" si="4571"/>
        <v>0.0826210826210826</v>
      </c>
      <c r="CG785" s="1302">
        <f t="shared" si="4571"/>
        <v>0.0564971751412429</v>
      </c>
      <c r="CH785" s="1302">
        <f t="shared" si="4571"/>
        <v>0.0738636363636364</v>
      </c>
      <c r="CI785" s="1302">
        <f t="shared" si="4571"/>
        <v>0.0607734806629834</v>
      </c>
      <c r="CJ785" s="1302">
        <f t="shared" si="4571"/>
        <v>0.058659217877095</v>
      </c>
      <c r="CK785" s="1304">
        <f t="shared" si="4571"/>
        <v>0.0705218617771509</v>
      </c>
      <c r="CL785" s="1303">
        <f t="shared" si="4571"/>
        <v>0.00995024875621891</v>
      </c>
      <c r="CM785" s="1302">
        <f t="shared" si="4571"/>
        <v>0.125475285171103</v>
      </c>
      <c r="CN785" s="1302">
        <f t="shared" si="4571"/>
        <v>0.0754310344827586</v>
      </c>
      <c r="CO785" s="1302">
        <f t="shared" si="4571"/>
        <v>0.077319587628866</v>
      </c>
      <c r="CP785" s="1302">
        <f t="shared" ref="CP785:CV785" si="4572">CP783/CP777</f>
        <v>0.0759878419452888</v>
      </c>
      <c r="CQ785" s="1302">
        <f t="shared" si="4572"/>
        <v>0.116161616161616</v>
      </c>
      <c r="CR785" s="1302">
        <f t="shared" si="4572"/>
        <v>0.0754310344827586</v>
      </c>
      <c r="CS785" s="1304">
        <f t="shared" si="4572"/>
        <v>0.0852803738317757</v>
      </c>
      <c r="CT785" s="1303">
        <f t="shared" si="4572"/>
        <v>-0.00555555555555556</v>
      </c>
      <c r="CU785" s="1302">
        <f t="shared" si="4572"/>
        <v>0.117154811715481</v>
      </c>
      <c r="CV785" s="1302">
        <f t="shared" si="4572"/>
        <v>0.0644391408114559</v>
      </c>
      <c r="CW785" s="1302">
        <f t="shared" ref="CW785:DJ785" si="4573">CW783/CW777</f>
        <v>0.0789473684210526</v>
      </c>
      <c r="CX785" s="1302">
        <f t="shared" si="4573"/>
        <v>0.0689655172413793</v>
      </c>
      <c r="CY785" s="1302">
        <f t="shared" si="4573"/>
        <v>0.117948717948718</v>
      </c>
      <c r="CZ785" s="1302">
        <f t="shared" si="4573"/>
        <v>0.0987012987012987</v>
      </c>
      <c r="DA785" s="1304">
        <f t="shared" si="4573"/>
        <v>0.0808457711442786</v>
      </c>
      <c r="DB785" s="1109">
        <f t="shared" si="4573"/>
        <v>0.120418848167539</v>
      </c>
      <c r="DC785" s="1082">
        <f t="shared" si="4573"/>
        <v>0.0837004405286344</v>
      </c>
      <c r="DD785" s="1082">
        <f t="shared" si="4573"/>
        <v>0.102870813397129</v>
      </c>
      <c r="DE785" s="1082">
        <f t="shared" si="4573"/>
        <v>0.0564102564102564</v>
      </c>
      <c r="DF785" s="1082">
        <f t="shared" si="4573"/>
        <v>0.0880913539967374</v>
      </c>
      <c r="DG785" s="1082">
        <f t="shared" si="4573"/>
        <v>0.120603015075377</v>
      </c>
      <c r="DH785" s="1082">
        <f t="shared" si="4573"/>
        <v>0.0888324873096447</v>
      </c>
      <c r="DI785" s="1085">
        <f t="shared" si="4573"/>
        <v>0.0960591133004926</v>
      </c>
      <c r="DJ785" s="1082">
        <f t="shared" si="4573"/>
        <v>-0.108247422680412</v>
      </c>
      <c r="DK785" s="1082">
        <f t="shared" ref="DK785:DQ785" si="4574">DK783/DK777</f>
        <v>0.0117647058823529</v>
      </c>
      <c r="DL785" s="1082">
        <f t="shared" si="4574"/>
        <v>-0.0400890868596881</v>
      </c>
      <c r="DM785" s="1082">
        <f t="shared" si="4574"/>
        <v>-0.0271739130434786</v>
      </c>
      <c r="DN785" s="1082">
        <f t="shared" si="4574"/>
        <v>-0.0363349131121643</v>
      </c>
      <c r="DO785" s="1082" t="e">
        <f t="shared" si="4574"/>
        <v>#REF!</v>
      </c>
      <c r="DP785" s="1082" t="e">
        <f t="shared" si="4574"/>
        <v>#REF!</v>
      </c>
      <c r="DQ785" s="1085" t="e">
        <f t="shared" si="4574"/>
        <v>#REF!</v>
      </c>
      <c r="DR785" s="1082"/>
      <c r="DS785" s="1082"/>
      <c r="DT785" s="1082"/>
      <c r="DU785" s="1082"/>
      <c r="DV785" s="1082"/>
      <c r="DW785" s="1082"/>
      <c r="DX785" s="1082"/>
      <c r="DY785" s="1085"/>
      <c r="DZ785" s="1082"/>
      <c r="EA785" s="1082"/>
      <c r="EB785" s="1082"/>
      <c r="EC785" s="1082"/>
      <c r="ED785" s="1082"/>
      <c r="EE785" s="1082"/>
      <c r="EF785" s="1082"/>
      <c r="EG785" s="1085"/>
      <c r="EH785" s="1082"/>
      <c r="EI785" s="1082"/>
      <c r="EJ785" s="1082"/>
      <c r="EK785" s="1082"/>
      <c r="EL785" s="1082"/>
      <c r="EM785" s="1082"/>
      <c r="EN785" s="1082"/>
      <c r="EO785" s="1085"/>
      <c r="EP785" s="1082"/>
      <c r="EQ785" s="1082"/>
      <c r="ER785" s="1082"/>
      <c r="ES785" s="1082"/>
      <c r="ET785" s="1082"/>
      <c r="EU785" s="1082"/>
      <c r="EV785" s="1082"/>
      <c r="EW785" s="1039"/>
      <c r="EX785" s="891"/>
      <c r="EY785" s="891"/>
      <c r="EZ785" s="891"/>
      <c r="FA785" s="891"/>
      <c r="FB785" s="891"/>
      <c r="FC785" s="891"/>
      <c r="FD785" s="891"/>
      <c r="FE785" s="1039"/>
      <c r="FF785" s="891"/>
      <c r="FG785" s="891"/>
      <c r="FH785" s="891"/>
      <c r="FI785" s="891"/>
      <c r="FJ785" s="891"/>
      <c r="FK785" s="891"/>
      <c r="FL785" s="891"/>
      <c r="FM785" s="1039"/>
      <c r="FN785" s="891"/>
      <c r="FO785" s="891"/>
      <c r="FP785" s="891"/>
      <c r="FQ785" s="891"/>
      <c r="FR785" s="891"/>
      <c r="FS785" s="891"/>
      <c r="FT785" s="891"/>
      <c r="FU785" s="891"/>
      <c r="FV785" s="1040"/>
      <c r="FW785" s="891"/>
      <c r="FX785" s="891"/>
      <c r="FY785" s="891"/>
      <c r="FZ785" s="891"/>
      <c r="GA785" s="891"/>
      <c r="GB785" s="891"/>
      <c r="GC785" s="1039"/>
      <c r="GD785" s="891"/>
      <c r="GE785" s="891"/>
      <c r="GF785" s="891"/>
      <c r="GG785" s="891"/>
      <c r="GH785" s="891"/>
      <c r="GI785" s="891"/>
      <c r="GJ785" s="891"/>
      <c r="GK785" s="1039"/>
      <c r="GL785" s="891"/>
      <c r="GM785" s="891"/>
      <c r="GN785" s="891"/>
      <c r="GO785" s="891"/>
      <c r="GP785" s="891"/>
      <c r="GQ785" s="891"/>
      <c r="GR785" s="891"/>
      <c r="GS785" s="1039"/>
      <c r="GT785" s="891"/>
      <c r="GU785" s="891"/>
      <c r="GV785" s="891"/>
      <c r="GW785" s="891"/>
      <c r="GX785" s="891"/>
      <c r="GY785" s="891"/>
      <c r="GZ785" s="891"/>
      <c r="HA785" s="1039"/>
      <c r="HB785" s="891"/>
      <c r="HC785" s="891"/>
      <c r="HD785" s="891"/>
      <c r="HE785" s="891"/>
      <c r="HF785" s="891"/>
      <c r="HG785" s="891"/>
      <c r="HH785" s="891"/>
      <c r="HI785" s="1039"/>
      <c r="HJ785" s="891"/>
      <c r="HK785" s="891"/>
      <c r="HL785" s="891"/>
      <c r="HM785" s="891"/>
      <c r="HN785" s="891"/>
      <c r="HO785" s="891"/>
      <c r="HP785" s="891"/>
      <c r="HQ785" s="1039"/>
      <c r="HR785" s="891"/>
      <c r="HS785" s="891"/>
      <c r="HT785" s="891"/>
      <c r="HU785" s="891"/>
      <c r="HV785" s="891"/>
      <c r="HW785" s="891"/>
      <c r="HX785" s="891"/>
      <c r="HY785" s="891"/>
      <c r="HZ785" s="891"/>
      <c r="IA785" s="891"/>
      <c r="IB785" s="891"/>
      <c r="IC785" s="891"/>
      <c r="ID785" s="891"/>
      <c r="IE785" s="891"/>
      <c r="IF785" s="891"/>
      <c r="IG785" s="1039"/>
      <c r="IH785" s="891"/>
      <c r="II785" s="891"/>
      <c r="IJ785" s="891"/>
      <c r="IK785" s="891"/>
      <c r="IL785" s="891"/>
      <c r="IM785" s="891"/>
      <c r="IN785" s="891"/>
      <c r="IO785" s="1039"/>
      <c r="IP785" s="891"/>
      <c r="IQ785" s="891"/>
      <c r="IR785" s="891"/>
      <c r="IS785" s="891"/>
      <c r="IT785" s="891"/>
      <c r="IU785" s="891"/>
      <c r="IV785" s="891"/>
      <c r="IW785" s="891"/>
      <c r="IX785" s="1083"/>
      <c r="IY785" s="1083"/>
      <c r="IZ785" s="1083"/>
      <c r="JA785" s="1083"/>
      <c r="JB785" s="1083"/>
      <c r="JC785" s="1083"/>
      <c r="JD785" s="1521"/>
      <c r="JE785" s="1083"/>
      <c r="JF785" s="1082"/>
      <c r="JG785" s="1082"/>
      <c r="JH785" s="1082"/>
    </row>
    <row r="786" spans="1:334">
      <c r="AX786" s="1059"/>
      <c r="BE786" s="1060"/>
      <c r="BN786" s="1059"/>
      <c r="BU786" s="1060"/>
      <c r="BV786" s="1059"/>
      <c r="CC786" s="1060"/>
      <c r="CD786" s="1059"/>
      <c r="CK786" s="1060"/>
      <c r="CL786" s="1059"/>
      <c r="CS786" s="1060"/>
      <c r="CT786" s="1059"/>
      <c r="DA786" s="1060"/>
      <c r="DB786" s="1063"/>
      <c r="IX786" s="1126"/>
      <c r="IY786" s="1126"/>
      <c r="IZ786" s="1126"/>
      <c r="JA786" s="1126"/>
      <c r="JB786" s="1126"/>
      <c r="JC786" s="1126"/>
      <c r="JD786" s="1125"/>
      <c r="JE786" s="1126"/>
      <c r="JF786" s="1037"/>
      <c r="JG786" s="1037"/>
      <c r="JH786" s="1037"/>
      <c r="JI786" s="1035"/>
      <c r="JJ786" s="1035"/>
      <c r="JK786" s="1035"/>
      <c r="JL786" s="1035"/>
      <c r="JM786" s="1035"/>
      <c r="JN786" s="1035"/>
      <c r="JO786" s="1035"/>
      <c r="JP786" s="1035"/>
      <c r="JQ786" s="1035"/>
      <c r="JR786" s="1035"/>
      <c r="JS786" s="1035"/>
      <c r="JT786" s="1035"/>
      <c r="JU786" s="1035"/>
      <c r="JV786" s="1035"/>
      <c r="JW786" s="1035"/>
      <c r="JX786" s="1035"/>
      <c r="JY786" s="1035"/>
    </row>
    <row r="787" spans="1:334">
      <c r="A787" s="1051" t="s">
        <v>667</v>
      </c>
      <c r="B787" s="1482"/>
      <c r="C787" s="1482"/>
      <c r="D787" s="1482"/>
      <c r="E787" s="1482"/>
      <c r="F787" s="1482"/>
      <c r="G787" s="1482"/>
      <c r="H787" s="1482"/>
      <c r="I787" s="1482"/>
      <c r="J787" s="1482"/>
      <c r="K787" s="1482"/>
      <c r="L787" s="1482"/>
      <c r="M787" s="1482"/>
      <c r="N787" s="1482"/>
      <c r="O787" s="1482"/>
      <c r="P787" s="1482"/>
      <c r="Q787" s="1482"/>
      <c r="R787" s="1482"/>
      <c r="S787" s="1482"/>
      <c r="T787" s="1482"/>
      <c r="U787" s="1482"/>
      <c r="V787" s="1482"/>
      <c r="W787" s="1482"/>
      <c r="X787" s="1482"/>
      <c r="Y787" s="1482"/>
      <c r="Z787" s="1482"/>
      <c r="AA787" s="1482"/>
      <c r="AB787" s="1482"/>
      <c r="AC787" s="1482"/>
      <c r="AD787" s="1482"/>
      <c r="AE787" s="1482"/>
      <c r="AF787" s="1482"/>
      <c r="AG787" s="1482"/>
      <c r="AH787" s="1482"/>
      <c r="AI787" s="1482"/>
      <c r="AJ787" s="1482"/>
      <c r="AK787" s="1482"/>
      <c r="AL787" s="1482"/>
      <c r="AM787" s="1482"/>
      <c r="AN787" s="1482"/>
      <c r="AO787" s="1482"/>
      <c r="AP787" s="1482"/>
      <c r="AQ787" s="1482"/>
      <c r="AR787" s="1482"/>
      <c r="AS787" s="1482"/>
      <c r="AT787" s="1482"/>
      <c r="AU787" s="1482"/>
      <c r="AV787" s="1482"/>
      <c r="AW787" s="1482"/>
      <c r="AX787" s="1483"/>
      <c r="AY787" s="1482"/>
      <c r="AZ787" s="1482"/>
      <c r="BA787" s="1482"/>
      <c r="BB787" s="1482"/>
      <c r="BC787" s="1482"/>
      <c r="BD787" s="1482"/>
      <c r="BE787" s="1484"/>
      <c r="BF787" s="1482"/>
      <c r="BG787" s="1482"/>
      <c r="BH787" s="1482"/>
      <c r="BI787" s="1482"/>
      <c r="BJ787" s="1482"/>
      <c r="BK787" s="1482"/>
      <c r="BL787" s="1482"/>
      <c r="BM787" s="1482"/>
      <c r="BN787" s="1483"/>
      <c r="BO787" s="1482"/>
      <c r="BP787" s="1482"/>
      <c r="BQ787" s="1482"/>
      <c r="BR787" s="1482"/>
      <c r="BS787" s="1482"/>
      <c r="BT787" s="1482"/>
      <c r="BU787" s="1484"/>
      <c r="BV787" s="1483" t="s">
        <v>321</v>
      </c>
      <c r="BW787" s="1482" t="s">
        <v>322</v>
      </c>
      <c r="BX787" s="1482" t="s">
        <v>323</v>
      </c>
      <c r="BY787" s="1482" t="s">
        <v>324</v>
      </c>
      <c r="BZ787" s="1482" t="s">
        <v>325</v>
      </c>
      <c r="CA787" s="1482" t="s">
        <v>326</v>
      </c>
      <c r="CB787" s="1482" t="s">
        <v>327</v>
      </c>
      <c r="CC787" s="1484" t="s">
        <v>23</v>
      </c>
      <c r="CD787" s="1483" t="s">
        <v>328</v>
      </c>
      <c r="CE787" s="1482" t="s">
        <v>329</v>
      </c>
      <c r="CF787" s="1482" t="s">
        <v>330</v>
      </c>
      <c r="CG787" s="1482" t="s">
        <v>331</v>
      </c>
      <c r="CH787" s="1482" t="s">
        <v>332</v>
      </c>
      <c r="CI787" s="1482" t="s">
        <v>333</v>
      </c>
      <c r="CJ787" s="1482" t="str">
        <f t="shared" ref="CJ787:DO787" si="4575">CJ2</f>
        <v>H2 05</v>
      </c>
      <c r="CK787" s="1484" t="str">
        <f t="shared" si="4575"/>
        <v>FY 05</v>
      </c>
      <c r="CL787" s="1483" t="str">
        <f t="shared" si="4575"/>
        <v>Q1 06</v>
      </c>
      <c r="CM787" s="1482" t="str">
        <f t="shared" si="4575"/>
        <v>Q2 06</v>
      </c>
      <c r="CN787" s="1482" t="str">
        <f t="shared" si="4575"/>
        <v>H1 06</v>
      </c>
      <c r="CO787" s="1482" t="str">
        <f t="shared" si="4575"/>
        <v>Q3 06</v>
      </c>
      <c r="CP787" s="1482" t="str">
        <f t="shared" si="4575"/>
        <v>9M 06</v>
      </c>
      <c r="CQ787" s="1482" t="str">
        <f t="shared" si="4575"/>
        <v>Q4 06</v>
      </c>
      <c r="CR787" s="1482" t="str">
        <f t="shared" si="4575"/>
        <v>H2 06</v>
      </c>
      <c r="CS787" s="1484" t="str">
        <f t="shared" si="4575"/>
        <v>FY 06</v>
      </c>
      <c r="CT787" s="1483" t="str">
        <f t="shared" si="4575"/>
        <v>Q1 07</v>
      </c>
      <c r="CU787" s="1482" t="str">
        <f t="shared" si="4575"/>
        <v>Q2 07</v>
      </c>
      <c r="CV787" s="1482" t="str">
        <f t="shared" si="4575"/>
        <v>H1 07</v>
      </c>
      <c r="CW787" s="1482" t="str">
        <f t="shared" si="4575"/>
        <v>Q3 07</v>
      </c>
      <c r="CX787" s="1482" t="str">
        <f t="shared" si="4575"/>
        <v>9M 07</v>
      </c>
      <c r="CY787" s="1482" t="str">
        <f t="shared" si="4575"/>
        <v>Q4 07</v>
      </c>
      <c r="CZ787" s="1482" t="str">
        <f t="shared" si="4575"/>
        <v>H2 07</v>
      </c>
      <c r="DA787" s="1484" t="str">
        <f t="shared" si="4575"/>
        <v>FY 07</v>
      </c>
      <c r="DB787" s="1485" t="str">
        <f t="shared" si="4575"/>
        <v>Q1 08</v>
      </c>
      <c r="DC787" s="1486" t="str">
        <f t="shared" si="4575"/>
        <v>Q2 08</v>
      </c>
      <c r="DD787" s="1486" t="str">
        <f t="shared" si="4575"/>
        <v>H1 08</v>
      </c>
      <c r="DE787" s="1486" t="str">
        <f t="shared" si="4575"/>
        <v>Q3 08</v>
      </c>
      <c r="DF787" s="1486" t="str">
        <f t="shared" si="4575"/>
        <v>9M 08</v>
      </c>
      <c r="DG787" s="1486" t="str">
        <f t="shared" si="4575"/>
        <v>Q4 08</v>
      </c>
      <c r="DH787" s="1486" t="str">
        <f t="shared" si="4575"/>
        <v>H2 08</v>
      </c>
      <c r="DI787" s="1487" t="str">
        <f t="shared" si="4575"/>
        <v>FY 08</v>
      </c>
      <c r="DJ787" s="1486" t="str">
        <f t="shared" si="4575"/>
        <v>Q1 09</v>
      </c>
      <c r="DK787" s="1486" t="str">
        <f t="shared" si="4575"/>
        <v>Q2 09</v>
      </c>
      <c r="DL787" s="1486" t="str">
        <f t="shared" si="4575"/>
        <v>H1 09</v>
      </c>
      <c r="DM787" s="1486" t="str">
        <f t="shared" si="4575"/>
        <v>Q3 09</v>
      </c>
      <c r="DN787" s="1486" t="str">
        <f t="shared" si="4575"/>
        <v>9M 09</v>
      </c>
      <c r="DO787" s="1486" t="str">
        <f t="shared" si="4575"/>
        <v>Q4 09</v>
      </c>
      <c r="DP787" s="1486" t="str">
        <f t="shared" ref="DP787:EO787" si="4576">DP2</f>
        <v>H2 09</v>
      </c>
      <c r="DQ787" s="1487" t="str">
        <f t="shared" si="4576"/>
        <v>FY 09</v>
      </c>
      <c r="DR787" s="1486" t="str">
        <f t="shared" si="4576"/>
        <v>Q1 10</v>
      </c>
      <c r="DS787" s="1486" t="str">
        <f t="shared" si="4576"/>
        <v>Q2 10</v>
      </c>
      <c r="DT787" s="1486" t="str">
        <f t="shared" si="4576"/>
        <v>H1 10</v>
      </c>
      <c r="DU787" s="1486" t="str">
        <f t="shared" si="4576"/>
        <v>Q3 10</v>
      </c>
      <c r="DV787" s="1486" t="str">
        <f t="shared" si="4576"/>
        <v>9M 10</v>
      </c>
      <c r="DW787" s="1486" t="str">
        <f t="shared" si="4576"/>
        <v>Q4 10</v>
      </c>
      <c r="DX787" s="1486" t="str">
        <f t="shared" si="4576"/>
        <v>H2 10</v>
      </c>
      <c r="DY787" s="1487" t="str">
        <f t="shared" si="4576"/>
        <v>FY 10</v>
      </c>
      <c r="DZ787" s="1486" t="str">
        <f t="shared" si="4576"/>
        <v>Q1 11</v>
      </c>
      <c r="EA787" s="1486" t="str">
        <f t="shared" si="4576"/>
        <v>Q2 11</v>
      </c>
      <c r="EB787" s="1486" t="str">
        <f t="shared" si="4576"/>
        <v>H1 11</v>
      </c>
      <c r="EC787" s="1486" t="str">
        <f t="shared" si="4576"/>
        <v>Q3 11</v>
      </c>
      <c r="ED787" s="1486" t="str">
        <f t="shared" si="4576"/>
        <v>9M 11</v>
      </c>
      <c r="EE787" s="1486" t="str">
        <f t="shared" si="4576"/>
        <v>Q4 11</v>
      </c>
      <c r="EF787" s="1486" t="str">
        <f t="shared" si="4576"/>
        <v>H2 11</v>
      </c>
      <c r="EG787" s="1487" t="str">
        <f t="shared" si="4576"/>
        <v>FY 11</v>
      </c>
      <c r="EH787" s="1486" t="str">
        <f t="shared" si="4576"/>
        <v>Q1 12</v>
      </c>
      <c r="EI787" s="1486" t="str">
        <f t="shared" si="4576"/>
        <v>Q2 12</v>
      </c>
      <c r="EJ787" s="1486" t="str">
        <f t="shared" si="4576"/>
        <v>H1 12</v>
      </c>
      <c r="EK787" s="1486" t="str">
        <f t="shared" si="4576"/>
        <v>Q3 12</v>
      </c>
      <c r="EL787" s="1486" t="str">
        <f t="shared" si="4576"/>
        <v>9M 12</v>
      </c>
      <c r="EM787" s="1486" t="str">
        <f t="shared" si="4576"/>
        <v>Q4 12</v>
      </c>
      <c r="EN787" s="1486" t="str">
        <f t="shared" si="4576"/>
        <v>H2 12</v>
      </c>
      <c r="EO787" s="1487" t="str">
        <f t="shared" si="4576"/>
        <v>FY 12</v>
      </c>
      <c r="EP787" s="1486"/>
      <c r="EQ787" s="1486"/>
      <c r="ER787" s="1486"/>
      <c r="ES787" s="1486"/>
      <c r="ET787" s="1486"/>
      <c r="EU787" s="1486"/>
      <c r="EV787" s="1486"/>
      <c r="IX787" s="1523"/>
      <c r="IY787" s="1523"/>
      <c r="IZ787" s="1523"/>
      <c r="JA787" s="1523"/>
      <c r="JB787" s="1523"/>
      <c r="JC787" s="1523"/>
      <c r="JD787" s="1522"/>
      <c r="JE787" s="1126"/>
      <c r="JF787" s="1037"/>
      <c r="JG787" s="1037"/>
      <c r="JH787" s="1037"/>
      <c r="JI787" s="1035"/>
      <c r="JJ787" s="1035"/>
      <c r="JK787" s="1035"/>
      <c r="JL787" s="1035"/>
      <c r="JM787" s="1035"/>
      <c r="JN787" s="1035"/>
      <c r="JO787" s="1035"/>
      <c r="JP787" s="1035"/>
      <c r="JQ787" s="1035"/>
      <c r="JR787" s="1035"/>
      <c r="JS787" s="1035"/>
      <c r="JT787" s="1035"/>
      <c r="JU787" s="1035"/>
      <c r="JV787" s="1035"/>
      <c r="JW787" s="1035"/>
      <c r="JX787" s="1035"/>
      <c r="JY787" s="1035"/>
    </row>
    <row r="788" spans="1:334">
      <c r="A788" s="1306" t="s">
        <v>527</v>
      </c>
      <c r="B788" s="1307"/>
      <c r="C788" s="1307"/>
      <c r="D788" s="1307"/>
      <c r="E788" s="1307"/>
      <c r="F788" s="1307"/>
      <c r="G788" s="1307"/>
      <c r="H788" s="1307"/>
      <c r="I788" s="1307"/>
      <c r="J788" s="1307"/>
      <c r="K788" s="1307"/>
      <c r="L788" s="1307"/>
      <c r="M788" s="1307"/>
      <c r="N788" s="1307"/>
      <c r="O788" s="1307"/>
      <c r="P788" s="1307"/>
      <c r="Q788" s="1307"/>
      <c r="R788" s="1307"/>
      <c r="S788" s="1307"/>
      <c r="T788" s="1307"/>
      <c r="U788" s="1307"/>
      <c r="V788" s="1307"/>
      <c r="W788" s="1307"/>
      <c r="X788" s="1307"/>
      <c r="Y788" s="1307"/>
      <c r="Z788" s="1307"/>
      <c r="AA788" s="1307"/>
      <c r="AB788" s="1307"/>
      <c r="AC788" s="1307"/>
      <c r="AD788" s="1307"/>
      <c r="AE788" s="1307"/>
      <c r="AF788" s="1307"/>
      <c r="AG788" s="1307"/>
      <c r="AH788" s="1307"/>
      <c r="AI788" s="1307"/>
      <c r="AJ788" s="1307"/>
      <c r="AK788" s="1307"/>
      <c r="AL788" s="1307"/>
      <c r="AM788" s="1307"/>
      <c r="AN788" s="1307"/>
      <c r="AO788" s="1307"/>
      <c r="AP788" s="1307"/>
      <c r="AQ788" s="1307"/>
      <c r="AR788" s="1307"/>
      <c r="AS788" s="1307"/>
      <c r="AT788" s="1307"/>
      <c r="AU788" s="1307"/>
      <c r="AV788" s="1307"/>
      <c r="AW788" s="1307"/>
      <c r="AX788" s="1308"/>
      <c r="AY788" s="1307"/>
      <c r="AZ788" s="1307"/>
      <c r="BA788" s="1307"/>
      <c r="BB788" s="1307"/>
      <c r="BC788" s="1307"/>
      <c r="BD788" s="1307"/>
      <c r="BE788" s="1309"/>
      <c r="BF788" s="1307"/>
      <c r="BG788" s="1307"/>
      <c r="BH788" s="1307"/>
      <c r="BI788" s="1307"/>
      <c r="BJ788" s="1307"/>
      <c r="BK788" s="1307"/>
      <c r="BL788" s="1307"/>
      <c r="BM788" s="1307"/>
      <c r="BN788" s="1308"/>
      <c r="BO788" s="1307"/>
      <c r="BP788" s="1307"/>
      <c r="BQ788" s="1307"/>
      <c r="BR788" s="1307"/>
      <c r="BS788" s="1307"/>
      <c r="BT788" s="1307"/>
      <c r="BU788" s="1309"/>
      <c r="BV788" s="1308">
        <v>16</v>
      </c>
      <c r="BW788" s="1307">
        <f>BX788-BV788</f>
        <v>31</v>
      </c>
      <c r="BX788" s="1307">
        <v>47</v>
      </c>
      <c r="BY788" s="1307">
        <f>BZ788-BX788</f>
        <v>24</v>
      </c>
      <c r="BZ788" s="1307">
        <v>71</v>
      </c>
      <c r="CA788" s="1307">
        <f>CC788-BZ788</f>
        <v>25</v>
      </c>
      <c r="CB788" s="1307">
        <f>CA788+BY788</f>
        <v>49</v>
      </c>
      <c r="CC788" s="1309">
        <v>96</v>
      </c>
      <c r="CD788" s="1308">
        <v>27</v>
      </c>
      <c r="CE788" s="1307">
        <f>CF788-CD788</f>
        <v>26</v>
      </c>
      <c r="CF788" s="1307">
        <v>53</v>
      </c>
      <c r="CG788" s="1307">
        <f>CH788-CF788</f>
        <v>24</v>
      </c>
      <c r="CH788" s="1307">
        <v>77</v>
      </c>
      <c r="CI788" s="1307">
        <f>CK788-CH788</f>
        <v>-77</v>
      </c>
      <c r="CJ788" s="1307"/>
      <c r="CK788" s="1309"/>
      <c r="CL788" s="1308"/>
      <c r="CM788" s="1307"/>
      <c r="CN788" s="1307"/>
      <c r="CO788" s="1307"/>
      <c r="CP788" s="1307"/>
      <c r="CQ788" s="1307"/>
      <c r="CR788" s="1307"/>
      <c r="CS788" s="1309"/>
      <c r="CT788" s="1308"/>
      <c r="CU788" s="1307"/>
      <c r="CV788" s="1307"/>
      <c r="CW788" s="1307"/>
      <c r="CX788" s="1307">
        <v>904</v>
      </c>
      <c r="CY788" s="1307"/>
      <c r="CZ788" s="1307"/>
      <c r="DA788" s="1309"/>
      <c r="DB788" s="1332">
        <v>303</v>
      </c>
      <c r="DC788" s="1311">
        <f>DD788-DB788</f>
        <v>350</v>
      </c>
      <c r="DD788" s="1311">
        <v>653</v>
      </c>
      <c r="DE788" s="1311">
        <f>DF788-DD788</f>
        <v>398</v>
      </c>
      <c r="DF788" s="1311">
        <v>1051</v>
      </c>
      <c r="DG788" s="1311">
        <f>DH788-DE788</f>
        <v>381</v>
      </c>
      <c r="DH788" s="1311">
        <f>DI788-DD788</f>
        <v>779</v>
      </c>
      <c r="DI788" s="1312">
        <f>'Sales &amp; stores'!K90</f>
        <v>1432</v>
      </c>
      <c r="DJ788" s="1311">
        <v>334</v>
      </c>
      <c r="DK788" s="1311">
        <f>DL788-DJ788</f>
        <v>402</v>
      </c>
      <c r="DL788" s="1311">
        <v>736</v>
      </c>
      <c r="DM788" s="1311">
        <f>DN788-DL788</f>
        <v>428</v>
      </c>
      <c r="DN788" s="1311">
        <v>1164</v>
      </c>
      <c r="DO788" s="1311"/>
      <c r="DP788" s="1311"/>
      <c r="DQ788" s="1312"/>
      <c r="DR788" s="1311"/>
      <c r="DS788" s="1311"/>
      <c r="DT788" s="1311"/>
      <c r="DU788" s="1311"/>
      <c r="DV788" s="1311"/>
      <c r="DW788" s="1311"/>
      <c r="DX788" s="1311"/>
      <c r="DY788" s="1312"/>
      <c r="DZ788" s="1311"/>
      <c r="EA788" s="1311"/>
      <c r="EB788" s="1311"/>
      <c r="EC788" s="1311"/>
      <c r="ED788" s="1311"/>
      <c r="EE788" s="1311"/>
      <c r="EF788" s="1311"/>
      <c r="EG788" s="1312"/>
      <c r="EH788" s="1311"/>
      <c r="EI788" s="1311"/>
      <c r="EJ788" s="1311"/>
      <c r="EK788" s="1311"/>
      <c r="EL788" s="1311"/>
      <c r="EM788" s="1311"/>
      <c r="EN788" s="1311"/>
      <c r="EO788" s="1312"/>
      <c r="EP788" s="1311"/>
      <c r="EQ788" s="1311"/>
      <c r="ER788" s="1311"/>
      <c r="ES788" s="1311"/>
      <c r="ET788" s="1311"/>
      <c r="EU788" s="1311"/>
      <c r="EV788" s="1311"/>
      <c r="IX788" s="1354"/>
      <c r="IY788" s="1354"/>
      <c r="IZ788" s="1354"/>
      <c r="JA788" s="1354"/>
      <c r="JB788" s="1354"/>
      <c r="JC788" s="1354"/>
      <c r="JD788" s="1518"/>
      <c r="JE788" s="1126"/>
      <c r="JF788" s="1037"/>
      <c r="JG788" s="1037"/>
      <c r="JH788" s="1037"/>
      <c r="JI788" s="1035"/>
      <c r="JJ788" s="1035"/>
      <c r="JK788" s="1035"/>
      <c r="JL788" s="1035"/>
      <c r="JM788" s="1035"/>
      <c r="JN788" s="1035"/>
      <c r="JO788" s="1035"/>
      <c r="JP788" s="1035"/>
      <c r="JQ788" s="1035"/>
      <c r="JR788" s="1035"/>
      <c r="JS788" s="1035"/>
      <c r="JT788" s="1035"/>
      <c r="JU788" s="1035"/>
      <c r="JV788" s="1035"/>
      <c r="JW788" s="1035"/>
      <c r="JX788" s="1035"/>
      <c r="JY788" s="1035"/>
    </row>
    <row r="789" spans="1:334">
      <c r="A789" s="1587" t="s">
        <v>668</v>
      </c>
      <c r="B789" s="1405"/>
      <c r="C789" s="1405"/>
      <c r="D789" s="1405"/>
      <c r="E789" s="1405"/>
      <c r="F789" s="1405"/>
      <c r="G789" s="1405"/>
      <c r="H789" s="1405"/>
      <c r="I789" s="1405"/>
      <c r="J789" s="1405"/>
      <c r="K789" s="1405"/>
      <c r="L789" s="1405"/>
      <c r="M789" s="1405"/>
      <c r="N789" s="1405"/>
      <c r="O789" s="1405"/>
      <c r="P789" s="1405"/>
      <c r="Q789" s="1405"/>
      <c r="R789" s="1405"/>
      <c r="S789" s="1405"/>
      <c r="T789" s="1405"/>
      <c r="U789" s="1405"/>
      <c r="V789" s="1405"/>
      <c r="W789" s="1405"/>
      <c r="X789" s="1405"/>
      <c r="Y789" s="1405"/>
      <c r="Z789" s="1405"/>
      <c r="AA789" s="1405"/>
      <c r="AB789" s="1405"/>
      <c r="AC789" s="1405"/>
      <c r="AD789" s="1405"/>
      <c r="AE789" s="1405"/>
      <c r="AF789" s="1405"/>
      <c r="AG789" s="1405"/>
      <c r="AH789" s="1405"/>
      <c r="AI789" s="1405"/>
      <c r="AJ789" s="1405"/>
      <c r="AK789" s="1405"/>
      <c r="AL789" s="1405"/>
      <c r="AM789" s="1405"/>
      <c r="AN789" s="1405"/>
      <c r="AO789" s="1405"/>
      <c r="AP789" s="1405"/>
      <c r="AQ789" s="1405"/>
      <c r="AR789" s="1405"/>
      <c r="AS789" s="1405"/>
      <c r="AT789" s="1405"/>
      <c r="AU789" s="1405"/>
      <c r="AV789" s="1405"/>
      <c r="AW789" s="1405"/>
      <c r="AX789" s="1406"/>
      <c r="AY789" s="1405"/>
      <c r="AZ789" s="1405"/>
      <c r="BA789" s="1405"/>
      <c r="BB789" s="1405"/>
      <c r="BC789" s="1405"/>
      <c r="BD789" s="1405"/>
      <c r="BE789" s="1407"/>
      <c r="BF789" s="1405"/>
      <c r="BG789" s="1405"/>
      <c r="BH789" s="1405"/>
      <c r="BI789" s="1405"/>
      <c r="BJ789" s="1405"/>
      <c r="BK789" s="1405"/>
      <c r="BL789" s="1405"/>
      <c r="BM789" s="1405"/>
      <c r="BN789" s="1406"/>
      <c r="BO789" s="1405"/>
      <c r="BP789" s="1405"/>
      <c r="BQ789" s="1405"/>
      <c r="BR789" s="1405"/>
      <c r="BS789" s="1405"/>
      <c r="BT789" s="1405"/>
      <c r="BU789" s="1407"/>
      <c r="BV789" s="1303" t="s">
        <v>173</v>
      </c>
      <c r="BW789" s="1302" t="s">
        <v>173</v>
      </c>
      <c r="BX789" s="1302" t="s">
        <v>173</v>
      </c>
      <c r="BY789" s="1302" t="s">
        <v>173</v>
      </c>
      <c r="BZ789" s="1302" t="s">
        <v>173</v>
      </c>
      <c r="CA789" s="1302" t="s">
        <v>173</v>
      </c>
      <c r="CB789" s="1302" t="s">
        <v>173</v>
      </c>
      <c r="CC789" s="1304" t="s">
        <v>173</v>
      </c>
      <c r="CD789" s="1303">
        <f t="shared" ref="CD789:CI789" si="4577">CD788/BV788-1</f>
        <v>0.6875</v>
      </c>
      <c r="CE789" s="1302">
        <f t="shared" si="4577"/>
        <v>-0.161290322580645</v>
      </c>
      <c r="CF789" s="1302">
        <f t="shared" si="4577"/>
        <v>0.127659574468085</v>
      </c>
      <c r="CG789" s="1302">
        <f t="shared" si="4577"/>
        <v>0</v>
      </c>
      <c r="CH789" s="1302">
        <f t="shared" si="4577"/>
        <v>0.0845070422535212</v>
      </c>
      <c r="CI789" s="1302">
        <f t="shared" si="4577"/>
        <v>-4.08</v>
      </c>
      <c r="CJ789" s="1302"/>
      <c r="CK789" s="1304"/>
      <c r="CL789" s="1303"/>
      <c r="CM789" s="1302"/>
      <c r="CN789" s="1302"/>
      <c r="CO789" s="1302"/>
      <c r="CP789" s="1302"/>
      <c r="CQ789" s="1302"/>
      <c r="CR789" s="1302"/>
      <c r="CS789" s="1304"/>
      <c r="CT789" s="1303"/>
      <c r="CU789" s="1302"/>
      <c r="CV789" s="1302"/>
      <c r="CW789" s="1302"/>
      <c r="CX789" s="1302"/>
      <c r="CY789" s="1302"/>
      <c r="CZ789" s="1302"/>
      <c r="DA789" s="1304"/>
      <c r="DB789" s="1109"/>
      <c r="DC789" s="1082"/>
      <c r="DD789" s="1082"/>
      <c r="DE789" s="1082"/>
      <c r="DF789" s="1082"/>
      <c r="DG789" s="1082"/>
      <c r="DH789" s="1082"/>
      <c r="DI789" s="1085"/>
      <c r="DJ789" s="1080">
        <f t="shared" ref="DJ789:DQ789" si="4578">DJ788/DB788-1</f>
        <v>0.102310231023102</v>
      </c>
      <c r="DK789" s="1080">
        <f t="shared" si="4578"/>
        <v>0.148571428571429</v>
      </c>
      <c r="DL789" s="1080">
        <f t="shared" si="4578"/>
        <v>0.127105666156202</v>
      </c>
      <c r="DM789" s="1080">
        <f t="shared" si="4578"/>
        <v>0.0753768844221105</v>
      </c>
      <c r="DN789" s="1080">
        <f t="shared" si="4578"/>
        <v>0.107516650808753</v>
      </c>
      <c r="DO789" s="1080">
        <f t="shared" si="4578"/>
        <v>-1</v>
      </c>
      <c r="DP789" s="1080">
        <f t="shared" si="4578"/>
        <v>-1</v>
      </c>
      <c r="DQ789" s="1081">
        <f t="shared" si="4578"/>
        <v>-1</v>
      </c>
      <c r="DR789" s="1082"/>
      <c r="DS789" s="1082"/>
      <c r="DT789" s="1082"/>
      <c r="DU789" s="1082"/>
      <c r="DV789" s="1082"/>
      <c r="DW789" s="1082"/>
      <c r="DX789" s="1082"/>
      <c r="DY789" s="1085"/>
      <c r="DZ789" s="1082"/>
      <c r="EA789" s="1082"/>
      <c r="EB789" s="1082"/>
      <c r="EC789" s="1082"/>
      <c r="ED789" s="1082"/>
      <c r="EE789" s="1082"/>
      <c r="EF789" s="1082"/>
      <c r="EG789" s="1085"/>
      <c r="EH789" s="1082"/>
      <c r="EI789" s="1082"/>
      <c r="EJ789" s="1082"/>
      <c r="EK789" s="1082"/>
      <c r="EL789" s="1082"/>
      <c r="EM789" s="1082"/>
      <c r="EN789" s="1082"/>
      <c r="EO789" s="1085"/>
      <c r="EP789" s="1082"/>
      <c r="EQ789" s="1082"/>
      <c r="ER789" s="1082"/>
      <c r="ES789" s="1082"/>
      <c r="ET789" s="1082"/>
      <c r="EU789" s="1082"/>
      <c r="EV789" s="1082"/>
      <c r="IX789" s="1083"/>
      <c r="IY789" s="1083"/>
      <c r="IZ789" s="1083"/>
      <c r="JA789" s="1083"/>
      <c r="JB789" s="1083"/>
      <c r="JC789" s="1083"/>
      <c r="JD789" s="1521"/>
      <c r="JE789" s="1126"/>
      <c r="JF789" s="1037"/>
      <c r="JG789" s="1037"/>
      <c r="JH789" s="1037"/>
      <c r="JI789" s="1035"/>
      <c r="JJ789" s="1035"/>
      <c r="JK789" s="1035"/>
      <c r="JL789" s="1035"/>
      <c r="JM789" s="1035"/>
      <c r="JN789" s="1035"/>
      <c r="JO789" s="1035"/>
      <c r="JP789" s="1035"/>
      <c r="JQ789" s="1035"/>
      <c r="JR789" s="1035"/>
      <c r="JS789" s="1035"/>
      <c r="JT789" s="1035"/>
      <c r="JU789" s="1035"/>
      <c r="JV789" s="1035"/>
      <c r="JW789" s="1035"/>
      <c r="JX789" s="1035"/>
      <c r="JY789" s="1035"/>
    </row>
    <row r="790" spans="1:334">
      <c r="A790" s="1587" t="s">
        <v>669</v>
      </c>
      <c r="B790" s="1405"/>
      <c r="C790" s="1405"/>
      <c r="D790" s="1405"/>
      <c r="E790" s="1405"/>
      <c r="F790" s="1405"/>
      <c r="G790" s="1405"/>
      <c r="H790" s="1405"/>
      <c r="I790" s="1405"/>
      <c r="J790" s="1405"/>
      <c r="K790" s="1405"/>
      <c r="L790" s="1405"/>
      <c r="M790" s="1405"/>
      <c r="N790" s="1405"/>
      <c r="O790" s="1405"/>
      <c r="P790" s="1405"/>
      <c r="Q790" s="1405"/>
      <c r="R790" s="1405"/>
      <c r="S790" s="1405"/>
      <c r="T790" s="1405"/>
      <c r="U790" s="1405"/>
      <c r="V790" s="1405"/>
      <c r="W790" s="1405"/>
      <c r="X790" s="1405"/>
      <c r="Y790" s="1405"/>
      <c r="Z790" s="1405"/>
      <c r="AA790" s="1405"/>
      <c r="AB790" s="1405"/>
      <c r="AC790" s="1405"/>
      <c r="AD790" s="1405"/>
      <c r="AE790" s="1405"/>
      <c r="AF790" s="1405"/>
      <c r="AG790" s="1405"/>
      <c r="AH790" s="1405"/>
      <c r="AI790" s="1405"/>
      <c r="AJ790" s="1405"/>
      <c r="AK790" s="1405"/>
      <c r="AL790" s="1405"/>
      <c r="AM790" s="1405"/>
      <c r="AN790" s="1405"/>
      <c r="AO790" s="1405"/>
      <c r="AP790" s="1405"/>
      <c r="AQ790" s="1405"/>
      <c r="AR790" s="1405"/>
      <c r="AS790" s="1405"/>
      <c r="AT790" s="1405"/>
      <c r="AU790" s="1405"/>
      <c r="AV790" s="1405"/>
      <c r="AW790" s="1405"/>
      <c r="AX790" s="1406"/>
      <c r="AY790" s="1405"/>
      <c r="AZ790" s="1405"/>
      <c r="BA790" s="1405"/>
      <c r="BB790" s="1405"/>
      <c r="BC790" s="1405"/>
      <c r="BD790" s="1405"/>
      <c r="BE790" s="1407"/>
      <c r="BF790" s="1405"/>
      <c r="BG790" s="1405"/>
      <c r="BH790" s="1405"/>
      <c r="BI790" s="1405"/>
      <c r="BJ790" s="1405"/>
      <c r="BK790" s="1405"/>
      <c r="BL790" s="1405"/>
      <c r="BM790" s="1405"/>
      <c r="BN790" s="1406"/>
      <c r="BO790" s="1405"/>
      <c r="BP790" s="1405"/>
      <c r="BQ790" s="1405"/>
      <c r="BR790" s="1405"/>
      <c r="BS790" s="1405"/>
      <c r="BT790" s="1405"/>
      <c r="BU790" s="1407"/>
      <c r="BV790" s="1303"/>
      <c r="BW790" s="1302"/>
      <c r="BX790" s="1302"/>
      <c r="BY790" s="1302"/>
      <c r="BZ790" s="1302"/>
      <c r="CA790" s="1302"/>
      <c r="CB790" s="1302"/>
      <c r="CC790" s="1304"/>
      <c r="CD790" s="1303"/>
      <c r="CE790" s="1302"/>
      <c r="CF790" s="1302"/>
      <c r="CG790" s="1302"/>
      <c r="CH790" s="1302"/>
      <c r="CI790" s="1302"/>
      <c r="CJ790" s="1302"/>
      <c r="CK790" s="1304"/>
      <c r="CL790" s="1303"/>
      <c r="CM790" s="1302"/>
      <c r="CN790" s="1302"/>
      <c r="CO790" s="1302"/>
      <c r="CP790" s="1302"/>
      <c r="CQ790" s="1302"/>
      <c r="CR790" s="1302"/>
      <c r="CS790" s="1304"/>
      <c r="CT790" s="1303"/>
      <c r="CU790" s="1302"/>
      <c r="CV790" s="1302"/>
      <c r="CW790" s="1302"/>
      <c r="CX790" s="1302"/>
      <c r="CY790" s="1302"/>
      <c r="CZ790" s="1302"/>
      <c r="DA790" s="1304"/>
      <c r="DB790" s="1082"/>
      <c r="DC790" s="1082"/>
      <c r="DD790" s="1082"/>
      <c r="DE790" s="1082"/>
      <c r="DF790" s="1082"/>
      <c r="DG790" s="1082"/>
      <c r="DH790" s="1082"/>
      <c r="DI790" s="1085"/>
      <c r="DJ790" s="1080">
        <v>0.03</v>
      </c>
      <c r="DK790" s="1080">
        <f>(DL790*DD788-DJ790*DB788)/DC788</f>
        <v>0.0673142857142857</v>
      </c>
      <c r="DL790" s="1080">
        <v>0.05</v>
      </c>
      <c r="DM790" s="1080">
        <f>(DN790*DF788-DL790*DD788)/DE788</f>
        <v>0.05</v>
      </c>
      <c r="DN790" s="1080">
        <v>0.05</v>
      </c>
      <c r="DO790" s="1080"/>
      <c r="DP790" s="1080"/>
      <c r="DQ790" s="1081"/>
      <c r="DR790" s="1082"/>
      <c r="DS790" s="1082"/>
      <c r="DT790" s="1082"/>
      <c r="DU790" s="1082"/>
      <c r="DV790" s="1082"/>
      <c r="DW790" s="1082"/>
      <c r="DX790" s="1082"/>
      <c r="DY790" s="1085"/>
      <c r="DZ790" s="1082"/>
      <c r="EA790" s="1082"/>
      <c r="EB790" s="1082"/>
      <c r="EC790" s="1082"/>
      <c r="ED790" s="1082"/>
      <c r="EE790" s="1082"/>
      <c r="EF790" s="1082"/>
      <c r="EG790" s="1085"/>
      <c r="EH790" s="1082"/>
      <c r="EI790" s="1082"/>
      <c r="EJ790" s="1082"/>
      <c r="EK790" s="1082"/>
      <c r="EL790" s="1082"/>
      <c r="EM790" s="1082"/>
      <c r="EN790" s="1082"/>
      <c r="EO790" s="1085"/>
      <c r="EP790" s="1082"/>
      <c r="EQ790" s="1082"/>
      <c r="ER790" s="1082"/>
      <c r="ES790" s="1082"/>
      <c r="ET790" s="1082"/>
      <c r="EU790" s="1082"/>
      <c r="EV790" s="1082"/>
      <c r="IX790" s="1083"/>
      <c r="IY790" s="1083"/>
      <c r="IZ790" s="1083"/>
      <c r="JA790" s="1083"/>
      <c r="JB790" s="1083"/>
      <c r="JC790" s="1083"/>
      <c r="JD790" s="1521"/>
      <c r="JE790" s="1126"/>
      <c r="JF790" s="1037"/>
      <c r="JG790" s="1037"/>
      <c r="JH790" s="1037"/>
      <c r="JI790" s="1035"/>
      <c r="JJ790" s="1035"/>
      <c r="JK790" s="1035"/>
      <c r="JL790" s="1035"/>
      <c r="JM790" s="1035"/>
      <c r="JN790" s="1035"/>
      <c r="JO790" s="1035"/>
      <c r="JP790" s="1035"/>
      <c r="JQ790" s="1035"/>
      <c r="JR790" s="1035"/>
      <c r="JS790" s="1035"/>
      <c r="JT790" s="1035"/>
      <c r="JU790" s="1035"/>
      <c r="JV790" s="1035"/>
      <c r="JW790" s="1035"/>
      <c r="JX790" s="1035"/>
      <c r="JY790" s="1035"/>
    </row>
    <row r="791" spans="1:334">
      <c r="A791" s="1587" t="s">
        <v>218</v>
      </c>
      <c r="B791" s="1405"/>
      <c r="C791" s="1405"/>
      <c r="D791" s="1405"/>
      <c r="E791" s="1405"/>
      <c r="F791" s="1405"/>
      <c r="G791" s="1405"/>
      <c r="H791" s="1405"/>
      <c r="I791" s="1405"/>
      <c r="J791" s="1405"/>
      <c r="K791" s="1405"/>
      <c r="L791" s="1405"/>
      <c r="M791" s="1405"/>
      <c r="N791" s="1405"/>
      <c r="O791" s="1405"/>
      <c r="P791" s="1405"/>
      <c r="Q791" s="1405"/>
      <c r="R791" s="1405"/>
      <c r="S791" s="1405"/>
      <c r="T791" s="1405"/>
      <c r="U791" s="1405"/>
      <c r="V791" s="1405"/>
      <c r="W791" s="1405"/>
      <c r="X791" s="1405"/>
      <c r="Y791" s="1405"/>
      <c r="Z791" s="1405"/>
      <c r="AA791" s="1405"/>
      <c r="AB791" s="1405"/>
      <c r="AC791" s="1405"/>
      <c r="AD791" s="1405"/>
      <c r="AE791" s="1405"/>
      <c r="AF791" s="1405"/>
      <c r="AG791" s="1405"/>
      <c r="AH791" s="1405"/>
      <c r="AI791" s="1405"/>
      <c r="AJ791" s="1405"/>
      <c r="AK791" s="1405"/>
      <c r="AL791" s="1405"/>
      <c r="AM791" s="1405"/>
      <c r="AN791" s="1405"/>
      <c r="AO791" s="1405"/>
      <c r="AP791" s="1405"/>
      <c r="AQ791" s="1405"/>
      <c r="AR791" s="1405"/>
      <c r="AS791" s="1405"/>
      <c r="AT791" s="1405"/>
      <c r="AU791" s="1405"/>
      <c r="AV791" s="1405"/>
      <c r="AW791" s="1405"/>
      <c r="AX791" s="1406"/>
      <c r="AY791" s="1405"/>
      <c r="AZ791" s="1405"/>
      <c r="BA791" s="1405"/>
      <c r="BB791" s="1405"/>
      <c r="BC791" s="1405"/>
      <c r="BD791" s="1405"/>
      <c r="BE791" s="1407"/>
      <c r="BF791" s="1405"/>
      <c r="BG791" s="1405"/>
      <c r="BH791" s="1405"/>
      <c r="BI791" s="1405"/>
      <c r="BJ791" s="1405"/>
      <c r="BK791" s="1405"/>
      <c r="BL791" s="1405"/>
      <c r="BM791" s="1405"/>
      <c r="BN791" s="1406"/>
      <c r="BO791" s="1405"/>
      <c r="BP791" s="1405"/>
      <c r="BQ791" s="1405"/>
      <c r="BR791" s="1405"/>
      <c r="BS791" s="1405"/>
      <c r="BT791" s="1405"/>
      <c r="BU791" s="1407"/>
      <c r="BV791" s="1303"/>
      <c r="BW791" s="1302"/>
      <c r="BX791" s="1302"/>
      <c r="BY791" s="1302"/>
      <c r="BZ791" s="1302"/>
      <c r="CA791" s="1302"/>
      <c r="CB791" s="1302"/>
      <c r="CC791" s="1304"/>
      <c r="CD791" s="1303"/>
      <c r="CE791" s="1302"/>
      <c r="CF791" s="1302"/>
      <c r="CG791" s="1302"/>
      <c r="CH791" s="1302"/>
      <c r="CI791" s="1302"/>
      <c r="CJ791" s="1302"/>
      <c r="CK791" s="1304"/>
      <c r="CL791" s="1303"/>
      <c r="CM791" s="1302"/>
      <c r="CN791" s="1302"/>
      <c r="CO791" s="1302"/>
      <c r="CP791" s="1302"/>
      <c r="CQ791" s="1302"/>
      <c r="CR791" s="1302"/>
      <c r="CS791" s="1304"/>
      <c r="CT791" s="1303"/>
      <c r="CU791" s="1302"/>
      <c r="CV791" s="1302"/>
      <c r="CW791" s="1302"/>
      <c r="CX791" s="1302"/>
      <c r="CY791" s="1302"/>
      <c r="CZ791" s="1302"/>
      <c r="DA791" s="1304"/>
      <c r="DB791" s="1082">
        <f t="shared" ref="DB791:DQ791" si="4579">DB788/DB549</f>
        <v>0.153963414634146</v>
      </c>
      <c r="DC791" s="1082">
        <f t="shared" si="4579"/>
        <v>0.192519251925193</v>
      </c>
      <c r="DD791" s="1082">
        <f t="shared" si="4579"/>
        <v>0.17243200422498</v>
      </c>
      <c r="DE791" s="1082">
        <f t="shared" si="4579"/>
        <v>0.179521876409562</v>
      </c>
      <c r="DF791" s="1082">
        <f t="shared" si="4579"/>
        <v>0.175049966688874</v>
      </c>
      <c r="DG791" s="1082">
        <f t="shared" si="4579"/>
        <v>0.20968629609246</v>
      </c>
      <c r="DH791" s="1082">
        <f t="shared" si="4579"/>
        <v>0.193108577094695</v>
      </c>
      <c r="DI791" s="1085">
        <f t="shared" si="4579"/>
        <v>0.183096790691727</v>
      </c>
      <c r="DJ791" s="1082">
        <f t="shared" si="4579"/>
        <v>0.174230568596766</v>
      </c>
      <c r="DK791" s="1082">
        <f t="shared" si="4579"/>
        <v>0.229714285714286</v>
      </c>
      <c r="DL791" s="1082">
        <f t="shared" si="4579"/>
        <v>0.200709026452141</v>
      </c>
      <c r="DM791" s="1082">
        <f t="shared" si="4579"/>
        <v>0.202747513027001</v>
      </c>
      <c r="DN791" s="1082">
        <f t="shared" si="4579"/>
        <v>0.201453790238837</v>
      </c>
      <c r="DO791" s="1082" t="e">
        <f t="shared" si="4579"/>
        <v>#REF!</v>
      </c>
      <c r="DP791" s="1082" t="e">
        <f t="shared" si="4579"/>
        <v>#REF!</v>
      </c>
      <c r="DQ791" s="1085" t="e">
        <f t="shared" si="4579"/>
        <v>#REF!</v>
      </c>
      <c r="DR791" s="1082"/>
      <c r="DS791" s="1082"/>
      <c r="DT791" s="1082"/>
      <c r="DU791" s="1082"/>
      <c r="DV791" s="1082"/>
      <c r="DW791" s="1082"/>
      <c r="DX791" s="1082"/>
      <c r="DY791" s="1085"/>
      <c r="DZ791" s="1082"/>
      <c r="EA791" s="1082"/>
      <c r="EB791" s="1082"/>
      <c r="EC791" s="1082"/>
      <c r="ED791" s="1082"/>
      <c r="EE791" s="1082"/>
      <c r="EF791" s="1082"/>
      <c r="EG791" s="1085"/>
      <c r="EH791" s="1082"/>
      <c r="EI791" s="1082"/>
      <c r="EJ791" s="1082"/>
      <c r="EK791" s="1082"/>
      <c r="EL791" s="1082"/>
      <c r="EM791" s="1082"/>
      <c r="EN791" s="1082"/>
      <c r="EO791" s="1085"/>
      <c r="EP791" s="1082"/>
      <c r="EQ791" s="1082"/>
      <c r="ER791" s="1082"/>
      <c r="ES791" s="1082"/>
      <c r="ET791" s="1082"/>
      <c r="EU791" s="1082"/>
      <c r="EV791" s="1082"/>
      <c r="IX791" s="1083"/>
      <c r="IY791" s="1083"/>
      <c r="IZ791" s="1083"/>
      <c r="JA791" s="1083"/>
      <c r="JB791" s="1083"/>
      <c r="JC791" s="1083"/>
      <c r="JD791" s="1521"/>
      <c r="JE791" s="1126"/>
      <c r="JF791" s="1037"/>
      <c r="JG791" s="1037"/>
      <c r="JH791" s="1037"/>
      <c r="JI791" s="1035"/>
      <c r="JJ791" s="1035"/>
      <c r="JK791" s="1035"/>
      <c r="JL791" s="1035"/>
      <c r="JM791" s="1035"/>
      <c r="JN791" s="1035"/>
      <c r="JO791" s="1035"/>
      <c r="JP791" s="1035"/>
      <c r="JQ791" s="1035"/>
      <c r="JR791" s="1035"/>
      <c r="JS791" s="1035"/>
      <c r="JT791" s="1035"/>
      <c r="JU791" s="1035"/>
      <c r="JV791" s="1035"/>
      <c r="JW791" s="1035"/>
      <c r="JX791" s="1035"/>
      <c r="JY791" s="1035"/>
    </row>
    <row r="792" spans="1:334">
      <c r="A792" s="1306" t="s">
        <v>82</v>
      </c>
      <c r="B792" s="1307"/>
      <c r="C792" s="1307"/>
      <c r="D792" s="1307"/>
      <c r="E792" s="1307"/>
      <c r="F792" s="1307"/>
      <c r="G792" s="1307"/>
      <c r="H792" s="1307"/>
      <c r="I792" s="1307"/>
      <c r="J792" s="1307"/>
      <c r="K792" s="1307"/>
      <c r="L792" s="1307"/>
      <c r="M792" s="1307"/>
      <c r="N792" s="1307"/>
      <c r="O792" s="1307"/>
      <c r="P792" s="1307"/>
      <c r="Q792" s="1307"/>
      <c r="R792" s="1307"/>
      <c r="S792" s="1307"/>
      <c r="T792" s="1307"/>
      <c r="U792" s="1307"/>
      <c r="V792" s="1307"/>
      <c r="W792" s="1307"/>
      <c r="X792" s="1307"/>
      <c r="Y792" s="1307"/>
      <c r="Z792" s="1307"/>
      <c r="AA792" s="1307"/>
      <c r="AB792" s="1307"/>
      <c r="AC792" s="1307"/>
      <c r="AD792" s="1307"/>
      <c r="AE792" s="1307"/>
      <c r="AF792" s="1307"/>
      <c r="AG792" s="1307"/>
      <c r="AH792" s="1307"/>
      <c r="AI792" s="1307"/>
      <c r="AJ792" s="1307"/>
      <c r="AK792" s="1307"/>
      <c r="AL792" s="1307"/>
      <c r="AM792" s="1307"/>
      <c r="AN792" s="1307"/>
      <c r="AO792" s="1307"/>
      <c r="AP792" s="1307"/>
      <c r="AQ792" s="1307"/>
      <c r="AR792" s="1307"/>
      <c r="AS792" s="1307"/>
      <c r="AT792" s="1307"/>
      <c r="AU792" s="1307"/>
      <c r="AV792" s="1307"/>
      <c r="AW792" s="1307"/>
      <c r="AX792" s="1308"/>
      <c r="AY792" s="1307"/>
      <c r="AZ792" s="1307"/>
      <c r="BA792" s="1307"/>
      <c r="BB792" s="1307"/>
      <c r="BC792" s="1307"/>
      <c r="BD792" s="1307"/>
      <c r="BE792" s="1309"/>
      <c r="BF792" s="1307"/>
      <c r="BG792" s="1307"/>
      <c r="BH792" s="1307"/>
      <c r="BI792" s="1307"/>
      <c r="BJ792" s="1307"/>
      <c r="BK792" s="1307"/>
      <c r="BL792" s="1307"/>
      <c r="BM792" s="1307"/>
      <c r="BN792" s="1308"/>
      <c r="BO792" s="1307"/>
      <c r="BP792" s="1307"/>
      <c r="BQ792" s="1307"/>
      <c r="BR792" s="1307"/>
      <c r="BS792" s="1307"/>
      <c r="BT792" s="1307"/>
      <c r="BU792" s="1309"/>
      <c r="BV792" s="1308">
        <v>16</v>
      </c>
      <c r="BW792" s="1307">
        <f>BX792-BV792</f>
        <v>31</v>
      </c>
      <c r="BX792" s="1307">
        <v>47</v>
      </c>
      <c r="BY792" s="1307">
        <f>BZ792-BX792</f>
        <v>24</v>
      </c>
      <c r="BZ792" s="1307">
        <v>71</v>
      </c>
      <c r="CA792" s="1307">
        <f>CC792-BZ792</f>
        <v>25</v>
      </c>
      <c r="CB792" s="1307">
        <f>CA792+BY792</f>
        <v>49</v>
      </c>
      <c r="CC792" s="1309">
        <v>96</v>
      </c>
      <c r="CD792" s="1308">
        <v>27</v>
      </c>
      <c r="CE792" s="1307">
        <f>CF792-CD792</f>
        <v>26</v>
      </c>
      <c r="CF792" s="1307">
        <v>53</v>
      </c>
      <c r="CG792" s="1307">
        <f>CH792-CF792</f>
        <v>24</v>
      </c>
      <c r="CH792" s="1307">
        <v>77</v>
      </c>
      <c r="CI792" s="1307">
        <f>CK792-CH792</f>
        <v>-77</v>
      </c>
      <c r="CJ792" s="1307"/>
      <c r="CK792" s="1309"/>
      <c r="CL792" s="1308"/>
      <c r="CM792" s="1307"/>
      <c r="CN792" s="1307"/>
      <c r="CO792" s="1307"/>
      <c r="CP792" s="1307"/>
      <c r="CQ792" s="1307"/>
      <c r="CR792" s="1307"/>
      <c r="CS792" s="1309"/>
      <c r="CT792" s="1308"/>
      <c r="CU792" s="1307"/>
      <c r="CV792" s="1307"/>
      <c r="CW792" s="1307"/>
      <c r="CX792" s="1307">
        <v>256</v>
      </c>
      <c r="CY792" s="1307"/>
      <c r="CZ792" s="1307"/>
      <c r="DA792" s="1309"/>
      <c r="DB792" s="1332">
        <v>71</v>
      </c>
      <c r="DC792" s="1311">
        <f>DC795*DC710</f>
        <v>84.42</v>
      </c>
      <c r="DD792" s="1311">
        <v>162</v>
      </c>
      <c r="DE792" s="1311">
        <f>DF792-DD792</f>
        <v>113</v>
      </c>
      <c r="DF792" s="1311">
        <v>275</v>
      </c>
      <c r="DG792" s="1311">
        <f>DH792-DE792</f>
        <v>104</v>
      </c>
      <c r="DH792" s="1311">
        <f>DI792-DD792</f>
        <v>217</v>
      </c>
      <c r="DI792" s="1312">
        <f>'Sales &amp; stores'!K103</f>
        <v>379</v>
      </c>
      <c r="DJ792" s="1311">
        <v>82</v>
      </c>
      <c r="DK792" s="1311">
        <f>DL792-DJ792</f>
        <v>104</v>
      </c>
      <c r="DL792" s="1311">
        <v>186</v>
      </c>
      <c r="DM792" s="1311">
        <f>DN792-DL792</f>
        <v>118</v>
      </c>
      <c r="DN792" s="1311">
        <v>304</v>
      </c>
      <c r="DO792" s="1311"/>
      <c r="DP792" s="1311"/>
      <c r="DQ792" s="1312"/>
      <c r="DR792" s="1311"/>
      <c r="DS792" s="1311"/>
      <c r="DT792" s="1311"/>
      <c r="DU792" s="1311"/>
      <c r="DV792" s="1311"/>
      <c r="DW792" s="1311"/>
      <c r="DX792" s="1311"/>
      <c r="DY792" s="1312"/>
      <c r="DZ792" s="1311"/>
      <c r="EA792" s="1311"/>
      <c r="EB792" s="1311"/>
      <c r="EC792" s="1311"/>
      <c r="ED792" s="1311"/>
      <c r="EE792" s="1311"/>
      <c r="EF792" s="1311"/>
      <c r="EG792" s="1312"/>
      <c r="EH792" s="1311"/>
      <c r="EI792" s="1311"/>
      <c r="EJ792" s="1311"/>
      <c r="EK792" s="1311"/>
      <c r="EL792" s="1311"/>
      <c r="EM792" s="1311"/>
      <c r="EN792" s="1311"/>
      <c r="EO792" s="1312"/>
      <c r="EP792" s="1311"/>
      <c r="EQ792" s="1311"/>
      <c r="ER792" s="1311"/>
      <c r="ES792" s="1311"/>
      <c r="ET792" s="1311"/>
      <c r="EU792" s="1311"/>
      <c r="EV792" s="1311"/>
      <c r="IX792" s="1354"/>
      <c r="IY792" s="1354"/>
      <c r="IZ792" s="1354"/>
      <c r="JA792" s="1354"/>
      <c r="JB792" s="1354"/>
      <c r="JC792" s="1354"/>
      <c r="JD792" s="1518"/>
      <c r="JE792" s="1126"/>
      <c r="JF792" s="1037"/>
      <c r="JG792" s="1037"/>
      <c r="JH792" s="1037"/>
      <c r="JI792" s="1035"/>
      <c r="JJ792" s="1035"/>
      <c r="JK792" s="1035"/>
      <c r="JL792" s="1035"/>
      <c r="JM792" s="1035"/>
      <c r="JN792" s="1035"/>
      <c r="JO792" s="1035"/>
      <c r="JP792" s="1035"/>
      <c r="JQ792" s="1035"/>
      <c r="JR792" s="1035"/>
      <c r="JS792" s="1035"/>
      <c r="JT792" s="1035"/>
      <c r="JU792" s="1035"/>
      <c r="JV792" s="1035"/>
      <c r="JW792" s="1035"/>
      <c r="JX792" s="1035"/>
      <c r="JY792" s="1035"/>
    </row>
    <row r="793" spans="1:334">
      <c r="A793" s="1587" t="s">
        <v>668</v>
      </c>
      <c r="B793" s="1405"/>
      <c r="C793" s="1405"/>
      <c r="D793" s="1405"/>
      <c r="E793" s="1405"/>
      <c r="F793" s="1405"/>
      <c r="G793" s="1405"/>
      <c r="H793" s="1405"/>
      <c r="I793" s="1405"/>
      <c r="J793" s="1405"/>
      <c r="K793" s="1405"/>
      <c r="L793" s="1405"/>
      <c r="M793" s="1405"/>
      <c r="N793" s="1405"/>
      <c r="O793" s="1405"/>
      <c r="P793" s="1405"/>
      <c r="Q793" s="1405"/>
      <c r="R793" s="1405"/>
      <c r="S793" s="1405"/>
      <c r="T793" s="1405"/>
      <c r="U793" s="1405"/>
      <c r="V793" s="1405"/>
      <c r="W793" s="1405"/>
      <c r="X793" s="1405"/>
      <c r="Y793" s="1405"/>
      <c r="Z793" s="1405"/>
      <c r="AA793" s="1405"/>
      <c r="AB793" s="1405"/>
      <c r="AC793" s="1405"/>
      <c r="AD793" s="1405"/>
      <c r="AE793" s="1405"/>
      <c r="AF793" s="1405"/>
      <c r="AG793" s="1405"/>
      <c r="AH793" s="1405"/>
      <c r="AI793" s="1405"/>
      <c r="AJ793" s="1405"/>
      <c r="AK793" s="1405"/>
      <c r="AL793" s="1405"/>
      <c r="AM793" s="1405"/>
      <c r="AN793" s="1405"/>
      <c r="AO793" s="1405"/>
      <c r="AP793" s="1405"/>
      <c r="AQ793" s="1405"/>
      <c r="AR793" s="1405"/>
      <c r="AS793" s="1405"/>
      <c r="AT793" s="1405"/>
      <c r="AU793" s="1405"/>
      <c r="AV793" s="1405"/>
      <c r="AW793" s="1405"/>
      <c r="AX793" s="1406"/>
      <c r="AY793" s="1405"/>
      <c r="AZ793" s="1405"/>
      <c r="BA793" s="1405"/>
      <c r="BB793" s="1405"/>
      <c r="BC793" s="1405"/>
      <c r="BD793" s="1405"/>
      <c r="BE793" s="1407"/>
      <c r="BF793" s="1405"/>
      <c r="BG793" s="1405"/>
      <c r="BH793" s="1405"/>
      <c r="BI793" s="1405"/>
      <c r="BJ793" s="1405"/>
      <c r="BK793" s="1405"/>
      <c r="BL793" s="1405"/>
      <c r="BM793" s="1405"/>
      <c r="BN793" s="1406"/>
      <c r="BO793" s="1405"/>
      <c r="BP793" s="1405"/>
      <c r="BQ793" s="1405"/>
      <c r="BR793" s="1405"/>
      <c r="BS793" s="1405"/>
      <c r="BT793" s="1405"/>
      <c r="BU793" s="1407"/>
      <c r="BV793" s="1303">
        <f t="shared" ref="BV793:CI793" si="4580">BV788/BV$777</f>
        <v>0.137931034482759</v>
      </c>
      <c r="BW793" s="1302">
        <f t="shared" si="4580"/>
        <v>0.166666666666667</v>
      </c>
      <c r="BX793" s="1302">
        <f t="shared" si="4580"/>
        <v>0.155629139072848</v>
      </c>
      <c r="BY793" s="1302">
        <f t="shared" si="4580"/>
        <v>0.137142857142857</v>
      </c>
      <c r="BZ793" s="1302">
        <f t="shared" si="4580"/>
        <v>0.148846960167715</v>
      </c>
      <c r="CA793" s="1302">
        <f t="shared" si="4580"/>
        <v>0.16025641025641</v>
      </c>
      <c r="CB793" s="1302">
        <f t="shared" si="4580"/>
        <v>0.148036253776435</v>
      </c>
      <c r="CC793" s="1304">
        <f t="shared" si="4580"/>
        <v>0.151658767772512</v>
      </c>
      <c r="CD793" s="1303">
        <f t="shared" si="4580"/>
        <v>0.181208053691275</v>
      </c>
      <c r="CE793" s="1302">
        <f t="shared" si="4580"/>
        <v>0.128712871287129</v>
      </c>
      <c r="CF793" s="1302">
        <f t="shared" si="4580"/>
        <v>0.150997150997151</v>
      </c>
      <c r="CG793" s="1302">
        <f t="shared" si="4580"/>
        <v>0.135593220338983</v>
      </c>
      <c r="CH793" s="1302">
        <f t="shared" si="4580"/>
        <v>0.145833333333333</v>
      </c>
      <c r="CI793" s="1302">
        <f t="shared" si="4580"/>
        <v>-0.425414364640884</v>
      </c>
      <c r="CJ793" s="1302"/>
      <c r="CK793" s="1304"/>
      <c r="CL793" s="1303"/>
      <c r="CM793" s="1302"/>
      <c r="CN793" s="1302"/>
      <c r="CO793" s="1302"/>
      <c r="CP793" s="1302"/>
      <c r="CQ793" s="1302"/>
      <c r="CR793" s="1302"/>
      <c r="CS793" s="1304"/>
      <c r="CT793" s="1303"/>
      <c r="CU793" s="1302"/>
      <c r="CV793" s="1302"/>
      <c r="CW793" s="1302"/>
      <c r="CX793" s="1302"/>
      <c r="CY793" s="1302"/>
      <c r="CZ793" s="1302"/>
      <c r="DA793" s="1304"/>
      <c r="DB793" s="1109"/>
      <c r="DC793" s="1082"/>
      <c r="DD793" s="1082"/>
      <c r="DE793" s="1082"/>
      <c r="DF793" s="1082"/>
      <c r="DG793" s="1082"/>
      <c r="DH793" s="1082"/>
      <c r="DI793" s="1085"/>
      <c r="DJ793" s="1080">
        <f t="shared" ref="DJ793:DQ793" si="4581">DJ792/DB792-1</f>
        <v>0.154929577464789</v>
      </c>
      <c r="DK793" s="1080">
        <f t="shared" si="4581"/>
        <v>0.231935560293769</v>
      </c>
      <c r="DL793" s="1080">
        <f t="shared" si="4581"/>
        <v>0.148148148148148</v>
      </c>
      <c r="DM793" s="1080">
        <f t="shared" si="4581"/>
        <v>0.0442477876106195</v>
      </c>
      <c r="DN793" s="1080">
        <f t="shared" si="4581"/>
        <v>0.105454545454545</v>
      </c>
      <c r="DO793" s="1080">
        <f t="shared" si="4581"/>
        <v>-1</v>
      </c>
      <c r="DP793" s="1080">
        <f t="shared" si="4581"/>
        <v>-1</v>
      </c>
      <c r="DQ793" s="1081">
        <f t="shared" si="4581"/>
        <v>-1</v>
      </c>
      <c r="DR793" s="1082"/>
      <c r="DS793" s="1082"/>
      <c r="DT793" s="1082"/>
      <c r="DU793" s="1082"/>
      <c r="DV793" s="1082"/>
      <c r="DW793" s="1082"/>
      <c r="DX793" s="1082"/>
      <c r="DY793" s="1085"/>
      <c r="DZ793" s="1082"/>
      <c r="EA793" s="1082"/>
      <c r="EB793" s="1082"/>
      <c r="EC793" s="1082"/>
      <c r="ED793" s="1082"/>
      <c r="EE793" s="1082"/>
      <c r="EF793" s="1082"/>
      <c r="EG793" s="1085"/>
      <c r="EH793" s="1082"/>
      <c r="EI793" s="1082"/>
      <c r="EJ793" s="1082"/>
      <c r="EK793" s="1082"/>
      <c r="EL793" s="1082"/>
      <c r="EM793" s="1082"/>
      <c r="EN793" s="1082"/>
      <c r="EO793" s="1085"/>
      <c r="EP793" s="1082"/>
      <c r="EQ793" s="1082"/>
      <c r="ER793" s="1082"/>
      <c r="ES793" s="1082"/>
      <c r="ET793" s="1082"/>
      <c r="EU793" s="1082"/>
      <c r="EV793" s="1082"/>
      <c r="IX793" s="1083"/>
      <c r="IY793" s="1083"/>
      <c r="IZ793" s="1083"/>
      <c r="JA793" s="1083"/>
      <c r="JB793" s="1083"/>
      <c r="JC793" s="1083"/>
      <c r="JD793" s="1521"/>
      <c r="JE793" s="1126"/>
      <c r="JF793" s="1037"/>
      <c r="JG793" s="1037"/>
      <c r="JH793" s="1037"/>
      <c r="JI793" s="1035"/>
      <c r="JJ793" s="1035"/>
      <c r="JK793" s="1035"/>
      <c r="JL793" s="1035"/>
      <c r="JM793" s="1035"/>
      <c r="JN793" s="1035"/>
      <c r="JO793" s="1035"/>
      <c r="JP793" s="1035"/>
      <c r="JQ793" s="1035"/>
      <c r="JR793" s="1035"/>
      <c r="JS793" s="1035"/>
      <c r="JT793" s="1035"/>
      <c r="JU793" s="1035"/>
      <c r="JV793" s="1035"/>
      <c r="JW793" s="1035"/>
      <c r="JX793" s="1035"/>
      <c r="JY793" s="1035"/>
    </row>
    <row r="794" spans="1:334">
      <c r="A794" s="1587" t="s">
        <v>669</v>
      </c>
      <c r="B794" s="1405"/>
      <c r="C794" s="1405"/>
      <c r="D794" s="1405"/>
      <c r="E794" s="1405"/>
      <c r="F794" s="1405"/>
      <c r="G794" s="1405"/>
      <c r="H794" s="1405"/>
      <c r="I794" s="1405"/>
      <c r="J794" s="1405"/>
      <c r="K794" s="1405"/>
      <c r="L794" s="1405"/>
      <c r="M794" s="1405"/>
      <c r="N794" s="1405"/>
      <c r="O794" s="1405"/>
      <c r="P794" s="1405"/>
      <c r="Q794" s="1405"/>
      <c r="R794" s="1405"/>
      <c r="S794" s="1405"/>
      <c r="T794" s="1405"/>
      <c r="U794" s="1405"/>
      <c r="V794" s="1405"/>
      <c r="W794" s="1405"/>
      <c r="X794" s="1405"/>
      <c r="Y794" s="1405"/>
      <c r="Z794" s="1405"/>
      <c r="AA794" s="1405"/>
      <c r="AB794" s="1405"/>
      <c r="AC794" s="1405"/>
      <c r="AD794" s="1405"/>
      <c r="AE794" s="1405"/>
      <c r="AF794" s="1405"/>
      <c r="AG794" s="1405"/>
      <c r="AH794" s="1405"/>
      <c r="AI794" s="1405"/>
      <c r="AJ794" s="1405"/>
      <c r="AK794" s="1405"/>
      <c r="AL794" s="1405"/>
      <c r="AM794" s="1405"/>
      <c r="AN794" s="1405"/>
      <c r="AO794" s="1405"/>
      <c r="AP794" s="1405"/>
      <c r="AQ794" s="1405"/>
      <c r="AR794" s="1405"/>
      <c r="AS794" s="1405"/>
      <c r="AT794" s="1405"/>
      <c r="AU794" s="1405"/>
      <c r="AV794" s="1405"/>
      <c r="AW794" s="1405"/>
      <c r="AX794" s="1406"/>
      <c r="AY794" s="1405"/>
      <c r="AZ794" s="1405"/>
      <c r="BA794" s="1405"/>
      <c r="BB794" s="1405"/>
      <c r="BC794" s="1405"/>
      <c r="BD794" s="1405"/>
      <c r="BE794" s="1407"/>
      <c r="BF794" s="1405"/>
      <c r="BG794" s="1405"/>
      <c r="BH794" s="1405"/>
      <c r="BI794" s="1405"/>
      <c r="BJ794" s="1405"/>
      <c r="BK794" s="1405"/>
      <c r="BL794" s="1405"/>
      <c r="BM794" s="1405"/>
      <c r="BN794" s="1406"/>
      <c r="BO794" s="1405"/>
      <c r="BP794" s="1405"/>
      <c r="BQ794" s="1405"/>
      <c r="BR794" s="1405"/>
      <c r="BS794" s="1405"/>
      <c r="BT794" s="1405"/>
      <c r="BU794" s="1407"/>
      <c r="BV794" s="1303"/>
      <c r="BW794" s="1302"/>
      <c r="BX794" s="1302"/>
      <c r="BY794" s="1302"/>
      <c r="BZ794" s="1302"/>
      <c r="CA794" s="1302"/>
      <c r="CB794" s="1302"/>
      <c r="CC794" s="1304"/>
      <c r="CD794" s="1303"/>
      <c r="CE794" s="1302"/>
      <c r="CF794" s="1302"/>
      <c r="CG794" s="1302"/>
      <c r="CH794" s="1302"/>
      <c r="CI794" s="1302"/>
      <c r="CJ794" s="1302"/>
      <c r="CK794" s="1304"/>
      <c r="CL794" s="1303"/>
      <c r="CM794" s="1302"/>
      <c r="CN794" s="1302"/>
      <c r="CO794" s="1302"/>
      <c r="CP794" s="1302"/>
      <c r="CQ794" s="1302"/>
      <c r="CR794" s="1302"/>
      <c r="CS794" s="1304"/>
      <c r="CT794" s="1303"/>
      <c r="CU794" s="1302"/>
      <c r="CV794" s="1302"/>
      <c r="CW794" s="1302"/>
      <c r="CX794" s="1302"/>
      <c r="CY794" s="1302"/>
      <c r="CZ794" s="1302"/>
      <c r="DA794" s="1304"/>
      <c r="DB794" s="1109"/>
      <c r="DC794" s="1082">
        <v>0.19</v>
      </c>
      <c r="DD794" s="1082"/>
      <c r="DE794" s="1082"/>
      <c r="DF794" s="1082">
        <v>0.2</v>
      </c>
      <c r="DG794" s="1082"/>
      <c r="DH794" s="1082"/>
      <c r="DI794" s="1085"/>
      <c r="DJ794" s="1080">
        <v>0.07</v>
      </c>
      <c r="DK794" s="1080">
        <f>(DL794*DD792-DJ794*DB792)/DC792</f>
        <v>0.0562662876095712</v>
      </c>
      <c r="DL794" s="1080">
        <v>0.06</v>
      </c>
      <c r="DM794" s="1080">
        <f>(DN794*DF792-DL794*DD792)/DE792</f>
        <v>0.0113274336283186</v>
      </c>
      <c r="DN794" s="1080">
        <v>0.04</v>
      </c>
      <c r="DO794" s="1080"/>
      <c r="DP794" s="1080"/>
      <c r="DQ794" s="1081"/>
      <c r="DR794" s="1082"/>
      <c r="DS794" s="1082"/>
      <c r="DT794" s="1082"/>
      <c r="DU794" s="1082"/>
      <c r="DV794" s="1082"/>
      <c r="DW794" s="1082"/>
      <c r="DX794" s="1082"/>
      <c r="DY794" s="1085"/>
      <c r="DZ794" s="1082"/>
      <c r="EA794" s="1082"/>
      <c r="EB794" s="1082"/>
      <c r="EC794" s="1082"/>
      <c r="ED794" s="1082"/>
      <c r="EE794" s="1082"/>
      <c r="EF794" s="1082"/>
      <c r="EG794" s="1085"/>
      <c r="EH794" s="1082"/>
      <c r="EI794" s="1082"/>
      <c r="EJ794" s="1082"/>
      <c r="EK794" s="1082"/>
      <c r="EL794" s="1082"/>
      <c r="EM794" s="1082"/>
      <c r="EN794" s="1082"/>
      <c r="EO794" s="1085"/>
      <c r="EP794" s="1082"/>
      <c r="EQ794" s="1082"/>
      <c r="ER794" s="1082"/>
      <c r="ES794" s="1082"/>
      <c r="ET794" s="1082"/>
      <c r="EU794" s="1082"/>
      <c r="EV794" s="1082"/>
      <c r="IX794" s="1083"/>
      <c r="IY794" s="1083"/>
      <c r="IZ794" s="1083"/>
      <c r="JA794" s="1083"/>
      <c r="JB794" s="1083"/>
      <c r="JC794" s="1083"/>
      <c r="JD794" s="1521"/>
      <c r="JE794" s="1126"/>
      <c r="JF794" s="1037"/>
      <c r="JG794" s="1037"/>
      <c r="JH794" s="1037"/>
      <c r="JI794" s="1035"/>
      <c r="JJ794" s="1035"/>
      <c r="JK794" s="1035"/>
      <c r="JL794" s="1035"/>
      <c r="JM794" s="1035"/>
      <c r="JN794" s="1035"/>
      <c r="JO794" s="1035"/>
      <c r="JP794" s="1035"/>
      <c r="JQ794" s="1035"/>
      <c r="JR794" s="1035"/>
      <c r="JS794" s="1035"/>
      <c r="JT794" s="1035"/>
      <c r="JU794" s="1035"/>
      <c r="JV794" s="1035"/>
      <c r="JW794" s="1035"/>
      <c r="JX794" s="1035"/>
      <c r="JY794" s="1035"/>
    </row>
    <row r="795" spans="1:334">
      <c r="A795" s="1587" t="s">
        <v>218</v>
      </c>
      <c r="B795" s="1405"/>
      <c r="C795" s="1405"/>
      <c r="D795" s="1405"/>
      <c r="E795" s="1405"/>
      <c r="F795" s="1405"/>
      <c r="G795" s="1405"/>
      <c r="H795" s="1405"/>
      <c r="I795" s="1405"/>
      <c r="J795" s="1405"/>
      <c r="K795" s="1405"/>
      <c r="L795" s="1405"/>
      <c r="M795" s="1405"/>
      <c r="N795" s="1405"/>
      <c r="O795" s="1405"/>
      <c r="P795" s="1405"/>
      <c r="Q795" s="1405"/>
      <c r="R795" s="1405"/>
      <c r="S795" s="1405"/>
      <c r="T795" s="1405"/>
      <c r="U795" s="1405"/>
      <c r="V795" s="1405"/>
      <c r="W795" s="1405"/>
      <c r="X795" s="1405"/>
      <c r="Y795" s="1405"/>
      <c r="Z795" s="1405"/>
      <c r="AA795" s="1405"/>
      <c r="AB795" s="1405"/>
      <c r="AC795" s="1405"/>
      <c r="AD795" s="1405"/>
      <c r="AE795" s="1405"/>
      <c r="AF795" s="1405"/>
      <c r="AG795" s="1405"/>
      <c r="AH795" s="1405"/>
      <c r="AI795" s="1405"/>
      <c r="AJ795" s="1405"/>
      <c r="AK795" s="1405"/>
      <c r="AL795" s="1405"/>
      <c r="AM795" s="1405"/>
      <c r="AN795" s="1405"/>
      <c r="AO795" s="1405"/>
      <c r="AP795" s="1405"/>
      <c r="AQ795" s="1405"/>
      <c r="AR795" s="1405"/>
      <c r="AS795" s="1405"/>
      <c r="AT795" s="1405"/>
      <c r="AU795" s="1405"/>
      <c r="AV795" s="1405"/>
      <c r="AW795" s="1405"/>
      <c r="AX795" s="1406"/>
      <c r="AY795" s="1405"/>
      <c r="AZ795" s="1405"/>
      <c r="BA795" s="1405"/>
      <c r="BB795" s="1405"/>
      <c r="BC795" s="1405"/>
      <c r="BD795" s="1405"/>
      <c r="BE795" s="1407"/>
      <c r="BF795" s="1405"/>
      <c r="BG795" s="1405"/>
      <c r="BH795" s="1405"/>
      <c r="BI795" s="1405"/>
      <c r="BJ795" s="1405"/>
      <c r="BK795" s="1405"/>
      <c r="BL795" s="1405"/>
      <c r="BM795" s="1405"/>
      <c r="BN795" s="1406"/>
      <c r="BO795" s="1405"/>
      <c r="BP795" s="1405"/>
      <c r="BQ795" s="1405"/>
      <c r="BR795" s="1405"/>
      <c r="BS795" s="1405"/>
      <c r="BT795" s="1405"/>
      <c r="BU795" s="1407"/>
      <c r="BV795" s="1303">
        <v>61</v>
      </c>
      <c r="BW795" s="1302">
        <f>BX795-BV795</f>
        <v>99</v>
      </c>
      <c r="BX795" s="1302">
        <v>160</v>
      </c>
      <c r="BY795" s="1302">
        <f>BZ795-BX795</f>
        <v>86</v>
      </c>
      <c r="BZ795" s="1302">
        <v>246</v>
      </c>
      <c r="CA795" s="1302">
        <f>CC795-BZ795</f>
        <v>69</v>
      </c>
      <c r="CB795" s="1302">
        <f>CA795+BY795</f>
        <v>155</v>
      </c>
      <c r="CC795" s="1304">
        <v>315</v>
      </c>
      <c r="CD795" s="1303">
        <v>77</v>
      </c>
      <c r="CE795" s="1302">
        <f>CF795-CD795</f>
        <v>124</v>
      </c>
      <c r="CF795" s="1302">
        <v>201</v>
      </c>
      <c r="CG795" s="1302">
        <f>CH795-CF795</f>
        <v>99</v>
      </c>
      <c r="CH795" s="1302">
        <v>300</v>
      </c>
      <c r="CI795" s="1302">
        <f>CK795-CH795</f>
        <v>-300</v>
      </c>
      <c r="CJ795" s="1302"/>
      <c r="CK795" s="1304"/>
      <c r="CL795" s="1303"/>
      <c r="CM795" s="1302"/>
      <c r="CN795" s="1302"/>
      <c r="CO795" s="1302"/>
      <c r="CP795" s="1302"/>
      <c r="CQ795" s="1302"/>
      <c r="CR795" s="1302"/>
      <c r="CS795" s="1304"/>
      <c r="CT795" s="1303"/>
      <c r="CU795" s="1302"/>
      <c r="CV795" s="1302"/>
      <c r="CW795" s="1302"/>
      <c r="CX795" s="1302"/>
      <c r="CY795" s="1302"/>
      <c r="CZ795" s="1302"/>
      <c r="DA795" s="1304"/>
      <c r="DB795" s="1082">
        <f>DB792/DB710</f>
        <v>0.156387665198238</v>
      </c>
      <c r="DC795" s="1082">
        <v>0.18</v>
      </c>
      <c r="DD795" s="1082">
        <f>DD792/DD710</f>
        <v>0.175514626218852</v>
      </c>
      <c r="DE795" s="1082">
        <f>DE792/DE710</f>
        <v>0.170180722891566</v>
      </c>
      <c r="DF795" s="1082">
        <f>DF792/DF710</f>
        <v>0.173282923755514</v>
      </c>
      <c r="DG795" s="1082">
        <f t="shared" ref="DG795:DQ795" si="4582">DG792/DG710</f>
        <v>0.185383244206774</v>
      </c>
      <c r="DH795" s="1082">
        <f t="shared" si="4582"/>
        <v>0.177142857142857</v>
      </c>
      <c r="DI795" s="1085">
        <f t="shared" si="4582"/>
        <v>0.176443202979516</v>
      </c>
      <c r="DJ795" s="1082">
        <f t="shared" si="4582"/>
        <v>0.179039301310044</v>
      </c>
      <c r="DK795" s="1082">
        <f t="shared" si="4582"/>
        <v>0.23162583518931</v>
      </c>
      <c r="DL795" s="1082">
        <f t="shared" si="4582"/>
        <v>0.205071664829107</v>
      </c>
      <c r="DM795" s="1082">
        <f t="shared" si="4582"/>
        <v>0.199661590524535</v>
      </c>
      <c r="DN795" s="1082">
        <f t="shared" si="4582"/>
        <v>0.202937249666222</v>
      </c>
      <c r="DO795" s="1082" t="e">
        <f t="shared" si="4582"/>
        <v>#REF!</v>
      </c>
      <c r="DP795" s="1082" t="e">
        <f t="shared" si="4582"/>
        <v>#REF!</v>
      </c>
      <c r="DQ795" s="1085" t="e">
        <f t="shared" si="4582"/>
        <v>#REF!</v>
      </c>
      <c r="DR795" s="1082"/>
      <c r="DS795" s="1082"/>
      <c r="DT795" s="1082"/>
      <c r="DU795" s="1082"/>
      <c r="DV795" s="1082"/>
      <c r="DW795" s="1082"/>
      <c r="DX795" s="1082"/>
      <c r="DY795" s="1085"/>
      <c r="DZ795" s="1082"/>
      <c r="EA795" s="1082"/>
      <c r="EB795" s="1082"/>
      <c r="EC795" s="1082"/>
      <c r="ED795" s="1082"/>
      <c r="EE795" s="1082"/>
      <c r="EF795" s="1082"/>
      <c r="EG795" s="1085"/>
      <c r="EH795" s="1082"/>
      <c r="EI795" s="1082"/>
      <c r="EJ795" s="1082"/>
      <c r="EK795" s="1082"/>
      <c r="EL795" s="1082"/>
      <c r="EM795" s="1082"/>
      <c r="EN795" s="1082"/>
      <c r="EO795" s="1085"/>
      <c r="EP795" s="1082"/>
      <c r="EQ795" s="1082"/>
      <c r="ER795" s="1082"/>
      <c r="ES795" s="1082"/>
      <c r="ET795" s="1082"/>
      <c r="EU795" s="1082"/>
      <c r="EV795" s="1082"/>
      <c r="IX795" s="1083"/>
      <c r="IY795" s="1083"/>
      <c r="IZ795" s="1083"/>
      <c r="JA795" s="1083"/>
      <c r="JB795" s="1083"/>
      <c r="JC795" s="1083"/>
      <c r="JD795" s="1521"/>
      <c r="JE795" s="1126"/>
      <c r="JF795" s="1037"/>
      <c r="JG795" s="1037"/>
      <c r="JH795" s="1037"/>
      <c r="JI795" s="1035"/>
      <c r="JJ795" s="1035"/>
      <c r="JK795" s="1035"/>
      <c r="JL795" s="1035"/>
      <c r="JM795" s="1035"/>
      <c r="JN795" s="1035"/>
      <c r="JO795" s="1035"/>
      <c r="JP795" s="1035"/>
      <c r="JQ795" s="1035"/>
      <c r="JR795" s="1035"/>
      <c r="JS795" s="1035"/>
      <c r="JT795" s="1035"/>
      <c r="JU795" s="1035"/>
      <c r="JV795" s="1035"/>
      <c r="JW795" s="1035"/>
      <c r="JX795" s="1035"/>
      <c r="JY795" s="1035"/>
    </row>
    <row r="796" spans="1:334">
      <c r="A796" s="1339"/>
      <c r="B796" s="1405"/>
      <c r="C796" s="1405"/>
      <c r="D796" s="1405"/>
      <c r="E796" s="1405"/>
      <c r="F796" s="1405"/>
      <c r="G796" s="1405"/>
      <c r="H796" s="1405"/>
      <c r="I796" s="1405"/>
      <c r="J796" s="1405"/>
      <c r="K796" s="1405"/>
      <c r="L796" s="1405"/>
      <c r="M796" s="1405"/>
      <c r="N796" s="1405"/>
      <c r="O796" s="1405"/>
      <c r="P796" s="1405"/>
      <c r="Q796" s="1405"/>
      <c r="R796" s="1405"/>
      <c r="S796" s="1405"/>
      <c r="T796" s="1405"/>
      <c r="U796" s="1405"/>
      <c r="V796" s="1405"/>
      <c r="W796" s="1405"/>
      <c r="X796" s="1405"/>
      <c r="Y796" s="1405"/>
      <c r="Z796" s="1405"/>
      <c r="AA796" s="1405"/>
      <c r="AB796" s="1405"/>
      <c r="AC796" s="1405"/>
      <c r="AD796" s="1405"/>
      <c r="AE796" s="1405"/>
      <c r="AF796" s="1405"/>
      <c r="AG796" s="1405"/>
      <c r="AH796" s="1405"/>
      <c r="AI796" s="1405"/>
      <c r="AJ796" s="1405"/>
      <c r="AK796" s="1405"/>
      <c r="AL796" s="1405"/>
      <c r="AM796" s="1405"/>
      <c r="AN796" s="1405"/>
      <c r="AO796" s="1405"/>
      <c r="AP796" s="1405"/>
      <c r="AQ796" s="1405"/>
      <c r="AR796" s="1405"/>
      <c r="AS796" s="1405"/>
      <c r="AT796" s="1405"/>
      <c r="AU796" s="1405"/>
      <c r="AV796" s="1405"/>
      <c r="AW796" s="1405"/>
      <c r="AX796" s="1406"/>
      <c r="AY796" s="1405"/>
      <c r="AZ796" s="1405"/>
      <c r="BA796" s="1405"/>
      <c r="BB796" s="1405"/>
      <c r="BC796" s="1405"/>
      <c r="BD796" s="1405"/>
      <c r="BE796" s="1407"/>
      <c r="BF796" s="1405"/>
      <c r="BG796" s="1405"/>
      <c r="BH796" s="1405"/>
      <c r="BI796" s="1405"/>
      <c r="BJ796" s="1405"/>
      <c r="BK796" s="1405"/>
      <c r="BL796" s="1405"/>
      <c r="BM796" s="1405"/>
      <c r="BN796" s="1406"/>
      <c r="BO796" s="1405"/>
      <c r="BP796" s="1405"/>
      <c r="BQ796" s="1405"/>
      <c r="BR796" s="1405"/>
      <c r="BS796" s="1405"/>
      <c r="BT796" s="1405"/>
      <c r="BU796" s="1407"/>
      <c r="BV796" s="1303"/>
      <c r="BW796" s="1302"/>
      <c r="BX796" s="1302"/>
      <c r="BY796" s="1302"/>
      <c r="BZ796" s="1302"/>
      <c r="CA796" s="1302"/>
      <c r="CB796" s="1302"/>
      <c r="CC796" s="1304"/>
      <c r="CD796" s="1303"/>
      <c r="CE796" s="1302"/>
      <c r="CF796" s="1302"/>
      <c r="CG796" s="1302"/>
      <c r="CH796" s="1302"/>
      <c r="CI796" s="1302"/>
      <c r="CJ796" s="1302"/>
      <c r="CK796" s="1304"/>
      <c r="CL796" s="1303"/>
      <c r="CM796" s="1302"/>
      <c r="CN796" s="1302"/>
      <c r="CO796" s="1302"/>
      <c r="CP796" s="1302"/>
      <c r="CQ796" s="1302"/>
      <c r="CR796" s="1302"/>
      <c r="CS796" s="1304"/>
      <c r="CT796" s="1303"/>
      <c r="CU796" s="1302"/>
      <c r="CV796" s="1302"/>
      <c r="CW796" s="1302"/>
      <c r="CX796" s="1302"/>
      <c r="CY796" s="1302"/>
      <c r="CZ796" s="1302"/>
      <c r="DA796" s="1304"/>
      <c r="DB796" s="1109"/>
      <c r="DC796" s="1082"/>
      <c r="DD796" s="1082"/>
      <c r="DE796" s="1082"/>
      <c r="DF796" s="1082"/>
      <c r="DG796" s="1082"/>
      <c r="DH796" s="1082"/>
      <c r="DI796" s="1085"/>
      <c r="DJ796" s="1111" t="e">
        <f>DJ459-#REF!</f>
        <v>#REF!</v>
      </c>
      <c r="DK796" s="1111" t="e">
        <f>DK459-#REF!</f>
        <v>#REF!</v>
      </c>
      <c r="DL796" s="1111">
        <f>DL459-DJ459</f>
        <v>25</v>
      </c>
      <c r="DM796" s="1111">
        <f>DM459-DK459</f>
        <v>-389</v>
      </c>
      <c r="DN796" s="1111">
        <f>DN459-DL459</f>
        <v>-389</v>
      </c>
      <c r="DO796" s="1111">
        <f>DO459-DM459</f>
        <v>-181</v>
      </c>
      <c r="DP796" s="1082"/>
      <c r="DQ796" s="1085"/>
      <c r="DR796" s="1082"/>
      <c r="DS796" s="1082"/>
      <c r="DT796" s="1082"/>
      <c r="DU796" s="1082"/>
      <c r="DV796" s="1082"/>
      <c r="DW796" s="1082"/>
      <c r="DX796" s="1082"/>
      <c r="DY796" s="1085"/>
      <c r="DZ796" s="1082"/>
      <c r="EA796" s="1082"/>
      <c r="EB796" s="1082"/>
      <c r="EC796" s="1082"/>
      <c r="ED796" s="1082"/>
      <c r="EE796" s="1082"/>
      <c r="EF796" s="1082"/>
      <c r="EG796" s="1085"/>
      <c r="EH796" s="1082"/>
      <c r="EI796" s="1082"/>
      <c r="EJ796" s="1082"/>
      <c r="EK796" s="1082"/>
      <c r="EL796" s="1082"/>
      <c r="EM796" s="1082"/>
      <c r="EN796" s="1082"/>
      <c r="EO796" s="1085"/>
      <c r="EP796" s="1082"/>
      <c r="EQ796" s="1082"/>
      <c r="ER796" s="1082"/>
      <c r="ES796" s="1082"/>
      <c r="ET796" s="1082"/>
      <c r="EU796" s="1082"/>
      <c r="EV796" s="1082"/>
      <c r="IX796" s="1083"/>
      <c r="IY796" s="1083"/>
      <c r="IZ796" s="1083"/>
      <c r="JA796" s="1083"/>
      <c r="JB796" s="1083"/>
      <c r="JC796" s="1083"/>
      <c r="JD796" s="1521"/>
      <c r="JE796" s="1126"/>
      <c r="JF796" s="1037"/>
      <c r="JG796" s="1037"/>
      <c r="JH796" s="1037"/>
      <c r="JI796" s="1035"/>
      <c r="JJ796" s="1035"/>
      <c r="JK796" s="1035"/>
      <c r="JL796" s="1035"/>
      <c r="JM796" s="1035"/>
      <c r="JN796" s="1035"/>
      <c r="JO796" s="1035"/>
      <c r="JP796" s="1035"/>
      <c r="JQ796" s="1035"/>
      <c r="JR796" s="1035"/>
      <c r="JS796" s="1035"/>
      <c r="JT796" s="1035"/>
      <c r="JU796" s="1035"/>
      <c r="JV796" s="1035"/>
      <c r="JW796" s="1035"/>
      <c r="JX796" s="1035"/>
      <c r="JY796" s="1035"/>
    </row>
    <row r="797" s="883" customFormat="1" spans="1:334">
      <c r="B797" s="1302"/>
      <c r="C797" s="1302"/>
      <c r="D797" s="1302"/>
      <c r="E797" s="1302"/>
      <c r="F797" s="1302"/>
      <c r="G797" s="1302"/>
      <c r="H797" s="1302"/>
      <c r="I797" s="1302"/>
      <c r="J797" s="1302"/>
      <c r="K797" s="1302"/>
      <c r="L797" s="1302"/>
      <c r="M797" s="1302"/>
      <c r="N797" s="1302"/>
      <c r="O797" s="1302"/>
      <c r="P797" s="1302"/>
      <c r="Q797" s="1302"/>
      <c r="R797" s="1302"/>
      <c r="S797" s="1302"/>
      <c r="T797" s="1302"/>
      <c r="U797" s="1302"/>
      <c r="V797" s="1302"/>
      <c r="W797" s="1302"/>
      <c r="X797" s="1302"/>
      <c r="Y797" s="1302"/>
      <c r="Z797" s="1302"/>
      <c r="AA797" s="1302"/>
      <c r="AB797" s="1302"/>
      <c r="AC797" s="1302"/>
      <c r="AD797" s="1302"/>
      <c r="AE797" s="1302"/>
      <c r="AF797" s="1302"/>
      <c r="AG797" s="1302"/>
      <c r="AH797" s="1302"/>
      <c r="AI797" s="1302"/>
      <c r="AJ797" s="1302"/>
      <c r="AK797" s="1302"/>
      <c r="AL797" s="1302"/>
      <c r="AM797" s="1302"/>
      <c r="AN797" s="1302"/>
      <c r="AO797" s="1302"/>
      <c r="AP797" s="1302"/>
      <c r="AQ797" s="1302"/>
      <c r="AR797" s="1302"/>
      <c r="AS797" s="1302"/>
      <c r="AT797" s="1302"/>
      <c r="AU797" s="1302"/>
      <c r="AV797" s="1302"/>
      <c r="AW797" s="1302"/>
      <c r="AX797" s="1303"/>
      <c r="AY797" s="1302"/>
      <c r="AZ797" s="1302"/>
      <c r="BA797" s="1302"/>
      <c r="BB797" s="1302"/>
      <c r="BC797" s="1302"/>
      <c r="BD797" s="1302"/>
      <c r="BE797" s="1304"/>
      <c r="BF797" s="1302"/>
      <c r="BG797" s="1302"/>
      <c r="BH797" s="1302"/>
      <c r="BI797" s="1302"/>
      <c r="BJ797" s="1302"/>
      <c r="BK797" s="1302"/>
      <c r="BL797" s="1302"/>
      <c r="BM797" s="1302"/>
      <c r="BN797" s="1303"/>
      <c r="BO797" s="1302"/>
      <c r="BP797" s="1302"/>
      <c r="BQ797" s="1302"/>
      <c r="BR797" s="1302"/>
      <c r="BS797" s="1302"/>
      <c r="BT797" s="1302"/>
      <c r="BU797" s="1304"/>
      <c r="BV797" s="1303"/>
      <c r="BW797" s="1302"/>
      <c r="BX797" s="1302"/>
      <c r="BY797" s="1302"/>
      <c r="BZ797" s="1302"/>
      <c r="CA797" s="1302"/>
      <c r="CB797" s="1302"/>
      <c r="CC797" s="1304"/>
      <c r="CD797" s="1303"/>
      <c r="CE797" s="1302"/>
      <c r="CF797" s="1302"/>
      <c r="CG797" s="1302"/>
      <c r="CH797" s="1302"/>
      <c r="CI797" s="1302"/>
      <c r="CJ797" s="1302"/>
      <c r="CK797" s="1304"/>
      <c r="CL797" s="1588"/>
      <c r="CM797" s="1589"/>
      <c r="CN797" s="1589"/>
      <c r="CO797" s="1589"/>
      <c r="CP797" s="1589"/>
      <c r="CQ797" s="1589"/>
      <c r="CR797" s="1589"/>
      <c r="CS797" s="1517"/>
      <c r="CT797" s="1588"/>
      <c r="CU797" s="1302"/>
      <c r="CV797" s="1302"/>
      <c r="CW797" s="1302"/>
      <c r="CX797" s="1302"/>
      <c r="CY797" s="792"/>
      <c r="CZ797" s="792"/>
      <c r="DA797" s="1590"/>
      <c r="DB797" s="1275"/>
      <c r="DC797" s="1082"/>
      <c r="DD797" s="1082"/>
      <c r="DE797" s="1082"/>
      <c r="DF797" s="1082"/>
      <c r="DG797" s="1094"/>
      <c r="DH797" s="1591"/>
      <c r="DI797" s="1592"/>
      <c r="DJ797" s="1276"/>
      <c r="DK797" s="1519"/>
      <c r="DL797" s="1519"/>
      <c r="DM797" s="1519"/>
      <c r="DN797" s="1519"/>
      <c r="DO797" s="1276"/>
      <c r="DP797" s="1276"/>
      <c r="DQ797" s="1289"/>
      <c r="DR797" s="1276"/>
      <c r="DS797" s="1519"/>
      <c r="DT797" s="1519"/>
      <c r="DU797" s="1519"/>
      <c r="DV797" s="1519"/>
      <c r="DW797" s="1276"/>
      <c r="DX797" s="1276"/>
      <c r="DY797" s="1289"/>
      <c r="DZ797" s="1276"/>
      <c r="EA797" s="1519"/>
      <c r="EB797" s="1519"/>
      <c r="EC797" s="1519"/>
      <c r="ED797" s="1519"/>
      <c r="EE797" s="1276"/>
      <c r="EF797" s="1276"/>
      <c r="EG797" s="1289"/>
      <c r="EH797" s="1276"/>
      <c r="EI797" s="1519"/>
      <c r="EJ797" s="1519"/>
      <c r="EK797" s="1519"/>
      <c r="EL797" s="1519"/>
      <c r="EM797" s="1276"/>
      <c r="EN797" s="1276"/>
      <c r="EO797" s="1289"/>
      <c r="EP797" s="1276"/>
      <c r="EQ797" s="1276"/>
      <c r="ER797" s="1276"/>
      <c r="ES797" s="1276"/>
      <c r="ET797" s="1276"/>
      <c r="EU797" s="1276"/>
      <c r="EV797" s="1276"/>
      <c r="EW797" s="1039"/>
      <c r="EX797" s="891"/>
      <c r="EY797" s="891"/>
      <c r="EZ797" s="891"/>
      <c r="FA797" s="891"/>
      <c r="FB797" s="891"/>
      <c r="FC797" s="891"/>
      <c r="FD797" s="891"/>
      <c r="FE797" s="1039"/>
      <c r="FF797" s="891"/>
      <c r="FG797" s="891"/>
      <c r="FH797" s="891"/>
      <c r="FI797" s="891"/>
      <c r="FJ797" s="891"/>
      <c r="FK797" s="891"/>
      <c r="FL797" s="891"/>
      <c r="FM797" s="1039"/>
      <c r="FN797" s="891"/>
      <c r="FO797" s="891"/>
      <c r="FP797" s="891"/>
      <c r="FQ797" s="891"/>
      <c r="FR797" s="891"/>
      <c r="FS797" s="891"/>
      <c r="FT797" s="891"/>
      <c r="FU797" s="891"/>
      <c r="FV797" s="1040"/>
      <c r="FW797" s="891"/>
      <c r="FX797" s="891"/>
      <c r="FY797" s="891"/>
      <c r="FZ797" s="891"/>
      <c r="GA797" s="891"/>
      <c r="GB797" s="891"/>
      <c r="GC797" s="1039"/>
      <c r="GD797" s="891"/>
      <c r="GE797" s="891"/>
      <c r="GF797" s="891"/>
      <c r="GG797" s="891"/>
      <c r="GH797" s="891"/>
      <c r="GI797" s="891"/>
      <c r="GJ797" s="891"/>
      <c r="GK797" s="1039"/>
      <c r="GL797" s="891"/>
      <c r="GM797" s="891"/>
      <c r="GN797" s="891"/>
      <c r="GO797" s="891"/>
      <c r="GP797" s="891"/>
      <c r="GQ797" s="891"/>
      <c r="GR797" s="891"/>
      <c r="GS797" s="1039"/>
      <c r="GT797" s="891"/>
      <c r="GU797" s="891"/>
      <c r="GV797" s="891"/>
      <c r="GW797" s="891"/>
      <c r="GX797" s="891"/>
      <c r="GY797" s="891"/>
      <c r="GZ797" s="891"/>
      <c r="HA797" s="1039"/>
      <c r="HB797" s="891"/>
      <c r="HC797" s="891"/>
      <c r="HD797" s="891"/>
      <c r="HE797" s="891"/>
      <c r="HF797" s="891"/>
      <c r="HG797" s="891"/>
      <c r="HH797" s="891"/>
      <c r="HI797" s="1039"/>
      <c r="HJ797" s="891"/>
      <c r="HK797" s="891"/>
      <c r="HL797" s="891"/>
      <c r="HM797" s="891"/>
      <c r="HN797" s="891"/>
      <c r="HO797" s="891"/>
      <c r="HP797" s="891"/>
      <c r="HQ797" s="1039"/>
      <c r="HR797" s="891"/>
      <c r="HS797" s="891"/>
      <c r="HT797" s="891"/>
      <c r="HU797" s="891"/>
      <c r="HV797" s="891"/>
      <c r="HW797" s="891"/>
      <c r="HX797" s="891"/>
      <c r="HY797" s="891"/>
      <c r="HZ797" s="891"/>
      <c r="IA797" s="891"/>
      <c r="IB797" s="891"/>
      <c r="IC797" s="891"/>
      <c r="ID797" s="891"/>
      <c r="IE797" s="891"/>
      <c r="IF797" s="891"/>
      <c r="IG797" s="1039"/>
      <c r="IH797" s="891"/>
      <c r="II797" s="891"/>
      <c r="IJ797" s="891"/>
      <c r="IK797" s="891"/>
      <c r="IL797" s="891"/>
      <c r="IM797" s="891"/>
      <c r="IN797" s="891"/>
      <c r="IO797" s="1039"/>
      <c r="IP797" s="891"/>
      <c r="IQ797" s="891"/>
      <c r="IR797" s="891"/>
      <c r="IS797" s="891"/>
      <c r="IT797" s="891"/>
      <c r="IU797" s="891"/>
      <c r="IV797" s="891"/>
      <c r="IW797" s="891"/>
      <c r="IX797" s="1147"/>
      <c r="IY797" s="1147"/>
      <c r="IZ797" s="1147"/>
      <c r="JA797" s="1147"/>
      <c r="JB797" s="1147"/>
      <c r="JC797" s="1147"/>
      <c r="JD797" s="1593"/>
      <c r="JE797" s="1083"/>
      <c r="JF797" s="1082"/>
      <c r="JG797" s="1082"/>
      <c r="JH797" s="1082"/>
      <c r="KP797" s="967"/>
    </row>
    <row r="798" spans="1:334">
      <c r="A798" s="967" t="s">
        <v>72</v>
      </c>
      <c r="AX798" s="1059"/>
      <c r="BE798" s="1060"/>
      <c r="BN798" s="1059"/>
      <c r="BU798" s="1060"/>
      <c r="BV798" s="1059"/>
      <c r="CC798" s="1060"/>
      <c r="CD798" s="1059"/>
      <c r="CJ798" s="1061"/>
      <c r="CK798" s="1060"/>
      <c r="CL798" s="1059"/>
      <c r="CS798" s="1060"/>
      <c r="CT798" s="967"/>
      <c r="CU798" s="967"/>
      <c r="CV798" s="967"/>
      <c r="CW798" s="967"/>
      <c r="CX798" s="967"/>
      <c r="CY798" s="967"/>
      <c r="CZ798" s="967"/>
      <c r="DA798" s="967"/>
      <c r="IX798" s="1126"/>
      <c r="IY798" s="1126"/>
      <c r="IZ798" s="1126"/>
      <c r="JA798" s="1126"/>
      <c r="JB798" s="1126"/>
      <c r="JC798" s="1126"/>
      <c r="JD798" s="1125"/>
      <c r="JE798" s="1126"/>
      <c r="JF798" s="1037"/>
      <c r="JG798" s="1037"/>
      <c r="JH798" s="1037"/>
      <c r="JI798" s="1035"/>
      <c r="JJ798" s="1035"/>
      <c r="JK798" s="1035"/>
      <c r="JL798" s="1035"/>
      <c r="JM798" s="1035"/>
      <c r="JN798" s="1035"/>
      <c r="JO798" s="1035"/>
      <c r="JP798" s="1035"/>
      <c r="JQ798" s="1035"/>
      <c r="JR798" s="1035"/>
      <c r="JS798" s="1035"/>
      <c r="JT798" s="1035"/>
      <c r="JU798" s="1035"/>
      <c r="JV798" s="1035"/>
      <c r="JW798" s="1035"/>
      <c r="JX798" s="1035"/>
      <c r="JY798" s="1035"/>
      <c r="LV798" s="1110"/>
    </row>
    <row r="799" spans="1:334">
      <c r="A799" s="967"/>
      <c r="AX799" s="1059"/>
      <c r="BE799" s="1060"/>
      <c r="BN799" s="1059"/>
      <c r="BU799" s="1060"/>
      <c r="BV799" s="1059"/>
      <c r="CC799" s="1060"/>
      <c r="CD799" s="1059"/>
      <c r="CJ799" s="1061"/>
      <c r="CK799" s="1060"/>
      <c r="CL799" s="1059"/>
      <c r="CS799" s="1060"/>
      <c r="CT799" s="967"/>
      <c r="CU799" s="967"/>
      <c r="CV799" s="967"/>
      <c r="CW799" s="967"/>
      <c r="CX799" s="967"/>
      <c r="CY799" s="967"/>
      <c r="CZ799" s="967"/>
      <c r="DA799" s="967"/>
      <c r="IX799" s="1126"/>
      <c r="IY799" s="1126"/>
      <c r="IZ799" s="1126"/>
      <c r="JA799" s="1126"/>
      <c r="JB799" s="1126"/>
      <c r="JC799" s="1126"/>
      <c r="JD799" s="1125"/>
      <c r="JE799" s="1126"/>
      <c r="JF799" s="1037"/>
      <c r="JG799" s="1037"/>
      <c r="JH799" s="1037"/>
      <c r="JI799" s="1035"/>
      <c r="JJ799" s="1035"/>
      <c r="JK799" s="1035"/>
      <c r="JL799" s="1035"/>
      <c r="JM799" s="1035"/>
      <c r="JN799" s="1035"/>
      <c r="JO799" s="1035"/>
      <c r="JP799" s="1035"/>
      <c r="JQ799" s="1035"/>
      <c r="JR799" s="1035"/>
      <c r="JS799" s="1035"/>
      <c r="JT799" s="1035"/>
      <c r="JU799" s="1035"/>
      <c r="JV799" s="1035"/>
      <c r="JW799" s="1035"/>
      <c r="JX799" s="1035"/>
      <c r="JY799" s="1035"/>
      <c r="LV799" s="1025"/>
    </row>
    <row r="800" spans="1:334">
      <c r="A800" s="1191" t="str">
        <f>A543</f>
        <v>Total sales</v>
      </c>
      <c r="B800" s="1499">
        <v>998</v>
      </c>
      <c r="C800" s="1499">
        <v>749</v>
      </c>
      <c r="D800" s="1499">
        <f>D543</f>
        <v>1747</v>
      </c>
      <c r="E800" s="1499">
        <v>1094</v>
      </c>
      <c r="F800" s="1499">
        <f>F543</f>
        <v>2841</v>
      </c>
      <c r="G800" s="1499">
        <v>659</v>
      </c>
      <c r="H800" s="1499">
        <f>H543</f>
        <v>896.3089</v>
      </c>
      <c r="I800" s="1499">
        <f>I543</f>
        <v>3500</v>
      </c>
      <c r="J800" s="1499">
        <v>612.12836</v>
      </c>
      <c r="K800" s="1499">
        <v>534.41076</v>
      </c>
      <c r="L800" s="1499">
        <f>L543</f>
        <v>1146.53912</v>
      </c>
      <c r="M800" s="1499">
        <v>752.6336</v>
      </c>
      <c r="N800" s="1499">
        <f>N543</f>
        <v>1899.17272</v>
      </c>
      <c r="O800" s="1499">
        <v>508.48785</v>
      </c>
      <c r="P800" s="1499">
        <f>P543</f>
        <v>1261.3771</v>
      </c>
      <c r="Q800" s="1499">
        <f>Q543</f>
        <v>2407.66057</v>
      </c>
      <c r="R800" s="1499">
        <v>875.8569</v>
      </c>
      <c r="S800" s="1499">
        <v>729.6251</v>
      </c>
      <c r="T800" s="1499">
        <f>T543</f>
        <v>1605.482</v>
      </c>
      <c r="U800" s="1499">
        <v>1096.2272</v>
      </c>
      <c r="V800" s="1499">
        <f>V543</f>
        <v>2701.7092</v>
      </c>
      <c r="W800" s="1499">
        <v>722.9782</v>
      </c>
      <c r="X800" s="1499">
        <f>X543</f>
        <v>1819.2054</v>
      </c>
      <c r="Y800" s="1499">
        <f>Y543</f>
        <v>3424.6874</v>
      </c>
      <c r="Z800" s="1499">
        <v>1384.6004</v>
      </c>
      <c r="AA800" s="1499">
        <v>1145.312</v>
      </c>
      <c r="AB800" s="1499">
        <f>AB543</f>
        <v>2529.9124</v>
      </c>
      <c r="AC800" s="1499">
        <v>1512.4254</v>
      </c>
      <c r="AD800" s="1499">
        <f>AD543</f>
        <v>4042.3378</v>
      </c>
      <c r="AE800" s="1499">
        <v>1023.1113</v>
      </c>
      <c r="AF800" s="1499">
        <f>AF543</f>
        <v>2535.5593</v>
      </c>
      <c r="AG800" s="1499">
        <f>AG543</f>
        <v>5065.4491</v>
      </c>
      <c r="AH800" s="1499">
        <v>1389.7134</v>
      </c>
      <c r="AI800" s="1499">
        <v>1194.3968</v>
      </c>
      <c r="AJ800" s="1499">
        <f>AJ543</f>
        <v>2584.1102</v>
      </c>
      <c r="AK800" s="1499">
        <v>1575</v>
      </c>
      <c r="AL800" s="1499">
        <f>AL543</f>
        <v>4159.1102</v>
      </c>
      <c r="AM800" s="1499">
        <v>1195</v>
      </c>
      <c r="AN800" s="1499">
        <f>AN543</f>
        <v>2772</v>
      </c>
      <c r="AO800" s="1499">
        <f>AO543</f>
        <v>5354.1102</v>
      </c>
      <c r="AP800" s="1499">
        <v>1517</v>
      </c>
      <c r="AQ800" s="1499">
        <v>1248</v>
      </c>
      <c r="AR800" s="1499">
        <f>AR543</f>
        <v>2765</v>
      </c>
      <c r="AS800" s="1499">
        <v>1677</v>
      </c>
      <c r="AT800" s="1499">
        <f>AT543</f>
        <v>4442</v>
      </c>
      <c r="AU800" s="1499">
        <v>1393</v>
      </c>
      <c r="AV800" s="1499">
        <f>AV543</f>
        <v>3070</v>
      </c>
      <c r="AW800" s="1499">
        <f>AW543</f>
        <v>5835</v>
      </c>
      <c r="AX800" s="1500">
        <v>1558</v>
      </c>
      <c r="AY800" s="1499">
        <v>1368</v>
      </c>
      <c r="AZ800" s="1499">
        <f>AZ543</f>
        <v>2926</v>
      </c>
      <c r="BA800" s="1499">
        <v>1790</v>
      </c>
      <c r="BB800" s="1499">
        <f>BB543</f>
        <v>3158</v>
      </c>
      <c r="BC800" s="1499">
        <v>1395.5</v>
      </c>
      <c r="BD800" s="1499">
        <f>BD543</f>
        <v>3185</v>
      </c>
      <c r="BE800" s="1501">
        <f>BE543</f>
        <v>4553.5</v>
      </c>
      <c r="BF800" s="1499">
        <v>1638</v>
      </c>
      <c r="BG800" s="1499">
        <v>1506.5</v>
      </c>
      <c r="BH800" s="1499">
        <f>BH543</f>
        <v>3144.5</v>
      </c>
      <c r="BI800" s="1499">
        <v>1866</v>
      </c>
      <c r="BJ800" s="1499">
        <f>BJ543</f>
        <v>5010.5</v>
      </c>
      <c r="BK800" s="1499">
        <v>1511</v>
      </c>
      <c r="BL800" s="1499">
        <f>BL543</f>
        <v>3377</v>
      </c>
      <c r="BM800" s="1499">
        <f>BM543</f>
        <v>6521.5</v>
      </c>
      <c r="BN800" s="1500">
        <v>1669</v>
      </c>
      <c r="BO800" s="1499">
        <v>1392</v>
      </c>
      <c r="BP800" s="1499">
        <f>BP543</f>
        <v>3061</v>
      </c>
      <c r="BQ800" s="1499">
        <v>1853</v>
      </c>
      <c r="BR800" s="1499">
        <f>BR543</f>
        <v>4914</v>
      </c>
      <c r="BS800" s="1499">
        <v>1354</v>
      </c>
      <c r="BT800" s="1499">
        <f>BT543</f>
        <v>3207</v>
      </c>
      <c r="BU800" s="1501">
        <f>BU543</f>
        <v>6268</v>
      </c>
      <c r="BV800" s="1500">
        <v>1505</v>
      </c>
      <c r="BW800" s="1499">
        <v>1401</v>
      </c>
      <c r="BX800" s="1499">
        <f>BX543</f>
        <v>2906</v>
      </c>
      <c r="BY800" s="1499">
        <v>1758</v>
      </c>
      <c r="BZ800" s="1499">
        <f>BZ543</f>
        <v>4664</v>
      </c>
      <c r="CA800" s="1499">
        <v>1196</v>
      </c>
      <c r="CB800" s="1499">
        <f>CB543</f>
        <v>3387</v>
      </c>
      <c r="CC800" s="1501">
        <f>CC543</f>
        <v>5860</v>
      </c>
      <c r="CD800" s="1500">
        <v>1673</v>
      </c>
      <c r="CE800" s="1499">
        <v>1516</v>
      </c>
      <c r="CF800" s="1499">
        <f>CF543</f>
        <v>3189</v>
      </c>
      <c r="CG800" s="1499">
        <v>1924</v>
      </c>
      <c r="CH800" s="1499">
        <f>CH543</f>
        <v>5113</v>
      </c>
      <c r="CI800" s="1499">
        <v>1521</v>
      </c>
      <c r="CJ800" s="1499">
        <f>CJ543</f>
        <v>3445</v>
      </c>
      <c r="CK800" s="1501">
        <f>CK543</f>
        <v>6634</v>
      </c>
      <c r="CL800" s="1500">
        <v>2459</v>
      </c>
      <c r="CM800" s="1499">
        <f t="shared" ref="CM800:CS800" si="4583">CM543</f>
        <v>2428</v>
      </c>
      <c r="CN800" s="1499">
        <f t="shared" si="4583"/>
        <v>4887</v>
      </c>
      <c r="CO800" s="1499">
        <f t="shared" si="4583"/>
        <v>2949.01591075</v>
      </c>
      <c r="CP800" s="1499">
        <f t="shared" si="4583"/>
        <v>7836</v>
      </c>
      <c r="CQ800" s="1499">
        <f t="shared" si="4583"/>
        <v>2248</v>
      </c>
      <c r="CR800" s="1499">
        <f t="shared" si="4583"/>
        <v>5197.01591075</v>
      </c>
      <c r="CS800" s="1501">
        <f t="shared" si="4583"/>
        <v>10084</v>
      </c>
      <c r="CT800" s="1500"/>
      <c r="CU800" s="1499"/>
      <c r="CV800" s="1499"/>
      <c r="CW800" s="1499"/>
      <c r="CX800" s="1499"/>
      <c r="CY800" s="1499"/>
      <c r="CZ800" s="1499"/>
      <c r="DA800" s="1501"/>
      <c r="DB800" s="1502"/>
      <c r="DC800" s="1372"/>
      <c r="DD800" s="1372"/>
      <c r="DE800" s="1372"/>
      <c r="DF800" s="1372"/>
      <c r="DG800" s="1372"/>
      <c r="DH800" s="1372"/>
      <c r="DI800" s="1503"/>
      <c r="DJ800" s="1372"/>
      <c r="DK800" s="1372"/>
      <c r="DL800" s="1372"/>
      <c r="DM800" s="1372"/>
      <c r="DN800" s="1372"/>
      <c r="DO800" s="1372"/>
      <c r="DP800" s="1372"/>
      <c r="DQ800" s="1503"/>
      <c r="DR800" s="1372"/>
      <c r="DS800" s="1372"/>
      <c r="DT800" s="1372"/>
      <c r="DU800" s="1372"/>
      <c r="DV800" s="1372"/>
      <c r="DW800" s="1372"/>
      <c r="DX800" s="1372"/>
      <c r="DY800" s="1503"/>
      <c r="DZ800" s="1372"/>
      <c r="EA800" s="1372"/>
      <c r="EB800" s="1372"/>
      <c r="EC800" s="1372"/>
      <c r="ED800" s="1372"/>
      <c r="EE800" s="1372"/>
      <c r="EF800" s="1372"/>
      <c r="EG800" s="1503"/>
      <c r="EH800" s="1372"/>
      <c r="EI800" s="1372"/>
      <c r="EJ800" s="1372"/>
      <c r="EK800" s="1372"/>
      <c r="EL800" s="1372"/>
      <c r="EM800" s="1372"/>
      <c r="EN800" s="1372"/>
      <c r="EO800" s="1503"/>
      <c r="EP800" s="1372"/>
      <c r="EQ800" s="1372"/>
      <c r="ER800" s="1372"/>
      <c r="ES800" s="1372"/>
      <c r="ET800" s="1372"/>
      <c r="EU800" s="1372"/>
      <c r="EV800" s="1372"/>
      <c r="IX800" s="1354"/>
      <c r="IY800" s="1354"/>
      <c r="IZ800" s="1354"/>
      <c r="JA800" s="1354"/>
      <c r="JB800" s="1354"/>
      <c r="JC800" s="1354"/>
      <c r="JD800" s="1518"/>
      <c r="JE800" s="1126"/>
      <c r="JF800" s="1037"/>
      <c r="JG800" s="1037"/>
      <c r="JH800" s="1037"/>
      <c r="JI800" s="1035"/>
      <c r="JJ800" s="1035"/>
      <c r="JK800" s="1035"/>
      <c r="JL800" s="1035"/>
      <c r="JM800" s="1035"/>
      <c r="JN800" s="1035"/>
      <c r="JO800" s="1035"/>
      <c r="JP800" s="1035"/>
      <c r="JQ800" s="1035"/>
      <c r="JR800" s="1035"/>
      <c r="JS800" s="1035"/>
      <c r="JT800" s="1035"/>
      <c r="JU800" s="1035"/>
      <c r="JV800" s="1035"/>
      <c r="JW800" s="1035"/>
      <c r="JX800" s="1035"/>
      <c r="JY800" s="1035"/>
      <c r="KP800" s="967"/>
    </row>
    <row r="801" spans="1:334">
      <c r="A801" s="1035" t="s">
        <v>140</v>
      </c>
      <c r="B801" s="1594">
        <v>1.138</v>
      </c>
      <c r="C801" s="1594">
        <v>0.915</v>
      </c>
      <c r="D801" s="1594">
        <f>B801+C801</f>
        <v>2.053</v>
      </c>
      <c r="E801" s="1594">
        <v>0.281</v>
      </c>
      <c r="F801" s="1594">
        <f>D801+E801</f>
        <v>2.334</v>
      </c>
      <c r="G801" s="1594">
        <v>0.792</v>
      </c>
      <c r="H801" s="1594">
        <f>B801+G801</f>
        <v>1.93</v>
      </c>
      <c r="I801" s="1594">
        <f>F801+G801</f>
        <v>3.126</v>
      </c>
      <c r="J801" s="1594">
        <v>0</v>
      </c>
      <c r="K801" s="1594">
        <v>0</v>
      </c>
      <c r="L801" s="1594">
        <f>J801+K801</f>
        <v>0</v>
      </c>
      <c r="M801" s="1594">
        <v>0</v>
      </c>
      <c r="N801" s="1594">
        <f>L801+M801</f>
        <v>0</v>
      </c>
      <c r="O801" s="1594">
        <v>0</v>
      </c>
      <c r="P801" s="1594">
        <f>J801+O801</f>
        <v>0</v>
      </c>
      <c r="Q801" s="1594">
        <f>N801+O801</f>
        <v>0</v>
      </c>
      <c r="R801" s="1594">
        <v>0</v>
      </c>
      <c r="S801" s="1594">
        <v>0</v>
      </c>
      <c r="T801" s="1594">
        <f>R801+S801</f>
        <v>0</v>
      </c>
      <c r="U801" s="1594">
        <v>0</v>
      </c>
      <c r="V801" s="1594">
        <f>T801+U801</f>
        <v>0</v>
      </c>
      <c r="W801" s="1594">
        <v>0</v>
      </c>
      <c r="X801" s="1594">
        <f>R801+W801</f>
        <v>0</v>
      </c>
      <c r="Y801" s="1594">
        <f>V801+W801</f>
        <v>0</v>
      </c>
      <c r="Z801" s="1594">
        <v>0</v>
      </c>
      <c r="AA801" s="1594">
        <v>0</v>
      </c>
      <c r="AB801" s="1594">
        <f>Z801+AA801</f>
        <v>0</v>
      </c>
      <c r="AC801" s="1594">
        <v>0</v>
      </c>
      <c r="AD801" s="1594">
        <f>AB801+AC801</f>
        <v>0</v>
      </c>
      <c r="AE801" s="1594">
        <v>0</v>
      </c>
      <c r="AF801" s="1594">
        <f>Z801+AE801</f>
        <v>0</v>
      </c>
      <c r="AG801" s="1594">
        <f>AD801+AE801</f>
        <v>0</v>
      </c>
      <c r="AH801" s="1594">
        <v>0</v>
      </c>
      <c r="AI801" s="1594">
        <v>0</v>
      </c>
      <c r="AJ801" s="1594">
        <f>AH801+AI801</f>
        <v>0</v>
      </c>
      <c r="AK801" s="1594">
        <v>0</v>
      </c>
      <c r="AL801" s="1594">
        <f>AJ801+AK801</f>
        <v>0</v>
      </c>
      <c r="AM801" s="1594">
        <v>0</v>
      </c>
      <c r="AN801" s="1594">
        <f>AH801+AM801</f>
        <v>0</v>
      </c>
      <c r="AO801" s="1594">
        <f>AL801+AM801</f>
        <v>0</v>
      </c>
      <c r="AP801" s="1594">
        <v>0</v>
      </c>
      <c r="AQ801" s="1594">
        <v>0</v>
      </c>
      <c r="AR801" s="1594">
        <f>AP801+AQ801</f>
        <v>0</v>
      </c>
      <c r="AS801" s="1594">
        <v>0</v>
      </c>
      <c r="AT801" s="1594">
        <f>AR801+AS801</f>
        <v>0</v>
      </c>
      <c r="AU801" s="1594">
        <v>0</v>
      </c>
      <c r="AV801" s="1594">
        <f>AP801+AU801</f>
        <v>0</v>
      </c>
      <c r="AW801" s="1594">
        <f>AT801+AU801</f>
        <v>0</v>
      </c>
      <c r="AX801" s="1595">
        <v>0</v>
      </c>
      <c r="AY801" s="1594">
        <v>0</v>
      </c>
      <c r="AZ801" s="1594">
        <f>AX801+AY801</f>
        <v>0</v>
      </c>
      <c r="BA801" s="1594">
        <v>0</v>
      </c>
      <c r="BB801" s="1594">
        <f>AY801+BA801</f>
        <v>0</v>
      </c>
      <c r="BC801" s="1594">
        <v>0</v>
      </c>
      <c r="BD801" s="1594">
        <f>AX801+BC801</f>
        <v>0</v>
      </c>
      <c r="BE801" s="1596">
        <f>BB801+BC801</f>
        <v>0</v>
      </c>
      <c r="BF801" s="1594">
        <v>0</v>
      </c>
      <c r="BG801" s="1594">
        <v>0</v>
      </c>
      <c r="BH801" s="1594">
        <f>BF801+BG801</f>
        <v>0</v>
      </c>
      <c r="BI801" s="1594">
        <v>0</v>
      </c>
      <c r="BJ801" s="1594">
        <f>BH801+BI801</f>
        <v>0</v>
      </c>
      <c r="BK801" s="1594">
        <v>0</v>
      </c>
      <c r="BL801" s="1594">
        <f>BF801+BK801</f>
        <v>0</v>
      </c>
      <c r="BM801" s="1594">
        <f>BJ801+BK801</f>
        <v>0</v>
      </c>
      <c r="BN801" s="1595">
        <v>0</v>
      </c>
      <c r="BO801" s="1594">
        <v>0</v>
      </c>
      <c r="BP801" s="1594">
        <f>BN801+BO801</f>
        <v>0</v>
      </c>
      <c r="BQ801" s="1594">
        <v>0</v>
      </c>
      <c r="BR801" s="1594">
        <f>BP801+BQ801</f>
        <v>0</v>
      </c>
      <c r="BS801" s="1594">
        <v>0</v>
      </c>
      <c r="BT801" s="1594">
        <f>BN801+BS801</f>
        <v>0</v>
      </c>
      <c r="BU801" s="1596">
        <f>BR801+BS801</f>
        <v>0</v>
      </c>
      <c r="BV801" s="1595">
        <v>0</v>
      </c>
      <c r="BW801" s="1594">
        <v>0</v>
      </c>
      <c r="BX801" s="1594">
        <f>BV801+BW801</f>
        <v>0</v>
      </c>
      <c r="BY801" s="1594">
        <v>0</v>
      </c>
      <c r="BZ801" s="1594">
        <f>BX801+BY801</f>
        <v>0</v>
      </c>
      <c r="CA801" s="1594">
        <v>0</v>
      </c>
      <c r="CB801" s="1594">
        <f>BV801+CA801</f>
        <v>0</v>
      </c>
      <c r="CC801" s="1596">
        <f>BZ801+CA801</f>
        <v>0</v>
      </c>
      <c r="CD801" s="1595">
        <v>0</v>
      </c>
      <c r="CE801" s="1594">
        <v>0</v>
      </c>
      <c r="CF801" s="1594">
        <f>CD801+CE801</f>
        <v>0</v>
      </c>
      <c r="CG801" s="1594">
        <v>0</v>
      </c>
      <c r="CH801" s="1594">
        <f>CF801+CG801</f>
        <v>0</v>
      </c>
      <c r="CI801" s="1594">
        <v>0</v>
      </c>
      <c r="CJ801" s="1594">
        <f>CD801+CI801</f>
        <v>0</v>
      </c>
      <c r="CK801" s="1596">
        <f>CH801+CI801</f>
        <v>0</v>
      </c>
      <c r="CL801" s="1595">
        <v>0</v>
      </c>
      <c r="CM801" s="1594">
        <v>0</v>
      </c>
      <c r="CN801" s="1594">
        <f>CL801+CM801</f>
        <v>0</v>
      </c>
      <c r="CO801" s="1594">
        <v>0</v>
      </c>
      <c r="CP801" s="1594">
        <f>CN801+CO801</f>
        <v>0</v>
      </c>
      <c r="CQ801" s="1594">
        <v>0</v>
      </c>
      <c r="CR801" s="1594">
        <f>CI801+CQ801</f>
        <v>0</v>
      </c>
      <c r="CS801" s="1596">
        <f>CM801+CQ801</f>
        <v>0</v>
      </c>
      <c r="CT801" s="1595"/>
      <c r="CU801" s="1594"/>
      <c r="CV801" s="1594"/>
      <c r="CW801" s="1594"/>
      <c r="CX801" s="1594"/>
      <c r="CY801" s="1594"/>
      <c r="CZ801" s="1594"/>
      <c r="DA801" s="1596"/>
      <c r="DB801" s="1597"/>
      <c r="DC801" s="1598"/>
      <c r="DD801" s="1598"/>
      <c r="DE801" s="1598"/>
      <c r="DF801" s="1598"/>
      <c r="DG801" s="1598"/>
      <c r="DH801" s="1598"/>
      <c r="DI801" s="1599"/>
      <c r="DJ801" s="1598"/>
      <c r="DK801" s="1598"/>
      <c r="DL801" s="1598"/>
      <c r="DM801" s="1598"/>
      <c r="DN801" s="1598"/>
      <c r="DO801" s="1598"/>
      <c r="DP801" s="1598"/>
      <c r="DQ801" s="1599"/>
      <c r="DR801" s="1598"/>
      <c r="DS801" s="1598"/>
      <c r="DT801" s="1598"/>
      <c r="DU801" s="1598"/>
      <c r="DV801" s="1598"/>
      <c r="DW801" s="1598"/>
      <c r="DX801" s="1598"/>
      <c r="DY801" s="1599"/>
      <c r="DZ801" s="1598"/>
      <c r="EA801" s="1598"/>
      <c r="EB801" s="1598"/>
      <c r="EC801" s="1598"/>
      <c r="ED801" s="1598"/>
      <c r="EE801" s="1598"/>
      <c r="EF801" s="1598"/>
      <c r="EG801" s="1599"/>
      <c r="EH801" s="1598"/>
      <c r="EI801" s="1598"/>
      <c r="EJ801" s="1598"/>
      <c r="EK801" s="1598"/>
      <c r="EL801" s="1598"/>
      <c r="EM801" s="1598"/>
      <c r="EN801" s="1598"/>
      <c r="EO801" s="1599"/>
      <c r="EP801" s="1598"/>
      <c r="EQ801" s="1598"/>
      <c r="ER801" s="1598"/>
      <c r="ES801" s="1598"/>
      <c r="ET801" s="1598"/>
      <c r="EU801" s="1598"/>
      <c r="EV801" s="1598"/>
      <c r="IX801" s="1600"/>
      <c r="IY801" s="1600"/>
      <c r="IZ801" s="1600"/>
      <c r="JA801" s="1600"/>
      <c r="JB801" s="1600"/>
      <c r="JC801" s="1600"/>
      <c r="JD801" s="1601"/>
      <c r="JE801" s="1126"/>
      <c r="JF801" s="1037"/>
      <c r="JG801" s="1037"/>
      <c r="JH801" s="1037"/>
      <c r="JI801" s="1035"/>
      <c r="JJ801" s="1035"/>
      <c r="JK801" s="1035"/>
      <c r="JL801" s="1035"/>
      <c r="JM801" s="1035"/>
      <c r="JN801" s="1035"/>
      <c r="JO801" s="1035"/>
      <c r="JP801" s="1035"/>
      <c r="JQ801" s="1035"/>
      <c r="JR801" s="1035"/>
      <c r="JS801" s="1035"/>
      <c r="JT801" s="1035"/>
      <c r="JU801" s="1035"/>
      <c r="JV801" s="1035"/>
      <c r="JW801" s="1035"/>
      <c r="JX801" s="1035"/>
      <c r="JY801" s="1035"/>
      <c r="KP801" s="967"/>
    </row>
    <row r="802" spans="1:334">
      <c r="IX802" s="1126"/>
      <c r="IY802" s="1126"/>
      <c r="IZ802" s="1126"/>
      <c r="JA802" s="1126"/>
      <c r="JB802" s="1126"/>
      <c r="JC802" s="1126"/>
      <c r="JD802" s="1125"/>
      <c r="JE802" s="1126"/>
      <c r="JF802" s="1037"/>
      <c r="JG802" s="1037"/>
      <c r="JH802" s="1037"/>
      <c r="JI802" s="1035"/>
      <c r="JJ802" s="1035"/>
      <c r="JK802" s="1035"/>
      <c r="JL802" s="1035"/>
      <c r="JM802" s="1035"/>
      <c r="JN802" s="1035"/>
      <c r="JO802" s="1035"/>
      <c r="JP802" s="1035"/>
      <c r="JQ802" s="1035"/>
      <c r="JR802" s="1035"/>
      <c r="JS802" s="1035"/>
      <c r="JT802" s="1035"/>
      <c r="JU802" s="1035"/>
      <c r="JV802" s="1035"/>
      <c r="JW802" s="1035"/>
      <c r="JX802" s="1035"/>
      <c r="JY802" s="1035"/>
    </row>
    <row r="803" spans="1:334">
      <c r="B803" s="1594"/>
      <c r="C803" s="1594"/>
      <c r="D803" s="1594"/>
      <c r="E803" s="1594"/>
      <c r="F803" s="1594"/>
      <c r="G803" s="1594"/>
      <c r="H803" s="1594"/>
      <c r="I803" s="1594"/>
      <c r="J803" s="1594"/>
      <c r="K803" s="1594"/>
      <c r="L803" s="1594"/>
      <c r="M803" s="1594"/>
      <c r="N803" s="1594"/>
      <c r="O803" s="1594"/>
      <c r="P803" s="1594"/>
      <c r="Q803" s="1594"/>
      <c r="R803" s="1594"/>
      <c r="S803" s="1594"/>
      <c r="T803" s="1594"/>
      <c r="U803" s="1594"/>
      <c r="V803" s="1594"/>
      <c r="W803" s="1594"/>
      <c r="X803" s="1594"/>
      <c r="Y803" s="1594"/>
      <c r="Z803" s="1594"/>
      <c r="AA803" s="1594"/>
      <c r="AB803" s="1594"/>
      <c r="AC803" s="1594"/>
      <c r="AD803" s="1594"/>
      <c r="AE803" s="1594"/>
      <c r="AF803" s="1594"/>
      <c r="AG803" s="1594"/>
      <c r="AH803" s="1594"/>
      <c r="AI803" s="1594"/>
      <c r="AJ803" s="1594"/>
      <c r="AK803" s="1594"/>
      <c r="AL803" s="1594"/>
      <c r="AM803" s="1594"/>
      <c r="AN803" s="1594"/>
      <c r="AO803" s="1594"/>
      <c r="AP803" s="1594"/>
      <c r="AQ803" s="1594"/>
      <c r="AR803" s="1594"/>
      <c r="AS803" s="1594"/>
      <c r="AT803" s="1594"/>
      <c r="AU803" s="1594"/>
      <c r="AV803" s="1594"/>
      <c r="AW803" s="1594"/>
      <c r="AX803" s="1594"/>
      <c r="AY803" s="1594"/>
      <c r="AZ803" s="1594"/>
      <c r="BA803" s="1594"/>
      <c r="BB803" s="1594"/>
      <c r="BC803" s="1594"/>
      <c r="BD803" s="1594"/>
      <c r="BE803" s="1594"/>
      <c r="BF803" s="1594"/>
      <c r="BG803" s="1594"/>
      <c r="BH803" s="1594"/>
      <c r="BI803" s="1594"/>
      <c r="BJ803" s="1594"/>
      <c r="BK803" s="1594"/>
      <c r="BL803" s="1594"/>
      <c r="BM803" s="1594"/>
      <c r="BN803" s="1594"/>
      <c r="BO803" s="1594"/>
      <c r="BP803" s="1594"/>
      <c r="BQ803" s="1594"/>
      <c r="BR803" s="1594"/>
      <c r="BS803" s="1594"/>
      <c r="BT803" s="1594"/>
      <c r="BU803" s="1594"/>
      <c r="BV803" s="1594"/>
      <c r="BW803" s="1594"/>
      <c r="BX803" s="1594"/>
      <c r="BY803" s="1594"/>
      <c r="BZ803" s="1594"/>
      <c r="CA803" s="1594"/>
      <c r="CB803" s="1594"/>
      <c r="CC803" s="1594"/>
      <c r="CD803" s="1594"/>
      <c r="CE803" s="1594"/>
      <c r="CF803" s="1594"/>
      <c r="CG803" s="1594"/>
      <c r="CH803" s="1594"/>
      <c r="CI803" s="1594"/>
      <c r="CJ803" s="1594"/>
      <c r="CK803" s="1594"/>
      <c r="CL803" s="1594"/>
      <c r="CM803" s="1594"/>
      <c r="CN803" s="1594"/>
      <c r="CO803" s="1594"/>
      <c r="CP803" s="1594"/>
      <c r="CQ803" s="1594"/>
      <c r="CR803" s="1594"/>
      <c r="CS803" s="1594"/>
      <c r="CT803" s="1594"/>
      <c r="CU803" s="1594"/>
      <c r="CV803" s="1594"/>
      <c r="CW803" s="1594"/>
      <c r="CX803" s="1594"/>
      <c r="CY803" s="1594"/>
      <c r="CZ803" s="1594"/>
      <c r="DA803" s="1594"/>
      <c r="DB803" s="1598"/>
      <c r="DC803" s="1598"/>
      <c r="DD803" s="1598"/>
      <c r="DE803" s="1598"/>
      <c r="DF803" s="1598"/>
      <c r="DG803" s="1598"/>
      <c r="DH803" s="1598"/>
      <c r="DI803" s="1599"/>
      <c r="DJ803" s="1598"/>
      <c r="DK803" s="1598"/>
      <c r="DL803" s="1598"/>
      <c r="DM803" s="1598"/>
      <c r="DN803" s="1598"/>
      <c r="DO803" s="1598"/>
      <c r="DP803" s="1598"/>
      <c r="DQ803" s="1599"/>
      <c r="DR803" s="1598"/>
      <c r="DS803" s="1598"/>
      <c r="DT803" s="1598"/>
      <c r="DU803" s="1598"/>
      <c r="DV803" s="1598"/>
      <c r="DW803" s="1598"/>
      <c r="DX803" s="1598"/>
      <c r="DY803" s="1599"/>
      <c r="DZ803" s="1598"/>
      <c r="EA803" s="1598"/>
      <c r="EB803" s="1598"/>
      <c r="EC803" s="1598"/>
      <c r="ED803" s="1598"/>
      <c r="EE803" s="1598"/>
      <c r="EF803" s="1598"/>
      <c r="EG803" s="1599"/>
      <c r="EH803" s="1598"/>
      <c r="EI803" s="1598"/>
      <c r="EJ803" s="1598"/>
      <c r="EK803" s="1598"/>
      <c r="EL803" s="1598"/>
      <c r="EM803" s="1598"/>
      <c r="EN803" s="1598"/>
      <c r="EO803" s="1599"/>
      <c r="EP803" s="1602"/>
      <c r="EQ803" s="1602"/>
      <c r="ER803" s="1602"/>
      <c r="ES803" s="1602"/>
      <c r="ET803" s="1602"/>
      <c r="EU803" s="1602"/>
      <c r="EV803" s="1598"/>
      <c r="EX803" s="1603"/>
      <c r="IX803" s="1600"/>
      <c r="IY803" s="1600"/>
      <c r="IZ803" s="1600"/>
      <c r="JA803" s="1600"/>
      <c r="JB803" s="1600"/>
      <c r="JC803" s="1600"/>
      <c r="JD803" s="1601"/>
      <c r="JE803" s="1126"/>
      <c r="JF803" s="1037"/>
      <c r="JG803" s="1037"/>
      <c r="JH803" s="1037"/>
      <c r="JI803" s="1035"/>
      <c r="JJ803" s="1035"/>
      <c r="JK803" s="1035"/>
      <c r="JL803" s="1035"/>
      <c r="JM803" s="1035"/>
      <c r="JN803" s="1035"/>
      <c r="JO803" s="1035"/>
      <c r="JP803" s="1035"/>
      <c r="JQ803" s="1035"/>
      <c r="JR803" s="1035"/>
      <c r="JS803" s="1035"/>
      <c r="JT803" s="1035"/>
      <c r="JU803" s="1035"/>
      <c r="JV803" s="1035"/>
      <c r="JW803" s="1035"/>
      <c r="JX803" s="1035"/>
      <c r="JY803" s="1035"/>
    </row>
    <row r="804" spans="1:334">
      <c r="A804" s="969" t="s">
        <v>670</v>
      </c>
      <c r="IX804" s="1126"/>
      <c r="IY804" s="1126"/>
      <c r="IZ804" s="1126"/>
      <c r="JA804" s="1126"/>
      <c r="JB804" s="1126"/>
      <c r="JC804" s="1126"/>
      <c r="JD804" s="1125"/>
      <c r="JE804" s="1126"/>
      <c r="JF804" s="1037"/>
      <c r="JG804" s="1037"/>
      <c r="JH804" s="1037"/>
      <c r="JI804" s="1035"/>
      <c r="JJ804" s="1035"/>
      <c r="JK804" s="1035"/>
      <c r="JL804" s="1035"/>
      <c r="JM804" s="1035"/>
      <c r="JN804" s="1035"/>
      <c r="JO804" s="1035"/>
      <c r="JP804" s="1035"/>
      <c r="JQ804" s="1035"/>
      <c r="JR804" s="1035"/>
      <c r="JS804" s="1035"/>
      <c r="JT804" s="1035"/>
      <c r="JU804" s="1035"/>
      <c r="JV804" s="1035"/>
      <c r="JW804" s="1035"/>
      <c r="JX804" s="1035"/>
      <c r="JY804" s="1035"/>
    </row>
    <row r="805" spans="1:334">
      <c r="A805" s="1051" t="s">
        <v>95</v>
      </c>
      <c r="AX805" s="1059"/>
      <c r="BE805" s="1060"/>
      <c r="BN805" s="1059"/>
      <c r="BU805" s="1060"/>
      <c r="BV805" s="1059"/>
      <c r="CC805" s="1060"/>
      <c r="CD805" s="1059"/>
      <c r="CJ805" s="1061"/>
      <c r="CK805" s="1060"/>
      <c r="CL805" s="1059"/>
      <c r="CS805" s="1060"/>
      <c r="CT805" s="1604"/>
      <c r="CU805" s="1604"/>
      <c r="CV805" s="1604"/>
      <c r="CW805" s="1604"/>
      <c r="CX805" s="1604"/>
      <c r="CY805" s="1604"/>
      <c r="CZ805" s="1604"/>
      <c r="DA805" s="1604"/>
      <c r="DB805" s="1070" t="str">
        <f t="shared" ref="DB805:EG805" si="4584">DB$2</f>
        <v>Q1 08</v>
      </c>
      <c r="DC805" s="1070" t="str">
        <f t="shared" si="4584"/>
        <v>Q2 08</v>
      </c>
      <c r="DD805" s="1070" t="str">
        <f t="shared" si="4584"/>
        <v>H1 08</v>
      </c>
      <c r="DE805" s="1070" t="str">
        <f t="shared" si="4584"/>
        <v>Q3 08</v>
      </c>
      <c r="DF805" s="1070" t="str">
        <f t="shared" si="4584"/>
        <v>9M 08</v>
      </c>
      <c r="DG805" s="1070" t="str">
        <f t="shared" si="4584"/>
        <v>Q4 08</v>
      </c>
      <c r="DH805" s="1070" t="str">
        <f t="shared" si="4584"/>
        <v>H2 08</v>
      </c>
      <c r="DI805" s="1605" t="str">
        <f t="shared" si="4584"/>
        <v>FY 08</v>
      </c>
      <c r="DJ805" s="1070" t="str">
        <f t="shared" si="4584"/>
        <v>Q1 09</v>
      </c>
      <c r="DK805" s="1070" t="str">
        <f t="shared" si="4584"/>
        <v>Q2 09</v>
      </c>
      <c r="DL805" s="1070" t="str">
        <f t="shared" si="4584"/>
        <v>H1 09</v>
      </c>
      <c r="DM805" s="1070" t="str">
        <f t="shared" si="4584"/>
        <v>Q3 09</v>
      </c>
      <c r="DN805" s="1070" t="str">
        <f t="shared" si="4584"/>
        <v>9M 09</v>
      </c>
      <c r="DO805" s="1070" t="str">
        <f t="shared" si="4584"/>
        <v>Q4 09</v>
      </c>
      <c r="DP805" s="1070" t="str">
        <f t="shared" si="4584"/>
        <v>H2 09</v>
      </c>
      <c r="DQ805" s="1605" t="str">
        <f t="shared" si="4584"/>
        <v>FY 09</v>
      </c>
      <c r="DR805" s="1070" t="str">
        <f t="shared" si="4584"/>
        <v>Q1 10</v>
      </c>
      <c r="DS805" s="1070" t="str">
        <f t="shared" si="4584"/>
        <v>Q2 10</v>
      </c>
      <c r="DT805" s="1070" t="str">
        <f t="shared" si="4584"/>
        <v>H1 10</v>
      </c>
      <c r="DU805" s="1070" t="str">
        <f t="shared" si="4584"/>
        <v>Q3 10</v>
      </c>
      <c r="DV805" s="1070" t="str">
        <f t="shared" si="4584"/>
        <v>9M 10</v>
      </c>
      <c r="DW805" s="1070" t="str">
        <f t="shared" si="4584"/>
        <v>Q4 10</v>
      </c>
      <c r="DX805" s="1070" t="str">
        <f t="shared" si="4584"/>
        <v>H2 10</v>
      </c>
      <c r="DY805" s="1605" t="str">
        <f t="shared" si="4584"/>
        <v>FY 10</v>
      </c>
      <c r="DZ805" s="1070" t="str">
        <f t="shared" si="4584"/>
        <v>Q1 11</v>
      </c>
      <c r="EA805" s="1070" t="str">
        <f t="shared" si="4584"/>
        <v>Q2 11</v>
      </c>
      <c r="EB805" s="1070" t="str">
        <f t="shared" si="4584"/>
        <v>H1 11</v>
      </c>
      <c r="EC805" s="1070" t="str">
        <f t="shared" si="4584"/>
        <v>Q3 11</v>
      </c>
      <c r="ED805" s="1070" t="str">
        <f t="shared" si="4584"/>
        <v>9M 11</v>
      </c>
      <c r="EE805" s="1070" t="str">
        <f t="shared" si="4584"/>
        <v>Q4 11</v>
      </c>
      <c r="EF805" s="1070" t="str">
        <f t="shared" si="4584"/>
        <v>H2 11</v>
      </c>
      <c r="EG805" s="1605" t="str">
        <f t="shared" si="4584"/>
        <v>FY 11</v>
      </c>
      <c r="EH805" s="1070" t="str">
        <f t="shared" ref="EH805:FM805" si="4585">EH$2</f>
        <v>Q1 12</v>
      </c>
      <c r="EI805" s="1070" t="str">
        <f t="shared" si="4585"/>
        <v>Q2 12</v>
      </c>
      <c r="EJ805" s="1070" t="str">
        <f t="shared" si="4585"/>
        <v>H1 12</v>
      </c>
      <c r="EK805" s="1070" t="str">
        <f t="shared" si="4585"/>
        <v>Q3 12</v>
      </c>
      <c r="EL805" s="1070" t="str">
        <f t="shared" si="4585"/>
        <v>9M 12</v>
      </c>
      <c r="EM805" s="1070" t="str">
        <f t="shared" si="4585"/>
        <v>Q4 12</v>
      </c>
      <c r="EN805" s="1070" t="str">
        <f t="shared" si="4585"/>
        <v>H2 12</v>
      </c>
      <c r="EO805" s="1605" t="str">
        <f t="shared" si="4585"/>
        <v>FY 12</v>
      </c>
      <c r="EP805" s="1070" t="str">
        <f t="shared" si="4585"/>
        <v>1Q13</v>
      </c>
      <c r="EQ805" s="1070" t="str">
        <f t="shared" si="4585"/>
        <v>2Q13</v>
      </c>
      <c r="ER805" s="1070" t="str">
        <f t="shared" si="4585"/>
        <v>1H13</v>
      </c>
      <c r="ES805" s="1070" t="str">
        <f t="shared" si="4585"/>
        <v>3Q13</v>
      </c>
      <c r="ET805" s="1070" t="str">
        <f t="shared" si="4585"/>
        <v>9M13</v>
      </c>
      <c r="EU805" s="1070" t="str">
        <f t="shared" si="4585"/>
        <v>4Q13</v>
      </c>
      <c r="EV805" s="1070" t="str">
        <f t="shared" si="4585"/>
        <v>2H13</v>
      </c>
      <c r="EW805" s="1605" t="str">
        <f t="shared" si="4585"/>
        <v>FY13</v>
      </c>
      <c r="EX805" s="1070" t="str">
        <f t="shared" si="4585"/>
        <v>1Q14</v>
      </c>
      <c r="EY805" s="1070" t="str">
        <f t="shared" si="4585"/>
        <v>2Q14</v>
      </c>
      <c r="EZ805" s="1070" t="str">
        <f t="shared" si="4585"/>
        <v>1H14</v>
      </c>
      <c r="FA805" s="1070" t="str">
        <f t="shared" si="4585"/>
        <v>3Q14</v>
      </c>
      <c r="FB805" s="1070" t="str">
        <f t="shared" si="4585"/>
        <v>9M14</v>
      </c>
      <c r="FC805" s="1070" t="str">
        <f t="shared" si="4585"/>
        <v>4Q14</v>
      </c>
      <c r="FD805" s="1070" t="str">
        <f t="shared" si="4585"/>
        <v>2H14</v>
      </c>
      <c r="FE805" s="1605" t="str">
        <f t="shared" si="4585"/>
        <v>FY14</v>
      </c>
      <c r="FF805" s="1070" t="str">
        <f t="shared" si="4585"/>
        <v>1Q15</v>
      </c>
      <c r="FG805" s="1070" t="str">
        <f t="shared" si="4585"/>
        <v>2Q15</v>
      </c>
      <c r="FH805" s="1070" t="str">
        <f t="shared" si="4585"/>
        <v>1H15</v>
      </c>
      <c r="FI805" s="1070" t="str">
        <f t="shared" si="4585"/>
        <v>3Q15</v>
      </c>
      <c r="FJ805" s="1070" t="str">
        <f t="shared" si="4585"/>
        <v>9M15</v>
      </c>
      <c r="FK805" s="1070" t="str">
        <f t="shared" si="4585"/>
        <v>4Q15</v>
      </c>
      <c r="FL805" s="1070" t="str">
        <f t="shared" si="4585"/>
        <v>2H15</v>
      </c>
      <c r="FM805" s="1605" t="str">
        <f t="shared" si="4585"/>
        <v>FY15</v>
      </c>
      <c r="FN805" s="1070"/>
      <c r="FO805" s="1070"/>
      <c r="FP805" s="1070"/>
      <c r="FQ805" s="1070"/>
      <c r="FR805" s="1070"/>
      <c r="FS805" s="1070"/>
      <c r="FT805" s="1070"/>
      <c r="FU805" s="1070"/>
      <c r="FV805" s="1606"/>
      <c r="FW805" s="1070"/>
      <c r="FX805" s="1070"/>
      <c r="FY805" s="1070"/>
      <c r="FZ805" s="1070"/>
      <c r="GA805" s="1070"/>
      <c r="GB805" s="1070"/>
      <c r="GC805" s="1605"/>
      <c r="GD805" s="1070"/>
      <c r="GE805" s="1070"/>
      <c r="GF805" s="1070"/>
      <c r="GG805" s="1070"/>
      <c r="GH805" s="1070"/>
      <c r="GI805" s="1070"/>
      <c r="GJ805" s="1070"/>
      <c r="GK805" s="1605"/>
      <c r="GL805" s="1070"/>
      <c r="GM805" s="1070"/>
      <c r="GN805" s="1070"/>
      <c r="GO805" s="1070"/>
      <c r="GP805" s="1070"/>
      <c r="GQ805" s="1070"/>
      <c r="GR805" s="1070"/>
      <c r="GS805" s="1605"/>
      <c r="GT805" s="1070"/>
      <c r="GU805" s="1070"/>
      <c r="GV805" s="1070"/>
      <c r="GW805" s="1070"/>
      <c r="GX805" s="1070"/>
      <c r="GY805" s="1070"/>
      <c r="GZ805" s="1070"/>
      <c r="HA805" s="1605"/>
      <c r="HB805" s="1070"/>
      <c r="HC805" s="1070"/>
      <c r="HD805" s="1070"/>
      <c r="HE805" s="1070"/>
      <c r="HF805" s="1070"/>
      <c r="HG805" s="1070"/>
      <c r="HH805" s="1070"/>
      <c r="HI805" s="1605"/>
      <c r="HJ805" s="1070"/>
      <c r="HK805" s="1070"/>
      <c r="HL805" s="1070"/>
      <c r="HM805" s="1070"/>
      <c r="HN805" s="1070"/>
      <c r="HO805" s="1070"/>
      <c r="HP805" s="1070"/>
      <c r="HQ805" s="1605"/>
      <c r="HR805" s="1070"/>
      <c r="HS805" s="1070"/>
      <c r="HT805" s="1070"/>
      <c r="HU805" s="1070"/>
      <c r="HV805" s="1070"/>
      <c r="HW805" s="1070"/>
      <c r="HX805" s="1070"/>
      <c r="HY805" s="1070"/>
      <c r="HZ805" s="1070"/>
      <c r="IA805" s="1070"/>
      <c r="IB805" s="1070"/>
      <c r="IC805" s="1070"/>
      <c r="ID805" s="1070"/>
      <c r="IE805" s="1070"/>
      <c r="IF805" s="1070"/>
      <c r="IG805" s="1605"/>
      <c r="IH805" s="1070"/>
      <c r="II805" s="1070"/>
      <c r="IJ805" s="1070"/>
      <c r="IK805" s="1070"/>
      <c r="IL805" s="1070"/>
      <c r="IM805" s="1070"/>
      <c r="IN805" s="1070"/>
      <c r="IO805" s="1605"/>
      <c r="IP805" s="1070"/>
      <c r="IQ805" s="1070"/>
      <c r="IR805" s="1070"/>
      <c r="IS805" s="1070"/>
      <c r="IT805" s="1070"/>
      <c r="IU805" s="1070"/>
      <c r="IV805" s="1070"/>
      <c r="IW805" s="1070"/>
      <c r="IX805" s="1178"/>
      <c r="IY805" s="1178"/>
      <c r="IZ805" s="1049"/>
      <c r="JA805" s="1049"/>
      <c r="JB805" s="1049"/>
      <c r="JC805" s="1049"/>
      <c r="JD805" s="1041"/>
      <c r="JE805" s="1037"/>
      <c r="JF805" s="1037"/>
      <c r="JG805" s="1037"/>
      <c r="JH805" s="1037"/>
      <c r="JI805" s="1035"/>
      <c r="JJ805" s="1035"/>
      <c r="JK805" s="1035"/>
      <c r="JL805" s="1035"/>
      <c r="JM805" s="1035"/>
      <c r="JN805" s="1035"/>
      <c r="JO805" s="1035"/>
      <c r="JP805" s="1035"/>
      <c r="JQ805" s="1035"/>
      <c r="JR805" s="1035"/>
      <c r="JS805" s="1035"/>
      <c r="JT805" s="1035"/>
      <c r="JU805" s="1035"/>
      <c r="JV805" s="1035"/>
      <c r="JW805" s="1035"/>
      <c r="JX805" s="1035"/>
      <c r="JY805" s="1035"/>
      <c r="LV805" s="1025"/>
    </row>
    <row r="806" outlineLevel="1" spans="1:334">
      <c r="A806" s="1025" t="s">
        <v>60</v>
      </c>
      <c r="AX806" s="1059"/>
      <c r="BE806" s="1060"/>
      <c r="BN806" s="1059"/>
      <c r="BU806" s="1060"/>
      <c r="BV806" s="1059"/>
      <c r="CC806" s="1060"/>
      <c r="CD806" s="1059"/>
      <c r="CJ806" s="1061"/>
      <c r="CK806" s="1060"/>
      <c r="CL806" s="1059"/>
      <c r="CS806" s="1060"/>
      <c r="CT806" s="1025"/>
      <c r="CU806" s="1025"/>
      <c r="CV806" s="1025"/>
      <c r="CW806" s="1025"/>
      <c r="CX806" s="1025"/>
      <c r="CY806" s="1025"/>
      <c r="CZ806" s="1025"/>
      <c r="DA806" s="1025"/>
      <c r="DB806" s="1071"/>
      <c r="DC806" s="1071"/>
      <c r="DD806" s="1071"/>
      <c r="DE806" s="1071"/>
      <c r="DF806" s="1071"/>
      <c r="DG806" s="1071"/>
      <c r="DH806" s="1071"/>
      <c r="DI806" s="1072"/>
      <c r="DJ806" s="1071"/>
      <c r="DK806" s="1071"/>
      <c r="DL806" s="1071"/>
      <c r="DM806" s="1071"/>
      <c r="DN806" s="1071"/>
      <c r="DO806" s="1071"/>
      <c r="DP806" s="1071"/>
      <c r="DQ806" s="1072"/>
      <c r="DR806" s="1071"/>
      <c r="DS806" s="1071"/>
      <c r="DT806" s="1071"/>
      <c r="DU806" s="1071"/>
      <c r="DV806" s="1071"/>
      <c r="DW806" s="1071"/>
      <c r="DX806" s="1071"/>
      <c r="DY806" s="1072"/>
      <c r="DZ806" s="1071"/>
      <c r="EA806" s="1071"/>
      <c r="EB806" s="1071"/>
      <c r="EC806" s="1071"/>
      <c r="ED806" s="1071"/>
      <c r="EE806" s="1071"/>
      <c r="EF806" s="1071"/>
      <c r="EG806" s="1072"/>
      <c r="EH806" s="1071"/>
      <c r="EI806" s="1071"/>
      <c r="EJ806" s="1071"/>
      <c r="EK806" s="1071"/>
      <c r="EL806" s="1071"/>
      <c r="EM806" s="1071"/>
      <c r="EN806" s="1071"/>
      <c r="EO806" s="1072"/>
      <c r="EP806" s="1071"/>
      <c r="EQ806" s="1071"/>
      <c r="ER806" s="1071"/>
      <c r="ES806" s="1071"/>
      <c r="ET806" s="1071"/>
      <c r="EU806" s="1071"/>
      <c r="EV806" s="1071"/>
      <c r="EW806" s="1072"/>
      <c r="EX806" s="1071"/>
      <c r="EY806" s="1071"/>
      <c r="EZ806" s="1071"/>
      <c r="FA806" s="1071"/>
      <c r="FB806" s="1071"/>
      <c r="FC806" s="1071"/>
      <c r="FD806" s="1071"/>
      <c r="FE806" s="1072"/>
      <c r="FF806" s="1071"/>
      <c r="FG806" s="1071"/>
      <c r="FH806" s="1071"/>
      <c r="FI806" s="1071"/>
      <c r="FJ806" s="1071"/>
      <c r="FK806" s="1071"/>
      <c r="FL806" s="1071"/>
      <c r="FM806" s="1072"/>
      <c r="FN806" s="1071"/>
      <c r="FO806" s="1071"/>
      <c r="FP806" s="1071"/>
      <c r="FQ806" s="1071"/>
      <c r="FR806" s="1071"/>
      <c r="FS806" s="1071"/>
      <c r="FT806" s="1071"/>
      <c r="FU806" s="1071"/>
      <c r="FV806" s="1177"/>
      <c r="FW806" s="1071"/>
      <c r="FX806" s="1071"/>
      <c r="FY806" s="1071"/>
      <c r="FZ806" s="1071"/>
      <c r="GA806" s="1071"/>
      <c r="GB806" s="1071"/>
      <c r="GC806" s="1072"/>
      <c r="GD806" s="1071"/>
      <c r="GE806" s="1071"/>
      <c r="GF806" s="1071"/>
      <c r="GG806" s="1071"/>
      <c r="GH806" s="1071"/>
      <c r="GI806" s="1071"/>
      <c r="GJ806" s="1071"/>
      <c r="GK806" s="1072"/>
      <c r="GL806" s="1071"/>
      <c r="GM806" s="1071"/>
      <c r="GN806" s="1071"/>
      <c r="GO806" s="1071"/>
      <c r="GP806" s="1071"/>
      <c r="GQ806" s="1071"/>
      <c r="GR806" s="1071"/>
      <c r="GS806" s="1072"/>
      <c r="GT806" s="1071"/>
      <c r="GU806" s="1071"/>
      <c r="GV806" s="1071"/>
      <c r="GW806" s="1071"/>
      <c r="GX806" s="1071"/>
      <c r="GY806" s="1071"/>
      <c r="GZ806" s="1071"/>
      <c r="HA806" s="1072"/>
      <c r="HB806" s="1071"/>
      <c r="HC806" s="1071"/>
      <c r="HD806" s="1071"/>
      <c r="HE806" s="1071"/>
      <c r="HF806" s="1071"/>
      <c r="HG806" s="1071"/>
      <c r="HH806" s="1071"/>
      <c r="HI806" s="1072"/>
      <c r="HJ806" s="1071"/>
      <c r="HK806" s="1071"/>
      <c r="HL806" s="1071"/>
      <c r="HM806" s="1071"/>
      <c r="HN806" s="1071"/>
      <c r="HO806" s="1071"/>
      <c r="HP806" s="1071"/>
      <c r="HQ806" s="1072"/>
      <c r="HR806" s="1071"/>
      <c r="HS806" s="1071"/>
      <c r="HT806" s="1071"/>
      <c r="HU806" s="1071"/>
      <c r="HV806" s="1071"/>
      <c r="HW806" s="1071"/>
      <c r="HX806" s="1071"/>
      <c r="HY806" s="1071"/>
      <c r="HZ806" s="1071"/>
      <c r="IA806" s="1071"/>
      <c r="IB806" s="1071"/>
      <c r="IC806" s="1071"/>
      <c r="ID806" s="1071"/>
      <c r="IE806" s="1071"/>
      <c r="IF806" s="1071"/>
      <c r="IG806" s="1072"/>
      <c r="IH806" s="1071"/>
      <c r="II806" s="1071"/>
      <c r="IJ806" s="1071"/>
      <c r="IK806" s="1071"/>
      <c r="IL806" s="1071"/>
      <c r="IM806" s="1071"/>
      <c r="IN806" s="1071"/>
      <c r="IO806" s="1072"/>
      <c r="IP806" s="1071"/>
      <c r="IQ806" s="1071"/>
      <c r="IR806" s="1071"/>
      <c r="IS806" s="1071"/>
      <c r="IT806" s="1071"/>
      <c r="IU806" s="1071"/>
      <c r="IV806" s="1071"/>
      <c r="IW806" s="1071"/>
      <c r="IX806" s="1049"/>
      <c r="IY806" s="1049"/>
      <c r="IZ806" s="1049"/>
      <c r="JA806" s="1049"/>
      <c r="JB806" s="1049"/>
      <c r="JC806" s="1049"/>
      <c r="JD806" s="1041"/>
      <c r="JE806" s="1037"/>
      <c r="JF806" s="1037"/>
      <c r="JG806" s="1037"/>
      <c r="JH806" s="1037"/>
      <c r="JI806" s="1035"/>
      <c r="JJ806" s="1035"/>
      <c r="JK806" s="1035"/>
      <c r="JL806" s="1035"/>
      <c r="JM806" s="1035"/>
      <c r="JN806" s="1035"/>
      <c r="JO806" s="1035"/>
      <c r="JP806" s="1035"/>
      <c r="JQ806" s="1035"/>
      <c r="JR806" s="1035"/>
      <c r="JS806" s="1035"/>
      <c r="JT806" s="1035"/>
      <c r="JU806" s="1035"/>
      <c r="JV806" s="1035"/>
      <c r="JW806" s="1035"/>
      <c r="JX806" s="1035"/>
      <c r="JY806" s="1035"/>
      <c r="LV806" s="1117"/>
    </row>
    <row r="807" outlineLevel="1" spans="1:334">
      <c r="A807" s="1152" t="s">
        <v>87</v>
      </c>
      <c r="AX807" s="1059"/>
      <c r="BE807" s="1060"/>
      <c r="BN807" s="1059"/>
      <c r="BU807" s="1060"/>
      <c r="BV807" s="1059"/>
      <c r="CC807" s="1060"/>
      <c r="CD807" s="1059"/>
      <c r="CJ807" s="1061"/>
      <c r="CK807" s="1060"/>
      <c r="CL807" s="1059"/>
      <c r="CS807" s="1060"/>
      <c r="CT807" s="1113"/>
      <c r="CU807" s="1113"/>
      <c r="CV807" s="1113"/>
      <c r="CW807" s="1113"/>
      <c r="CX807" s="1113"/>
      <c r="CY807" s="1113"/>
      <c r="CZ807" s="1113"/>
      <c r="DA807" s="1113"/>
      <c r="DB807" s="1071">
        <v>1349</v>
      </c>
      <c r="DC807" s="1071">
        <v>1223</v>
      </c>
      <c r="DD807" s="1071">
        <f>DB807+DC807</f>
        <v>2572</v>
      </c>
      <c r="DE807" s="1071">
        <v>1456</v>
      </c>
      <c r="DF807" s="1071">
        <f>DD807+DE807</f>
        <v>4028</v>
      </c>
      <c r="DG807" s="1071">
        <v>1157</v>
      </c>
      <c r="DH807" s="1071">
        <f>DE807+DG807</f>
        <v>2613</v>
      </c>
      <c r="DI807" s="1072" t="e">
        <f>'Profit and Loss'!#REF!</f>
        <v>#REF!</v>
      </c>
      <c r="DJ807" s="1071">
        <v>1255</v>
      </c>
      <c r="DK807" s="1071">
        <v>1060</v>
      </c>
      <c r="DL807" s="1071">
        <f>DJ807+DK807</f>
        <v>2315</v>
      </c>
      <c r="DM807" s="1071">
        <v>1320</v>
      </c>
      <c r="DN807" s="1071">
        <f>DL807+DM807</f>
        <v>3635</v>
      </c>
      <c r="DO807" s="1071">
        <v>1062</v>
      </c>
      <c r="DP807" s="1071">
        <f>DO807+DM807</f>
        <v>2382</v>
      </c>
      <c r="DQ807" s="1072" t="e">
        <f>'Profit and Loss'!#REF!</f>
        <v>#REF!</v>
      </c>
      <c r="DR807" s="1071">
        <v>1192</v>
      </c>
      <c r="DS807" s="1071">
        <f>DT807-DR807</f>
        <v>1261</v>
      </c>
      <c r="DT807" s="1071">
        <v>2453</v>
      </c>
      <c r="DU807" s="1071">
        <f>DV807-DT807</f>
        <v>1495</v>
      </c>
      <c r="DV807" s="1071">
        <v>3948</v>
      </c>
      <c r="DW807" s="1071" t="e">
        <f>DY807-DV807</f>
        <v>#REF!</v>
      </c>
      <c r="DX807" s="1071" t="e">
        <f>DY807-DT807</f>
        <v>#REF!</v>
      </c>
      <c r="DY807" s="1072" t="e">
        <f>'Profit and Loss'!#REF!</f>
        <v>#REF!</v>
      </c>
      <c r="DZ807" s="1071">
        <v>1426</v>
      </c>
      <c r="EA807" s="1071">
        <f>+EB807-DZ807</f>
        <v>1229</v>
      </c>
      <c r="EB807" s="1071">
        <v>2655</v>
      </c>
      <c r="EC807" s="1071">
        <f>+ED807-EB807</f>
        <v>1608</v>
      </c>
      <c r="ED807" s="1071">
        <v>4263</v>
      </c>
      <c r="EE807" s="1071">
        <f>+EF807-EC807</f>
        <v>1315</v>
      </c>
      <c r="EF807" s="1071">
        <f>+EG807-EB807</f>
        <v>2923</v>
      </c>
      <c r="EG807" s="1072">
        <v>5578</v>
      </c>
      <c r="EH807" s="1071">
        <v>1628</v>
      </c>
      <c r="EI807" s="1071">
        <f>+EJ807-EH807</f>
        <v>1473</v>
      </c>
      <c r="EJ807" s="1071">
        <v>3101</v>
      </c>
      <c r="EK807" s="1071">
        <f>EL807-EJ807</f>
        <v>1765</v>
      </c>
      <c r="EL807" s="1071">
        <v>4866</v>
      </c>
      <c r="EM807" s="1071">
        <f>EN807-EK807</f>
        <v>1321</v>
      </c>
      <c r="EN807" s="1071">
        <f>EO807-EJ807</f>
        <v>3086</v>
      </c>
      <c r="EO807" s="1072">
        <v>6187</v>
      </c>
      <c r="EP807" s="1071">
        <v>1568</v>
      </c>
      <c r="EQ807" s="1071">
        <f>ER807-EP807</f>
        <v>1370</v>
      </c>
      <c r="ER807" s="1071">
        <v>2938</v>
      </c>
      <c r="ES807" s="1071">
        <f>ET807-ER807</f>
        <v>1685</v>
      </c>
      <c r="ET807" s="1071">
        <v>4623</v>
      </c>
      <c r="EU807" s="1071">
        <f>EV807-ES807</f>
        <v>1294</v>
      </c>
      <c r="EV807" s="1071">
        <f>EW807-ER807</f>
        <v>2979</v>
      </c>
      <c r="EW807" s="1072">
        <v>5917</v>
      </c>
      <c r="EX807" s="1076">
        <v>1511</v>
      </c>
      <c r="EY807" s="1071">
        <f>EZ807-EX807</f>
        <v>1457</v>
      </c>
      <c r="EZ807" s="1071">
        <v>2968</v>
      </c>
      <c r="FA807" s="1071">
        <f>FB807-EZ807</f>
        <v>1760</v>
      </c>
      <c r="FB807" s="1071">
        <v>4728</v>
      </c>
      <c r="FC807" s="1071"/>
      <c r="FD807" s="1071"/>
      <c r="FE807" s="1072"/>
      <c r="FF807" s="1071"/>
      <c r="FG807" s="1071"/>
      <c r="FH807" s="1071"/>
      <c r="FI807" s="1071"/>
      <c r="FJ807" s="1071"/>
      <c r="FK807" s="1071"/>
      <c r="FL807" s="1071"/>
      <c r="FM807" s="1072"/>
      <c r="FN807" s="1071"/>
      <c r="FO807" s="1071"/>
      <c r="FP807" s="1071"/>
      <c r="FQ807" s="1071"/>
      <c r="FR807" s="1071"/>
      <c r="FS807" s="1071"/>
      <c r="FT807" s="1071"/>
      <c r="FU807" s="1071"/>
      <c r="FV807" s="1177"/>
      <c r="FW807" s="1071"/>
      <c r="FX807" s="1071"/>
      <c r="FY807" s="1071"/>
      <c r="FZ807" s="1071"/>
      <c r="GA807" s="1071"/>
      <c r="GB807" s="1071"/>
      <c r="GC807" s="1072"/>
      <c r="GD807" s="1071"/>
      <c r="GE807" s="1071"/>
      <c r="GF807" s="1071"/>
      <c r="GG807" s="1071"/>
      <c r="GH807" s="1071"/>
      <c r="GI807" s="1071"/>
      <c r="GJ807" s="1071"/>
      <c r="GK807" s="1072"/>
      <c r="GL807" s="1071"/>
      <c r="GM807" s="1071"/>
      <c r="GN807" s="1071"/>
      <c r="GO807" s="1071"/>
      <c r="GP807" s="1071"/>
      <c r="GQ807" s="1071"/>
      <c r="GR807" s="1071"/>
      <c r="GS807" s="1072"/>
      <c r="GT807" s="1071"/>
      <c r="GU807" s="1071"/>
      <c r="GV807" s="1071"/>
      <c r="GW807" s="1071"/>
      <c r="GX807" s="1071"/>
      <c r="GY807" s="1071"/>
      <c r="GZ807" s="1071"/>
      <c r="HA807" s="1072"/>
      <c r="HB807" s="1071"/>
      <c r="HC807" s="1071"/>
      <c r="HD807" s="1071"/>
      <c r="HE807" s="1071"/>
      <c r="HF807" s="1071"/>
      <c r="HG807" s="1071"/>
      <c r="HH807" s="1071"/>
      <c r="HI807" s="1072"/>
      <c r="HJ807" s="1071"/>
      <c r="HK807" s="1071"/>
      <c r="HL807" s="1071"/>
      <c r="HM807" s="1071"/>
      <c r="HN807" s="1071"/>
      <c r="HO807" s="1071"/>
      <c r="HP807" s="1071"/>
      <c r="HQ807" s="1072"/>
      <c r="HR807" s="1071"/>
      <c r="HS807" s="1071"/>
      <c r="HT807" s="1071"/>
      <c r="HU807" s="1071"/>
      <c r="HV807" s="1071"/>
      <c r="HW807" s="1071"/>
      <c r="HX807" s="1071"/>
      <c r="HY807" s="1071"/>
      <c r="HZ807" s="1071"/>
      <c r="IA807" s="1071"/>
      <c r="IB807" s="1071"/>
      <c r="IC807" s="1071"/>
      <c r="ID807" s="1071"/>
      <c r="IE807" s="1071"/>
      <c r="IF807" s="1071"/>
      <c r="IG807" s="1072"/>
      <c r="IH807" s="1071"/>
      <c r="II807" s="1071"/>
      <c r="IJ807" s="1071"/>
      <c r="IK807" s="1071"/>
      <c r="IL807" s="1071"/>
      <c r="IM807" s="1071"/>
      <c r="IN807" s="1071"/>
      <c r="IO807" s="1072"/>
      <c r="IP807" s="1071"/>
      <c r="IQ807" s="1071"/>
      <c r="IR807" s="1071"/>
      <c r="IS807" s="1071"/>
      <c r="IT807" s="1071"/>
      <c r="IU807" s="1071"/>
      <c r="IV807" s="1071"/>
      <c r="IW807" s="1071"/>
      <c r="IX807" s="1049"/>
      <c r="IY807" s="1049"/>
      <c r="IZ807" s="1049"/>
      <c r="JA807" s="1049"/>
      <c r="JB807" s="1049"/>
      <c r="JC807" s="1049"/>
      <c r="JD807" s="1041"/>
      <c r="JE807" s="1037"/>
      <c r="JF807" s="1037"/>
      <c r="JG807" s="1037"/>
      <c r="JH807" s="1037"/>
      <c r="JI807" s="1035"/>
      <c r="JJ807" s="1035"/>
      <c r="JK807" s="1035"/>
      <c r="JL807" s="1035"/>
      <c r="JM807" s="1035"/>
      <c r="JN807" s="1035"/>
      <c r="JO807" s="1035"/>
      <c r="JP807" s="1035"/>
      <c r="JQ807" s="1035"/>
      <c r="JR807" s="1035"/>
      <c r="JS807" s="1035"/>
      <c r="JT807" s="1035"/>
      <c r="JU807" s="1035"/>
      <c r="JV807" s="1035"/>
      <c r="JW807" s="1035"/>
      <c r="JX807" s="1035"/>
      <c r="JY807" s="1035"/>
      <c r="LV807" s="1025"/>
    </row>
    <row r="808" outlineLevel="1" spans="1:334">
      <c r="A808" s="967" t="s">
        <v>61</v>
      </c>
      <c r="AX808" s="1059"/>
      <c r="BE808" s="1060"/>
      <c r="BN808" s="1059"/>
      <c r="BU808" s="1060"/>
      <c r="BV808" s="1059"/>
      <c r="CC808" s="1060"/>
      <c r="CD808" s="1059"/>
      <c r="CJ808" s="1061"/>
      <c r="CK808" s="1060"/>
      <c r="CL808" s="1059"/>
      <c r="CS808" s="1060"/>
      <c r="CT808" s="967"/>
      <c r="CU808" s="967"/>
      <c r="CV808" s="967"/>
      <c r="CW808" s="967"/>
      <c r="CX808" s="967"/>
      <c r="CY808" s="967"/>
      <c r="CZ808" s="967"/>
      <c r="DA808" s="967"/>
      <c r="DJ808" s="1080">
        <f t="shared" ref="DJ808:DQ808" si="4586">DJ807/DB807-1</f>
        <v>-0.0696812453669384</v>
      </c>
      <c r="DK808" s="1080">
        <f t="shared" si="4586"/>
        <v>-0.133278822567457</v>
      </c>
      <c r="DL808" s="1080">
        <f t="shared" si="4586"/>
        <v>-0.0999222395023328</v>
      </c>
      <c r="DM808" s="1080">
        <f t="shared" si="4586"/>
        <v>-0.0934065934065934</v>
      </c>
      <c r="DN808" s="1080">
        <f t="shared" si="4586"/>
        <v>-0.0975670307845085</v>
      </c>
      <c r="DO808" s="1080">
        <f t="shared" si="4586"/>
        <v>-0.0821089023336214</v>
      </c>
      <c r="DP808" s="1080">
        <f t="shared" si="4586"/>
        <v>-0.0884041331802525</v>
      </c>
      <c r="DQ808" s="1081" t="e">
        <f t="shared" si="4586"/>
        <v>#REF!</v>
      </c>
      <c r="DR808" s="1080">
        <f t="shared" ref="DR808:EC808" si="4587">DR807/DJ807-1</f>
        <v>-0.050199203187251</v>
      </c>
      <c r="DS808" s="1080">
        <f t="shared" si="4587"/>
        <v>0.189622641509434</v>
      </c>
      <c r="DT808" s="1080">
        <f t="shared" si="4587"/>
        <v>0.0596112311015118</v>
      </c>
      <c r="DU808" s="1080">
        <f t="shared" si="4587"/>
        <v>0.132575757575758</v>
      </c>
      <c r="DV808" s="1080">
        <f t="shared" si="4587"/>
        <v>0.0861072902338378</v>
      </c>
      <c r="DW808" s="1080" t="e">
        <f t="shared" si="4587"/>
        <v>#REF!</v>
      </c>
      <c r="DX808" s="1080" t="e">
        <f t="shared" si="4587"/>
        <v>#REF!</v>
      </c>
      <c r="DY808" s="1081" t="e">
        <f t="shared" si="4587"/>
        <v>#REF!</v>
      </c>
      <c r="DZ808" s="1080">
        <f t="shared" si="4587"/>
        <v>0.196308724832215</v>
      </c>
      <c r="EA808" s="1080">
        <f t="shared" si="4587"/>
        <v>-0.0253766851704996</v>
      </c>
      <c r="EB808" s="1080">
        <f t="shared" si="4587"/>
        <v>0.0823481451284143</v>
      </c>
      <c r="EC808" s="1080">
        <f t="shared" si="4587"/>
        <v>0.0755852842809364</v>
      </c>
      <c r="ED808" s="1080">
        <f t="shared" ref="ED808:EL808" si="4588">ED807/DV807-1</f>
        <v>0.0797872340425532</v>
      </c>
      <c r="EE808" s="1082" t="e">
        <f t="shared" si="4588"/>
        <v>#REF!</v>
      </c>
      <c r="EF808" s="1082" t="e">
        <f t="shared" si="4588"/>
        <v>#REF!</v>
      </c>
      <c r="EG808" s="1081" t="e">
        <f t="shared" si="4588"/>
        <v>#REF!</v>
      </c>
      <c r="EH808" s="1080">
        <f t="shared" si="4588"/>
        <v>0.141654978962132</v>
      </c>
      <c r="EI808" s="1080">
        <f t="shared" si="4588"/>
        <v>0.19853539462978</v>
      </c>
      <c r="EJ808" s="1080">
        <f t="shared" si="4588"/>
        <v>0.167984934086629</v>
      </c>
      <c r="EK808" s="1080">
        <f t="shared" si="4588"/>
        <v>0.097636815920398</v>
      </c>
      <c r="EL808" s="1080">
        <f t="shared" si="4588"/>
        <v>0.141449683321605</v>
      </c>
      <c r="EM808" s="1080">
        <f t="shared" ref="EM808:ET808" si="4589">EM807/EE807-1</f>
        <v>0.00456273764258563</v>
      </c>
      <c r="EN808" s="1080">
        <f t="shared" si="4589"/>
        <v>0.0557646253848785</v>
      </c>
      <c r="EO808" s="1081">
        <f t="shared" si="4589"/>
        <v>0.109178917174614</v>
      </c>
      <c r="EP808" s="1080">
        <f t="shared" si="4589"/>
        <v>-0.0368550368550369</v>
      </c>
      <c r="EQ808" s="1080">
        <f t="shared" si="4589"/>
        <v>-0.0699253224711474</v>
      </c>
      <c r="ER808" s="1080">
        <f t="shared" si="4589"/>
        <v>-0.0525636891325378</v>
      </c>
      <c r="ES808" s="1080">
        <f t="shared" si="4589"/>
        <v>-0.0453257790368272</v>
      </c>
      <c r="ET808" s="1080">
        <f t="shared" si="4589"/>
        <v>-0.0499383477188656</v>
      </c>
      <c r="EU808" s="1080">
        <f t="shared" ref="EU808:FB808" si="4590">EU807/EM807-1</f>
        <v>-0.020439061317184</v>
      </c>
      <c r="EV808" s="1080">
        <f t="shared" si="4590"/>
        <v>-0.0346727154893065</v>
      </c>
      <c r="EW808" s="1081">
        <f t="shared" si="4590"/>
        <v>-0.0436398900921287</v>
      </c>
      <c r="EX808" s="1218">
        <f t="shared" si="4590"/>
        <v>-0.0363520408163265</v>
      </c>
      <c r="EY808" s="1080">
        <f t="shared" si="4590"/>
        <v>0.0635036496350365</v>
      </c>
      <c r="EZ808" s="1080">
        <f t="shared" si="4590"/>
        <v>0.0102110279101431</v>
      </c>
      <c r="FA808" s="1080">
        <f t="shared" si="4590"/>
        <v>0.0445103857566767</v>
      </c>
      <c r="FB808" s="1080">
        <f t="shared" si="4590"/>
        <v>0.0227125243348476</v>
      </c>
      <c r="FC808" s="1080"/>
      <c r="FD808" s="1080"/>
      <c r="FE808" s="1081"/>
      <c r="FF808" s="1080"/>
      <c r="FG808" s="1080"/>
      <c r="FH808" s="1080"/>
      <c r="FI808" s="1080"/>
      <c r="FJ808" s="1080"/>
      <c r="FK808" s="1080"/>
      <c r="FL808" s="1080"/>
      <c r="FM808" s="1081"/>
      <c r="FN808" s="1080"/>
      <c r="FO808" s="1080"/>
      <c r="FP808" s="1080"/>
      <c r="FQ808" s="1080"/>
      <c r="FR808" s="1080"/>
      <c r="FS808" s="1080"/>
      <c r="FT808" s="1080"/>
      <c r="FU808" s="1080"/>
      <c r="FV808" s="1150"/>
      <c r="FW808" s="1080"/>
      <c r="FX808" s="1080"/>
      <c r="FY808" s="1080"/>
      <c r="FZ808" s="1080"/>
      <c r="GA808" s="1080"/>
      <c r="GB808" s="1080"/>
      <c r="GC808" s="1081"/>
      <c r="GD808" s="1080"/>
      <c r="GE808" s="1080"/>
      <c r="GF808" s="1080"/>
      <c r="GG808" s="1080"/>
      <c r="GH808" s="1080"/>
      <c r="GI808" s="1080"/>
      <c r="GJ808" s="1080"/>
      <c r="GK808" s="1081"/>
      <c r="GL808" s="1080"/>
      <c r="GM808" s="1080"/>
      <c r="GN808" s="1080"/>
      <c r="GO808" s="1080"/>
      <c r="GP808" s="1080"/>
      <c r="GQ808" s="1080"/>
      <c r="GR808" s="1080"/>
      <c r="GS808" s="1081"/>
      <c r="GT808" s="1080"/>
      <c r="GU808" s="1080"/>
      <c r="GV808" s="1080"/>
      <c r="GW808" s="1080"/>
      <c r="GX808" s="1080"/>
      <c r="GY808" s="1080"/>
      <c r="GZ808" s="1080"/>
      <c r="HA808" s="1081"/>
      <c r="HB808" s="1080"/>
      <c r="HC808" s="1080"/>
      <c r="HD808" s="1080"/>
      <c r="HE808" s="1080"/>
      <c r="HF808" s="1080"/>
      <c r="HG808" s="1080"/>
      <c r="HH808" s="1080"/>
      <c r="HI808" s="1081"/>
      <c r="HJ808" s="1080"/>
      <c r="HK808" s="1080"/>
      <c r="HL808" s="1080"/>
      <c r="HM808" s="1080"/>
      <c r="HN808" s="1080"/>
      <c r="HO808" s="1080"/>
      <c r="HP808" s="1080"/>
      <c r="HQ808" s="1081"/>
      <c r="HR808" s="1080"/>
      <c r="HS808" s="1080"/>
      <c r="HT808" s="1080"/>
      <c r="HU808" s="1080"/>
      <c r="HV808" s="1080"/>
      <c r="HW808" s="1080"/>
      <c r="HX808" s="1080"/>
      <c r="HY808" s="1080"/>
      <c r="HZ808" s="1080"/>
      <c r="IA808" s="1080"/>
      <c r="IB808" s="1080"/>
      <c r="IC808" s="1080"/>
      <c r="ID808" s="1080"/>
      <c r="IE808" s="1080"/>
      <c r="IF808" s="1080"/>
      <c r="IG808" s="1081"/>
      <c r="IH808" s="1080"/>
      <c r="II808" s="1080"/>
      <c r="IJ808" s="1080"/>
      <c r="IK808" s="1080"/>
      <c r="IL808" s="1080"/>
      <c r="IM808" s="1080"/>
      <c r="IN808" s="1080"/>
      <c r="IO808" s="1081"/>
      <c r="IP808" s="1080"/>
      <c r="IQ808" s="1080"/>
      <c r="IR808" s="1080"/>
      <c r="IS808" s="1080"/>
      <c r="IT808" s="1080"/>
      <c r="IU808" s="1080"/>
      <c r="IV808" s="1080"/>
      <c r="IW808" s="1080"/>
      <c r="IX808" s="1049"/>
      <c r="IY808" s="1049"/>
      <c r="IZ808" s="1049"/>
      <c r="JA808" s="1049"/>
      <c r="JB808" s="1049"/>
      <c r="JC808" s="1049"/>
      <c r="JD808" s="1041"/>
      <c r="JE808" s="1037"/>
      <c r="JF808" s="1037"/>
      <c r="JG808" s="1037"/>
      <c r="JH808" s="1037"/>
      <c r="JI808" s="1035"/>
      <c r="JJ808" s="1035"/>
      <c r="JK808" s="1035"/>
      <c r="JL808" s="1035"/>
      <c r="JM808" s="1035"/>
      <c r="JN808" s="1035"/>
      <c r="JO808" s="1035"/>
      <c r="JP808" s="1035"/>
      <c r="JQ808" s="1035"/>
      <c r="JR808" s="1035"/>
      <c r="JS808" s="1035"/>
      <c r="JT808" s="1035"/>
      <c r="JU808" s="1035"/>
      <c r="JV808" s="1035"/>
      <c r="JW808" s="1035"/>
      <c r="JX808" s="1035"/>
      <c r="JY808" s="1035"/>
      <c r="LV808" s="1117"/>
    </row>
    <row r="809" outlineLevel="1" spans="1:334">
      <c r="A809" s="967" t="s">
        <v>65</v>
      </c>
      <c r="AX809" s="1059"/>
      <c r="BE809" s="1060"/>
      <c r="BN809" s="1059"/>
      <c r="BU809" s="1060"/>
      <c r="BV809" s="1059"/>
      <c r="CC809" s="1060"/>
      <c r="CD809" s="1059"/>
      <c r="CJ809" s="1061"/>
      <c r="CK809" s="1060"/>
      <c r="CL809" s="1059"/>
      <c r="CS809" s="1060"/>
      <c r="CT809" s="967"/>
      <c r="CU809" s="967"/>
      <c r="CV809" s="967"/>
      <c r="CW809" s="967"/>
      <c r="CX809" s="967"/>
      <c r="CY809" s="967"/>
      <c r="CZ809" s="967"/>
      <c r="DA809" s="967"/>
      <c r="DJ809" s="1080">
        <v>-0.11</v>
      </c>
      <c r="DK809" s="1080">
        <v>-0.18</v>
      </c>
      <c r="DL809" s="1080">
        <f>(DJ809*DB807+DK809*DC807)/DD807</f>
        <v>-0.143285381026439</v>
      </c>
      <c r="DM809" s="1080">
        <v>-0.1</v>
      </c>
      <c r="DN809" s="1080">
        <f>(DJ809*DB807+DK809*DC807+DM809*DE807)/DF807</f>
        <v>-0.127639026812314</v>
      </c>
      <c r="DO809" s="1080">
        <v>-0.05</v>
      </c>
      <c r="DP809" s="1080">
        <f>(DM809*DE807+DO809*DG807)/DH807</f>
        <v>-0.0778606965174129</v>
      </c>
      <c r="DQ809" s="1081" t="e">
        <f>'Profit and Loss'!#REF!</f>
        <v>#REF!</v>
      </c>
      <c r="DR809" s="1080">
        <v>-0.06</v>
      </c>
      <c r="DS809" s="1080">
        <f>((DT809*DL807)-(DR809*DJ807))/DK807</f>
        <v>0.114716981132075</v>
      </c>
      <c r="DT809" s="1080">
        <v>0.02</v>
      </c>
      <c r="DU809" s="1080">
        <f>((DV809*DN807)-(DT809*DL807))/DM807</f>
        <v>0.0475378787878788</v>
      </c>
      <c r="DV809" s="1080">
        <v>0.03</v>
      </c>
      <c r="DW809" s="1080" t="e">
        <f>((DX809*DP807)-(DU809*DM807))/DO807</f>
        <v>#REF!</v>
      </c>
      <c r="DX809" s="1080" t="e">
        <f>((DY809*DQ807)-(DT809*DL807))/DP807</f>
        <v>#REF!</v>
      </c>
      <c r="DY809" s="1081" t="e">
        <f>'Profit and Loss'!#REF!</f>
        <v>#REF!</v>
      </c>
      <c r="DZ809" s="1080">
        <v>0.16</v>
      </c>
      <c r="EA809" s="1080"/>
      <c r="EB809" s="1080">
        <v>0.08</v>
      </c>
      <c r="EC809" s="1080"/>
      <c r="ED809" s="1080">
        <v>0.09</v>
      </c>
      <c r="EE809" s="1080"/>
      <c r="EF809" s="1080"/>
      <c r="EG809" s="1081">
        <v>0.1</v>
      </c>
      <c r="EH809" s="1080">
        <v>0.11</v>
      </c>
      <c r="EI809" s="1080">
        <f>(EB807*EJ809-DZ807*EH809)/EA807</f>
        <v>0.13160292921074</v>
      </c>
      <c r="EJ809" s="1080">
        <v>0.12</v>
      </c>
      <c r="EK809" s="1080">
        <f>(ED807*EL809-EB807*EJ809)/EC807</f>
        <v>0.0404664179104478</v>
      </c>
      <c r="EL809" s="1080">
        <v>0.09</v>
      </c>
      <c r="EM809" s="1080"/>
      <c r="EN809" s="1080"/>
      <c r="EO809" s="1081">
        <v>0.06</v>
      </c>
      <c r="EP809" s="1080">
        <v>-0.02</v>
      </c>
      <c r="EQ809" s="1080">
        <f>(EJ807*ER809-EH807*EP809)/EI807</f>
        <v>-0.0410522742701969</v>
      </c>
      <c r="ER809" s="1080">
        <v>-0.03</v>
      </c>
      <c r="ES809" s="1080">
        <f>(EL807*ET809-EJ807*ER809)/EK807</f>
        <v>-0.00243059490084986</v>
      </c>
      <c r="ET809" s="1080">
        <v>-0.02</v>
      </c>
      <c r="EU809" s="1080">
        <f>(EO807*EW809-EH807*EP809-EI807*EQ809-EK807*ES809)/EM807</f>
        <v>0.120507191521575</v>
      </c>
      <c r="EV809" s="1080">
        <f>(EO807*EW809-EJ807*ER809)/EN807</f>
        <v>0.0501944264419961</v>
      </c>
      <c r="EW809" s="1081">
        <v>0.01</v>
      </c>
      <c r="EX809" s="1218">
        <v>0.03</v>
      </c>
      <c r="EY809" s="1080">
        <f>(ER807*EZ809-EP807*EX809)/EQ807</f>
        <v>0.11578102189781</v>
      </c>
      <c r="EZ809" s="1080">
        <v>0.07</v>
      </c>
      <c r="FA809" s="1080">
        <f>(ET807*FB809-ER807*EZ809)/ES807</f>
        <v>0.07</v>
      </c>
      <c r="FB809" s="1080">
        <v>0.07</v>
      </c>
      <c r="FC809" s="1080"/>
      <c r="FD809" s="1080"/>
      <c r="FE809" s="1081"/>
      <c r="FF809" s="1080"/>
      <c r="FG809" s="1080"/>
      <c r="FH809" s="1080"/>
      <c r="FI809" s="1080"/>
      <c r="FJ809" s="1080"/>
      <c r="FK809" s="1080"/>
      <c r="FL809" s="1080"/>
      <c r="FM809" s="1081"/>
      <c r="FN809" s="1080"/>
      <c r="FO809" s="1080"/>
      <c r="FP809" s="1080"/>
      <c r="FQ809" s="1080"/>
      <c r="FR809" s="1080"/>
      <c r="FS809" s="1080"/>
      <c r="FT809" s="1080"/>
      <c r="FU809" s="1080"/>
      <c r="FV809" s="1150"/>
      <c r="FW809" s="1080"/>
      <c r="FX809" s="1080"/>
      <c r="FY809" s="1080"/>
      <c r="FZ809" s="1080"/>
      <c r="GA809" s="1080"/>
      <c r="GB809" s="1080"/>
      <c r="GC809" s="1081"/>
      <c r="GD809" s="1080"/>
      <c r="GE809" s="1080"/>
      <c r="GF809" s="1080"/>
      <c r="GG809" s="1080"/>
      <c r="GH809" s="1080"/>
      <c r="GI809" s="1080"/>
      <c r="GJ809" s="1080"/>
      <c r="GK809" s="1081"/>
      <c r="GL809" s="1080"/>
      <c r="GM809" s="1080"/>
      <c r="GN809" s="1080"/>
      <c r="GO809" s="1080"/>
      <c r="GP809" s="1080"/>
      <c r="GQ809" s="1080"/>
      <c r="GR809" s="1080"/>
      <c r="GS809" s="1081"/>
      <c r="GT809" s="1080"/>
      <c r="GU809" s="1080"/>
      <c r="GV809" s="1080"/>
      <c r="GW809" s="1080"/>
      <c r="GX809" s="1080"/>
      <c r="GY809" s="1080"/>
      <c r="GZ809" s="1080"/>
      <c r="HA809" s="1081"/>
      <c r="HB809" s="1080"/>
      <c r="HC809" s="1080"/>
      <c r="HD809" s="1080"/>
      <c r="HE809" s="1080"/>
      <c r="HF809" s="1080"/>
      <c r="HG809" s="1080"/>
      <c r="HH809" s="1080"/>
      <c r="HI809" s="1081"/>
      <c r="HJ809" s="1080"/>
      <c r="HK809" s="1080"/>
      <c r="HL809" s="1080"/>
      <c r="HM809" s="1080"/>
      <c r="HN809" s="1080"/>
      <c r="HO809" s="1080"/>
      <c r="HP809" s="1080"/>
      <c r="HQ809" s="1081"/>
      <c r="HR809" s="1080"/>
      <c r="HS809" s="1080"/>
      <c r="HT809" s="1080"/>
      <c r="HU809" s="1080"/>
      <c r="HV809" s="1080"/>
      <c r="HW809" s="1080"/>
      <c r="HX809" s="1080"/>
      <c r="HY809" s="1080"/>
      <c r="HZ809" s="1080"/>
      <c r="IA809" s="1080"/>
      <c r="IB809" s="1080"/>
      <c r="IC809" s="1080"/>
      <c r="ID809" s="1080"/>
      <c r="IE809" s="1080"/>
      <c r="IF809" s="1080"/>
      <c r="IG809" s="1081"/>
      <c r="IH809" s="1080"/>
      <c r="II809" s="1080"/>
      <c r="IJ809" s="1080"/>
      <c r="IK809" s="1080"/>
      <c r="IL809" s="1080"/>
      <c r="IM809" s="1080"/>
      <c r="IN809" s="1080"/>
      <c r="IO809" s="1081"/>
      <c r="IP809" s="1080"/>
      <c r="IQ809" s="1080"/>
      <c r="IR809" s="1080"/>
      <c r="IS809" s="1080"/>
      <c r="IT809" s="1080"/>
      <c r="IU809" s="1080"/>
      <c r="IV809" s="1080"/>
      <c r="IW809" s="1080"/>
      <c r="IX809" s="1049"/>
      <c r="IY809" s="1049"/>
      <c r="IZ809" s="1049"/>
      <c r="JA809" s="1049"/>
      <c r="JB809" s="1049"/>
      <c r="JC809" s="1049"/>
      <c r="JD809" s="1041"/>
      <c r="JE809" s="1037"/>
      <c r="JF809" s="1037"/>
      <c r="JG809" s="1037"/>
      <c r="JH809" s="1037"/>
      <c r="JI809" s="1035"/>
      <c r="JJ809" s="1035"/>
      <c r="JK809" s="1035"/>
      <c r="JL809" s="1035"/>
      <c r="JM809" s="1035"/>
      <c r="JN809" s="1035"/>
      <c r="JO809" s="1035"/>
      <c r="JP809" s="1035"/>
      <c r="JQ809" s="1035"/>
      <c r="JR809" s="1035"/>
      <c r="JS809" s="1035"/>
      <c r="JT809" s="1035"/>
      <c r="JU809" s="1035"/>
      <c r="JV809" s="1035"/>
      <c r="JW809" s="1035"/>
      <c r="JX809" s="1035"/>
      <c r="JY809" s="1035"/>
      <c r="LV809" s="1491"/>
    </row>
    <row r="810" outlineLevel="1" spans="1:334">
      <c r="A810" s="1152" t="s">
        <v>89</v>
      </c>
      <c r="AX810" s="1059"/>
      <c r="BE810" s="1060"/>
      <c r="BN810" s="1059"/>
      <c r="BU810" s="1060"/>
      <c r="BV810" s="1059"/>
      <c r="CC810" s="1060"/>
      <c r="CD810" s="1059"/>
      <c r="CJ810" s="1061"/>
      <c r="CK810" s="1060"/>
      <c r="CL810" s="1059"/>
      <c r="CS810" s="1060"/>
      <c r="CT810" s="1113"/>
      <c r="CU810" s="1113"/>
      <c r="CV810" s="1113"/>
      <c r="CW810" s="1113"/>
      <c r="CX810" s="1113"/>
      <c r="CY810" s="1113"/>
      <c r="CZ810" s="1113"/>
      <c r="DA810" s="1113"/>
      <c r="DB810" s="1071">
        <v>297</v>
      </c>
      <c r="DC810" s="1071">
        <v>235</v>
      </c>
      <c r="DD810" s="1071">
        <f>DB810+DC810</f>
        <v>532</v>
      </c>
      <c r="DE810" s="1071">
        <v>339</v>
      </c>
      <c r="DF810" s="1071">
        <f>DD810+DE810</f>
        <v>871</v>
      </c>
      <c r="DG810" s="1071">
        <v>280</v>
      </c>
      <c r="DH810" s="1071">
        <f>DE810+DG810</f>
        <v>619</v>
      </c>
      <c r="DI810" s="1072" t="e">
        <f>'Profit and Loss'!#REF!</f>
        <v>#REF!</v>
      </c>
      <c r="DJ810" s="1071">
        <v>331</v>
      </c>
      <c r="DK810" s="1071">
        <v>270</v>
      </c>
      <c r="DL810" s="1071">
        <f>DJ810+DK810</f>
        <v>601</v>
      </c>
      <c r="DM810" s="1071">
        <v>357</v>
      </c>
      <c r="DN810" s="1071">
        <f>DL810+DM810</f>
        <v>958</v>
      </c>
      <c r="DO810" s="1071">
        <v>267</v>
      </c>
      <c r="DP810" s="1071">
        <f>DO810+DM810</f>
        <v>624</v>
      </c>
      <c r="DQ810" s="1072" t="e">
        <f>'Profit and Loss'!#REF!</f>
        <v>#REF!</v>
      </c>
      <c r="DR810" s="1071">
        <v>409</v>
      </c>
      <c r="DS810" s="1071">
        <f>DT810-DR810</f>
        <v>328</v>
      </c>
      <c r="DT810" s="1071">
        <v>737</v>
      </c>
      <c r="DU810" s="1071">
        <f>DV810-DT810</f>
        <v>455</v>
      </c>
      <c r="DV810" s="1071">
        <v>1192</v>
      </c>
      <c r="DW810" s="1071" t="e">
        <f>DY810-DV810</f>
        <v>#REF!</v>
      </c>
      <c r="DX810" s="1071" t="e">
        <f>DY810-DT810</f>
        <v>#REF!</v>
      </c>
      <c r="DY810" s="1072" t="e">
        <f>'Profit and Loss'!#REF!</f>
        <v>#REF!</v>
      </c>
      <c r="DZ810" s="1071">
        <v>510</v>
      </c>
      <c r="EA810" s="1071">
        <f>+EB810-DZ810</f>
        <v>426</v>
      </c>
      <c r="EB810" s="1071">
        <v>936</v>
      </c>
      <c r="EC810" s="1071">
        <f>+ED810-EB810</f>
        <v>521</v>
      </c>
      <c r="ED810" s="1071">
        <v>1457</v>
      </c>
      <c r="EE810" s="1071">
        <f>+EF810-EC810</f>
        <v>404</v>
      </c>
      <c r="EF810" s="1071">
        <f>+EG810-EB810</f>
        <v>925</v>
      </c>
      <c r="EG810" s="1072">
        <v>1861</v>
      </c>
      <c r="EH810" s="1071">
        <v>647</v>
      </c>
      <c r="EI810" s="1071">
        <f>+EJ810-EH810</f>
        <v>425</v>
      </c>
      <c r="EJ810" s="1071">
        <v>1072</v>
      </c>
      <c r="EK810" s="1071">
        <f>EL810-EJ810</f>
        <v>675</v>
      </c>
      <c r="EL810" s="1071">
        <v>1747</v>
      </c>
      <c r="EM810" s="1071">
        <f>EN810-EK810</f>
        <v>446</v>
      </c>
      <c r="EN810" s="1071">
        <f>EO810-EJ810</f>
        <v>1121</v>
      </c>
      <c r="EO810" s="1072">
        <v>2193</v>
      </c>
      <c r="EP810" s="1071">
        <v>663</v>
      </c>
      <c r="EQ810" s="1071">
        <f>ER810-EP810</f>
        <v>433</v>
      </c>
      <c r="ER810" s="1071">
        <v>1096</v>
      </c>
      <c r="ES810" s="1071">
        <f>ET810-ER810</f>
        <v>607</v>
      </c>
      <c r="ET810" s="1071">
        <v>1703</v>
      </c>
      <c r="EU810" s="1071">
        <f>EV810-ES810</f>
        <v>453</v>
      </c>
      <c r="EV810" s="1071">
        <f>EW810-ER810</f>
        <v>1060</v>
      </c>
      <c r="EW810" s="1072">
        <v>2156</v>
      </c>
      <c r="EX810" s="1076">
        <v>608</v>
      </c>
      <c r="EY810" s="1071">
        <f>EZ810-EX810</f>
        <v>436</v>
      </c>
      <c r="EZ810" s="1071">
        <v>1044</v>
      </c>
      <c r="FA810" s="1071">
        <f>FB810-EZ810</f>
        <v>678</v>
      </c>
      <c r="FB810" s="1071">
        <v>1722</v>
      </c>
      <c r="FC810" s="1071"/>
      <c r="FD810" s="1071"/>
      <c r="FE810" s="1072"/>
      <c r="FF810" s="1071"/>
      <c r="FG810" s="1071"/>
      <c r="FH810" s="1071"/>
      <c r="FI810" s="1071"/>
      <c r="FJ810" s="1071"/>
      <c r="FK810" s="1071"/>
      <c r="FL810" s="1071"/>
      <c r="FM810" s="1072"/>
      <c r="FN810" s="1071"/>
      <c r="FO810" s="1071"/>
      <c r="FP810" s="1071"/>
      <c r="FQ810" s="1071"/>
      <c r="FR810" s="1071"/>
      <c r="FS810" s="1071"/>
      <c r="FT810" s="1071"/>
      <c r="FU810" s="1071"/>
      <c r="FV810" s="1177"/>
      <c r="FW810" s="1071"/>
      <c r="FX810" s="1071"/>
      <c r="FY810" s="1071"/>
      <c r="FZ810" s="1071"/>
      <c r="GA810" s="1071"/>
      <c r="GB810" s="1071"/>
      <c r="GC810" s="1072"/>
      <c r="GD810" s="1071"/>
      <c r="GE810" s="1071"/>
      <c r="GF810" s="1071"/>
      <c r="GG810" s="1071"/>
      <c r="GH810" s="1071"/>
      <c r="GI810" s="1071"/>
      <c r="GJ810" s="1071"/>
      <c r="GK810" s="1072"/>
      <c r="GL810" s="1071"/>
      <c r="GM810" s="1071"/>
      <c r="GN810" s="1071"/>
      <c r="GO810" s="1071"/>
      <c r="GP810" s="1071"/>
      <c r="GQ810" s="1071"/>
      <c r="GR810" s="1071"/>
      <c r="GS810" s="1072"/>
      <c r="GT810" s="1071"/>
      <c r="GU810" s="1071"/>
      <c r="GV810" s="1071"/>
      <c r="GW810" s="1071"/>
      <c r="GX810" s="1071"/>
      <c r="GY810" s="1071"/>
      <c r="GZ810" s="1071"/>
      <c r="HA810" s="1072"/>
      <c r="HB810" s="1071"/>
      <c r="HC810" s="1071"/>
      <c r="HD810" s="1071"/>
      <c r="HE810" s="1071"/>
      <c r="HF810" s="1071"/>
      <c r="HG810" s="1071"/>
      <c r="HH810" s="1071"/>
      <c r="HI810" s="1072"/>
      <c r="HJ810" s="1071"/>
      <c r="HK810" s="1071"/>
      <c r="HL810" s="1071"/>
      <c r="HM810" s="1071"/>
      <c r="HN810" s="1071"/>
      <c r="HO810" s="1071"/>
      <c r="HP810" s="1071"/>
      <c r="HQ810" s="1072"/>
      <c r="HR810" s="1071"/>
      <c r="HS810" s="1071"/>
      <c r="HT810" s="1071"/>
      <c r="HU810" s="1071"/>
      <c r="HV810" s="1071"/>
      <c r="HW810" s="1071"/>
      <c r="HX810" s="1071"/>
      <c r="HY810" s="1071"/>
      <c r="HZ810" s="1071"/>
      <c r="IA810" s="1071"/>
      <c r="IB810" s="1071"/>
      <c r="IC810" s="1071"/>
      <c r="ID810" s="1071"/>
      <c r="IE810" s="1071"/>
      <c r="IF810" s="1071"/>
      <c r="IG810" s="1072"/>
      <c r="IH810" s="1071"/>
      <c r="II810" s="1071"/>
      <c r="IJ810" s="1071"/>
      <c r="IK810" s="1071"/>
      <c r="IL810" s="1071"/>
      <c r="IM810" s="1071"/>
      <c r="IN810" s="1071"/>
      <c r="IO810" s="1072"/>
      <c r="IP810" s="1071"/>
      <c r="IQ810" s="1071"/>
      <c r="IR810" s="1071"/>
      <c r="IS810" s="1071"/>
      <c r="IT810" s="1071"/>
      <c r="IU810" s="1071"/>
      <c r="IV810" s="1071"/>
      <c r="IW810" s="1071"/>
      <c r="IX810" s="1049"/>
      <c r="IY810" s="1049"/>
      <c r="IZ810" s="1049"/>
      <c r="JA810" s="1049"/>
      <c r="JB810" s="1049"/>
      <c r="JC810" s="1049"/>
      <c r="JD810" s="1041"/>
      <c r="JE810" s="1037"/>
      <c r="JF810" s="1037"/>
      <c r="JG810" s="1037"/>
      <c r="JH810" s="1037"/>
      <c r="JI810" s="1035"/>
      <c r="JJ810" s="1035"/>
      <c r="JK810" s="1035"/>
      <c r="JL810" s="1035"/>
      <c r="JM810" s="1035"/>
      <c r="JN810" s="1035"/>
      <c r="JO810" s="1035"/>
      <c r="JP810" s="1035"/>
      <c r="JQ810" s="1035"/>
      <c r="JR810" s="1035"/>
      <c r="JS810" s="1035"/>
      <c r="JT810" s="1035"/>
      <c r="JU810" s="1035"/>
      <c r="JV810" s="1035"/>
      <c r="JW810" s="1035"/>
      <c r="JX810" s="1035"/>
      <c r="JY810" s="1035"/>
      <c r="LV810" s="1491"/>
    </row>
    <row r="811" outlineLevel="1" spans="1:334">
      <c r="A811" s="967" t="s">
        <v>61</v>
      </c>
      <c r="AX811" s="1059"/>
      <c r="BE811" s="1060"/>
      <c r="BN811" s="1059"/>
      <c r="BU811" s="1060"/>
      <c r="BV811" s="1059"/>
      <c r="CC811" s="1060"/>
      <c r="CD811" s="1059"/>
      <c r="CJ811" s="1061"/>
      <c r="CK811" s="1060"/>
      <c r="CL811" s="1059"/>
      <c r="CS811" s="1060"/>
      <c r="CT811" s="967"/>
      <c r="CU811" s="967"/>
      <c r="CV811" s="967"/>
      <c r="CW811" s="967"/>
      <c r="CX811" s="967"/>
      <c r="CY811" s="967"/>
      <c r="CZ811" s="967"/>
      <c r="DA811" s="967"/>
      <c r="DJ811" s="1080">
        <f t="shared" ref="DJ811:DR811" si="4591">DJ810/DB810-1</f>
        <v>0.114478114478114</v>
      </c>
      <c r="DK811" s="1080">
        <f t="shared" si="4591"/>
        <v>0.148936170212766</v>
      </c>
      <c r="DL811" s="1080">
        <f t="shared" si="4591"/>
        <v>0.129699248120301</v>
      </c>
      <c r="DM811" s="1080">
        <f t="shared" si="4591"/>
        <v>0.0530973451327434</v>
      </c>
      <c r="DN811" s="1080">
        <f t="shared" si="4591"/>
        <v>0.0998851894374282</v>
      </c>
      <c r="DO811" s="1080">
        <f t="shared" si="4591"/>
        <v>-0.0464285714285714</v>
      </c>
      <c r="DP811" s="1080">
        <f t="shared" si="4591"/>
        <v>0.00807754442649444</v>
      </c>
      <c r="DQ811" s="1081" t="e">
        <f t="shared" si="4591"/>
        <v>#REF!</v>
      </c>
      <c r="DR811" s="1080">
        <f t="shared" si="4591"/>
        <v>0.235649546827795</v>
      </c>
      <c r="DS811" s="1080">
        <f t="shared" ref="DS811:DX811" si="4592">DS810/DK810-1</f>
        <v>0.214814814814815</v>
      </c>
      <c r="DT811" s="1080">
        <f t="shared" si="4592"/>
        <v>0.226289517470882</v>
      </c>
      <c r="DU811" s="1080">
        <f t="shared" si="4592"/>
        <v>0.274509803921569</v>
      </c>
      <c r="DV811" s="1080">
        <f t="shared" si="4592"/>
        <v>0.244258872651357</v>
      </c>
      <c r="DW811" s="1080" t="e">
        <f t="shared" si="4592"/>
        <v>#REF!</v>
      </c>
      <c r="DX811" s="1080" t="e">
        <f t="shared" si="4592"/>
        <v>#REF!</v>
      </c>
      <c r="DY811" s="1081" t="e">
        <f t="shared" ref="DY811:EG811" si="4593">DY810/DQ810-1</f>
        <v>#REF!</v>
      </c>
      <c r="DZ811" s="1080">
        <f t="shared" si="4593"/>
        <v>0.246943765281174</v>
      </c>
      <c r="EA811" s="1080">
        <f t="shared" si="4593"/>
        <v>0.298780487804878</v>
      </c>
      <c r="EB811" s="1080">
        <f t="shared" si="4593"/>
        <v>0.270013568521031</v>
      </c>
      <c r="EC811" s="1080">
        <f t="shared" si="4593"/>
        <v>0.145054945054945</v>
      </c>
      <c r="ED811" s="1080">
        <f t="shared" si="4593"/>
        <v>0.222315436241611</v>
      </c>
      <c r="EE811" s="1082" t="e">
        <f t="shared" si="4593"/>
        <v>#REF!</v>
      </c>
      <c r="EF811" s="1082" t="e">
        <f t="shared" si="4593"/>
        <v>#REF!</v>
      </c>
      <c r="EG811" s="1081" t="e">
        <f t="shared" si="4593"/>
        <v>#REF!</v>
      </c>
      <c r="EH811" s="1080">
        <f t="shared" ref="EH811:EO811" si="4594">EH810/DZ810-1</f>
        <v>0.268627450980392</v>
      </c>
      <c r="EI811" s="1080">
        <f t="shared" si="4594"/>
        <v>-0.00234741784037562</v>
      </c>
      <c r="EJ811" s="1080">
        <f t="shared" si="4594"/>
        <v>0.145299145299145</v>
      </c>
      <c r="EK811" s="1080">
        <f t="shared" si="4594"/>
        <v>0.295585412667946</v>
      </c>
      <c r="EL811" s="1080">
        <f t="shared" si="4594"/>
        <v>0.199039121482498</v>
      </c>
      <c r="EM811" s="1080">
        <f t="shared" si="4594"/>
        <v>0.103960396039604</v>
      </c>
      <c r="EN811" s="1080">
        <f t="shared" si="4594"/>
        <v>0.211891891891892</v>
      </c>
      <c r="EO811" s="1081">
        <f t="shared" si="4594"/>
        <v>0.178398710370768</v>
      </c>
      <c r="EP811" s="1080">
        <f t="shared" ref="EP811:FB811" si="4595">EP810/EH810-1</f>
        <v>0.0247295208655331</v>
      </c>
      <c r="EQ811" s="1080">
        <f t="shared" si="4595"/>
        <v>0.0188235294117647</v>
      </c>
      <c r="ER811" s="1080">
        <f t="shared" si="4595"/>
        <v>0.0223880597014925</v>
      </c>
      <c r="ES811" s="1080">
        <f t="shared" si="4595"/>
        <v>-0.100740740740741</v>
      </c>
      <c r="ET811" s="1080">
        <f t="shared" si="4595"/>
        <v>-0.0251860331997711</v>
      </c>
      <c r="EU811" s="1080">
        <f t="shared" si="4595"/>
        <v>0.0156950672645739</v>
      </c>
      <c r="EV811" s="1080">
        <f t="shared" si="4595"/>
        <v>-0.0544157002676182</v>
      </c>
      <c r="EW811" s="1081">
        <f t="shared" si="4595"/>
        <v>-0.0168718650250798</v>
      </c>
      <c r="EX811" s="1218">
        <f t="shared" si="4595"/>
        <v>-0.0829562594268477</v>
      </c>
      <c r="EY811" s="1080">
        <f t="shared" si="4595"/>
        <v>0.00692840646651272</v>
      </c>
      <c r="EZ811" s="1080">
        <f t="shared" si="4595"/>
        <v>-0.0474452554744526</v>
      </c>
      <c r="FA811" s="1080">
        <f t="shared" si="4595"/>
        <v>0.116968698517298</v>
      </c>
      <c r="FB811" s="1080">
        <f t="shared" si="4595"/>
        <v>0.0111567821491485</v>
      </c>
      <c r="FC811" s="1080"/>
      <c r="FD811" s="1080"/>
      <c r="FE811" s="1081"/>
      <c r="FF811" s="1080"/>
      <c r="FG811" s="1080"/>
      <c r="FH811" s="1080"/>
      <c r="FI811" s="1080"/>
      <c r="FJ811" s="1080"/>
      <c r="FK811" s="1080"/>
      <c r="FL811" s="1080"/>
      <c r="FM811" s="1081"/>
      <c r="FN811" s="1080"/>
      <c r="FO811" s="1080"/>
      <c r="FP811" s="1080"/>
      <c r="FQ811" s="1080"/>
      <c r="FR811" s="1080"/>
      <c r="FS811" s="1080"/>
      <c r="FT811" s="1080"/>
      <c r="FU811" s="1080"/>
      <c r="FV811" s="1150"/>
      <c r="FW811" s="1080"/>
      <c r="FX811" s="1080"/>
      <c r="FY811" s="1080"/>
      <c r="FZ811" s="1080"/>
      <c r="GA811" s="1080"/>
      <c r="GB811" s="1080"/>
      <c r="GC811" s="1081"/>
      <c r="GD811" s="1080"/>
      <c r="GE811" s="1080"/>
      <c r="GF811" s="1080"/>
      <c r="GG811" s="1080"/>
      <c r="GH811" s="1080"/>
      <c r="GI811" s="1080"/>
      <c r="GJ811" s="1080"/>
      <c r="GK811" s="1081"/>
      <c r="GL811" s="1080"/>
      <c r="GM811" s="1080"/>
      <c r="GN811" s="1080"/>
      <c r="GO811" s="1080"/>
      <c r="GP811" s="1080"/>
      <c r="GQ811" s="1080"/>
      <c r="GR811" s="1080"/>
      <c r="GS811" s="1081"/>
      <c r="GT811" s="1080"/>
      <c r="GU811" s="1080"/>
      <c r="GV811" s="1080"/>
      <c r="GW811" s="1080"/>
      <c r="GX811" s="1080"/>
      <c r="GY811" s="1080"/>
      <c r="GZ811" s="1080"/>
      <c r="HA811" s="1081"/>
      <c r="HB811" s="1080"/>
      <c r="HC811" s="1080"/>
      <c r="HD811" s="1080"/>
      <c r="HE811" s="1080"/>
      <c r="HF811" s="1080"/>
      <c r="HG811" s="1080"/>
      <c r="HH811" s="1080"/>
      <c r="HI811" s="1081"/>
      <c r="HJ811" s="1080"/>
      <c r="HK811" s="1080"/>
      <c r="HL811" s="1080"/>
      <c r="HM811" s="1080"/>
      <c r="HN811" s="1080"/>
      <c r="HO811" s="1080"/>
      <c r="HP811" s="1080"/>
      <c r="HQ811" s="1081"/>
      <c r="HR811" s="1080"/>
      <c r="HS811" s="1080"/>
      <c r="HT811" s="1080"/>
      <c r="HU811" s="1080"/>
      <c r="HV811" s="1080"/>
      <c r="HW811" s="1080"/>
      <c r="HX811" s="1080"/>
      <c r="HY811" s="1080"/>
      <c r="HZ811" s="1080"/>
      <c r="IA811" s="1080"/>
      <c r="IB811" s="1080"/>
      <c r="IC811" s="1080"/>
      <c r="ID811" s="1080"/>
      <c r="IE811" s="1080"/>
      <c r="IF811" s="1080"/>
      <c r="IG811" s="1081"/>
      <c r="IH811" s="1080"/>
      <c r="II811" s="1080"/>
      <c r="IJ811" s="1080"/>
      <c r="IK811" s="1080"/>
      <c r="IL811" s="1080"/>
      <c r="IM811" s="1080"/>
      <c r="IN811" s="1080"/>
      <c r="IO811" s="1081"/>
      <c r="IP811" s="1080"/>
      <c r="IQ811" s="1080"/>
      <c r="IR811" s="1080"/>
      <c r="IS811" s="1080"/>
      <c r="IT811" s="1080"/>
      <c r="IU811" s="1080"/>
      <c r="IV811" s="1080"/>
      <c r="IW811" s="1080"/>
      <c r="IX811" s="1049"/>
      <c r="IY811" s="1049"/>
      <c r="IZ811" s="1049"/>
      <c r="JA811" s="1049"/>
      <c r="JB811" s="1049"/>
      <c r="JC811" s="1049"/>
      <c r="JD811" s="1041"/>
      <c r="JE811" s="1037"/>
      <c r="JF811" s="1037"/>
      <c r="JG811" s="1037"/>
      <c r="JH811" s="1037"/>
      <c r="JI811" s="1035"/>
      <c r="JJ811" s="1035"/>
      <c r="JK811" s="1035"/>
      <c r="JL811" s="1035"/>
      <c r="JM811" s="1035"/>
      <c r="JN811" s="1035"/>
      <c r="JO811" s="1035"/>
      <c r="JP811" s="1035"/>
      <c r="JQ811" s="1035"/>
      <c r="JR811" s="1035"/>
      <c r="JS811" s="1035"/>
      <c r="JT811" s="1035"/>
      <c r="JU811" s="1035"/>
      <c r="JV811" s="1035"/>
      <c r="JW811" s="1035"/>
      <c r="JX811" s="1035"/>
      <c r="JY811" s="1035"/>
      <c r="LV811" s="969"/>
    </row>
    <row r="812" outlineLevel="1" spans="1:334">
      <c r="A812" s="967" t="s">
        <v>65</v>
      </c>
      <c r="AX812" s="1059"/>
      <c r="BE812" s="1060"/>
      <c r="BN812" s="1059"/>
      <c r="BU812" s="1060"/>
      <c r="BV812" s="1059"/>
      <c r="CC812" s="1060"/>
      <c r="CD812" s="1059"/>
      <c r="CJ812" s="1061"/>
      <c r="CK812" s="1060"/>
      <c r="CL812" s="1059"/>
      <c r="CS812" s="1060"/>
      <c r="CT812" s="967"/>
      <c r="CU812" s="967"/>
      <c r="CV812" s="967"/>
      <c r="CW812" s="967"/>
      <c r="CX812" s="967"/>
      <c r="CY812" s="967"/>
      <c r="CZ812" s="967"/>
      <c r="DA812" s="967"/>
      <c r="DB812" s="1080"/>
      <c r="DC812" s="1080"/>
      <c r="DD812" s="1080"/>
      <c r="DE812" s="1080"/>
      <c r="DF812" s="1080"/>
      <c r="DG812" s="1080"/>
      <c r="DH812" s="1080"/>
      <c r="DI812" s="1081"/>
      <c r="DJ812" s="1080">
        <v>0.12</v>
      </c>
      <c r="DK812" s="1080">
        <v>0.12</v>
      </c>
      <c r="DL812" s="1080">
        <f>(DJ812*DB810+DK812*DC810)/DD810</f>
        <v>0.12</v>
      </c>
      <c r="DM812" s="1080">
        <v>0.06</v>
      </c>
      <c r="DN812" s="1080">
        <f>(DJ812*DB810+DK812*DC810+DM812*DE810)/DF810</f>
        <v>0.0966475315729047</v>
      </c>
      <c r="DO812" s="1080">
        <v>-0.03</v>
      </c>
      <c r="DP812" s="1080">
        <f>(DM812*DE810+DO812*DG810)/DH810</f>
        <v>0.0192891760904685</v>
      </c>
      <c r="DQ812" s="1081" t="e">
        <f>'Profit and Loss'!#REF!</f>
        <v>#REF!</v>
      </c>
      <c r="DR812" s="1080">
        <v>0.22</v>
      </c>
      <c r="DS812" s="1080">
        <f>((DT812*DL810)-(DR812*DJ810))/DK810</f>
        <v>0.130962962962963</v>
      </c>
      <c r="DT812" s="1080">
        <v>0.18</v>
      </c>
      <c r="DU812" s="1080">
        <f>((DV812*DN810)-(DT812*DL810))/DM810</f>
        <v>0.18</v>
      </c>
      <c r="DV812" s="1080">
        <v>0.18</v>
      </c>
      <c r="DW812" s="1080" t="e">
        <f>((DX812*DP810)-(DU812*DM810))/DO810</f>
        <v>#REF!</v>
      </c>
      <c r="DX812" s="1080" t="e">
        <f>((DY812*DQ810)-(DT812*DL810))/DP810</f>
        <v>#REF!</v>
      </c>
      <c r="DY812" s="1081" t="e">
        <f>'Profit and Loss'!#REF!</f>
        <v>#REF!</v>
      </c>
      <c r="DZ812" s="1080">
        <v>0.21</v>
      </c>
      <c r="EA812" s="1080"/>
      <c r="EB812" s="1080">
        <v>0.27</v>
      </c>
      <c r="EC812" s="1080"/>
      <c r="ED812" s="1080">
        <v>0.24</v>
      </c>
      <c r="EE812" s="1080"/>
      <c r="EF812" s="1080"/>
      <c r="EG812" s="1081">
        <v>0.2</v>
      </c>
      <c r="EH812" s="1080">
        <v>0.24</v>
      </c>
      <c r="EI812" s="1080">
        <f>(EB810*EJ812-DZ810*EH812)/EA810</f>
        <v>-0.0456338028169014</v>
      </c>
      <c r="EJ812" s="1080">
        <v>0.11</v>
      </c>
      <c r="EK812" s="1080">
        <f>(ED810*EL812-EB810*EJ812)/EC810</f>
        <v>0.221861804222649</v>
      </c>
      <c r="EL812" s="1080">
        <v>0.15</v>
      </c>
      <c r="EM812" s="1080"/>
      <c r="EN812" s="1080"/>
      <c r="EO812" s="1081">
        <v>0.13</v>
      </c>
      <c r="EP812" s="1080">
        <v>0.04</v>
      </c>
      <c r="EQ812" s="1080">
        <f>(EJ810*ER812-EH810*EP812)/EI810</f>
        <v>0.0652235294117647</v>
      </c>
      <c r="ER812" s="1080">
        <v>0.05</v>
      </c>
      <c r="ES812" s="1080">
        <f>(EL810*ET812-EJ810*ER812)/EK810</f>
        <v>-0.0535259259259259</v>
      </c>
      <c r="ET812" s="1080">
        <v>0.01</v>
      </c>
      <c r="EU812" s="1080">
        <f>(EO810*EW812-EH810*EP812-EI810*EQ812-EK810*ES812)/EM810</f>
        <v>0.0591704035874439</v>
      </c>
      <c r="EV812" s="1080">
        <f>(EO810*EW812-EJ810*ER812)/EN810</f>
        <v>-0.00868867082961642</v>
      </c>
      <c r="EW812" s="1081">
        <v>0.02</v>
      </c>
      <c r="EX812" s="1218">
        <v>-0.05</v>
      </c>
      <c r="EY812" s="1080">
        <f>(ER810*EZ812-EP810*EX812)/EQ810</f>
        <v>0.0512471131639723</v>
      </c>
      <c r="EZ812" s="1080">
        <v>-0.01</v>
      </c>
      <c r="FA812" s="1080">
        <f>(ET810*FB812-ER810*EZ812)/ES810</f>
        <v>0.130280065897858</v>
      </c>
      <c r="FB812" s="1080">
        <v>0.04</v>
      </c>
      <c r="FC812" s="1080"/>
      <c r="FD812" s="1080"/>
      <c r="FE812" s="1081"/>
      <c r="FF812" s="1080"/>
      <c r="FG812" s="1080"/>
      <c r="FH812" s="1080"/>
      <c r="FI812" s="1080"/>
      <c r="FJ812" s="1080"/>
      <c r="FK812" s="1080"/>
      <c r="FL812" s="1080"/>
      <c r="FM812" s="1081"/>
      <c r="FN812" s="1080"/>
      <c r="FO812" s="1080"/>
      <c r="FP812" s="1080"/>
      <c r="FQ812" s="1080"/>
      <c r="FR812" s="1080"/>
      <c r="FS812" s="1080"/>
      <c r="FT812" s="1080"/>
      <c r="FU812" s="1080"/>
      <c r="FV812" s="1150"/>
      <c r="FW812" s="1080"/>
      <c r="FX812" s="1080"/>
      <c r="FY812" s="1080"/>
      <c r="FZ812" s="1080"/>
      <c r="GA812" s="1080"/>
      <c r="GB812" s="1080"/>
      <c r="GC812" s="1081"/>
      <c r="GD812" s="1080"/>
      <c r="GE812" s="1080"/>
      <c r="GF812" s="1080"/>
      <c r="GG812" s="1080"/>
      <c r="GH812" s="1080"/>
      <c r="GI812" s="1080"/>
      <c r="GJ812" s="1080"/>
      <c r="GK812" s="1081"/>
      <c r="GL812" s="1080"/>
      <c r="GM812" s="1080"/>
      <c r="GN812" s="1080"/>
      <c r="GO812" s="1080"/>
      <c r="GP812" s="1080"/>
      <c r="GQ812" s="1080"/>
      <c r="GR812" s="1080"/>
      <c r="GS812" s="1081"/>
      <c r="GT812" s="1080"/>
      <c r="GU812" s="1080"/>
      <c r="GV812" s="1080"/>
      <c r="GW812" s="1080"/>
      <c r="GX812" s="1080"/>
      <c r="GY812" s="1080"/>
      <c r="GZ812" s="1080"/>
      <c r="HA812" s="1081"/>
      <c r="HB812" s="1080"/>
      <c r="HC812" s="1080"/>
      <c r="HD812" s="1080"/>
      <c r="HE812" s="1080"/>
      <c r="HF812" s="1080"/>
      <c r="HG812" s="1080"/>
      <c r="HH812" s="1080"/>
      <c r="HI812" s="1081"/>
      <c r="HJ812" s="1080"/>
      <c r="HK812" s="1080"/>
      <c r="HL812" s="1080"/>
      <c r="HM812" s="1080"/>
      <c r="HN812" s="1080"/>
      <c r="HO812" s="1080"/>
      <c r="HP812" s="1080"/>
      <c r="HQ812" s="1081"/>
      <c r="HR812" s="1080"/>
      <c r="HS812" s="1080"/>
      <c r="HT812" s="1080"/>
      <c r="HU812" s="1080"/>
      <c r="HV812" s="1080"/>
      <c r="HW812" s="1080"/>
      <c r="HX812" s="1080"/>
      <c r="HY812" s="1080"/>
      <c r="HZ812" s="1080"/>
      <c r="IA812" s="1080"/>
      <c r="IB812" s="1080"/>
      <c r="IC812" s="1080"/>
      <c r="ID812" s="1080"/>
      <c r="IE812" s="1080"/>
      <c r="IF812" s="1080"/>
      <c r="IG812" s="1081"/>
      <c r="IH812" s="1080"/>
      <c r="II812" s="1080"/>
      <c r="IJ812" s="1080"/>
      <c r="IK812" s="1080"/>
      <c r="IL812" s="1080"/>
      <c r="IM812" s="1080"/>
      <c r="IN812" s="1080"/>
      <c r="IO812" s="1081"/>
      <c r="IP812" s="1080"/>
      <c r="IQ812" s="1080"/>
      <c r="IR812" s="1080"/>
      <c r="IS812" s="1080"/>
      <c r="IT812" s="1080"/>
      <c r="IU812" s="1080"/>
      <c r="IV812" s="1080"/>
      <c r="IW812" s="1080"/>
      <c r="IX812" s="1049"/>
      <c r="IY812" s="1049"/>
      <c r="IZ812" s="1049"/>
      <c r="JA812" s="1049"/>
      <c r="JB812" s="1049"/>
      <c r="JC812" s="1049"/>
      <c r="JD812" s="1041"/>
      <c r="JE812" s="1037"/>
      <c r="JF812" s="1037"/>
      <c r="JG812" s="1037"/>
      <c r="JH812" s="1037"/>
      <c r="JI812" s="1035"/>
      <c r="JJ812" s="1035"/>
      <c r="JK812" s="1035"/>
      <c r="JL812" s="1035"/>
      <c r="JM812" s="1035"/>
      <c r="JN812" s="1035"/>
      <c r="JO812" s="1035"/>
      <c r="JP812" s="1035"/>
      <c r="JQ812" s="1035"/>
      <c r="JR812" s="1035"/>
      <c r="JS812" s="1035"/>
      <c r="JT812" s="1035"/>
      <c r="JU812" s="1035"/>
      <c r="JV812" s="1035"/>
      <c r="JW812" s="1035"/>
      <c r="JX812" s="1035"/>
      <c r="JY812" s="1035"/>
      <c r="LV812" s="1117"/>
    </row>
    <row r="813" outlineLevel="1" spans="1:334">
      <c r="A813" s="1152" t="s">
        <v>82</v>
      </c>
      <c r="AX813" s="1059"/>
      <c r="BE813" s="1060"/>
      <c r="BN813" s="1059"/>
      <c r="BU813" s="1060"/>
      <c r="BV813" s="1059"/>
      <c r="CC813" s="1060"/>
      <c r="CD813" s="1059"/>
      <c r="CJ813" s="1061"/>
      <c r="CK813" s="1060"/>
      <c r="CL813" s="1059"/>
      <c r="CS813" s="1060"/>
      <c r="CT813" s="1113"/>
      <c r="CU813" s="1113"/>
      <c r="CV813" s="1113"/>
      <c r="CW813" s="1113"/>
      <c r="CX813" s="1113"/>
      <c r="CY813" s="1113"/>
      <c r="CZ813" s="1113"/>
      <c r="DA813" s="1113"/>
      <c r="DB813" s="1071">
        <v>317</v>
      </c>
      <c r="DC813" s="1071">
        <v>292</v>
      </c>
      <c r="DD813" s="1071">
        <f>DB813+DC813</f>
        <v>609</v>
      </c>
      <c r="DE813" s="1071">
        <v>440</v>
      </c>
      <c r="DF813" s="1071">
        <f>DD813+DE813</f>
        <v>1049</v>
      </c>
      <c r="DG813" s="1071">
        <v>361</v>
      </c>
      <c r="DH813" s="1071">
        <f>DE813+DG813</f>
        <v>801</v>
      </c>
      <c r="DI813" s="1072" t="e">
        <f>'Profit and Loss'!#REF!</f>
        <v>#REF!</v>
      </c>
      <c r="DJ813" s="1071">
        <v>307</v>
      </c>
      <c r="DK813" s="1071">
        <v>265</v>
      </c>
      <c r="DL813" s="1071">
        <f>DJ813+DK813</f>
        <v>572</v>
      </c>
      <c r="DM813" s="1071">
        <v>372</v>
      </c>
      <c r="DN813" s="1071">
        <f>DL813+DM813</f>
        <v>944</v>
      </c>
      <c r="DO813" s="1071">
        <v>320</v>
      </c>
      <c r="DP813" s="1071">
        <f>DO813+DM813</f>
        <v>692</v>
      </c>
      <c r="DQ813" s="1072" t="e">
        <f>'Profit and Loss'!#REF!</f>
        <v>#REF!</v>
      </c>
      <c r="DR813" s="1071">
        <v>297</v>
      </c>
      <c r="DS813" s="1071">
        <f>DT813-DR813</f>
        <v>331</v>
      </c>
      <c r="DT813" s="1071">
        <v>628</v>
      </c>
      <c r="DU813" s="1071">
        <f>DV813-DT813</f>
        <v>470</v>
      </c>
      <c r="DV813" s="1071">
        <v>1098</v>
      </c>
      <c r="DW813" s="1071" t="e">
        <f>DY813-DV813</f>
        <v>#REF!</v>
      </c>
      <c r="DX813" s="1071" t="e">
        <f>DY813-DT813</f>
        <v>#REF!</v>
      </c>
      <c r="DY813" s="1072" t="e">
        <f>'Profit and Loss'!#REF!</f>
        <v>#REF!</v>
      </c>
      <c r="DZ813" s="1071">
        <v>384</v>
      </c>
      <c r="EA813" s="1071">
        <f>+EB813-DZ813</f>
        <v>308</v>
      </c>
      <c r="EB813" s="1071">
        <v>692</v>
      </c>
      <c r="EC813" s="1071">
        <f>+ED813-EB813</f>
        <v>436</v>
      </c>
      <c r="ED813" s="1071">
        <v>1128</v>
      </c>
      <c r="EE813" s="1071">
        <f>+EF813-EC813</f>
        <v>348</v>
      </c>
      <c r="EF813" s="1071">
        <f>+EG813-EB813</f>
        <v>784</v>
      </c>
      <c r="EG813" s="1072">
        <v>1476</v>
      </c>
      <c r="EH813" s="1071">
        <v>344</v>
      </c>
      <c r="EI813" s="1071">
        <f>+EJ813-EH813</f>
        <v>190</v>
      </c>
      <c r="EJ813" s="1071">
        <v>534</v>
      </c>
      <c r="EK813" s="1071">
        <f>EL813-EJ813</f>
        <v>287</v>
      </c>
      <c r="EL813" s="1071">
        <v>821</v>
      </c>
      <c r="EM813" s="1071">
        <f>EN813-EK813</f>
        <v>288</v>
      </c>
      <c r="EN813" s="1071">
        <f>EO813-EJ813</f>
        <v>575</v>
      </c>
      <c r="EO813" s="1072">
        <v>1109</v>
      </c>
      <c r="EP813" s="1071">
        <v>265</v>
      </c>
      <c r="EQ813" s="1071">
        <f>ER813-EP813</f>
        <v>213</v>
      </c>
      <c r="ER813" s="1071">
        <v>478</v>
      </c>
      <c r="ES813" s="1071">
        <f>ET813-ER813</f>
        <v>289</v>
      </c>
      <c r="ET813" s="1071">
        <v>767</v>
      </c>
      <c r="EU813" s="1071">
        <f>EV813-ES813</f>
        <v>283</v>
      </c>
      <c r="EV813" s="1071">
        <f>EW813-ER813</f>
        <v>572</v>
      </c>
      <c r="EW813" s="1072">
        <v>1050</v>
      </c>
      <c r="EX813" s="1076">
        <v>237</v>
      </c>
      <c r="EY813" s="1071">
        <f>EZ813-EX813</f>
        <v>208</v>
      </c>
      <c r="EZ813" s="1071">
        <v>445</v>
      </c>
      <c r="FA813" s="1071">
        <f>FB813-EZ813</f>
        <v>288</v>
      </c>
      <c r="FB813" s="1071">
        <v>733</v>
      </c>
      <c r="FC813" s="1071"/>
      <c r="FD813" s="1071"/>
      <c r="FE813" s="1072"/>
      <c r="FF813" s="1071"/>
      <c r="FG813" s="1071"/>
      <c r="FH813" s="1071"/>
      <c r="FI813" s="1071"/>
      <c r="FJ813" s="1071"/>
      <c r="FK813" s="1071"/>
      <c r="FL813" s="1071"/>
      <c r="FM813" s="1072"/>
      <c r="FN813" s="1071"/>
      <c r="FO813" s="1071"/>
      <c r="FP813" s="1071"/>
      <c r="FQ813" s="1071"/>
      <c r="FR813" s="1071"/>
      <c r="FS813" s="1071"/>
      <c r="FT813" s="1071"/>
      <c r="FU813" s="1071"/>
      <c r="FV813" s="1177"/>
      <c r="FW813" s="1071"/>
      <c r="FX813" s="1071"/>
      <c r="FY813" s="1071"/>
      <c r="FZ813" s="1071"/>
      <c r="GA813" s="1071"/>
      <c r="GB813" s="1071"/>
      <c r="GC813" s="1072"/>
      <c r="GD813" s="1071"/>
      <c r="GE813" s="1071"/>
      <c r="GF813" s="1071"/>
      <c r="GG813" s="1071"/>
      <c r="GH813" s="1071"/>
      <c r="GI813" s="1071"/>
      <c r="GJ813" s="1071"/>
      <c r="GK813" s="1072"/>
      <c r="GL813" s="1071"/>
      <c r="GM813" s="1071"/>
      <c r="GN813" s="1071"/>
      <c r="GO813" s="1071"/>
      <c r="GP813" s="1071"/>
      <c r="GQ813" s="1071"/>
      <c r="GR813" s="1071"/>
      <c r="GS813" s="1072"/>
      <c r="GT813" s="1071"/>
      <c r="GU813" s="1071"/>
      <c r="GV813" s="1071"/>
      <c r="GW813" s="1071"/>
      <c r="GX813" s="1071"/>
      <c r="GY813" s="1071"/>
      <c r="GZ813" s="1071"/>
      <c r="HA813" s="1072"/>
      <c r="HB813" s="1071"/>
      <c r="HC813" s="1071"/>
      <c r="HD813" s="1071"/>
      <c r="HE813" s="1071"/>
      <c r="HF813" s="1071"/>
      <c r="HG813" s="1071"/>
      <c r="HH813" s="1071"/>
      <c r="HI813" s="1072"/>
      <c r="HJ813" s="1071"/>
      <c r="HK813" s="1071"/>
      <c r="HL813" s="1071"/>
      <c r="HM813" s="1071"/>
      <c r="HN813" s="1071"/>
      <c r="HO813" s="1071"/>
      <c r="HP813" s="1071"/>
      <c r="HQ813" s="1072"/>
      <c r="HR813" s="1071"/>
      <c r="HS813" s="1071"/>
      <c r="HT813" s="1071"/>
      <c r="HU813" s="1071"/>
      <c r="HV813" s="1071"/>
      <c r="HW813" s="1071"/>
      <c r="HX813" s="1071"/>
      <c r="HY813" s="1071"/>
      <c r="HZ813" s="1071"/>
      <c r="IA813" s="1071"/>
      <c r="IB813" s="1071"/>
      <c r="IC813" s="1071"/>
      <c r="ID813" s="1071"/>
      <c r="IE813" s="1071"/>
      <c r="IF813" s="1071"/>
      <c r="IG813" s="1072"/>
      <c r="IH813" s="1071"/>
      <c r="II813" s="1071"/>
      <c r="IJ813" s="1071"/>
      <c r="IK813" s="1071"/>
      <c r="IL813" s="1071"/>
      <c r="IM813" s="1071"/>
      <c r="IN813" s="1071"/>
      <c r="IO813" s="1072"/>
      <c r="IP813" s="1071"/>
      <c r="IQ813" s="1071"/>
      <c r="IR813" s="1071"/>
      <c r="IS813" s="1071"/>
      <c r="IT813" s="1071"/>
      <c r="IU813" s="1071"/>
      <c r="IV813" s="1071"/>
      <c r="IW813" s="1071"/>
      <c r="IX813" s="1049"/>
      <c r="IY813" s="1049"/>
      <c r="IZ813" s="1049"/>
      <c r="JA813" s="1049"/>
      <c r="JB813" s="1049"/>
      <c r="JC813" s="1049"/>
      <c r="JD813" s="1041"/>
      <c r="JE813" s="1037"/>
      <c r="JF813" s="1037"/>
      <c r="JG813" s="1037"/>
      <c r="JH813" s="1037"/>
      <c r="JI813" s="1035"/>
      <c r="JJ813" s="1035"/>
      <c r="JK813" s="1035"/>
      <c r="JL813" s="1035"/>
      <c r="JM813" s="1035"/>
      <c r="JN813" s="1035"/>
      <c r="JO813" s="1035"/>
      <c r="JP813" s="1035"/>
      <c r="JQ813" s="1035"/>
      <c r="JR813" s="1035"/>
      <c r="JS813" s="1035"/>
      <c r="JT813" s="1035"/>
      <c r="JU813" s="1035"/>
      <c r="JV813" s="1035"/>
      <c r="JW813" s="1035"/>
      <c r="JX813" s="1035"/>
      <c r="JY813" s="1035"/>
      <c r="LV813" s="969"/>
    </row>
    <row r="814" outlineLevel="1" spans="1:334">
      <c r="A814" s="967" t="s">
        <v>61</v>
      </c>
      <c r="AX814" s="1059"/>
      <c r="BE814" s="1060"/>
      <c r="BN814" s="1059"/>
      <c r="BU814" s="1060"/>
      <c r="BV814" s="1059"/>
      <c r="CC814" s="1060"/>
      <c r="CD814" s="1059"/>
      <c r="CJ814" s="1061"/>
      <c r="CK814" s="1060"/>
      <c r="CL814" s="1059"/>
      <c r="CS814" s="1060"/>
      <c r="CT814" s="967"/>
      <c r="CU814" s="967"/>
      <c r="CV814" s="967"/>
      <c r="CW814" s="967"/>
      <c r="CX814" s="967"/>
      <c r="CY814" s="967"/>
      <c r="CZ814" s="967"/>
      <c r="DA814" s="967"/>
      <c r="DJ814" s="1080">
        <f t="shared" ref="DJ814:DR814" si="4596">DJ813/DB813-1</f>
        <v>-0.0315457413249212</v>
      </c>
      <c r="DK814" s="1080">
        <f t="shared" si="4596"/>
        <v>-0.0924657534246576</v>
      </c>
      <c r="DL814" s="1080">
        <f t="shared" si="4596"/>
        <v>-0.0607553366174056</v>
      </c>
      <c r="DM814" s="1080">
        <f t="shared" si="4596"/>
        <v>-0.154545454545455</v>
      </c>
      <c r="DN814" s="1080">
        <f t="shared" si="4596"/>
        <v>-0.100095328884652</v>
      </c>
      <c r="DO814" s="1080">
        <f t="shared" si="4596"/>
        <v>-0.113573407202216</v>
      </c>
      <c r="DP814" s="1080">
        <f t="shared" si="4596"/>
        <v>-0.136079900124844</v>
      </c>
      <c r="DQ814" s="1081" t="e">
        <f t="shared" si="4596"/>
        <v>#REF!</v>
      </c>
      <c r="DR814" s="1080">
        <f t="shared" si="4596"/>
        <v>-0.0325732899022801</v>
      </c>
      <c r="DS814" s="1080">
        <f t="shared" ref="DS814:DX814" si="4597">DS813/DK813-1</f>
        <v>0.249056603773585</v>
      </c>
      <c r="DT814" s="1080">
        <f t="shared" si="4597"/>
        <v>0.0979020979020979</v>
      </c>
      <c r="DU814" s="1080">
        <f t="shared" si="4597"/>
        <v>0.263440860215054</v>
      </c>
      <c r="DV814" s="1080">
        <f t="shared" si="4597"/>
        <v>0.163135593220339</v>
      </c>
      <c r="DW814" s="1080" t="e">
        <f t="shared" si="4597"/>
        <v>#REF!</v>
      </c>
      <c r="DX814" s="1080" t="e">
        <f t="shared" si="4597"/>
        <v>#REF!</v>
      </c>
      <c r="DY814" s="1081" t="e">
        <f t="shared" ref="DY814:EG814" si="4598">DY813/DQ813-1</f>
        <v>#REF!</v>
      </c>
      <c r="DZ814" s="1080">
        <f t="shared" si="4598"/>
        <v>0.292929292929293</v>
      </c>
      <c r="EA814" s="1080">
        <f t="shared" si="4598"/>
        <v>-0.0694864048338368</v>
      </c>
      <c r="EB814" s="1080">
        <f t="shared" si="4598"/>
        <v>0.101910828025478</v>
      </c>
      <c r="EC814" s="1080">
        <f t="shared" si="4598"/>
        <v>-0.0723404255319149</v>
      </c>
      <c r="ED814" s="1080">
        <f t="shared" si="4598"/>
        <v>0.0273224043715847</v>
      </c>
      <c r="EE814" s="1082" t="e">
        <f t="shared" si="4598"/>
        <v>#REF!</v>
      </c>
      <c r="EF814" s="1082" t="e">
        <f t="shared" si="4598"/>
        <v>#REF!</v>
      </c>
      <c r="EG814" s="1081" t="e">
        <f t="shared" si="4598"/>
        <v>#REF!</v>
      </c>
      <c r="EH814" s="1080">
        <f t="shared" ref="EH814:EO814" si="4599">EH813/DZ813-1</f>
        <v>-0.104166666666667</v>
      </c>
      <c r="EI814" s="1080">
        <f t="shared" si="4599"/>
        <v>-0.383116883116883</v>
      </c>
      <c r="EJ814" s="1080">
        <f t="shared" si="4599"/>
        <v>-0.228323699421965</v>
      </c>
      <c r="EK814" s="1080">
        <f t="shared" si="4599"/>
        <v>-0.341743119266055</v>
      </c>
      <c r="EL814" s="1080">
        <f t="shared" si="4599"/>
        <v>-0.272163120567376</v>
      </c>
      <c r="EM814" s="1080">
        <f t="shared" si="4599"/>
        <v>-0.172413793103448</v>
      </c>
      <c r="EN814" s="1080">
        <f t="shared" si="4599"/>
        <v>-0.266581632653061</v>
      </c>
      <c r="EO814" s="1081">
        <f t="shared" si="4599"/>
        <v>-0.248644986449865</v>
      </c>
      <c r="EP814" s="1080">
        <f t="shared" ref="EP814:FB814" si="4600">EP813/EH813-1</f>
        <v>-0.229651162790698</v>
      </c>
      <c r="EQ814" s="1080">
        <f t="shared" si="4600"/>
        <v>0.121052631578947</v>
      </c>
      <c r="ER814" s="1080">
        <f t="shared" si="4600"/>
        <v>-0.104868913857678</v>
      </c>
      <c r="ES814" s="1080">
        <f t="shared" si="4600"/>
        <v>0.00696864111498252</v>
      </c>
      <c r="ET814" s="1080">
        <f t="shared" si="4600"/>
        <v>-0.0657734470158343</v>
      </c>
      <c r="EU814" s="1080">
        <f t="shared" si="4600"/>
        <v>-0.0173611111111112</v>
      </c>
      <c r="EV814" s="1080">
        <f t="shared" si="4600"/>
        <v>-0.00521739130434784</v>
      </c>
      <c r="EW814" s="1081">
        <f t="shared" si="4600"/>
        <v>-0.0532010820559062</v>
      </c>
      <c r="EX814" s="1218">
        <f t="shared" si="4600"/>
        <v>-0.105660377358491</v>
      </c>
      <c r="EY814" s="1080">
        <f t="shared" si="4600"/>
        <v>-0.0234741784037559</v>
      </c>
      <c r="EZ814" s="1080">
        <f t="shared" si="4600"/>
        <v>-0.0690376569037657</v>
      </c>
      <c r="FA814" s="1080">
        <f t="shared" si="4600"/>
        <v>-0.0034602076124568</v>
      </c>
      <c r="FB814" s="1080">
        <f t="shared" si="4600"/>
        <v>-0.0443285528031291</v>
      </c>
      <c r="FC814" s="1080"/>
      <c r="FD814" s="1080"/>
      <c r="FE814" s="1081"/>
      <c r="FF814" s="1080"/>
      <c r="FG814" s="1080"/>
      <c r="FH814" s="1080"/>
      <c r="FI814" s="1080"/>
      <c r="FJ814" s="1080"/>
      <c r="FK814" s="1080"/>
      <c r="FL814" s="1080"/>
      <c r="FM814" s="1081"/>
      <c r="FN814" s="1080"/>
      <c r="FO814" s="1080"/>
      <c r="FP814" s="1080"/>
      <c r="FQ814" s="1080"/>
      <c r="FR814" s="1080"/>
      <c r="FS814" s="1080"/>
      <c r="FT814" s="1080"/>
      <c r="FU814" s="1080"/>
      <c r="FV814" s="1150"/>
      <c r="FW814" s="1080"/>
      <c r="FX814" s="1080"/>
      <c r="FY814" s="1080"/>
      <c r="FZ814" s="1080"/>
      <c r="GA814" s="1080"/>
      <c r="GB814" s="1080"/>
      <c r="GC814" s="1081"/>
      <c r="GD814" s="1080"/>
      <c r="GE814" s="1080"/>
      <c r="GF814" s="1080"/>
      <c r="GG814" s="1080"/>
      <c r="GH814" s="1080"/>
      <c r="GI814" s="1080"/>
      <c r="GJ814" s="1080"/>
      <c r="GK814" s="1081"/>
      <c r="GL814" s="1080"/>
      <c r="GM814" s="1080"/>
      <c r="GN814" s="1080"/>
      <c r="GO814" s="1080"/>
      <c r="GP814" s="1080"/>
      <c r="GQ814" s="1080"/>
      <c r="GR814" s="1080"/>
      <c r="GS814" s="1081"/>
      <c r="GT814" s="1080"/>
      <c r="GU814" s="1080"/>
      <c r="GV814" s="1080"/>
      <c r="GW814" s="1080"/>
      <c r="GX814" s="1080"/>
      <c r="GY814" s="1080"/>
      <c r="GZ814" s="1080"/>
      <c r="HA814" s="1081"/>
      <c r="HB814" s="1080"/>
      <c r="HC814" s="1080"/>
      <c r="HD814" s="1080"/>
      <c r="HE814" s="1080"/>
      <c r="HF814" s="1080"/>
      <c r="HG814" s="1080"/>
      <c r="HH814" s="1080"/>
      <c r="HI814" s="1081"/>
      <c r="HJ814" s="1080"/>
      <c r="HK814" s="1080"/>
      <c r="HL814" s="1080"/>
      <c r="HM814" s="1080"/>
      <c r="HN814" s="1080"/>
      <c r="HO814" s="1080"/>
      <c r="HP814" s="1080"/>
      <c r="HQ814" s="1081"/>
      <c r="HR814" s="1080"/>
      <c r="HS814" s="1080"/>
      <c r="HT814" s="1080"/>
      <c r="HU814" s="1080"/>
      <c r="HV814" s="1080"/>
      <c r="HW814" s="1080"/>
      <c r="HX814" s="1080"/>
      <c r="HY814" s="1080"/>
      <c r="HZ814" s="1080"/>
      <c r="IA814" s="1080"/>
      <c r="IB814" s="1080"/>
      <c r="IC814" s="1080"/>
      <c r="ID814" s="1080"/>
      <c r="IE814" s="1080"/>
      <c r="IF814" s="1080"/>
      <c r="IG814" s="1081"/>
      <c r="IH814" s="1080"/>
      <c r="II814" s="1080"/>
      <c r="IJ814" s="1080"/>
      <c r="IK814" s="1080"/>
      <c r="IL814" s="1080"/>
      <c r="IM814" s="1080"/>
      <c r="IN814" s="1080"/>
      <c r="IO814" s="1081"/>
      <c r="IP814" s="1080"/>
      <c r="IQ814" s="1080"/>
      <c r="IR814" s="1080"/>
      <c r="IS814" s="1080"/>
      <c r="IT814" s="1080"/>
      <c r="IU814" s="1080"/>
      <c r="IV814" s="1080"/>
      <c r="IW814" s="1080"/>
      <c r="IX814" s="1049"/>
      <c r="IY814" s="1049"/>
      <c r="IZ814" s="1049"/>
      <c r="JA814" s="1049"/>
      <c r="JB814" s="1049"/>
      <c r="JC814" s="1049"/>
      <c r="JD814" s="1041"/>
      <c r="JE814" s="1037"/>
      <c r="JF814" s="1037"/>
      <c r="JG814" s="1037"/>
      <c r="JH814" s="1037"/>
      <c r="JI814" s="1035"/>
      <c r="JJ814" s="1035"/>
      <c r="JK814" s="1035"/>
      <c r="JL814" s="1035"/>
      <c r="JM814" s="1035"/>
      <c r="JN814" s="1035"/>
      <c r="JO814" s="1035"/>
      <c r="JP814" s="1035"/>
      <c r="JQ814" s="1035"/>
      <c r="JR814" s="1035"/>
      <c r="JS814" s="1035"/>
      <c r="JT814" s="1035"/>
      <c r="JU814" s="1035"/>
      <c r="JV814" s="1035"/>
      <c r="JW814" s="1035"/>
      <c r="JX814" s="1035"/>
      <c r="JY814" s="1035"/>
      <c r="LV814" s="1117"/>
    </row>
    <row r="815" outlineLevel="1" spans="1:334">
      <c r="A815" s="967" t="s">
        <v>65</v>
      </c>
      <c r="AX815" s="1059"/>
      <c r="BE815" s="1060"/>
      <c r="BN815" s="1059"/>
      <c r="BU815" s="1060"/>
      <c r="BV815" s="1059"/>
      <c r="CC815" s="1060"/>
      <c r="CD815" s="1059"/>
      <c r="CJ815" s="1061"/>
      <c r="CK815" s="1060"/>
      <c r="CL815" s="1059"/>
      <c r="CS815" s="1060"/>
      <c r="CT815" s="967"/>
      <c r="CU815" s="967"/>
      <c r="CV815" s="967"/>
      <c r="CW815" s="967"/>
      <c r="CX815" s="967"/>
      <c r="CY815" s="967"/>
      <c r="CZ815" s="967"/>
      <c r="DA815" s="967"/>
      <c r="DB815" s="1080"/>
      <c r="DC815" s="1080"/>
      <c r="DD815" s="1080"/>
      <c r="DE815" s="1080"/>
      <c r="DF815" s="1080"/>
      <c r="DG815" s="1080"/>
      <c r="DH815" s="1080"/>
      <c r="DI815" s="1081"/>
      <c r="DJ815" s="1080">
        <v>-0.08</v>
      </c>
      <c r="DK815" s="1080">
        <v>-0.12</v>
      </c>
      <c r="DL815" s="1080">
        <f>(DJ815*DB813+DK815*DC813)/DD813</f>
        <v>-0.0991789819376026</v>
      </c>
      <c r="DM815" s="1080">
        <v>-0.16</v>
      </c>
      <c r="DN815" s="1080">
        <f>(DJ815*DB813+DK815*DC813+DM815*DE813)/DF813</f>
        <v>-0.124690181124881</v>
      </c>
      <c r="DO815" s="1080">
        <v>-0.05</v>
      </c>
      <c r="DP815" s="1080">
        <f>(DM815*DE813+DO815*DG813)/DH813</f>
        <v>-0.110424469413233</v>
      </c>
      <c r="DQ815" s="1081" t="e">
        <f>'Profit and Loss'!#REF!</f>
        <v>#REF!</v>
      </c>
      <c r="DR815" s="1080">
        <v>-0.03</v>
      </c>
      <c r="DS815" s="1080">
        <f>((DT815*DL813)-(DR815*DJ813))/DK813</f>
        <v>0.164264150943396</v>
      </c>
      <c r="DT815" s="1080">
        <v>0.06</v>
      </c>
      <c r="DU815" s="1080">
        <f>((DV815*DN813)-(DT815*DL813))/DM813</f>
        <v>0.161505376344086</v>
      </c>
      <c r="DV815" s="1080">
        <v>0.1</v>
      </c>
      <c r="DW815" s="1080" t="e">
        <f>((DX815*DP813)-(DU815*DM813))/DO813</f>
        <v>#REF!</v>
      </c>
      <c r="DX815" s="1080" t="e">
        <f>((DY815*DQ813)-(DT815*DL813))/DP813</f>
        <v>#REF!</v>
      </c>
      <c r="DY815" s="1081" t="e">
        <f>'Profit and Loss'!#REF!</f>
        <v>#REF!</v>
      </c>
      <c r="DZ815" s="1080">
        <v>0.26</v>
      </c>
      <c r="EA815" s="1080"/>
      <c r="EB815" s="1080">
        <v>0.13</v>
      </c>
      <c r="EC815" s="1080"/>
      <c r="ED815" s="1080">
        <v>0.06</v>
      </c>
      <c r="EE815" s="1080"/>
      <c r="EF815" s="1080"/>
      <c r="EG815" s="1081">
        <v>0.03</v>
      </c>
      <c r="EH815" s="1080">
        <v>0.12</v>
      </c>
      <c r="EI815" s="1080">
        <f>(EB813*EJ815-DZ813*EH815)/EA813</f>
        <v>-0.711298701298701</v>
      </c>
      <c r="EJ815" s="1080">
        <v>-0.25</v>
      </c>
      <c r="EK815" s="1080">
        <f>(ED813*EL815-EB813*EJ815)/EC813</f>
        <v>-0.379357798165138</v>
      </c>
      <c r="EL815" s="1080">
        <v>-0.3</v>
      </c>
      <c r="EM815" s="1080"/>
      <c r="EN815" s="1080"/>
      <c r="EO815" s="1081">
        <v>-0.28</v>
      </c>
      <c r="EP815" s="1080">
        <v>-0.21</v>
      </c>
      <c r="EQ815" s="1080">
        <f>(EJ813*ER815-EH813*EP815)/EI813</f>
        <v>0.183473684210526</v>
      </c>
      <c r="ER815" s="1080">
        <v>-0.07</v>
      </c>
      <c r="ES815" s="1080">
        <f>(EL813*ET815-EJ813*ER815)/EK813</f>
        <v>0.101637630662021</v>
      </c>
      <c r="ET815" s="1080">
        <v>-0.01</v>
      </c>
      <c r="EU815" s="1080">
        <f>(EO813*EW815-EH813*EP815-EI813*EQ815-EK813*ES815)/EM813</f>
        <v>0.0670138888888889</v>
      </c>
      <c r="EV815" s="1080">
        <f>(EO813*EW815-EJ813*ER815)/EN813</f>
        <v>0.084295652173913</v>
      </c>
      <c r="EW815" s="1081">
        <v>0.01</v>
      </c>
      <c r="EX815" s="1218">
        <v>-0.03</v>
      </c>
      <c r="EY815" s="1080">
        <f>(ER813*EZ815-EP813*EX815)/EQ813</f>
        <v>0.0597652582159624</v>
      </c>
      <c r="EZ815" s="1080">
        <v>0.01</v>
      </c>
      <c r="FA815" s="1080">
        <f>(ET813*FB815-ER813*EZ815)/ES813</f>
        <v>0.0365397923875432</v>
      </c>
      <c r="FB815" s="1080">
        <v>0.02</v>
      </c>
      <c r="FC815" s="1080"/>
      <c r="FD815" s="1080"/>
      <c r="FE815" s="1081"/>
      <c r="FF815" s="1080"/>
      <c r="FG815" s="1080"/>
      <c r="FH815" s="1080"/>
      <c r="FI815" s="1080"/>
      <c r="FJ815" s="1080"/>
      <c r="FK815" s="1080"/>
      <c r="FL815" s="1080"/>
      <c r="FM815" s="1081"/>
      <c r="FN815" s="1080"/>
      <c r="FO815" s="1080"/>
      <c r="FP815" s="1080"/>
      <c r="FQ815" s="1080"/>
      <c r="FR815" s="1080"/>
      <c r="FS815" s="1080"/>
      <c r="FT815" s="1080"/>
      <c r="FU815" s="1080"/>
      <c r="FV815" s="1150"/>
      <c r="FW815" s="1080"/>
      <c r="FX815" s="1080"/>
      <c r="FY815" s="1080"/>
      <c r="FZ815" s="1080"/>
      <c r="GA815" s="1080"/>
      <c r="GB815" s="1080"/>
      <c r="GC815" s="1081"/>
      <c r="GD815" s="1080"/>
      <c r="GE815" s="1080"/>
      <c r="GF815" s="1080"/>
      <c r="GG815" s="1080"/>
      <c r="GH815" s="1080"/>
      <c r="GI815" s="1080"/>
      <c r="GJ815" s="1080"/>
      <c r="GK815" s="1081"/>
      <c r="GL815" s="1080"/>
      <c r="GM815" s="1080"/>
      <c r="GN815" s="1080"/>
      <c r="GO815" s="1080"/>
      <c r="GP815" s="1080"/>
      <c r="GQ815" s="1080"/>
      <c r="GR815" s="1080"/>
      <c r="GS815" s="1081"/>
      <c r="GT815" s="1080"/>
      <c r="GU815" s="1080"/>
      <c r="GV815" s="1080"/>
      <c r="GW815" s="1080"/>
      <c r="GX815" s="1080"/>
      <c r="GY815" s="1080"/>
      <c r="GZ815" s="1080"/>
      <c r="HA815" s="1081"/>
      <c r="HB815" s="1080"/>
      <c r="HC815" s="1080"/>
      <c r="HD815" s="1080"/>
      <c r="HE815" s="1080"/>
      <c r="HF815" s="1080"/>
      <c r="HG815" s="1080"/>
      <c r="HH815" s="1080"/>
      <c r="HI815" s="1081"/>
      <c r="HJ815" s="1080"/>
      <c r="HK815" s="1080"/>
      <c r="HL815" s="1080"/>
      <c r="HM815" s="1080"/>
      <c r="HN815" s="1080"/>
      <c r="HO815" s="1080"/>
      <c r="HP815" s="1080"/>
      <c r="HQ815" s="1081"/>
      <c r="HR815" s="1080"/>
      <c r="HS815" s="1080"/>
      <c r="HT815" s="1080"/>
      <c r="HU815" s="1080"/>
      <c r="HV815" s="1080"/>
      <c r="HW815" s="1080"/>
      <c r="HX815" s="1080"/>
      <c r="HY815" s="1080"/>
      <c r="HZ815" s="1080"/>
      <c r="IA815" s="1080"/>
      <c r="IB815" s="1080"/>
      <c r="IC815" s="1080"/>
      <c r="ID815" s="1080"/>
      <c r="IE815" s="1080"/>
      <c r="IF815" s="1080"/>
      <c r="IG815" s="1081"/>
      <c r="IH815" s="1080"/>
      <c r="II815" s="1080"/>
      <c r="IJ815" s="1080"/>
      <c r="IK815" s="1080"/>
      <c r="IL815" s="1080"/>
      <c r="IM815" s="1080"/>
      <c r="IN815" s="1080"/>
      <c r="IO815" s="1081"/>
      <c r="IP815" s="1080"/>
      <c r="IQ815" s="1080"/>
      <c r="IR815" s="1080"/>
      <c r="IS815" s="1080"/>
      <c r="IT815" s="1080"/>
      <c r="IU815" s="1080"/>
      <c r="IV815" s="1080"/>
      <c r="IW815" s="1080"/>
      <c r="IX815" s="1049"/>
      <c r="IY815" s="1049"/>
      <c r="IZ815" s="1049"/>
      <c r="JA815" s="1049"/>
      <c r="JB815" s="1049"/>
      <c r="JC815" s="1049"/>
      <c r="JD815" s="1041"/>
      <c r="JE815" s="1037"/>
      <c r="JF815" s="1037"/>
      <c r="JG815" s="1037"/>
      <c r="JH815" s="1037"/>
      <c r="JI815" s="1035"/>
      <c r="JJ815" s="1035"/>
      <c r="JK815" s="1035"/>
      <c r="JL815" s="1035"/>
      <c r="JM815" s="1035"/>
      <c r="JN815" s="1035"/>
      <c r="JO815" s="1035"/>
      <c r="JP815" s="1035"/>
      <c r="JQ815" s="1035"/>
      <c r="JR815" s="1035"/>
      <c r="JS815" s="1035"/>
      <c r="JT815" s="1035"/>
      <c r="JU815" s="1035"/>
      <c r="JV815" s="1035"/>
      <c r="JW815" s="1035"/>
      <c r="JX815" s="1035"/>
      <c r="JY815" s="1035"/>
      <c r="LV815" s="969"/>
    </row>
    <row r="816" outlineLevel="1" spans="1:334">
      <c r="A816" s="1152" t="s">
        <v>671</v>
      </c>
      <c r="AX816" s="1059"/>
      <c r="BE816" s="1060"/>
      <c r="BN816" s="1059"/>
      <c r="BU816" s="1060"/>
      <c r="BV816" s="1059"/>
      <c r="CC816" s="1060"/>
      <c r="CD816" s="1059"/>
      <c r="CJ816" s="1061"/>
      <c r="CK816" s="1060"/>
      <c r="CL816" s="1059"/>
      <c r="CS816" s="1060"/>
      <c r="CT816" s="967"/>
      <c r="CU816" s="967"/>
      <c r="CV816" s="967"/>
      <c r="CW816" s="967"/>
      <c r="CX816" s="967"/>
      <c r="CY816" s="967"/>
      <c r="CZ816" s="967"/>
      <c r="DA816" s="967"/>
      <c r="DB816" s="1080"/>
      <c r="DC816" s="1080"/>
      <c r="DD816" s="1080"/>
      <c r="DE816" s="1080"/>
      <c r="DF816" s="1080"/>
      <c r="DG816" s="1080"/>
      <c r="DH816" s="1080"/>
      <c r="DI816" s="1081"/>
      <c r="DJ816" s="1080"/>
      <c r="DK816" s="1080"/>
      <c r="DL816" s="1080"/>
      <c r="DM816" s="1080"/>
      <c r="DN816" s="1080"/>
      <c r="DO816" s="1080"/>
      <c r="DP816" s="1080"/>
      <c r="DQ816" s="1081"/>
      <c r="DR816" s="1080"/>
      <c r="DS816" s="1080"/>
      <c r="DT816" s="1080"/>
      <c r="DU816" s="1080"/>
      <c r="DV816" s="1080"/>
      <c r="DW816" s="1080"/>
      <c r="DX816" s="1080"/>
      <c r="DY816" s="1081"/>
      <c r="DZ816" s="1071">
        <f>+DZ817-DZ813-DZ810-DZ807</f>
        <v>0</v>
      </c>
      <c r="EA816" s="1071">
        <f t="shared" ref="EA816:EF816" si="4601">+EA817-EA813-EA810-EA807</f>
        <v>10</v>
      </c>
      <c r="EB816" s="1071">
        <f t="shared" si="4601"/>
        <v>10</v>
      </c>
      <c r="EC816" s="1071">
        <f t="shared" si="4601"/>
        <v>11</v>
      </c>
      <c r="ED816" s="1071">
        <f t="shared" si="4601"/>
        <v>21</v>
      </c>
      <c r="EE816" s="1071">
        <f t="shared" si="4601"/>
        <v>14</v>
      </c>
      <c r="EF816" s="1071">
        <f t="shared" si="4601"/>
        <v>25</v>
      </c>
      <c r="EG816" s="1072">
        <f t="shared" ref="EG816:EO816" si="4602">+EG817-EG813-EG810-EG807</f>
        <v>35</v>
      </c>
      <c r="EH816" s="1071">
        <f t="shared" si="4602"/>
        <v>-5</v>
      </c>
      <c r="EI816" s="1071">
        <f t="shared" si="4602"/>
        <v>25</v>
      </c>
      <c r="EJ816" s="1071">
        <f t="shared" si="4602"/>
        <v>20</v>
      </c>
      <c r="EK816" s="1071">
        <f t="shared" si="4602"/>
        <v>16</v>
      </c>
      <c r="EL816" s="1071">
        <f t="shared" si="4602"/>
        <v>36</v>
      </c>
      <c r="EM816" s="1071">
        <f t="shared" si="4602"/>
        <v>8</v>
      </c>
      <c r="EN816" s="1071">
        <f t="shared" si="4602"/>
        <v>24</v>
      </c>
      <c r="EO816" s="1072">
        <f t="shared" si="4602"/>
        <v>44</v>
      </c>
      <c r="EP816" s="1071">
        <f t="shared" ref="EP816:FB816" si="4603">+EP817-EP813-EP810-EP807</f>
        <v>-15</v>
      </c>
      <c r="EQ816" s="1071">
        <f t="shared" si="4603"/>
        <v>-2</v>
      </c>
      <c r="ER816" s="1071">
        <f t="shared" si="4603"/>
        <v>-17</v>
      </c>
      <c r="ES816" s="1071">
        <f t="shared" si="4603"/>
        <v>-28</v>
      </c>
      <c r="ET816" s="1071">
        <f t="shared" si="4603"/>
        <v>-45</v>
      </c>
      <c r="EU816" s="1071">
        <f t="shared" si="4603"/>
        <v>22</v>
      </c>
      <c r="EV816" s="1071">
        <f t="shared" si="4603"/>
        <v>-6</v>
      </c>
      <c r="EW816" s="1072">
        <f t="shared" si="4603"/>
        <v>-23</v>
      </c>
      <c r="EX816" s="1076">
        <f t="shared" si="4603"/>
        <v>1</v>
      </c>
      <c r="EY816" s="1076">
        <f t="shared" si="4603"/>
        <v>-16</v>
      </c>
      <c r="EZ816" s="1076">
        <f t="shared" si="4603"/>
        <v>-15</v>
      </c>
      <c r="FA816" s="1071">
        <f t="shared" si="4603"/>
        <v>-9</v>
      </c>
      <c r="FB816" s="1076">
        <f t="shared" si="4603"/>
        <v>-24</v>
      </c>
      <c r="FC816" s="1071"/>
      <c r="FD816" s="1071"/>
      <c r="FE816" s="1072"/>
      <c r="FF816" s="1071"/>
      <c r="FG816" s="1071"/>
      <c r="FH816" s="1071"/>
      <c r="FI816" s="1071"/>
      <c r="FJ816" s="1071"/>
      <c r="FK816" s="1071"/>
      <c r="FL816" s="1071"/>
      <c r="FM816" s="1072"/>
      <c r="FN816" s="1071"/>
      <c r="FO816" s="1071"/>
      <c r="FP816" s="1071"/>
      <c r="FQ816" s="1071"/>
      <c r="FR816" s="1071"/>
      <c r="FS816" s="1071"/>
      <c r="FT816" s="1071"/>
      <c r="FU816" s="1071"/>
      <c r="FV816" s="1177"/>
      <c r="FW816" s="1071"/>
      <c r="FX816" s="1071"/>
      <c r="FY816" s="1071"/>
      <c r="FZ816" s="1071"/>
      <c r="GA816" s="1071"/>
      <c r="GB816" s="1071"/>
      <c r="GC816" s="1072"/>
      <c r="GD816" s="1071"/>
      <c r="GE816" s="1071"/>
      <c r="GF816" s="1071"/>
      <c r="GG816" s="1071"/>
      <c r="GH816" s="1071"/>
      <c r="GI816" s="1071"/>
      <c r="GJ816" s="1071"/>
      <c r="GK816" s="1072"/>
      <c r="GL816" s="1071"/>
      <c r="GM816" s="1071"/>
      <c r="GN816" s="1071"/>
      <c r="GO816" s="1071"/>
      <c r="GP816" s="1071"/>
      <c r="GQ816" s="1071"/>
      <c r="GR816" s="1071"/>
      <c r="GS816" s="1072"/>
      <c r="GT816" s="1071"/>
      <c r="GU816" s="1071"/>
      <c r="GV816" s="1071"/>
      <c r="GW816" s="1071"/>
      <c r="GX816" s="1071"/>
      <c r="GY816" s="1071"/>
      <c r="GZ816" s="1071"/>
      <c r="HA816" s="1072"/>
      <c r="HB816" s="1071"/>
      <c r="HC816" s="1071"/>
      <c r="HD816" s="1071"/>
      <c r="HE816" s="1071"/>
      <c r="HF816" s="1071"/>
      <c r="HG816" s="1071"/>
      <c r="HH816" s="1071"/>
      <c r="HI816" s="1072"/>
      <c r="HJ816" s="1071"/>
      <c r="HK816" s="1071"/>
      <c r="HL816" s="1071"/>
      <c r="HM816" s="1071"/>
      <c r="HN816" s="1071"/>
      <c r="HO816" s="1071"/>
      <c r="HP816" s="1071"/>
      <c r="HQ816" s="1072"/>
      <c r="HR816" s="1071"/>
      <c r="HS816" s="1071"/>
      <c r="HT816" s="1071"/>
      <c r="HU816" s="1071"/>
      <c r="HV816" s="1071"/>
      <c r="HW816" s="1071"/>
      <c r="HX816" s="1071"/>
      <c r="HY816" s="1071"/>
      <c r="HZ816" s="1071"/>
      <c r="IA816" s="1071"/>
      <c r="IB816" s="1071"/>
      <c r="IC816" s="1071"/>
      <c r="ID816" s="1071"/>
      <c r="IE816" s="1071"/>
      <c r="IF816" s="1071"/>
      <c r="IG816" s="1072"/>
      <c r="IH816" s="1071"/>
      <c r="II816" s="1071"/>
      <c r="IJ816" s="1071"/>
      <c r="IK816" s="1071"/>
      <c r="IL816" s="1071"/>
      <c r="IM816" s="1071"/>
      <c r="IN816" s="1071"/>
      <c r="IO816" s="1072"/>
      <c r="IP816" s="1071"/>
      <c r="IQ816" s="1071"/>
      <c r="IR816" s="1071"/>
      <c r="IS816" s="1071"/>
      <c r="IT816" s="1071"/>
      <c r="IU816" s="1071"/>
      <c r="IV816" s="1071"/>
      <c r="IW816" s="1071"/>
      <c r="IX816" s="1049"/>
      <c r="IY816" s="1049"/>
      <c r="IZ816" s="1049"/>
      <c r="JA816" s="1049"/>
      <c r="JB816" s="1049"/>
      <c r="JC816" s="1049"/>
      <c r="JD816" s="1041"/>
      <c r="JE816" s="1037"/>
      <c r="JF816" s="1037"/>
      <c r="JG816" s="1037"/>
      <c r="JH816" s="1037"/>
      <c r="JI816" s="1035"/>
      <c r="JJ816" s="1035"/>
      <c r="JK816" s="1035"/>
      <c r="JL816" s="1035"/>
      <c r="JM816" s="1035"/>
      <c r="JN816" s="1035"/>
      <c r="JO816" s="1035"/>
      <c r="JP816" s="1035"/>
      <c r="JQ816" s="1035"/>
      <c r="JR816" s="1035"/>
      <c r="JS816" s="1035"/>
      <c r="JT816" s="1035"/>
      <c r="JU816" s="1035"/>
      <c r="JV816" s="1035"/>
      <c r="JW816" s="1035"/>
      <c r="JX816" s="1035"/>
      <c r="JY816" s="1035"/>
      <c r="LV816" s="969"/>
    </row>
    <row r="817" outlineLevel="1" spans="1:334">
      <c r="A817" s="1607" t="s">
        <v>212</v>
      </c>
      <c r="AX817" s="1059"/>
      <c r="BE817" s="1060"/>
      <c r="BN817" s="1059"/>
      <c r="BU817" s="1060"/>
      <c r="BV817" s="1059"/>
      <c r="CC817" s="1060"/>
      <c r="CD817" s="1059"/>
      <c r="CJ817" s="1061"/>
      <c r="CK817" s="1060"/>
      <c r="CL817" s="1059"/>
      <c r="CS817" s="1060"/>
      <c r="CT817" s="1607"/>
      <c r="CU817" s="1607"/>
      <c r="CV817" s="1607"/>
      <c r="CW817" s="1607"/>
      <c r="CX817" s="1607"/>
      <c r="CY817" s="1607"/>
      <c r="CZ817" s="1607"/>
      <c r="DA817" s="1607"/>
      <c r="DB817" s="1106">
        <f t="shared" ref="DB817:DN817" si="4604">SUM(DB813,DB810,DB807)</f>
        <v>1963</v>
      </c>
      <c r="DC817" s="1106">
        <f t="shared" si="4604"/>
        <v>1750</v>
      </c>
      <c r="DD817" s="1106">
        <f t="shared" si="4604"/>
        <v>3713</v>
      </c>
      <c r="DE817" s="1106">
        <f t="shared" si="4604"/>
        <v>2235</v>
      </c>
      <c r="DF817" s="1106">
        <f t="shared" si="4604"/>
        <v>5948</v>
      </c>
      <c r="DG817" s="1106">
        <f t="shared" si="4604"/>
        <v>1798</v>
      </c>
      <c r="DH817" s="1106">
        <f t="shared" si="4604"/>
        <v>4033</v>
      </c>
      <c r="DI817" s="1107" t="e">
        <f t="shared" si="4604"/>
        <v>#REF!</v>
      </c>
      <c r="DJ817" s="1106">
        <f t="shared" si="4604"/>
        <v>1893</v>
      </c>
      <c r="DK817" s="1106">
        <f t="shared" si="4604"/>
        <v>1595</v>
      </c>
      <c r="DL817" s="1106">
        <f t="shared" si="4604"/>
        <v>3488</v>
      </c>
      <c r="DM817" s="1106">
        <f t="shared" si="4604"/>
        <v>2049</v>
      </c>
      <c r="DN817" s="1106">
        <f t="shared" si="4604"/>
        <v>5537</v>
      </c>
      <c r="DO817" s="1106">
        <f t="shared" ref="DO817:DY817" si="4605">SUM(DO813,DO810,DO807)</f>
        <v>1649</v>
      </c>
      <c r="DP817" s="1106">
        <f t="shared" si="4605"/>
        <v>3698</v>
      </c>
      <c r="DQ817" s="1107" t="e">
        <f t="shared" si="4605"/>
        <v>#REF!</v>
      </c>
      <c r="DR817" s="1106">
        <f t="shared" si="4605"/>
        <v>1898</v>
      </c>
      <c r="DS817" s="1106">
        <f t="shared" si="4605"/>
        <v>1920</v>
      </c>
      <c r="DT817" s="1106">
        <f t="shared" si="4605"/>
        <v>3818</v>
      </c>
      <c r="DU817" s="1106">
        <f t="shared" si="4605"/>
        <v>2420</v>
      </c>
      <c r="DV817" s="1106">
        <f t="shared" si="4605"/>
        <v>6238</v>
      </c>
      <c r="DW817" s="1106" t="e">
        <f t="shared" si="4605"/>
        <v>#REF!</v>
      </c>
      <c r="DX817" s="1106" t="e">
        <f t="shared" si="4605"/>
        <v>#REF!</v>
      </c>
      <c r="DY817" s="1107" t="e">
        <f t="shared" si="4605"/>
        <v>#REF!</v>
      </c>
      <c r="DZ817" s="1106">
        <f t="shared" ref="DZ817:EG817" si="4606">+DZ5</f>
        <v>2320</v>
      </c>
      <c r="EA817" s="1106">
        <f t="shared" si="4606"/>
        <v>1973</v>
      </c>
      <c r="EB817" s="1106">
        <f t="shared" si="4606"/>
        <v>4293</v>
      </c>
      <c r="EC817" s="1106">
        <f t="shared" si="4606"/>
        <v>2576</v>
      </c>
      <c r="ED817" s="1106">
        <f t="shared" si="4606"/>
        <v>6869</v>
      </c>
      <c r="EE817" s="1106">
        <f t="shared" si="4606"/>
        <v>2081</v>
      </c>
      <c r="EF817" s="1106">
        <f t="shared" si="4606"/>
        <v>4657</v>
      </c>
      <c r="EG817" s="1107">
        <f t="shared" si="4606"/>
        <v>8950</v>
      </c>
      <c r="EH817" s="1106">
        <f t="shared" ref="EH817:FB817" si="4607">EH5</f>
        <v>2614</v>
      </c>
      <c r="EI817" s="1106">
        <f t="shared" si="4607"/>
        <v>2113</v>
      </c>
      <c r="EJ817" s="1106">
        <f t="shared" si="4607"/>
        <v>4727</v>
      </c>
      <c r="EK817" s="1106">
        <f t="shared" si="4607"/>
        <v>2743</v>
      </c>
      <c r="EL817" s="1106">
        <f t="shared" si="4607"/>
        <v>7470</v>
      </c>
      <c r="EM817" s="1106">
        <f t="shared" si="4607"/>
        <v>2063</v>
      </c>
      <c r="EN817" s="1106">
        <f t="shared" si="4607"/>
        <v>4806</v>
      </c>
      <c r="EO817" s="1107">
        <f t="shared" si="4607"/>
        <v>9533</v>
      </c>
      <c r="EP817" s="1106">
        <f t="shared" si="4607"/>
        <v>2481</v>
      </c>
      <c r="EQ817" s="1106">
        <f t="shared" si="4607"/>
        <v>2014</v>
      </c>
      <c r="ER817" s="1106">
        <f t="shared" si="4607"/>
        <v>4495</v>
      </c>
      <c r="ES817" s="1106">
        <f t="shared" si="4607"/>
        <v>2553</v>
      </c>
      <c r="ET817" s="1106">
        <f t="shared" si="4607"/>
        <v>7048</v>
      </c>
      <c r="EU817" s="1106">
        <f t="shared" si="4607"/>
        <v>2052</v>
      </c>
      <c r="EV817" s="1106">
        <f t="shared" si="4607"/>
        <v>4605</v>
      </c>
      <c r="EW817" s="1107">
        <f t="shared" si="4607"/>
        <v>9100</v>
      </c>
      <c r="EX817" s="1106">
        <f t="shared" si="4607"/>
        <v>2357</v>
      </c>
      <c r="EY817" s="1106">
        <f t="shared" si="4607"/>
        <v>2085</v>
      </c>
      <c r="EZ817" s="1106">
        <f t="shared" si="4607"/>
        <v>4442</v>
      </c>
      <c r="FA817" s="1106">
        <f t="shared" si="4607"/>
        <v>2717</v>
      </c>
      <c r="FB817" s="1106">
        <f t="shared" si="4607"/>
        <v>7159</v>
      </c>
      <c r="FC817" s="1106"/>
      <c r="FD817" s="1106"/>
      <c r="FE817" s="1107"/>
      <c r="FF817" s="1106"/>
      <c r="FG817" s="1106"/>
      <c r="FH817" s="1106"/>
      <c r="FI817" s="1106"/>
      <c r="FJ817" s="1106"/>
      <c r="FK817" s="1106"/>
      <c r="FL817" s="1106"/>
      <c r="FM817" s="1107"/>
      <c r="FN817" s="1106"/>
      <c r="FO817" s="1106"/>
      <c r="FP817" s="1106"/>
      <c r="FQ817" s="1106"/>
      <c r="FR817" s="1106"/>
      <c r="FS817" s="1106"/>
      <c r="FT817" s="1106"/>
      <c r="FU817" s="1106"/>
      <c r="FV817" s="1108"/>
      <c r="FW817" s="1106"/>
      <c r="FX817" s="1106"/>
      <c r="FY817" s="1106"/>
      <c r="FZ817" s="1106"/>
      <c r="GA817" s="1106"/>
      <c r="GB817" s="1106"/>
      <c r="GC817" s="1107"/>
      <c r="GD817" s="1106"/>
      <c r="GE817" s="1106"/>
      <c r="GF817" s="1106"/>
      <c r="GG817" s="1106"/>
      <c r="GH817" s="1106"/>
      <c r="GI817" s="1106"/>
      <c r="GJ817" s="1106"/>
      <c r="GK817" s="1107"/>
      <c r="GL817" s="1106"/>
      <c r="GM817" s="1106"/>
      <c r="GN817" s="1106"/>
      <c r="GO817" s="1106"/>
      <c r="GP817" s="1106"/>
      <c r="GQ817" s="1106"/>
      <c r="GR817" s="1106"/>
      <c r="GS817" s="1107"/>
      <c r="GT817" s="1106"/>
      <c r="GU817" s="1106"/>
      <c r="GV817" s="1106"/>
      <c r="GW817" s="1106"/>
      <c r="GX817" s="1106"/>
      <c r="GY817" s="1106"/>
      <c r="GZ817" s="1106"/>
      <c r="HA817" s="1107"/>
      <c r="HB817" s="1106"/>
      <c r="HC817" s="1106"/>
      <c r="HD817" s="1106"/>
      <c r="HE817" s="1106"/>
      <c r="HF817" s="1106"/>
      <c r="HG817" s="1106"/>
      <c r="HH817" s="1106"/>
      <c r="HI817" s="1107"/>
      <c r="HJ817" s="1106"/>
      <c r="HK817" s="1106"/>
      <c r="HL817" s="1106"/>
      <c r="HM817" s="1106"/>
      <c r="HN817" s="1106"/>
      <c r="HO817" s="1106"/>
      <c r="HP817" s="1106"/>
      <c r="HQ817" s="1107"/>
      <c r="HR817" s="1106"/>
      <c r="HS817" s="1106"/>
      <c r="HT817" s="1106"/>
      <c r="HU817" s="1106"/>
      <c r="HV817" s="1106"/>
      <c r="HW817" s="1106"/>
      <c r="HX817" s="1106"/>
      <c r="HY817" s="1106"/>
      <c r="HZ817" s="1106"/>
      <c r="IA817" s="1106"/>
      <c r="IB817" s="1106"/>
      <c r="IC817" s="1106"/>
      <c r="ID817" s="1106"/>
      <c r="IE817" s="1106"/>
      <c r="IF817" s="1106"/>
      <c r="IG817" s="1107"/>
      <c r="IH817" s="1106"/>
      <c r="II817" s="1106"/>
      <c r="IJ817" s="1106"/>
      <c r="IK817" s="1106"/>
      <c r="IL817" s="1106"/>
      <c r="IM817" s="1106"/>
      <c r="IN817" s="1106"/>
      <c r="IO817" s="1107"/>
      <c r="IP817" s="1106"/>
      <c r="IQ817" s="1106"/>
      <c r="IR817" s="1106"/>
      <c r="IS817" s="1106"/>
      <c r="IT817" s="1106"/>
      <c r="IU817" s="1106"/>
      <c r="IV817" s="1106"/>
      <c r="IW817" s="1106"/>
      <c r="IX817" s="1049"/>
      <c r="IY817" s="1049"/>
      <c r="IZ817" s="1049"/>
      <c r="JA817" s="1049"/>
      <c r="JB817" s="1049"/>
      <c r="JC817" s="1049"/>
      <c r="JD817" s="1041"/>
      <c r="JE817" s="1037"/>
      <c r="JF817" s="1037"/>
      <c r="JG817" s="1037"/>
      <c r="JH817" s="1037"/>
      <c r="JI817" s="1035"/>
      <c r="JJ817" s="1035"/>
      <c r="JK817" s="1035"/>
      <c r="JL817" s="1035"/>
      <c r="JM817" s="1035"/>
      <c r="JN817" s="1035"/>
      <c r="JO817" s="1035"/>
      <c r="JP817" s="1035"/>
      <c r="JQ817" s="1035"/>
      <c r="JR817" s="1035"/>
      <c r="JS817" s="1035"/>
      <c r="JT817" s="1035"/>
      <c r="JU817" s="1035"/>
      <c r="JV817" s="1035"/>
      <c r="JW817" s="1035"/>
      <c r="JX817" s="1035"/>
      <c r="JY817" s="1035"/>
      <c r="LV817" s="1117"/>
    </row>
    <row r="818" outlineLevel="1" spans="1:334">
      <c r="A818" s="967" t="s">
        <v>61</v>
      </c>
      <c r="AX818" s="1059"/>
      <c r="BE818" s="1060"/>
      <c r="BN818" s="1059"/>
      <c r="BU818" s="1060"/>
      <c r="BV818" s="1059"/>
      <c r="CC818" s="1060"/>
      <c r="CD818" s="1059"/>
      <c r="CJ818" s="1061"/>
      <c r="CK818" s="1060"/>
      <c r="CL818" s="1059"/>
      <c r="CS818" s="1060"/>
      <c r="CT818" s="967"/>
      <c r="CU818" s="967"/>
      <c r="CV818" s="967"/>
      <c r="CW818" s="967"/>
      <c r="CX818" s="967"/>
      <c r="CY818" s="967"/>
      <c r="CZ818" s="967"/>
      <c r="DA818" s="967"/>
      <c r="DJ818" s="1080">
        <f t="shared" ref="DJ818:DQ818" si="4608">DJ817/DB817-1</f>
        <v>-0.0356597045338767</v>
      </c>
      <c r="DK818" s="1080">
        <f t="shared" si="4608"/>
        <v>-0.0885714285714285</v>
      </c>
      <c r="DL818" s="1080">
        <f t="shared" si="4608"/>
        <v>-0.0605978992728252</v>
      </c>
      <c r="DM818" s="1080">
        <f t="shared" si="4608"/>
        <v>-0.0832214765100671</v>
      </c>
      <c r="DN818" s="1080">
        <f t="shared" si="4608"/>
        <v>-0.0690988567585743</v>
      </c>
      <c r="DO818" s="1080">
        <f t="shared" si="4608"/>
        <v>-0.0828698553948832</v>
      </c>
      <c r="DP818" s="1080">
        <f t="shared" si="4608"/>
        <v>-0.083064716092239</v>
      </c>
      <c r="DQ818" s="1081" t="e">
        <f t="shared" si="4608"/>
        <v>#REF!</v>
      </c>
      <c r="DR818" s="1080">
        <f t="shared" ref="DR818:EG818" si="4609">DR817/DJ817-1</f>
        <v>0.00264131008980462</v>
      </c>
      <c r="DS818" s="1080">
        <f t="shared" si="4609"/>
        <v>0.203761755485893</v>
      </c>
      <c r="DT818" s="1080">
        <f t="shared" si="4609"/>
        <v>0.0946100917431192</v>
      </c>
      <c r="DU818" s="1080">
        <f t="shared" si="4609"/>
        <v>0.181063933626159</v>
      </c>
      <c r="DV818" s="1080">
        <f t="shared" si="4609"/>
        <v>0.126602853530793</v>
      </c>
      <c r="DW818" s="1080" t="e">
        <f t="shared" si="4609"/>
        <v>#REF!</v>
      </c>
      <c r="DX818" s="1080" t="e">
        <f t="shared" si="4609"/>
        <v>#REF!</v>
      </c>
      <c r="DY818" s="1081" t="e">
        <f t="shared" si="4609"/>
        <v>#REF!</v>
      </c>
      <c r="DZ818" s="1080">
        <f t="shared" si="4609"/>
        <v>0.222339304531085</v>
      </c>
      <c r="EA818" s="1080">
        <f t="shared" si="4609"/>
        <v>0.0276041666666667</v>
      </c>
      <c r="EB818" s="1080">
        <f t="shared" si="4609"/>
        <v>0.124410686223154</v>
      </c>
      <c r="EC818" s="1080">
        <f t="shared" si="4609"/>
        <v>0.0644628099173554</v>
      </c>
      <c r="ED818" s="1080">
        <f t="shared" si="4609"/>
        <v>0.101154216094902</v>
      </c>
      <c r="EE818" s="1080" t="e">
        <f t="shared" si="4609"/>
        <v>#REF!</v>
      </c>
      <c r="EF818" s="1080" t="e">
        <f t="shared" si="4609"/>
        <v>#REF!</v>
      </c>
      <c r="EG818" s="1081" t="e">
        <f t="shared" si="4609"/>
        <v>#REF!</v>
      </c>
      <c r="EH818" s="1080">
        <f t="shared" ref="EH818:EO818" si="4610">EH817/DZ817-1</f>
        <v>0.126724137931034</v>
      </c>
      <c r="EI818" s="1080">
        <f t="shared" si="4610"/>
        <v>0.0709579320831222</v>
      </c>
      <c r="EJ818" s="1080">
        <f t="shared" si="4610"/>
        <v>0.101094805497321</v>
      </c>
      <c r="EK818" s="1080">
        <f t="shared" si="4610"/>
        <v>0.0648291925465838</v>
      </c>
      <c r="EL818" s="1080">
        <f t="shared" si="4610"/>
        <v>0.0874945406900567</v>
      </c>
      <c r="EM818" s="1080">
        <f t="shared" si="4610"/>
        <v>-0.00864968765016816</v>
      </c>
      <c r="EN818" s="1080">
        <f t="shared" si="4610"/>
        <v>0.0319948464676831</v>
      </c>
      <c r="EO818" s="1081">
        <f t="shared" si="4610"/>
        <v>0.0651396648044693</v>
      </c>
      <c r="EP818" s="1080">
        <f t="shared" ref="EP818:FB818" si="4611">EP817/EH817-1</f>
        <v>-0.0508798775822494</v>
      </c>
      <c r="EQ818" s="1080">
        <f t="shared" si="4611"/>
        <v>-0.0468528159015618</v>
      </c>
      <c r="ER818" s="1080">
        <f t="shared" si="4611"/>
        <v>-0.049079754601227</v>
      </c>
      <c r="ES818" s="1080">
        <f t="shared" si="4611"/>
        <v>-0.0692672256653299</v>
      </c>
      <c r="ET818" s="1080">
        <f t="shared" si="4611"/>
        <v>-0.0564926372155288</v>
      </c>
      <c r="EU818" s="1080">
        <f t="shared" si="4611"/>
        <v>-0.00533204071740179</v>
      </c>
      <c r="EV818" s="1080">
        <f t="shared" si="4611"/>
        <v>-0.0418227215980025</v>
      </c>
      <c r="EW818" s="1081">
        <f t="shared" si="4611"/>
        <v>-0.0454211685723277</v>
      </c>
      <c r="EX818" s="1080">
        <f t="shared" si="4611"/>
        <v>-0.0499798468359532</v>
      </c>
      <c r="EY818" s="1080">
        <f t="shared" si="4611"/>
        <v>0.035253227408143</v>
      </c>
      <c r="EZ818" s="1080">
        <f t="shared" si="4611"/>
        <v>-0.0117908787541713</v>
      </c>
      <c r="FA818" s="1080">
        <f t="shared" si="4611"/>
        <v>0.064238151194673</v>
      </c>
      <c r="FB818" s="1080">
        <f t="shared" si="4611"/>
        <v>0.0157491486946653</v>
      </c>
      <c r="FC818" s="1080"/>
      <c r="FD818" s="1080"/>
      <c r="FE818" s="1081"/>
      <c r="FF818" s="1080"/>
      <c r="FG818" s="1080"/>
      <c r="FH818" s="1080"/>
      <c r="FI818" s="1080"/>
      <c r="FJ818" s="1080"/>
      <c r="FK818" s="1080"/>
      <c r="FL818" s="1080"/>
      <c r="FM818" s="1081"/>
      <c r="FN818" s="1080"/>
      <c r="FO818" s="1080"/>
      <c r="FP818" s="1080"/>
      <c r="FQ818" s="1080"/>
      <c r="FR818" s="1080"/>
      <c r="FS818" s="1080"/>
      <c r="FT818" s="1080"/>
      <c r="FU818" s="1080"/>
      <c r="FV818" s="1150"/>
      <c r="FW818" s="1080"/>
      <c r="FX818" s="1080"/>
      <c r="FY818" s="1080"/>
      <c r="FZ818" s="1080"/>
      <c r="GA818" s="1080"/>
      <c r="GB818" s="1080"/>
      <c r="GC818" s="1081"/>
      <c r="GD818" s="1080"/>
      <c r="GE818" s="1080"/>
      <c r="GF818" s="1080"/>
      <c r="GG818" s="1080"/>
      <c r="GH818" s="1080"/>
      <c r="GI818" s="1080"/>
      <c r="GJ818" s="1080"/>
      <c r="GK818" s="1081"/>
      <c r="GL818" s="1080"/>
      <c r="GM818" s="1080"/>
      <c r="GN818" s="1080"/>
      <c r="GO818" s="1080"/>
      <c r="GP818" s="1080"/>
      <c r="GQ818" s="1080"/>
      <c r="GR818" s="1080"/>
      <c r="GS818" s="1081"/>
      <c r="GT818" s="1080"/>
      <c r="GU818" s="1080"/>
      <c r="GV818" s="1080"/>
      <c r="GW818" s="1080"/>
      <c r="GX818" s="1080"/>
      <c r="GY818" s="1080"/>
      <c r="GZ818" s="1080"/>
      <c r="HA818" s="1081"/>
      <c r="HB818" s="1080"/>
      <c r="HC818" s="1080"/>
      <c r="HD818" s="1080"/>
      <c r="HE818" s="1080"/>
      <c r="HF818" s="1080"/>
      <c r="HG818" s="1080"/>
      <c r="HH818" s="1080"/>
      <c r="HI818" s="1081"/>
      <c r="HJ818" s="1080"/>
      <c r="HK818" s="1080"/>
      <c r="HL818" s="1080"/>
      <c r="HM818" s="1080"/>
      <c r="HN818" s="1080"/>
      <c r="HO818" s="1080"/>
      <c r="HP818" s="1080"/>
      <c r="HQ818" s="1081"/>
      <c r="HR818" s="1080"/>
      <c r="HS818" s="1080"/>
      <c r="HT818" s="1080"/>
      <c r="HU818" s="1080"/>
      <c r="HV818" s="1080"/>
      <c r="HW818" s="1080"/>
      <c r="HX818" s="1080"/>
      <c r="HY818" s="1080"/>
      <c r="HZ818" s="1080"/>
      <c r="IA818" s="1080"/>
      <c r="IB818" s="1080"/>
      <c r="IC818" s="1080"/>
      <c r="ID818" s="1080"/>
      <c r="IE818" s="1080"/>
      <c r="IF818" s="1080"/>
      <c r="IG818" s="1081"/>
      <c r="IH818" s="1080"/>
      <c r="II818" s="1080"/>
      <c r="IJ818" s="1080"/>
      <c r="IK818" s="1080"/>
      <c r="IL818" s="1080"/>
      <c r="IM818" s="1080"/>
      <c r="IN818" s="1080"/>
      <c r="IO818" s="1081"/>
      <c r="IP818" s="1080"/>
      <c r="IQ818" s="1080"/>
      <c r="IR818" s="1080"/>
      <c r="IS818" s="1080"/>
      <c r="IT818" s="1080"/>
      <c r="IU818" s="1080"/>
      <c r="IV818" s="1080"/>
      <c r="IW818" s="1080"/>
      <c r="IX818" s="1049"/>
      <c r="IY818" s="1049"/>
      <c r="IZ818" s="1049"/>
      <c r="JA818" s="1049"/>
      <c r="JB818" s="1049"/>
      <c r="JC818" s="1049"/>
      <c r="JD818" s="1041"/>
      <c r="JE818" s="1037"/>
      <c r="JF818" s="1037"/>
      <c r="JG818" s="1037"/>
      <c r="JH818" s="1037"/>
      <c r="JI818" s="1035"/>
      <c r="JJ818" s="1035"/>
      <c r="JK818" s="1035"/>
      <c r="JL818" s="1035"/>
      <c r="JM818" s="1035"/>
      <c r="JN818" s="1035"/>
      <c r="JO818" s="1035"/>
      <c r="JP818" s="1035"/>
      <c r="JQ818" s="1035"/>
      <c r="JR818" s="1035"/>
      <c r="JS818" s="1035"/>
      <c r="JT818" s="1035"/>
      <c r="JU818" s="1035"/>
      <c r="JV818" s="1035"/>
      <c r="JW818" s="1035"/>
      <c r="JX818" s="1035"/>
      <c r="JY818" s="1035"/>
      <c r="LV818" s="969"/>
    </row>
    <row r="819" outlineLevel="1" spans="1:334">
      <c r="A819" s="967"/>
      <c r="AX819" s="1059"/>
      <c r="BE819" s="1060"/>
      <c r="BN819" s="1059"/>
      <c r="BU819" s="1060"/>
      <c r="BV819" s="1059"/>
      <c r="CC819" s="1060"/>
      <c r="CD819" s="1059"/>
      <c r="CJ819" s="1061"/>
      <c r="CK819" s="1060"/>
      <c r="CL819" s="1059"/>
      <c r="CS819" s="1060"/>
      <c r="CT819" s="967"/>
      <c r="CU819" s="967"/>
      <c r="CV819" s="967"/>
      <c r="CW819" s="967"/>
      <c r="CX819" s="967"/>
      <c r="CY819" s="967"/>
      <c r="CZ819" s="967"/>
      <c r="DA819" s="967"/>
      <c r="DY819" s="1149"/>
      <c r="EG819" s="1149"/>
      <c r="EO819" s="1149"/>
      <c r="EQ819" s="1148"/>
      <c r="ER819" s="1148"/>
      <c r="ES819" s="1148"/>
      <c r="ET819" s="1148"/>
      <c r="EU819" s="1148"/>
      <c r="EV819" s="1148"/>
      <c r="EW819" s="1149"/>
      <c r="EX819" s="1148"/>
      <c r="EY819" s="1148"/>
      <c r="EZ819" s="1148"/>
      <c r="FA819" s="1148"/>
      <c r="FB819" s="1148"/>
      <c r="FC819" s="1148"/>
      <c r="FD819" s="1148"/>
      <c r="FE819" s="1149"/>
      <c r="FF819" s="1148"/>
      <c r="FG819" s="1148"/>
      <c r="FH819" s="1148"/>
      <c r="FI819" s="1148"/>
      <c r="FJ819" s="1148"/>
      <c r="FK819" s="1148"/>
      <c r="FL819" s="1148"/>
      <c r="FM819" s="1149"/>
      <c r="FN819" s="1148"/>
      <c r="FO819" s="1148"/>
      <c r="FP819" s="1148"/>
      <c r="FQ819" s="1148"/>
      <c r="FR819" s="1148"/>
      <c r="FS819" s="1148"/>
      <c r="FT819" s="1148"/>
      <c r="FU819" s="1148"/>
      <c r="FV819" s="1151"/>
      <c r="FW819" s="1148"/>
      <c r="FX819" s="1148"/>
      <c r="FY819" s="1148"/>
      <c r="FZ819" s="1148"/>
      <c r="GA819" s="1148"/>
      <c r="GB819" s="1148"/>
      <c r="GC819" s="1149"/>
      <c r="GD819" s="1148"/>
      <c r="GE819" s="1148"/>
      <c r="GF819" s="1148"/>
      <c r="GG819" s="1148"/>
      <c r="GH819" s="1148"/>
      <c r="GI819" s="1148"/>
      <c r="GJ819" s="1148"/>
      <c r="GK819" s="1149"/>
      <c r="GL819" s="1148"/>
      <c r="GM819" s="1148"/>
      <c r="GN819" s="1148"/>
      <c r="GO819" s="1148"/>
      <c r="GP819" s="1148"/>
      <c r="GQ819" s="1148"/>
      <c r="GR819" s="1148"/>
      <c r="GS819" s="1149"/>
      <c r="GT819" s="1148"/>
      <c r="GU819" s="1148"/>
      <c r="GV819" s="1148"/>
      <c r="GW819" s="1148"/>
      <c r="GX819" s="1148"/>
      <c r="GY819" s="1148"/>
      <c r="GZ819" s="1148"/>
      <c r="HA819" s="1149"/>
      <c r="HB819" s="1148"/>
      <c r="HC819" s="1148"/>
      <c r="HD819" s="1148"/>
      <c r="HE819" s="1148"/>
      <c r="HF819" s="1148"/>
      <c r="HG819" s="1148"/>
      <c r="HH819" s="1148"/>
      <c r="HI819" s="1149"/>
      <c r="HJ819" s="1148"/>
      <c r="HK819" s="1148"/>
      <c r="HL819" s="1148"/>
      <c r="HM819" s="1148"/>
      <c r="HN819" s="1148"/>
      <c r="HO819" s="1148"/>
      <c r="HP819" s="1148"/>
      <c r="HQ819" s="1149"/>
      <c r="HR819" s="1148"/>
      <c r="HS819" s="1148"/>
      <c r="HT819" s="1148"/>
      <c r="HU819" s="1148"/>
      <c r="HV819" s="1148"/>
      <c r="HW819" s="1148"/>
      <c r="HX819" s="1148"/>
      <c r="HY819" s="1148"/>
      <c r="HZ819" s="1148"/>
      <c r="IA819" s="1148"/>
      <c r="IB819" s="1148"/>
      <c r="IC819" s="1148"/>
      <c r="ID819" s="1148"/>
      <c r="IE819" s="1148"/>
      <c r="IF819" s="1148"/>
      <c r="IG819" s="1149"/>
      <c r="IH819" s="1148"/>
      <c r="II819" s="1148"/>
      <c r="IJ819" s="1148"/>
      <c r="IK819" s="1148"/>
      <c r="IL819" s="1148"/>
      <c r="IM819" s="1148"/>
      <c r="IN819" s="1148"/>
      <c r="IO819" s="1149"/>
      <c r="IP819" s="1148"/>
      <c r="IQ819" s="1148"/>
      <c r="IR819" s="1148"/>
      <c r="IS819" s="1148"/>
      <c r="IT819" s="1148"/>
      <c r="IU819" s="1148"/>
      <c r="IV819" s="1148"/>
      <c r="IW819" s="1148"/>
      <c r="IX819" s="1049"/>
      <c r="IY819" s="1049"/>
      <c r="IZ819" s="1049"/>
      <c r="JA819" s="1049"/>
      <c r="JB819" s="1049"/>
      <c r="JC819" s="1049"/>
      <c r="JD819" s="1041"/>
      <c r="JE819" s="1037"/>
      <c r="JF819" s="1037"/>
      <c r="JG819" s="1037"/>
      <c r="JH819" s="1037"/>
      <c r="JI819" s="1035"/>
      <c r="JJ819" s="1035"/>
      <c r="JK819" s="1035"/>
      <c r="JL819" s="1035"/>
      <c r="JM819" s="1035"/>
      <c r="JN819" s="1035"/>
      <c r="JO819" s="1035"/>
      <c r="JP819" s="1035"/>
      <c r="JQ819" s="1035"/>
      <c r="JR819" s="1035"/>
      <c r="JS819" s="1035"/>
      <c r="JT819" s="1035"/>
      <c r="JU819" s="1035"/>
      <c r="JV819" s="1035"/>
      <c r="JW819" s="1035"/>
      <c r="JX819" s="1035"/>
      <c r="JY819" s="1035"/>
      <c r="LV819" s="1117"/>
    </row>
    <row r="820" outlineLevel="1" spans="1:334">
      <c r="A820" s="967"/>
      <c r="AX820" s="1059"/>
      <c r="BE820" s="1060"/>
      <c r="BN820" s="1059"/>
      <c r="BU820" s="1060"/>
      <c r="BV820" s="1059"/>
      <c r="CC820" s="1060"/>
      <c r="CD820" s="1059"/>
      <c r="CJ820" s="1061"/>
      <c r="CK820" s="1060"/>
      <c r="CL820" s="1059"/>
      <c r="CS820" s="1060"/>
      <c r="CT820" s="967"/>
      <c r="CU820" s="967"/>
      <c r="CV820" s="967"/>
      <c r="CW820" s="967"/>
      <c r="CX820" s="967"/>
      <c r="CY820" s="967"/>
      <c r="CZ820" s="967"/>
      <c r="DA820" s="967"/>
      <c r="DY820" s="1149"/>
      <c r="EG820" s="1149"/>
      <c r="EO820" s="1149"/>
      <c r="EP820" s="1148"/>
      <c r="EQ820" s="1148"/>
      <c r="ER820" s="1148"/>
      <c r="ES820" s="1148"/>
      <c r="ET820" s="1148"/>
      <c r="EU820" s="1148"/>
      <c r="EV820" s="1148"/>
      <c r="EW820" s="1149"/>
      <c r="EX820" s="1148"/>
      <c r="EY820" s="1148"/>
      <c r="EZ820" s="1148"/>
      <c r="FA820" s="1148"/>
      <c r="FB820" s="1148"/>
      <c r="FC820" s="1148"/>
      <c r="FD820" s="1148"/>
      <c r="FE820" s="1149"/>
      <c r="FF820" s="1148"/>
      <c r="FG820" s="1148"/>
      <c r="FH820" s="1148"/>
      <c r="FI820" s="1148"/>
      <c r="FJ820" s="1148"/>
      <c r="FK820" s="1148"/>
      <c r="FL820" s="1148"/>
      <c r="FM820" s="1149"/>
      <c r="FN820" s="1148"/>
      <c r="FO820" s="1148"/>
      <c r="FP820" s="1148"/>
      <c r="FQ820" s="1148"/>
      <c r="FR820" s="1148"/>
      <c r="FS820" s="1148"/>
      <c r="FT820" s="1148"/>
      <c r="FU820" s="1148"/>
      <c r="FV820" s="1151"/>
      <c r="FW820" s="1148"/>
      <c r="FX820" s="1148"/>
      <c r="FY820" s="1148"/>
      <c r="FZ820" s="1148"/>
      <c r="GA820" s="1148"/>
      <c r="GB820" s="1148"/>
      <c r="GC820" s="1149"/>
      <c r="GD820" s="1148"/>
      <c r="GE820" s="1148"/>
      <c r="GF820" s="1148"/>
      <c r="GG820" s="1148"/>
      <c r="GH820" s="1148"/>
      <c r="GI820" s="1148"/>
      <c r="GJ820" s="1148"/>
      <c r="GK820" s="1149"/>
      <c r="GL820" s="1148"/>
      <c r="GM820" s="1148"/>
      <c r="GN820" s="1148"/>
      <c r="GO820" s="1148"/>
      <c r="GP820" s="1148"/>
      <c r="GQ820" s="1148"/>
      <c r="GR820" s="1148"/>
      <c r="GS820" s="1149"/>
      <c r="GT820" s="1148"/>
      <c r="GU820" s="1148"/>
      <c r="GV820" s="1148"/>
      <c r="GW820" s="1148"/>
      <c r="GX820" s="1148"/>
      <c r="GY820" s="1148"/>
      <c r="GZ820" s="1148"/>
      <c r="HA820" s="1149"/>
      <c r="HB820" s="1148"/>
      <c r="HC820" s="1148"/>
      <c r="HD820" s="1148"/>
      <c r="HE820" s="1148"/>
      <c r="HF820" s="1148"/>
      <c r="HG820" s="1148"/>
      <c r="HH820" s="1148"/>
      <c r="HI820" s="1149"/>
      <c r="HJ820" s="1148"/>
      <c r="HK820" s="1148"/>
      <c r="HL820" s="1148"/>
      <c r="HM820" s="1148"/>
      <c r="HN820" s="1148"/>
      <c r="HO820" s="1148"/>
      <c r="HP820" s="1148"/>
      <c r="HQ820" s="1149"/>
      <c r="HR820" s="1148"/>
      <c r="HS820" s="1148"/>
      <c r="HT820" s="1148"/>
      <c r="HU820" s="1148"/>
      <c r="HV820" s="1148"/>
      <c r="HW820" s="1148"/>
      <c r="HX820" s="1148"/>
      <c r="HY820" s="1148"/>
      <c r="HZ820" s="1148"/>
      <c r="IA820" s="1148"/>
      <c r="IB820" s="1148"/>
      <c r="IC820" s="1148"/>
      <c r="ID820" s="1148"/>
      <c r="IE820" s="1148"/>
      <c r="IF820" s="1148"/>
      <c r="IG820" s="1149"/>
      <c r="IH820" s="1148"/>
      <c r="II820" s="1148"/>
      <c r="IJ820" s="1148"/>
      <c r="IK820" s="1148"/>
      <c r="IL820" s="1148"/>
      <c r="IM820" s="1148"/>
      <c r="IN820" s="1148"/>
      <c r="IO820" s="1149"/>
      <c r="IP820" s="1148"/>
      <c r="IQ820" s="1148"/>
      <c r="IR820" s="1148"/>
      <c r="IS820" s="1148"/>
      <c r="IT820" s="1148"/>
      <c r="IU820" s="1148"/>
      <c r="IV820" s="1148"/>
      <c r="IW820" s="1148"/>
      <c r="IX820" s="1049"/>
      <c r="IY820" s="1049"/>
      <c r="IZ820" s="1049"/>
      <c r="JA820" s="1049"/>
      <c r="JB820" s="1049"/>
      <c r="JC820" s="1049"/>
      <c r="JD820" s="1041"/>
      <c r="JE820" s="1037"/>
      <c r="JF820" s="1037"/>
      <c r="JG820" s="1037"/>
      <c r="JH820" s="1037"/>
      <c r="JI820" s="1035"/>
      <c r="JJ820" s="1035"/>
      <c r="JK820" s="1035"/>
      <c r="JL820" s="1035"/>
      <c r="JM820" s="1035"/>
      <c r="JN820" s="1035"/>
      <c r="JO820" s="1035"/>
      <c r="JP820" s="1035"/>
      <c r="JQ820" s="1035"/>
      <c r="JR820" s="1035"/>
      <c r="JS820" s="1035"/>
      <c r="JT820" s="1035"/>
      <c r="JU820" s="1035"/>
      <c r="JV820" s="1035"/>
      <c r="JW820" s="1035"/>
      <c r="JX820" s="1035"/>
      <c r="JY820" s="1035"/>
      <c r="LV820" s="1025"/>
    </row>
    <row r="821" outlineLevel="1" spans="1:334">
      <c r="A821" s="1025" t="s">
        <v>62</v>
      </c>
      <c r="AX821" s="1059"/>
      <c r="BE821" s="1060"/>
      <c r="BN821" s="1059"/>
      <c r="BU821" s="1060"/>
      <c r="BV821" s="1059"/>
      <c r="CC821" s="1060"/>
      <c r="CD821" s="1059"/>
      <c r="CJ821" s="1061"/>
      <c r="CK821" s="1060"/>
      <c r="CL821" s="1059"/>
      <c r="CS821" s="1060"/>
      <c r="CT821" s="1025"/>
      <c r="CU821" s="1025"/>
      <c r="CV821" s="1025"/>
      <c r="CW821" s="1025"/>
      <c r="CX821" s="1025"/>
      <c r="CY821" s="1025"/>
      <c r="CZ821" s="1025"/>
      <c r="DA821" s="1025"/>
      <c r="DB821" s="1071"/>
      <c r="DC821" s="1071"/>
      <c r="DD821" s="1071"/>
      <c r="DE821" s="1071"/>
      <c r="DF821" s="1071"/>
      <c r="DG821" s="1071"/>
      <c r="DH821" s="1071"/>
      <c r="DI821" s="1072"/>
      <c r="DJ821" s="1071"/>
      <c r="DK821" s="1071"/>
      <c r="DL821" s="1071"/>
      <c r="DM821" s="1071"/>
      <c r="DN821" s="1071"/>
      <c r="DO821" s="1071"/>
      <c r="DP821" s="1071"/>
      <c r="DQ821" s="1072"/>
      <c r="DR821" s="1071"/>
      <c r="DS821" s="1071"/>
      <c r="DT821" s="1071"/>
      <c r="DU821" s="1071"/>
      <c r="DV821" s="1071"/>
      <c r="DW821" s="1071"/>
      <c r="DX821" s="1071"/>
      <c r="DY821" s="1072"/>
      <c r="DZ821" s="1071"/>
      <c r="EA821" s="1071"/>
      <c r="EB821" s="1071"/>
      <c r="EC821" s="1071"/>
      <c r="ED821" s="1071"/>
      <c r="EE821" s="1071"/>
      <c r="EF821" s="1071"/>
      <c r="EG821" s="1072"/>
      <c r="EH821" s="1071"/>
      <c r="EI821" s="1071"/>
      <c r="EJ821" s="1071"/>
      <c r="EK821" s="1071"/>
      <c r="EL821" s="1071"/>
      <c r="EM821" s="1071"/>
      <c r="EN821" s="1071"/>
      <c r="EO821" s="1072"/>
      <c r="EP821" s="1071"/>
      <c r="EQ821" s="1071"/>
      <c r="ER821" s="1071"/>
      <c r="ES821" s="1071"/>
      <c r="ET821" s="1071"/>
      <c r="EU821" s="1071"/>
      <c r="EV821" s="1071"/>
      <c r="EW821" s="1072"/>
      <c r="EX821" s="1071"/>
      <c r="EY821" s="1071"/>
      <c r="EZ821" s="1071"/>
      <c r="FA821" s="1071"/>
      <c r="FB821" s="1071"/>
      <c r="FC821" s="1071"/>
      <c r="FD821" s="1071"/>
      <c r="FE821" s="1072"/>
      <c r="FF821" s="1071"/>
      <c r="FG821" s="1071"/>
      <c r="FH821" s="1071"/>
      <c r="FI821" s="1071"/>
      <c r="FJ821" s="1071"/>
      <c r="FK821" s="1071"/>
      <c r="FL821" s="1071"/>
      <c r="FM821" s="1072"/>
      <c r="FN821" s="1071"/>
      <c r="FO821" s="1071"/>
      <c r="FP821" s="1071"/>
      <c r="FQ821" s="1071"/>
      <c r="FR821" s="1071"/>
      <c r="FS821" s="1071"/>
      <c r="FT821" s="1071"/>
      <c r="FU821" s="1071"/>
      <c r="FV821" s="1177"/>
      <c r="FW821" s="1071"/>
      <c r="FX821" s="1071"/>
      <c r="FY821" s="1071"/>
      <c r="FZ821" s="1071"/>
      <c r="GA821" s="1071"/>
      <c r="GB821" s="1071"/>
      <c r="GC821" s="1072"/>
      <c r="GD821" s="1071"/>
      <c r="GE821" s="1071"/>
      <c r="GF821" s="1071"/>
      <c r="GG821" s="1071"/>
      <c r="GH821" s="1071"/>
      <c r="GI821" s="1071"/>
      <c r="GJ821" s="1071"/>
      <c r="GK821" s="1072"/>
      <c r="GL821" s="1071"/>
      <c r="GM821" s="1071"/>
      <c r="GN821" s="1071"/>
      <c r="GO821" s="1071"/>
      <c r="GP821" s="1071"/>
      <c r="GQ821" s="1071"/>
      <c r="GR821" s="1071"/>
      <c r="GS821" s="1072"/>
      <c r="GT821" s="1071"/>
      <c r="GU821" s="1071"/>
      <c r="GV821" s="1071"/>
      <c r="GW821" s="1071"/>
      <c r="GX821" s="1071"/>
      <c r="GY821" s="1071"/>
      <c r="GZ821" s="1071"/>
      <c r="HA821" s="1072"/>
      <c r="HB821" s="1071"/>
      <c r="HC821" s="1071"/>
      <c r="HD821" s="1071"/>
      <c r="HE821" s="1071"/>
      <c r="HF821" s="1071"/>
      <c r="HG821" s="1071"/>
      <c r="HH821" s="1071"/>
      <c r="HI821" s="1072"/>
      <c r="HJ821" s="1071"/>
      <c r="HK821" s="1071"/>
      <c r="HL821" s="1071"/>
      <c r="HM821" s="1071"/>
      <c r="HN821" s="1071"/>
      <c r="HO821" s="1071"/>
      <c r="HP821" s="1071"/>
      <c r="HQ821" s="1072"/>
      <c r="HR821" s="1071"/>
      <c r="HS821" s="1071"/>
      <c r="HT821" s="1071"/>
      <c r="HU821" s="1071"/>
      <c r="HV821" s="1071"/>
      <c r="HW821" s="1071"/>
      <c r="HX821" s="1071"/>
      <c r="HY821" s="1071"/>
      <c r="HZ821" s="1071"/>
      <c r="IA821" s="1071"/>
      <c r="IB821" s="1071"/>
      <c r="IC821" s="1071"/>
      <c r="ID821" s="1071"/>
      <c r="IE821" s="1071"/>
      <c r="IF821" s="1071"/>
      <c r="IG821" s="1072"/>
      <c r="IH821" s="1071"/>
      <c r="II821" s="1071"/>
      <c r="IJ821" s="1071"/>
      <c r="IK821" s="1071"/>
      <c r="IL821" s="1071"/>
      <c r="IM821" s="1071"/>
      <c r="IN821" s="1071"/>
      <c r="IO821" s="1072"/>
      <c r="IP821" s="1071"/>
      <c r="IQ821" s="1071"/>
      <c r="IR821" s="1071"/>
      <c r="IS821" s="1071"/>
      <c r="IT821" s="1071"/>
      <c r="IU821" s="1071"/>
      <c r="IV821" s="1071"/>
      <c r="IW821" s="1071"/>
      <c r="IX821" s="1049"/>
      <c r="IY821" s="1049"/>
      <c r="IZ821" s="1049"/>
      <c r="JA821" s="1049"/>
      <c r="JB821" s="1049"/>
      <c r="JC821" s="1049"/>
      <c r="JD821" s="1041"/>
      <c r="JE821" s="1037"/>
      <c r="JF821" s="1037"/>
      <c r="JG821" s="1037"/>
      <c r="JH821" s="1037"/>
      <c r="JI821" s="1035"/>
      <c r="JJ821" s="1035"/>
      <c r="JK821" s="1035"/>
      <c r="JL821" s="1035"/>
      <c r="JM821" s="1035"/>
      <c r="JN821" s="1035"/>
      <c r="JO821" s="1035"/>
      <c r="JP821" s="1035"/>
      <c r="JQ821" s="1035"/>
      <c r="JR821" s="1035"/>
      <c r="JS821" s="1035"/>
      <c r="JT821" s="1035"/>
      <c r="JU821" s="1035"/>
      <c r="JV821" s="1035"/>
      <c r="JW821" s="1035"/>
      <c r="JX821" s="1035"/>
      <c r="JY821" s="1035"/>
      <c r="LV821" s="967"/>
    </row>
    <row r="822" s="969" customFormat="1" outlineLevel="1" spans="1:334">
      <c r="A822" s="1152" t="s">
        <v>87</v>
      </c>
      <c r="B822" s="1057"/>
      <c r="C822" s="1057"/>
      <c r="D822" s="1057"/>
      <c r="E822" s="1057"/>
      <c r="F822" s="1057"/>
      <c r="G822" s="1057"/>
      <c r="H822" s="1057"/>
      <c r="I822" s="1057"/>
      <c r="J822" s="1057"/>
      <c r="K822" s="1057"/>
      <c r="L822" s="1057"/>
      <c r="M822" s="1057"/>
      <c r="N822" s="1057"/>
      <c r="O822" s="1057"/>
      <c r="P822" s="1057"/>
      <c r="Q822" s="1057"/>
      <c r="R822" s="1057"/>
      <c r="S822" s="1057"/>
      <c r="T822" s="1057"/>
      <c r="U822" s="1057"/>
      <c r="V822" s="1057"/>
      <c r="W822" s="1057"/>
      <c r="X822" s="1057"/>
      <c r="Y822" s="1057"/>
      <c r="Z822" s="1057"/>
      <c r="AA822" s="1057"/>
      <c r="AB822" s="1057"/>
      <c r="AC822" s="1057"/>
      <c r="AD822" s="1057"/>
      <c r="AE822" s="1057"/>
      <c r="AF822" s="1057"/>
      <c r="AG822" s="1057"/>
      <c r="AH822" s="1057"/>
      <c r="AI822" s="1057"/>
      <c r="AJ822" s="1057"/>
      <c r="AK822" s="1057"/>
      <c r="AL822" s="1057"/>
      <c r="AM822" s="1057"/>
      <c r="AN822" s="1057"/>
      <c r="AO822" s="1057"/>
      <c r="AP822" s="1057"/>
      <c r="AQ822" s="1057"/>
      <c r="AR822" s="1057"/>
      <c r="AS822" s="1057"/>
      <c r="AT822" s="1057"/>
      <c r="AU822" s="1057"/>
      <c r="AV822" s="1057"/>
      <c r="AW822" s="1057"/>
      <c r="AX822" s="1153"/>
      <c r="AY822" s="1057"/>
      <c r="AZ822" s="1057"/>
      <c r="BA822" s="1057"/>
      <c r="BB822" s="1057"/>
      <c r="BC822" s="1057"/>
      <c r="BD822" s="1057"/>
      <c r="BE822" s="1154"/>
      <c r="BF822" s="1057"/>
      <c r="BG822" s="1057"/>
      <c r="BH822" s="1057"/>
      <c r="BI822" s="1057"/>
      <c r="BJ822" s="1057"/>
      <c r="BK822" s="1057"/>
      <c r="BL822" s="1057"/>
      <c r="BM822" s="1057"/>
      <c r="BN822" s="1153"/>
      <c r="BO822" s="1057"/>
      <c r="BP822" s="1057"/>
      <c r="BQ822" s="1057"/>
      <c r="BR822" s="1057"/>
      <c r="BS822" s="1057"/>
      <c r="BT822" s="1057"/>
      <c r="BU822" s="1154"/>
      <c r="BV822" s="1153"/>
      <c r="BW822" s="1057"/>
      <c r="BX822" s="1057"/>
      <c r="BY822" s="1057"/>
      <c r="BZ822" s="1057"/>
      <c r="CA822" s="1057"/>
      <c r="CB822" s="1057"/>
      <c r="CC822" s="1154"/>
      <c r="CD822" s="1153"/>
      <c r="CE822" s="1057"/>
      <c r="CF822" s="1057"/>
      <c r="CG822" s="1057"/>
      <c r="CH822" s="1057"/>
      <c r="CI822" s="1057"/>
      <c r="CJ822" s="1155"/>
      <c r="CK822" s="1154"/>
      <c r="CL822" s="1153"/>
      <c r="CM822" s="1057"/>
      <c r="CN822" s="1057"/>
      <c r="CO822" s="1057"/>
      <c r="CP822" s="1057"/>
      <c r="CQ822" s="1057"/>
      <c r="CR822" s="1057"/>
      <c r="CS822" s="1154"/>
      <c r="CT822" s="1152"/>
      <c r="CU822" s="1152"/>
      <c r="CV822" s="1152"/>
      <c r="CW822" s="1152"/>
      <c r="CX822" s="1152"/>
      <c r="CY822" s="1152"/>
      <c r="CZ822" s="1152"/>
      <c r="DA822" s="1152"/>
      <c r="DB822" s="1071">
        <v>220</v>
      </c>
      <c r="DC822" s="1071">
        <v>264</v>
      </c>
      <c r="DD822" s="1071">
        <f>DB822+DC822</f>
        <v>484</v>
      </c>
      <c r="DE822" s="1071">
        <v>298</v>
      </c>
      <c r="DF822" s="1071">
        <f>DD822+DE822</f>
        <v>782</v>
      </c>
      <c r="DG822" s="1071">
        <v>280</v>
      </c>
      <c r="DH822" s="1071">
        <f>DE822+DG822</f>
        <v>578</v>
      </c>
      <c r="DI822" s="1072" t="e">
        <f>'Profit and Loss'!#REF!</f>
        <v>#REF!</v>
      </c>
      <c r="DJ822" s="1071">
        <v>239</v>
      </c>
      <c r="DK822" s="1071">
        <v>294</v>
      </c>
      <c r="DL822" s="1071">
        <f>DJ822+DK822</f>
        <v>533</v>
      </c>
      <c r="DM822" s="1071">
        <v>314</v>
      </c>
      <c r="DN822" s="1071">
        <f>DL822+DM822</f>
        <v>847</v>
      </c>
      <c r="DO822" s="1071">
        <v>295</v>
      </c>
      <c r="DP822" s="1071">
        <f>DO822+DM822</f>
        <v>609</v>
      </c>
      <c r="DQ822" s="1072" t="e">
        <f>'Profit and Loss'!#REF!</f>
        <v>#REF!</v>
      </c>
      <c r="DR822" s="1071">
        <v>269</v>
      </c>
      <c r="DS822" s="1071">
        <f>DT822-DR822</f>
        <v>361</v>
      </c>
      <c r="DT822" s="1071">
        <v>630</v>
      </c>
      <c r="DU822" s="1071">
        <f>DV822-DT822</f>
        <v>390</v>
      </c>
      <c r="DV822" s="1071">
        <v>1020</v>
      </c>
      <c r="DW822" s="1071" t="e">
        <f>DY822-DV822</f>
        <v>#REF!</v>
      </c>
      <c r="DX822" s="1071" t="e">
        <f>DY822-DT822</f>
        <v>#REF!</v>
      </c>
      <c r="DY822" s="1072" t="e">
        <f>'Profit and Loss'!#REF!</f>
        <v>#REF!</v>
      </c>
      <c r="DZ822" s="1071">
        <v>317</v>
      </c>
      <c r="EA822" s="1071">
        <f>+EB822-DZ822</f>
        <v>389</v>
      </c>
      <c r="EB822" s="1071">
        <v>706</v>
      </c>
      <c r="EC822" s="1071">
        <f>+ED822-EB822</f>
        <v>437</v>
      </c>
      <c r="ED822" s="1071">
        <v>1143</v>
      </c>
      <c r="EE822" s="1071">
        <f>+EF822-EC822</f>
        <v>433</v>
      </c>
      <c r="EF822" s="1071">
        <f>+EG822-EB822</f>
        <v>870</v>
      </c>
      <c r="EG822" s="1072">
        <v>1576</v>
      </c>
      <c r="EH822" s="1071">
        <v>372</v>
      </c>
      <c r="EI822" s="1071">
        <f>+EJ822-EH822</f>
        <v>475</v>
      </c>
      <c r="EJ822" s="1071">
        <v>847</v>
      </c>
      <c r="EK822" s="1071">
        <f>EL822-EJ822</f>
        <v>521</v>
      </c>
      <c r="EL822" s="1071">
        <v>1368</v>
      </c>
      <c r="EM822" s="1071">
        <f>EN822-EK822</f>
        <v>480</v>
      </c>
      <c r="EN822" s="1071">
        <f>EO822-EJ822</f>
        <v>1001</v>
      </c>
      <c r="EO822" s="1072">
        <v>1848</v>
      </c>
      <c r="EP822" s="1071">
        <v>389</v>
      </c>
      <c r="EQ822" s="1071">
        <f>ER822-EP822</f>
        <v>473</v>
      </c>
      <c r="ER822" s="1071">
        <v>862</v>
      </c>
      <c r="ES822" s="1071">
        <f>ET822-ER822</f>
        <v>503</v>
      </c>
      <c r="ET822" s="1071">
        <v>1365</v>
      </c>
      <c r="EU822" s="1071">
        <f>EV822-ES822</f>
        <v>503</v>
      </c>
      <c r="EV822" s="1071">
        <f>EW822-ER822</f>
        <v>1006</v>
      </c>
      <c r="EW822" s="1072">
        <v>1868</v>
      </c>
      <c r="EX822" s="1076">
        <v>421</v>
      </c>
      <c r="EY822" s="1071">
        <f>EZ822-EX822</f>
        <v>538</v>
      </c>
      <c r="EZ822" s="1071">
        <v>959</v>
      </c>
      <c r="FA822" s="1071">
        <f>FB822-EZ822</f>
        <v>586</v>
      </c>
      <c r="FB822" s="1071">
        <v>1545</v>
      </c>
      <c r="FC822" s="1071"/>
      <c r="FD822" s="1071"/>
      <c r="FE822" s="1072"/>
      <c r="FF822" s="1071"/>
      <c r="FG822" s="1071"/>
      <c r="FH822" s="1071"/>
      <c r="FI822" s="1071"/>
      <c r="FJ822" s="1071"/>
      <c r="FK822" s="1071"/>
      <c r="FL822" s="1071"/>
      <c r="FM822" s="1072"/>
      <c r="FN822" s="1071"/>
      <c r="FO822" s="1071"/>
      <c r="FP822" s="1071"/>
      <c r="FQ822" s="1071"/>
      <c r="FR822" s="1071"/>
      <c r="FS822" s="1071"/>
      <c r="FT822" s="1071"/>
      <c r="FU822" s="1071"/>
      <c r="FV822" s="1177"/>
      <c r="FW822" s="1071"/>
      <c r="FX822" s="1071"/>
      <c r="FY822" s="1071"/>
      <c r="FZ822" s="1071"/>
      <c r="GA822" s="1071"/>
      <c r="GB822" s="1071"/>
      <c r="GC822" s="1072"/>
      <c r="GD822" s="1071"/>
      <c r="GE822" s="1071"/>
      <c r="GF822" s="1071"/>
      <c r="GG822" s="1071"/>
      <c r="GH822" s="1071"/>
      <c r="GI822" s="1071"/>
      <c r="GJ822" s="1071"/>
      <c r="GK822" s="1072"/>
      <c r="GL822" s="1071"/>
      <c r="GM822" s="1071"/>
      <c r="GN822" s="1071"/>
      <c r="GO822" s="1071"/>
      <c r="GP822" s="1071"/>
      <c r="GQ822" s="1071"/>
      <c r="GR822" s="1071"/>
      <c r="GS822" s="1072"/>
      <c r="GT822" s="1071"/>
      <c r="GU822" s="1071"/>
      <c r="GV822" s="1071"/>
      <c r="GW822" s="1071"/>
      <c r="GX822" s="1071"/>
      <c r="GY822" s="1071"/>
      <c r="GZ822" s="1071"/>
      <c r="HA822" s="1072"/>
      <c r="HB822" s="1071"/>
      <c r="HC822" s="1071"/>
      <c r="HD822" s="1071"/>
      <c r="HE822" s="1071"/>
      <c r="HF822" s="1071"/>
      <c r="HG822" s="1071"/>
      <c r="HH822" s="1071"/>
      <c r="HI822" s="1072"/>
      <c r="HJ822" s="1071"/>
      <c r="HK822" s="1071"/>
      <c r="HL822" s="1071"/>
      <c r="HM822" s="1071"/>
      <c r="HN822" s="1071"/>
      <c r="HO822" s="1071"/>
      <c r="HP822" s="1071"/>
      <c r="HQ822" s="1072"/>
      <c r="HR822" s="1071"/>
      <c r="HS822" s="1071"/>
      <c r="HT822" s="1071"/>
      <c r="HU822" s="1071"/>
      <c r="HV822" s="1071"/>
      <c r="HW822" s="1071"/>
      <c r="HX822" s="1071"/>
      <c r="HY822" s="1071"/>
      <c r="HZ822" s="1071"/>
      <c r="IA822" s="1071"/>
      <c r="IB822" s="1071"/>
      <c r="IC822" s="1071"/>
      <c r="ID822" s="1071"/>
      <c r="IE822" s="1071"/>
      <c r="IF822" s="1071"/>
      <c r="IG822" s="1072"/>
      <c r="IH822" s="1071"/>
      <c r="II822" s="1071"/>
      <c r="IJ822" s="1071"/>
      <c r="IK822" s="1071"/>
      <c r="IL822" s="1071"/>
      <c r="IM822" s="1071"/>
      <c r="IN822" s="1071"/>
      <c r="IO822" s="1072"/>
      <c r="IP822" s="1071"/>
      <c r="IQ822" s="1071"/>
      <c r="IR822" s="1071"/>
      <c r="IS822" s="1071"/>
      <c r="IT822" s="1071"/>
      <c r="IU822" s="1071"/>
      <c r="IV822" s="1071"/>
      <c r="IW822" s="1071"/>
      <c r="IX822" s="1049"/>
      <c r="IY822" s="1049"/>
      <c r="IZ822" s="1049"/>
      <c r="JA822" s="1049"/>
      <c r="JB822" s="1049"/>
      <c r="JC822" s="1049"/>
      <c r="JD822" s="1103"/>
      <c r="JE822" s="1079"/>
      <c r="JF822" s="1079"/>
      <c r="JG822" s="1079"/>
      <c r="JH822" s="1079"/>
      <c r="LV822" s="1180"/>
    </row>
    <row r="823" outlineLevel="1" spans="1:334">
      <c r="A823" s="967" t="s">
        <v>61</v>
      </c>
      <c r="AX823" s="1059"/>
      <c r="BE823" s="1060"/>
      <c r="BN823" s="1059"/>
      <c r="BU823" s="1060"/>
      <c r="BV823" s="1059"/>
      <c r="CC823" s="1060"/>
      <c r="CD823" s="1059"/>
      <c r="CJ823" s="1061"/>
      <c r="CK823" s="1060"/>
      <c r="CL823" s="1059"/>
      <c r="CS823" s="1060"/>
      <c r="CT823" s="967"/>
      <c r="CU823" s="967"/>
      <c r="CV823" s="967"/>
      <c r="CW823" s="967"/>
      <c r="CX823" s="967"/>
      <c r="CY823" s="967"/>
      <c r="CZ823" s="967"/>
      <c r="DA823" s="967"/>
      <c r="DJ823" s="1080">
        <f t="shared" ref="DJ823:DQ823" si="4612">DJ822/DB822-1</f>
        <v>0.0863636363636364</v>
      </c>
      <c r="DK823" s="1080">
        <f t="shared" si="4612"/>
        <v>0.113636363636364</v>
      </c>
      <c r="DL823" s="1080">
        <f t="shared" si="4612"/>
        <v>0.101239669421488</v>
      </c>
      <c r="DM823" s="1080">
        <f t="shared" si="4612"/>
        <v>0.0536912751677852</v>
      </c>
      <c r="DN823" s="1080">
        <f t="shared" si="4612"/>
        <v>0.0831202046035806</v>
      </c>
      <c r="DO823" s="1080">
        <f t="shared" si="4612"/>
        <v>0.0535714285714286</v>
      </c>
      <c r="DP823" s="1080">
        <f t="shared" si="4612"/>
        <v>0.0536332179930796</v>
      </c>
      <c r="DQ823" s="1081" t="e">
        <f t="shared" si="4612"/>
        <v>#REF!</v>
      </c>
      <c r="DR823" s="1080">
        <f t="shared" ref="DR823:EC823" si="4613">DR822/DJ822-1</f>
        <v>0.125523012552301</v>
      </c>
      <c r="DS823" s="1080">
        <f t="shared" si="4613"/>
        <v>0.227891156462585</v>
      </c>
      <c r="DT823" s="1080">
        <f t="shared" si="4613"/>
        <v>0.181988742964353</v>
      </c>
      <c r="DU823" s="1080">
        <f t="shared" si="4613"/>
        <v>0.24203821656051</v>
      </c>
      <c r="DV823" s="1080">
        <f t="shared" si="4613"/>
        <v>0.204250295159386</v>
      </c>
      <c r="DW823" s="1080" t="e">
        <f t="shared" si="4613"/>
        <v>#REF!</v>
      </c>
      <c r="DX823" s="1080" t="e">
        <f t="shared" si="4613"/>
        <v>#REF!</v>
      </c>
      <c r="DY823" s="1081" t="e">
        <f t="shared" si="4613"/>
        <v>#REF!</v>
      </c>
      <c r="DZ823" s="1080">
        <f t="shared" si="4613"/>
        <v>0.178438661710037</v>
      </c>
      <c r="EA823" s="1080">
        <f t="shared" si="4613"/>
        <v>0.077562326869806</v>
      </c>
      <c r="EB823" s="1080">
        <f t="shared" si="4613"/>
        <v>0.120634920634921</v>
      </c>
      <c r="EC823" s="1080">
        <f t="shared" si="4613"/>
        <v>0.120512820512821</v>
      </c>
      <c r="ED823" s="1080">
        <f t="shared" ref="ED823:EJ823" si="4614">ED822/DV822-1</f>
        <v>0.120588235294118</v>
      </c>
      <c r="EE823" s="1082" t="e">
        <f t="shared" si="4614"/>
        <v>#REF!</v>
      </c>
      <c r="EF823" s="1082" t="e">
        <f t="shared" si="4614"/>
        <v>#REF!</v>
      </c>
      <c r="EG823" s="1081" t="e">
        <f t="shared" si="4614"/>
        <v>#REF!</v>
      </c>
      <c r="EH823" s="1080">
        <f t="shared" si="4614"/>
        <v>0.173501577287066</v>
      </c>
      <c r="EI823" s="1080">
        <f t="shared" si="4614"/>
        <v>0.221079691516709</v>
      </c>
      <c r="EJ823" s="1080">
        <f t="shared" si="4614"/>
        <v>0.19971671388102</v>
      </c>
      <c r="EK823" s="1080">
        <f t="shared" ref="EK823:EP823" si="4615">EK822/EC822-1</f>
        <v>0.192219679633867</v>
      </c>
      <c r="EL823" s="1080">
        <f t="shared" si="4615"/>
        <v>0.196850393700787</v>
      </c>
      <c r="EM823" s="1080">
        <f t="shared" si="4615"/>
        <v>0.108545034642032</v>
      </c>
      <c r="EN823" s="1080">
        <f t="shared" si="4615"/>
        <v>0.150574712643678</v>
      </c>
      <c r="EO823" s="1081">
        <f t="shared" si="4615"/>
        <v>0.17258883248731</v>
      </c>
      <c r="EP823" s="1080">
        <f t="shared" si="4615"/>
        <v>0.0456989247311828</v>
      </c>
      <c r="EQ823" s="1080">
        <f t="shared" ref="EQ823:FB823" si="4616">EQ822/EI822-1</f>
        <v>-0.00421052631578944</v>
      </c>
      <c r="ER823" s="1080">
        <f t="shared" si="4616"/>
        <v>0.0177095631641087</v>
      </c>
      <c r="ES823" s="1080">
        <f t="shared" si="4616"/>
        <v>-0.0345489443378119</v>
      </c>
      <c r="ET823" s="1080">
        <f t="shared" si="4616"/>
        <v>-0.0021929824561403</v>
      </c>
      <c r="EU823" s="1080">
        <f t="shared" si="4616"/>
        <v>0.0479166666666666</v>
      </c>
      <c r="EV823" s="1080">
        <f t="shared" si="4616"/>
        <v>0.00499500499500494</v>
      </c>
      <c r="EW823" s="1081">
        <f t="shared" si="4616"/>
        <v>0.0108225108225108</v>
      </c>
      <c r="EX823" s="1218">
        <f t="shared" si="4616"/>
        <v>0.0822622107969151</v>
      </c>
      <c r="EY823" s="1080">
        <f t="shared" si="4616"/>
        <v>0.137420718816068</v>
      </c>
      <c r="EZ823" s="1080">
        <f t="shared" si="4616"/>
        <v>0.112529002320186</v>
      </c>
      <c r="FA823" s="1080">
        <f t="shared" si="4616"/>
        <v>0.165009940357853</v>
      </c>
      <c r="FB823" s="1080">
        <f t="shared" si="4616"/>
        <v>0.131868131868132</v>
      </c>
      <c r="FC823" s="1080"/>
      <c r="FD823" s="1080"/>
      <c r="FE823" s="1081"/>
      <c r="FF823" s="1080"/>
      <c r="FG823" s="1080"/>
      <c r="FH823" s="1080"/>
      <c r="FI823" s="1080"/>
      <c r="FJ823" s="1080"/>
      <c r="FK823" s="1080"/>
      <c r="FL823" s="1080"/>
      <c r="FM823" s="1081"/>
      <c r="FN823" s="1080"/>
      <c r="FO823" s="1080"/>
      <c r="FP823" s="1080"/>
      <c r="FQ823" s="1080"/>
      <c r="FR823" s="1080"/>
      <c r="FS823" s="1080"/>
      <c r="FT823" s="1080"/>
      <c r="FU823" s="1080"/>
      <c r="FV823" s="1150"/>
      <c r="FW823" s="1080"/>
      <c r="FX823" s="1080"/>
      <c r="FY823" s="1080"/>
      <c r="FZ823" s="1080"/>
      <c r="GA823" s="1080"/>
      <c r="GB823" s="1080"/>
      <c r="GC823" s="1081"/>
      <c r="GD823" s="1080"/>
      <c r="GE823" s="1080"/>
      <c r="GF823" s="1080"/>
      <c r="GG823" s="1080"/>
      <c r="GH823" s="1080"/>
      <c r="GI823" s="1080"/>
      <c r="GJ823" s="1080"/>
      <c r="GK823" s="1081"/>
      <c r="GL823" s="1080"/>
      <c r="GM823" s="1080"/>
      <c r="GN823" s="1080"/>
      <c r="GO823" s="1080"/>
      <c r="GP823" s="1080"/>
      <c r="GQ823" s="1080"/>
      <c r="GR823" s="1080"/>
      <c r="GS823" s="1081"/>
      <c r="GT823" s="1080"/>
      <c r="GU823" s="1080"/>
      <c r="GV823" s="1080"/>
      <c r="GW823" s="1080"/>
      <c r="GX823" s="1080"/>
      <c r="GY823" s="1080"/>
      <c r="GZ823" s="1080"/>
      <c r="HA823" s="1081"/>
      <c r="HB823" s="1080"/>
      <c r="HC823" s="1080"/>
      <c r="HD823" s="1080"/>
      <c r="HE823" s="1080"/>
      <c r="HF823" s="1080"/>
      <c r="HG823" s="1080"/>
      <c r="HH823" s="1080"/>
      <c r="HI823" s="1081"/>
      <c r="HJ823" s="1080"/>
      <c r="HK823" s="1080"/>
      <c r="HL823" s="1080"/>
      <c r="HM823" s="1080"/>
      <c r="HN823" s="1080"/>
      <c r="HO823" s="1080"/>
      <c r="HP823" s="1080"/>
      <c r="HQ823" s="1081"/>
      <c r="HR823" s="1080"/>
      <c r="HS823" s="1080"/>
      <c r="HT823" s="1080"/>
      <c r="HU823" s="1080"/>
      <c r="HV823" s="1080"/>
      <c r="HW823" s="1080"/>
      <c r="HX823" s="1080"/>
      <c r="HY823" s="1080"/>
      <c r="HZ823" s="1080"/>
      <c r="IA823" s="1080"/>
      <c r="IB823" s="1080"/>
      <c r="IC823" s="1080"/>
      <c r="ID823" s="1080"/>
      <c r="IE823" s="1080"/>
      <c r="IF823" s="1080"/>
      <c r="IG823" s="1081"/>
      <c r="IH823" s="1080"/>
      <c r="II823" s="1080"/>
      <c r="IJ823" s="1080"/>
      <c r="IK823" s="1080"/>
      <c r="IL823" s="1080"/>
      <c r="IM823" s="1080"/>
      <c r="IN823" s="1080"/>
      <c r="IO823" s="1081"/>
      <c r="IP823" s="1080"/>
      <c r="IQ823" s="1080"/>
      <c r="IR823" s="1080"/>
      <c r="IS823" s="1080"/>
      <c r="IT823" s="1080"/>
      <c r="IU823" s="1080"/>
      <c r="IV823" s="1080"/>
      <c r="IW823" s="1080"/>
      <c r="IX823" s="1049"/>
      <c r="IY823" s="1049"/>
      <c r="IZ823" s="1049"/>
      <c r="JA823" s="1049"/>
      <c r="JB823" s="1049"/>
      <c r="JC823" s="1049"/>
      <c r="JD823" s="1041"/>
      <c r="JE823" s="1037"/>
      <c r="JF823" s="1037"/>
      <c r="JG823" s="1037"/>
      <c r="JH823" s="1037"/>
      <c r="JI823" s="1035"/>
      <c r="JJ823" s="1035"/>
      <c r="JK823" s="1035"/>
      <c r="JL823" s="1035"/>
      <c r="JM823" s="1035"/>
      <c r="JN823" s="1035"/>
      <c r="JO823" s="1035"/>
      <c r="JP823" s="1035"/>
      <c r="JQ823" s="1035"/>
      <c r="JR823" s="1035"/>
      <c r="JS823" s="1035"/>
      <c r="JT823" s="1035"/>
      <c r="JU823" s="1035"/>
      <c r="JV823" s="1035"/>
      <c r="JW823" s="1035"/>
      <c r="JX823" s="1035"/>
      <c r="JY823" s="1035"/>
      <c r="LV823" s="967"/>
    </row>
    <row r="824" outlineLevel="1" spans="1:334">
      <c r="A824" s="967" t="s">
        <v>65</v>
      </c>
      <c r="AX824" s="1059"/>
      <c r="BE824" s="1060"/>
      <c r="BN824" s="1059"/>
      <c r="BU824" s="1060"/>
      <c r="BV824" s="1059"/>
      <c r="CC824" s="1060"/>
      <c r="CD824" s="1059"/>
      <c r="CJ824" s="1061"/>
      <c r="CK824" s="1060"/>
      <c r="CL824" s="1059"/>
      <c r="CS824" s="1060"/>
      <c r="CT824" s="967"/>
      <c r="CU824" s="967"/>
      <c r="CV824" s="967"/>
      <c r="CW824" s="967"/>
      <c r="CX824" s="967"/>
      <c r="CY824" s="967"/>
      <c r="CZ824" s="967"/>
      <c r="DA824" s="967"/>
      <c r="DB824" s="1080"/>
      <c r="DC824" s="1080"/>
      <c r="DD824" s="1080"/>
      <c r="DE824" s="1080"/>
      <c r="DF824" s="1080"/>
      <c r="DG824" s="1080"/>
      <c r="DH824" s="1080"/>
      <c r="DI824" s="1081"/>
      <c r="DJ824" s="1080">
        <v>0.01</v>
      </c>
      <c r="DK824" s="1080">
        <v>0.03</v>
      </c>
      <c r="DL824" s="1080">
        <f>(DJ824*DB822+DK824*DC822)/DD822</f>
        <v>0.0209090909090909</v>
      </c>
      <c r="DM824" s="1080">
        <v>0.02</v>
      </c>
      <c r="DN824" s="1080">
        <f>(DJ824*DB822+DK824*DC822+DM824*DE822)/DF822</f>
        <v>0.0205626598465473</v>
      </c>
      <c r="DO824" s="1080">
        <v>0.12</v>
      </c>
      <c r="DP824" s="1080">
        <f>(DM824*DE822+DO824*DG822)/DH822</f>
        <v>0.0684429065743945</v>
      </c>
      <c r="DQ824" s="1081" t="e">
        <f>'Profit and Loss'!#REF!</f>
        <v>#REF!</v>
      </c>
      <c r="DR824" s="1080">
        <v>0.13</v>
      </c>
      <c r="DS824" s="1080">
        <f>((DT824*DL822)-(DR824*DJ822))/DK822</f>
        <v>0.166258503401361</v>
      </c>
      <c r="DT824" s="1080">
        <v>0.15</v>
      </c>
      <c r="DU824" s="1080">
        <f>((DV824*DN822)-(DT824*DL822))/DM822</f>
        <v>0.123025477707006</v>
      </c>
      <c r="DV824" s="1080">
        <v>0.14</v>
      </c>
      <c r="DW824" s="1080" t="e">
        <f>((DX824*DP822)-(DU824*DM822))/DO822</f>
        <v>#REF!</v>
      </c>
      <c r="DX824" s="1080" t="e">
        <f>((DY824*DQ822)-(DT824*DL822))/DP822</f>
        <v>#REF!</v>
      </c>
      <c r="DY824" s="1081" t="e">
        <f>'Profit and Loss'!#REF!</f>
        <v>#REF!</v>
      </c>
      <c r="DZ824" s="1080">
        <v>0.14</v>
      </c>
      <c r="EA824" s="1080"/>
      <c r="EB824" s="1080">
        <v>0.14</v>
      </c>
      <c r="EC824" s="1080"/>
      <c r="ED824" s="1080">
        <v>0.15</v>
      </c>
      <c r="EE824" s="1080"/>
      <c r="EF824" s="1080"/>
      <c r="EG824" s="1081">
        <v>0.15</v>
      </c>
      <c r="EH824" s="1080">
        <v>0.14</v>
      </c>
      <c r="EI824" s="1080"/>
      <c r="EJ824" s="1080">
        <v>0.14</v>
      </c>
      <c r="EK824" s="1080"/>
      <c r="EL824" s="1080">
        <v>0.12</v>
      </c>
      <c r="EM824" s="1080"/>
      <c r="EN824" s="1080"/>
      <c r="EO824" s="1081">
        <v>0.11</v>
      </c>
      <c r="EP824" s="1080">
        <v>0.07</v>
      </c>
      <c r="EQ824" s="1080">
        <f>(EJ822*ER824-EH822*EP824)/EI822</f>
        <v>0.0343368421052632</v>
      </c>
      <c r="ER824" s="1080">
        <v>0.05</v>
      </c>
      <c r="ES824" s="1080">
        <f>(EL822*ET824-EJ822*ER824)/EK822</f>
        <v>0.05</v>
      </c>
      <c r="ET824" s="1080">
        <v>0.05</v>
      </c>
      <c r="EU824" s="1080">
        <f>(EO822*EW824-EH822*EP824-EI822*EQ824-EK822*ES824)/EM822</f>
        <v>0.127</v>
      </c>
      <c r="EV824" s="1080">
        <f>(EO822*EW824-EJ822*ER824)/EN822</f>
        <v>0.0869230769230769</v>
      </c>
      <c r="EW824" s="1081">
        <v>0.07</v>
      </c>
      <c r="EX824" s="1218">
        <v>0.2</v>
      </c>
      <c r="EY824" s="1080">
        <f>(ER822*EZ824-EP822*EX824)/EQ822</f>
        <v>0.254672304439746</v>
      </c>
      <c r="EZ824" s="1080">
        <v>0.23</v>
      </c>
      <c r="FA824" s="1080">
        <f>(ET822*FB824-ER822*EZ824)/ES822</f>
        <v>0.23</v>
      </c>
      <c r="FB824" s="1080">
        <v>0.23</v>
      </c>
      <c r="FC824" s="1080"/>
      <c r="FD824" s="1080"/>
      <c r="FE824" s="1081"/>
      <c r="FF824" s="1080"/>
      <c r="FG824" s="1080"/>
      <c r="FH824" s="1080"/>
      <c r="FI824" s="1080"/>
      <c r="FJ824" s="1080"/>
      <c r="FK824" s="1080"/>
      <c r="FL824" s="1080"/>
      <c r="FM824" s="1081"/>
      <c r="FN824" s="1080"/>
      <c r="FO824" s="1080"/>
      <c r="FP824" s="1080"/>
      <c r="FQ824" s="1080"/>
      <c r="FR824" s="1080"/>
      <c r="FS824" s="1080"/>
      <c r="FT824" s="1080"/>
      <c r="FU824" s="1080"/>
      <c r="FV824" s="1150"/>
      <c r="FW824" s="1080"/>
      <c r="FX824" s="1080"/>
      <c r="FY824" s="1080"/>
      <c r="FZ824" s="1080"/>
      <c r="GA824" s="1080"/>
      <c r="GB824" s="1080"/>
      <c r="GC824" s="1081"/>
      <c r="GD824" s="1080"/>
      <c r="GE824" s="1080"/>
      <c r="GF824" s="1080"/>
      <c r="GG824" s="1080"/>
      <c r="GH824" s="1080"/>
      <c r="GI824" s="1080"/>
      <c r="GJ824" s="1080"/>
      <c r="GK824" s="1081"/>
      <c r="GL824" s="1080"/>
      <c r="GM824" s="1080"/>
      <c r="GN824" s="1080"/>
      <c r="GO824" s="1080"/>
      <c r="GP824" s="1080"/>
      <c r="GQ824" s="1080"/>
      <c r="GR824" s="1080"/>
      <c r="GS824" s="1081"/>
      <c r="GT824" s="1080"/>
      <c r="GU824" s="1080"/>
      <c r="GV824" s="1080"/>
      <c r="GW824" s="1080"/>
      <c r="GX824" s="1080"/>
      <c r="GY824" s="1080"/>
      <c r="GZ824" s="1080"/>
      <c r="HA824" s="1081"/>
      <c r="HB824" s="1080"/>
      <c r="HC824" s="1080"/>
      <c r="HD824" s="1080"/>
      <c r="HE824" s="1080"/>
      <c r="HF824" s="1080"/>
      <c r="HG824" s="1080"/>
      <c r="HH824" s="1080"/>
      <c r="HI824" s="1081"/>
      <c r="HJ824" s="1080"/>
      <c r="HK824" s="1080"/>
      <c r="HL824" s="1080"/>
      <c r="HM824" s="1080"/>
      <c r="HN824" s="1080"/>
      <c r="HO824" s="1080"/>
      <c r="HP824" s="1080"/>
      <c r="HQ824" s="1081"/>
      <c r="HR824" s="1080"/>
      <c r="HS824" s="1080"/>
      <c r="HT824" s="1080"/>
      <c r="HU824" s="1080"/>
      <c r="HV824" s="1080"/>
      <c r="HW824" s="1080"/>
      <c r="HX824" s="1080"/>
      <c r="HY824" s="1080"/>
      <c r="HZ824" s="1080"/>
      <c r="IA824" s="1080"/>
      <c r="IB824" s="1080"/>
      <c r="IC824" s="1080"/>
      <c r="ID824" s="1080"/>
      <c r="IE824" s="1080"/>
      <c r="IF824" s="1080"/>
      <c r="IG824" s="1081"/>
      <c r="IH824" s="1080"/>
      <c r="II824" s="1080"/>
      <c r="IJ824" s="1080"/>
      <c r="IK824" s="1080"/>
      <c r="IL824" s="1080"/>
      <c r="IM824" s="1080"/>
      <c r="IN824" s="1080"/>
      <c r="IO824" s="1081"/>
      <c r="IP824" s="1080"/>
      <c r="IQ824" s="1080"/>
      <c r="IR824" s="1080"/>
      <c r="IS824" s="1080"/>
      <c r="IT824" s="1080"/>
      <c r="IU824" s="1080"/>
      <c r="IV824" s="1080"/>
      <c r="IW824" s="1080"/>
      <c r="IX824" s="1049"/>
      <c r="IY824" s="1049"/>
      <c r="IZ824" s="1049"/>
      <c r="JA824" s="1049"/>
      <c r="JB824" s="1049"/>
      <c r="JC824" s="1049"/>
      <c r="JD824" s="1041"/>
      <c r="JE824" s="1037"/>
      <c r="JF824" s="1037"/>
      <c r="JG824" s="1037"/>
      <c r="JH824" s="1037"/>
      <c r="JI824" s="1035"/>
      <c r="JJ824" s="1035"/>
      <c r="JK824" s="1035"/>
      <c r="JL824" s="1035"/>
      <c r="JM824" s="1035"/>
      <c r="JN824" s="1035"/>
      <c r="JO824" s="1035"/>
      <c r="JP824" s="1035"/>
      <c r="JQ824" s="1035"/>
      <c r="JR824" s="1035"/>
      <c r="JS824" s="1035"/>
      <c r="JT824" s="1035"/>
      <c r="JU824" s="1035"/>
      <c r="JV824" s="1035"/>
      <c r="JW824" s="1035"/>
      <c r="JX824" s="1035"/>
      <c r="JY824" s="1035"/>
    </row>
    <row r="825" s="969" customFormat="1" outlineLevel="1" spans="1:334">
      <c r="A825" s="1152" t="s">
        <v>89</v>
      </c>
      <c r="B825" s="1057"/>
      <c r="C825" s="1057"/>
      <c r="D825" s="1057"/>
      <c r="E825" s="1057"/>
      <c r="F825" s="1057"/>
      <c r="G825" s="1057"/>
      <c r="H825" s="1057"/>
      <c r="I825" s="1057"/>
      <c r="J825" s="1057"/>
      <c r="K825" s="1057"/>
      <c r="L825" s="1057"/>
      <c r="M825" s="1057"/>
      <c r="N825" s="1057"/>
      <c r="O825" s="1057"/>
      <c r="P825" s="1057"/>
      <c r="Q825" s="1057"/>
      <c r="R825" s="1057"/>
      <c r="S825" s="1057"/>
      <c r="T825" s="1057"/>
      <c r="U825" s="1057"/>
      <c r="V825" s="1057"/>
      <c r="W825" s="1057"/>
      <c r="X825" s="1057"/>
      <c r="Y825" s="1057"/>
      <c r="Z825" s="1057"/>
      <c r="AA825" s="1057"/>
      <c r="AB825" s="1057"/>
      <c r="AC825" s="1057"/>
      <c r="AD825" s="1057"/>
      <c r="AE825" s="1057"/>
      <c r="AF825" s="1057"/>
      <c r="AG825" s="1057"/>
      <c r="AH825" s="1057"/>
      <c r="AI825" s="1057"/>
      <c r="AJ825" s="1057"/>
      <c r="AK825" s="1057"/>
      <c r="AL825" s="1057"/>
      <c r="AM825" s="1057"/>
      <c r="AN825" s="1057"/>
      <c r="AO825" s="1057"/>
      <c r="AP825" s="1057"/>
      <c r="AQ825" s="1057"/>
      <c r="AR825" s="1057"/>
      <c r="AS825" s="1057"/>
      <c r="AT825" s="1057"/>
      <c r="AU825" s="1057"/>
      <c r="AV825" s="1057"/>
      <c r="AW825" s="1057"/>
      <c r="AX825" s="1153"/>
      <c r="AY825" s="1057"/>
      <c r="AZ825" s="1057"/>
      <c r="BA825" s="1057"/>
      <c r="BB825" s="1057"/>
      <c r="BC825" s="1057"/>
      <c r="BD825" s="1057"/>
      <c r="BE825" s="1154"/>
      <c r="BF825" s="1057"/>
      <c r="BG825" s="1057"/>
      <c r="BH825" s="1057"/>
      <c r="BI825" s="1057"/>
      <c r="BJ825" s="1057"/>
      <c r="BK825" s="1057"/>
      <c r="BL825" s="1057"/>
      <c r="BM825" s="1057"/>
      <c r="BN825" s="1153"/>
      <c r="BO825" s="1057"/>
      <c r="BP825" s="1057"/>
      <c r="BQ825" s="1057"/>
      <c r="BR825" s="1057"/>
      <c r="BS825" s="1057"/>
      <c r="BT825" s="1057"/>
      <c r="BU825" s="1154"/>
      <c r="BV825" s="1153"/>
      <c r="BW825" s="1057"/>
      <c r="BX825" s="1057"/>
      <c r="BY825" s="1057"/>
      <c r="BZ825" s="1057"/>
      <c r="CA825" s="1057"/>
      <c r="CB825" s="1057"/>
      <c r="CC825" s="1154"/>
      <c r="CD825" s="1153"/>
      <c r="CE825" s="1057"/>
      <c r="CF825" s="1057"/>
      <c r="CG825" s="1057"/>
      <c r="CH825" s="1057"/>
      <c r="CI825" s="1057"/>
      <c r="CJ825" s="1155"/>
      <c r="CK825" s="1154"/>
      <c r="CL825" s="1153"/>
      <c r="CM825" s="1057"/>
      <c r="CN825" s="1057"/>
      <c r="CO825" s="1057"/>
      <c r="CP825" s="1057"/>
      <c r="CQ825" s="1057"/>
      <c r="CR825" s="1057"/>
      <c r="CS825" s="1154"/>
      <c r="CT825" s="1152"/>
      <c r="CU825" s="1152"/>
      <c r="CV825" s="1152"/>
      <c r="CW825" s="1152"/>
      <c r="CX825" s="1152"/>
      <c r="CY825" s="1152"/>
      <c r="CZ825" s="1152"/>
      <c r="DA825" s="1152"/>
      <c r="DB825" s="1071">
        <v>74</v>
      </c>
      <c r="DC825" s="1071">
        <v>82</v>
      </c>
      <c r="DD825" s="1071">
        <f>DB825+DC825</f>
        <v>156</v>
      </c>
      <c r="DE825" s="1071">
        <v>97</v>
      </c>
      <c r="DF825" s="1071">
        <f>DD825+DE825</f>
        <v>253</v>
      </c>
      <c r="DG825" s="1071">
        <v>93</v>
      </c>
      <c r="DH825" s="1071">
        <f>DE825+DG825</f>
        <v>190</v>
      </c>
      <c r="DI825" s="1072" t="e">
        <f>'Profit and Loss'!#REF!</f>
        <v>#REF!</v>
      </c>
      <c r="DJ825" s="1071">
        <v>90</v>
      </c>
      <c r="DK825" s="1071">
        <v>106</v>
      </c>
      <c r="DL825" s="1071">
        <f>DJ825+DK825</f>
        <v>196</v>
      </c>
      <c r="DM825" s="1071">
        <v>113</v>
      </c>
      <c r="DN825" s="1071">
        <f>DL825+DM825</f>
        <v>309</v>
      </c>
      <c r="DO825" s="1071">
        <v>110</v>
      </c>
      <c r="DP825" s="1071">
        <f>DO825+DM825</f>
        <v>223</v>
      </c>
      <c r="DQ825" s="1072" t="e">
        <f>'Profit and Loss'!#REF!</f>
        <v>#REF!</v>
      </c>
      <c r="DR825" s="1071">
        <v>111</v>
      </c>
      <c r="DS825" s="1071">
        <f>DT825-DR825</f>
        <v>136</v>
      </c>
      <c r="DT825" s="1071">
        <v>247</v>
      </c>
      <c r="DU825" s="1071">
        <f>DV825-DT825</f>
        <v>158</v>
      </c>
      <c r="DV825" s="1071">
        <v>405</v>
      </c>
      <c r="DW825" s="1071" t="e">
        <f>DY825-DV825</f>
        <v>#REF!</v>
      </c>
      <c r="DX825" s="1071" t="e">
        <f>DY825-DT825</f>
        <v>#REF!</v>
      </c>
      <c r="DY825" s="1072" t="e">
        <f>'Profit and Loss'!#REF!</f>
        <v>#REF!</v>
      </c>
      <c r="DZ825" s="1071">
        <v>167</v>
      </c>
      <c r="EA825" s="1071">
        <f>+EB825-DZ825</f>
        <v>173</v>
      </c>
      <c r="EB825" s="1071">
        <v>340</v>
      </c>
      <c r="EC825" s="1071">
        <f>+ED825-EB825</f>
        <v>191</v>
      </c>
      <c r="ED825" s="1071">
        <v>531</v>
      </c>
      <c r="EE825" s="1071">
        <f>+EF825-EC825</f>
        <v>221</v>
      </c>
      <c r="EF825" s="1071">
        <f>+EG825-EB825</f>
        <v>412</v>
      </c>
      <c r="EG825" s="1072">
        <v>752</v>
      </c>
      <c r="EH825" s="1071">
        <v>212</v>
      </c>
      <c r="EI825" s="1071">
        <f>+EJ825-EH825</f>
        <v>231</v>
      </c>
      <c r="EJ825" s="1071">
        <v>443</v>
      </c>
      <c r="EK825" s="1071">
        <f>EL825-EJ825</f>
        <v>255</v>
      </c>
      <c r="EL825" s="1071">
        <v>698</v>
      </c>
      <c r="EM825" s="1071">
        <f>EN825-EK825</f>
        <v>260</v>
      </c>
      <c r="EN825" s="1071">
        <f>EO825-EJ825</f>
        <v>515</v>
      </c>
      <c r="EO825" s="1072">
        <v>958</v>
      </c>
      <c r="EP825" s="1071">
        <v>218</v>
      </c>
      <c r="EQ825" s="1071">
        <f>ER825-EP825</f>
        <v>249</v>
      </c>
      <c r="ER825" s="1071">
        <v>467</v>
      </c>
      <c r="ES825" s="1071">
        <f>ET825-ER825</f>
        <v>272</v>
      </c>
      <c r="ET825" s="1071">
        <v>739</v>
      </c>
      <c r="EU825" s="1071">
        <f>EV825-ES825</f>
        <v>281</v>
      </c>
      <c r="EV825" s="1071">
        <f>EW825-ER825</f>
        <v>553</v>
      </c>
      <c r="EW825" s="1072">
        <v>1020</v>
      </c>
      <c r="EX825" s="1076">
        <v>253</v>
      </c>
      <c r="EY825" s="1071">
        <f>EZ825-EX825</f>
        <v>274</v>
      </c>
      <c r="EZ825" s="1071">
        <v>527</v>
      </c>
      <c r="FA825" s="1071">
        <f>FB825-EZ825</f>
        <v>303</v>
      </c>
      <c r="FB825" s="1071">
        <v>830</v>
      </c>
      <c r="FC825" s="1071"/>
      <c r="FD825" s="1071"/>
      <c r="FE825" s="1072"/>
      <c r="FF825" s="1071"/>
      <c r="FG825" s="1071"/>
      <c r="FH825" s="1071"/>
      <c r="FI825" s="1071"/>
      <c r="FJ825" s="1071"/>
      <c r="FK825" s="1071"/>
      <c r="FL825" s="1071"/>
      <c r="FM825" s="1072"/>
      <c r="FN825" s="1071"/>
      <c r="FO825" s="1071"/>
      <c r="FP825" s="1071"/>
      <c r="FQ825" s="1071"/>
      <c r="FR825" s="1071"/>
      <c r="FS825" s="1071"/>
      <c r="FT825" s="1071"/>
      <c r="FU825" s="1071"/>
      <c r="FV825" s="1177"/>
      <c r="FW825" s="1071"/>
      <c r="FX825" s="1071"/>
      <c r="FY825" s="1071"/>
      <c r="FZ825" s="1071"/>
      <c r="GA825" s="1071"/>
      <c r="GB825" s="1071"/>
      <c r="GC825" s="1072"/>
      <c r="GD825" s="1071"/>
      <c r="GE825" s="1071"/>
      <c r="GF825" s="1071"/>
      <c r="GG825" s="1071"/>
      <c r="GH825" s="1071"/>
      <c r="GI825" s="1071"/>
      <c r="GJ825" s="1071"/>
      <c r="GK825" s="1072"/>
      <c r="GL825" s="1071"/>
      <c r="GM825" s="1071"/>
      <c r="GN825" s="1071"/>
      <c r="GO825" s="1071"/>
      <c r="GP825" s="1071"/>
      <c r="GQ825" s="1071"/>
      <c r="GR825" s="1071"/>
      <c r="GS825" s="1072"/>
      <c r="GT825" s="1071"/>
      <c r="GU825" s="1071"/>
      <c r="GV825" s="1071"/>
      <c r="GW825" s="1071"/>
      <c r="GX825" s="1071"/>
      <c r="GY825" s="1071"/>
      <c r="GZ825" s="1071"/>
      <c r="HA825" s="1072"/>
      <c r="HB825" s="1071"/>
      <c r="HC825" s="1071"/>
      <c r="HD825" s="1071"/>
      <c r="HE825" s="1071"/>
      <c r="HF825" s="1071"/>
      <c r="HG825" s="1071"/>
      <c r="HH825" s="1071"/>
      <c r="HI825" s="1072"/>
      <c r="HJ825" s="1071"/>
      <c r="HK825" s="1071"/>
      <c r="HL825" s="1071"/>
      <c r="HM825" s="1071"/>
      <c r="HN825" s="1071"/>
      <c r="HO825" s="1071"/>
      <c r="HP825" s="1071"/>
      <c r="HQ825" s="1072"/>
      <c r="HR825" s="1071"/>
      <c r="HS825" s="1071"/>
      <c r="HT825" s="1071"/>
      <c r="HU825" s="1071"/>
      <c r="HV825" s="1071"/>
      <c r="HW825" s="1071"/>
      <c r="HX825" s="1071"/>
      <c r="HY825" s="1071"/>
      <c r="HZ825" s="1071"/>
      <c r="IA825" s="1071"/>
      <c r="IB825" s="1071"/>
      <c r="IC825" s="1071"/>
      <c r="ID825" s="1071"/>
      <c r="IE825" s="1071"/>
      <c r="IF825" s="1071"/>
      <c r="IG825" s="1072"/>
      <c r="IH825" s="1071"/>
      <c r="II825" s="1071"/>
      <c r="IJ825" s="1071"/>
      <c r="IK825" s="1071"/>
      <c r="IL825" s="1071"/>
      <c r="IM825" s="1071"/>
      <c r="IN825" s="1071"/>
      <c r="IO825" s="1072"/>
      <c r="IP825" s="1071"/>
      <c r="IQ825" s="1071"/>
      <c r="IR825" s="1071"/>
      <c r="IS825" s="1071"/>
      <c r="IT825" s="1071"/>
      <c r="IU825" s="1071"/>
      <c r="IV825" s="1071"/>
      <c r="IW825" s="1071"/>
      <c r="IX825" s="1049"/>
      <c r="IY825" s="1049"/>
      <c r="IZ825" s="1049"/>
      <c r="JA825" s="1049"/>
      <c r="JB825" s="1049"/>
      <c r="JC825" s="1049"/>
      <c r="JD825" s="1103"/>
      <c r="JE825" s="1079"/>
      <c r="JF825" s="1079"/>
      <c r="JG825" s="1079"/>
      <c r="JH825" s="1079"/>
      <c r="LV825" s="1110"/>
    </row>
    <row r="826" outlineLevel="1" spans="1:334">
      <c r="A826" s="967" t="s">
        <v>61</v>
      </c>
      <c r="AX826" s="1059"/>
      <c r="BE826" s="1060"/>
      <c r="BN826" s="1059"/>
      <c r="BU826" s="1060"/>
      <c r="BV826" s="1059"/>
      <c r="CC826" s="1060"/>
      <c r="CD826" s="1059"/>
      <c r="CJ826" s="1061"/>
      <c r="CK826" s="1060"/>
      <c r="CL826" s="1059"/>
      <c r="CS826" s="1060"/>
      <c r="CT826" s="967"/>
      <c r="CU826" s="967"/>
      <c r="CV826" s="967"/>
      <c r="CW826" s="967"/>
      <c r="CX826" s="967"/>
      <c r="CY826" s="967"/>
      <c r="CZ826" s="967"/>
      <c r="DA826" s="967"/>
      <c r="DJ826" s="1080">
        <f t="shared" ref="DJ826:DQ826" si="4617">DJ825/DB825-1</f>
        <v>0.216216216216216</v>
      </c>
      <c r="DK826" s="1080">
        <f t="shared" si="4617"/>
        <v>0.292682926829268</v>
      </c>
      <c r="DL826" s="1080">
        <f t="shared" si="4617"/>
        <v>0.256410256410256</v>
      </c>
      <c r="DM826" s="1080">
        <f t="shared" si="4617"/>
        <v>0.164948453608248</v>
      </c>
      <c r="DN826" s="1080">
        <f t="shared" si="4617"/>
        <v>0.221343873517787</v>
      </c>
      <c r="DO826" s="1080">
        <f t="shared" si="4617"/>
        <v>0.182795698924731</v>
      </c>
      <c r="DP826" s="1080">
        <f t="shared" si="4617"/>
        <v>0.173684210526316</v>
      </c>
      <c r="DQ826" s="1081" t="e">
        <f t="shared" si="4617"/>
        <v>#REF!</v>
      </c>
      <c r="DR826" s="1080">
        <f t="shared" ref="DR826:EC826" si="4618">DR825/DJ825-1</f>
        <v>0.233333333333333</v>
      </c>
      <c r="DS826" s="1080">
        <f t="shared" si="4618"/>
        <v>0.283018867924528</v>
      </c>
      <c r="DT826" s="1080">
        <f t="shared" si="4618"/>
        <v>0.260204081632653</v>
      </c>
      <c r="DU826" s="1080">
        <f t="shared" si="4618"/>
        <v>0.398230088495575</v>
      </c>
      <c r="DV826" s="1080">
        <f t="shared" si="4618"/>
        <v>0.310679611650486</v>
      </c>
      <c r="DW826" s="1080" t="e">
        <f t="shared" si="4618"/>
        <v>#REF!</v>
      </c>
      <c r="DX826" s="1080" t="e">
        <f t="shared" si="4618"/>
        <v>#REF!</v>
      </c>
      <c r="DY826" s="1081" t="e">
        <f t="shared" si="4618"/>
        <v>#REF!</v>
      </c>
      <c r="DZ826" s="1080">
        <f t="shared" si="4618"/>
        <v>0.504504504504504</v>
      </c>
      <c r="EA826" s="1080">
        <f t="shared" si="4618"/>
        <v>0.272058823529412</v>
      </c>
      <c r="EB826" s="1080">
        <f t="shared" si="4618"/>
        <v>0.376518218623482</v>
      </c>
      <c r="EC826" s="1080">
        <f t="shared" si="4618"/>
        <v>0.208860759493671</v>
      </c>
      <c r="ED826" s="1080">
        <f t="shared" ref="ED826:EJ826" si="4619">ED825/DV825-1</f>
        <v>0.311111111111111</v>
      </c>
      <c r="EE826" s="1082" t="e">
        <f t="shared" si="4619"/>
        <v>#REF!</v>
      </c>
      <c r="EF826" s="1082" t="e">
        <f t="shared" si="4619"/>
        <v>#REF!</v>
      </c>
      <c r="EG826" s="1081" t="e">
        <f t="shared" si="4619"/>
        <v>#REF!</v>
      </c>
      <c r="EH826" s="1080">
        <f t="shared" si="4619"/>
        <v>0.269461077844311</v>
      </c>
      <c r="EI826" s="1080">
        <f t="shared" si="4619"/>
        <v>0.335260115606936</v>
      </c>
      <c r="EJ826" s="1080">
        <f t="shared" si="4619"/>
        <v>0.302941176470588</v>
      </c>
      <c r="EK826" s="1080">
        <f t="shared" ref="EK826:EP826" si="4620">EK825/EC825-1</f>
        <v>0.335078534031414</v>
      </c>
      <c r="EL826" s="1080">
        <f t="shared" si="4620"/>
        <v>0.314500941619586</v>
      </c>
      <c r="EM826" s="1080">
        <f t="shared" si="4620"/>
        <v>0.176470588235294</v>
      </c>
      <c r="EN826" s="1080">
        <f t="shared" si="4620"/>
        <v>0.25</v>
      </c>
      <c r="EO826" s="1081">
        <f t="shared" si="4620"/>
        <v>0.273936170212766</v>
      </c>
      <c r="EP826" s="1080">
        <f t="shared" si="4620"/>
        <v>0.0283018867924529</v>
      </c>
      <c r="EQ826" s="1080">
        <f t="shared" ref="EQ826:FB826" si="4621">EQ825/EI825-1</f>
        <v>0.0779220779220779</v>
      </c>
      <c r="ER826" s="1080">
        <f t="shared" si="4621"/>
        <v>0.0541760722347631</v>
      </c>
      <c r="ES826" s="1080">
        <f t="shared" si="4621"/>
        <v>0.0666666666666667</v>
      </c>
      <c r="ET826" s="1080">
        <f t="shared" si="4621"/>
        <v>0.0587392550143266</v>
      </c>
      <c r="EU826" s="1080">
        <f t="shared" si="4621"/>
        <v>0.0807692307692307</v>
      </c>
      <c r="EV826" s="1080">
        <f t="shared" si="4621"/>
        <v>0.0737864077669903</v>
      </c>
      <c r="EW826" s="1081">
        <f t="shared" si="4621"/>
        <v>0.0647181628392484</v>
      </c>
      <c r="EX826" s="1218">
        <f t="shared" si="4621"/>
        <v>0.160550458715596</v>
      </c>
      <c r="EY826" s="1080">
        <f t="shared" si="4621"/>
        <v>0.100401606425703</v>
      </c>
      <c r="EZ826" s="1080">
        <f t="shared" si="4621"/>
        <v>0.12847965738758</v>
      </c>
      <c r="FA826" s="1080">
        <f t="shared" si="4621"/>
        <v>0.113970588235294</v>
      </c>
      <c r="FB826" s="1080">
        <f t="shared" si="4621"/>
        <v>0.123139377537212</v>
      </c>
      <c r="FC826" s="1080"/>
      <c r="FD826" s="1080"/>
      <c r="FE826" s="1081"/>
      <c r="FF826" s="1080"/>
      <c r="FG826" s="1080"/>
      <c r="FH826" s="1080"/>
      <c r="FI826" s="1080"/>
      <c r="FJ826" s="1080"/>
      <c r="FK826" s="1080"/>
      <c r="FL826" s="1080"/>
      <c r="FM826" s="1081"/>
      <c r="FN826" s="1080"/>
      <c r="FO826" s="1080"/>
      <c r="FP826" s="1080"/>
      <c r="FQ826" s="1080"/>
      <c r="FR826" s="1080"/>
      <c r="FS826" s="1080"/>
      <c r="FT826" s="1080"/>
      <c r="FU826" s="1080"/>
      <c r="FV826" s="1150"/>
      <c r="FW826" s="1080"/>
      <c r="FX826" s="1080"/>
      <c r="FY826" s="1080"/>
      <c r="FZ826" s="1080"/>
      <c r="GA826" s="1080"/>
      <c r="GB826" s="1080"/>
      <c r="GC826" s="1081"/>
      <c r="GD826" s="1080"/>
      <c r="GE826" s="1080"/>
      <c r="GF826" s="1080"/>
      <c r="GG826" s="1080"/>
      <c r="GH826" s="1080"/>
      <c r="GI826" s="1080"/>
      <c r="GJ826" s="1080"/>
      <c r="GK826" s="1081"/>
      <c r="GL826" s="1080"/>
      <c r="GM826" s="1080"/>
      <c r="GN826" s="1080"/>
      <c r="GO826" s="1080"/>
      <c r="GP826" s="1080"/>
      <c r="GQ826" s="1080"/>
      <c r="GR826" s="1080"/>
      <c r="GS826" s="1081"/>
      <c r="GT826" s="1080"/>
      <c r="GU826" s="1080"/>
      <c r="GV826" s="1080"/>
      <c r="GW826" s="1080"/>
      <c r="GX826" s="1080"/>
      <c r="GY826" s="1080"/>
      <c r="GZ826" s="1080"/>
      <c r="HA826" s="1081"/>
      <c r="HB826" s="1080"/>
      <c r="HC826" s="1080"/>
      <c r="HD826" s="1080"/>
      <c r="HE826" s="1080"/>
      <c r="HF826" s="1080"/>
      <c r="HG826" s="1080"/>
      <c r="HH826" s="1080"/>
      <c r="HI826" s="1081"/>
      <c r="HJ826" s="1080"/>
      <c r="HK826" s="1080"/>
      <c r="HL826" s="1080"/>
      <c r="HM826" s="1080"/>
      <c r="HN826" s="1080"/>
      <c r="HO826" s="1080"/>
      <c r="HP826" s="1080"/>
      <c r="HQ826" s="1081"/>
      <c r="HR826" s="1080"/>
      <c r="HS826" s="1080"/>
      <c r="HT826" s="1080"/>
      <c r="HU826" s="1080"/>
      <c r="HV826" s="1080"/>
      <c r="HW826" s="1080"/>
      <c r="HX826" s="1080"/>
      <c r="HY826" s="1080"/>
      <c r="HZ826" s="1080"/>
      <c r="IA826" s="1080"/>
      <c r="IB826" s="1080"/>
      <c r="IC826" s="1080"/>
      <c r="ID826" s="1080"/>
      <c r="IE826" s="1080"/>
      <c r="IF826" s="1080"/>
      <c r="IG826" s="1081"/>
      <c r="IH826" s="1080"/>
      <c r="II826" s="1080"/>
      <c r="IJ826" s="1080"/>
      <c r="IK826" s="1080"/>
      <c r="IL826" s="1080"/>
      <c r="IM826" s="1080"/>
      <c r="IN826" s="1080"/>
      <c r="IO826" s="1081"/>
      <c r="IP826" s="1080"/>
      <c r="IQ826" s="1080"/>
      <c r="IR826" s="1080"/>
      <c r="IS826" s="1080"/>
      <c r="IT826" s="1080"/>
      <c r="IU826" s="1080"/>
      <c r="IV826" s="1080"/>
      <c r="IW826" s="1080"/>
      <c r="IX826" s="1049"/>
      <c r="IY826" s="1049"/>
      <c r="IZ826" s="1049"/>
      <c r="JA826" s="1049"/>
      <c r="JB826" s="1049"/>
      <c r="JC826" s="1049"/>
      <c r="JD826" s="1041"/>
      <c r="JE826" s="1037"/>
      <c r="JF826" s="1037"/>
      <c r="JG826" s="1037"/>
      <c r="JH826" s="1037"/>
      <c r="JI826" s="1035"/>
      <c r="JJ826" s="1035"/>
      <c r="JK826" s="1035"/>
      <c r="JL826" s="1035"/>
      <c r="JM826" s="1035"/>
      <c r="JN826" s="1035"/>
      <c r="JO826" s="1035"/>
      <c r="JP826" s="1035"/>
      <c r="JQ826" s="1035"/>
      <c r="JR826" s="1035"/>
      <c r="JS826" s="1035"/>
      <c r="JT826" s="1035"/>
      <c r="JU826" s="1035"/>
      <c r="JV826" s="1035"/>
      <c r="JW826" s="1035"/>
      <c r="JX826" s="1035"/>
      <c r="JY826" s="1035"/>
      <c r="LV826" s="1025"/>
    </row>
    <row r="827" outlineLevel="1" spans="1:334">
      <c r="A827" s="967" t="s">
        <v>65</v>
      </c>
      <c r="AX827" s="1059"/>
      <c r="BE827" s="1060"/>
      <c r="BN827" s="1059"/>
      <c r="BU827" s="1060"/>
      <c r="BV827" s="1059"/>
      <c r="CC827" s="1060"/>
      <c r="CD827" s="1059"/>
      <c r="CJ827" s="1061"/>
      <c r="CK827" s="1060"/>
      <c r="CL827" s="1059"/>
      <c r="CS827" s="1060"/>
      <c r="CT827" s="967"/>
      <c r="CU827" s="967"/>
      <c r="CV827" s="967"/>
      <c r="CW827" s="967"/>
      <c r="CX827" s="967"/>
      <c r="CY827" s="967"/>
      <c r="CZ827" s="967"/>
      <c r="DA827" s="967"/>
      <c r="DB827" s="1080"/>
      <c r="DC827" s="1080"/>
      <c r="DD827" s="1080"/>
      <c r="DE827" s="1080"/>
      <c r="DF827" s="1080"/>
      <c r="DG827" s="1080"/>
      <c r="DH827" s="1080"/>
      <c r="DI827" s="1081"/>
      <c r="DJ827" s="1080">
        <v>0.17</v>
      </c>
      <c r="DK827" s="1080">
        <v>0.23</v>
      </c>
      <c r="DL827" s="1080">
        <f>(DJ827*DB825+DK827*DC825)/DD825</f>
        <v>0.201538461538462</v>
      </c>
      <c r="DM827" s="1080">
        <v>0.14</v>
      </c>
      <c r="DN827" s="1080">
        <f>(DJ827*DB825+DK827*DC825+DM827*DE825)/DF825</f>
        <v>0.177944664031621</v>
      </c>
      <c r="DO827" s="1080">
        <v>0.25</v>
      </c>
      <c r="DP827" s="1080">
        <f>(DM827*DE825+DO827*DG825)/DH825</f>
        <v>0.193842105263158</v>
      </c>
      <c r="DQ827" s="1081" t="e">
        <f>'Profit and Loss'!#REF!</f>
        <v>#REF!</v>
      </c>
      <c r="DR827" s="1080">
        <v>0.24</v>
      </c>
      <c r="DS827" s="1080">
        <f>((DT827*DL825)-(DR827*DJ825))/DK825</f>
        <v>0.203018867924528</v>
      </c>
      <c r="DT827" s="1080">
        <v>0.22</v>
      </c>
      <c r="DU827" s="1080">
        <f>((DV827*DN825)-(DT827*DL825))/DM825</f>
        <v>0.274690265486726</v>
      </c>
      <c r="DV827" s="1080">
        <v>0.24</v>
      </c>
      <c r="DW827" s="1080" t="e">
        <f>((DX827*DP825)-(DU827*DM825))/DO825</f>
        <v>#REF!</v>
      </c>
      <c r="DX827" s="1080" t="e">
        <f>((DY827*DQ825)-(DT827*DL825))/DP825</f>
        <v>#REF!</v>
      </c>
      <c r="DY827" s="1081" t="e">
        <f>'Profit and Loss'!#REF!</f>
        <v>#REF!</v>
      </c>
      <c r="DZ827" s="1080">
        <v>0.45</v>
      </c>
      <c r="EA827" s="1080"/>
      <c r="EB827" s="1080">
        <v>0.4</v>
      </c>
      <c r="EC827" s="1080"/>
      <c r="ED827" s="1080">
        <v>0.35</v>
      </c>
      <c r="EE827" s="1080"/>
      <c r="EF827" s="1080"/>
      <c r="EG827" s="1081">
        <v>0.33</v>
      </c>
      <c r="EH827" s="1080">
        <v>0.23</v>
      </c>
      <c r="EI827" s="1080"/>
      <c r="EJ827" s="1080">
        <v>0.23</v>
      </c>
      <c r="EK827" s="1080"/>
      <c r="EL827" s="1080">
        <v>0.23</v>
      </c>
      <c r="EM827" s="1080"/>
      <c r="EN827" s="1080"/>
      <c r="EO827" s="1081">
        <v>0.2</v>
      </c>
      <c r="EP827" s="1080">
        <v>0.05</v>
      </c>
      <c r="EQ827" s="1080">
        <f>(EJ825*ER827-EH825*EP827)/EI825</f>
        <v>0.126709956709957</v>
      </c>
      <c r="ER827" s="1080">
        <v>0.09</v>
      </c>
      <c r="ES827" s="1080">
        <f>(EL825*ET827-EJ825*ER827)/EK825</f>
        <v>0.144745098039216</v>
      </c>
      <c r="ET827" s="1080">
        <v>0.11</v>
      </c>
      <c r="EU827" s="1080">
        <f>(EO825*EW827-EH825*EP827-EI825*EQ827-EK825*ES827)/EM825</f>
        <v>0.146846153846154</v>
      </c>
      <c r="EV827" s="1080">
        <f>(EO825*EW827-EJ825*ER827)/EN825</f>
        <v>0.145805825242718</v>
      </c>
      <c r="EW827" s="1081">
        <v>0.12</v>
      </c>
      <c r="EX827" s="1218">
        <v>0.28</v>
      </c>
      <c r="EY827" s="1080">
        <f>(ER825*EZ827-EP825*EX827)/EQ825</f>
        <v>0.204979919678715</v>
      </c>
      <c r="EZ827" s="1080">
        <v>0.24</v>
      </c>
      <c r="FA827" s="1080">
        <f>(ET825*FB827-ER825*EZ827)/ES825</f>
        <v>0.185661764705882</v>
      </c>
      <c r="FB827" s="1080">
        <v>0.22</v>
      </c>
      <c r="FC827" s="1080"/>
      <c r="FD827" s="1080"/>
      <c r="FE827" s="1081"/>
      <c r="FF827" s="1080"/>
      <c r="FG827" s="1080"/>
      <c r="FH827" s="1080"/>
      <c r="FI827" s="1080"/>
      <c r="FJ827" s="1080"/>
      <c r="FK827" s="1080"/>
      <c r="FL827" s="1080"/>
      <c r="FM827" s="1081"/>
      <c r="FN827" s="1080"/>
      <c r="FO827" s="1080"/>
      <c r="FP827" s="1080"/>
      <c r="FQ827" s="1080"/>
      <c r="FR827" s="1080"/>
      <c r="FS827" s="1080"/>
      <c r="FT827" s="1080"/>
      <c r="FU827" s="1080"/>
      <c r="FV827" s="1150"/>
      <c r="FW827" s="1080"/>
      <c r="FX827" s="1080"/>
      <c r="FY827" s="1080"/>
      <c r="FZ827" s="1080"/>
      <c r="GA827" s="1080"/>
      <c r="GB827" s="1080"/>
      <c r="GC827" s="1081"/>
      <c r="GD827" s="1080"/>
      <c r="GE827" s="1080"/>
      <c r="GF827" s="1080"/>
      <c r="GG827" s="1080"/>
      <c r="GH827" s="1080"/>
      <c r="GI827" s="1080"/>
      <c r="GJ827" s="1080"/>
      <c r="GK827" s="1081"/>
      <c r="GL827" s="1080"/>
      <c r="GM827" s="1080"/>
      <c r="GN827" s="1080"/>
      <c r="GO827" s="1080"/>
      <c r="GP827" s="1080"/>
      <c r="GQ827" s="1080"/>
      <c r="GR827" s="1080"/>
      <c r="GS827" s="1081"/>
      <c r="GT827" s="1080"/>
      <c r="GU827" s="1080"/>
      <c r="GV827" s="1080"/>
      <c r="GW827" s="1080"/>
      <c r="GX827" s="1080"/>
      <c r="GY827" s="1080"/>
      <c r="GZ827" s="1080"/>
      <c r="HA827" s="1081"/>
      <c r="HB827" s="1080"/>
      <c r="HC827" s="1080"/>
      <c r="HD827" s="1080"/>
      <c r="HE827" s="1080"/>
      <c r="HF827" s="1080"/>
      <c r="HG827" s="1080"/>
      <c r="HH827" s="1080"/>
      <c r="HI827" s="1081"/>
      <c r="HJ827" s="1080"/>
      <c r="HK827" s="1080"/>
      <c r="HL827" s="1080"/>
      <c r="HM827" s="1080"/>
      <c r="HN827" s="1080"/>
      <c r="HO827" s="1080"/>
      <c r="HP827" s="1080"/>
      <c r="HQ827" s="1081"/>
      <c r="HR827" s="1080"/>
      <c r="HS827" s="1080"/>
      <c r="HT827" s="1080"/>
      <c r="HU827" s="1080"/>
      <c r="HV827" s="1080"/>
      <c r="HW827" s="1080"/>
      <c r="HX827" s="1080"/>
      <c r="HY827" s="1080"/>
      <c r="HZ827" s="1080"/>
      <c r="IA827" s="1080"/>
      <c r="IB827" s="1080"/>
      <c r="IC827" s="1080"/>
      <c r="ID827" s="1080"/>
      <c r="IE827" s="1080"/>
      <c r="IF827" s="1080"/>
      <c r="IG827" s="1081"/>
      <c r="IH827" s="1080"/>
      <c r="II827" s="1080"/>
      <c r="IJ827" s="1080"/>
      <c r="IK827" s="1080"/>
      <c r="IL827" s="1080"/>
      <c r="IM827" s="1080"/>
      <c r="IN827" s="1080"/>
      <c r="IO827" s="1081"/>
      <c r="IP827" s="1080"/>
      <c r="IQ827" s="1080"/>
      <c r="IR827" s="1080"/>
      <c r="IS827" s="1080"/>
      <c r="IT827" s="1080"/>
      <c r="IU827" s="1080"/>
      <c r="IV827" s="1080"/>
      <c r="IW827" s="1080"/>
      <c r="IX827" s="1049"/>
      <c r="IY827" s="1049"/>
      <c r="IZ827" s="1049"/>
      <c r="JA827" s="1049"/>
      <c r="JB827" s="1049"/>
      <c r="JC827" s="1049"/>
      <c r="JD827" s="1041"/>
      <c r="JE827" s="1037"/>
      <c r="JF827" s="1037"/>
      <c r="JG827" s="1037"/>
      <c r="JH827" s="1037"/>
      <c r="JI827" s="1035"/>
      <c r="JJ827" s="1035"/>
      <c r="JK827" s="1035"/>
      <c r="JL827" s="1035"/>
      <c r="JM827" s="1035"/>
      <c r="JN827" s="1035"/>
      <c r="JO827" s="1035"/>
      <c r="JP827" s="1035"/>
      <c r="JQ827" s="1035"/>
      <c r="JR827" s="1035"/>
      <c r="JS827" s="1035"/>
      <c r="JT827" s="1035"/>
      <c r="JU827" s="1035"/>
      <c r="JV827" s="1035"/>
      <c r="JW827" s="1035"/>
      <c r="JX827" s="1035"/>
      <c r="JY827" s="1035"/>
      <c r="LV827" s="1113"/>
    </row>
    <row r="828" s="969" customFormat="1" outlineLevel="1" spans="1:334">
      <c r="A828" s="1152" t="s">
        <v>82</v>
      </c>
      <c r="B828" s="1057"/>
      <c r="C828" s="1057"/>
      <c r="D828" s="1057"/>
      <c r="E828" s="1057"/>
      <c r="F828" s="1057"/>
      <c r="G828" s="1057"/>
      <c r="H828" s="1057"/>
      <c r="I828" s="1057"/>
      <c r="J828" s="1057"/>
      <c r="K828" s="1057"/>
      <c r="L828" s="1057"/>
      <c r="M828" s="1057"/>
      <c r="N828" s="1057"/>
      <c r="O828" s="1057"/>
      <c r="P828" s="1057"/>
      <c r="Q828" s="1057"/>
      <c r="R828" s="1057"/>
      <c r="S828" s="1057"/>
      <c r="T828" s="1057"/>
      <c r="U828" s="1057"/>
      <c r="V828" s="1057"/>
      <c r="W828" s="1057"/>
      <c r="X828" s="1057"/>
      <c r="Y828" s="1057"/>
      <c r="Z828" s="1057"/>
      <c r="AA828" s="1057"/>
      <c r="AB828" s="1057"/>
      <c r="AC828" s="1057"/>
      <c r="AD828" s="1057"/>
      <c r="AE828" s="1057"/>
      <c r="AF828" s="1057"/>
      <c r="AG828" s="1057"/>
      <c r="AH828" s="1057"/>
      <c r="AI828" s="1057"/>
      <c r="AJ828" s="1057"/>
      <c r="AK828" s="1057"/>
      <c r="AL828" s="1057"/>
      <c r="AM828" s="1057"/>
      <c r="AN828" s="1057"/>
      <c r="AO828" s="1057"/>
      <c r="AP828" s="1057"/>
      <c r="AQ828" s="1057"/>
      <c r="AR828" s="1057"/>
      <c r="AS828" s="1057"/>
      <c r="AT828" s="1057"/>
      <c r="AU828" s="1057"/>
      <c r="AV828" s="1057"/>
      <c r="AW828" s="1057"/>
      <c r="AX828" s="1153"/>
      <c r="AY828" s="1057"/>
      <c r="AZ828" s="1057"/>
      <c r="BA828" s="1057"/>
      <c r="BB828" s="1057"/>
      <c r="BC828" s="1057"/>
      <c r="BD828" s="1057"/>
      <c r="BE828" s="1154"/>
      <c r="BF828" s="1057"/>
      <c r="BG828" s="1057"/>
      <c r="BH828" s="1057"/>
      <c r="BI828" s="1057"/>
      <c r="BJ828" s="1057"/>
      <c r="BK828" s="1057"/>
      <c r="BL828" s="1057"/>
      <c r="BM828" s="1057"/>
      <c r="BN828" s="1153"/>
      <c r="BO828" s="1057"/>
      <c r="BP828" s="1057"/>
      <c r="BQ828" s="1057"/>
      <c r="BR828" s="1057"/>
      <c r="BS828" s="1057"/>
      <c r="BT828" s="1057"/>
      <c r="BU828" s="1154"/>
      <c r="BV828" s="1153"/>
      <c r="BW828" s="1057"/>
      <c r="BX828" s="1057"/>
      <c r="BY828" s="1057"/>
      <c r="BZ828" s="1057"/>
      <c r="CA828" s="1057"/>
      <c r="CB828" s="1057"/>
      <c r="CC828" s="1154"/>
      <c r="CD828" s="1153"/>
      <c r="CE828" s="1057"/>
      <c r="CF828" s="1057"/>
      <c r="CG828" s="1057"/>
      <c r="CH828" s="1057"/>
      <c r="CI828" s="1057"/>
      <c r="CJ828" s="1155"/>
      <c r="CK828" s="1154"/>
      <c r="CL828" s="1153"/>
      <c r="CM828" s="1057"/>
      <c r="CN828" s="1057"/>
      <c r="CO828" s="1057"/>
      <c r="CP828" s="1057"/>
      <c r="CQ828" s="1057"/>
      <c r="CR828" s="1057"/>
      <c r="CS828" s="1154"/>
      <c r="CT828" s="1152"/>
      <c r="CU828" s="1152"/>
      <c r="CV828" s="1152"/>
      <c r="CW828" s="1152"/>
      <c r="CX828" s="1152"/>
      <c r="CY828" s="1152"/>
      <c r="CZ828" s="1152"/>
      <c r="DA828" s="1152"/>
      <c r="DB828" s="1071">
        <v>58</v>
      </c>
      <c r="DC828" s="1071">
        <v>73</v>
      </c>
      <c r="DD828" s="1071">
        <f>DB828+DC828</f>
        <v>131</v>
      </c>
      <c r="DE828" s="1071">
        <v>92</v>
      </c>
      <c r="DF828" s="1071">
        <f>DD828+DE828</f>
        <v>223</v>
      </c>
      <c r="DG828" s="1071">
        <v>84</v>
      </c>
      <c r="DH828" s="1071">
        <f>DE828+DG828</f>
        <v>176</v>
      </c>
      <c r="DI828" s="1072" t="e">
        <f>'Profit and Loss'!#REF!</f>
        <v>#REF!</v>
      </c>
      <c r="DJ828" s="1071">
        <v>66</v>
      </c>
      <c r="DK828" s="1071">
        <v>85</v>
      </c>
      <c r="DL828" s="1071">
        <f>DJ828+DK828</f>
        <v>151</v>
      </c>
      <c r="DM828" s="1071">
        <v>97</v>
      </c>
      <c r="DN828" s="1071">
        <f>DL828+DM828</f>
        <v>248</v>
      </c>
      <c r="DO828" s="1071">
        <v>91</v>
      </c>
      <c r="DP828" s="1071">
        <f>DO828+DM828</f>
        <v>188</v>
      </c>
      <c r="DQ828" s="1072" t="e">
        <f>'Profit and Loss'!#REF!</f>
        <v>#REF!</v>
      </c>
      <c r="DR828" s="1071">
        <v>79</v>
      </c>
      <c r="DS828" s="1071">
        <f>DT828-DR828</f>
        <v>104</v>
      </c>
      <c r="DT828" s="1071">
        <v>183</v>
      </c>
      <c r="DU828" s="1071">
        <f>DV828-DT828</f>
        <v>115</v>
      </c>
      <c r="DV828" s="1071">
        <v>298</v>
      </c>
      <c r="DW828" s="1071" t="e">
        <f>DY828-DV828</f>
        <v>#REF!</v>
      </c>
      <c r="DX828" s="1071" t="e">
        <f>DY828-DT828</f>
        <v>#REF!</v>
      </c>
      <c r="DY828" s="1072" t="e">
        <f>'Profit and Loss'!#REF!</f>
        <v>#REF!</v>
      </c>
      <c r="DZ828" s="1071">
        <v>93</v>
      </c>
      <c r="EA828" s="1071">
        <f>+EB828-DZ828</f>
        <v>118</v>
      </c>
      <c r="EB828" s="1071">
        <v>211</v>
      </c>
      <c r="EC828" s="1071">
        <f>+ED828-EB828</f>
        <v>128</v>
      </c>
      <c r="ED828" s="1071">
        <v>339</v>
      </c>
      <c r="EE828" s="1071">
        <f>+EF828-EC828</f>
        <v>124</v>
      </c>
      <c r="EF828" s="1071">
        <f>+EG828-EB828</f>
        <v>252</v>
      </c>
      <c r="EG828" s="1072">
        <v>463</v>
      </c>
      <c r="EH828" s="1071">
        <v>108</v>
      </c>
      <c r="EI828" s="1071">
        <f>+EJ828-EH828</f>
        <v>145</v>
      </c>
      <c r="EJ828" s="1071">
        <v>253</v>
      </c>
      <c r="EK828" s="1071">
        <f>EL828-EJ828</f>
        <v>164</v>
      </c>
      <c r="EL828" s="1071">
        <v>417</v>
      </c>
      <c r="EM828" s="1071">
        <f>EN828-EK828</f>
        <v>141</v>
      </c>
      <c r="EN828" s="1071">
        <f>EO828-EJ828</f>
        <v>305</v>
      </c>
      <c r="EO828" s="1072">
        <v>558</v>
      </c>
      <c r="EP828" s="1071">
        <v>113</v>
      </c>
      <c r="EQ828" s="1071">
        <f>ER828-EP828</f>
        <v>142</v>
      </c>
      <c r="ER828" s="1071">
        <v>255</v>
      </c>
      <c r="ES828" s="1071">
        <f>ET828-ER828</f>
        <v>150</v>
      </c>
      <c r="ET828" s="1071">
        <v>405</v>
      </c>
      <c r="EU828" s="1071">
        <f>EV828-ES828</f>
        <v>144</v>
      </c>
      <c r="EV828" s="1071">
        <f>EW828-ER828</f>
        <v>294</v>
      </c>
      <c r="EW828" s="1072">
        <v>549</v>
      </c>
      <c r="EX828" s="1076">
        <v>121</v>
      </c>
      <c r="EY828" s="1071">
        <f>EZ828-EX828</f>
        <v>146</v>
      </c>
      <c r="EZ828" s="1071">
        <v>267</v>
      </c>
      <c r="FA828" s="1071">
        <f>FB828-EZ828</f>
        <v>158</v>
      </c>
      <c r="FB828" s="1071">
        <v>425</v>
      </c>
      <c r="FC828" s="1071"/>
      <c r="FD828" s="1071"/>
      <c r="FE828" s="1072"/>
      <c r="FF828" s="1071"/>
      <c r="FG828" s="1071"/>
      <c r="FH828" s="1071"/>
      <c r="FI828" s="1071"/>
      <c r="FJ828" s="1071"/>
      <c r="FK828" s="1071"/>
      <c r="FL828" s="1071"/>
      <c r="FM828" s="1072"/>
      <c r="FN828" s="1071"/>
      <c r="FO828" s="1071"/>
      <c r="FP828" s="1071"/>
      <c r="FQ828" s="1071"/>
      <c r="FR828" s="1071"/>
      <c r="FS828" s="1071"/>
      <c r="FT828" s="1071"/>
      <c r="FU828" s="1071"/>
      <c r="FV828" s="1177"/>
      <c r="FW828" s="1071"/>
      <c r="FX828" s="1071"/>
      <c r="FY828" s="1071"/>
      <c r="FZ828" s="1071"/>
      <c r="GA828" s="1071"/>
      <c r="GB828" s="1071"/>
      <c r="GC828" s="1072"/>
      <c r="GD828" s="1071"/>
      <c r="GE828" s="1071"/>
      <c r="GF828" s="1071"/>
      <c r="GG828" s="1071"/>
      <c r="GH828" s="1071"/>
      <c r="GI828" s="1071"/>
      <c r="GJ828" s="1071"/>
      <c r="GK828" s="1072"/>
      <c r="GL828" s="1071"/>
      <c r="GM828" s="1071"/>
      <c r="GN828" s="1071"/>
      <c r="GO828" s="1071"/>
      <c r="GP828" s="1071"/>
      <c r="GQ828" s="1071"/>
      <c r="GR828" s="1071"/>
      <c r="GS828" s="1072"/>
      <c r="GT828" s="1071"/>
      <c r="GU828" s="1071"/>
      <c r="GV828" s="1071"/>
      <c r="GW828" s="1071"/>
      <c r="GX828" s="1071"/>
      <c r="GY828" s="1071"/>
      <c r="GZ828" s="1071"/>
      <c r="HA828" s="1072"/>
      <c r="HB828" s="1071"/>
      <c r="HC828" s="1071"/>
      <c r="HD828" s="1071"/>
      <c r="HE828" s="1071"/>
      <c r="HF828" s="1071"/>
      <c r="HG828" s="1071"/>
      <c r="HH828" s="1071"/>
      <c r="HI828" s="1072"/>
      <c r="HJ828" s="1071"/>
      <c r="HK828" s="1071"/>
      <c r="HL828" s="1071"/>
      <c r="HM828" s="1071"/>
      <c r="HN828" s="1071"/>
      <c r="HO828" s="1071"/>
      <c r="HP828" s="1071"/>
      <c r="HQ828" s="1072"/>
      <c r="HR828" s="1071"/>
      <c r="HS828" s="1071"/>
      <c r="HT828" s="1071"/>
      <c r="HU828" s="1071"/>
      <c r="HV828" s="1071"/>
      <c r="HW828" s="1071"/>
      <c r="HX828" s="1071"/>
      <c r="HY828" s="1071"/>
      <c r="HZ828" s="1071"/>
      <c r="IA828" s="1071"/>
      <c r="IB828" s="1071"/>
      <c r="IC828" s="1071"/>
      <c r="ID828" s="1071"/>
      <c r="IE828" s="1071"/>
      <c r="IF828" s="1071"/>
      <c r="IG828" s="1072"/>
      <c r="IH828" s="1071"/>
      <c r="II828" s="1071"/>
      <c r="IJ828" s="1071"/>
      <c r="IK828" s="1071"/>
      <c r="IL828" s="1071"/>
      <c r="IM828" s="1071"/>
      <c r="IN828" s="1071"/>
      <c r="IO828" s="1072"/>
      <c r="IP828" s="1071"/>
      <c r="IQ828" s="1071"/>
      <c r="IR828" s="1071"/>
      <c r="IS828" s="1071"/>
      <c r="IT828" s="1071"/>
      <c r="IU828" s="1071"/>
      <c r="IV828" s="1071"/>
      <c r="IW828" s="1071"/>
      <c r="IX828" s="1049"/>
      <c r="IY828" s="1049"/>
      <c r="IZ828" s="1049"/>
      <c r="JA828" s="1049"/>
      <c r="JB828" s="1049"/>
      <c r="JC828" s="1049"/>
      <c r="JD828" s="1103"/>
      <c r="JE828" s="1079"/>
      <c r="JF828" s="1079"/>
      <c r="JG828" s="1079"/>
      <c r="JH828" s="1079"/>
      <c r="LV828" s="1180"/>
    </row>
    <row r="829" outlineLevel="1" spans="1:334">
      <c r="A829" s="967" t="s">
        <v>61</v>
      </c>
      <c r="AX829" s="1059"/>
      <c r="BE829" s="1060"/>
      <c r="BN829" s="1059"/>
      <c r="BU829" s="1060"/>
      <c r="BV829" s="1059"/>
      <c r="CC829" s="1060"/>
      <c r="CD829" s="1059"/>
      <c r="CJ829" s="1061"/>
      <c r="CK829" s="1060"/>
      <c r="CL829" s="1059"/>
      <c r="CS829" s="1060"/>
      <c r="CT829" s="967"/>
      <c r="CU829" s="967"/>
      <c r="CV829" s="967"/>
      <c r="CW829" s="967"/>
      <c r="CX829" s="967"/>
      <c r="CY829" s="967"/>
      <c r="CZ829" s="967"/>
      <c r="DA829" s="967"/>
      <c r="DJ829" s="1080">
        <f t="shared" ref="DJ829:DQ829" si="4622">DJ828/DB828-1</f>
        <v>0.137931034482759</v>
      </c>
      <c r="DK829" s="1080">
        <f t="shared" si="4622"/>
        <v>0.164383561643836</v>
      </c>
      <c r="DL829" s="1080">
        <f t="shared" si="4622"/>
        <v>0.152671755725191</v>
      </c>
      <c r="DM829" s="1080">
        <f t="shared" si="4622"/>
        <v>0.0543478260869565</v>
      </c>
      <c r="DN829" s="1080">
        <f t="shared" si="4622"/>
        <v>0.112107623318386</v>
      </c>
      <c r="DO829" s="1080">
        <f t="shared" si="4622"/>
        <v>0.0833333333333333</v>
      </c>
      <c r="DP829" s="1080">
        <f t="shared" si="4622"/>
        <v>0.0681818181818181</v>
      </c>
      <c r="DQ829" s="1081" t="e">
        <f t="shared" si="4622"/>
        <v>#REF!</v>
      </c>
      <c r="DR829" s="1080">
        <f t="shared" ref="DR829:EC829" si="4623">DR828/DJ828-1</f>
        <v>0.196969696969697</v>
      </c>
      <c r="DS829" s="1080">
        <f t="shared" si="4623"/>
        <v>0.223529411764706</v>
      </c>
      <c r="DT829" s="1080">
        <f t="shared" si="4623"/>
        <v>0.211920529801324</v>
      </c>
      <c r="DU829" s="1080">
        <f t="shared" si="4623"/>
        <v>0.185567010309278</v>
      </c>
      <c r="DV829" s="1080">
        <f t="shared" si="4623"/>
        <v>0.201612903225806</v>
      </c>
      <c r="DW829" s="1080" t="e">
        <f t="shared" si="4623"/>
        <v>#REF!</v>
      </c>
      <c r="DX829" s="1080" t="e">
        <f t="shared" si="4623"/>
        <v>#REF!</v>
      </c>
      <c r="DY829" s="1081" t="e">
        <f t="shared" si="4623"/>
        <v>#REF!</v>
      </c>
      <c r="DZ829" s="1080">
        <f t="shared" si="4623"/>
        <v>0.177215189873418</v>
      </c>
      <c r="EA829" s="1080">
        <f t="shared" si="4623"/>
        <v>0.134615384615385</v>
      </c>
      <c r="EB829" s="1080">
        <f t="shared" si="4623"/>
        <v>0.153005464480874</v>
      </c>
      <c r="EC829" s="1080">
        <f t="shared" si="4623"/>
        <v>0.11304347826087</v>
      </c>
      <c r="ED829" s="1080">
        <f t="shared" ref="ED829:EJ829" si="4624">ED828/DV828-1</f>
        <v>0.13758389261745</v>
      </c>
      <c r="EE829" s="1082" t="e">
        <f t="shared" si="4624"/>
        <v>#REF!</v>
      </c>
      <c r="EF829" s="1082" t="e">
        <f t="shared" si="4624"/>
        <v>#REF!</v>
      </c>
      <c r="EG829" s="1081" t="e">
        <f t="shared" si="4624"/>
        <v>#REF!</v>
      </c>
      <c r="EH829" s="1080">
        <f t="shared" si="4624"/>
        <v>0.161290322580645</v>
      </c>
      <c r="EI829" s="1080">
        <f t="shared" si="4624"/>
        <v>0.228813559322034</v>
      </c>
      <c r="EJ829" s="1080">
        <f t="shared" si="4624"/>
        <v>0.199052132701422</v>
      </c>
      <c r="EK829" s="1080">
        <f t="shared" ref="EK829:EP829" si="4625">EK828/EC828-1</f>
        <v>0.28125</v>
      </c>
      <c r="EL829" s="1080">
        <f t="shared" si="4625"/>
        <v>0.230088495575221</v>
      </c>
      <c r="EM829" s="1080">
        <f t="shared" si="4625"/>
        <v>0.137096774193548</v>
      </c>
      <c r="EN829" s="1080">
        <f t="shared" si="4625"/>
        <v>0.21031746031746</v>
      </c>
      <c r="EO829" s="1081">
        <f t="shared" si="4625"/>
        <v>0.205183585313175</v>
      </c>
      <c r="EP829" s="1080">
        <f t="shared" si="4625"/>
        <v>0.0462962962962963</v>
      </c>
      <c r="EQ829" s="1080">
        <f t="shared" ref="EQ829:FB829" si="4626">EQ828/EI828-1</f>
        <v>-0.0206896551724138</v>
      </c>
      <c r="ER829" s="1080">
        <f t="shared" si="4626"/>
        <v>0.0079051383399209</v>
      </c>
      <c r="ES829" s="1080">
        <f t="shared" si="4626"/>
        <v>-0.0853658536585365</v>
      </c>
      <c r="ET829" s="1080">
        <f t="shared" si="4626"/>
        <v>-0.0287769784172662</v>
      </c>
      <c r="EU829" s="1080">
        <f t="shared" si="4626"/>
        <v>0.0212765957446808</v>
      </c>
      <c r="EV829" s="1080">
        <f t="shared" si="4626"/>
        <v>-0.0360655737704918</v>
      </c>
      <c r="EW829" s="1081">
        <f t="shared" si="4626"/>
        <v>-0.0161290322580645</v>
      </c>
      <c r="EX829" s="1218">
        <f t="shared" si="4626"/>
        <v>0.0707964601769913</v>
      </c>
      <c r="EY829" s="1080">
        <f t="shared" si="4626"/>
        <v>0.028169014084507</v>
      </c>
      <c r="EZ829" s="1080">
        <f t="shared" si="4626"/>
        <v>0.0470588235294118</v>
      </c>
      <c r="FA829" s="1080">
        <f t="shared" si="4626"/>
        <v>0.0533333333333332</v>
      </c>
      <c r="FB829" s="1080">
        <f t="shared" si="4626"/>
        <v>0.0493827160493827</v>
      </c>
      <c r="FC829" s="1080"/>
      <c r="FD829" s="1080"/>
      <c r="FE829" s="1081"/>
      <c r="FF829" s="1080"/>
      <c r="FG829" s="1080"/>
      <c r="FH829" s="1080"/>
      <c r="FI829" s="1080"/>
      <c r="FJ829" s="1080"/>
      <c r="FK829" s="1080"/>
      <c r="FL829" s="1080"/>
      <c r="FM829" s="1081"/>
      <c r="FN829" s="1080"/>
      <c r="FO829" s="1080"/>
      <c r="FP829" s="1080"/>
      <c r="FQ829" s="1080"/>
      <c r="FR829" s="1080"/>
      <c r="FS829" s="1080"/>
      <c r="FT829" s="1080"/>
      <c r="FU829" s="1080"/>
      <c r="FV829" s="1150"/>
      <c r="FW829" s="1080"/>
      <c r="FX829" s="1080"/>
      <c r="FY829" s="1080"/>
      <c r="FZ829" s="1080"/>
      <c r="GA829" s="1080"/>
      <c r="GB829" s="1080"/>
      <c r="GC829" s="1081"/>
      <c r="GD829" s="1080"/>
      <c r="GE829" s="1080"/>
      <c r="GF829" s="1080"/>
      <c r="GG829" s="1080"/>
      <c r="GH829" s="1080"/>
      <c r="GI829" s="1080"/>
      <c r="GJ829" s="1080"/>
      <c r="GK829" s="1081"/>
      <c r="GL829" s="1080"/>
      <c r="GM829" s="1080"/>
      <c r="GN829" s="1080"/>
      <c r="GO829" s="1080"/>
      <c r="GP829" s="1080"/>
      <c r="GQ829" s="1080"/>
      <c r="GR829" s="1080"/>
      <c r="GS829" s="1081"/>
      <c r="GT829" s="1080"/>
      <c r="GU829" s="1080"/>
      <c r="GV829" s="1080"/>
      <c r="GW829" s="1080"/>
      <c r="GX829" s="1080"/>
      <c r="GY829" s="1080"/>
      <c r="GZ829" s="1080"/>
      <c r="HA829" s="1081"/>
      <c r="HB829" s="1080"/>
      <c r="HC829" s="1080"/>
      <c r="HD829" s="1080"/>
      <c r="HE829" s="1080"/>
      <c r="HF829" s="1080"/>
      <c r="HG829" s="1080"/>
      <c r="HH829" s="1080"/>
      <c r="HI829" s="1081"/>
      <c r="HJ829" s="1080"/>
      <c r="HK829" s="1080"/>
      <c r="HL829" s="1080"/>
      <c r="HM829" s="1080"/>
      <c r="HN829" s="1080"/>
      <c r="HO829" s="1080"/>
      <c r="HP829" s="1080"/>
      <c r="HQ829" s="1081"/>
      <c r="HR829" s="1080"/>
      <c r="HS829" s="1080"/>
      <c r="HT829" s="1080"/>
      <c r="HU829" s="1080"/>
      <c r="HV829" s="1080"/>
      <c r="HW829" s="1080"/>
      <c r="HX829" s="1080"/>
      <c r="HY829" s="1080"/>
      <c r="HZ829" s="1080"/>
      <c r="IA829" s="1080"/>
      <c r="IB829" s="1080"/>
      <c r="IC829" s="1080"/>
      <c r="ID829" s="1080"/>
      <c r="IE829" s="1080"/>
      <c r="IF829" s="1080"/>
      <c r="IG829" s="1081"/>
      <c r="IH829" s="1080"/>
      <c r="II829" s="1080"/>
      <c r="IJ829" s="1080"/>
      <c r="IK829" s="1080"/>
      <c r="IL829" s="1080"/>
      <c r="IM829" s="1080"/>
      <c r="IN829" s="1080"/>
      <c r="IO829" s="1081"/>
      <c r="IP829" s="1080"/>
      <c r="IQ829" s="1080"/>
      <c r="IR829" s="1080"/>
      <c r="IS829" s="1080"/>
      <c r="IT829" s="1080"/>
      <c r="IU829" s="1080"/>
      <c r="IV829" s="1080"/>
      <c r="IW829" s="1080"/>
      <c r="IX829" s="1049"/>
      <c r="IY829" s="1049"/>
      <c r="IZ829" s="1049"/>
      <c r="JA829" s="1049"/>
      <c r="JB829" s="1049"/>
      <c r="JC829" s="1049"/>
      <c r="JD829" s="1041"/>
      <c r="JE829" s="1037"/>
      <c r="JF829" s="1037"/>
      <c r="JG829" s="1037"/>
      <c r="JH829" s="1037"/>
      <c r="JI829" s="1035"/>
      <c r="JJ829" s="1035"/>
      <c r="JK829" s="1035"/>
      <c r="JL829" s="1035"/>
      <c r="JM829" s="1035"/>
      <c r="JN829" s="1035"/>
      <c r="JO829" s="1035"/>
      <c r="JP829" s="1035"/>
      <c r="JQ829" s="1035"/>
      <c r="JR829" s="1035"/>
      <c r="JS829" s="1035"/>
      <c r="JT829" s="1035"/>
      <c r="JU829" s="1035"/>
      <c r="JV829" s="1035"/>
      <c r="JW829" s="1035"/>
      <c r="JX829" s="1035"/>
      <c r="JY829" s="1035"/>
      <c r="LV829" s="967"/>
    </row>
    <row r="830" outlineLevel="1" spans="1:334">
      <c r="A830" s="967" t="s">
        <v>65</v>
      </c>
      <c r="AX830" s="1059"/>
      <c r="BE830" s="1060"/>
      <c r="BN830" s="1059"/>
      <c r="BU830" s="1060"/>
      <c r="BV830" s="1059"/>
      <c r="CC830" s="1060"/>
      <c r="CD830" s="1059"/>
      <c r="CJ830" s="1061"/>
      <c r="CK830" s="1060"/>
      <c r="CL830" s="1059"/>
      <c r="CS830" s="1060"/>
      <c r="CT830" s="967"/>
      <c r="CU830" s="967"/>
      <c r="CV830" s="967"/>
      <c r="CW830" s="967"/>
      <c r="CX830" s="967"/>
      <c r="CY830" s="967"/>
      <c r="CZ830" s="967"/>
      <c r="DA830" s="967"/>
      <c r="DJ830" s="1080">
        <v>0.07</v>
      </c>
      <c r="DK830" s="1080">
        <v>0.06</v>
      </c>
      <c r="DL830" s="1080">
        <f>(DJ830*DB828+DK830*DC828)/DD828</f>
        <v>0.0644274809160305</v>
      </c>
      <c r="DM830" s="1080">
        <v>0.01</v>
      </c>
      <c r="DN830" s="1080">
        <f>(DJ830*DB828+DK830*DC828+DM830*DE828)/DF828</f>
        <v>0.0419730941704036</v>
      </c>
      <c r="DO830" s="1080">
        <v>0.17</v>
      </c>
      <c r="DP830" s="1080">
        <f>(DM830*DE828+DO830*DG828)/DH828</f>
        <v>0.0863636363636364</v>
      </c>
      <c r="DQ830" s="1081" t="e">
        <f>'Profit and Loss'!#REF!</f>
        <v>#REF!</v>
      </c>
      <c r="DR830" s="1080">
        <v>0.21</v>
      </c>
      <c r="DS830" s="1080">
        <f>((DT830*DL828)-(DR830*DJ828))/DK828</f>
        <v>0.174470588235294</v>
      </c>
      <c r="DT830" s="1080">
        <v>0.19</v>
      </c>
      <c r="DU830" s="1080">
        <f>((DV830*DN828)-(DT830*DL828))/DM828</f>
        <v>0.0877319587628865</v>
      </c>
      <c r="DV830" s="1080">
        <v>0.15</v>
      </c>
      <c r="DW830" s="1080" t="e">
        <f>((DX830*DP828)-(DU830*DM828))/DO828</f>
        <v>#REF!</v>
      </c>
      <c r="DX830" s="1080" t="e">
        <f>((DY830*DQ828)-(DT830*DL828))/DP828</f>
        <v>#REF!</v>
      </c>
      <c r="DY830" s="1081" t="e">
        <f>'Profit and Loss'!#REF!</f>
        <v>#REF!</v>
      </c>
      <c r="DZ830" s="1080">
        <v>0.16</v>
      </c>
      <c r="EA830" s="1080"/>
      <c r="EB830" s="1080">
        <v>0.19</v>
      </c>
      <c r="EC830" s="1080"/>
      <c r="ED830" s="1080">
        <v>0.19</v>
      </c>
      <c r="EE830" s="1080"/>
      <c r="EF830" s="1080"/>
      <c r="EG830" s="1081">
        <v>0.18</v>
      </c>
      <c r="EH830" s="1080">
        <v>0.12</v>
      </c>
      <c r="EI830" s="1080"/>
      <c r="EJ830" s="1080">
        <v>0.12</v>
      </c>
      <c r="EK830" s="1080"/>
      <c r="EL830" s="1080">
        <v>0.14</v>
      </c>
      <c r="EM830" s="1080"/>
      <c r="EN830" s="1080"/>
      <c r="EO830" s="1081">
        <v>0.12</v>
      </c>
      <c r="EP830" s="1080">
        <v>0.06</v>
      </c>
      <c r="EQ830" s="1080">
        <f>(EJ828*ER830-EH828*EP830)/EI828</f>
        <v>0.00765517241379311</v>
      </c>
      <c r="ER830" s="1080">
        <v>0.03</v>
      </c>
      <c r="ES830" s="1080">
        <f>(EL828*ET830-EJ828*ER830)/EK828</f>
        <v>-0.0208536585365854</v>
      </c>
      <c r="ET830" s="1080">
        <v>0.01</v>
      </c>
      <c r="EU830" s="1080">
        <f>(EO828*EW830-EH828*EP830-EI828*EQ830-EK828*ES830)/EM828</f>
        <v>0.0891489361702128</v>
      </c>
      <c r="EV830" s="1080">
        <f>(EO828*EW830-EJ828*ER830)/EN828</f>
        <v>0.03</v>
      </c>
      <c r="EW830" s="1081">
        <v>0.03</v>
      </c>
      <c r="EX830" s="1218">
        <v>0.18</v>
      </c>
      <c r="EY830" s="1080">
        <f>(ER828*EZ830-EP828*EX830)/EQ828</f>
        <v>0.12612676056338</v>
      </c>
      <c r="EZ830" s="1080">
        <v>0.15</v>
      </c>
      <c r="FA830" s="1080">
        <f>(ET828*FB830-ER828*EZ830)/ES828</f>
        <v>0.123</v>
      </c>
      <c r="FB830" s="1080">
        <v>0.14</v>
      </c>
      <c r="FC830" s="1080"/>
      <c r="FD830" s="1080"/>
      <c r="FE830" s="1081"/>
      <c r="FF830" s="1080"/>
      <c r="FG830" s="1080"/>
      <c r="FH830" s="1080"/>
      <c r="FI830" s="1080"/>
      <c r="FJ830" s="1080"/>
      <c r="FK830" s="1080"/>
      <c r="FL830" s="1080"/>
      <c r="FM830" s="1081"/>
      <c r="FN830" s="1080"/>
      <c r="FO830" s="1080"/>
      <c r="FP830" s="1080"/>
      <c r="FQ830" s="1080"/>
      <c r="FR830" s="1080"/>
      <c r="FS830" s="1080"/>
      <c r="FT830" s="1080"/>
      <c r="FU830" s="1080"/>
      <c r="FV830" s="1150"/>
      <c r="FW830" s="1080"/>
      <c r="FX830" s="1080"/>
      <c r="FY830" s="1080"/>
      <c r="FZ830" s="1080"/>
      <c r="GA830" s="1080"/>
      <c r="GB830" s="1080"/>
      <c r="GC830" s="1081"/>
      <c r="GD830" s="1080"/>
      <c r="GE830" s="1080"/>
      <c r="GF830" s="1080"/>
      <c r="GG830" s="1080"/>
      <c r="GH830" s="1080"/>
      <c r="GI830" s="1080"/>
      <c r="GJ830" s="1080"/>
      <c r="GK830" s="1081"/>
      <c r="GL830" s="1080"/>
      <c r="GM830" s="1080"/>
      <c r="GN830" s="1080"/>
      <c r="GO830" s="1080"/>
      <c r="GP830" s="1080"/>
      <c r="GQ830" s="1080"/>
      <c r="GR830" s="1080"/>
      <c r="GS830" s="1081"/>
      <c r="GT830" s="1080"/>
      <c r="GU830" s="1080"/>
      <c r="GV830" s="1080"/>
      <c r="GW830" s="1080"/>
      <c r="GX830" s="1080"/>
      <c r="GY830" s="1080"/>
      <c r="GZ830" s="1080"/>
      <c r="HA830" s="1081"/>
      <c r="HB830" s="1080"/>
      <c r="HC830" s="1080"/>
      <c r="HD830" s="1080"/>
      <c r="HE830" s="1080"/>
      <c r="HF830" s="1080"/>
      <c r="HG830" s="1080"/>
      <c r="HH830" s="1080"/>
      <c r="HI830" s="1081"/>
      <c r="HJ830" s="1080"/>
      <c r="HK830" s="1080"/>
      <c r="HL830" s="1080"/>
      <c r="HM830" s="1080"/>
      <c r="HN830" s="1080"/>
      <c r="HO830" s="1080"/>
      <c r="HP830" s="1080"/>
      <c r="HQ830" s="1081"/>
      <c r="HR830" s="1080"/>
      <c r="HS830" s="1080"/>
      <c r="HT830" s="1080"/>
      <c r="HU830" s="1080"/>
      <c r="HV830" s="1080"/>
      <c r="HW830" s="1080"/>
      <c r="HX830" s="1080"/>
      <c r="HY830" s="1080"/>
      <c r="HZ830" s="1080"/>
      <c r="IA830" s="1080"/>
      <c r="IB830" s="1080"/>
      <c r="IC830" s="1080"/>
      <c r="ID830" s="1080"/>
      <c r="IE830" s="1080"/>
      <c r="IF830" s="1080"/>
      <c r="IG830" s="1081"/>
      <c r="IH830" s="1080"/>
      <c r="II830" s="1080"/>
      <c r="IJ830" s="1080"/>
      <c r="IK830" s="1080"/>
      <c r="IL830" s="1080"/>
      <c r="IM830" s="1080"/>
      <c r="IN830" s="1080"/>
      <c r="IO830" s="1081"/>
      <c r="IP830" s="1080"/>
      <c r="IQ830" s="1080"/>
      <c r="IR830" s="1080"/>
      <c r="IS830" s="1080"/>
      <c r="IT830" s="1080"/>
      <c r="IU830" s="1080"/>
      <c r="IV830" s="1080"/>
      <c r="IW830" s="1080"/>
      <c r="IX830" s="1049"/>
      <c r="IY830" s="1049"/>
      <c r="IZ830" s="1049"/>
      <c r="JA830" s="1049"/>
      <c r="JB830" s="1049"/>
      <c r="JC830" s="1049"/>
      <c r="JD830" s="1041"/>
      <c r="JE830" s="1037"/>
      <c r="JF830" s="1037"/>
      <c r="JG830" s="1037"/>
      <c r="JH830" s="1037"/>
      <c r="JI830" s="1035"/>
      <c r="JJ830" s="1035"/>
      <c r="JK830" s="1035"/>
      <c r="JL830" s="1035"/>
      <c r="JM830" s="1035"/>
      <c r="JN830" s="1035"/>
      <c r="JO830" s="1035"/>
      <c r="JP830" s="1035"/>
      <c r="JQ830" s="1035"/>
      <c r="JR830" s="1035"/>
      <c r="JS830" s="1035"/>
      <c r="JT830" s="1035"/>
      <c r="JU830" s="1035"/>
      <c r="JV830" s="1035"/>
      <c r="JW830" s="1035"/>
      <c r="JX830" s="1035"/>
      <c r="JY830" s="1035"/>
      <c r="LV830" s="1113"/>
    </row>
    <row r="831" outlineLevel="1" spans="1:334">
      <c r="A831" s="1152" t="s">
        <v>671</v>
      </c>
      <c r="AX831" s="1059"/>
      <c r="BE831" s="1060"/>
      <c r="BN831" s="1059"/>
      <c r="BU831" s="1060"/>
      <c r="BV831" s="1059"/>
      <c r="CC831" s="1060"/>
      <c r="CD831" s="1059"/>
      <c r="CJ831" s="1061"/>
      <c r="CK831" s="1060"/>
      <c r="CL831" s="1059"/>
      <c r="CS831" s="1060"/>
      <c r="CT831" s="967"/>
      <c r="CU831" s="967"/>
      <c r="CV831" s="967"/>
      <c r="CW831" s="967"/>
      <c r="CX831" s="967"/>
      <c r="CY831" s="967"/>
      <c r="CZ831" s="967"/>
      <c r="DA831" s="967"/>
      <c r="DJ831" s="1080"/>
      <c r="DK831" s="1080"/>
      <c r="DL831" s="1080"/>
      <c r="DM831" s="1080"/>
      <c r="DN831" s="1080"/>
      <c r="DO831" s="1080"/>
      <c r="DP831" s="1080"/>
      <c r="DQ831" s="1081"/>
      <c r="DR831" s="1080"/>
      <c r="DS831" s="1080"/>
      <c r="DT831" s="1080"/>
      <c r="DU831" s="1080"/>
      <c r="DV831" s="1080"/>
      <c r="DW831" s="1080"/>
      <c r="DX831" s="1080"/>
      <c r="DY831" s="1081"/>
      <c r="DZ831" s="1071">
        <f>+DZ832-DZ828-DZ825-DZ822</f>
        <v>0</v>
      </c>
      <c r="EA831" s="1071">
        <f t="shared" ref="EA831:EG831" si="4627">+EA832-EA828-EA825-EA822</f>
        <v>1</v>
      </c>
      <c r="EB831" s="1071">
        <f t="shared" si="4627"/>
        <v>1</v>
      </c>
      <c r="EC831" s="1071">
        <f t="shared" si="4627"/>
        <v>1</v>
      </c>
      <c r="ED831" s="1071">
        <f t="shared" si="4627"/>
        <v>2</v>
      </c>
      <c r="EE831" s="1071">
        <f t="shared" si="4627"/>
        <v>0</v>
      </c>
      <c r="EF831" s="1071">
        <f t="shared" si="4627"/>
        <v>1</v>
      </c>
      <c r="EG831" s="1608">
        <f t="shared" si="4627"/>
        <v>2</v>
      </c>
      <c r="EH831" s="1071">
        <f t="shared" ref="EH831:EO831" si="4628">+EH832-EH828-EH825-EH822</f>
        <v>1</v>
      </c>
      <c r="EI831" s="1071">
        <f t="shared" si="4628"/>
        <v>3</v>
      </c>
      <c r="EJ831" s="1071">
        <f t="shared" si="4628"/>
        <v>4</v>
      </c>
      <c r="EK831" s="1071">
        <f t="shared" si="4628"/>
        <v>4</v>
      </c>
      <c r="EL831" s="1071">
        <f t="shared" si="4628"/>
        <v>8</v>
      </c>
      <c r="EM831" s="1071">
        <f t="shared" si="4628"/>
        <v>1</v>
      </c>
      <c r="EN831" s="1071">
        <f t="shared" si="4628"/>
        <v>5</v>
      </c>
      <c r="EO831" s="1072">
        <f t="shared" si="4628"/>
        <v>9</v>
      </c>
      <c r="EP831" s="1071">
        <f t="shared" ref="EP831:FB831" si="4629">+EP832-EP828-EP825-EP822</f>
        <v>2</v>
      </c>
      <c r="EQ831" s="1071">
        <f t="shared" si="4629"/>
        <v>3</v>
      </c>
      <c r="ER831" s="1071">
        <f t="shared" si="4629"/>
        <v>5</v>
      </c>
      <c r="ES831" s="1071">
        <f t="shared" si="4629"/>
        <v>-2</v>
      </c>
      <c r="ET831" s="1071">
        <f t="shared" si="4629"/>
        <v>3</v>
      </c>
      <c r="EU831" s="1071">
        <f t="shared" si="4629"/>
        <v>6</v>
      </c>
      <c r="EV831" s="1071">
        <f t="shared" si="4629"/>
        <v>4</v>
      </c>
      <c r="EW831" s="1072">
        <f t="shared" si="4629"/>
        <v>9</v>
      </c>
      <c r="EX831" s="1076">
        <f t="shared" si="4629"/>
        <v>-1</v>
      </c>
      <c r="EY831" s="1076">
        <f t="shared" si="4629"/>
        <v>0</v>
      </c>
      <c r="EZ831" s="1076">
        <f t="shared" si="4629"/>
        <v>-1</v>
      </c>
      <c r="FA831" s="1071">
        <f t="shared" si="4629"/>
        <v>0</v>
      </c>
      <c r="FB831" s="1076">
        <f t="shared" si="4629"/>
        <v>-1</v>
      </c>
      <c r="FC831" s="1071"/>
      <c r="FD831" s="1071"/>
      <c r="FE831" s="1072"/>
      <c r="FF831" s="1071"/>
      <c r="FG831" s="1071"/>
      <c r="FH831" s="1071"/>
      <c r="FI831" s="1071"/>
      <c r="FJ831" s="1071"/>
      <c r="FK831" s="1071"/>
      <c r="FL831" s="1071"/>
      <c r="FM831" s="1072"/>
      <c r="FN831" s="1071"/>
      <c r="FO831" s="1071"/>
      <c r="FP831" s="1071"/>
      <c r="FQ831" s="1071"/>
      <c r="FR831" s="1071"/>
      <c r="FS831" s="1071"/>
      <c r="FT831" s="1071"/>
      <c r="FU831" s="1071"/>
      <c r="FV831" s="1177"/>
      <c r="FW831" s="1071"/>
      <c r="FX831" s="1071"/>
      <c r="FY831" s="1071"/>
      <c r="FZ831" s="1071"/>
      <c r="GA831" s="1071"/>
      <c r="GB831" s="1071"/>
      <c r="GC831" s="1072"/>
      <c r="GD831" s="1071"/>
      <c r="GE831" s="1071"/>
      <c r="GF831" s="1071"/>
      <c r="GG831" s="1071"/>
      <c r="GH831" s="1071"/>
      <c r="GI831" s="1071"/>
      <c r="GJ831" s="1071"/>
      <c r="GK831" s="1072"/>
      <c r="GL831" s="1071"/>
      <c r="GM831" s="1071"/>
      <c r="GN831" s="1071"/>
      <c r="GO831" s="1071"/>
      <c r="GP831" s="1071"/>
      <c r="GQ831" s="1071"/>
      <c r="GR831" s="1071"/>
      <c r="GS831" s="1072"/>
      <c r="GT831" s="1071"/>
      <c r="GU831" s="1071"/>
      <c r="GV831" s="1071"/>
      <c r="GW831" s="1071"/>
      <c r="GX831" s="1071"/>
      <c r="GY831" s="1071"/>
      <c r="GZ831" s="1071"/>
      <c r="HA831" s="1072"/>
      <c r="HB831" s="1071"/>
      <c r="HC831" s="1071"/>
      <c r="HD831" s="1071"/>
      <c r="HE831" s="1071"/>
      <c r="HF831" s="1071"/>
      <c r="HG831" s="1071"/>
      <c r="HH831" s="1071"/>
      <c r="HI831" s="1072"/>
      <c r="HJ831" s="1071"/>
      <c r="HK831" s="1071"/>
      <c r="HL831" s="1071"/>
      <c r="HM831" s="1071"/>
      <c r="HN831" s="1071"/>
      <c r="HO831" s="1071"/>
      <c r="HP831" s="1071"/>
      <c r="HQ831" s="1072"/>
      <c r="HR831" s="1071"/>
      <c r="HS831" s="1071"/>
      <c r="HT831" s="1071"/>
      <c r="HU831" s="1071"/>
      <c r="HV831" s="1071"/>
      <c r="HW831" s="1071"/>
      <c r="HX831" s="1071"/>
      <c r="HY831" s="1071"/>
      <c r="HZ831" s="1071"/>
      <c r="IA831" s="1071"/>
      <c r="IB831" s="1071"/>
      <c r="IC831" s="1071"/>
      <c r="ID831" s="1071"/>
      <c r="IE831" s="1071"/>
      <c r="IF831" s="1071"/>
      <c r="IG831" s="1072"/>
      <c r="IH831" s="1071"/>
      <c r="II831" s="1071"/>
      <c r="IJ831" s="1071"/>
      <c r="IK831" s="1071"/>
      <c r="IL831" s="1071"/>
      <c r="IM831" s="1071"/>
      <c r="IN831" s="1071"/>
      <c r="IO831" s="1072"/>
      <c r="IP831" s="1071"/>
      <c r="IQ831" s="1071"/>
      <c r="IR831" s="1071"/>
      <c r="IS831" s="1071"/>
      <c r="IT831" s="1071"/>
      <c r="IU831" s="1071"/>
      <c r="IV831" s="1071"/>
      <c r="IW831" s="1071"/>
      <c r="IX831" s="1049"/>
      <c r="IY831" s="1049"/>
      <c r="IZ831" s="1049"/>
      <c r="JA831" s="1049"/>
      <c r="JB831" s="1049"/>
      <c r="JC831" s="1049"/>
      <c r="JD831" s="1041"/>
      <c r="JE831" s="1037"/>
      <c r="JF831" s="1037"/>
      <c r="JG831" s="1037"/>
      <c r="JH831" s="1037"/>
      <c r="JI831" s="1035"/>
      <c r="JJ831" s="1035"/>
      <c r="JK831" s="1035"/>
      <c r="JL831" s="1035"/>
      <c r="JM831" s="1035"/>
      <c r="JN831" s="1035"/>
      <c r="JO831" s="1035"/>
      <c r="JP831" s="1035"/>
      <c r="JQ831" s="1035"/>
      <c r="JR831" s="1035"/>
      <c r="JS831" s="1035"/>
      <c r="JT831" s="1035"/>
      <c r="JU831" s="1035"/>
      <c r="JV831" s="1035"/>
      <c r="JW831" s="1035"/>
      <c r="JX831" s="1035"/>
      <c r="JY831" s="1035"/>
      <c r="LV831" s="1113"/>
    </row>
    <row r="832" outlineLevel="1" spans="1:334">
      <c r="A832" s="1607" t="s">
        <v>212</v>
      </c>
      <c r="AX832" s="1059"/>
      <c r="BE832" s="1060"/>
      <c r="BN832" s="1059"/>
      <c r="BU832" s="1060"/>
      <c r="BV832" s="1059"/>
      <c r="CC832" s="1060"/>
      <c r="CD832" s="1059"/>
      <c r="CJ832" s="1061"/>
      <c r="CK832" s="1060"/>
      <c r="CL832" s="1059"/>
      <c r="CS832" s="1060"/>
      <c r="CT832" s="1607"/>
      <c r="CU832" s="1607"/>
      <c r="CV832" s="1607"/>
      <c r="CW832" s="1607"/>
      <c r="CX832" s="1607"/>
      <c r="CY832" s="1607"/>
      <c r="CZ832" s="1607"/>
      <c r="DA832" s="1607"/>
      <c r="DB832" s="1106">
        <f t="shared" ref="DB832:DN832" si="4630">SUM(DB828,DB825,DB822,)</f>
        <v>352</v>
      </c>
      <c r="DC832" s="1106">
        <f t="shared" si="4630"/>
        <v>419</v>
      </c>
      <c r="DD832" s="1106">
        <f t="shared" si="4630"/>
        <v>771</v>
      </c>
      <c r="DE832" s="1106">
        <f t="shared" si="4630"/>
        <v>487</v>
      </c>
      <c r="DF832" s="1106">
        <f t="shared" si="4630"/>
        <v>1258</v>
      </c>
      <c r="DG832" s="1106">
        <f t="shared" si="4630"/>
        <v>457</v>
      </c>
      <c r="DH832" s="1106">
        <f t="shared" si="4630"/>
        <v>944</v>
      </c>
      <c r="DI832" s="1107" t="e">
        <f t="shared" si="4630"/>
        <v>#REF!</v>
      </c>
      <c r="DJ832" s="1106">
        <f t="shared" si="4630"/>
        <v>395</v>
      </c>
      <c r="DK832" s="1106">
        <f t="shared" si="4630"/>
        <v>485</v>
      </c>
      <c r="DL832" s="1106">
        <f t="shared" si="4630"/>
        <v>880</v>
      </c>
      <c r="DM832" s="1106">
        <f t="shared" si="4630"/>
        <v>524</v>
      </c>
      <c r="DN832" s="1106">
        <f t="shared" si="4630"/>
        <v>1404</v>
      </c>
      <c r="DO832" s="1106">
        <f t="shared" ref="DO832:DY832" si="4631">SUM(DO828,DO825,DO822,)</f>
        <v>496</v>
      </c>
      <c r="DP832" s="1106">
        <f t="shared" si="4631"/>
        <v>1020</v>
      </c>
      <c r="DQ832" s="1107" t="e">
        <f t="shared" si="4631"/>
        <v>#REF!</v>
      </c>
      <c r="DR832" s="1106">
        <f t="shared" si="4631"/>
        <v>459</v>
      </c>
      <c r="DS832" s="1106">
        <f t="shared" si="4631"/>
        <v>601</v>
      </c>
      <c r="DT832" s="1106">
        <f t="shared" si="4631"/>
        <v>1060</v>
      </c>
      <c r="DU832" s="1106">
        <f t="shared" si="4631"/>
        <v>663</v>
      </c>
      <c r="DV832" s="1106">
        <f t="shared" si="4631"/>
        <v>1723</v>
      </c>
      <c r="DW832" s="1106" t="e">
        <f t="shared" si="4631"/>
        <v>#REF!</v>
      </c>
      <c r="DX832" s="1106" t="e">
        <f t="shared" si="4631"/>
        <v>#REF!</v>
      </c>
      <c r="DY832" s="1107" t="e">
        <f t="shared" si="4631"/>
        <v>#REF!</v>
      </c>
      <c r="DZ832" s="1106">
        <f t="shared" ref="DZ832:EG832" si="4632">+DZ10</f>
        <v>577</v>
      </c>
      <c r="EA832" s="1106">
        <f t="shared" si="4632"/>
        <v>681</v>
      </c>
      <c r="EB832" s="1106">
        <f t="shared" si="4632"/>
        <v>1258</v>
      </c>
      <c r="EC832" s="1106">
        <f t="shared" si="4632"/>
        <v>757</v>
      </c>
      <c r="ED832" s="1106">
        <f t="shared" si="4632"/>
        <v>2015</v>
      </c>
      <c r="EE832" s="1106">
        <f t="shared" si="4632"/>
        <v>778</v>
      </c>
      <c r="EF832" s="1106">
        <f t="shared" si="4632"/>
        <v>1535</v>
      </c>
      <c r="EG832" s="1107">
        <f t="shared" si="4632"/>
        <v>2793</v>
      </c>
      <c r="EH832" s="1106">
        <f t="shared" ref="EH832:FB832" si="4633">EH10</f>
        <v>693</v>
      </c>
      <c r="EI832" s="1106">
        <f t="shared" si="4633"/>
        <v>854</v>
      </c>
      <c r="EJ832" s="1106">
        <f t="shared" si="4633"/>
        <v>1547</v>
      </c>
      <c r="EK832" s="1106">
        <f t="shared" si="4633"/>
        <v>944</v>
      </c>
      <c r="EL832" s="1106">
        <f t="shared" si="4633"/>
        <v>2491</v>
      </c>
      <c r="EM832" s="1106">
        <f t="shared" si="4633"/>
        <v>882</v>
      </c>
      <c r="EN832" s="1106">
        <f t="shared" si="4633"/>
        <v>1826</v>
      </c>
      <c r="EO832" s="1107">
        <f t="shared" si="4633"/>
        <v>3373</v>
      </c>
      <c r="EP832" s="1106">
        <f t="shared" si="4633"/>
        <v>722</v>
      </c>
      <c r="EQ832" s="1106">
        <f t="shared" si="4633"/>
        <v>867</v>
      </c>
      <c r="ER832" s="1106">
        <f t="shared" si="4633"/>
        <v>1589</v>
      </c>
      <c r="ES832" s="1106">
        <f t="shared" si="4633"/>
        <v>923</v>
      </c>
      <c r="ET832" s="1106">
        <f t="shared" si="4633"/>
        <v>2512</v>
      </c>
      <c r="EU832" s="1106">
        <f t="shared" si="4633"/>
        <v>934</v>
      </c>
      <c r="EV832" s="1106">
        <f t="shared" si="4633"/>
        <v>1857</v>
      </c>
      <c r="EW832" s="1107">
        <f t="shared" si="4633"/>
        <v>3446</v>
      </c>
      <c r="EX832" s="1106">
        <f t="shared" si="4633"/>
        <v>794</v>
      </c>
      <c r="EY832" s="1106">
        <f t="shared" si="4633"/>
        <v>958</v>
      </c>
      <c r="EZ832" s="1106">
        <f t="shared" si="4633"/>
        <v>1752</v>
      </c>
      <c r="FA832" s="1106">
        <f t="shared" si="4633"/>
        <v>1047</v>
      </c>
      <c r="FB832" s="1106">
        <f t="shared" si="4633"/>
        <v>2799</v>
      </c>
      <c r="FC832" s="1106"/>
      <c r="FD832" s="1106"/>
      <c r="FE832" s="1107"/>
      <c r="FF832" s="1106"/>
      <c r="FG832" s="1106"/>
      <c r="FH832" s="1106"/>
      <c r="FI832" s="1106"/>
      <c r="FJ832" s="1106"/>
      <c r="FK832" s="1106"/>
      <c r="FL832" s="1106"/>
      <c r="FM832" s="1107"/>
      <c r="FN832" s="1106"/>
      <c r="FO832" s="1106"/>
      <c r="FP832" s="1106"/>
      <c r="FQ832" s="1106"/>
      <c r="FR832" s="1106"/>
      <c r="FS832" s="1106"/>
      <c r="FT832" s="1106"/>
      <c r="FU832" s="1106"/>
      <c r="FV832" s="1108"/>
      <c r="FW832" s="1106"/>
      <c r="FX832" s="1106"/>
      <c r="FY832" s="1106"/>
      <c r="FZ832" s="1106"/>
      <c r="GA832" s="1106"/>
      <c r="GB832" s="1106"/>
      <c r="GC832" s="1107"/>
      <c r="GD832" s="1106"/>
      <c r="GE832" s="1106"/>
      <c r="GF832" s="1106"/>
      <c r="GG832" s="1106"/>
      <c r="GH832" s="1106"/>
      <c r="GI832" s="1106"/>
      <c r="GJ832" s="1106"/>
      <c r="GK832" s="1107"/>
      <c r="GL832" s="1106"/>
      <c r="GM832" s="1106"/>
      <c r="GN832" s="1106"/>
      <c r="GO832" s="1106"/>
      <c r="GP832" s="1106"/>
      <c r="GQ832" s="1106"/>
      <c r="GR832" s="1106"/>
      <c r="GS832" s="1107"/>
      <c r="GT832" s="1106"/>
      <c r="GU832" s="1106"/>
      <c r="GV832" s="1106"/>
      <c r="GW832" s="1106"/>
      <c r="GX832" s="1106"/>
      <c r="GY832" s="1106"/>
      <c r="GZ832" s="1106"/>
      <c r="HA832" s="1107"/>
      <c r="HB832" s="1106"/>
      <c r="HC832" s="1106"/>
      <c r="HD832" s="1106"/>
      <c r="HE832" s="1106"/>
      <c r="HF832" s="1106"/>
      <c r="HG832" s="1106"/>
      <c r="HH832" s="1106"/>
      <c r="HI832" s="1107"/>
      <c r="HJ832" s="1106"/>
      <c r="HK832" s="1106"/>
      <c r="HL832" s="1106"/>
      <c r="HM832" s="1106"/>
      <c r="HN832" s="1106"/>
      <c r="HO832" s="1106"/>
      <c r="HP832" s="1106"/>
      <c r="HQ832" s="1107"/>
      <c r="HR832" s="1106"/>
      <c r="HS832" s="1106"/>
      <c r="HT832" s="1106"/>
      <c r="HU832" s="1106"/>
      <c r="HV832" s="1106"/>
      <c r="HW832" s="1106"/>
      <c r="HX832" s="1106"/>
      <c r="HY832" s="1106"/>
      <c r="HZ832" s="1106"/>
      <c r="IA832" s="1106"/>
      <c r="IB832" s="1106"/>
      <c r="IC832" s="1106"/>
      <c r="ID832" s="1106"/>
      <c r="IE832" s="1106"/>
      <c r="IF832" s="1106"/>
      <c r="IG832" s="1107"/>
      <c r="IH832" s="1106"/>
      <c r="II832" s="1106"/>
      <c r="IJ832" s="1106"/>
      <c r="IK832" s="1106"/>
      <c r="IL832" s="1106"/>
      <c r="IM832" s="1106"/>
      <c r="IN832" s="1106"/>
      <c r="IO832" s="1107"/>
      <c r="IP832" s="1106"/>
      <c r="IQ832" s="1106"/>
      <c r="IR832" s="1106"/>
      <c r="IS832" s="1106"/>
      <c r="IT832" s="1106"/>
      <c r="IU832" s="1106"/>
      <c r="IV832" s="1106"/>
      <c r="IW832" s="1106"/>
      <c r="IX832" s="1049"/>
      <c r="IY832" s="1049"/>
      <c r="IZ832" s="1049"/>
      <c r="JA832" s="1049"/>
      <c r="JB832" s="1049"/>
      <c r="JC832" s="1049"/>
      <c r="JD832" s="1041"/>
      <c r="JE832" s="1037"/>
      <c r="JF832" s="1037"/>
      <c r="JG832" s="1037"/>
      <c r="JH832" s="1037"/>
      <c r="JI832" s="1035"/>
      <c r="JJ832" s="1035"/>
      <c r="JK832" s="1035"/>
      <c r="JL832" s="1035"/>
      <c r="JM832" s="1035"/>
      <c r="JN832" s="1035"/>
      <c r="JO832" s="1035"/>
      <c r="JP832" s="1035"/>
      <c r="JQ832" s="1035"/>
      <c r="JR832" s="1035"/>
      <c r="JS832" s="1035"/>
      <c r="JT832" s="1035"/>
      <c r="JU832" s="1035"/>
      <c r="JV832" s="1035"/>
      <c r="JW832" s="1035"/>
      <c r="JX832" s="1035"/>
      <c r="JY832" s="1035"/>
      <c r="LV832" s="967"/>
    </row>
    <row r="833" outlineLevel="1" spans="1:334">
      <c r="A833" s="967" t="s">
        <v>61</v>
      </c>
      <c r="AX833" s="1059"/>
      <c r="BE833" s="1060"/>
      <c r="BN833" s="1059"/>
      <c r="BU833" s="1060"/>
      <c r="BV833" s="1059"/>
      <c r="CC833" s="1060"/>
      <c r="CD833" s="1059"/>
      <c r="CJ833" s="1061"/>
      <c r="CK833" s="1060"/>
      <c r="CL833" s="1059"/>
      <c r="CS833" s="1060"/>
      <c r="CT833" s="967"/>
      <c r="CU833" s="967"/>
      <c r="CV833" s="967"/>
      <c r="CW833" s="967"/>
      <c r="CX833" s="967"/>
      <c r="CY833" s="967"/>
      <c r="CZ833" s="967"/>
      <c r="DA833" s="967"/>
      <c r="DJ833" s="1080">
        <f t="shared" ref="DJ833:DQ833" si="4634">DJ832/DB832-1</f>
        <v>0.122159090909091</v>
      </c>
      <c r="DK833" s="1080">
        <f t="shared" si="4634"/>
        <v>0.157517899761336</v>
      </c>
      <c r="DL833" s="1080">
        <f t="shared" si="4634"/>
        <v>0.141374837872892</v>
      </c>
      <c r="DM833" s="1080">
        <f t="shared" si="4634"/>
        <v>0.0759753593429158</v>
      </c>
      <c r="DN833" s="1080">
        <f t="shared" si="4634"/>
        <v>0.116057233704292</v>
      </c>
      <c r="DO833" s="1080">
        <f t="shared" si="4634"/>
        <v>0.0853391684901532</v>
      </c>
      <c r="DP833" s="1080">
        <f t="shared" si="4634"/>
        <v>0.0805084745762712</v>
      </c>
      <c r="DQ833" s="1081" t="e">
        <f t="shared" si="4634"/>
        <v>#REF!</v>
      </c>
      <c r="DR833" s="1080">
        <f t="shared" ref="DR833:EG833" si="4635">DR832/DJ832-1</f>
        <v>0.162025316455696</v>
      </c>
      <c r="DS833" s="1080">
        <f t="shared" si="4635"/>
        <v>0.239175257731959</v>
      </c>
      <c r="DT833" s="1080">
        <f t="shared" si="4635"/>
        <v>0.204545454545455</v>
      </c>
      <c r="DU833" s="1080">
        <f t="shared" si="4635"/>
        <v>0.265267175572519</v>
      </c>
      <c r="DV833" s="1080">
        <f t="shared" si="4635"/>
        <v>0.227207977207977</v>
      </c>
      <c r="DW833" s="1080" t="e">
        <f t="shared" si="4635"/>
        <v>#REF!</v>
      </c>
      <c r="DX833" s="1080" t="e">
        <f t="shared" si="4635"/>
        <v>#REF!</v>
      </c>
      <c r="DY833" s="1081" t="e">
        <f t="shared" si="4635"/>
        <v>#REF!</v>
      </c>
      <c r="DZ833" s="1080">
        <f t="shared" si="4635"/>
        <v>0.257080610021786</v>
      </c>
      <c r="EA833" s="1080">
        <f t="shared" si="4635"/>
        <v>0.133111480865225</v>
      </c>
      <c r="EB833" s="1080">
        <f t="shared" si="4635"/>
        <v>0.186792452830189</v>
      </c>
      <c r="EC833" s="1080">
        <f t="shared" si="4635"/>
        <v>0.141779788838612</v>
      </c>
      <c r="ED833" s="1080">
        <f t="shared" si="4635"/>
        <v>0.169471851421938</v>
      </c>
      <c r="EE833" s="1080" t="e">
        <f t="shared" si="4635"/>
        <v>#REF!</v>
      </c>
      <c r="EF833" s="1080" t="e">
        <f t="shared" si="4635"/>
        <v>#REF!</v>
      </c>
      <c r="EG833" s="1081" t="e">
        <f t="shared" si="4635"/>
        <v>#REF!</v>
      </c>
      <c r="EH833" s="1080">
        <f t="shared" ref="EH833:EO833" si="4636">EH832/DZ832-1</f>
        <v>0.20103986135182</v>
      </c>
      <c r="EI833" s="1080">
        <f t="shared" si="4636"/>
        <v>0.254038179148311</v>
      </c>
      <c r="EJ833" s="1080">
        <f t="shared" si="4636"/>
        <v>0.22972972972973</v>
      </c>
      <c r="EK833" s="1080">
        <f t="shared" si="4636"/>
        <v>0.247027741083223</v>
      </c>
      <c r="EL833" s="1080">
        <f t="shared" si="4636"/>
        <v>0.236228287841191</v>
      </c>
      <c r="EM833" s="1080">
        <f t="shared" si="4636"/>
        <v>0.133676092544987</v>
      </c>
      <c r="EN833" s="1080">
        <f t="shared" si="4636"/>
        <v>0.18957654723127</v>
      </c>
      <c r="EO833" s="1081">
        <f t="shared" si="4636"/>
        <v>0.20766201217329</v>
      </c>
      <c r="EP833" s="1080">
        <f t="shared" ref="EP833:FB833" si="4637">EP832/EH832-1</f>
        <v>0.0418470418470418</v>
      </c>
      <c r="EQ833" s="1080">
        <f t="shared" si="4637"/>
        <v>0.0152224824355971</v>
      </c>
      <c r="ER833" s="1080">
        <f t="shared" si="4637"/>
        <v>0.0271493212669682</v>
      </c>
      <c r="ES833" s="1080">
        <f t="shared" si="4637"/>
        <v>-0.0222457627118644</v>
      </c>
      <c r="ET833" s="1080">
        <f t="shared" si="4637"/>
        <v>0.00843034925732633</v>
      </c>
      <c r="EU833" s="1080">
        <f t="shared" si="4637"/>
        <v>0.0589569160997732</v>
      </c>
      <c r="EV833" s="1080">
        <f t="shared" si="4637"/>
        <v>0.0169769989047097</v>
      </c>
      <c r="EW833" s="1081">
        <f t="shared" si="4637"/>
        <v>0.0216424547880225</v>
      </c>
      <c r="EX833" s="1080">
        <f t="shared" si="4637"/>
        <v>0.0997229916897506</v>
      </c>
      <c r="EY833" s="1080">
        <f t="shared" si="4637"/>
        <v>0.104959630911188</v>
      </c>
      <c r="EZ833" s="1080">
        <f t="shared" si="4637"/>
        <v>0.102580239144116</v>
      </c>
      <c r="FA833" s="1080">
        <f t="shared" si="4637"/>
        <v>0.134344528710726</v>
      </c>
      <c r="FB833" s="1080">
        <f t="shared" si="4637"/>
        <v>0.114251592356688</v>
      </c>
      <c r="FC833" s="1080"/>
      <c r="FD833" s="1080"/>
      <c r="FE833" s="1081"/>
      <c r="FF833" s="1080"/>
      <c r="FG833" s="1080"/>
      <c r="FH833" s="1080"/>
      <c r="FI833" s="1080"/>
      <c r="FJ833" s="1080"/>
      <c r="FK833" s="1080"/>
      <c r="FL833" s="1080"/>
      <c r="FM833" s="1081"/>
      <c r="FN833" s="1080"/>
      <c r="FO833" s="1080"/>
      <c r="FP833" s="1080"/>
      <c r="FQ833" s="1080"/>
      <c r="FR833" s="1080"/>
      <c r="FS833" s="1080"/>
      <c r="FT833" s="1080"/>
      <c r="FU833" s="1080"/>
      <c r="FV833" s="1150"/>
      <c r="FW833" s="1080"/>
      <c r="FX833" s="1080"/>
      <c r="FY833" s="1080"/>
      <c r="FZ833" s="1080"/>
      <c r="GA833" s="1080"/>
      <c r="GB833" s="1080"/>
      <c r="GC833" s="1081"/>
      <c r="GD833" s="1080"/>
      <c r="GE833" s="1080"/>
      <c r="GF833" s="1080"/>
      <c r="GG833" s="1080"/>
      <c r="GH833" s="1080"/>
      <c r="GI833" s="1080"/>
      <c r="GJ833" s="1080"/>
      <c r="GK833" s="1081"/>
      <c r="GL833" s="1080"/>
      <c r="GM833" s="1080"/>
      <c r="GN833" s="1080"/>
      <c r="GO833" s="1080"/>
      <c r="GP833" s="1080"/>
      <c r="GQ833" s="1080"/>
      <c r="GR833" s="1080"/>
      <c r="GS833" s="1081"/>
      <c r="GT833" s="1080"/>
      <c r="GU833" s="1080"/>
      <c r="GV833" s="1080"/>
      <c r="GW833" s="1080"/>
      <c r="GX833" s="1080"/>
      <c r="GY833" s="1080"/>
      <c r="GZ833" s="1080"/>
      <c r="HA833" s="1081"/>
      <c r="HB833" s="1080"/>
      <c r="HC833" s="1080"/>
      <c r="HD833" s="1080"/>
      <c r="HE833" s="1080"/>
      <c r="HF833" s="1080"/>
      <c r="HG833" s="1080"/>
      <c r="HH833" s="1080"/>
      <c r="HI833" s="1081"/>
      <c r="HJ833" s="1080"/>
      <c r="HK833" s="1080"/>
      <c r="HL833" s="1080"/>
      <c r="HM833" s="1080"/>
      <c r="HN833" s="1080"/>
      <c r="HO833" s="1080"/>
      <c r="HP833" s="1080"/>
      <c r="HQ833" s="1081"/>
      <c r="HR833" s="1080"/>
      <c r="HS833" s="1080"/>
      <c r="HT833" s="1080"/>
      <c r="HU833" s="1080"/>
      <c r="HV833" s="1080"/>
      <c r="HW833" s="1080"/>
      <c r="HX833" s="1080"/>
      <c r="HY833" s="1080"/>
      <c r="HZ833" s="1080"/>
      <c r="IA833" s="1080"/>
      <c r="IB833" s="1080"/>
      <c r="IC833" s="1080"/>
      <c r="ID833" s="1080"/>
      <c r="IE833" s="1080"/>
      <c r="IF833" s="1080"/>
      <c r="IG833" s="1081"/>
      <c r="IH833" s="1080"/>
      <c r="II833" s="1080"/>
      <c r="IJ833" s="1080"/>
      <c r="IK833" s="1080"/>
      <c r="IL833" s="1080"/>
      <c r="IM833" s="1080"/>
      <c r="IN833" s="1080"/>
      <c r="IO833" s="1081"/>
      <c r="IP833" s="1080"/>
      <c r="IQ833" s="1080"/>
      <c r="IR833" s="1080"/>
      <c r="IS833" s="1080"/>
      <c r="IT833" s="1080"/>
      <c r="IU833" s="1080"/>
      <c r="IV833" s="1080"/>
      <c r="IW833" s="1080"/>
      <c r="IX833" s="1049"/>
      <c r="IY833" s="1049"/>
      <c r="IZ833" s="1049"/>
      <c r="JA833" s="1049"/>
      <c r="JB833" s="1049"/>
      <c r="JC833" s="1049"/>
      <c r="JD833" s="1041"/>
      <c r="JE833" s="1037"/>
      <c r="JF833" s="1037"/>
      <c r="JG833" s="1037"/>
      <c r="JH833" s="1037"/>
      <c r="JI833" s="1035"/>
      <c r="JJ833" s="1035"/>
      <c r="JK833" s="1035"/>
      <c r="JL833" s="1035"/>
      <c r="JM833" s="1035"/>
      <c r="JN833" s="1035"/>
      <c r="JO833" s="1035"/>
      <c r="JP833" s="1035"/>
      <c r="JQ833" s="1035"/>
      <c r="JR833" s="1035"/>
      <c r="JS833" s="1035"/>
      <c r="JT833" s="1035"/>
      <c r="JU833" s="1035"/>
      <c r="JV833" s="1035"/>
      <c r="JW833" s="1035"/>
      <c r="JX833" s="1035"/>
      <c r="JY833" s="1035"/>
      <c r="LV833" s="967"/>
    </row>
    <row r="834" outlineLevel="1" spans="1:334">
      <c r="A834" s="967" t="s">
        <v>65</v>
      </c>
      <c r="AX834" s="1059"/>
      <c r="BE834" s="1060"/>
      <c r="BN834" s="1059"/>
      <c r="BU834" s="1060"/>
      <c r="BV834" s="1059"/>
      <c r="CC834" s="1060"/>
      <c r="CD834" s="1059"/>
      <c r="CJ834" s="1061"/>
      <c r="CK834" s="1060"/>
      <c r="CL834" s="1059"/>
      <c r="CS834" s="1060"/>
      <c r="CT834" s="967"/>
      <c r="CU834" s="967"/>
      <c r="CV834" s="967"/>
      <c r="CW834" s="967"/>
      <c r="CX834" s="967"/>
      <c r="CY834" s="967"/>
      <c r="CZ834" s="967"/>
      <c r="DA834" s="967"/>
      <c r="DY834" s="1149"/>
      <c r="DZ834" s="1080">
        <v>0.22</v>
      </c>
      <c r="EA834" s="1082">
        <v>0.2</v>
      </c>
      <c r="EB834" s="1082">
        <v>0.21</v>
      </c>
      <c r="EC834" s="1082">
        <v>0.21</v>
      </c>
      <c r="ED834" s="1082">
        <v>0.21</v>
      </c>
      <c r="EE834" s="1082"/>
      <c r="EF834" s="1082"/>
      <c r="EG834" s="1085">
        <v>0.2</v>
      </c>
      <c r="EH834" s="1080">
        <v>0.16</v>
      </c>
      <c r="EO834" s="1149"/>
      <c r="EP834" s="1080">
        <v>0.065</v>
      </c>
      <c r="EQ834" s="1080">
        <f>(EJ832*ER834-EH832*EP834)/EI832</f>
        <v>0.0523196721311475</v>
      </c>
      <c r="ER834" s="1080">
        <v>0.058</v>
      </c>
      <c r="ES834" s="1080">
        <v>0.056</v>
      </c>
      <c r="ET834" s="1080">
        <v>0.057</v>
      </c>
      <c r="EU834" s="1080">
        <f t="shared" ref="EU834:EZ834" si="4638">EU13</f>
        <v>0.148</v>
      </c>
      <c r="EV834" s="1080">
        <f t="shared" si="4638"/>
        <v>0.100438116100767</v>
      </c>
      <c r="EW834" s="1081">
        <f t="shared" si="4638"/>
        <v>0.0811464571597984</v>
      </c>
      <c r="EX834" s="1218">
        <f t="shared" si="4638"/>
        <v>0.216</v>
      </c>
      <c r="EY834" s="1218">
        <f t="shared" si="4638"/>
        <v>0.221</v>
      </c>
      <c r="EZ834" s="1218">
        <f t="shared" si="4638"/>
        <v>0.218728130899937</v>
      </c>
      <c r="FA834" s="1080">
        <v>0.056</v>
      </c>
      <c r="FB834" s="1218">
        <f>FB13</f>
        <v>0.211111863057325</v>
      </c>
      <c r="FC834" s="1080"/>
      <c r="FD834" s="1080"/>
      <c r="FE834" s="1081"/>
      <c r="FF834" s="1080"/>
      <c r="FG834" s="1080"/>
      <c r="FH834" s="1080"/>
      <c r="FI834" s="1080"/>
      <c r="FJ834" s="1080"/>
      <c r="FK834" s="1080"/>
      <c r="FL834" s="1080"/>
      <c r="FM834" s="1081"/>
      <c r="FN834" s="1080"/>
      <c r="FO834" s="1080"/>
      <c r="FP834" s="1080"/>
      <c r="FQ834" s="1080"/>
      <c r="FR834" s="1080"/>
      <c r="FS834" s="1080"/>
      <c r="FT834" s="1080"/>
      <c r="FU834" s="1080"/>
      <c r="FV834" s="1150"/>
      <c r="FW834" s="1080"/>
      <c r="FX834" s="1080"/>
      <c r="FY834" s="1080"/>
      <c r="FZ834" s="1080"/>
      <c r="GA834" s="1080"/>
      <c r="GB834" s="1080"/>
      <c r="GC834" s="1081"/>
      <c r="GD834" s="1080"/>
      <c r="GE834" s="1080"/>
      <c r="GF834" s="1080"/>
      <c r="GG834" s="1080"/>
      <c r="GH834" s="1080"/>
      <c r="GI834" s="1080"/>
      <c r="GJ834" s="1080"/>
      <c r="GK834" s="1081"/>
      <c r="GL834" s="1080"/>
      <c r="GM834" s="1080"/>
      <c r="GN834" s="1080"/>
      <c r="GO834" s="1080"/>
      <c r="GP834" s="1080"/>
      <c r="GQ834" s="1080"/>
      <c r="GR834" s="1080"/>
      <c r="GS834" s="1081"/>
      <c r="GT834" s="1080"/>
      <c r="GU834" s="1080"/>
      <c r="GV834" s="1080"/>
      <c r="GW834" s="1080"/>
      <c r="GX834" s="1080"/>
      <c r="GY834" s="1080"/>
      <c r="GZ834" s="1080"/>
      <c r="HA834" s="1081"/>
      <c r="HB834" s="1080"/>
      <c r="HC834" s="1080"/>
      <c r="HD834" s="1080"/>
      <c r="HE834" s="1080"/>
      <c r="HF834" s="1080"/>
      <c r="HG834" s="1080"/>
      <c r="HH834" s="1080"/>
      <c r="HI834" s="1081"/>
      <c r="HJ834" s="1080"/>
      <c r="HK834" s="1080"/>
      <c r="HL834" s="1080"/>
      <c r="HM834" s="1080"/>
      <c r="HN834" s="1080"/>
      <c r="HO834" s="1080"/>
      <c r="HP834" s="1080"/>
      <c r="HQ834" s="1081"/>
      <c r="HR834" s="1080"/>
      <c r="HS834" s="1080"/>
      <c r="HT834" s="1080"/>
      <c r="HU834" s="1080"/>
      <c r="HV834" s="1080"/>
      <c r="HW834" s="1080"/>
      <c r="HX834" s="1080"/>
      <c r="HY834" s="1080"/>
      <c r="HZ834" s="1080"/>
      <c r="IA834" s="1080"/>
      <c r="IB834" s="1080"/>
      <c r="IC834" s="1080"/>
      <c r="ID834" s="1080"/>
      <c r="IE834" s="1080"/>
      <c r="IF834" s="1080"/>
      <c r="IG834" s="1081"/>
      <c r="IH834" s="1080"/>
      <c r="II834" s="1080"/>
      <c r="IJ834" s="1080"/>
      <c r="IK834" s="1080"/>
      <c r="IL834" s="1080"/>
      <c r="IM834" s="1080"/>
      <c r="IN834" s="1080"/>
      <c r="IO834" s="1081"/>
      <c r="IP834" s="1080"/>
      <c r="IQ834" s="1080"/>
      <c r="IR834" s="1080"/>
      <c r="IS834" s="1080"/>
      <c r="IT834" s="1080"/>
      <c r="IU834" s="1080"/>
      <c r="IV834" s="1080"/>
      <c r="IW834" s="1080"/>
      <c r="IX834" s="1049"/>
      <c r="IY834" s="1049"/>
      <c r="IZ834" s="1049"/>
      <c r="JA834" s="1049"/>
      <c r="JB834" s="1049"/>
      <c r="JC834" s="1049"/>
      <c r="JD834" s="1041"/>
      <c r="JE834" s="1037"/>
      <c r="JF834" s="1037"/>
      <c r="JG834" s="1037"/>
      <c r="JH834" s="1037"/>
      <c r="JI834" s="1035"/>
      <c r="JJ834" s="1035"/>
      <c r="JK834" s="1035"/>
      <c r="JL834" s="1035"/>
      <c r="JM834" s="1035"/>
      <c r="JN834" s="1035"/>
      <c r="JO834" s="1035"/>
      <c r="JP834" s="1035"/>
      <c r="JQ834" s="1035"/>
      <c r="JR834" s="1035"/>
      <c r="JS834" s="1035"/>
      <c r="JT834" s="1035"/>
      <c r="JU834" s="1035"/>
      <c r="JV834" s="1035"/>
      <c r="JW834" s="1035"/>
      <c r="JX834" s="1035"/>
      <c r="JY834" s="1035"/>
      <c r="LV834" s="1113"/>
    </row>
    <row r="835" outlineLevel="1" spans="1:334">
      <c r="A835" s="967" t="s">
        <v>242</v>
      </c>
      <c r="AX835" s="1059"/>
      <c r="BE835" s="1060"/>
      <c r="BN835" s="1059"/>
      <c r="BU835" s="1060"/>
      <c r="BV835" s="1059"/>
      <c r="CC835" s="1060"/>
      <c r="CD835" s="1059"/>
      <c r="CJ835" s="1061"/>
      <c r="CK835" s="1060"/>
      <c r="CL835" s="1059"/>
      <c r="CS835" s="1060"/>
      <c r="CT835" s="967"/>
      <c r="CU835" s="967"/>
      <c r="CV835" s="967"/>
      <c r="CW835" s="967"/>
      <c r="CX835" s="967"/>
      <c r="CY835" s="967"/>
      <c r="CZ835" s="967"/>
      <c r="DA835" s="967"/>
      <c r="DY835" s="1149"/>
      <c r="DZ835" s="1080">
        <v>0.17</v>
      </c>
      <c r="EA835" s="1082">
        <v>0.13</v>
      </c>
      <c r="EB835" s="1082">
        <v>0.15</v>
      </c>
      <c r="EC835" s="1082">
        <v>0.14</v>
      </c>
      <c r="ED835" s="1082">
        <v>0.15</v>
      </c>
      <c r="EE835" s="1082"/>
      <c r="EF835" s="1082"/>
      <c r="EG835" s="1085">
        <v>0.14</v>
      </c>
      <c r="EH835" s="1080">
        <v>0.09</v>
      </c>
      <c r="EO835" s="1149"/>
      <c r="EP835" s="1080">
        <v>-0.01</v>
      </c>
      <c r="EQ835" s="1080">
        <f>(EJ832*ER835-EH832*EP835)/EI832</f>
        <v>-0.01</v>
      </c>
      <c r="ER835" s="1080">
        <v>-0.01</v>
      </c>
      <c r="ES835" s="1080">
        <f t="shared" ref="ES835:FB835" si="4639">ES16</f>
        <v>-0.03</v>
      </c>
      <c r="ET835" s="1080">
        <f t="shared" si="4639"/>
        <v>-0.02</v>
      </c>
      <c r="EU835" s="1080">
        <f t="shared" si="4639"/>
        <v>0.03</v>
      </c>
      <c r="EV835" s="1080">
        <f t="shared" si="4639"/>
        <v>-0.01</v>
      </c>
      <c r="EW835" s="1081">
        <f t="shared" si="4639"/>
        <v>-0.01</v>
      </c>
      <c r="EX835" s="1218">
        <f t="shared" si="4639"/>
        <v>0.08</v>
      </c>
      <c r="EY835" s="1218">
        <f t="shared" si="4639"/>
        <v>0.1</v>
      </c>
      <c r="EZ835" s="1218">
        <f t="shared" si="4639"/>
        <v>0.09</v>
      </c>
      <c r="FA835" s="1218">
        <f t="shared" si="4639"/>
        <v>0.06</v>
      </c>
      <c r="FB835" s="1218">
        <f t="shared" si="4639"/>
        <v>0.08</v>
      </c>
      <c r="FC835" s="1148"/>
      <c r="FD835" s="1148"/>
      <c r="FE835" s="1149"/>
      <c r="FF835" s="1148"/>
      <c r="FG835" s="1148"/>
      <c r="FH835" s="1148"/>
      <c r="FI835" s="1148"/>
      <c r="FJ835" s="1148"/>
      <c r="FK835" s="1148"/>
      <c r="FL835" s="1148"/>
      <c r="FM835" s="1149"/>
      <c r="FN835" s="1148"/>
      <c r="FO835" s="1148"/>
      <c r="FP835" s="1148"/>
      <c r="FQ835" s="1148"/>
      <c r="FR835" s="1148"/>
      <c r="FS835" s="1148"/>
      <c r="FT835" s="1148"/>
      <c r="FU835" s="1148"/>
      <c r="FV835" s="1151"/>
      <c r="FW835" s="1148"/>
      <c r="FX835" s="1148"/>
      <c r="FY835" s="1148"/>
      <c r="FZ835" s="1148"/>
      <c r="GA835" s="1148"/>
      <c r="GB835" s="1148"/>
      <c r="GC835" s="1149"/>
      <c r="GD835" s="1148"/>
      <c r="GE835" s="1148"/>
      <c r="GF835" s="1148"/>
      <c r="GG835" s="1148"/>
      <c r="GH835" s="1148"/>
      <c r="GI835" s="1148"/>
      <c r="GJ835" s="1148"/>
      <c r="GK835" s="1149"/>
      <c r="GL835" s="1148"/>
      <c r="GM835" s="1148"/>
      <c r="GN835" s="1148"/>
      <c r="GO835" s="1148"/>
      <c r="GP835" s="1148"/>
      <c r="GQ835" s="1148"/>
      <c r="GR835" s="1148"/>
      <c r="GS835" s="1149"/>
      <c r="GT835" s="1148"/>
      <c r="GU835" s="1148"/>
      <c r="GV835" s="1148"/>
      <c r="GW835" s="1148"/>
      <c r="GX835" s="1148"/>
      <c r="GY835" s="1148"/>
      <c r="GZ835" s="1148"/>
      <c r="HA835" s="1149"/>
      <c r="HB835" s="1148"/>
      <c r="HC835" s="1148"/>
      <c r="HD835" s="1148"/>
      <c r="HE835" s="1148"/>
      <c r="HF835" s="1148"/>
      <c r="HG835" s="1148"/>
      <c r="HH835" s="1148"/>
      <c r="HI835" s="1149"/>
      <c r="HJ835" s="1148"/>
      <c r="HK835" s="1148"/>
      <c r="HL835" s="1148"/>
      <c r="HM835" s="1148"/>
      <c r="HN835" s="1148"/>
      <c r="HO835" s="1148"/>
      <c r="HP835" s="1148"/>
      <c r="HQ835" s="1149"/>
      <c r="HR835" s="1148"/>
      <c r="HS835" s="1148"/>
      <c r="HT835" s="1148"/>
      <c r="HU835" s="1148"/>
      <c r="HV835" s="1148"/>
      <c r="HW835" s="1148"/>
      <c r="HX835" s="1148"/>
      <c r="HY835" s="1148"/>
      <c r="HZ835" s="1148"/>
      <c r="IA835" s="1148"/>
      <c r="IB835" s="1148"/>
      <c r="IC835" s="1148"/>
      <c r="ID835" s="1148"/>
      <c r="IE835" s="1148"/>
      <c r="IF835" s="1148"/>
      <c r="IG835" s="1149"/>
      <c r="IH835" s="1148"/>
      <c r="II835" s="1148"/>
      <c r="IJ835" s="1148"/>
      <c r="IK835" s="1148"/>
      <c r="IL835" s="1148"/>
      <c r="IM835" s="1148"/>
      <c r="IN835" s="1148"/>
      <c r="IO835" s="1149"/>
      <c r="IP835" s="1148"/>
      <c r="IQ835" s="1148"/>
      <c r="IR835" s="1148"/>
      <c r="IS835" s="1148"/>
      <c r="IT835" s="1148"/>
      <c r="IU835" s="1148"/>
      <c r="IV835" s="1148"/>
      <c r="IW835" s="1148"/>
      <c r="IX835" s="1049"/>
      <c r="IY835" s="1049"/>
      <c r="IZ835" s="1049"/>
      <c r="JA835" s="1049"/>
      <c r="JB835" s="1049"/>
      <c r="JC835" s="1049"/>
      <c r="JD835" s="1041"/>
      <c r="JE835" s="1037"/>
      <c r="JF835" s="1037"/>
      <c r="JG835" s="1037"/>
      <c r="JH835" s="1037"/>
      <c r="JI835" s="1035"/>
      <c r="JJ835" s="1035"/>
      <c r="JK835" s="1035"/>
      <c r="JL835" s="1035"/>
      <c r="JM835" s="1035"/>
      <c r="JN835" s="1035"/>
      <c r="JO835" s="1035"/>
      <c r="JP835" s="1035"/>
      <c r="JQ835" s="1035"/>
      <c r="JR835" s="1035"/>
      <c r="JS835" s="1035"/>
      <c r="JT835" s="1035"/>
      <c r="JU835" s="1035"/>
      <c r="JV835" s="1035"/>
      <c r="JW835" s="1035"/>
      <c r="JX835" s="1035"/>
      <c r="JY835" s="1035"/>
      <c r="LV835" s="1113"/>
    </row>
    <row r="836" outlineLevel="1" spans="1:334">
      <c r="A836" s="967" t="s">
        <v>672</v>
      </c>
      <c r="AX836" s="1059"/>
      <c r="BE836" s="1060"/>
      <c r="BN836" s="1059"/>
      <c r="BU836" s="1060"/>
      <c r="BV836" s="1059"/>
      <c r="CC836" s="1060"/>
      <c r="CD836" s="1059"/>
      <c r="CJ836" s="1061"/>
      <c r="CK836" s="1060"/>
      <c r="CL836" s="1059"/>
      <c r="CS836" s="1060"/>
      <c r="CT836" s="967"/>
      <c r="CU836" s="967"/>
      <c r="CV836" s="967"/>
      <c r="CW836" s="967"/>
      <c r="CX836" s="967"/>
      <c r="CY836" s="967"/>
      <c r="CZ836" s="967"/>
      <c r="DA836" s="967"/>
      <c r="DY836" s="1149"/>
      <c r="DZ836" s="1080">
        <f>+DZ834-DZ835</f>
        <v>0.05</v>
      </c>
      <c r="EA836" s="1082">
        <f>+EA834-EA835</f>
        <v>0.07</v>
      </c>
      <c r="EB836" s="1082">
        <f>+EB834-EB835</f>
        <v>0.06</v>
      </c>
      <c r="EC836" s="1082">
        <f>+EC834-EC835</f>
        <v>0.07</v>
      </c>
      <c r="ED836" s="1082">
        <f>+ED834-ED835</f>
        <v>0.06</v>
      </c>
      <c r="EE836" s="1082"/>
      <c r="EF836" s="1082"/>
      <c r="EG836" s="1085">
        <f>+EG834-EG835</f>
        <v>0.06</v>
      </c>
      <c r="EH836" s="1080">
        <f>+EH834-EH835</f>
        <v>0.07</v>
      </c>
      <c r="EO836" s="1149"/>
      <c r="EP836" s="1080">
        <f t="shared" ref="EP836:FB836" si="4640">EP834-EP835</f>
        <v>0.075</v>
      </c>
      <c r="EQ836" s="1080">
        <f t="shared" si="4640"/>
        <v>0.0623196721311475</v>
      </c>
      <c r="ER836" s="1080">
        <f t="shared" si="4640"/>
        <v>0.068</v>
      </c>
      <c r="ES836" s="1080">
        <f t="shared" si="4640"/>
        <v>0.086</v>
      </c>
      <c r="ET836" s="1080">
        <f t="shared" si="4640"/>
        <v>0.077</v>
      </c>
      <c r="EU836" s="1080">
        <f t="shared" si="4640"/>
        <v>0.118</v>
      </c>
      <c r="EV836" s="1080">
        <f t="shared" si="4640"/>
        <v>0.110438116100767</v>
      </c>
      <c r="EW836" s="1081">
        <f t="shared" si="4640"/>
        <v>0.0911464571597984</v>
      </c>
      <c r="EX836" s="1218">
        <f t="shared" si="4640"/>
        <v>0.136</v>
      </c>
      <c r="EY836" s="1218">
        <f t="shared" si="4640"/>
        <v>0.121</v>
      </c>
      <c r="EZ836" s="1218">
        <f t="shared" si="4640"/>
        <v>0.128728130899937</v>
      </c>
      <c r="FA836" s="1218">
        <f t="shared" si="4640"/>
        <v>-0.004</v>
      </c>
      <c r="FB836" s="1218">
        <f t="shared" si="4640"/>
        <v>0.131111863057325</v>
      </c>
      <c r="FC836" s="1148"/>
      <c r="FD836" s="1148"/>
      <c r="FE836" s="1149"/>
      <c r="FF836" s="1148"/>
      <c r="FG836" s="1148"/>
      <c r="FH836" s="1148"/>
      <c r="FI836" s="1148"/>
      <c r="FJ836" s="1148"/>
      <c r="FK836" s="1148"/>
      <c r="FL836" s="1148"/>
      <c r="FM836" s="1149"/>
      <c r="FN836" s="1148"/>
      <c r="FO836" s="1148"/>
      <c r="FP836" s="1148"/>
      <c r="FQ836" s="1148"/>
      <c r="FR836" s="1148"/>
      <c r="FS836" s="1148"/>
      <c r="FT836" s="1148"/>
      <c r="FU836" s="1148"/>
      <c r="FV836" s="1151"/>
      <c r="FW836" s="1148"/>
      <c r="FX836" s="1148"/>
      <c r="FY836" s="1148"/>
      <c r="FZ836" s="1148"/>
      <c r="GA836" s="1148"/>
      <c r="GB836" s="1148"/>
      <c r="GC836" s="1149"/>
      <c r="GD836" s="1148"/>
      <c r="GE836" s="1148"/>
      <c r="GF836" s="1148"/>
      <c r="GG836" s="1148"/>
      <c r="GH836" s="1148"/>
      <c r="GI836" s="1148"/>
      <c r="GJ836" s="1148"/>
      <c r="GK836" s="1149"/>
      <c r="GL836" s="1148"/>
      <c r="GM836" s="1148"/>
      <c r="GN836" s="1148"/>
      <c r="GO836" s="1148"/>
      <c r="GP836" s="1148"/>
      <c r="GQ836" s="1148"/>
      <c r="GR836" s="1148"/>
      <c r="GS836" s="1149"/>
      <c r="GT836" s="1148"/>
      <c r="GU836" s="1148"/>
      <c r="GV836" s="1148"/>
      <c r="GW836" s="1148"/>
      <c r="GX836" s="1148"/>
      <c r="GY836" s="1148"/>
      <c r="GZ836" s="1148"/>
      <c r="HA836" s="1149"/>
      <c r="HB836" s="1148"/>
      <c r="HC836" s="1148"/>
      <c r="HD836" s="1148"/>
      <c r="HE836" s="1148"/>
      <c r="HF836" s="1148"/>
      <c r="HG836" s="1148"/>
      <c r="HH836" s="1148"/>
      <c r="HI836" s="1149"/>
      <c r="HJ836" s="1148"/>
      <c r="HK836" s="1148"/>
      <c r="HL836" s="1148"/>
      <c r="HM836" s="1148"/>
      <c r="HN836" s="1148"/>
      <c r="HO836" s="1148"/>
      <c r="HP836" s="1148"/>
      <c r="HQ836" s="1149"/>
      <c r="HR836" s="1148"/>
      <c r="HS836" s="1148"/>
      <c r="HT836" s="1148"/>
      <c r="HU836" s="1148"/>
      <c r="HV836" s="1148"/>
      <c r="HW836" s="1148"/>
      <c r="HX836" s="1148"/>
      <c r="HY836" s="1148"/>
      <c r="HZ836" s="1148"/>
      <c r="IA836" s="1148"/>
      <c r="IB836" s="1148"/>
      <c r="IC836" s="1148"/>
      <c r="ID836" s="1148"/>
      <c r="IE836" s="1148"/>
      <c r="IF836" s="1148"/>
      <c r="IG836" s="1149"/>
      <c r="IH836" s="1148"/>
      <c r="II836" s="1148"/>
      <c r="IJ836" s="1148"/>
      <c r="IK836" s="1148"/>
      <c r="IL836" s="1148"/>
      <c r="IM836" s="1148"/>
      <c r="IN836" s="1148"/>
      <c r="IO836" s="1149"/>
      <c r="IP836" s="1148"/>
      <c r="IQ836" s="1148"/>
      <c r="IR836" s="1148"/>
      <c r="IS836" s="1148"/>
      <c r="IT836" s="1148"/>
      <c r="IU836" s="1148"/>
      <c r="IV836" s="1148"/>
      <c r="IW836" s="1148"/>
      <c r="IX836" s="1049"/>
      <c r="IY836" s="1049"/>
      <c r="IZ836" s="1049"/>
      <c r="JA836" s="1049"/>
      <c r="JB836" s="1049"/>
      <c r="JC836" s="1049"/>
      <c r="JD836" s="1041"/>
      <c r="JE836" s="1037"/>
      <c r="JF836" s="1037"/>
      <c r="JG836" s="1037"/>
      <c r="JH836" s="1037"/>
      <c r="JI836" s="1035"/>
      <c r="JJ836" s="1035"/>
      <c r="JK836" s="1035"/>
      <c r="JL836" s="1035"/>
      <c r="JM836" s="1035"/>
      <c r="JN836" s="1035"/>
      <c r="JO836" s="1035"/>
      <c r="JP836" s="1035"/>
      <c r="JQ836" s="1035"/>
      <c r="JR836" s="1035"/>
      <c r="JS836" s="1035"/>
      <c r="JT836" s="1035"/>
      <c r="JU836" s="1035"/>
      <c r="JV836" s="1035"/>
      <c r="JW836" s="1035"/>
      <c r="JX836" s="1035"/>
      <c r="JY836" s="1035"/>
      <c r="LV836" s="1113"/>
    </row>
    <row r="837" outlineLevel="1" spans="1:334">
      <c r="A837" s="967"/>
      <c r="AX837" s="1059"/>
      <c r="BE837" s="1060"/>
      <c r="BN837" s="1059"/>
      <c r="BU837" s="1060"/>
      <c r="BV837" s="1059"/>
      <c r="CC837" s="1060"/>
      <c r="CD837" s="1059"/>
      <c r="CJ837" s="1061"/>
      <c r="CK837" s="1060"/>
      <c r="CL837" s="1059"/>
      <c r="CS837" s="1060"/>
      <c r="CT837" s="967"/>
      <c r="CU837" s="967"/>
      <c r="CV837" s="967"/>
      <c r="CW837" s="967"/>
      <c r="CX837" s="967"/>
      <c r="CY837" s="967"/>
      <c r="CZ837" s="967"/>
      <c r="DA837" s="967"/>
      <c r="DY837" s="1149"/>
      <c r="EG837" s="1149"/>
      <c r="EO837" s="1149"/>
      <c r="EP837" s="1148"/>
      <c r="EQ837" s="1148"/>
      <c r="ER837" s="1148"/>
      <c r="ES837" s="1148"/>
      <c r="ET837" s="1148"/>
      <c r="EU837" s="1148"/>
      <c r="EV837" s="1148"/>
      <c r="EW837" s="1149"/>
      <c r="EX837" s="1279"/>
      <c r="EY837" s="1148"/>
      <c r="EZ837" s="1148"/>
      <c r="FA837" s="1148"/>
      <c r="FB837" s="1148"/>
      <c r="FC837" s="1148"/>
      <c r="FD837" s="1148"/>
      <c r="FE837" s="1149"/>
      <c r="FF837" s="1148"/>
      <c r="FG837" s="1148"/>
      <c r="FH837" s="1148"/>
      <c r="FI837" s="1148"/>
      <c r="FJ837" s="1148"/>
      <c r="FK837" s="1148"/>
      <c r="FL837" s="1148"/>
      <c r="FM837" s="1149"/>
      <c r="FN837" s="1148"/>
      <c r="FO837" s="1148"/>
      <c r="FP837" s="1148"/>
      <c r="FQ837" s="1148"/>
      <c r="FR837" s="1148"/>
      <c r="FS837" s="1148"/>
      <c r="FT837" s="1148"/>
      <c r="FU837" s="1148"/>
      <c r="FV837" s="1151"/>
      <c r="FW837" s="1148"/>
      <c r="FX837" s="1148"/>
      <c r="FY837" s="1148"/>
      <c r="FZ837" s="1148"/>
      <c r="GA837" s="1148"/>
      <c r="GB837" s="1148"/>
      <c r="GC837" s="1149"/>
      <c r="GD837" s="1148"/>
      <c r="GE837" s="1148"/>
      <c r="GF837" s="1148"/>
      <c r="GG837" s="1148"/>
      <c r="GH837" s="1148"/>
      <c r="GI837" s="1148"/>
      <c r="GJ837" s="1148"/>
      <c r="GK837" s="1149"/>
      <c r="GL837" s="1148"/>
      <c r="GM837" s="1148"/>
      <c r="GN837" s="1148"/>
      <c r="GO837" s="1148"/>
      <c r="GP837" s="1148"/>
      <c r="GQ837" s="1148"/>
      <c r="GR837" s="1148"/>
      <c r="GS837" s="1149"/>
      <c r="GT837" s="1148"/>
      <c r="GU837" s="1148"/>
      <c r="GV837" s="1148"/>
      <c r="GW837" s="1148"/>
      <c r="GX837" s="1148"/>
      <c r="GY837" s="1148"/>
      <c r="GZ837" s="1148"/>
      <c r="HA837" s="1149"/>
      <c r="HB837" s="1148"/>
      <c r="HC837" s="1148"/>
      <c r="HD837" s="1148"/>
      <c r="HE837" s="1148"/>
      <c r="HF837" s="1148"/>
      <c r="HG837" s="1148"/>
      <c r="HH837" s="1148"/>
      <c r="HI837" s="1149"/>
      <c r="HJ837" s="1148"/>
      <c r="HK837" s="1148"/>
      <c r="HL837" s="1148"/>
      <c r="HM837" s="1148"/>
      <c r="HN837" s="1148"/>
      <c r="HO837" s="1148"/>
      <c r="HP837" s="1148"/>
      <c r="HQ837" s="1149"/>
      <c r="HR837" s="1148"/>
      <c r="HS837" s="1148"/>
      <c r="HT837" s="1148"/>
      <c r="HU837" s="1148"/>
      <c r="HV837" s="1148"/>
      <c r="HW837" s="1148"/>
      <c r="HX837" s="1148"/>
      <c r="HY837" s="1148"/>
      <c r="HZ837" s="1148"/>
      <c r="IA837" s="1148"/>
      <c r="IB837" s="1148"/>
      <c r="IC837" s="1148"/>
      <c r="ID837" s="1148"/>
      <c r="IE837" s="1148"/>
      <c r="IF837" s="1148"/>
      <c r="IG837" s="1149"/>
      <c r="IH837" s="1148"/>
      <c r="II837" s="1148"/>
      <c r="IJ837" s="1148"/>
      <c r="IK837" s="1148"/>
      <c r="IL837" s="1148"/>
      <c r="IM837" s="1148"/>
      <c r="IN837" s="1148"/>
      <c r="IO837" s="1149"/>
      <c r="IP837" s="1148"/>
      <c r="IQ837" s="1148"/>
      <c r="IR837" s="1148"/>
      <c r="IS837" s="1148"/>
      <c r="IT837" s="1148"/>
      <c r="IU837" s="1148"/>
      <c r="IV837" s="1148"/>
      <c r="IW837" s="1148"/>
      <c r="IX837" s="1049"/>
      <c r="IY837" s="1049"/>
      <c r="IZ837" s="1049"/>
      <c r="JA837" s="1049"/>
      <c r="JB837" s="1049"/>
      <c r="JC837" s="1049"/>
      <c r="JD837" s="1041"/>
      <c r="JE837" s="1037"/>
      <c r="JF837" s="1037"/>
      <c r="JG837" s="1037"/>
      <c r="JH837" s="1037"/>
      <c r="JI837" s="1035"/>
      <c r="JJ837" s="1035"/>
      <c r="JK837" s="1035"/>
      <c r="JL837" s="1035"/>
      <c r="JM837" s="1035"/>
      <c r="JN837" s="1035"/>
      <c r="JO837" s="1035"/>
      <c r="JP837" s="1035"/>
      <c r="JQ837" s="1035"/>
      <c r="JR837" s="1035"/>
      <c r="JS837" s="1035"/>
      <c r="JT837" s="1035"/>
      <c r="JU837" s="1035"/>
      <c r="JV837" s="1035"/>
      <c r="JW837" s="1035"/>
      <c r="JX837" s="1035"/>
      <c r="JY837" s="1035"/>
      <c r="LV837" s="967"/>
    </row>
    <row r="838" outlineLevel="1" spans="1:334">
      <c r="A838" s="1025" t="s">
        <v>70</v>
      </c>
      <c r="AX838" s="1059"/>
      <c r="BE838" s="1060"/>
      <c r="BN838" s="1059"/>
      <c r="BU838" s="1060"/>
      <c r="BV838" s="1059"/>
      <c r="CC838" s="1060"/>
      <c r="CD838" s="1059"/>
      <c r="CJ838" s="1061"/>
      <c r="CK838" s="1060"/>
      <c r="CL838" s="1059"/>
      <c r="CS838" s="1060"/>
      <c r="CT838" s="1025"/>
      <c r="CU838" s="1025"/>
      <c r="CV838" s="1025"/>
      <c r="CW838" s="1025"/>
      <c r="CX838" s="1025"/>
      <c r="CY838" s="1025"/>
      <c r="CZ838" s="1025"/>
      <c r="DA838" s="1025"/>
      <c r="DB838" s="1071"/>
      <c r="DC838" s="1071"/>
      <c r="DD838" s="1071"/>
      <c r="DE838" s="1071"/>
      <c r="DF838" s="1071"/>
      <c r="DG838" s="1071"/>
      <c r="DH838" s="1071"/>
      <c r="DI838" s="1072"/>
      <c r="DJ838" s="1071"/>
      <c r="DK838" s="1071"/>
      <c r="DL838" s="1071"/>
      <c r="DM838" s="1071"/>
      <c r="DN838" s="1071"/>
      <c r="DO838" s="1071"/>
      <c r="DP838" s="1071"/>
      <c r="DQ838" s="1072"/>
      <c r="DR838" s="1071"/>
      <c r="DS838" s="1071"/>
      <c r="DT838" s="1071"/>
      <c r="DU838" s="1071"/>
      <c r="DV838" s="1071"/>
      <c r="DW838" s="1071"/>
      <c r="DX838" s="1071"/>
      <c r="DY838" s="1072"/>
      <c r="DZ838" s="1071"/>
      <c r="EA838" s="1071"/>
      <c r="EB838" s="1071"/>
      <c r="EC838" s="1071"/>
      <c r="ED838" s="1071"/>
      <c r="EE838" s="1071"/>
      <c r="EF838" s="1071"/>
      <c r="EG838" s="1072"/>
      <c r="EH838" s="1071"/>
      <c r="EI838" s="1071"/>
      <c r="EJ838" s="1071"/>
      <c r="EK838" s="1071"/>
      <c r="EL838" s="1071"/>
      <c r="EM838" s="1071"/>
      <c r="EN838" s="1071"/>
      <c r="EO838" s="1072"/>
      <c r="EP838" s="1071"/>
      <c r="EQ838" s="1071"/>
      <c r="ER838" s="1071"/>
      <c r="ES838" s="1071"/>
      <c r="ET838" s="1071"/>
      <c r="EU838" s="1071"/>
      <c r="EV838" s="1071"/>
      <c r="EW838" s="1072"/>
      <c r="EX838" s="1076"/>
      <c r="EY838" s="1071"/>
      <c r="EZ838" s="1071"/>
      <c r="FA838" s="1071"/>
      <c r="FB838" s="1071"/>
      <c r="FC838" s="1071"/>
      <c r="FD838" s="1071"/>
      <c r="FE838" s="1072"/>
      <c r="FF838" s="1071"/>
      <c r="FG838" s="1071"/>
      <c r="FH838" s="1071"/>
      <c r="FI838" s="1071"/>
      <c r="FJ838" s="1071"/>
      <c r="FK838" s="1071"/>
      <c r="FL838" s="1071"/>
      <c r="FM838" s="1072"/>
      <c r="FN838" s="1071"/>
      <c r="FO838" s="1071"/>
      <c r="FP838" s="1071"/>
      <c r="FQ838" s="1071"/>
      <c r="FR838" s="1071"/>
      <c r="FS838" s="1071"/>
      <c r="FT838" s="1071"/>
      <c r="FU838" s="1071"/>
      <c r="FV838" s="1177"/>
      <c r="FW838" s="1071"/>
      <c r="FX838" s="1071"/>
      <c r="FY838" s="1071"/>
      <c r="FZ838" s="1071"/>
      <c r="GA838" s="1071"/>
      <c r="GB838" s="1071"/>
      <c r="GC838" s="1072"/>
      <c r="GD838" s="1071"/>
      <c r="GE838" s="1071"/>
      <c r="GF838" s="1071"/>
      <c r="GG838" s="1071"/>
      <c r="GH838" s="1071"/>
      <c r="GI838" s="1071"/>
      <c r="GJ838" s="1071"/>
      <c r="GK838" s="1072"/>
      <c r="GL838" s="1071"/>
      <c r="GM838" s="1071"/>
      <c r="GN838" s="1071"/>
      <c r="GO838" s="1071"/>
      <c r="GP838" s="1071"/>
      <c r="GQ838" s="1071"/>
      <c r="GR838" s="1071"/>
      <c r="GS838" s="1072"/>
      <c r="GT838" s="1071"/>
      <c r="GU838" s="1071"/>
      <c r="GV838" s="1071"/>
      <c r="GW838" s="1071"/>
      <c r="GX838" s="1071"/>
      <c r="GY838" s="1071"/>
      <c r="GZ838" s="1071"/>
      <c r="HA838" s="1072"/>
      <c r="HB838" s="1071"/>
      <c r="HC838" s="1071"/>
      <c r="HD838" s="1071"/>
      <c r="HE838" s="1071"/>
      <c r="HF838" s="1071"/>
      <c r="HG838" s="1071"/>
      <c r="HH838" s="1071"/>
      <c r="HI838" s="1072"/>
      <c r="HJ838" s="1071"/>
      <c r="HK838" s="1071"/>
      <c r="HL838" s="1071"/>
      <c r="HM838" s="1071"/>
      <c r="HN838" s="1071"/>
      <c r="HO838" s="1071"/>
      <c r="HP838" s="1071"/>
      <c r="HQ838" s="1072"/>
      <c r="HR838" s="1071"/>
      <c r="HS838" s="1071"/>
      <c r="HT838" s="1071"/>
      <c r="HU838" s="1071"/>
      <c r="HV838" s="1071"/>
      <c r="HW838" s="1071"/>
      <c r="HX838" s="1071"/>
      <c r="HY838" s="1071"/>
      <c r="HZ838" s="1071"/>
      <c r="IA838" s="1071"/>
      <c r="IB838" s="1071"/>
      <c r="IC838" s="1071"/>
      <c r="ID838" s="1071"/>
      <c r="IE838" s="1071"/>
      <c r="IF838" s="1071"/>
      <c r="IG838" s="1072"/>
      <c r="IH838" s="1071"/>
      <c r="II838" s="1071"/>
      <c r="IJ838" s="1071"/>
      <c r="IK838" s="1071"/>
      <c r="IL838" s="1071"/>
      <c r="IM838" s="1071"/>
      <c r="IN838" s="1071"/>
      <c r="IO838" s="1072"/>
      <c r="IP838" s="1071"/>
      <c r="IQ838" s="1071"/>
      <c r="IR838" s="1071"/>
      <c r="IS838" s="1071"/>
      <c r="IT838" s="1071"/>
      <c r="IU838" s="1071"/>
      <c r="IV838" s="1071"/>
      <c r="IW838" s="1071"/>
      <c r="IX838" s="1049"/>
      <c r="IY838" s="1049"/>
      <c r="IZ838" s="1049"/>
      <c r="JA838" s="1049"/>
      <c r="JB838" s="1049"/>
      <c r="JC838" s="1049"/>
      <c r="JD838" s="1041"/>
      <c r="JE838" s="1037"/>
      <c r="JF838" s="1037"/>
      <c r="JG838" s="1037"/>
      <c r="JH838" s="1037"/>
      <c r="JI838" s="1035"/>
      <c r="JJ838" s="1035"/>
      <c r="JK838" s="1035"/>
      <c r="JL838" s="1035"/>
      <c r="JM838" s="1035"/>
      <c r="JN838" s="1035"/>
      <c r="JO838" s="1035"/>
      <c r="JP838" s="1035"/>
      <c r="JQ838" s="1035"/>
      <c r="JR838" s="1035"/>
      <c r="JS838" s="1035"/>
      <c r="JT838" s="1035"/>
      <c r="JU838" s="1035"/>
      <c r="JV838" s="1035"/>
      <c r="JW838" s="1035"/>
      <c r="JX838" s="1035"/>
      <c r="JY838" s="1035"/>
      <c r="LV838" s="967"/>
    </row>
    <row r="839" s="969" customFormat="1" outlineLevel="1" spans="1:334">
      <c r="A839" s="1180" t="s">
        <v>91</v>
      </c>
      <c r="B839" s="1057"/>
      <c r="C839" s="1057"/>
      <c r="D839" s="1057"/>
      <c r="E839" s="1057"/>
      <c r="F839" s="1057"/>
      <c r="G839" s="1057"/>
      <c r="H839" s="1057"/>
      <c r="I839" s="1057"/>
      <c r="J839" s="1057"/>
      <c r="K839" s="1057"/>
      <c r="L839" s="1057"/>
      <c r="M839" s="1057"/>
      <c r="N839" s="1057"/>
      <c r="O839" s="1057"/>
      <c r="P839" s="1057"/>
      <c r="Q839" s="1057"/>
      <c r="R839" s="1057"/>
      <c r="S839" s="1057"/>
      <c r="T839" s="1057"/>
      <c r="U839" s="1057"/>
      <c r="V839" s="1057"/>
      <c r="W839" s="1057"/>
      <c r="X839" s="1057"/>
      <c r="Y839" s="1057"/>
      <c r="Z839" s="1057"/>
      <c r="AA839" s="1057"/>
      <c r="AB839" s="1057"/>
      <c r="AC839" s="1057"/>
      <c r="AD839" s="1057"/>
      <c r="AE839" s="1057"/>
      <c r="AF839" s="1057"/>
      <c r="AG839" s="1057"/>
      <c r="AH839" s="1057"/>
      <c r="AI839" s="1057"/>
      <c r="AJ839" s="1057"/>
      <c r="AK839" s="1057"/>
      <c r="AL839" s="1057"/>
      <c r="AM839" s="1057"/>
      <c r="AN839" s="1057"/>
      <c r="AO839" s="1057"/>
      <c r="AP839" s="1057"/>
      <c r="AQ839" s="1057"/>
      <c r="AR839" s="1057"/>
      <c r="AS839" s="1057"/>
      <c r="AT839" s="1057"/>
      <c r="AU839" s="1057"/>
      <c r="AV839" s="1057"/>
      <c r="AW839" s="1057"/>
      <c r="AX839" s="1153"/>
      <c r="AY839" s="1057"/>
      <c r="AZ839" s="1057"/>
      <c r="BA839" s="1057"/>
      <c r="BB839" s="1057"/>
      <c r="BC839" s="1057"/>
      <c r="BD839" s="1057"/>
      <c r="BE839" s="1154"/>
      <c r="BF839" s="1057"/>
      <c r="BG839" s="1057"/>
      <c r="BH839" s="1057"/>
      <c r="BI839" s="1057"/>
      <c r="BJ839" s="1057"/>
      <c r="BK839" s="1057"/>
      <c r="BL839" s="1057"/>
      <c r="BM839" s="1057"/>
      <c r="BN839" s="1153"/>
      <c r="BO839" s="1057"/>
      <c r="BP839" s="1057"/>
      <c r="BQ839" s="1057"/>
      <c r="BR839" s="1057"/>
      <c r="BS839" s="1057"/>
      <c r="BT839" s="1057"/>
      <c r="BU839" s="1154"/>
      <c r="BV839" s="1153"/>
      <c r="BW839" s="1057"/>
      <c r="BX839" s="1057"/>
      <c r="BY839" s="1057"/>
      <c r="BZ839" s="1057"/>
      <c r="CA839" s="1057"/>
      <c r="CB839" s="1057"/>
      <c r="CC839" s="1154"/>
      <c r="CD839" s="1153"/>
      <c r="CE839" s="1057"/>
      <c r="CF839" s="1057"/>
      <c r="CG839" s="1057"/>
      <c r="CH839" s="1057"/>
      <c r="CI839" s="1057"/>
      <c r="CJ839" s="1155"/>
      <c r="CK839" s="1154"/>
      <c r="CL839" s="1153"/>
      <c r="CM839" s="1057"/>
      <c r="CN839" s="1057"/>
      <c r="CO839" s="1057"/>
      <c r="CP839" s="1057"/>
      <c r="CQ839" s="1057"/>
      <c r="CR839" s="1057"/>
      <c r="CS839" s="1154"/>
      <c r="CT839" s="1180"/>
      <c r="CU839" s="1180"/>
      <c r="CV839" s="1180"/>
      <c r="CW839" s="1180"/>
      <c r="CX839" s="1180"/>
      <c r="CY839" s="1180"/>
      <c r="CZ839" s="1180"/>
      <c r="DA839" s="1180"/>
      <c r="DB839" s="1071">
        <v>191</v>
      </c>
      <c r="DC839" s="1071">
        <v>226</v>
      </c>
      <c r="DD839" s="1071">
        <f>DB839+DC839</f>
        <v>417</v>
      </c>
      <c r="DE839" s="1071">
        <v>197</v>
      </c>
      <c r="DF839" s="1071">
        <f>DD839+DE839</f>
        <v>614</v>
      </c>
      <c r="DG839" s="1071">
        <v>198</v>
      </c>
      <c r="DH839" s="1071">
        <f>DE839+DG839</f>
        <v>395</v>
      </c>
      <c r="DI839" s="1072" t="e">
        <f>'Profit and Loss'!#REF!</f>
        <v>#REF!</v>
      </c>
      <c r="DJ839" s="1071">
        <v>194</v>
      </c>
      <c r="DK839" s="1071">
        <v>255</v>
      </c>
      <c r="DL839" s="1071">
        <f>DJ839+DK839</f>
        <v>449</v>
      </c>
      <c r="DM839" s="1071">
        <v>184</v>
      </c>
      <c r="DN839" s="1071">
        <f>DL839+DM839</f>
        <v>633</v>
      </c>
      <c r="DO839" s="1071">
        <v>198</v>
      </c>
      <c r="DP839" s="1071">
        <f>DO839+DM839</f>
        <v>382</v>
      </c>
      <c r="DQ839" s="1072" t="e">
        <f>'Profit and Loss'!#REF!</f>
        <v>#REF!</v>
      </c>
      <c r="DR839" s="1071">
        <v>223</v>
      </c>
      <c r="DS839" s="1071">
        <f>DT839-DR839</f>
        <v>269</v>
      </c>
      <c r="DT839" s="1071">
        <v>492</v>
      </c>
      <c r="DU839" s="1071">
        <f>DV839-DT839</f>
        <v>221</v>
      </c>
      <c r="DV839" s="1071">
        <v>713</v>
      </c>
      <c r="DW839" s="1071" t="e">
        <f>DY839-DV839</f>
        <v>#REF!</v>
      </c>
      <c r="DX839" s="1071" t="e">
        <f>DY839-DT839</f>
        <v>#REF!</v>
      </c>
      <c r="DY839" s="1072" t="e">
        <f>'Profit and Loss'!#REF!</f>
        <v>#REF!</v>
      </c>
      <c r="DZ839" s="1071">
        <v>281</v>
      </c>
      <c r="EA839" s="1071">
        <f>+EB839-DZ839</f>
        <v>289</v>
      </c>
      <c r="EB839" s="1071">
        <v>570</v>
      </c>
      <c r="EC839" s="1071">
        <f>+ED839-EB839</f>
        <v>244</v>
      </c>
      <c r="ED839" s="1071">
        <v>814</v>
      </c>
      <c r="EE839" s="1071">
        <f>+EF839-EC839</f>
        <v>230</v>
      </c>
      <c r="EF839" s="1071">
        <f>+EG839-EB839</f>
        <v>474</v>
      </c>
      <c r="EG839" s="1072">
        <v>1044</v>
      </c>
      <c r="EH839" s="1071">
        <v>387</v>
      </c>
      <c r="EI839" s="1071">
        <f>+EJ839-EH839</f>
        <v>401</v>
      </c>
      <c r="EJ839" s="1071">
        <v>788</v>
      </c>
      <c r="EK839" s="1071">
        <f>EL839-EJ839</f>
        <v>283</v>
      </c>
      <c r="EL839" s="1071">
        <v>1071</v>
      </c>
      <c r="EM839" s="1071">
        <f>EN839-EK839</f>
        <v>273</v>
      </c>
      <c r="EN839" s="1071">
        <f>EO839-EJ839</f>
        <v>556</v>
      </c>
      <c r="EO839" s="1072">
        <v>1344</v>
      </c>
      <c r="EP839" s="1071">
        <v>423</v>
      </c>
      <c r="EQ839" s="1071">
        <f>ER839-EP839</f>
        <v>348</v>
      </c>
      <c r="ER839" s="1071">
        <v>771</v>
      </c>
      <c r="ES839" s="1071">
        <f>ET839-ER839</f>
        <v>210</v>
      </c>
      <c r="ET839" s="1071">
        <v>981</v>
      </c>
      <c r="EU839" s="1071">
        <f>EV839-ES839</f>
        <v>304</v>
      </c>
      <c r="EV839" s="1071">
        <f>EW839-ER839</f>
        <v>514</v>
      </c>
      <c r="EW839" s="1072">
        <v>1285</v>
      </c>
      <c r="EX839" s="1076">
        <v>264</v>
      </c>
      <c r="EY839" s="1071">
        <f>EZ839-EX839</f>
        <v>271</v>
      </c>
      <c r="EZ839" s="1071">
        <v>535</v>
      </c>
      <c r="FA839" s="1071">
        <f>FB839-EZ839</f>
        <v>138</v>
      </c>
      <c r="FB839" s="1071">
        <v>673</v>
      </c>
      <c r="FC839" s="1071"/>
      <c r="FD839" s="1071"/>
      <c r="FE839" s="1072"/>
      <c r="FF839" s="1071"/>
      <c r="FG839" s="1071"/>
      <c r="FH839" s="1071"/>
      <c r="FI839" s="1071"/>
      <c r="FJ839" s="1071"/>
      <c r="FK839" s="1071"/>
      <c r="FL839" s="1071"/>
      <c r="FM839" s="1072"/>
      <c r="FN839" s="1071"/>
      <c r="FO839" s="1071"/>
      <c r="FP839" s="1071"/>
      <c r="FQ839" s="1071"/>
      <c r="FR839" s="1071"/>
      <c r="FS839" s="1071"/>
      <c r="FT839" s="1071"/>
      <c r="FU839" s="1071"/>
      <c r="FV839" s="1177"/>
      <c r="FW839" s="1071"/>
      <c r="FX839" s="1071"/>
      <c r="FY839" s="1071"/>
      <c r="FZ839" s="1071"/>
      <c r="GA839" s="1071"/>
      <c r="GB839" s="1071"/>
      <c r="GC839" s="1072"/>
      <c r="GD839" s="1071"/>
      <c r="GE839" s="1071"/>
      <c r="GF839" s="1071"/>
      <c r="GG839" s="1071"/>
      <c r="GH839" s="1071"/>
      <c r="GI839" s="1071"/>
      <c r="GJ839" s="1071"/>
      <c r="GK839" s="1072"/>
      <c r="GL839" s="1071"/>
      <c r="GM839" s="1071"/>
      <c r="GN839" s="1071"/>
      <c r="GO839" s="1071"/>
      <c r="GP839" s="1071"/>
      <c r="GQ839" s="1071"/>
      <c r="GR839" s="1071"/>
      <c r="GS839" s="1072"/>
      <c r="GT839" s="1071"/>
      <c r="GU839" s="1071"/>
      <c r="GV839" s="1071"/>
      <c r="GW839" s="1071"/>
      <c r="GX839" s="1071"/>
      <c r="GY839" s="1071"/>
      <c r="GZ839" s="1071"/>
      <c r="HA839" s="1072"/>
      <c r="HB839" s="1071"/>
      <c r="HC839" s="1071"/>
      <c r="HD839" s="1071"/>
      <c r="HE839" s="1071"/>
      <c r="HF839" s="1071"/>
      <c r="HG839" s="1071"/>
      <c r="HH839" s="1071"/>
      <c r="HI839" s="1072"/>
      <c r="HJ839" s="1071"/>
      <c r="HK839" s="1071"/>
      <c r="HL839" s="1071"/>
      <c r="HM839" s="1071"/>
      <c r="HN839" s="1071"/>
      <c r="HO839" s="1071"/>
      <c r="HP839" s="1071"/>
      <c r="HQ839" s="1072"/>
      <c r="HR839" s="1071"/>
      <c r="HS839" s="1071"/>
      <c r="HT839" s="1071"/>
      <c r="HU839" s="1071"/>
      <c r="HV839" s="1071"/>
      <c r="HW839" s="1071"/>
      <c r="HX839" s="1071"/>
      <c r="HY839" s="1071"/>
      <c r="HZ839" s="1071"/>
      <c r="IA839" s="1071"/>
      <c r="IB839" s="1071"/>
      <c r="IC839" s="1071"/>
      <c r="ID839" s="1071"/>
      <c r="IE839" s="1071"/>
      <c r="IF839" s="1071"/>
      <c r="IG839" s="1072"/>
      <c r="IH839" s="1071"/>
      <c r="II839" s="1071"/>
      <c r="IJ839" s="1071"/>
      <c r="IK839" s="1071"/>
      <c r="IL839" s="1071"/>
      <c r="IM839" s="1071"/>
      <c r="IN839" s="1071"/>
      <c r="IO839" s="1072"/>
      <c r="IP839" s="1071"/>
      <c r="IQ839" s="1071"/>
      <c r="IR839" s="1071"/>
      <c r="IS839" s="1071"/>
      <c r="IT839" s="1071"/>
      <c r="IU839" s="1071"/>
      <c r="IV839" s="1071"/>
      <c r="IW839" s="1071"/>
      <c r="IX839" s="1049"/>
      <c r="IY839" s="1049"/>
      <c r="IZ839" s="1049"/>
      <c r="JA839" s="1049"/>
      <c r="JB839" s="1049"/>
      <c r="JC839" s="1049"/>
      <c r="JD839" s="1103"/>
      <c r="JE839" s="1079"/>
      <c r="JF839" s="1079"/>
      <c r="JG839" s="1079"/>
      <c r="JH839" s="1079"/>
      <c r="LV839" s="1180"/>
    </row>
    <row r="840" outlineLevel="1" spans="1:334">
      <c r="A840" s="967" t="s">
        <v>61</v>
      </c>
      <c r="AX840" s="1059"/>
      <c r="BE840" s="1060"/>
      <c r="BN840" s="1059"/>
      <c r="BU840" s="1060"/>
      <c r="BV840" s="1059"/>
      <c r="CC840" s="1060"/>
      <c r="CD840" s="1059"/>
      <c r="CJ840" s="1061"/>
      <c r="CK840" s="1060"/>
      <c r="CL840" s="1059"/>
      <c r="CS840" s="1060"/>
      <c r="CT840" s="967"/>
      <c r="CU840" s="967"/>
      <c r="CV840" s="967"/>
      <c r="CW840" s="967"/>
      <c r="CX840" s="967"/>
      <c r="CY840" s="967"/>
      <c r="CZ840" s="967"/>
      <c r="DA840" s="967"/>
      <c r="DJ840" s="1080">
        <f t="shared" ref="DJ840:DQ840" si="4641">DJ839/DB839-1</f>
        <v>0.0157068062827226</v>
      </c>
      <c r="DK840" s="1080">
        <f t="shared" si="4641"/>
        <v>0.128318584070797</v>
      </c>
      <c r="DL840" s="1080">
        <f t="shared" si="4641"/>
        <v>0.0767386091127098</v>
      </c>
      <c r="DM840" s="1080">
        <f t="shared" si="4641"/>
        <v>-0.065989847715736</v>
      </c>
      <c r="DN840" s="1080">
        <f t="shared" si="4641"/>
        <v>0.0309446254071661</v>
      </c>
      <c r="DO840" s="1080">
        <f t="shared" si="4641"/>
        <v>0</v>
      </c>
      <c r="DP840" s="1080">
        <f t="shared" si="4641"/>
        <v>-0.0329113924050632</v>
      </c>
      <c r="DQ840" s="1081" t="e">
        <f t="shared" si="4641"/>
        <v>#REF!</v>
      </c>
      <c r="DR840" s="1080">
        <f t="shared" ref="DR840:EG840" si="4642">DR839/DJ839-1</f>
        <v>0.149484536082474</v>
      </c>
      <c r="DS840" s="1080">
        <f t="shared" si="4642"/>
        <v>0.0549019607843138</v>
      </c>
      <c r="DT840" s="1080">
        <f t="shared" si="4642"/>
        <v>0.0957683741648108</v>
      </c>
      <c r="DU840" s="1080">
        <f t="shared" si="4642"/>
        <v>0.201086956521739</v>
      </c>
      <c r="DV840" s="1080">
        <f t="shared" si="4642"/>
        <v>0.126382306477093</v>
      </c>
      <c r="DW840" s="1080" t="e">
        <f t="shared" si="4642"/>
        <v>#REF!</v>
      </c>
      <c r="DX840" s="1080" t="e">
        <f t="shared" si="4642"/>
        <v>#REF!</v>
      </c>
      <c r="DY840" s="1081" t="e">
        <f t="shared" si="4642"/>
        <v>#REF!</v>
      </c>
      <c r="DZ840" s="1080">
        <f t="shared" si="4642"/>
        <v>0.260089686098655</v>
      </c>
      <c r="EA840" s="1080">
        <f t="shared" si="4642"/>
        <v>0.0743494423791822</v>
      </c>
      <c r="EB840" s="1080">
        <f t="shared" si="4642"/>
        <v>0.158536585365854</v>
      </c>
      <c r="EC840" s="1080">
        <f t="shared" si="4642"/>
        <v>0.104072398190045</v>
      </c>
      <c r="ED840" s="1080">
        <f t="shared" si="4642"/>
        <v>0.141654978962132</v>
      </c>
      <c r="EE840" s="1082" t="e">
        <f t="shared" si="4642"/>
        <v>#REF!</v>
      </c>
      <c r="EF840" s="1082" t="e">
        <f t="shared" si="4642"/>
        <v>#REF!</v>
      </c>
      <c r="EG840" s="1081" t="e">
        <f t="shared" si="4642"/>
        <v>#REF!</v>
      </c>
      <c r="EH840" s="1080">
        <f t="shared" ref="EH840:EP840" si="4643">EH839/DZ839-1</f>
        <v>0.377224199288256</v>
      </c>
      <c r="EI840" s="1080">
        <f t="shared" si="4643"/>
        <v>0.387543252595156</v>
      </c>
      <c r="EJ840" s="1080">
        <f t="shared" si="4643"/>
        <v>0.382456140350877</v>
      </c>
      <c r="EK840" s="1080">
        <f t="shared" si="4643"/>
        <v>0.159836065573771</v>
      </c>
      <c r="EL840" s="1080">
        <f t="shared" si="4643"/>
        <v>0.315724815724816</v>
      </c>
      <c r="EM840" s="1080">
        <f t="shared" si="4643"/>
        <v>0.18695652173913</v>
      </c>
      <c r="EN840" s="1080">
        <f t="shared" si="4643"/>
        <v>0.172995780590717</v>
      </c>
      <c r="EO840" s="1081">
        <f t="shared" si="4643"/>
        <v>0.28735632183908</v>
      </c>
      <c r="EP840" s="1080">
        <f t="shared" si="4643"/>
        <v>0.0930232558139534</v>
      </c>
      <c r="EQ840" s="1080">
        <f t="shared" ref="EQ840:FB840" si="4644">EQ839/EI839-1</f>
        <v>-0.13216957605985</v>
      </c>
      <c r="ER840" s="1080">
        <f t="shared" si="4644"/>
        <v>-0.0215736040609137</v>
      </c>
      <c r="ES840" s="1080">
        <f t="shared" si="4644"/>
        <v>-0.257950530035336</v>
      </c>
      <c r="ET840" s="1080">
        <f t="shared" si="4644"/>
        <v>-0.0840336134453782</v>
      </c>
      <c r="EU840" s="1080">
        <f t="shared" si="4644"/>
        <v>0.113553113553114</v>
      </c>
      <c r="EV840" s="1080">
        <f t="shared" si="4644"/>
        <v>-0.0755395683453237</v>
      </c>
      <c r="EW840" s="1081">
        <f t="shared" si="4644"/>
        <v>-0.0438988095238095</v>
      </c>
      <c r="EX840" s="1218">
        <f t="shared" si="4644"/>
        <v>-0.375886524822695</v>
      </c>
      <c r="EY840" s="1080">
        <f t="shared" si="4644"/>
        <v>-0.221264367816092</v>
      </c>
      <c r="EZ840" s="1080">
        <f t="shared" si="4644"/>
        <v>-0.30609597924773</v>
      </c>
      <c r="FA840" s="1080">
        <f t="shared" si="4644"/>
        <v>-0.342857142857143</v>
      </c>
      <c r="FB840" s="1080">
        <f t="shared" si="4644"/>
        <v>-0.313965341488277</v>
      </c>
      <c r="FC840" s="1080"/>
      <c r="FD840" s="1080"/>
      <c r="FE840" s="1081"/>
      <c r="FF840" s="1080"/>
      <c r="FG840" s="1080"/>
      <c r="FH840" s="1080"/>
      <c r="FI840" s="1080"/>
      <c r="FJ840" s="1080"/>
      <c r="FK840" s="1080"/>
      <c r="FL840" s="1080"/>
      <c r="FM840" s="1081"/>
      <c r="FN840" s="1080"/>
      <c r="FO840" s="1080"/>
      <c r="FP840" s="1080"/>
      <c r="FQ840" s="1080"/>
      <c r="FR840" s="1080"/>
      <c r="FS840" s="1080"/>
      <c r="FT840" s="1080"/>
      <c r="FU840" s="1080"/>
      <c r="FV840" s="1150"/>
      <c r="FW840" s="1080"/>
      <c r="FX840" s="1080"/>
      <c r="FY840" s="1080"/>
      <c r="FZ840" s="1080"/>
      <c r="GA840" s="1080"/>
      <c r="GB840" s="1080"/>
      <c r="GC840" s="1081"/>
      <c r="GD840" s="1080"/>
      <c r="GE840" s="1080"/>
      <c r="GF840" s="1080"/>
      <c r="GG840" s="1080"/>
      <c r="GH840" s="1080"/>
      <c r="GI840" s="1080"/>
      <c r="GJ840" s="1080"/>
      <c r="GK840" s="1081"/>
      <c r="GL840" s="1080"/>
      <c r="GM840" s="1080"/>
      <c r="GN840" s="1080"/>
      <c r="GO840" s="1080"/>
      <c r="GP840" s="1080"/>
      <c r="GQ840" s="1080"/>
      <c r="GR840" s="1080"/>
      <c r="GS840" s="1081"/>
      <c r="GT840" s="1080"/>
      <c r="GU840" s="1080"/>
      <c r="GV840" s="1080"/>
      <c r="GW840" s="1080"/>
      <c r="GX840" s="1080"/>
      <c r="GY840" s="1080"/>
      <c r="GZ840" s="1080"/>
      <c r="HA840" s="1081"/>
      <c r="HB840" s="1080"/>
      <c r="HC840" s="1080"/>
      <c r="HD840" s="1080"/>
      <c r="HE840" s="1080"/>
      <c r="HF840" s="1080"/>
      <c r="HG840" s="1080"/>
      <c r="HH840" s="1080"/>
      <c r="HI840" s="1081"/>
      <c r="HJ840" s="1080"/>
      <c r="HK840" s="1080"/>
      <c r="HL840" s="1080"/>
      <c r="HM840" s="1080"/>
      <c r="HN840" s="1080"/>
      <c r="HO840" s="1080"/>
      <c r="HP840" s="1080"/>
      <c r="HQ840" s="1081"/>
      <c r="HR840" s="1080"/>
      <c r="HS840" s="1080"/>
      <c r="HT840" s="1080"/>
      <c r="HU840" s="1080"/>
      <c r="HV840" s="1080"/>
      <c r="HW840" s="1080"/>
      <c r="HX840" s="1080"/>
      <c r="HY840" s="1080"/>
      <c r="HZ840" s="1080"/>
      <c r="IA840" s="1080"/>
      <c r="IB840" s="1080"/>
      <c r="IC840" s="1080"/>
      <c r="ID840" s="1080"/>
      <c r="IE840" s="1080"/>
      <c r="IF840" s="1080"/>
      <c r="IG840" s="1081"/>
      <c r="IH840" s="1080"/>
      <c r="II840" s="1080"/>
      <c r="IJ840" s="1080"/>
      <c r="IK840" s="1080"/>
      <c r="IL840" s="1080"/>
      <c r="IM840" s="1080"/>
      <c r="IN840" s="1080"/>
      <c r="IO840" s="1081"/>
      <c r="IP840" s="1080"/>
      <c r="IQ840" s="1080"/>
      <c r="IR840" s="1080"/>
      <c r="IS840" s="1080"/>
      <c r="IT840" s="1080"/>
      <c r="IU840" s="1080"/>
      <c r="IV840" s="1080"/>
      <c r="IW840" s="1080"/>
      <c r="IX840" s="1049"/>
      <c r="IY840" s="1049"/>
      <c r="IZ840" s="1049"/>
      <c r="JA840" s="1049"/>
      <c r="JB840" s="1049"/>
      <c r="JC840" s="1049"/>
      <c r="JD840" s="1041"/>
      <c r="JE840" s="1037"/>
      <c r="JF840" s="1037"/>
      <c r="JG840" s="1037"/>
      <c r="JH840" s="1037"/>
      <c r="JI840" s="1035"/>
      <c r="JJ840" s="1035"/>
      <c r="JK840" s="1035"/>
      <c r="JL840" s="1035"/>
      <c r="JM840" s="1035"/>
      <c r="JN840" s="1035"/>
      <c r="JO840" s="1035"/>
      <c r="JP840" s="1035"/>
      <c r="JQ840" s="1035"/>
      <c r="JR840" s="1035"/>
      <c r="JS840" s="1035"/>
      <c r="JT840" s="1035"/>
      <c r="JU840" s="1035"/>
      <c r="JV840" s="1035"/>
      <c r="JW840" s="1035"/>
      <c r="JX840" s="1035"/>
      <c r="JY840" s="1035"/>
      <c r="LV840" s="967"/>
    </row>
    <row r="841" outlineLevel="1" spans="1:334">
      <c r="A841" s="967" t="s">
        <v>65</v>
      </c>
      <c r="AX841" s="1059"/>
      <c r="BE841" s="1060"/>
      <c r="BN841" s="1059"/>
      <c r="BU841" s="1060"/>
      <c r="BV841" s="1059"/>
      <c r="CC841" s="1060"/>
      <c r="CD841" s="1059"/>
      <c r="CJ841" s="1061"/>
      <c r="CK841" s="1060"/>
      <c r="CL841" s="1059"/>
      <c r="CS841" s="1060"/>
      <c r="CT841" s="967"/>
      <c r="CU841" s="967"/>
      <c r="CV841" s="967"/>
      <c r="CW841" s="967"/>
      <c r="CX841" s="967"/>
      <c r="CY841" s="967"/>
      <c r="CZ841" s="967"/>
      <c r="DA841" s="967"/>
      <c r="DJ841" s="1080">
        <v>-0.06</v>
      </c>
      <c r="DK841" s="1080">
        <v>0.03</v>
      </c>
      <c r="DL841" s="1080">
        <f>(DJ841*DB839+DK841*DC839)/DD839</f>
        <v>-0.0112230215827338</v>
      </c>
      <c r="DM841" s="1080">
        <v>-0.12</v>
      </c>
      <c r="DN841" s="1080">
        <f>(DJ841*DB839+DK841*DC839+DM841*DE839)/DF839</f>
        <v>-0.0461237785016287</v>
      </c>
      <c r="DO841" s="1080">
        <v>0.06</v>
      </c>
      <c r="DP841" s="1080">
        <f>(DM841*DE839+DO841*DG839)/DH839</f>
        <v>-0.0297721518987342</v>
      </c>
      <c r="DQ841" s="1081" t="e">
        <f>'Profit and Loss'!#REF!</f>
        <v>#REF!</v>
      </c>
      <c r="DR841" s="1080">
        <v>0.16</v>
      </c>
      <c r="DS841" s="1080">
        <f>((DT841*DL839)-(DR841*DJ839))/DK839</f>
        <v>-0.016078431372549</v>
      </c>
      <c r="DT841" s="1080">
        <v>0.06</v>
      </c>
      <c r="DU841" s="1080">
        <f>((DV841*DN839)-(DT841*DL839))/DM839</f>
        <v>0.0255978260869565</v>
      </c>
      <c r="DV841" s="1080">
        <v>0.05</v>
      </c>
      <c r="DW841" s="1080" t="e">
        <f>((DX841*DP839)-(DU841*DM839))/DO839</f>
        <v>#REF!</v>
      </c>
      <c r="DX841" s="1080" t="e">
        <f>((DY841*DQ839)-(DT841*DL839))/DP839</f>
        <v>#REF!</v>
      </c>
      <c r="DY841" s="1081" t="e">
        <f>'Profit and Loss'!#REF!</f>
        <v>#REF!</v>
      </c>
      <c r="DZ841" s="1080">
        <v>0.2</v>
      </c>
      <c r="EA841" s="1080"/>
      <c r="EB841" s="1080">
        <v>0.17</v>
      </c>
      <c r="EC841" s="1080"/>
      <c r="ED841" s="1080">
        <v>0.17</v>
      </c>
      <c r="EE841" s="1080"/>
      <c r="EF841" s="1080"/>
      <c r="EG841" s="1081">
        <v>0.16</v>
      </c>
      <c r="EH841" s="1080">
        <v>0.32</v>
      </c>
      <c r="EI841" s="1080"/>
      <c r="EJ841" s="1080">
        <v>0.29</v>
      </c>
      <c r="EK841" s="1080"/>
      <c r="EL841" s="1080">
        <v>0.21</v>
      </c>
      <c r="EM841" s="1080"/>
      <c r="EN841" s="1080"/>
      <c r="EO841" s="1081">
        <v>0.2</v>
      </c>
      <c r="EP841" s="1080">
        <v>0.13</v>
      </c>
      <c r="EQ841" s="1080">
        <f>(EJ839*ER841-EH839*EP841)/EI839</f>
        <v>-0.0861596009975062</v>
      </c>
      <c r="ER841" s="1080">
        <v>0.02</v>
      </c>
      <c r="ES841" s="1080">
        <f>(EL839*ET841-EJ839*ER841)/EK839</f>
        <v>-0.131378091872792</v>
      </c>
      <c r="ET841" s="1080">
        <v>-0.02</v>
      </c>
      <c r="EU841" s="1080">
        <f>(EO839*EW841-EH839*EP841-EI839*EQ841-EK839*ES841)/EM839</f>
        <v>0.226153846153846</v>
      </c>
      <c r="EV841" s="1080">
        <f>(EO839*EW841-EJ839*ER841)/EN839</f>
        <v>0.0441726618705036</v>
      </c>
      <c r="EW841" s="1081">
        <v>0.03</v>
      </c>
      <c r="EX841" s="1218">
        <v>-0.34</v>
      </c>
      <c r="EY841" s="1080">
        <f>(ER839*EZ841-EP839*EX841)/EQ839</f>
        <v>-0.184913793103448</v>
      </c>
      <c r="EZ841" s="1080">
        <v>-0.27</v>
      </c>
      <c r="FA841" s="1080">
        <f>(ET839*FB841-ER839*EZ841)/ES839</f>
        <v>-0.363428571428571</v>
      </c>
      <c r="FB841" s="1080">
        <v>-0.29</v>
      </c>
      <c r="FC841" s="1080"/>
      <c r="FD841" s="1080"/>
      <c r="FE841" s="1081"/>
      <c r="FF841" s="1080"/>
      <c r="FG841" s="1080"/>
      <c r="FH841" s="1080"/>
      <c r="FI841" s="1080"/>
      <c r="FJ841" s="1080"/>
      <c r="FK841" s="1080"/>
      <c r="FL841" s="1080"/>
      <c r="FM841" s="1081"/>
      <c r="FN841" s="1080"/>
      <c r="FO841" s="1080"/>
      <c r="FP841" s="1080"/>
      <c r="FQ841" s="1080"/>
      <c r="FR841" s="1080"/>
      <c r="FS841" s="1080"/>
      <c r="FT841" s="1080"/>
      <c r="FU841" s="1080"/>
      <c r="FV841" s="1150"/>
      <c r="FW841" s="1080"/>
      <c r="FX841" s="1080"/>
      <c r="FY841" s="1080"/>
      <c r="FZ841" s="1080"/>
      <c r="GA841" s="1080"/>
      <c r="GB841" s="1080"/>
      <c r="GC841" s="1081"/>
      <c r="GD841" s="1080"/>
      <c r="GE841" s="1080"/>
      <c r="GF841" s="1080"/>
      <c r="GG841" s="1080"/>
      <c r="GH841" s="1080"/>
      <c r="GI841" s="1080"/>
      <c r="GJ841" s="1080"/>
      <c r="GK841" s="1081"/>
      <c r="GL841" s="1080"/>
      <c r="GM841" s="1080"/>
      <c r="GN841" s="1080"/>
      <c r="GO841" s="1080"/>
      <c r="GP841" s="1080"/>
      <c r="GQ841" s="1080"/>
      <c r="GR841" s="1080"/>
      <c r="GS841" s="1081"/>
      <c r="GT841" s="1080"/>
      <c r="GU841" s="1080"/>
      <c r="GV841" s="1080"/>
      <c r="GW841" s="1080"/>
      <c r="GX841" s="1080"/>
      <c r="GY841" s="1080"/>
      <c r="GZ841" s="1080"/>
      <c r="HA841" s="1081"/>
      <c r="HB841" s="1080"/>
      <c r="HC841" s="1080"/>
      <c r="HD841" s="1080"/>
      <c r="HE841" s="1080"/>
      <c r="HF841" s="1080"/>
      <c r="HG841" s="1080"/>
      <c r="HH841" s="1080"/>
      <c r="HI841" s="1081"/>
      <c r="HJ841" s="1080"/>
      <c r="HK841" s="1080"/>
      <c r="HL841" s="1080"/>
      <c r="HM841" s="1080"/>
      <c r="HN841" s="1080"/>
      <c r="HO841" s="1080"/>
      <c r="HP841" s="1080"/>
      <c r="HQ841" s="1081"/>
      <c r="HR841" s="1080"/>
      <c r="HS841" s="1080"/>
      <c r="HT841" s="1080"/>
      <c r="HU841" s="1080"/>
      <c r="HV841" s="1080"/>
      <c r="HW841" s="1080"/>
      <c r="HX841" s="1080"/>
      <c r="HY841" s="1080"/>
      <c r="HZ841" s="1080"/>
      <c r="IA841" s="1080"/>
      <c r="IB841" s="1080"/>
      <c r="IC841" s="1080"/>
      <c r="ID841" s="1080"/>
      <c r="IE841" s="1080"/>
      <c r="IF841" s="1080"/>
      <c r="IG841" s="1081"/>
      <c r="IH841" s="1080"/>
      <c r="II841" s="1080"/>
      <c r="IJ841" s="1080"/>
      <c r="IK841" s="1080"/>
      <c r="IL841" s="1080"/>
      <c r="IM841" s="1080"/>
      <c r="IN841" s="1080"/>
      <c r="IO841" s="1081"/>
      <c r="IP841" s="1080"/>
      <c r="IQ841" s="1080"/>
      <c r="IR841" s="1080"/>
      <c r="IS841" s="1080"/>
      <c r="IT841" s="1080"/>
      <c r="IU841" s="1080"/>
      <c r="IV841" s="1080"/>
      <c r="IW841" s="1080"/>
      <c r="IX841" s="1049"/>
      <c r="IY841" s="1049"/>
      <c r="IZ841" s="1049"/>
      <c r="JA841" s="1049"/>
      <c r="JB841" s="1049"/>
      <c r="JC841" s="1049"/>
      <c r="JD841" s="1041"/>
      <c r="JE841" s="1037"/>
      <c r="JF841" s="1037"/>
      <c r="JG841" s="1037"/>
      <c r="JH841" s="1037"/>
      <c r="JI841" s="1035"/>
      <c r="JJ841" s="1035"/>
      <c r="JK841" s="1035"/>
      <c r="JL841" s="1035"/>
      <c r="JM841" s="1035"/>
      <c r="JN841" s="1035"/>
      <c r="JO841" s="1035"/>
      <c r="JP841" s="1035"/>
      <c r="JQ841" s="1035"/>
      <c r="JR841" s="1035"/>
      <c r="JS841" s="1035"/>
      <c r="JT841" s="1035"/>
      <c r="JU841" s="1035"/>
      <c r="JV841" s="1035"/>
      <c r="JW841" s="1035"/>
      <c r="JX841" s="1035"/>
      <c r="JY841" s="1035"/>
      <c r="LV841" s="967"/>
    </row>
    <row r="842" s="969" customFormat="1" outlineLevel="1" spans="1:334">
      <c r="A842" s="1180" t="s">
        <v>92</v>
      </c>
      <c r="B842" s="1057"/>
      <c r="C842" s="1057"/>
      <c r="D842" s="1057"/>
      <c r="E842" s="1057"/>
      <c r="F842" s="1057"/>
      <c r="G842" s="1057"/>
      <c r="H842" s="1057"/>
      <c r="I842" s="1057"/>
      <c r="J842" s="1057"/>
      <c r="K842" s="1057"/>
      <c r="L842" s="1057"/>
      <c r="M842" s="1057"/>
      <c r="N842" s="1057"/>
      <c r="O842" s="1057"/>
      <c r="P842" s="1057"/>
      <c r="Q842" s="1057"/>
      <c r="R842" s="1057"/>
      <c r="S842" s="1057"/>
      <c r="T842" s="1057"/>
      <c r="U842" s="1057"/>
      <c r="V842" s="1057"/>
      <c r="W842" s="1057"/>
      <c r="X842" s="1057"/>
      <c r="Y842" s="1057"/>
      <c r="Z842" s="1057"/>
      <c r="AA842" s="1057"/>
      <c r="AB842" s="1057"/>
      <c r="AC842" s="1057"/>
      <c r="AD842" s="1057"/>
      <c r="AE842" s="1057"/>
      <c r="AF842" s="1057"/>
      <c r="AG842" s="1057"/>
      <c r="AH842" s="1057"/>
      <c r="AI842" s="1057"/>
      <c r="AJ842" s="1057"/>
      <c r="AK842" s="1057"/>
      <c r="AL842" s="1057"/>
      <c r="AM842" s="1057"/>
      <c r="AN842" s="1057"/>
      <c r="AO842" s="1057"/>
      <c r="AP842" s="1057"/>
      <c r="AQ842" s="1057"/>
      <c r="AR842" s="1057"/>
      <c r="AS842" s="1057"/>
      <c r="AT842" s="1057"/>
      <c r="AU842" s="1057"/>
      <c r="AV842" s="1057"/>
      <c r="AW842" s="1057"/>
      <c r="AX842" s="1153"/>
      <c r="AY842" s="1057"/>
      <c r="AZ842" s="1057"/>
      <c r="BA842" s="1057"/>
      <c r="BB842" s="1057"/>
      <c r="BC842" s="1057"/>
      <c r="BD842" s="1057"/>
      <c r="BE842" s="1154"/>
      <c r="BF842" s="1057"/>
      <c r="BG842" s="1057"/>
      <c r="BH842" s="1057"/>
      <c r="BI842" s="1057"/>
      <c r="BJ842" s="1057"/>
      <c r="BK842" s="1057"/>
      <c r="BL842" s="1057"/>
      <c r="BM842" s="1057"/>
      <c r="BN842" s="1153"/>
      <c r="BO842" s="1057"/>
      <c r="BP842" s="1057"/>
      <c r="BQ842" s="1057"/>
      <c r="BR842" s="1057"/>
      <c r="BS842" s="1057"/>
      <c r="BT842" s="1057"/>
      <c r="BU842" s="1154"/>
      <c r="BV842" s="1153"/>
      <c r="BW842" s="1057"/>
      <c r="BX842" s="1057"/>
      <c r="BY842" s="1057"/>
      <c r="BZ842" s="1057"/>
      <c r="CA842" s="1057"/>
      <c r="CB842" s="1057"/>
      <c r="CC842" s="1154"/>
      <c r="CD842" s="1153"/>
      <c r="CE842" s="1057"/>
      <c r="CF842" s="1057"/>
      <c r="CG842" s="1057"/>
      <c r="CH842" s="1057"/>
      <c r="CI842" s="1057"/>
      <c r="CJ842" s="1155"/>
      <c r="CK842" s="1154"/>
      <c r="CL842" s="1153"/>
      <c r="CM842" s="1057"/>
      <c r="CN842" s="1057"/>
      <c r="CO842" s="1057"/>
      <c r="CP842" s="1057"/>
      <c r="CQ842" s="1057"/>
      <c r="CR842" s="1057"/>
      <c r="CS842" s="1154"/>
      <c r="CT842" s="1180"/>
      <c r="CU842" s="1180"/>
      <c r="CV842" s="1180"/>
      <c r="CW842" s="1180"/>
      <c r="CX842" s="1180"/>
      <c r="CY842" s="1180"/>
      <c r="CZ842" s="1180"/>
      <c r="DA842" s="1180"/>
      <c r="DB842" s="1071">
        <v>57</v>
      </c>
      <c r="DC842" s="1071">
        <v>56</v>
      </c>
      <c r="DD842" s="1071">
        <f>DB842+DC842</f>
        <v>113</v>
      </c>
      <c r="DE842" s="1071">
        <v>68</v>
      </c>
      <c r="DF842" s="1071">
        <f>DD842+DE842</f>
        <v>181</v>
      </c>
      <c r="DG842" s="1071">
        <v>62</v>
      </c>
      <c r="DH842" s="1071">
        <f>DE842+DG842</f>
        <v>130</v>
      </c>
      <c r="DI842" s="1072" t="e">
        <f>'Profit and Loss'!#REF!</f>
        <v>#REF!</v>
      </c>
      <c r="DJ842" s="1071">
        <v>60</v>
      </c>
      <c r="DK842" s="1071">
        <v>55</v>
      </c>
      <c r="DL842" s="1071">
        <f>DJ842+DK842</f>
        <v>115</v>
      </c>
      <c r="DM842" s="1071">
        <v>63</v>
      </c>
      <c r="DN842" s="1071">
        <f>DL842+DM842</f>
        <v>178</v>
      </c>
      <c r="DO842" s="1071">
        <v>53</v>
      </c>
      <c r="DP842" s="1071">
        <f>DO842+DM842</f>
        <v>116</v>
      </c>
      <c r="DQ842" s="1072" t="e">
        <f>'Profit and Loss'!#REF!</f>
        <v>#REF!</v>
      </c>
      <c r="DR842" s="1071">
        <v>56</v>
      </c>
      <c r="DS842" s="1071">
        <f>DT842-DR842</f>
        <v>58</v>
      </c>
      <c r="DT842" s="1071">
        <v>114</v>
      </c>
      <c r="DU842" s="1071">
        <f>DV842-DT842</f>
        <v>73</v>
      </c>
      <c r="DV842" s="1071">
        <v>187</v>
      </c>
      <c r="DW842" s="1071" t="e">
        <f>DY842-DV842</f>
        <v>#REF!</v>
      </c>
      <c r="DX842" s="1071" t="e">
        <f>DY842-DT842</f>
        <v>#REF!</v>
      </c>
      <c r="DY842" s="1072" t="e">
        <f>'Profit and Loss'!#REF!</f>
        <v>#REF!</v>
      </c>
      <c r="DZ842" s="1071">
        <v>54</v>
      </c>
      <c r="EA842" s="1071">
        <f>+EB842-DZ842</f>
        <v>60</v>
      </c>
      <c r="EB842" s="1071">
        <v>114</v>
      </c>
      <c r="EC842" s="1071">
        <f>+ED842-EB842</f>
        <v>72</v>
      </c>
      <c r="ED842" s="1071">
        <v>186</v>
      </c>
      <c r="EE842" s="1071">
        <f>+EF842-EC842</f>
        <v>75</v>
      </c>
      <c r="EF842" s="1071">
        <f>+EG842-EB842</f>
        <v>147</v>
      </c>
      <c r="EG842" s="1072">
        <v>261</v>
      </c>
      <c r="EH842" s="1071">
        <v>60</v>
      </c>
      <c r="EI842" s="1071">
        <f>+EJ842-EH842</f>
        <v>67</v>
      </c>
      <c r="EJ842" s="1071">
        <v>127</v>
      </c>
      <c r="EK842" s="1071">
        <f>EL842-EJ842</f>
        <v>80</v>
      </c>
      <c r="EL842" s="1071">
        <v>207</v>
      </c>
      <c r="EM842" s="1071">
        <f>EN842-EK842</f>
        <v>78</v>
      </c>
      <c r="EN842" s="1071">
        <f>EO842-EJ842</f>
        <v>158</v>
      </c>
      <c r="EO842" s="1072">
        <v>285</v>
      </c>
      <c r="EP842" s="1071">
        <v>61</v>
      </c>
      <c r="EQ842" s="1071">
        <f>ER842-EP842</f>
        <v>69</v>
      </c>
      <c r="ER842" s="1071">
        <v>130</v>
      </c>
      <c r="ES842" s="1071">
        <f>ET842-ER842</f>
        <v>71</v>
      </c>
      <c r="ET842" s="1071">
        <v>201</v>
      </c>
      <c r="EU842" s="1071">
        <f>EV842-ES842</f>
        <v>88</v>
      </c>
      <c r="EV842" s="1071">
        <f>EW842-ER842</f>
        <v>159</v>
      </c>
      <c r="EW842" s="1072">
        <v>289</v>
      </c>
      <c r="EX842" s="1076">
        <v>53</v>
      </c>
      <c r="EY842" s="1071">
        <f>EZ842-EX842</f>
        <v>65</v>
      </c>
      <c r="EZ842" s="1071">
        <v>118</v>
      </c>
      <c r="FA842" s="1071">
        <f>FB842-EZ842</f>
        <v>74</v>
      </c>
      <c r="FB842" s="1071">
        <v>192</v>
      </c>
      <c r="FC842" s="1071">
        <f>EU842*(1+FC843)</f>
        <v>87.12</v>
      </c>
      <c r="FD842" s="1071"/>
      <c r="FE842" s="1072">
        <f>FB842+FC842</f>
        <v>279.12</v>
      </c>
      <c r="FF842" s="1071"/>
      <c r="FG842" s="1071"/>
      <c r="FH842" s="1071"/>
      <c r="FI842" s="1071"/>
      <c r="FJ842" s="1071"/>
      <c r="FK842" s="1071"/>
      <c r="FL842" s="1071"/>
      <c r="FM842" s="1072"/>
      <c r="FN842" s="1071"/>
      <c r="FO842" s="1071"/>
      <c r="FP842" s="1071"/>
      <c r="FQ842" s="1071"/>
      <c r="FR842" s="1071"/>
      <c r="FS842" s="1071"/>
      <c r="FT842" s="1071"/>
      <c r="FU842" s="1071"/>
      <c r="FV842" s="1177"/>
      <c r="FW842" s="1071"/>
      <c r="FX842" s="1071"/>
      <c r="FY842" s="1071"/>
      <c r="FZ842" s="1071"/>
      <c r="GA842" s="1071"/>
      <c r="GB842" s="1071"/>
      <c r="GC842" s="1072"/>
      <c r="GD842" s="1071"/>
      <c r="GE842" s="1071"/>
      <c r="GF842" s="1071"/>
      <c r="GG842" s="1071"/>
      <c r="GH842" s="1071"/>
      <c r="GI842" s="1071"/>
      <c r="GJ842" s="1071"/>
      <c r="GK842" s="1072"/>
      <c r="GL842" s="1071"/>
      <c r="GM842" s="1071"/>
      <c r="GN842" s="1071"/>
      <c r="GO842" s="1071"/>
      <c r="GP842" s="1071"/>
      <c r="GQ842" s="1071"/>
      <c r="GR842" s="1071"/>
      <c r="GS842" s="1072"/>
      <c r="GT842" s="1071"/>
      <c r="GU842" s="1071"/>
      <c r="GV842" s="1071"/>
      <c r="GW842" s="1071"/>
      <c r="GX842" s="1071"/>
      <c r="GY842" s="1071"/>
      <c r="GZ842" s="1071"/>
      <c r="HA842" s="1072"/>
      <c r="HB842" s="1071"/>
      <c r="HC842" s="1071"/>
      <c r="HD842" s="1071"/>
      <c r="HE842" s="1071"/>
      <c r="HF842" s="1071"/>
      <c r="HG842" s="1071"/>
      <c r="HH842" s="1071"/>
      <c r="HI842" s="1072"/>
      <c r="HJ842" s="1071"/>
      <c r="HK842" s="1071"/>
      <c r="HL842" s="1071"/>
      <c r="HM842" s="1071"/>
      <c r="HN842" s="1071"/>
      <c r="HO842" s="1071"/>
      <c r="HP842" s="1071"/>
      <c r="HQ842" s="1072"/>
      <c r="HR842" s="1071"/>
      <c r="HS842" s="1071"/>
      <c r="HT842" s="1071"/>
      <c r="HU842" s="1071"/>
      <c r="HV842" s="1071"/>
      <c r="HW842" s="1071"/>
      <c r="HX842" s="1071"/>
      <c r="HY842" s="1071"/>
      <c r="HZ842" s="1071"/>
      <c r="IA842" s="1071"/>
      <c r="IB842" s="1071"/>
      <c r="IC842" s="1071"/>
      <c r="ID842" s="1071"/>
      <c r="IE842" s="1071"/>
      <c r="IF842" s="1071"/>
      <c r="IG842" s="1072"/>
      <c r="IH842" s="1071"/>
      <c r="II842" s="1071"/>
      <c r="IJ842" s="1071"/>
      <c r="IK842" s="1071"/>
      <c r="IL842" s="1071"/>
      <c r="IM842" s="1071"/>
      <c r="IN842" s="1071"/>
      <c r="IO842" s="1072"/>
      <c r="IP842" s="1071"/>
      <c r="IQ842" s="1071"/>
      <c r="IR842" s="1071"/>
      <c r="IS842" s="1071"/>
      <c r="IT842" s="1071"/>
      <c r="IU842" s="1071"/>
      <c r="IV842" s="1071"/>
      <c r="IW842" s="1071"/>
      <c r="IX842" s="1049"/>
      <c r="IY842" s="1049"/>
      <c r="IZ842" s="1049"/>
      <c r="JA842" s="1049"/>
      <c r="JB842" s="1049"/>
      <c r="JC842" s="1049"/>
      <c r="JD842" s="1103"/>
      <c r="JE842" s="1079"/>
      <c r="JF842" s="1079"/>
      <c r="JG842" s="1079"/>
      <c r="JH842" s="1079"/>
      <c r="LV842" s="1180"/>
    </row>
    <row r="843" outlineLevel="1" spans="1:334">
      <c r="A843" s="967" t="s">
        <v>61</v>
      </c>
      <c r="AX843" s="1059"/>
      <c r="BE843" s="1060"/>
      <c r="BN843" s="1059"/>
      <c r="BU843" s="1060"/>
      <c r="BV843" s="1059"/>
      <c r="CC843" s="1060"/>
      <c r="CD843" s="1059"/>
      <c r="CJ843" s="1061"/>
      <c r="CK843" s="1060"/>
      <c r="CL843" s="1059"/>
      <c r="CS843" s="1060"/>
      <c r="CT843" s="967"/>
      <c r="CU843" s="967"/>
      <c r="CV843" s="967"/>
      <c r="CW843" s="967"/>
      <c r="CX843" s="967"/>
      <c r="CY843" s="967"/>
      <c r="CZ843" s="967"/>
      <c r="DA843" s="967"/>
      <c r="DD843" s="1071"/>
      <c r="DJ843" s="1080">
        <f t="shared" ref="DJ843:DQ843" si="4645">DJ842/DB842-1</f>
        <v>0.0526315789473684</v>
      </c>
      <c r="DK843" s="1080">
        <f t="shared" si="4645"/>
        <v>-0.0178571428571429</v>
      </c>
      <c r="DL843" s="1080">
        <f t="shared" si="4645"/>
        <v>0.0176991150442478</v>
      </c>
      <c r="DM843" s="1080">
        <f t="shared" si="4645"/>
        <v>-0.0735294117647058</v>
      </c>
      <c r="DN843" s="1080">
        <f t="shared" si="4645"/>
        <v>-0.0165745856353591</v>
      </c>
      <c r="DO843" s="1080">
        <f t="shared" si="4645"/>
        <v>-0.145161290322581</v>
      </c>
      <c r="DP843" s="1080">
        <f t="shared" si="4645"/>
        <v>-0.107692307692308</v>
      </c>
      <c r="DQ843" s="1081" t="e">
        <f t="shared" si="4645"/>
        <v>#REF!</v>
      </c>
      <c r="DR843" s="1080">
        <f t="shared" ref="DR843:EG843" si="4646">DR842/DJ842-1</f>
        <v>-0.0666666666666667</v>
      </c>
      <c r="DS843" s="1080">
        <f t="shared" si="4646"/>
        <v>0.0545454545454545</v>
      </c>
      <c r="DT843" s="1080">
        <f t="shared" si="4646"/>
        <v>-0.00869565217391299</v>
      </c>
      <c r="DU843" s="1080">
        <f t="shared" si="4646"/>
        <v>0.158730158730159</v>
      </c>
      <c r="DV843" s="1080">
        <f t="shared" si="4646"/>
        <v>0.050561797752809</v>
      </c>
      <c r="DW843" s="1080" t="e">
        <f t="shared" si="4646"/>
        <v>#REF!</v>
      </c>
      <c r="DX843" s="1080" t="e">
        <f t="shared" si="4646"/>
        <v>#REF!</v>
      </c>
      <c r="DY843" s="1081" t="e">
        <f t="shared" si="4646"/>
        <v>#REF!</v>
      </c>
      <c r="DZ843" s="1080">
        <f t="shared" si="4646"/>
        <v>-0.0357142857142857</v>
      </c>
      <c r="EA843" s="1080">
        <f t="shared" si="4646"/>
        <v>0.0344827586206897</v>
      </c>
      <c r="EB843" s="1080">
        <f t="shared" si="4646"/>
        <v>0</v>
      </c>
      <c r="EC843" s="1080">
        <f t="shared" si="4646"/>
        <v>-0.0136986301369864</v>
      </c>
      <c r="ED843" s="1080">
        <f t="shared" si="4646"/>
        <v>-0.00534759358288772</v>
      </c>
      <c r="EE843" s="1082" t="e">
        <f t="shared" si="4646"/>
        <v>#REF!</v>
      </c>
      <c r="EF843" s="1082" t="e">
        <f t="shared" si="4646"/>
        <v>#REF!</v>
      </c>
      <c r="EG843" s="1081" t="e">
        <f t="shared" si="4646"/>
        <v>#REF!</v>
      </c>
      <c r="EH843" s="1080">
        <f t="shared" ref="EH843:EP843" si="4647">EH842/DZ842-1</f>
        <v>0.111111111111111</v>
      </c>
      <c r="EI843" s="1080">
        <f t="shared" si="4647"/>
        <v>0.116666666666667</v>
      </c>
      <c r="EJ843" s="1080">
        <f t="shared" si="4647"/>
        <v>0.114035087719298</v>
      </c>
      <c r="EK843" s="1080">
        <f t="shared" si="4647"/>
        <v>0.111111111111111</v>
      </c>
      <c r="EL843" s="1080">
        <f t="shared" si="4647"/>
        <v>0.112903225806452</v>
      </c>
      <c r="EM843" s="1080">
        <f t="shared" si="4647"/>
        <v>0.04</v>
      </c>
      <c r="EN843" s="1080">
        <f t="shared" si="4647"/>
        <v>0.0748299319727892</v>
      </c>
      <c r="EO843" s="1081">
        <f t="shared" si="4647"/>
        <v>0.0919540229885059</v>
      </c>
      <c r="EP843" s="1080">
        <f t="shared" si="4647"/>
        <v>0.0166666666666666</v>
      </c>
      <c r="EQ843" s="1080">
        <f t="shared" ref="EQ843:FB843" si="4648">EQ842/EI842-1</f>
        <v>0.0298507462686568</v>
      </c>
      <c r="ER843" s="1080">
        <f t="shared" si="4648"/>
        <v>0.0236220472440944</v>
      </c>
      <c r="ES843" s="1080">
        <f t="shared" si="4648"/>
        <v>-0.1125</v>
      </c>
      <c r="ET843" s="1080">
        <f t="shared" si="4648"/>
        <v>-0.0289855072463768</v>
      </c>
      <c r="EU843" s="1080">
        <f t="shared" si="4648"/>
        <v>0.128205128205128</v>
      </c>
      <c r="EV843" s="1080">
        <f t="shared" si="4648"/>
        <v>0.00632911392405067</v>
      </c>
      <c r="EW843" s="1081">
        <f t="shared" si="4648"/>
        <v>0.0140350877192983</v>
      </c>
      <c r="EX843" s="1218">
        <f t="shared" si="4648"/>
        <v>-0.131147540983607</v>
      </c>
      <c r="EY843" s="1080">
        <f t="shared" si="4648"/>
        <v>-0.0579710144927537</v>
      </c>
      <c r="EZ843" s="1080">
        <f t="shared" si="4648"/>
        <v>-0.0923076923076923</v>
      </c>
      <c r="FA843" s="1080">
        <f t="shared" si="4648"/>
        <v>0.0422535211267605</v>
      </c>
      <c r="FB843" s="1080">
        <f t="shared" si="4648"/>
        <v>-0.0447761194029851</v>
      </c>
      <c r="FC843" s="1080">
        <f>FC844</f>
        <v>-0.01</v>
      </c>
      <c r="FD843" s="1080"/>
      <c r="FE843" s="1081"/>
      <c r="FF843" s="1080"/>
      <c r="FG843" s="1080"/>
      <c r="FH843" s="1080"/>
      <c r="FI843" s="1080"/>
      <c r="FJ843" s="1080"/>
      <c r="FK843" s="1080"/>
      <c r="FL843" s="1080"/>
      <c r="FM843" s="1081"/>
      <c r="FN843" s="1080"/>
      <c r="FO843" s="1080"/>
      <c r="FP843" s="1080"/>
      <c r="FQ843" s="1080"/>
      <c r="FR843" s="1080"/>
      <c r="FS843" s="1080"/>
      <c r="FT843" s="1080"/>
      <c r="FU843" s="1080"/>
      <c r="FV843" s="1150"/>
      <c r="FW843" s="1080"/>
      <c r="FX843" s="1080"/>
      <c r="FY843" s="1080"/>
      <c r="FZ843" s="1080"/>
      <c r="GA843" s="1080"/>
      <c r="GB843" s="1080"/>
      <c r="GC843" s="1081"/>
      <c r="GD843" s="1080"/>
      <c r="GE843" s="1080"/>
      <c r="GF843" s="1080"/>
      <c r="GG843" s="1080"/>
      <c r="GH843" s="1080"/>
      <c r="GI843" s="1080"/>
      <c r="GJ843" s="1080"/>
      <c r="GK843" s="1081"/>
      <c r="GL843" s="1080"/>
      <c r="GM843" s="1080"/>
      <c r="GN843" s="1080"/>
      <c r="GO843" s="1080"/>
      <c r="GP843" s="1080"/>
      <c r="GQ843" s="1080"/>
      <c r="GR843" s="1080"/>
      <c r="GS843" s="1081"/>
      <c r="GT843" s="1080"/>
      <c r="GU843" s="1080"/>
      <c r="GV843" s="1080"/>
      <c r="GW843" s="1080"/>
      <c r="GX843" s="1080"/>
      <c r="GY843" s="1080"/>
      <c r="GZ843" s="1080"/>
      <c r="HA843" s="1081"/>
      <c r="HB843" s="1080"/>
      <c r="HC843" s="1080"/>
      <c r="HD843" s="1080"/>
      <c r="HE843" s="1080"/>
      <c r="HF843" s="1080"/>
      <c r="HG843" s="1080"/>
      <c r="HH843" s="1080"/>
      <c r="HI843" s="1081"/>
      <c r="HJ843" s="1080"/>
      <c r="HK843" s="1080"/>
      <c r="HL843" s="1080"/>
      <c r="HM843" s="1080"/>
      <c r="HN843" s="1080"/>
      <c r="HO843" s="1080"/>
      <c r="HP843" s="1080"/>
      <c r="HQ843" s="1081"/>
      <c r="HR843" s="1080"/>
      <c r="HS843" s="1080"/>
      <c r="HT843" s="1080"/>
      <c r="HU843" s="1080"/>
      <c r="HV843" s="1080"/>
      <c r="HW843" s="1080"/>
      <c r="HX843" s="1080"/>
      <c r="HY843" s="1080"/>
      <c r="HZ843" s="1080"/>
      <c r="IA843" s="1080"/>
      <c r="IB843" s="1080"/>
      <c r="IC843" s="1080"/>
      <c r="ID843" s="1080"/>
      <c r="IE843" s="1080"/>
      <c r="IF843" s="1080"/>
      <c r="IG843" s="1081"/>
      <c r="IH843" s="1080"/>
      <c r="II843" s="1080"/>
      <c r="IJ843" s="1080"/>
      <c r="IK843" s="1080"/>
      <c r="IL843" s="1080"/>
      <c r="IM843" s="1080"/>
      <c r="IN843" s="1080"/>
      <c r="IO843" s="1081"/>
      <c r="IP843" s="1080"/>
      <c r="IQ843" s="1080"/>
      <c r="IR843" s="1080"/>
      <c r="IS843" s="1080"/>
      <c r="IT843" s="1080"/>
      <c r="IU843" s="1080"/>
      <c r="IV843" s="1080"/>
      <c r="IW843" s="1080"/>
      <c r="IX843" s="1049"/>
      <c r="IY843" s="1049"/>
      <c r="IZ843" s="1049"/>
      <c r="JA843" s="1049"/>
      <c r="JB843" s="1049"/>
      <c r="JC843" s="1049"/>
      <c r="JD843" s="1041"/>
      <c r="JE843" s="1037"/>
      <c r="JF843" s="1037"/>
      <c r="JG843" s="1037"/>
      <c r="JH843" s="1037"/>
      <c r="JI843" s="1035"/>
      <c r="JJ843" s="1035"/>
      <c r="JK843" s="1035"/>
      <c r="JL843" s="1035"/>
      <c r="JM843" s="1035"/>
      <c r="JN843" s="1035"/>
      <c r="JO843" s="1035"/>
      <c r="JP843" s="1035"/>
      <c r="JQ843" s="1035"/>
      <c r="JR843" s="1035"/>
      <c r="JS843" s="1035"/>
      <c r="JT843" s="1035"/>
      <c r="JU843" s="1035"/>
      <c r="JV843" s="1035"/>
      <c r="JW843" s="1035"/>
      <c r="JX843" s="1035"/>
      <c r="JY843" s="1035"/>
      <c r="LV843" s="1025"/>
    </row>
    <row r="844" outlineLevel="1" spans="1:334">
      <c r="A844" s="967" t="s">
        <v>65</v>
      </c>
      <c r="AX844" s="1059"/>
      <c r="BE844" s="1060"/>
      <c r="BN844" s="1059"/>
      <c r="BU844" s="1060"/>
      <c r="BV844" s="1059"/>
      <c r="CC844" s="1060"/>
      <c r="CD844" s="1059"/>
      <c r="CJ844" s="1061"/>
      <c r="CK844" s="1060"/>
      <c r="CL844" s="1059"/>
      <c r="CS844" s="1060"/>
      <c r="CT844" s="967"/>
      <c r="CU844" s="967"/>
      <c r="CV844" s="967"/>
      <c r="CW844" s="967"/>
      <c r="CX844" s="967"/>
      <c r="CY844" s="967"/>
      <c r="CZ844" s="967"/>
      <c r="DA844" s="967"/>
      <c r="DB844" s="1080"/>
      <c r="DC844" s="1080"/>
      <c r="DD844" s="1080"/>
      <c r="DE844" s="1080"/>
      <c r="DF844" s="1080"/>
      <c r="DG844" s="1080"/>
      <c r="DH844" s="1080"/>
      <c r="DI844" s="1081"/>
      <c r="DJ844" s="1080">
        <v>-0.02</v>
      </c>
      <c r="DK844" s="1080">
        <v>-0.11</v>
      </c>
      <c r="DL844" s="1080">
        <f>(DJ844*DB842+DK844*DC842)/DD842</f>
        <v>-0.0646017699115044</v>
      </c>
      <c r="DM844" s="1080">
        <v>-0.1</v>
      </c>
      <c r="DN844" s="1080">
        <f>(DJ844*DB842+DK844*DC842+DM844*DE842)/DF842</f>
        <v>-0.0779005524861879</v>
      </c>
      <c r="DO844" s="1080">
        <v>-0.07</v>
      </c>
      <c r="DP844" s="1080">
        <f>(DM844*DE842+DO844*DG842)/DH842</f>
        <v>-0.0856923076923077</v>
      </c>
      <c r="DQ844" s="1081" t="e">
        <f>'Profit and Loss'!#REF!</f>
        <v>#REF!</v>
      </c>
      <c r="DR844" s="1080">
        <v>-0.05</v>
      </c>
      <c r="DS844" s="1080">
        <f>((DT844*DL842)-(DR844*DJ842))/DK842</f>
        <v>-0.0290909090909091</v>
      </c>
      <c r="DT844" s="1080">
        <v>-0.04</v>
      </c>
      <c r="DU844" s="1080">
        <f>((DV844*DN842)-(DT844*DL842))/DM842</f>
        <v>0.0447619047619048</v>
      </c>
      <c r="DV844" s="1080">
        <v>-0.01</v>
      </c>
      <c r="DW844" s="1080" t="e">
        <f>((DX844*DP842)-(DU844*DM842))/DO842</f>
        <v>#REF!</v>
      </c>
      <c r="DX844" s="1080" t="e">
        <f>((DY844*DQ842)-(DT844*DL842))/DP842</f>
        <v>#REF!</v>
      </c>
      <c r="DY844" s="1081" t="e">
        <f>'Profit and Loss'!#REF!</f>
        <v>#REF!</v>
      </c>
      <c r="DZ844" s="1080">
        <v>-0.06</v>
      </c>
      <c r="EA844" s="1080"/>
      <c r="EB844" s="1080">
        <v>0.02</v>
      </c>
      <c r="EC844" s="1080"/>
      <c r="ED844" s="1080">
        <v>0.04</v>
      </c>
      <c r="EE844" s="1080"/>
      <c r="EF844" s="1080"/>
      <c r="EG844" s="1081">
        <v>0.06</v>
      </c>
      <c r="EH844" s="1080">
        <v>0.07</v>
      </c>
      <c r="EI844" s="1080"/>
      <c r="EJ844" s="1080">
        <v>0.05</v>
      </c>
      <c r="EK844" s="1080"/>
      <c r="EL844" s="1080">
        <v>0.03</v>
      </c>
      <c r="EM844" s="1080"/>
      <c r="EN844" s="1080"/>
      <c r="EO844" s="1081">
        <v>0.02</v>
      </c>
      <c r="EP844" s="1080">
        <v>0.02</v>
      </c>
      <c r="EQ844" s="1080">
        <f>(EJ842*ER844-EH842*EP844)/EI842</f>
        <v>0.057910447761194</v>
      </c>
      <c r="ER844" s="1080">
        <v>0.04</v>
      </c>
      <c r="ES844" s="1080">
        <f>(EL842*ET844-EJ842*ER844)/EK842</f>
        <v>-0.037625</v>
      </c>
      <c r="ET844" s="1080">
        <v>0.01</v>
      </c>
      <c r="EU844" s="1080">
        <f>(EO842*EW844-EH842*EP844-EI842*EQ844-EK842*ES844)/EM842</f>
        <v>0.192692307692308</v>
      </c>
      <c r="EV844" s="1080">
        <f>(EO842*EW844-EJ842*ER844)/EN842</f>
        <v>0.0760759493670886</v>
      </c>
      <c r="EW844" s="1081">
        <v>0.06</v>
      </c>
      <c r="EX844" s="1218">
        <v>-0.07</v>
      </c>
      <c r="EY844" s="1080">
        <f>(ER842*EZ844-EP842*EX844)/EQ842</f>
        <v>0.137246376811594</v>
      </c>
      <c r="EZ844" s="1080">
        <v>0.04</v>
      </c>
      <c r="FA844" s="1080">
        <f>(ET842*FB844-ER842*EZ844)/ES842</f>
        <v>-0.101549295774648</v>
      </c>
      <c r="FB844" s="1080">
        <v>-0.01</v>
      </c>
      <c r="FC844" s="1080">
        <f>FB844</f>
        <v>-0.01</v>
      </c>
      <c r="FD844" s="1080"/>
      <c r="FE844" s="1081"/>
      <c r="FF844" s="1080"/>
      <c r="FG844" s="1080"/>
      <c r="FH844" s="1080"/>
      <c r="FI844" s="1080"/>
      <c r="FJ844" s="1080"/>
      <c r="FK844" s="1080"/>
      <c r="FL844" s="1080"/>
      <c r="FM844" s="1081"/>
      <c r="FN844" s="1080"/>
      <c r="FO844" s="1080"/>
      <c r="FP844" s="1080"/>
      <c r="FQ844" s="1080"/>
      <c r="FR844" s="1080"/>
      <c r="FS844" s="1080"/>
      <c r="FT844" s="1080"/>
      <c r="FU844" s="1080"/>
      <c r="FV844" s="1150"/>
      <c r="FW844" s="1080"/>
      <c r="FX844" s="1080"/>
      <c r="FY844" s="1080"/>
      <c r="FZ844" s="1080"/>
      <c r="GA844" s="1080"/>
      <c r="GB844" s="1080"/>
      <c r="GC844" s="1081"/>
      <c r="GD844" s="1080"/>
      <c r="GE844" s="1080"/>
      <c r="GF844" s="1080"/>
      <c r="GG844" s="1080"/>
      <c r="GH844" s="1080"/>
      <c r="GI844" s="1080"/>
      <c r="GJ844" s="1080"/>
      <c r="GK844" s="1081"/>
      <c r="GL844" s="1080"/>
      <c r="GM844" s="1080"/>
      <c r="GN844" s="1080"/>
      <c r="GO844" s="1080"/>
      <c r="GP844" s="1080"/>
      <c r="GQ844" s="1080"/>
      <c r="GR844" s="1080"/>
      <c r="GS844" s="1081"/>
      <c r="GT844" s="1080"/>
      <c r="GU844" s="1080"/>
      <c r="GV844" s="1080"/>
      <c r="GW844" s="1080"/>
      <c r="GX844" s="1080"/>
      <c r="GY844" s="1080"/>
      <c r="GZ844" s="1080"/>
      <c r="HA844" s="1081"/>
      <c r="HB844" s="1080"/>
      <c r="HC844" s="1080"/>
      <c r="HD844" s="1080"/>
      <c r="HE844" s="1080"/>
      <c r="HF844" s="1080"/>
      <c r="HG844" s="1080"/>
      <c r="HH844" s="1080"/>
      <c r="HI844" s="1081"/>
      <c r="HJ844" s="1080"/>
      <c r="HK844" s="1080"/>
      <c r="HL844" s="1080"/>
      <c r="HM844" s="1080"/>
      <c r="HN844" s="1080"/>
      <c r="HO844" s="1080"/>
      <c r="HP844" s="1080"/>
      <c r="HQ844" s="1081"/>
      <c r="HR844" s="1080"/>
      <c r="HS844" s="1080"/>
      <c r="HT844" s="1080"/>
      <c r="HU844" s="1080"/>
      <c r="HV844" s="1080"/>
      <c r="HW844" s="1080"/>
      <c r="HX844" s="1080"/>
      <c r="HY844" s="1080"/>
      <c r="HZ844" s="1080"/>
      <c r="IA844" s="1080"/>
      <c r="IB844" s="1080"/>
      <c r="IC844" s="1080"/>
      <c r="ID844" s="1080"/>
      <c r="IE844" s="1080"/>
      <c r="IF844" s="1080"/>
      <c r="IG844" s="1081"/>
      <c r="IH844" s="1080"/>
      <c r="II844" s="1080"/>
      <c r="IJ844" s="1080"/>
      <c r="IK844" s="1080"/>
      <c r="IL844" s="1080"/>
      <c r="IM844" s="1080"/>
      <c r="IN844" s="1080"/>
      <c r="IO844" s="1081"/>
      <c r="IP844" s="1080"/>
      <c r="IQ844" s="1080"/>
      <c r="IR844" s="1080"/>
      <c r="IS844" s="1080"/>
      <c r="IT844" s="1080"/>
      <c r="IU844" s="1080"/>
      <c r="IV844" s="1080"/>
      <c r="IW844" s="1080"/>
      <c r="IX844" s="1049"/>
      <c r="IY844" s="1049"/>
      <c r="IZ844" s="1049"/>
      <c r="JA844" s="1049"/>
      <c r="JB844" s="1049"/>
      <c r="JC844" s="1049"/>
      <c r="JD844" s="1041"/>
      <c r="JE844" s="1037"/>
      <c r="JF844" s="1037"/>
      <c r="JG844" s="1037"/>
      <c r="JH844" s="1037"/>
      <c r="JI844" s="1035"/>
      <c r="JJ844" s="1035"/>
      <c r="JK844" s="1035"/>
      <c r="JL844" s="1035"/>
      <c r="JM844" s="1035"/>
      <c r="JN844" s="1035"/>
      <c r="JO844" s="1035"/>
      <c r="JP844" s="1035"/>
      <c r="JQ844" s="1035"/>
      <c r="JR844" s="1035"/>
      <c r="JS844" s="1035"/>
      <c r="JT844" s="1035"/>
      <c r="JU844" s="1035"/>
      <c r="JV844" s="1035"/>
      <c r="JW844" s="1035"/>
      <c r="JX844" s="1035"/>
      <c r="JY844" s="1035"/>
      <c r="LV844" s="1113"/>
    </row>
    <row r="845" s="969" customFormat="1" outlineLevel="1" spans="1:334">
      <c r="A845" s="1180" t="s">
        <v>93</v>
      </c>
      <c r="B845" s="1057"/>
      <c r="C845" s="1057"/>
      <c r="D845" s="1057"/>
      <c r="E845" s="1057"/>
      <c r="F845" s="1057"/>
      <c r="G845" s="1057"/>
      <c r="H845" s="1057"/>
      <c r="I845" s="1057"/>
      <c r="J845" s="1057"/>
      <c r="K845" s="1057"/>
      <c r="L845" s="1057"/>
      <c r="M845" s="1057"/>
      <c r="N845" s="1057"/>
      <c r="O845" s="1057"/>
      <c r="P845" s="1057"/>
      <c r="Q845" s="1057"/>
      <c r="R845" s="1057"/>
      <c r="S845" s="1057"/>
      <c r="T845" s="1057"/>
      <c r="U845" s="1057"/>
      <c r="V845" s="1057"/>
      <c r="W845" s="1057"/>
      <c r="X845" s="1057"/>
      <c r="Y845" s="1057"/>
      <c r="Z845" s="1057"/>
      <c r="AA845" s="1057"/>
      <c r="AB845" s="1057"/>
      <c r="AC845" s="1057"/>
      <c r="AD845" s="1057"/>
      <c r="AE845" s="1057"/>
      <c r="AF845" s="1057"/>
      <c r="AG845" s="1057"/>
      <c r="AH845" s="1057"/>
      <c r="AI845" s="1057"/>
      <c r="AJ845" s="1057"/>
      <c r="AK845" s="1057"/>
      <c r="AL845" s="1057"/>
      <c r="AM845" s="1057"/>
      <c r="AN845" s="1057"/>
      <c r="AO845" s="1057"/>
      <c r="AP845" s="1057"/>
      <c r="AQ845" s="1057"/>
      <c r="AR845" s="1057"/>
      <c r="AS845" s="1057"/>
      <c r="AT845" s="1057"/>
      <c r="AU845" s="1057"/>
      <c r="AV845" s="1057"/>
      <c r="AW845" s="1057"/>
      <c r="AX845" s="1153"/>
      <c r="AY845" s="1057"/>
      <c r="AZ845" s="1057"/>
      <c r="BA845" s="1057"/>
      <c r="BB845" s="1057"/>
      <c r="BC845" s="1057"/>
      <c r="BD845" s="1057"/>
      <c r="BE845" s="1154"/>
      <c r="BF845" s="1057"/>
      <c r="BG845" s="1057"/>
      <c r="BH845" s="1057"/>
      <c r="BI845" s="1057"/>
      <c r="BJ845" s="1057"/>
      <c r="BK845" s="1057"/>
      <c r="BL845" s="1057"/>
      <c r="BM845" s="1057"/>
      <c r="BN845" s="1153"/>
      <c r="BO845" s="1057"/>
      <c r="BP845" s="1057"/>
      <c r="BQ845" s="1057"/>
      <c r="BR845" s="1057"/>
      <c r="BS845" s="1057"/>
      <c r="BT845" s="1057"/>
      <c r="BU845" s="1154"/>
      <c r="BV845" s="1153"/>
      <c r="BW845" s="1057"/>
      <c r="BX845" s="1057"/>
      <c r="BY845" s="1057"/>
      <c r="BZ845" s="1057"/>
      <c r="CA845" s="1057"/>
      <c r="CB845" s="1057"/>
      <c r="CC845" s="1154"/>
      <c r="CD845" s="1153"/>
      <c r="CE845" s="1057"/>
      <c r="CF845" s="1057"/>
      <c r="CG845" s="1057"/>
      <c r="CH845" s="1057"/>
      <c r="CI845" s="1057"/>
      <c r="CJ845" s="1155"/>
      <c r="CK845" s="1154"/>
      <c r="CL845" s="1153"/>
      <c r="CM845" s="1057"/>
      <c r="CN845" s="1057"/>
      <c r="CO845" s="1057"/>
      <c r="CP845" s="1057"/>
      <c r="CQ845" s="1057"/>
      <c r="CR845" s="1057"/>
      <c r="CS845" s="1154"/>
      <c r="CT845" s="1180"/>
      <c r="CU845" s="1180"/>
      <c r="CV845" s="1180"/>
      <c r="CW845" s="1180"/>
      <c r="CX845" s="1180"/>
      <c r="CY845" s="1180"/>
      <c r="CZ845" s="1180"/>
      <c r="DA845" s="1180"/>
      <c r="DB845" s="1071">
        <v>22</v>
      </c>
      <c r="DC845" s="1071">
        <v>49</v>
      </c>
      <c r="DD845" s="1071">
        <f>DB845+DC845</f>
        <v>71</v>
      </c>
      <c r="DE845" s="1071">
        <v>64</v>
      </c>
      <c r="DF845" s="1071">
        <f>DD845+DE845</f>
        <v>135</v>
      </c>
      <c r="DG845" s="1071">
        <v>53</v>
      </c>
      <c r="DH845" s="1071">
        <f>DE845+DG845</f>
        <v>117</v>
      </c>
      <c r="DI845" s="1072" t="e">
        <f>'Profit and Loss'!#REF!</f>
        <v>#REF!</v>
      </c>
      <c r="DJ845" s="1071">
        <v>24</v>
      </c>
      <c r="DK845" s="1071">
        <v>44</v>
      </c>
      <c r="DL845" s="1071">
        <f>DJ845+DK845</f>
        <v>68</v>
      </c>
      <c r="DM845" s="1071">
        <v>59</v>
      </c>
      <c r="DN845" s="1071">
        <f>DL845+DM845</f>
        <v>127</v>
      </c>
      <c r="DO845" s="1071">
        <v>50</v>
      </c>
      <c r="DP845" s="1071">
        <f>DO845+DM845</f>
        <v>109</v>
      </c>
      <c r="DQ845" s="1072" t="e">
        <f>'Profit and Loss'!#REF!</f>
        <v>#REF!</v>
      </c>
      <c r="DR845" s="1071">
        <v>21</v>
      </c>
      <c r="DS845" s="1071">
        <f>DT845-DR845</f>
        <v>52</v>
      </c>
      <c r="DT845" s="1071">
        <v>73</v>
      </c>
      <c r="DU845" s="1071">
        <f>DV845-DT845</f>
        <v>65</v>
      </c>
      <c r="DV845" s="1071">
        <v>138</v>
      </c>
      <c r="DW845" s="1071" t="e">
        <f>DY845-DV845</f>
        <v>#REF!</v>
      </c>
      <c r="DX845" s="1071" t="e">
        <f>DY845-DT845</f>
        <v>#REF!</v>
      </c>
      <c r="DY845" s="1072" t="e">
        <f>'Profit and Loss'!#REF!</f>
        <v>#REF!</v>
      </c>
      <c r="DZ845" s="1071">
        <v>22</v>
      </c>
      <c r="EA845" s="1071">
        <f>+EB845-DZ845</f>
        <v>55</v>
      </c>
      <c r="EB845" s="1071">
        <v>77</v>
      </c>
      <c r="EC845" s="1071">
        <f>+ED845-EB845</f>
        <v>71</v>
      </c>
      <c r="ED845" s="1071">
        <v>148</v>
      </c>
      <c r="EE845" s="1071">
        <f>+EF845-EC845</f>
        <v>62</v>
      </c>
      <c r="EF845" s="1071">
        <f>+EG845-EB845</f>
        <v>133</v>
      </c>
      <c r="EG845" s="1072">
        <v>210</v>
      </c>
      <c r="EH845" s="1071">
        <v>37</v>
      </c>
      <c r="EI845" s="1071">
        <f>+EJ845-EH845</f>
        <v>65</v>
      </c>
      <c r="EJ845" s="1071">
        <v>102</v>
      </c>
      <c r="EK845" s="1071">
        <f>EL845-EJ845</f>
        <v>87</v>
      </c>
      <c r="EL845" s="1071">
        <v>189</v>
      </c>
      <c r="EM845" s="1071">
        <f>EN845-EK845</f>
        <v>54</v>
      </c>
      <c r="EN845" s="1071">
        <f>EO845-EJ845</f>
        <v>141</v>
      </c>
      <c r="EO845" s="1072">
        <v>243</v>
      </c>
      <c r="EP845" s="1071">
        <v>31</v>
      </c>
      <c r="EQ845" s="1071">
        <f>ER845-EP845</f>
        <v>65</v>
      </c>
      <c r="ER845" s="1071">
        <v>96</v>
      </c>
      <c r="ES845" s="1071">
        <f>ET845-ER845</f>
        <v>85</v>
      </c>
      <c r="ET845" s="1071">
        <v>181</v>
      </c>
      <c r="EU845" s="1071">
        <f>EV845-ES845</f>
        <v>79</v>
      </c>
      <c r="EV845" s="1071">
        <f>EW845-ER845</f>
        <v>164</v>
      </c>
      <c r="EW845" s="1072">
        <v>260</v>
      </c>
      <c r="EX845" s="1076">
        <v>32</v>
      </c>
      <c r="EY845" s="1071">
        <f>EZ845-EX845</f>
        <v>61</v>
      </c>
      <c r="EZ845" s="1071">
        <v>93</v>
      </c>
      <c r="FA845" s="1071">
        <f>FB845-EZ845</f>
        <v>95</v>
      </c>
      <c r="FB845" s="1071">
        <v>188</v>
      </c>
      <c r="FC845" s="1071"/>
      <c r="FD845" s="1071"/>
      <c r="FE845" s="1072"/>
      <c r="FF845" s="1071"/>
      <c r="FG845" s="1071"/>
      <c r="FH845" s="1071"/>
      <c r="FI845" s="1071"/>
      <c r="FJ845" s="1071"/>
      <c r="FK845" s="1071"/>
      <c r="FL845" s="1071"/>
      <c r="FM845" s="1072"/>
      <c r="FN845" s="1071"/>
      <c r="FO845" s="1071"/>
      <c r="FP845" s="1071"/>
      <c r="FQ845" s="1071"/>
      <c r="FR845" s="1071"/>
      <c r="FS845" s="1071"/>
      <c r="FT845" s="1071"/>
      <c r="FU845" s="1071"/>
      <c r="FV845" s="1177"/>
      <c r="FW845" s="1071"/>
      <c r="FX845" s="1071"/>
      <c r="FY845" s="1071"/>
      <c r="FZ845" s="1071"/>
      <c r="GA845" s="1071"/>
      <c r="GB845" s="1071"/>
      <c r="GC845" s="1072"/>
      <c r="GD845" s="1071"/>
      <c r="GE845" s="1071"/>
      <c r="GF845" s="1071"/>
      <c r="GG845" s="1071"/>
      <c r="GH845" s="1071"/>
      <c r="GI845" s="1071"/>
      <c r="GJ845" s="1071"/>
      <c r="GK845" s="1072"/>
      <c r="GL845" s="1071"/>
      <c r="GM845" s="1071"/>
      <c r="GN845" s="1071"/>
      <c r="GO845" s="1071"/>
      <c r="GP845" s="1071"/>
      <c r="GQ845" s="1071"/>
      <c r="GR845" s="1071"/>
      <c r="GS845" s="1072"/>
      <c r="GT845" s="1071"/>
      <c r="GU845" s="1071"/>
      <c r="GV845" s="1071"/>
      <c r="GW845" s="1071"/>
      <c r="GX845" s="1071"/>
      <c r="GY845" s="1071"/>
      <c r="GZ845" s="1071"/>
      <c r="HA845" s="1072"/>
      <c r="HB845" s="1071"/>
      <c r="HC845" s="1071"/>
      <c r="HD845" s="1071"/>
      <c r="HE845" s="1071"/>
      <c r="HF845" s="1071"/>
      <c r="HG845" s="1071"/>
      <c r="HH845" s="1071"/>
      <c r="HI845" s="1072"/>
      <c r="HJ845" s="1071"/>
      <c r="HK845" s="1071"/>
      <c r="HL845" s="1071"/>
      <c r="HM845" s="1071"/>
      <c r="HN845" s="1071"/>
      <c r="HO845" s="1071"/>
      <c r="HP845" s="1071"/>
      <c r="HQ845" s="1072"/>
      <c r="HR845" s="1071"/>
      <c r="HS845" s="1071"/>
      <c r="HT845" s="1071"/>
      <c r="HU845" s="1071"/>
      <c r="HV845" s="1071"/>
      <c r="HW845" s="1071"/>
      <c r="HX845" s="1071"/>
      <c r="HY845" s="1071"/>
      <c r="HZ845" s="1071"/>
      <c r="IA845" s="1071"/>
      <c r="IB845" s="1071"/>
      <c r="IC845" s="1071"/>
      <c r="ID845" s="1071"/>
      <c r="IE845" s="1071"/>
      <c r="IF845" s="1071"/>
      <c r="IG845" s="1072"/>
      <c r="IH845" s="1071"/>
      <c r="II845" s="1071"/>
      <c r="IJ845" s="1071"/>
      <c r="IK845" s="1071"/>
      <c r="IL845" s="1071"/>
      <c r="IM845" s="1071"/>
      <c r="IN845" s="1071"/>
      <c r="IO845" s="1072"/>
      <c r="IP845" s="1071"/>
      <c r="IQ845" s="1071"/>
      <c r="IR845" s="1071"/>
      <c r="IS845" s="1071"/>
      <c r="IT845" s="1071"/>
      <c r="IU845" s="1071"/>
      <c r="IV845" s="1071"/>
      <c r="IW845" s="1071"/>
      <c r="IX845" s="1049"/>
      <c r="IY845" s="1049"/>
      <c r="IZ845" s="1049"/>
      <c r="JA845" s="1049"/>
      <c r="JB845" s="1049"/>
      <c r="JC845" s="1049"/>
      <c r="JD845" s="1103"/>
      <c r="JE845" s="1079"/>
      <c r="JF845" s="1079"/>
      <c r="JG845" s="1079"/>
      <c r="JH845" s="1079"/>
      <c r="LV845" s="1180"/>
    </row>
    <row r="846" outlineLevel="1" spans="1:334">
      <c r="A846" s="967" t="s">
        <v>61</v>
      </c>
      <c r="AX846" s="1059"/>
      <c r="BE846" s="1060"/>
      <c r="BN846" s="1059"/>
      <c r="BU846" s="1060"/>
      <c r="BV846" s="1059"/>
      <c r="CC846" s="1060"/>
      <c r="CD846" s="1059"/>
      <c r="CJ846" s="1061"/>
      <c r="CK846" s="1060"/>
      <c r="CL846" s="1059"/>
      <c r="CS846" s="1060"/>
      <c r="CT846" s="967"/>
      <c r="CU846" s="967"/>
      <c r="CV846" s="967"/>
      <c r="CW846" s="967"/>
      <c r="CX846" s="967"/>
      <c r="CY846" s="967"/>
      <c r="CZ846" s="967"/>
      <c r="DA846" s="967"/>
      <c r="DJ846" s="1080">
        <f t="shared" ref="DJ846:DQ846" si="4649">DJ845/DB845-1</f>
        <v>0.0909090909090908</v>
      </c>
      <c r="DK846" s="1080">
        <f t="shared" si="4649"/>
        <v>-0.102040816326531</v>
      </c>
      <c r="DL846" s="1080">
        <f t="shared" si="4649"/>
        <v>-0.0422535211267606</v>
      </c>
      <c r="DM846" s="1080">
        <f t="shared" si="4649"/>
        <v>-0.078125</v>
      </c>
      <c r="DN846" s="1080">
        <f t="shared" si="4649"/>
        <v>-0.0592592592592592</v>
      </c>
      <c r="DO846" s="1080">
        <f t="shared" si="4649"/>
        <v>-0.0566037735849056</v>
      </c>
      <c r="DP846" s="1080">
        <f t="shared" si="4649"/>
        <v>-0.0683760683760684</v>
      </c>
      <c r="DQ846" s="1081" t="e">
        <f t="shared" si="4649"/>
        <v>#REF!</v>
      </c>
      <c r="DR846" s="1080">
        <f t="shared" ref="DR846:EG846" si="4650">DR845/DJ845-1</f>
        <v>-0.125</v>
      </c>
      <c r="DS846" s="1080">
        <f t="shared" si="4650"/>
        <v>0.181818181818182</v>
      </c>
      <c r="DT846" s="1080">
        <f t="shared" si="4650"/>
        <v>0.0735294117647058</v>
      </c>
      <c r="DU846" s="1080">
        <f t="shared" si="4650"/>
        <v>0.101694915254237</v>
      </c>
      <c r="DV846" s="1080">
        <f t="shared" si="4650"/>
        <v>0.0866141732283465</v>
      </c>
      <c r="DW846" s="1080" t="e">
        <f t="shared" si="4650"/>
        <v>#REF!</v>
      </c>
      <c r="DX846" s="1080" t="e">
        <f t="shared" si="4650"/>
        <v>#REF!</v>
      </c>
      <c r="DY846" s="1081" t="e">
        <f t="shared" si="4650"/>
        <v>#REF!</v>
      </c>
      <c r="DZ846" s="1080">
        <f t="shared" si="4650"/>
        <v>0.0476190476190477</v>
      </c>
      <c r="EA846" s="1080">
        <f t="shared" si="4650"/>
        <v>0.0576923076923077</v>
      </c>
      <c r="EB846" s="1080">
        <f t="shared" si="4650"/>
        <v>0.0547945205479452</v>
      </c>
      <c r="EC846" s="1080">
        <f t="shared" si="4650"/>
        <v>0.0923076923076922</v>
      </c>
      <c r="ED846" s="1080">
        <f t="shared" si="4650"/>
        <v>0.0724637681159421</v>
      </c>
      <c r="EE846" s="1082" t="e">
        <f t="shared" si="4650"/>
        <v>#REF!</v>
      </c>
      <c r="EF846" s="1082" t="e">
        <f t="shared" si="4650"/>
        <v>#REF!</v>
      </c>
      <c r="EG846" s="1081" t="e">
        <f t="shared" si="4650"/>
        <v>#REF!</v>
      </c>
      <c r="EH846" s="1080">
        <f t="shared" ref="EH846:EP846" si="4651">EH845/DZ845-1</f>
        <v>0.681818181818182</v>
      </c>
      <c r="EI846" s="1080">
        <f t="shared" si="4651"/>
        <v>0.181818181818182</v>
      </c>
      <c r="EJ846" s="1080">
        <f t="shared" si="4651"/>
        <v>0.324675324675325</v>
      </c>
      <c r="EK846" s="1080">
        <f t="shared" si="4651"/>
        <v>0.225352112676056</v>
      </c>
      <c r="EL846" s="1080">
        <f t="shared" si="4651"/>
        <v>0.277027027027027</v>
      </c>
      <c r="EM846" s="1080">
        <f t="shared" si="4651"/>
        <v>-0.129032258064516</v>
      </c>
      <c r="EN846" s="1080">
        <f t="shared" si="4651"/>
        <v>0.0601503759398496</v>
      </c>
      <c r="EO846" s="1081">
        <f t="shared" si="4651"/>
        <v>0.157142857142857</v>
      </c>
      <c r="EP846" s="1080">
        <f t="shared" si="4651"/>
        <v>-0.162162162162162</v>
      </c>
      <c r="EQ846" s="1080">
        <f t="shared" ref="EQ846:FB846" si="4652">EQ845/EI845-1</f>
        <v>0</v>
      </c>
      <c r="ER846" s="1080">
        <f t="shared" si="4652"/>
        <v>-0.0588235294117647</v>
      </c>
      <c r="ES846" s="1080">
        <f t="shared" si="4652"/>
        <v>-0.0229885057471264</v>
      </c>
      <c r="ET846" s="1080">
        <f t="shared" si="4652"/>
        <v>-0.0423280423280423</v>
      </c>
      <c r="EU846" s="1080">
        <f t="shared" si="4652"/>
        <v>0.462962962962963</v>
      </c>
      <c r="EV846" s="1080">
        <f t="shared" si="4652"/>
        <v>0.163120567375886</v>
      </c>
      <c r="EW846" s="1081">
        <f t="shared" si="4652"/>
        <v>0.0699588477366255</v>
      </c>
      <c r="EX846" s="1218">
        <f t="shared" si="4652"/>
        <v>0.032258064516129</v>
      </c>
      <c r="EY846" s="1080">
        <f t="shared" si="4652"/>
        <v>-0.0615384615384615</v>
      </c>
      <c r="EZ846" s="1080">
        <f t="shared" si="4652"/>
        <v>-0.03125</v>
      </c>
      <c r="FA846" s="1080">
        <f t="shared" si="4652"/>
        <v>0.117647058823529</v>
      </c>
      <c r="FB846" s="1080">
        <f t="shared" si="4652"/>
        <v>0.0386740331491713</v>
      </c>
      <c r="FC846" s="1080"/>
      <c r="FD846" s="1080"/>
      <c r="FE846" s="1081"/>
      <c r="FF846" s="1080"/>
      <c r="FG846" s="1080"/>
      <c r="FH846" s="1080"/>
      <c r="FI846" s="1080"/>
      <c r="FJ846" s="1080"/>
      <c r="FK846" s="1080"/>
      <c r="FL846" s="1080"/>
      <c r="FM846" s="1081"/>
      <c r="FN846" s="1080"/>
      <c r="FO846" s="1080"/>
      <c r="FP846" s="1080"/>
      <c r="FQ846" s="1080"/>
      <c r="FR846" s="1080"/>
      <c r="FS846" s="1080"/>
      <c r="FT846" s="1080"/>
      <c r="FU846" s="1080"/>
      <c r="FV846" s="1150"/>
      <c r="FW846" s="1080"/>
      <c r="FX846" s="1080"/>
      <c r="FY846" s="1080"/>
      <c r="FZ846" s="1080"/>
      <c r="GA846" s="1080"/>
      <c r="GB846" s="1080"/>
      <c r="GC846" s="1081"/>
      <c r="GD846" s="1080"/>
      <c r="GE846" s="1080"/>
      <c r="GF846" s="1080"/>
      <c r="GG846" s="1080"/>
      <c r="GH846" s="1080"/>
      <c r="GI846" s="1080"/>
      <c r="GJ846" s="1080"/>
      <c r="GK846" s="1081"/>
      <c r="GL846" s="1080"/>
      <c r="GM846" s="1080"/>
      <c r="GN846" s="1080"/>
      <c r="GO846" s="1080"/>
      <c r="GP846" s="1080"/>
      <c r="GQ846" s="1080"/>
      <c r="GR846" s="1080"/>
      <c r="GS846" s="1081"/>
      <c r="GT846" s="1080"/>
      <c r="GU846" s="1080"/>
      <c r="GV846" s="1080"/>
      <c r="GW846" s="1080"/>
      <c r="GX846" s="1080"/>
      <c r="GY846" s="1080"/>
      <c r="GZ846" s="1080"/>
      <c r="HA846" s="1081"/>
      <c r="HB846" s="1080"/>
      <c r="HC846" s="1080"/>
      <c r="HD846" s="1080"/>
      <c r="HE846" s="1080"/>
      <c r="HF846" s="1080"/>
      <c r="HG846" s="1080"/>
      <c r="HH846" s="1080"/>
      <c r="HI846" s="1081"/>
      <c r="HJ846" s="1080"/>
      <c r="HK846" s="1080"/>
      <c r="HL846" s="1080"/>
      <c r="HM846" s="1080"/>
      <c r="HN846" s="1080"/>
      <c r="HO846" s="1080"/>
      <c r="HP846" s="1080"/>
      <c r="HQ846" s="1081"/>
      <c r="HR846" s="1080"/>
      <c r="HS846" s="1080"/>
      <c r="HT846" s="1080"/>
      <c r="HU846" s="1080"/>
      <c r="HV846" s="1080"/>
      <c r="HW846" s="1080"/>
      <c r="HX846" s="1080"/>
      <c r="HY846" s="1080"/>
      <c r="HZ846" s="1080"/>
      <c r="IA846" s="1080"/>
      <c r="IB846" s="1080"/>
      <c r="IC846" s="1080"/>
      <c r="ID846" s="1080"/>
      <c r="IE846" s="1080"/>
      <c r="IF846" s="1080"/>
      <c r="IG846" s="1081"/>
      <c r="IH846" s="1080"/>
      <c r="II846" s="1080"/>
      <c r="IJ846" s="1080"/>
      <c r="IK846" s="1080"/>
      <c r="IL846" s="1080"/>
      <c r="IM846" s="1080"/>
      <c r="IN846" s="1080"/>
      <c r="IO846" s="1081"/>
      <c r="IP846" s="1080"/>
      <c r="IQ846" s="1080"/>
      <c r="IR846" s="1080"/>
      <c r="IS846" s="1080"/>
      <c r="IT846" s="1080"/>
      <c r="IU846" s="1080"/>
      <c r="IV846" s="1080"/>
      <c r="IW846" s="1080"/>
      <c r="IX846" s="1049"/>
      <c r="IY846" s="1049"/>
      <c r="IZ846" s="1049"/>
      <c r="JA846" s="1049"/>
      <c r="JB846" s="1049"/>
      <c r="JC846" s="1049"/>
      <c r="JD846" s="1041"/>
      <c r="JE846" s="1037"/>
      <c r="JF846" s="1037"/>
      <c r="JG846" s="1037"/>
      <c r="JH846" s="1037"/>
      <c r="JI846" s="1035"/>
      <c r="JJ846" s="1035"/>
      <c r="JK846" s="1035"/>
      <c r="JL846" s="1035"/>
      <c r="JM846" s="1035"/>
      <c r="JN846" s="1035"/>
      <c r="JO846" s="1035"/>
      <c r="JP846" s="1035"/>
      <c r="JQ846" s="1035"/>
      <c r="JR846" s="1035"/>
      <c r="JS846" s="1035"/>
      <c r="JT846" s="1035"/>
      <c r="JU846" s="1035"/>
      <c r="JV846" s="1035"/>
      <c r="JW846" s="1035"/>
      <c r="JX846" s="1035"/>
      <c r="JY846" s="1035"/>
      <c r="LV846" s="967"/>
    </row>
    <row r="847" outlineLevel="1" spans="1:334">
      <c r="A847" s="967" t="s">
        <v>65</v>
      </c>
      <c r="AX847" s="1059"/>
      <c r="BE847" s="1060"/>
      <c r="BN847" s="1059"/>
      <c r="BU847" s="1060"/>
      <c r="BV847" s="1059"/>
      <c r="CC847" s="1060"/>
      <c r="CD847" s="1059"/>
      <c r="CJ847" s="1061"/>
      <c r="CK847" s="1060"/>
      <c r="CL847" s="1059"/>
      <c r="CS847" s="1060"/>
      <c r="CT847" s="967"/>
      <c r="CU847" s="967"/>
      <c r="CV847" s="967"/>
      <c r="CW847" s="967"/>
      <c r="CX847" s="967"/>
      <c r="CY847" s="967"/>
      <c r="CZ847" s="967"/>
      <c r="DA847" s="967"/>
      <c r="DB847" s="1080"/>
      <c r="DC847" s="1080"/>
      <c r="DD847" s="1080"/>
      <c r="DE847" s="1080"/>
      <c r="DF847" s="1080"/>
      <c r="DG847" s="1080"/>
      <c r="DH847" s="1080"/>
      <c r="DI847" s="1081"/>
      <c r="DJ847" s="1080">
        <v>0.11</v>
      </c>
      <c r="DK847" s="1080">
        <v>-0.1</v>
      </c>
      <c r="DL847" s="1080">
        <f>(DJ847*DB845+DK847*DC845)/DD845</f>
        <v>-0.0349295774647887</v>
      </c>
      <c r="DM847" s="1080">
        <v>-0.08</v>
      </c>
      <c r="DN847" s="1080">
        <f>(DJ847*DB845+DK847*DC845+DM847*DE845)/DF845</f>
        <v>-0.0562962962962963</v>
      </c>
      <c r="DO847" s="1080">
        <v>-0.05</v>
      </c>
      <c r="DP847" s="1080">
        <f>(DM847*DE845+DO847*DG845)/DH845</f>
        <v>-0.0664102564102564</v>
      </c>
      <c r="DQ847" s="1081" t="e">
        <f>'Profit and Loss'!#REF!</f>
        <v>#REF!</v>
      </c>
      <c r="DR847" s="1080">
        <v>-0.16</v>
      </c>
      <c r="DS847" s="1080">
        <f>((DT847*DL845)-(DR847*DJ845))/DK845</f>
        <v>0.0563636363636364</v>
      </c>
      <c r="DT847" s="1080">
        <v>-0.02</v>
      </c>
      <c r="DU847" s="1080">
        <f>((DV847*DN845)-(DT847*DL845))/DM845</f>
        <v>0.00152542372881356</v>
      </c>
      <c r="DV847" s="1080">
        <v>-0.01</v>
      </c>
      <c r="DW847" s="1080" t="e">
        <f>((DX847*DP845)-(DU847*DM845))/DO845</f>
        <v>#REF!</v>
      </c>
      <c r="DX847" s="1080" t="e">
        <f>((DY847*DQ845)-(DT847*DL845))/DP845</f>
        <v>#REF!</v>
      </c>
      <c r="DY847" s="1081" t="e">
        <f>'Profit and Loss'!#REF!</f>
        <v>#REF!</v>
      </c>
      <c r="DZ847" s="1080">
        <v>0</v>
      </c>
      <c r="EA847" s="1080"/>
      <c r="EB847" s="1080">
        <v>0.06</v>
      </c>
      <c r="EC847" s="1080"/>
      <c r="ED847" s="1080">
        <v>0.08</v>
      </c>
      <c r="EE847" s="1080"/>
      <c r="EF847" s="1080"/>
      <c r="EG847" s="1081">
        <v>0.06</v>
      </c>
      <c r="EH847" s="1080">
        <v>0.69</v>
      </c>
      <c r="EI847" s="1080"/>
      <c r="EJ847" s="1080">
        <v>0.26</v>
      </c>
      <c r="EK847" s="1080"/>
      <c r="EL847" s="1080">
        <v>0.2</v>
      </c>
      <c r="EM847" s="1080"/>
      <c r="EN847" s="1080"/>
      <c r="EO847" s="1081">
        <v>0.09</v>
      </c>
      <c r="EP847" s="1080">
        <v>-0.18</v>
      </c>
      <c r="EQ847" s="1080">
        <f>(EJ845*ER847-EH845*EP847)/EI845</f>
        <v>0.024</v>
      </c>
      <c r="ER847" s="1080">
        <v>-0.05</v>
      </c>
      <c r="ES847" s="1080">
        <f>(EL845*ET847-EJ845*ER847)/EK845</f>
        <v>0.0368965517241379</v>
      </c>
      <c r="ET847" s="1080">
        <v>-0.01</v>
      </c>
      <c r="EU847" s="1080">
        <f>(EO845*EW847-EH845*EP847-EI845*EQ847-EK845*ES847)/EM845</f>
        <v>0.53</v>
      </c>
      <c r="EV847" s="1080">
        <f>(EO845*EW847-EJ845*ER847)/EN845</f>
        <v>0.225744680851064</v>
      </c>
      <c r="EW847" s="1081">
        <v>0.11</v>
      </c>
      <c r="EX847" s="1218">
        <v>0.13</v>
      </c>
      <c r="EY847" s="1080">
        <f>(ER845*EZ847-EP845*EX847)/EQ845</f>
        <v>0.0118461538461539</v>
      </c>
      <c r="EZ847" s="1080">
        <v>0.05</v>
      </c>
      <c r="FA847" s="1080">
        <f>(ET845*FB847-ER845*EZ847)/ES845</f>
        <v>0.156470588235294</v>
      </c>
      <c r="FB847" s="1080">
        <v>0.1</v>
      </c>
      <c r="FC847" s="1080"/>
      <c r="FD847" s="1080"/>
      <c r="FE847" s="1081"/>
      <c r="FF847" s="1080"/>
      <c r="FG847" s="1080"/>
      <c r="FH847" s="1080"/>
      <c r="FI847" s="1080"/>
      <c r="FJ847" s="1080"/>
      <c r="FK847" s="1080"/>
      <c r="FL847" s="1080"/>
      <c r="FM847" s="1081"/>
      <c r="FN847" s="1080"/>
      <c r="FO847" s="1080"/>
      <c r="FP847" s="1080"/>
      <c r="FQ847" s="1080"/>
      <c r="FR847" s="1080"/>
      <c r="FS847" s="1080"/>
      <c r="FT847" s="1080"/>
      <c r="FU847" s="1080"/>
      <c r="FV847" s="1150"/>
      <c r="FW847" s="1080"/>
      <c r="FX847" s="1080"/>
      <c r="FY847" s="1080"/>
      <c r="FZ847" s="1080"/>
      <c r="GA847" s="1080"/>
      <c r="GB847" s="1080"/>
      <c r="GC847" s="1081"/>
      <c r="GD847" s="1080"/>
      <c r="GE847" s="1080"/>
      <c r="GF847" s="1080"/>
      <c r="GG847" s="1080"/>
      <c r="GH847" s="1080"/>
      <c r="GI847" s="1080"/>
      <c r="GJ847" s="1080"/>
      <c r="GK847" s="1081"/>
      <c r="GL847" s="1080"/>
      <c r="GM847" s="1080"/>
      <c r="GN847" s="1080"/>
      <c r="GO847" s="1080"/>
      <c r="GP847" s="1080"/>
      <c r="GQ847" s="1080"/>
      <c r="GR847" s="1080"/>
      <c r="GS847" s="1081"/>
      <c r="GT847" s="1080"/>
      <c r="GU847" s="1080"/>
      <c r="GV847" s="1080"/>
      <c r="GW847" s="1080"/>
      <c r="GX847" s="1080"/>
      <c r="GY847" s="1080"/>
      <c r="GZ847" s="1080"/>
      <c r="HA847" s="1081"/>
      <c r="HB847" s="1080"/>
      <c r="HC847" s="1080"/>
      <c r="HD847" s="1080"/>
      <c r="HE847" s="1080"/>
      <c r="HF847" s="1080"/>
      <c r="HG847" s="1080"/>
      <c r="HH847" s="1080"/>
      <c r="HI847" s="1081"/>
      <c r="HJ847" s="1080"/>
      <c r="HK847" s="1080"/>
      <c r="HL847" s="1080"/>
      <c r="HM847" s="1080"/>
      <c r="HN847" s="1080"/>
      <c r="HO847" s="1080"/>
      <c r="HP847" s="1080"/>
      <c r="HQ847" s="1081"/>
      <c r="HR847" s="1080"/>
      <c r="HS847" s="1080"/>
      <c r="HT847" s="1080"/>
      <c r="HU847" s="1080"/>
      <c r="HV847" s="1080"/>
      <c r="HW847" s="1080"/>
      <c r="HX847" s="1080"/>
      <c r="HY847" s="1080"/>
      <c r="HZ847" s="1080"/>
      <c r="IA847" s="1080"/>
      <c r="IB847" s="1080"/>
      <c r="IC847" s="1080"/>
      <c r="ID847" s="1080"/>
      <c r="IE847" s="1080"/>
      <c r="IF847" s="1080"/>
      <c r="IG847" s="1081"/>
      <c r="IH847" s="1080"/>
      <c r="II847" s="1080"/>
      <c r="IJ847" s="1080"/>
      <c r="IK847" s="1080"/>
      <c r="IL847" s="1080"/>
      <c r="IM847" s="1080"/>
      <c r="IN847" s="1080"/>
      <c r="IO847" s="1081"/>
      <c r="IP847" s="1080"/>
      <c r="IQ847" s="1080"/>
      <c r="IR847" s="1080"/>
      <c r="IS847" s="1080"/>
      <c r="IT847" s="1080"/>
      <c r="IU847" s="1080"/>
      <c r="IV847" s="1080"/>
      <c r="IW847" s="1080"/>
      <c r="IX847" s="1049"/>
      <c r="IY847" s="1049"/>
      <c r="IZ847" s="1049"/>
      <c r="JA847" s="1049"/>
      <c r="JB847" s="1049"/>
      <c r="JC847" s="1049"/>
      <c r="JD847" s="1041"/>
      <c r="JE847" s="1037"/>
      <c r="JF847" s="1037"/>
      <c r="JG847" s="1037"/>
      <c r="JH847" s="1037"/>
      <c r="JI847" s="1035"/>
      <c r="JJ847" s="1035"/>
      <c r="JK847" s="1035"/>
      <c r="JL847" s="1035"/>
      <c r="JM847" s="1035"/>
      <c r="JN847" s="1035"/>
      <c r="JO847" s="1035"/>
      <c r="JP847" s="1035"/>
      <c r="JQ847" s="1035"/>
      <c r="JR847" s="1035"/>
      <c r="JS847" s="1035"/>
      <c r="JT847" s="1035"/>
      <c r="JU847" s="1035"/>
      <c r="JV847" s="1035"/>
      <c r="JW847" s="1035"/>
      <c r="JX847" s="1035"/>
      <c r="JY847" s="1035"/>
      <c r="LV847" s="1113"/>
    </row>
    <row r="848" s="969" customFormat="1" outlineLevel="1" spans="1:334">
      <c r="A848" s="1180" t="s">
        <v>94</v>
      </c>
      <c r="B848" s="1057"/>
      <c r="C848" s="1057"/>
      <c r="D848" s="1057"/>
      <c r="E848" s="1057"/>
      <c r="F848" s="1057"/>
      <c r="G848" s="1057"/>
      <c r="H848" s="1057"/>
      <c r="I848" s="1057"/>
      <c r="J848" s="1057"/>
      <c r="K848" s="1057"/>
      <c r="L848" s="1057"/>
      <c r="M848" s="1057"/>
      <c r="N848" s="1057"/>
      <c r="O848" s="1057"/>
      <c r="P848" s="1057"/>
      <c r="Q848" s="1057"/>
      <c r="R848" s="1057"/>
      <c r="S848" s="1057"/>
      <c r="T848" s="1057"/>
      <c r="U848" s="1057"/>
      <c r="V848" s="1057"/>
      <c r="W848" s="1057"/>
      <c r="X848" s="1057"/>
      <c r="Y848" s="1057"/>
      <c r="Z848" s="1057"/>
      <c r="AA848" s="1057"/>
      <c r="AB848" s="1057"/>
      <c r="AC848" s="1057"/>
      <c r="AD848" s="1057"/>
      <c r="AE848" s="1057"/>
      <c r="AF848" s="1057"/>
      <c r="AG848" s="1057"/>
      <c r="AH848" s="1057"/>
      <c r="AI848" s="1057"/>
      <c r="AJ848" s="1057"/>
      <c r="AK848" s="1057"/>
      <c r="AL848" s="1057"/>
      <c r="AM848" s="1057"/>
      <c r="AN848" s="1057"/>
      <c r="AO848" s="1057"/>
      <c r="AP848" s="1057"/>
      <c r="AQ848" s="1057"/>
      <c r="AR848" s="1057"/>
      <c r="AS848" s="1057"/>
      <c r="AT848" s="1057"/>
      <c r="AU848" s="1057"/>
      <c r="AV848" s="1057"/>
      <c r="AW848" s="1057"/>
      <c r="AX848" s="1153"/>
      <c r="AY848" s="1057"/>
      <c r="AZ848" s="1057"/>
      <c r="BA848" s="1057"/>
      <c r="BB848" s="1057"/>
      <c r="BC848" s="1057"/>
      <c r="BD848" s="1057"/>
      <c r="BE848" s="1154"/>
      <c r="BF848" s="1057"/>
      <c r="BG848" s="1057"/>
      <c r="BH848" s="1057"/>
      <c r="BI848" s="1057"/>
      <c r="BJ848" s="1057"/>
      <c r="BK848" s="1057"/>
      <c r="BL848" s="1057"/>
      <c r="BM848" s="1057"/>
      <c r="BN848" s="1153"/>
      <c r="BO848" s="1057"/>
      <c r="BP848" s="1057"/>
      <c r="BQ848" s="1057"/>
      <c r="BR848" s="1057"/>
      <c r="BS848" s="1057"/>
      <c r="BT848" s="1057"/>
      <c r="BU848" s="1154"/>
      <c r="BV848" s="1153"/>
      <c r="BW848" s="1057"/>
      <c r="BX848" s="1057"/>
      <c r="BY848" s="1057"/>
      <c r="BZ848" s="1057"/>
      <c r="CA848" s="1057"/>
      <c r="CB848" s="1057"/>
      <c r="CC848" s="1154"/>
      <c r="CD848" s="1153"/>
      <c r="CE848" s="1057"/>
      <c r="CF848" s="1057"/>
      <c r="CG848" s="1057"/>
      <c r="CH848" s="1057"/>
      <c r="CI848" s="1057"/>
      <c r="CJ848" s="1155"/>
      <c r="CK848" s="1154"/>
      <c r="CL848" s="1153"/>
      <c r="CM848" s="1057"/>
      <c r="CN848" s="1057"/>
      <c r="CO848" s="1057"/>
      <c r="CP848" s="1057"/>
      <c r="CQ848" s="1057"/>
      <c r="CR848" s="1057"/>
      <c r="CS848" s="1154"/>
      <c r="CT848" s="1180"/>
      <c r="CU848" s="1180"/>
      <c r="CV848" s="1180"/>
      <c r="CW848" s="1180"/>
      <c r="CX848" s="1180"/>
      <c r="CY848" s="1180"/>
      <c r="CZ848" s="1180"/>
      <c r="DA848" s="1180"/>
      <c r="DB848" s="1071">
        <v>15</v>
      </c>
      <c r="DC848" s="1071">
        <v>5</v>
      </c>
      <c r="DD848" s="1071">
        <f>DB848+DC848</f>
        <v>20</v>
      </c>
      <c r="DE848" s="1071">
        <v>18</v>
      </c>
      <c r="DF848" s="1071">
        <f>DD848+DE848</f>
        <v>38</v>
      </c>
      <c r="DG848" s="1071">
        <v>4</v>
      </c>
      <c r="DH848" s="1071">
        <f>DE848+DG848</f>
        <v>22</v>
      </c>
      <c r="DI848" s="1072" t="e">
        <f>'Profit and Loss'!#REF!</f>
        <v>#REF!</v>
      </c>
      <c r="DJ848" s="1071">
        <v>15</v>
      </c>
      <c r="DK848" s="1071">
        <v>6</v>
      </c>
      <c r="DL848" s="1071">
        <f>DJ848+DK848</f>
        <v>21</v>
      </c>
      <c r="DM848" s="1071">
        <v>15</v>
      </c>
      <c r="DN848" s="1071">
        <f>DL848+DM848</f>
        <v>36</v>
      </c>
      <c r="DO848" s="1071">
        <v>7</v>
      </c>
      <c r="DP848" s="1071">
        <f>DO848+DM848</f>
        <v>22</v>
      </c>
      <c r="DQ848" s="1072" t="e">
        <f>'Profit and Loss'!#REF!</f>
        <v>#REF!</v>
      </c>
      <c r="DR848" s="1071">
        <v>16</v>
      </c>
      <c r="DS848" s="1071">
        <f>DT848-DR848</f>
        <v>8</v>
      </c>
      <c r="DT848" s="1071">
        <v>24</v>
      </c>
      <c r="DU848" s="1071">
        <f>DV848-DT848</f>
        <v>24</v>
      </c>
      <c r="DV848" s="1071">
        <v>48</v>
      </c>
      <c r="DW848" s="1071" t="e">
        <f>DY848-DV848</f>
        <v>#REF!</v>
      </c>
      <c r="DX848" s="1071" t="e">
        <f>DY848-DT848</f>
        <v>#REF!</v>
      </c>
      <c r="DY848" s="1072" t="e">
        <f>'Profit and Loss'!#REF!</f>
        <v>#REF!</v>
      </c>
      <c r="DZ848" s="1071">
        <f>+DZ851-DZ839-DZ842-DZ845</f>
        <v>19</v>
      </c>
      <c r="EA848" s="1071">
        <f>+EB848-DZ848</f>
        <v>6</v>
      </c>
      <c r="EB848" s="1071">
        <f t="shared" ref="EB848:EG848" si="4653">+EB851-EB845-EB842-EB839</f>
        <v>25</v>
      </c>
      <c r="EC848" s="1071">
        <f t="shared" si="4653"/>
        <v>24</v>
      </c>
      <c r="ED848" s="1071">
        <f t="shared" si="4653"/>
        <v>49</v>
      </c>
      <c r="EE848" s="1071">
        <f t="shared" si="4653"/>
        <v>15</v>
      </c>
      <c r="EF848" s="1071">
        <f t="shared" si="4653"/>
        <v>40</v>
      </c>
      <c r="EG848" s="1072">
        <f t="shared" si="4653"/>
        <v>65</v>
      </c>
      <c r="EH848" s="1071">
        <v>32</v>
      </c>
      <c r="EI848" s="1071">
        <f>+EJ848-EH848</f>
        <v>18</v>
      </c>
      <c r="EJ848" s="1071">
        <v>50</v>
      </c>
      <c r="EK848" s="1071">
        <f>EL848-EJ848</f>
        <v>36</v>
      </c>
      <c r="EL848" s="1071">
        <v>86</v>
      </c>
      <c r="EM848" s="1071">
        <f>EN848-EK848</f>
        <v>18</v>
      </c>
      <c r="EN848" s="1071">
        <f>EO848-EJ848</f>
        <v>54</v>
      </c>
      <c r="EO848" s="1072">
        <v>104</v>
      </c>
      <c r="EP848" s="1071">
        <v>33</v>
      </c>
      <c r="EQ848" s="1071">
        <f>ER848-EP848</f>
        <v>21</v>
      </c>
      <c r="ER848" s="1071">
        <v>54</v>
      </c>
      <c r="ES848" s="1071">
        <f>ET848-ER848</f>
        <v>36</v>
      </c>
      <c r="ET848" s="1071">
        <v>90</v>
      </c>
      <c r="EU848" s="1071">
        <f>EV848-ES848</f>
        <v>22</v>
      </c>
      <c r="EV848" s="1071">
        <f>EW848-ER848</f>
        <v>58</v>
      </c>
      <c r="EW848" s="1072">
        <v>112</v>
      </c>
      <c r="EX848" s="1076">
        <v>33</v>
      </c>
      <c r="EY848" s="1071">
        <f>EZ848-EX848</f>
        <v>24</v>
      </c>
      <c r="EZ848" s="1071">
        <v>57</v>
      </c>
      <c r="FA848" s="1071">
        <f>FB848-EZ848</f>
        <v>48</v>
      </c>
      <c r="FB848" s="1071">
        <v>105</v>
      </c>
      <c r="FC848" s="1071"/>
      <c r="FD848" s="1071"/>
      <c r="FE848" s="1072"/>
      <c r="FF848" s="1071"/>
      <c r="FG848" s="1071"/>
      <c r="FH848" s="1071"/>
      <c r="FI848" s="1071"/>
      <c r="FJ848" s="1071"/>
      <c r="FK848" s="1071"/>
      <c r="FL848" s="1071"/>
      <c r="FM848" s="1072"/>
      <c r="FN848" s="1071"/>
      <c r="FO848" s="1071"/>
      <c r="FP848" s="1071"/>
      <c r="FQ848" s="1071"/>
      <c r="FR848" s="1071"/>
      <c r="FS848" s="1071"/>
      <c r="FT848" s="1071"/>
      <c r="FU848" s="1071"/>
      <c r="FV848" s="1177"/>
      <c r="FW848" s="1071"/>
      <c r="FX848" s="1071"/>
      <c r="FY848" s="1071"/>
      <c r="FZ848" s="1071"/>
      <c r="GA848" s="1071"/>
      <c r="GB848" s="1071"/>
      <c r="GC848" s="1072"/>
      <c r="GD848" s="1071"/>
      <c r="GE848" s="1071"/>
      <c r="GF848" s="1071"/>
      <c r="GG848" s="1071"/>
      <c r="GH848" s="1071"/>
      <c r="GI848" s="1071"/>
      <c r="GJ848" s="1071"/>
      <c r="GK848" s="1072"/>
      <c r="GL848" s="1071"/>
      <c r="GM848" s="1071"/>
      <c r="GN848" s="1071"/>
      <c r="GO848" s="1071"/>
      <c r="GP848" s="1071"/>
      <c r="GQ848" s="1071"/>
      <c r="GR848" s="1071"/>
      <c r="GS848" s="1072"/>
      <c r="GT848" s="1071"/>
      <c r="GU848" s="1071"/>
      <c r="GV848" s="1071"/>
      <c r="GW848" s="1071"/>
      <c r="GX848" s="1071"/>
      <c r="GY848" s="1071"/>
      <c r="GZ848" s="1071"/>
      <c r="HA848" s="1072"/>
      <c r="HB848" s="1071"/>
      <c r="HC848" s="1071"/>
      <c r="HD848" s="1071"/>
      <c r="HE848" s="1071"/>
      <c r="HF848" s="1071"/>
      <c r="HG848" s="1071"/>
      <c r="HH848" s="1071"/>
      <c r="HI848" s="1072"/>
      <c r="HJ848" s="1071"/>
      <c r="HK848" s="1071"/>
      <c r="HL848" s="1071"/>
      <c r="HM848" s="1071"/>
      <c r="HN848" s="1071"/>
      <c r="HO848" s="1071"/>
      <c r="HP848" s="1071"/>
      <c r="HQ848" s="1072"/>
      <c r="HR848" s="1071"/>
      <c r="HS848" s="1071"/>
      <c r="HT848" s="1071"/>
      <c r="HU848" s="1071"/>
      <c r="HV848" s="1071"/>
      <c r="HW848" s="1071"/>
      <c r="HX848" s="1071"/>
      <c r="HY848" s="1071"/>
      <c r="HZ848" s="1071"/>
      <c r="IA848" s="1071"/>
      <c r="IB848" s="1071"/>
      <c r="IC848" s="1071"/>
      <c r="ID848" s="1071"/>
      <c r="IE848" s="1071"/>
      <c r="IF848" s="1071"/>
      <c r="IG848" s="1072"/>
      <c r="IH848" s="1071"/>
      <c r="II848" s="1071"/>
      <c r="IJ848" s="1071"/>
      <c r="IK848" s="1071"/>
      <c r="IL848" s="1071"/>
      <c r="IM848" s="1071"/>
      <c r="IN848" s="1071"/>
      <c r="IO848" s="1072"/>
      <c r="IP848" s="1071"/>
      <c r="IQ848" s="1071"/>
      <c r="IR848" s="1071"/>
      <c r="IS848" s="1071"/>
      <c r="IT848" s="1071"/>
      <c r="IU848" s="1071"/>
      <c r="IV848" s="1071"/>
      <c r="IW848" s="1071"/>
      <c r="IX848" s="1049" t="s">
        <v>673</v>
      </c>
      <c r="IY848" s="1049"/>
      <c r="IZ848" s="1049"/>
      <c r="JA848" s="1049"/>
      <c r="JB848" s="1049"/>
      <c r="JC848" s="1049"/>
      <c r="JD848" s="1103"/>
      <c r="JE848" s="1079"/>
      <c r="JF848" s="1079"/>
      <c r="JG848" s="1079"/>
      <c r="JH848" s="1079"/>
      <c r="LV848" s="1180"/>
    </row>
    <row r="849" outlineLevel="1" spans="1:334">
      <c r="A849" s="967" t="s">
        <v>61</v>
      </c>
      <c r="AX849" s="1059"/>
      <c r="BE849" s="1060"/>
      <c r="BN849" s="1059"/>
      <c r="BU849" s="1060"/>
      <c r="BV849" s="1059"/>
      <c r="CC849" s="1060"/>
      <c r="CD849" s="1059"/>
      <c r="CJ849" s="1061"/>
      <c r="CK849" s="1060"/>
      <c r="CL849" s="1059"/>
      <c r="CS849" s="1060"/>
      <c r="CT849" s="967"/>
      <c r="CU849" s="967"/>
      <c r="CV849" s="967"/>
      <c r="CW849" s="967"/>
      <c r="CX849" s="967"/>
      <c r="CY849" s="967"/>
      <c r="CZ849" s="967"/>
      <c r="DA849" s="967"/>
      <c r="DI849" s="1072"/>
      <c r="DJ849" s="1080">
        <f t="shared" ref="DJ849:DQ849" si="4654">DJ848/DB848-1</f>
        <v>0</v>
      </c>
      <c r="DK849" s="1080">
        <f t="shared" si="4654"/>
        <v>0.2</v>
      </c>
      <c r="DL849" s="1080">
        <f t="shared" si="4654"/>
        <v>0.05</v>
      </c>
      <c r="DM849" s="1080">
        <f t="shared" si="4654"/>
        <v>-0.166666666666667</v>
      </c>
      <c r="DN849" s="1080">
        <f t="shared" si="4654"/>
        <v>-0.0526315789473685</v>
      </c>
      <c r="DO849" s="1080">
        <f t="shared" si="4654"/>
        <v>0.75</v>
      </c>
      <c r="DP849" s="1080">
        <f t="shared" si="4654"/>
        <v>0</v>
      </c>
      <c r="DQ849" s="1081" t="e">
        <f t="shared" si="4654"/>
        <v>#REF!</v>
      </c>
      <c r="DR849" s="1080">
        <f t="shared" ref="DR849:ED849" si="4655">DR848/DJ848-1</f>
        <v>0.0666666666666667</v>
      </c>
      <c r="DS849" s="1080">
        <f t="shared" si="4655"/>
        <v>0.333333333333333</v>
      </c>
      <c r="DT849" s="1080">
        <f t="shared" si="4655"/>
        <v>0.142857142857143</v>
      </c>
      <c r="DU849" s="1080">
        <f t="shared" si="4655"/>
        <v>0.6</v>
      </c>
      <c r="DV849" s="1080">
        <f t="shared" si="4655"/>
        <v>0.333333333333333</v>
      </c>
      <c r="DW849" s="1080" t="e">
        <f t="shared" si="4655"/>
        <v>#REF!</v>
      </c>
      <c r="DX849" s="1080" t="e">
        <f t="shared" si="4655"/>
        <v>#REF!</v>
      </c>
      <c r="DY849" s="1081" t="e">
        <f t="shared" si="4655"/>
        <v>#REF!</v>
      </c>
      <c r="DZ849" s="1080">
        <f t="shared" si="4655"/>
        <v>0.1875</v>
      </c>
      <c r="EA849" s="1080">
        <f t="shared" si="4655"/>
        <v>-0.25</v>
      </c>
      <c r="EB849" s="1080">
        <f t="shared" si="4655"/>
        <v>0.0416666666666667</v>
      </c>
      <c r="EC849" s="1080">
        <f t="shared" si="4655"/>
        <v>0</v>
      </c>
      <c r="ED849" s="1080">
        <f t="shared" si="4655"/>
        <v>0.0208333333333333</v>
      </c>
      <c r="EE849" s="1082" t="e">
        <f t="shared" ref="EE849:EJ849" si="4656">EE848/DW848-1</f>
        <v>#REF!</v>
      </c>
      <c r="EF849" s="1082" t="e">
        <f t="shared" si="4656"/>
        <v>#REF!</v>
      </c>
      <c r="EG849" s="1081" t="e">
        <f t="shared" si="4656"/>
        <v>#REF!</v>
      </c>
      <c r="EH849" s="1080">
        <f t="shared" si="4656"/>
        <v>0.684210526315789</v>
      </c>
      <c r="EI849" s="1080">
        <f t="shared" si="4656"/>
        <v>2</v>
      </c>
      <c r="EJ849" s="1080">
        <f t="shared" si="4656"/>
        <v>1</v>
      </c>
      <c r="EK849" s="1080">
        <f t="shared" ref="EK849:EP849" si="4657">EK848/EC848-1</f>
        <v>0.5</v>
      </c>
      <c r="EL849" s="1080">
        <f t="shared" si="4657"/>
        <v>0.755102040816326</v>
      </c>
      <c r="EM849" s="1080">
        <f t="shared" si="4657"/>
        <v>0.2</v>
      </c>
      <c r="EN849" s="1080">
        <f t="shared" si="4657"/>
        <v>0.35</v>
      </c>
      <c r="EO849" s="1081">
        <f t="shared" si="4657"/>
        <v>0.6</v>
      </c>
      <c r="EP849" s="1080">
        <f t="shared" si="4657"/>
        <v>0.03125</v>
      </c>
      <c r="EQ849" s="1080">
        <f t="shared" ref="EQ849:FB849" si="4658">EQ848/EI848-1</f>
        <v>0.166666666666667</v>
      </c>
      <c r="ER849" s="1080">
        <f t="shared" si="4658"/>
        <v>0.0800000000000001</v>
      </c>
      <c r="ES849" s="1080">
        <f t="shared" si="4658"/>
        <v>0</v>
      </c>
      <c r="ET849" s="1080">
        <f t="shared" si="4658"/>
        <v>0.0465116279069768</v>
      </c>
      <c r="EU849" s="1080">
        <f t="shared" si="4658"/>
        <v>0.222222222222222</v>
      </c>
      <c r="EV849" s="1080">
        <f t="shared" si="4658"/>
        <v>0.0740740740740742</v>
      </c>
      <c r="EW849" s="1081">
        <f t="shared" si="4658"/>
        <v>0.0769230769230769</v>
      </c>
      <c r="EX849" s="1218">
        <f t="shared" si="4658"/>
        <v>0</v>
      </c>
      <c r="EY849" s="1080">
        <f t="shared" si="4658"/>
        <v>0.142857142857143</v>
      </c>
      <c r="EZ849" s="1080">
        <f t="shared" si="4658"/>
        <v>0.0555555555555556</v>
      </c>
      <c r="FA849" s="1080">
        <f t="shared" si="4658"/>
        <v>0.333333333333333</v>
      </c>
      <c r="FB849" s="1080">
        <f t="shared" si="4658"/>
        <v>0.166666666666667</v>
      </c>
      <c r="FC849" s="1080"/>
      <c r="FD849" s="1080"/>
      <c r="FE849" s="1081"/>
      <c r="FF849" s="1080"/>
      <c r="FG849" s="1080"/>
      <c r="FH849" s="1080"/>
      <c r="FI849" s="1080"/>
      <c r="FJ849" s="1080"/>
      <c r="FK849" s="1080"/>
      <c r="FL849" s="1080"/>
      <c r="FM849" s="1081"/>
      <c r="FN849" s="1080"/>
      <c r="FO849" s="1080"/>
      <c r="FP849" s="1080"/>
      <c r="FQ849" s="1080"/>
      <c r="FR849" s="1080"/>
      <c r="FS849" s="1080"/>
      <c r="FT849" s="1080"/>
      <c r="FU849" s="1080"/>
      <c r="FV849" s="1150"/>
      <c r="FW849" s="1080"/>
      <c r="FX849" s="1080"/>
      <c r="FY849" s="1080"/>
      <c r="FZ849" s="1080"/>
      <c r="GA849" s="1080"/>
      <c r="GB849" s="1080"/>
      <c r="GC849" s="1081"/>
      <c r="GD849" s="1080"/>
      <c r="GE849" s="1080"/>
      <c r="GF849" s="1080"/>
      <c r="GG849" s="1080"/>
      <c r="GH849" s="1080"/>
      <c r="GI849" s="1080"/>
      <c r="GJ849" s="1080"/>
      <c r="GK849" s="1081"/>
      <c r="GL849" s="1080"/>
      <c r="GM849" s="1080"/>
      <c r="GN849" s="1080"/>
      <c r="GO849" s="1080"/>
      <c r="GP849" s="1080"/>
      <c r="GQ849" s="1080"/>
      <c r="GR849" s="1080"/>
      <c r="GS849" s="1081"/>
      <c r="GT849" s="1080"/>
      <c r="GU849" s="1080"/>
      <c r="GV849" s="1080"/>
      <c r="GW849" s="1080"/>
      <c r="GX849" s="1080"/>
      <c r="GY849" s="1080"/>
      <c r="GZ849" s="1080"/>
      <c r="HA849" s="1081"/>
      <c r="HB849" s="1080"/>
      <c r="HC849" s="1080"/>
      <c r="HD849" s="1080"/>
      <c r="HE849" s="1080"/>
      <c r="HF849" s="1080"/>
      <c r="HG849" s="1080"/>
      <c r="HH849" s="1080"/>
      <c r="HI849" s="1081"/>
      <c r="HJ849" s="1080"/>
      <c r="HK849" s="1080"/>
      <c r="HL849" s="1080"/>
      <c r="HM849" s="1080"/>
      <c r="HN849" s="1080"/>
      <c r="HO849" s="1080"/>
      <c r="HP849" s="1080"/>
      <c r="HQ849" s="1081"/>
      <c r="HR849" s="1080"/>
      <c r="HS849" s="1080"/>
      <c r="HT849" s="1080"/>
      <c r="HU849" s="1080"/>
      <c r="HV849" s="1080"/>
      <c r="HW849" s="1080"/>
      <c r="HX849" s="1080"/>
      <c r="HY849" s="1080"/>
      <c r="HZ849" s="1080"/>
      <c r="IA849" s="1080"/>
      <c r="IB849" s="1080"/>
      <c r="IC849" s="1080"/>
      <c r="ID849" s="1080"/>
      <c r="IE849" s="1080"/>
      <c r="IF849" s="1080"/>
      <c r="IG849" s="1081"/>
      <c r="IH849" s="1080"/>
      <c r="II849" s="1080"/>
      <c r="IJ849" s="1080"/>
      <c r="IK849" s="1080"/>
      <c r="IL849" s="1080"/>
      <c r="IM849" s="1080"/>
      <c r="IN849" s="1080"/>
      <c r="IO849" s="1081"/>
      <c r="IP849" s="1080"/>
      <c r="IQ849" s="1080"/>
      <c r="IR849" s="1080"/>
      <c r="IS849" s="1080"/>
      <c r="IT849" s="1080"/>
      <c r="IU849" s="1080"/>
      <c r="IV849" s="1080"/>
      <c r="IW849" s="1080"/>
      <c r="IX849" s="1049"/>
      <c r="IY849" s="1049"/>
      <c r="IZ849" s="1049"/>
      <c r="JA849" s="1049"/>
      <c r="JB849" s="1049"/>
      <c r="JC849" s="1049"/>
      <c r="JD849" s="1041"/>
      <c r="JE849" s="1037"/>
      <c r="JF849" s="1037"/>
      <c r="JG849" s="1037"/>
      <c r="JH849" s="1037"/>
      <c r="JI849" s="1035"/>
      <c r="JJ849" s="1035"/>
      <c r="JK849" s="1035"/>
      <c r="JL849" s="1035"/>
      <c r="JM849" s="1035"/>
      <c r="JN849" s="1035"/>
      <c r="JO849" s="1035"/>
      <c r="JP849" s="1035"/>
      <c r="JQ849" s="1035"/>
      <c r="JR849" s="1035"/>
      <c r="JS849" s="1035"/>
      <c r="JT849" s="1035"/>
      <c r="JU849" s="1035"/>
      <c r="JV849" s="1035"/>
      <c r="JW849" s="1035"/>
      <c r="JX849" s="1035"/>
      <c r="JY849" s="1035"/>
      <c r="LV849" s="967"/>
    </row>
    <row r="850" outlineLevel="1" spans="1:334">
      <c r="A850" s="967" t="s">
        <v>65</v>
      </c>
      <c r="AX850" s="1059"/>
      <c r="BE850" s="1060"/>
      <c r="BN850" s="1059"/>
      <c r="BU850" s="1060"/>
      <c r="BV850" s="1059"/>
      <c r="CC850" s="1060"/>
      <c r="CD850" s="1059"/>
      <c r="CJ850" s="1061"/>
      <c r="CK850" s="1060"/>
      <c r="CL850" s="1059"/>
      <c r="CS850" s="1060"/>
      <c r="CT850" s="967"/>
      <c r="CU850" s="967"/>
      <c r="CV850" s="967"/>
      <c r="CW850" s="967"/>
      <c r="CX850" s="967"/>
      <c r="CY850" s="967"/>
      <c r="CZ850" s="967"/>
      <c r="DA850" s="967"/>
      <c r="DJ850" s="1080">
        <v>0.04</v>
      </c>
      <c r="DK850" s="1080">
        <v>0.05</v>
      </c>
      <c r="DL850" s="1080">
        <f>(DJ850*DB848+DK850*DC848)/DD848</f>
        <v>0.0425</v>
      </c>
      <c r="DM850" s="1080">
        <v>-0.14</v>
      </c>
      <c r="DN850" s="1080">
        <f>(DJ850*DB848+DK850*DC848+DM850*DE848)/DF848</f>
        <v>-0.0439473684210526</v>
      </c>
      <c r="DO850" s="1080">
        <v>0.64</v>
      </c>
      <c r="DP850" s="1080">
        <f>(DM850*DE848+DO850*DG848)/DH848</f>
        <v>0.0018181818181818</v>
      </c>
      <c r="DQ850" s="1081" t="e">
        <f>'Profit and Loss'!#REF!</f>
        <v>#REF!</v>
      </c>
      <c r="DR850" s="1080"/>
      <c r="DS850" s="1080"/>
      <c r="DT850" s="1080"/>
      <c r="DU850" s="1080"/>
      <c r="DV850" s="1080"/>
      <c r="DW850" s="1080"/>
      <c r="DX850" s="1080"/>
      <c r="DY850" s="1081"/>
      <c r="DZ850" s="1080"/>
      <c r="EA850" s="1080"/>
      <c r="EB850" s="1080"/>
      <c r="EC850" s="1080"/>
      <c r="ED850" s="1080"/>
      <c r="EE850" s="1080"/>
      <c r="EF850" s="1080"/>
      <c r="EG850" s="1081">
        <v>0.13</v>
      </c>
      <c r="EH850" s="1080">
        <v>0.61</v>
      </c>
      <c r="EI850" s="1080"/>
      <c r="EJ850" s="1080">
        <v>0.88</v>
      </c>
      <c r="EK850" s="1080"/>
      <c r="EL850" s="1080">
        <v>0.69</v>
      </c>
      <c r="EM850" s="1080"/>
      <c r="EN850" s="1080"/>
      <c r="EO850" s="1081">
        <v>0.61</v>
      </c>
      <c r="EP850" s="1080">
        <v>0.05</v>
      </c>
      <c r="EQ850" s="1080">
        <f>(EJ848*ER850-EH848*EP850)/EI848</f>
        <v>0.161111111111111</v>
      </c>
      <c r="ER850" s="1080">
        <v>0.09</v>
      </c>
      <c r="ES850" s="1080">
        <f>(EL848*ET850-EJ848*ER850)/EK848</f>
        <v>-0.00555555555555556</v>
      </c>
      <c r="ET850" s="1080">
        <v>0.05</v>
      </c>
      <c r="EU850" s="1080">
        <f>(EO848*EW850-EH848*EP850-EI848*EQ850-EK848*ES850)/EM848</f>
        <v>0.281111111111111</v>
      </c>
      <c r="EV850" s="1080">
        <f>(EO848*EW850-EJ848*ER850)/EN848</f>
        <v>0.09</v>
      </c>
      <c r="EW850" s="1081">
        <v>0.09</v>
      </c>
      <c r="EX850" s="1218">
        <v>0</v>
      </c>
      <c r="EY850" s="1080">
        <f>(ER848*EZ850-EP848*EX850)/EQ848</f>
        <v>0.18</v>
      </c>
      <c r="EZ850" s="1080">
        <v>0.07</v>
      </c>
      <c r="FA850" s="1080">
        <f>(ET848*FB850-ER848*EZ850)/ES848</f>
        <v>0.345</v>
      </c>
      <c r="FB850" s="1080">
        <v>0.18</v>
      </c>
      <c r="FC850" s="1080"/>
      <c r="FD850" s="1080"/>
      <c r="FE850" s="1081"/>
      <c r="FF850" s="1080"/>
      <c r="FG850" s="1080"/>
      <c r="FH850" s="1080"/>
      <c r="FI850" s="1080"/>
      <c r="FJ850" s="1080"/>
      <c r="FK850" s="1080"/>
      <c r="FL850" s="1080"/>
      <c r="FM850" s="1081"/>
      <c r="FN850" s="1080"/>
      <c r="FO850" s="1080"/>
      <c r="FP850" s="1080"/>
      <c r="FQ850" s="1080"/>
      <c r="FR850" s="1080"/>
      <c r="FS850" s="1080"/>
      <c r="FT850" s="1080"/>
      <c r="FU850" s="1080"/>
      <c r="FV850" s="1150"/>
      <c r="FW850" s="1080"/>
      <c r="FX850" s="1080"/>
      <c r="FY850" s="1080"/>
      <c r="FZ850" s="1080"/>
      <c r="GA850" s="1080"/>
      <c r="GB850" s="1080"/>
      <c r="GC850" s="1081"/>
      <c r="GD850" s="1080"/>
      <c r="GE850" s="1080"/>
      <c r="GF850" s="1080"/>
      <c r="GG850" s="1080"/>
      <c r="GH850" s="1080"/>
      <c r="GI850" s="1080"/>
      <c r="GJ850" s="1080"/>
      <c r="GK850" s="1081"/>
      <c r="GL850" s="1080"/>
      <c r="GM850" s="1080"/>
      <c r="GN850" s="1080"/>
      <c r="GO850" s="1080"/>
      <c r="GP850" s="1080"/>
      <c r="GQ850" s="1080"/>
      <c r="GR850" s="1080"/>
      <c r="GS850" s="1081"/>
      <c r="GT850" s="1080"/>
      <c r="GU850" s="1080"/>
      <c r="GV850" s="1080"/>
      <c r="GW850" s="1080"/>
      <c r="GX850" s="1080"/>
      <c r="GY850" s="1080"/>
      <c r="GZ850" s="1080"/>
      <c r="HA850" s="1081"/>
      <c r="HB850" s="1080"/>
      <c r="HC850" s="1080"/>
      <c r="HD850" s="1080"/>
      <c r="HE850" s="1080"/>
      <c r="HF850" s="1080"/>
      <c r="HG850" s="1080"/>
      <c r="HH850" s="1080"/>
      <c r="HI850" s="1081"/>
      <c r="HJ850" s="1080"/>
      <c r="HK850" s="1080"/>
      <c r="HL850" s="1080"/>
      <c r="HM850" s="1080"/>
      <c r="HN850" s="1080"/>
      <c r="HO850" s="1080"/>
      <c r="HP850" s="1080"/>
      <c r="HQ850" s="1081"/>
      <c r="HR850" s="1080"/>
      <c r="HS850" s="1080"/>
      <c r="HT850" s="1080"/>
      <c r="HU850" s="1080"/>
      <c r="HV850" s="1080"/>
      <c r="HW850" s="1080"/>
      <c r="HX850" s="1080"/>
      <c r="HY850" s="1080"/>
      <c r="HZ850" s="1080"/>
      <c r="IA850" s="1080"/>
      <c r="IB850" s="1080"/>
      <c r="IC850" s="1080"/>
      <c r="ID850" s="1080"/>
      <c r="IE850" s="1080"/>
      <c r="IF850" s="1080"/>
      <c r="IG850" s="1081"/>
      <c r="IH850" s="1080"/>
      <c r="II850" s="1080"/>
      <c r="IJ850" s="1080"/>
      <c r="IK850" s="1080"/>
      <c r="IL850" s="1080"/>
      <c r="IM850" s="1080"/>
      <c r="IN850" s="1080"/>
      <c r="IO850" s="1081"/>
      <c r="IP850" s="1080"/>
      <c r="IQ850" s="1080"/>
      <c r="IR850" s="1080"/>
      <c r="IS850" s="1080"/>
      <c r="IT850" s="1080"/>
      <c r="IU850" s="1080"/>
      <c r="IV850" s="1080"/>
      <c r="IW850" s="1080"/>
      <c r="IX850" s="1049"/>
      <c r="IY850" s="1049"/>
      <c r="IZ850" s="1049"/>
      <c r="JA850" s="1049"/>
      <c r="JB850" s="1049"/>
      <c r="JC850" s="1049"/>
      <c r="JD850" s="1041"/>
      <c r="JE850" s="1037"/>
      <c r="JF850" s="1037"/>
      <c r="JG850" s="1037"/>
      <c r="JH850" s="1037"/>
      <c r="JI850" s="1035"/>
      <c r="JJ850" s="1035"/>
      <c r="JK850" s="1035"/>
      <c r="JL850" s="1035"/>
      <c r="JM850" s="1035"/>
      <c r="JN850" s="1035"/>
      <c r="JO850" s="1035"/>
      <c r="JP850" s="1035"/>
      <c r="JQ850" s="1035"/>
      <c r="JR850" s="1035"/>
      <c r="JS850" s="1035"/>
      <c r="JT850" s="1035"/>
      <c r="JU850" s="1035"/>
      <c r="JV850" s="1035"/>
      <c r="JW850" s="1035"/>
      <c r="JX850" s="1035"/>
      <c r="JY850" s="1035"/>
      <c r="LV850" s="1113"/>
    </row>
    <row r="851" outlineLevel="1" spans="1:334">
      <c r="A851" s="1607" t="s">
        <v>212</v>
      </c>
      <c r="AX851" s="1059"/>
      <c r="BE851" s="1060"/>
      <c r="BN851" s="1059"/>
      <c r="BU851" s="1060"/>
      <c r="BV851" s="1059"/>
      <c r="CC851" s="1060"/>
      <c r="CD851" s="1059"/>
      <c r="CJ851" s="1061"/>
      <c r="CK851" s="1060"/>
      <c r="CL851" s="1059"/>
      <c r="CS851" s="1060"/>
      <c r="CT851" s="1607"/>
      <c r="CU851" s="1607"/>
      <c r="CV851" s="1607"/>
      <c r="CW851" s="1607"/>
      <c r="CX851" s="1607"/>
      <c r="CY851" s="1607"/>
      <c r="CZ851" s="1607"/>
      <c r="DA851" s="1607"/>
      <c r="DB851" s="1106">
        <f t="shared" ref="DB851:DN851" si="4659">SUM(DB848,DB845,DB842,DB839)</f>
        <v>285</v>
      </c>
      <c r="DC851" s="1106">
        <f t="shared" si="4659"/>
        <v>336</v>
      </c>
      <c r="DD851" s="1106">
        <f t="shared" si="4659"/>
        <v>621</v>
      </c>
      <c r="DE851" s="1106">
        <f t="shared" si="4659"/>
        <v>347</v>
      </c>
      <c r="DF851" s="1106">
        <f t="shared" si="4659"/>
        <v>968</v>
      </c>
      <c r="DG851" s="1106">
        <f t="shared" si="4659"/>
        <v>317</v>
      </c>
      <c r="DH851" s="1106">
        <f t="shared" si="4659"/>
        <v>664</v>
      </c>
      <c r="DI851" s="1107" t="e">
        <f t="shared" si="4659"/>
        <v>#REF!</v>
      </c>
      <c r="DJ851" s="1106">
        <f t="shared" si="4659"/>
        <v>293</v>
      </c>
      <c r="DK851" s="1106">
        <f t="shared" si="4659"/>
        <v>360</v>
      </c>
      <c r="DL851" s="1106">
        <f t="shared" si="4659"/>
        <v>653</v>
      </c>
      <c r="DM851" s="1106">
        <f t="shared" si="4659"/>
        <v>321</v>
      </c>
      <c r="DN851" s="1106">
        <f t="shared" si="4659"/>
        <v>974</v>
      </c>
      <c r="DO851" s="1106">
        <f t="shared" ref="DO851:DY851" si="4660">SUM(DO848,DO845,DO842,DO839)</f>
        <v>308</v>
      </c>
      <c r="DP851" s="1106">
        <f t="shared" si="4660"/>
        <v>629</v>
      </c>
      <c r="DQ851" s="1107" t="e">
        <f t="shared" si="4660"/>
        <v>#REF!</v>
      </c>
      <c r="DR851" s="1106">
        <f t="shared" si="4660"/>
        <v>316</v>
      </c>
      <c r="DS851" s="1106">
        <f t="shared" si="4660"/>
        <v>387</v>
      </c>
      <c r="DT851" s="1106">
        <f t="shared" si="4660"/>
        <v>703</v>
      </c>
      <c r="DU851" s="1106">
        <f t="shared" si="4660"/>
        <v>383</v>
      </c>
      <c r="DV851" s="1106">
        <f t="shared" si="4660"/>
        <v>1086</v>
      </c>
      <c r="DW851" s="1106" t="e">
        <f t="shared" si="4660"/>
        <v>#REF!</v>
      </c>
      <c r="DX851" s="1106" t="e">
        <f t="shared" si="4660"/>
        <v>#REF!</v>
      </c>
      <c r="DY851" s="1107" t="e">
        <f t="shared" si="4660"/>
        <v>#REF!</v>
      </c>
      <c r="DZ851" s="1106">
        <f t="shared" ref="DZ851:EG851" si="4661">+DZ21</f>
        <v>376</v>
      </c>
      <c r="EA851" s="1106">
        <f t="shared" si="4661"/>
        <v>410</v>
      </c>
      <c r="EB851" s="1106">
        <f t="shared" si="4661"/>
        <v>786</v>
      </c>
      <c r="EC851" s="1106">
        <f t="shared" si="4661"/>
        <v>411</v>
      </c>
      <c r="ED851" s="1106">
        <f t="shared" si="4661"/>
        <v>1197</v>
      </c>
      <c r="EE851" s="1106">
        <f t="shared" si="4661"/>
        <v>382</v>
      </c>
      <c r="EF851" s="1106">
        <f t="shared" si="4661"/>
        <v>794</v>
      </c>
      <c r="EG851" s="1107">
        <f t="shared" si="4661"/>
        <v>1580</v>
      </c>
      <c r="EH851" s="1106">
        <f>SUM(EH848,EH845,EH842,EH839)</f>
        <v>516</v>
      </c>
      <c r="EI851" s="1106">
        <f>SUM(EI848,EI845,EI842,EI839)</f>
        <v>551</v>
      </c>
      <c r="EJ851" s="1106">
        <f>SUM(EJ848,EJ845,EJ842,EJ839)</f>
        <v>1067</v>
      </c>
      <c r="EK851" s="1106">
        <f>SUM(EK848,EK845,EK842,EK839)</f>
        <v>486</v>
      </c>
      <c r="EL851" s="1106">
        <f>SUM(EL848,EL845,EL842,EL839)</f>
        <v>1553</v>
      </c>
      <c r="EM851" s="1106">
        <f>EM21</f>
        <v>424</v>
      </c>
      <c r="EN851" s="1106">
        <f>EN21</f>
        <v>910</v>
      </c>
      <c r="EO851" s="1107">
        <f>EO21</f>
        <v>1977</v>
      </c>
      <c r="EP851" s="1106">
        <f t="shared" ref="EP851:FB851" si="4662">SUM(EP848,EP845,EP842,EP839)</f>
        <v>548</v>
      </c>
      <c r="EQ851" s="1106">
        <f t="shared" si="4662"/>
        <v>503</v>
      </c>
      <c r="ER851" s="1106">
        <f t="shared" si="4662"/>
        <v>1051</v>
      </c>
      <c r="ES851" s="1106">
        <f t="shared" si="4662"/>
        <v>402</v>
      </c>
      <c r="ET851" s="1106">
        <f t="shared" si="4662"/>
        <v>1453</v>
      </c>
      <c r="EU851" s="1106">
        <f t="shared" si="4662"/>
        <v>493</v>
      </c>
      <c r="EV851" s="1106">
        <f t="shared" si="4662"/>
        <v>895</v>
      </c>
      <c r="EW851" s="1107">
        <f t="shared" si="4662"/>
        <v>1946</v>
      </c>
      <c r="EX851" s="1106">
        <f t="shared" si="4662"/>
        <v>382</v>
      </c>
      <c r="EY851" s="1106">
        <f t="shared" si="4662"/>
        <v>421</v>
      </c>
      <c r="EZ851" s="1106">
        <f t="shared" si="4662"/>
        <v>803</v>
      </c>
      <c r="FA851" s="1106">
        <f t="shared" si="4662"/>
        <v>355</v>
      </c>
      <c r="FB851" s="1106">
        <f t="shared" si="4662"/>
        <v>1158</v>
      </c>
      <c r="FC851" s="1106"/>
      <c r="FD851" s="1106"/>
      <c r="FE851" s="1107"/>
      <c r="FF851" s="1106"/>
      <c r="FG851" s="1106"/>
      <c r="FH851" s="1106"/>
      <c r="FI851" s="1106"/>
      <c r="FJ851" s="1106"/>
      <c r="FK851" s="1106"/>
      <c r="FL851" s="1106"/>
      <c r="FM851" s="1107"/>
      <c r="FN851" s="1106"/>
      <c r="FO851" s="1106"/>
      <c r="FP851" s="1106"/>
      <c r="FQ851" s="1106"/>
      <c r="FR851" s="1106"/>
      <c r="FS851" s="1106"/>
      <c r="FT851" s="1106"/>
      <c r="FU851" s="1106"/>
      <c r="FV851" s="1108"/>
      <c r="FW851" s="1106"/>
      <c r="FX851" s="1106"/>
      <c r="FY851" s="1106"/>
      <c r="FZ851" s="1106"/>
      <c r="GA851" s="1106"/>
      <c r="GB851" s="1106"/>
      <c r="GC851" s="1107"/>
      <c r="GD851" s="1106"/>
      <c r="GE851" s="1106"/>
      <c r="GF851" s="1106"/>
      <c r="GG851" s="1106"/>
      <c r="GH851" s="1106"/>
      <c r="GI851" s="1106"/>
      <c r="GJ851" s="1106"/>
      <c r="GK851" s="1107"/>
      <c r="GL851" s="1106"/>
      <c r="GM851" s="1106"/>
      <c r="GN851" s="1106"/>
      <c r="GO851" s="1106"/>
      <c r="GP851" s="1106"/>
      <c r="GQ851" s="1106"/>
      <c r="GR851" s="1106"/>
      <c r="GS851" s="1107"/>
      <c r="GT851" s="1106"/>
      <c r="GU851" s="1106"/>
      <c r="GV851" s="1106"/>
      <c r="GW851" s="1106"/>
      <c r="GX851" s="1106"/>
      <c r="GY851" s="1106"/>
      <c r="GZ851" s="1106"/>
      <c r="HA851" s="1107"/>
      <c r="HB851" s="1106"/>
      <c r="HC851" s="1106"/>
      <c r="HD851" s="1106"/>
      <c r="HE851" s="1106"/>
      <c r="HF851" s="1106"/>
      <c r="HG851" s="1106"/>
      <c r="HH851" s="1106"/>
      <c r="HI851" s="1107"/>
      <c r="HJ851" s="1106"/>
      <c r="HK851" s="1106"/>
      <c r="HL851" s="1106"/>
      <c r="HM851" s="1106"/>
      <c r="HN851" s="1106"/>
      <c r="HO851" s="1106"/>
      <c r="HP851" s="1106"/>
      <c r="HQ851" s="1107"/>
      <c r="HR851" s="1106"/>
      <c r="HS851" s="1106"/>
      <c r="HT851" s="1106"/>
      <c r="HU851" s="1106"/>
      <c r="HV851" s="1106"/>
      <c r="HW851" s="1106"/>
      <c r="HX851" s="1106"/>
      <c r="HY851" s="1106"/>
      <c r="HZ851" s="1106"/>
      <c r="IA851" s="1106"/>
      <c r="IB851" s="1106"/>
      <c r="IC851" s="1106"/>
      <c r="ID851" s="1106"/>
      <c r="IE851" s="1106"/>
      <c r="IF851" s="1106"/>
      <c r="IG851" s="1107"/>
      <c r="IH851" s="1106"/>
      <c r="II851" s="1106"/>
      <c r="IJ851" s="1106"/>
      <c r="IK851" s="1106"/>
      <c r="IL851" s="1106"/>
      <c r="IM851" s="1106"/>
      <c r="IN851" s="1106"/>
      <c r="IO851" s="1107"/>
      <c r="IP851" s="1106"/>
      <c r="IQ851" s="1106"/>
      <c r="IR851" s="1106"/>
      <c r="IS851" s="1106"/>
      <c r="IT851" s="1106"/>
      <c r="IU851" s="1106"/>
      <c r="IV851" s="1106"/>
      <c r="IW851" s="1106"/>
      <c r="IX851" s="1049"/>
      <c r="IY851" s="1049"/>
      <c r="IZ851" s="1049"/>
      <c r="JA851" s="1049"/>
      <c r="JB851" s="1049"/>
      <c r="JC851" s="1049"/>
      <c r="JD851" s="1041"/>
      <c r="JE851" s="1037"/>
      <c r="JF851" s="1037"/>
      <c r="JG851" s="1037"/>
      <c r="JH851" s="1037"/>
      <c r="JI851" s="1035"/>
      <c r="JJ851" s="1035"/>
      <c r="JK851" s="1035"/>
      <c r="JL851" s="1035"/>
      <c r="JM851" s="1035"/>
      <c r="JN851" s="1035"/>
      <c r="JO851" s="1035"/>
      <c r="JP851" s="1035"/>
      <c r="JQ851" s="1035"/>
      <c r="JR851" s="1035"/>
      <c r="JS851" s="1035"/>
      <c r="JT851" s="1035"/>
      <c r="JU851" s="1035"/>
      <c r="JV851" s="1035"/>
      <c r="JW851" s="1035"/>
      <c r="JX851" s="1035"/>
      <c r="JY851" s="1035"/>
      <c r="LV851" s="967"/>
    </row>
    <row r="852" outlineLevel="1" spans="1:334">
      <c r="A852" s="967" t="s">
        <v>61</v>
      </c>
      <c r="AX852" s="1059"/>
      <c r="BE852" s="1060"/>
      <c r="BN852" s="1059"/>
      <c r="BU852" s="1060"/>
      <c r="BV852" s="1059"/>
      <c r="CC852" s="1060"/>
      <c r="CD852" s="1059"/>
      <c r="CJ852" s="1061"/>
      <c r="CK852" s="1060"/>
      <c r="CL852" s="1059"/>
      <c r="CS852" s="1060"/>
      <c r="CT852" s="967"/>
      <c r="CU852" s="967"/>
      <c r="CV852" s="967"/>
      <c r="CW852" s="967"/>
      <c r="CX852" s="967"/>
      <c r="CY852" s="967"/>
      <c r="CZ852" s="967"/>
      <c r="DA852" s="967"/>
      <c r="DJ852" s="1080">
        <f t="shared" ref="DJ852:DQ852" si="4663">DJ851/DB851-1</f>
        <v>0.0280701754385966</v>
      </c>
      <c r="DK852" s="1080">
        <f t="shared" si="4663"/>
        <v>0.0714285714285714</v>
      </c>
      <c r="DL852" s="1080">
        <f t="shared" si="4663"/>
        <v>0.0515297906602254</v>
      </c>
      <c r="DM852" s="1080">
        <f t="shared" si="4663"/>
        <v>-0.0749279538904899</v>
      </c>
      <c r="DN852" s="1080">
        <f t="shared" si="4663"/>
        <v>0.00619834710743805</v>
      </c>
      <c r="DO852" s="1080">
        <f t="shared" si="4663"/>
        <v>-0.0283911671924291</v>
      </c>
      <c r="DP852" s="1080">
        <f t="shared" si="4663"/>
        <v>-0.052710843373494</v>
      </c>
      <c r="DQ852" s="1081" t="e">
        <f t="shared" si="4663"/>
        <v>#REF!</v>
      </c>
      <c r="DR852" s="1080">
        <f t="shared" ref="DR852:EG852" si="4664">DR851/DJ851-1</f>
        <v>0.0784982935153584</v>
      </c>
      <c r="DS852" s="1080">
        <f t="shared" si="4664"/>
        <v>0.075</v>
      </c>
      <c r="DT852" s="1080">
        <f t="shared" si="4664"/>
        <v>0.0765696784073506</v>
      </c>
      <c r="DU852" s="1080">
        <f t="shared" si="4664"/>
        <v>0.193146417445483</v>
      </c>
      <c r="DV852" s="1080">
        <f t="shared" si="4664"/>
        <v>0.114989733059548</v>
      </c>
      <c r="DW852" s="1080" t="e">
        <f t="shared" si="4664"/>
        <v>#REF!</v>
      </c>
      <c r="DX852" s="1080" t="e">
        <f t="shared" si="4664"/>
        <v>#REF!</v>
      </c>
      <c r="DY852" s="1081" t="e">
        <f t="shared" si="4664"/>
        <v>#REF!</v>
      </c>
      <c r="DZ852" s="1080">
        <f t="shared" si="4664"/>
        <v>0.189873417721519</v>
      </c>
      <c r="EA852" s="1080">
        <f t="shared" si="4664"/>
        <v>0.0594315245478036</v>
      </c>
      <c r="EB852" s="1080">
        <f t="shared" si="4664"/>
        <v>0.118065433854908</v>
      </c>
      <c r="EC852" s="1080">
        <f t="shared" si="4664"/>
        <v>0.073107049608355</v>
      </c>
      <c r="ED852" s="1080">
        <f t="shared" si="4664"/>
        <v>0.102209944751381</v>
      </c>
      <c r="EE852" s="1080" t="e">
        <f t="shared" si="4664"/>
        <v>#REF!</v>
      </c>
      <c r="EF852" s="1080" t="e">
        <f t="shared" si="4664"/>
        <v>#REF!</v>
      </c>
      <c r="EG852" s="1081" t="e">
        <f t="shared" si="4664"/>
        <v>#REF!</v>
      </c>
      <c r="EH852" s="1080">
        <f t="shared" ref="EH852:EP852" si="4665">EH851/DZ851-1</f>
        <v>0.372340425531915</v>
      </c>
      <c r="EI852" s="1080">
        <f t="shared" si="4665"/>
        <v>0.34390243902439</v>
      </c>
      <c r="EJ852" s="1080">
        <f t="shared" si="4665"/>
        <v>0.357506361323155</v>
      </c>
      <c r="EK852" s="1080">
        <f t="shared" si="4665"/>
        <v>0.182481751824818</v>
      </c>
      <c r="EL852" s="1080">
        <f t="shared" si="4665"/>
        <v>0.297410192147034</v>
      </c>
      <c r="EM852" s="1080">
        <f t="shared" si="4665"/>
        <v>0.109947643979058</v>
      </c>
      <c r="EN852" s="1080">
        <f t="shared" si="4665"/>
        <v>0.146095717884131</v>
      </c>
      <c r="EO852" s="1081">
        <f t="shared" si="4665"/>
        <v>0.25126582278481</v>
      </c>
      <c r="EP852" s="1080">
        <f t="shared" si="4665"/>
        <v>0.0620155038759691</v>
      </c>
      <c r="EQ852" s="1080">
        <f t="shared" ref="EQ852:FB852" si="4666">EQ851/EI851-1</f>
        <v>-0.0871143375680581</v>
      </c>
      <c r="ER852" s="1080">
        <f t="shared" si="4666"/>
        <v>-0.0149953139643861</v>
      </c>
      <c r="ES852" s="1080">
        <f t="shared" si="4666"/>
        <v>-0.172839506172839</v>
      </c>
      <c r="ET852" s="1080">
        <f t="shared" si="4666"/>
        <v>-0.0643915003219575</v>
      </c>
      <c r="EU852" s="1080">
        <f t="shared" si="4666"/>
        <v>0.162735849056604</v>
      </c>
      <c r="EV852" s="1080">
        <f t="shared" si="4666"/>
        <v>-0.0164835164835165</v>
      </c>
      <c r="EW852" s="1081">
        <f t="shared" si="4666"/>
        <v>-0.0156803237228124</v>
      </c>
      <c r="EX852" s="1080">
        <f t="shared" si="4666"/>
        <v>-0.302919708029197</v>
      </c>
      <c r="EY852" s="1080">
        <f t="shared" si="4666"/>
        <v>-0.163021868787276</v>
      </c>
      <c r="EZ852" s="1080">
        <f t="shared" si="4666"/>
        <v>-0.235965746907707</v>
      </c>
      <c r="FA852" s="1080">
        <f t="shared" si="4666"/>
        <v>-0.116915422885572</v>
      </c>
      <c r="FB852" s="1080">
        <f t="shared" si="4666"/>
        <v>-0.203028217481074</v>
      </c>
      <c r="FC852" s="1080"/>
      <c r="FD852" s="1080"/>
      <c r="FE852" s="1081"/>
      <c r="FF852" s="1080"/>
      <c r="FG852" s="1080"/>
      <c r="FH852" s="1080"/>
      <c r="FI852" s="1080"/>
      <c r="FJ852" s="1080"/>
      <c r="FK852" s="1080"/>
      <c r="FL852" s="1080"/>
      <c r="FM852" s="1081"/>
      <c r="FN852" s="1080"/>
      <c r="FO852" s="1080"/>
      <c r="FP852" s="1080"/>
      <c r="FQ852" s="1080"/>
      <c r="FR852" s="1080"/>
      <c r="FS852" s="1080"/>
      <c r="FT852" s="1080"/>
      <c r="FU852" s="1080"/>
      <c r="FV852" s="1150"/>
      <c r="FW852" s="1080"/>
      <c r="FX852" s="1080"/>
      <c r="FY852" s="1080"/>
      <c r="FZ852" s="1080"/>
      <c r="GA852" s="1080"/>
      <c r="GB852" s="1080"/>
      <c r="GC852" s="1081"/>
      <c r="GD852" s="1080"/>
      <c r="GE852" s="1080"/>
      <c r="GF852" s="1080"/>
      <c r="GG852" s="1080"/>
      <c r="GH852" s="1080"/>
      <c r="GI852" s="1080"/>
      <c r="GJ852" s="1080"/>
      <c r="GK852" s="1081"/>
      <c r="GL852" s="1080"/>
      <c r="GM852" s="1080"/>
      <c r="GN852" s="1080"/>
      <c r="GO852" s="1080"/>
      <c r="GP852" s="1080"/>
      <c r="GQ852" s="1080"/>
      <c r="GR852" s="1080"/>
      <c r="GS852" s="1081"/>
      <c r="GT852" s="1080"/>
      <c r="GU852" s="1080"/>
      <c r="GV852" s="1080"/>
      <c r="GW852" s="1080"/>
      <c r="GX852" s="1080"/>
      <c r="GY852" s="1080"/>
      <c r="GZ852" s="1080"/>
      <c r="HA852" s="1081"/>
      <c r="HB852" s="1080"/>
      <c r="HC852" s="1080"/>
      <c r="HD852" s="1080"/>
      <c r="HE852" s="1080"/>
      <c r="HF852" s="1080"/>
      <c r="HG852" s="1080"/>
      <c r="HH852" s="1080"/>
      <c r="HI852" s="1081"/>
      <c r="HJ852" s="1080"/>
      <c r="HK852" s="1080"/>
      <c r="HL852" s="1080"/>
      <c r="HM852" s="1080"/>
      <c r="HN852" s="1080"/>
      <c r="HO852" s="1080"/>
      <c r="HP852" s="1080"/>
      <c r="HQ852" s="1081"/>
      <c r="HR852" s="1080"/>
      <c r="HS852" s="1080"/>
      <c r="HT852" s="1080"/>
      <c r="HU852" s="1080"/>
      <c r="HV852" s="1080"/>
      <c r="HW852" s="1080"/>
      <c r="HX852" s="1080"/>
      <c r="HY852" s="1080"/>
      <c r="HZ852" s="1080"/>
      <c r="IA852" s="1080"/>
      <c r="IB852" s="1080"/>
      <c r="IC852" s="1080"/>
      <c r="ID852" s="1080"/>
      <c r="IE852" s="1080"/>
      <c r="IF852" s="1080"/>
      <c r="IG852" s="1081"/>
      <c r="IH852" s="1080"/>
      <c r="II852" s="1080"/>
      <c r="IJ852" s="1080"/>
      <c r="IK852" s="1080"/>
      <c r="IL852" s="1080"/>
      <c r="IM852" s="1080"/>
      <c r="IN852" s="1080"/>
      <c r="IO852" s="1081"/>
      <c r="IP852" s="1080"/>
      <c r="IQ852" s="1080"/>
      <c r="IR852" s="1080"/>
      <c r="IS852" s="1080"/>
      <c r="IT852" s="1080"/>
      <c r="IU852" s="1080"/>
      <c r="IV852" s="1080"/>
      <c r="IW852" s="1080"/>
      <c r="IX852" s="1049"/>
      <c r="IY852" s="1049"/>
      <c r="IZ852" s="1049"/>
      <c r="JA852" s="1049"/>
      <c r="JB852" s="1049"/>
      <c r="JC852" s="1049"/>
      <c r="JD852" s="1041"/>
      <c r="JE852" s="1037"/>
      <c r="JF852" s="1037"/>
      <c r="JG852" s="1037"/>
      <c r="JH852" s="1037"/>
      <c r="JI852" s="1035"/>
      <c r="JJ852" s="1035"/>
      <c r="JK852" s="1035"/>
      <c r="JL852" s="1035"/>
      <c r="JM852" s="1035"/>
      <c r="JN852" s="1035"/>
      <c r="JO852" s="1035"/>
      <c r="JP852" s="1035"/>
      <c r="JQ852" s="1035"/>
      <c r="JR852" s="1035"/>
      <c r="JS852" s="1035"/>
      <c r="JT852" s="1035"/>
      <c r="JU852" s="1035"/>
      <c r="JV852" s="1035"/>
      <c r="JW852" s="1035"/>
      <c r="JX852" s="1035"/>
      <c r="JY852" s="1035"/>
      <c r="LV852" s="967"/>
    </row>
    <row r="853" spans="1:334">
      <c r="A853" s="967"/>
      <c r="AX853" s="1059"/>
      <c r="BE853" s="1060"/>
      <c r="BN853" s="1059"/>
      <c r="BU853" s="1060"/>
      <c r="BV853" s="1059"/>
      <c r="CC853" s="1060"/>
      <c r="CD853" s="1059"/>
      <c r="CJ853" s="1061"/>
      <c r="CK853" s="1060"/>
      <c r="CL853" s="1059"/>
      <c r="CS853" s="1060"/>
      <c r="CT853" s="967"/>
      <c r="CU853" s="967"/>
      <c r="CV853" s="967"/>
      <c r="CW853" s="967"/>
      <c r="CX853" s="967"/>
      <c r="CY853" s="967"/>
      <c r="CZ853" s="967"/>
      <c r="DA853" s="967"/>
      <c r="ET853" s="1037">
        <f>ET127-ET842</f>
        <v>10812</v>
      </c>
      <c r="EW853" s="1038">
        <f>EW127-EW842</f>
        <v>14203</v>
      </c>
      <c r="EX853" s="1037"/>
      <c r="EY853" s="1037"/>
      <c r="EZ853" s="1037"/>
      <c r="FA853" s="1037"/>
      <c r="FB853" s="1082">
        <f>(11116*6.7%-192*-1%)/(11013-201)</f>
        <v>0.0690614132445431</v>
      </c>
      <c r="FC853" s="1037"/>
      <c r="FD853" s="1037"/>
      <c r="FE853" s="1038">
        <f>14800-FE842</f>
        <v>14520.88</v>
      </c>
      <c r="FF853" s="1037"/>
      <c r="FG853" s="1037"/>
      <c r="FH853" s="1037"/>
      <c r="FI853" s="1037"/>
      <c r="FJ853" s="1037"/>
      <c r="FK853" s="1037"/>
      <c r="FL853" s="1037"/>
      <c r="FM853" s="1038"/>
      <c r="FN853" s="1037"/>
      <c r="FO853" s="1037"/>
      <c r="FP853" s="1037"/>
      <c r="FQ853" s="1037"/>
      <c r="FR853" s="1037"/>
      <c r="FS853" s="1037"/>
      <c r="FT853" s="1037"/>
      <c r="FU853" s="1037"/>
      <c r="FV853" s="1063"/>
      <c r="FW853" s="1037"/>
      <c r="FX853" s="1037"/>
      <c r="FY853" s="1037"/>
      <c r="FZ853" s="1037"/>
      <c r="GA853" s="1037"/>
      <c r="GB853" s="1037"/>
      <c r="GC853" s="1038"/>
      <c r="GD853" s="1037"/>
      <c r="GE853" s="1037"/>
      <c r="GF853" s="1037"/>
      <c r="GG853" s="1037"/>
      <c r="GH853" s="1037"/>
      <c r="GI853" s="1037"/>
      <c r="GJ853" s="1037"/>
      <c r="GK853" s="1038"/>
      <c r="GL853" s="1037"/>
      <c r="GM853" s="1037"/>
      <c r="GN853" s="1037"/>
      <c r="GO853" s="1037"/>
      <c r="GP853" s="1037"/>
      <c r="GQ853" s="1037"/>
      <c r="GR853" s="1037"/>
      <c r="GS853" s="1038"/>
      <c r="GT853" s="1037"/>
      <c r="GU853" s="1037"/>
      <c r="GV853" s="1037"/>
      <c r="GW853" s="1037"/>
      <c r="GX853" s="1037"/>
      <c r="GY853" s="1037"/>
      <c r="GZ853" s="1037"/>
      <c r="HA853" s="1038"/>
      <c r="HB853" s="1037"/>
      <c r="HC853" s="1037"/>
      <c r="HD853" s="1037"/>
      <c r="HE853" s="1037"/>
      <c r="HF853" s="1037"/>
      <c r="HG853" s="1037"/>
      <c r="HH853" s="1037"/>
      <c r="HI853" s="1038"/>
      <c r="HJ853" s="1037"/>
      <c r="HK853" s="1037"/>
      <c r="HL853" s="1037"/>
      <c r="HM853" s="1037"/>
      <c r="HN853" s="1037"/>
      <c r="HO853" s="1037"/>
      <c r="HP853" s="1037"/>
      <c r="HQ853" s="1038"/>
      <c r="HR853" s="1037"/>
      <c r="HS853" s="1037"/>
      <c r="HT853" s="1037"/>
      <c r="HU853" s="1037"/>
      <c r="HV853" s="1037"/>
      <c r="HW853" s="1037"/>
      <c r="HX853" s="1037"/>
      <c r="HY853" s="1037"/>
      <c r="HZ853" s="1037"/>
      <c r="IA853" s="1037"/>
      <c r="IB853" s="1037"/>
      <c r="IC853" s="1037"/>
      <c r="ID853" s="1037"/>
      <c r="IE853" s="1037"/>
      <c r="IF853" s="1037"/>
      <c r="IG853" s="1038"/>
      <c r="IH853" s="1037"/>
      <c r="II853" s="1037"/>
      <c r="IJ853" s="1037"/>
      <c r="IK853" s="1037"/>
      <c r="IL853" s="1037"/>
      <c r="IM853" s="1037"/>
      <c r="IN853" s="1037"/>
      <c r="IO853" s="1038"/>
      <c r="IP853" s="1037"/>
      <c r="IQ853" s="1037"/>
      <c r="IR853" s="1037"/>
      <c r="IS853" s="1037"/>
      <c r="IT853" s="1037"/>
      <c r="IU853" s="1037"/>
      <c r="IV853" s="1037"/>
      <c r="IW853" s="1037"/>
      <c r="IX853" s="1049"/>
      <c r="IY853" s="1049"/>
      <c r="IZ853" s="1049"/>
      <c r="JA853" s="1049"/>
      <c r="JB853" s="1049"/>
      <c r="JC853" s="1049"/>
      <c r="JD853" s="1041"/>
      <c r="JE853" s="1037"/>
      <c r="JF853" s="1037"/>
      <c r="JG853" s="1037"/>
      <c r="JH853" s="1037"/>
      <c r="JI853" s="1035"/>
      <c r="JJ853" s="1035"/>
      <c r="JK853" s="1035"/>
      <c r="JL853" s="1035"/>
      <c r="JM853" s="1035"/>
      <c r="JN853" s="1035"/>
      <c r="JO853" s="1035"/>
      <c r="JP853" s="1035"/>
      <c r="JQ853" s="1035"/>
      <c r="JR853" s="1035"/>
      <c r="JS853" s="1035"/>
      <c r="JT853" s="1035"/>
      <c r="JU853" s="1035"/>
      <c r="JV853" s="1035"/>
      <c r="JW853" s="1035"/>
      <c r="JX853" s="1035"/>
      <c r="JY853" s="1035"/>
      <c r="LV853" s="1180"/>
    </row>
    <row r="854" spans="1:334">
      <c r="A854" s="1051" t="s">
        <v>674</v>
      </c>
      <c r="AX854" s="1059"/>
      <c r="BE854" s="1060"/>
      <c r="BN854" s="1059"/>
      <c r="BU854" s="1060"/>
      <c r="BV854" s="1059"/>
      <c r="CC854" s="1060"/>
      <c r="CD854" s="1059"/>
      <c r="CJ854" s="1061"/>
      <c r="CK854" s="1060"/>
      <c r="CL854" s="1059"/>
      <c r="CS854" s="1060"/>
      <c r="CT854" s="1604"/>
      <c r="CU854" s="1604"/>
      <c r="CV854" s="1604"/>
      <c r="CW854" s="1604"/>
      <c r="CX854" s="1604"/>
      <c r="CY854" s="1604"/>
      <c r="CZ854" s="1604"/>
      <c r="DA854" s="1604"/>
      <c r="DB854" s="1070" t="str">
        <f t="shared" ref="DB854:EG854" si="4667">DB$2</f>
        <v>Q1 08</v>
      </c>
      <c r="DC854" s="1070" t="str">
        <f t="shared" si="4667"/>
        <v>Q2 08</v>
      </c>
      <c r="DD854" s="1070" t="str">
        <f t="shared" si="4667"/>
        <v>H1 08</v>
      </c>
      <c r="DE854" s="1070" t="str">
        <f t="shared" si="4667"/>
        <v>Q3 08</v>
      </c>
      <c r="DF854" s="1070" t="str">
        <f t="shared" si="4667"/>
        <v>9M 08</v>
      </c>
      <c r="DG854" s="1070" t="str">
        <f t="shared" si="4667"/>
        <v>Q4 08</v>
      </c>
      <c r="DH854" s="1070" t="str">
        <f t="shared" si="4667"/>
        <v>H2 08</v>
      </c>
      <c r="DI854" s="1605" t="str">
        <f t="shared" si="4667"/>
        <v>FY 08</v>
      </c>
      <c r="DJ854" s="1070" t="str">
        <f t="shared" si="4667"/>
        <v>Q1 09</v>
      </c>
      <c r="DK854" s="1070" t="str">
        <f t="shared" si="4667"/>
        <v>Q2 09</v>
      </c>
      <c r="DL854" s="1070" t="str">
        <f t="shared" si="4667"/>
        <v>H1 09</v>
      </c>
      <c r="DM854" s="1070" t="str">
        <f t="shared" si="4667"/>
        <v>Q3 09</v>
      </c>
      <c r="DN854" s="1070" t="str">
        <f t="shared" si="4667"/>
        <v>9M 09</v>
      </c>
      <c r="DO854" s="1070" t="str">
        <f t="shared" si="4667"/>
        <v>Q4 09</v>
      </c>
      <c r="DP854" s="1070" t="str">
        <f t="shared" si="4667"/>
        <v>H2 09</v>
      </c>
      <c r="DQ854" s="1605" t="str">
        <f t="shared" si="4667"/>
        <v>FY 09</v>
      </c>
      <c r="DR854" s="1070" t="str">
        <f t="shared" si="4667"/>
        <v>Q1 10</v>
      </c>
      <c r="DS854" s="1070" t="str">
        <f t="shared" si="4667"/>
        <v>Q2 10</v>
      </c>
      <c r="DT854" s="1070" t="str">
        <f t="shared" si="4667"/>
        <v>H1 10</v>
      </c>
      <c r="DU854" s="1070" t="str">
        <f t="shared" si="4667"/>
        <v>Q3 10</v>
      </c>
      <c r="DV854" s="1070" t="str">
        <f t="shared" si="4667"/>
        <v>9M 10</v>
      </c>
      <c r="DW854" s="1070" t="str">
        <f t="shared" si="4667"/>
        <v>Q4 10</v>
      </c>
      <c r="DX854" s="1070" t="str">
        <f t="shared" si="4667"/>
        <v>H2 10</v>
      </c>
      <c r="DY854" s="1605" t="str">
        <f t="shared" si="4667"/>
        <v>FY 10</v>
      </c>
      <c r="DZ854" s="1070" t="str">
        <f t="shared" si="4667"/>
        <v>Q1 11</v>
      </c>
      <c r="EA854" s="1070" t="str">
        <f t="shared" si="4667"/>
        <v>Q2 11</v>
      </c>
      <c r="EB854" s="1070" t="str">
        <f t="shared" si="4667"/>
        <v>H1 11</v>
      </c>
      <c r="EC854" s="1070" t="str">
        <f t="shared" si="4667"/>
        <v>Q3 11</v>
      </c>
      <c r="ED854" s="1070" t="str">
        <f t="shared" si="4667"/>
        <v>9M 11</v>
      </c>
      <c r="EE854" s="1070" t="str">
        <f t="shared" si="4667"/>
        <v>Q4 11</v>
      </c>
      <c r="EF854" s="1070" t="str">
        <f t="shared" si="4667"/>
        <v>H2 11</v>
      </c>
      <c r="EG854" s="1605" t="str">
        <f t="shared" si="4667"/>
        <v>FY 11</v>
      </c>
      <c r="EH854" s="1070" t="str">
        <f t="shared" ref="EH854:FE854" si="4668">EH$2</f>
        <v>Q1 12</v>
      </c>
      <c r="EI854" s="1070" t="str">
        <f t="shared" si="4668"/>
        <v>Q2 12</v>
      </c>
      <c r="EJ854" s="1070" t="str">
        <f t="shared" si="4668"/>
        <v>H1 12</v>
      </c>
      <c r="EK854" s="1070" t="str">
        <f t="shared" si="4668"/>
        <v>Q3 12</v>
      </c>
      <c r="EL854" s="1070" t="str">
        <f t="shared" si="4668"/>
        <v>9M 12</v>
      </c>
      <c r="EM854" s="1070" t="str">
        <f t="shared" si="4668"/>
        <v>Q4 12</v>
      </c>
      <c r="EN854" s="1070" t="str">
        <f t="shared" si="4668"/>
        <v>H2 12</v>
      </c>
      <c r="EO854" s="1605" t="str">
        <f t="shared" si="4668"/>
        <v>FY 12</v>
      </c>
      <c r="EP854" s="1070" t="str">
        <f t="shared" si="4668"/>
        <v>1Q13</v>
      </c>
      <c r="EQ854" s="1070" t="str">
        <f t="shared" si="4668"/>
        <v>2Q13</v>
      </c>
      <c r="ER854" s="1070" t="str">
        <f t="shared" si="4668"/>
        <v>1H13</v>
      </c>
      <c r="ES854" s="1070" t="str">
        <f t="shared" si="4668"/>
        <v>3Q13</v>
      </c>
      <c r="ET854" s="1070" t="str">
        <f t="shared" si="4668"/>
        <v>9M13</v>
      </c>
      <c r="EU854" s="1070" t="str">
        <f t="shared" si="4668"/>
        <v>4Q13</v>
      </c>
      <c r="EV854" s="1070" t="str">
        <f t="shared" si="4668"/>
        <v>2H13</v>
      </c>
      <c r="EW854" s="1605" t="str">
        <f t="shared" si="4668"/>
        <v>FY13</v>
      </c>
      <c r="EX854" s="1070" t="str">
        <f t="shared" si="4668"/>
        <v>1Q14</v>
      </c>
      <c r="EY854" s="1070" t="str">
        <f t="shared" si="4668"/>
        <v>2Q14</v>
      </c>
      <c r="EZ854" s="1070" t="str">
        <f t="shared" si="4668"/>
        <v>1H14</v>
      </c>
      <c r="FA854" s="1070" t="str">
        <f t="shared" si="4668"/>
        <v>3Q14</v>
      </c>
      <c r="FB854" s="1070" t="str">
        <f t="shared" si="4668"/>
        <v>9M14</v>
      </c>
      <c r="FC854" s="1070" t="str">
        <f t="shared" si="4668"/>
        <v>4Q14</v>
      </c>
      <c r="FD854" s="1070" t="str">
        <f t="shared" si="4668"/>
        <v>2H14</v>
      </c>
      <c r="FE854" s="1605" t="str">
        <f t="shared" si="4668"/>
        <v>FY14</v>
      </c>
      <c r="FF854" s="1070"/>
      <c r="FG854" s="1070"/>
      <c r="FH854" s="1070"/>
      <c r="FI854" s="1070"/>
      <c r="FJ854" s="1070"/>
      <c r="FK854" s="1070"/>
      <c r="FL854" s="1070"/>
      <c r="FM854" s="1605"/>
      <c r="FN854" s="1070"/>
      <c r="FO854" s="1070"/>
      <c r="FP854" s="1070"/>
      <c r="FQ854" s="1070"/>
      <c r="FR854" s="1070"/>
      <c r="FS854" s="1070"/>
      <c r="FT854" s="1070"/>
      <c r="FU854" s="1070"/>
      <c r="FV854" s="1606"/>
      <c r="FW854" s="1070"/>
      <c r="FX854" s="1070"/>
      <c r="FY854" s="1070"/>
      <c r="FZ854" s="1070"/>
      <c r="GA854" s="1070"/>
      <c r="GB854" s="1070"/>
      <c r="GC854" s="1605"/>
      <c r="GD854" s="1070"/>
      <c r="GE854" s="1070"/>
      <c r="GF854" s="1070"/>
      <c r="GG854" s="1070"/>
      <c r="GH854" s="1070"/>
      <c r="GI854" s="1070"/>
      <c r="GJ854" s="1070"/>
      <c r="GK854" s="1605"/>
      <c r="GL854" s="1070"/>
      <c r="GM854" s="1070"/>
      <c r="GN854" s="1070"/>
      <c r="GO854" s="1070"/>
      <c r="GP854" s="1070"/>
      <c r="GQ854" s="1070"/>
      <c r="GR854" s="1070"/>
      <c r="GS854" s="1605"/>
      <c r="GT854" s="1070"/>
      <c r="GU854" s="1070"/>
      <c r="GV854" s="1070"/>
      <c r="GW854" s="1070"/>
      <c r="GX854" s="1070"/>
      <c r="GY854" s="1070"/>
      <c r="GZ854" s="1070"/>
      <c r="HA854" s="1605"/>
      <c r="HB854" s="1070"/>
      <c r="HC854" s="1070"/>
      <c r="HD854" s="1070"/>
      <c r="HE854" s="1070"/>
      <c r="HF854" s="1070"/>
      <c r="HG854" s="1070"/>
      <c r="HH854" s="1070"/>
      <c r="HI854" s="1605"/>
      <c r="HJ854" s="1070"/>
      <c r="HK854" s="1070"/>
      <c r="HL854" s="1070"/>
      <c r="HM854" s="1070"/>
      <c r="HN854" s="1070"/>
      <c r="HO854" s="1070"/>
      <c r="HP854" s="1070"/>
      <c r="HQ854" s="1605"/>
      <c r="HR854" s="1070"/>
      <c r="HS854" s="1070"/>
      <c r="HT854" s="1070"/>
      <c r="HU854" s="1070"/>
      <c r="HV854" s="1070"/>
      <c r="HW854" s="1070"/>
      <c r="HX854" s="1070"/>
      <c r="HY854" s="1070"/>
      <c r="HZ854" s="1070"/>
      <c r="IA854" s="1070"/>
      <c r="IB854" s="1070"/>
      <c r="IC854" s="1070"/>
      <c r="ID854" s="1070"/>
      <c r="IE854" s="1070"/>
      <c r="IF854" s="1070"/>
      <c r="IG854" s="1605"/>
      <c r="IH854" s="1070"/>
      <c r="II854" s="1070"/>
      <c r="IJ854" s="1070"/>
      <c r="IK854" s="1070"/>
      <c r="IL854" s="1070"/>
      <c r="IM854" s="1070"/>
      <c r="IN854" s="1070"/>
      <c r="IO854" s="1605"/>
      <c r="IP854" s="1070"/>
      <c r="IQ854" s="1070"/>
      <c r="IR854" s="1070"/>
      <c r="IS854" s="1070"/>
      <c r="IT854" s="1070"/>
      <c r="IU854" s="1070"/>
      <c r="IV854" s="1070"/>
      <c r="IW854" s="1070"/>
      <c r="IX854" s="1049"/>
      <c r="IY854" s="1049"/>
      <c r="JB854" s="1049"/>
      <c r="JC854" s="1049"/>
      <c r="JD854" s="1041"/>
      <c r="JE854" s="1037"/>
      <c r="JF854" s="1037"/>
      <c r="JG854" s="1037"/>
      <c r="JH854" s="1037"/>
      <c r="JI854" s="1035"/>
      <c r="JJ854" s="1035"/>
      <c r="JK854" s="1035"/>
      <c r="JL854" s="1035"/>
      <c r="JM854" s="1035"/>
      <c r="JN854" s="1035"/>
      <c r="JO854" s="1035"/>
      <c r="JP854" s="1035"/>
      <c r="JQ854" s="1035"/>
      <c r="JR854" s="1035"/>
      <c r="JS854" s="1035"/>
      <c r="JT854" s="1035"/>
      <c r="JU854" s="1035"/>
      <c r="JV854" s="1035"/>
      <c r="JW854" s="1035"/>
      <c r="JX854" s="1035"/>
      <c r="JY854" s="1035"/>
      <c r="KP854" s="1117"/>
      <c r="LV854" s="967"/>
    </row>
    <row r="855" outlineLevel="1" spans="1:334">
      <c r="A855" s="1025" t="s">
        <v>60</v>
      </c>
      <c r="AX855" s="1059"/>
      <c r="BE855" s="1060"/>
      <c r="BN855" s="1059"/>
      <c r="BU855" s="1060"/>
      <c r="BV855" s="1059"/>
      <c r="CC855" s="1060"/>
      <c r="CD855" s="1059"/>
      <c r="CJ855" s="1061"/>
      <c r="CK855" s="1060"/>
      <c r="CL855" s="1059"/>
      <c r="CS855" s="1060"/>
      <c r="CT855" s="1059"/>
      <c r="CW855" s="1062"/>
      <c r="CX855" s="1062"/>
      <c r="DB855" s="1181"/>
      <c r="DC855" s="1181"/>
      <c r="DD855" s="1181"/>
      <c r="DE855" s="1194"/>
      <c r="DF855" s="1194"/>
      <c r="DG855" s="1181"/>
      <c r="DH855" s="1181"/>
      <c r="DI855" s="1182"/>
      <c r="DJ855" s="1181"/>
      <c r="DK855" s="1181"/>
      <c r="DL855" s="1181"/>
      <c r="DM855" s="1181"/>
      <c r="DN855" s="1181"/>
      <c r="DO855" s="1181"/>
      <c r="DP855" s="1181"/>
      <c r="DQ855" s="1182"/>
      <c r="DR855" s="1080"/>
      <c r="DS855" s="1080"/>
      <c r="DT855" s="1080"/>
      <c r="DU855" s="1080"/>
      <c r="DV855" s="1080"/>
      <c r="DW855" s="1080"/>
      <c r="DX855" s="1080"/>
      <c r="DY855" s="1081"/>
      <c r="DZ855" s="1080"/>
      <c r="EA855" s="1080"/>
      <c r="EB855" s="1080"/>
      <c r="EC855" s="1080"/>
      <c r="ED855" s="1080"/>
      <c r="EE855" s="1080"/>
      <c r="EF855" s="1080"/>
      <c r="EG855" s="1081"/>
      <c r="EH855" s="1080"/>
      <c r="EI855" s="1080"/>
      <c r="EJ855" s="1080"/>
      <c r="EK855" s="1080"/>
      <c r="EL855" s="1080"/>
      <c r="EM855" s="1080"/>
      <c r="EN855" s="1080"/>
      <c r="EO855" s="1081"/>
      <c r="EP855" s="1080"/>
      <c r="EQ855" s="1080"/>
      <c r="ER855" s="1080"/>
      <c r="ES855" s="1080"/>
      <c r="ET855" s="1080"/>
      <c r="EU855" s="1080"/>
      <c r="EV855" s="1080"/>
      <c r="EW855" s="1081"/>
      <c r="EX855" s="1080"/>
      <c r="EY855" s="1080"/>
      <c r="EZ855" s="1080"/>
      <c r="FA855" s="1080"/>
      <c r="FB855" s="1080"/>
      <c r="FC855" s="1080"/>
      <c r="FD855" s="1080"/>
      <c r="FE855" s="1081"/>
      <c r="FF855" s="1080"/>
      <c r="FG855" s="1080"/>
      <c r="FH855" s="1080"/>
      <c r="FI855" s="1080"/>
      <c r="FJ855" s="1080"/>
      <c r="FK855" s="1080"/>
      <c r="FL855" s="1080"/>
      <c r="FM855" s="1081"/>
      <c r="FN855" s="1080"/>
      <c r="FO855" s="1080"/>
      <c r="FP855" s="1080"/>
      <c r="FQ855" s="1080"/>
      <c r="FR855" s="1080"/>
      <c r="FS855" s="1080"/>
      <c r="FT855" s="1080"/>
      <c r="FU855" s="1080"/>
      <c r="FV855" s="1150"/>
      <c r="FW855" s="1080"/>
      <c r="FX855" s="1080"/>
      <c r="FY855" s="1080"/>
      <c r="FZ855" s="1080"/>
      <c r="GA855" s="1080"/>
      <c r="GB855" s="1080"/>
      <c r="GC855" s="1081"/>
      <c r="GD855" s="1080"/>
      <c r="GE855" s="1080"/>
      <c r="GF855" s="1080"/>
      <c r="GG855" s="1080"/>
      <c r="GH855" s="1080"/>
      <c r="GI855" s="1080"/>
      <c r="GJ855" s="1080"/>
      <c r="GK855" s="1081"/>
      <c r="GL855" s="1080"/>
      <c r="GM855" s="1080"/>
      <c r="GN855" s="1080"/>
      <c r="GO855" s="1080"/>
      <c r="GP855" s="1080"/>
      <c r="GQ855" s="1080"/>
      <c r="GR855" s="1080"/>
      <c r="GS855" s="1081"/>
      <c r="GT855" s="1080"/>
      <c r="GU855" s="1080"/>
      <c r="GV855" s="1080"/>
      <c r="GW855" s="1080"/>
      <c r="GX855" s="1080"/>
      <c r="GY855" s="1080"/>
      <c r="GZ855" s="1080"/>
      <c r="HA855" s="1081"/>
      <c r="HB855" s="1080"/>
      <c r="HC855" s="1080"/>
      <c r="HD855" s="1080"/>
      <c r="HE855" s="1080"/>
      <c r="HF855" s="1080"/>
      <c r="HG855" s="1080"/>
      <c r="HH855" s="1080"/>
      <c r="HI855" s="1081"/>
      <c r="HJ855" s="1080"/>
      <c r="HK855" s="1080"/>
      <c r="HL855" s="1080"/>
      <c r="HM855" s="1080"/>
      <c r="HN855" s="1080"/>
      <c r="HO855" s="1080"/>
      <c r="HP855" s="1080"/>
      <c r="HQ855" s="1081"/>
      <c r="HR855" s="1080"/>
      <c r="HS855" s="1080"/>
      <c r="HT855" s="1080"/>
      <c r="HU855" s="1080"/>
      <c r="HV855" s="1080"/>
      <c r="HW855" s="1080"/>
      <c r="HX855" s="1080"/>
      <c r="HY855" s="1080"/>
      <c r="HZ855" s="1080"/>
      <c r="IA855" s="1080"/>
      <c r="IB855" s="1080"/>
      <c r="IC855" s="1080"/>
      <c r="ID855" s="1080"/>
      <c r="IE855" s="1080"/>
      <c r="IF855" s="1080"/>
      <c r="IG855" s="1081"/>
      <c r="IH855" s="1080"/>
      <c r="II855" s="1080"/>
      <c r="IJ855" s="1080"/>
      <c r="IK855" s="1080"/>
      <c r="IL855" s="1080"/>
      <c r="IM855" s="1080"/>
      <c r="IN855" s="1080"/>
      <c r="IO855" s="1081"/>
      <c r="IP855" s="1080"/>
      <c r="IQ855" s="1080"/>
      <c r="IR855" s="1080"/>
      <c r="IS855" s="1080"/>
      <c r="IT855" s="1080"/>
      <c r="IU855" s="1080"/>
      <c r="IV855" s="1080"/>
      <c r="IW855" s="1080"/>
      <c r="IX855" s="1049"/>
      <c r="IY855" s="1049"/>
      <c r="IZ855" s="1049"/>
      <c r="JA855" s="1049"/>
      <c r="JB855" s="1049"/>
      <c r="JC855" s="1049"/>
      <c r="JD855" s="1041"/>
      <c r="JE855" s="1037"/>
      <c r="JF855" s="1037"/>
      <c r="JG855" s="1037"/>
      <c r="JH855" s="1037"/>
      <c r="JI855" s="1035"/>
      <c r="JJ855" s="1035"/>
      <c r="JK855" s="1035"/>
      <c r="JL855" s="1035"/>
      <c r="JM855" s="1035"/>
      <c r="JN855" s="1035"/>
      <c r="JO855" s="1035"/>
      <c r="JP855" s="1035"/>
      <c r="JQ855" s="1035"/>
      <c r="JR855" s="1035"/>
      <c r="JS855" s="1035"/>
      <c r="JT855" s="1035"/>
      <c r="JU855" s="1035"/>
      <c r="JV855" s="1035"/>
      <c r="JW855" s="1035"/>
      <c r="JX855" s="1035"/>
      <c r="JY855" s="1035"/>
      <c r="KP855" s="1117"/>
      <c r="LV855" s="967"/>
    </row>
    <row r="856" outlineLevel="1" spans="1:334">
      <c r="A856" s="1152" t="s">
        <v>112</v>
      </c>
      <c r="AX856" s="1059"/>
      <c r="BE856" s="1060"/>
      <c r="BN856" s="1059"/>
      <c r="BU856" s="1060"/>
      <c r="BV856" s="1059"/>
      <c r="CC856" s="1060"/>
      <c r="CD856" s="1059"/>
      <c r="CJ856" s="1061"/>
      <c r="CK856" s="1060"/>
      <c r="CL856" s="1059"/>
      <c r="CS856" s="1060"/>
      <c r="CT856" s="1059"/>
      <c r="CW856" s="1062"/>
      <c r="CX856" s="1062"/>
      <c r="DB856" s="1181"/>
      <c r="DC856" s="1181"/>
      <c r="DD856" s="1181"/>
      <c r="DE856" s="1194"/>
      <c r="DF856" s="1194"/>
      <c r="DG856" s="1181"/>
      <c r="DH856" s="1181"/>
      <c r="DI856" s="1182"/>
      <c r="DJ856" s="1181"/>
      <c r="DK856" s="1181"/>
      <c r="DL856" s="1181"/>
      <c r="DM856" s="1181"/>
      <c r="DN856" s="1181"/>
      <c r="DO856" s="1181"/>
      <c r="DP856" s="1181"/>
      <c r="DQ856" s="1182"/>
      <c r="DR856" s="1071">
        <v>797</v>
      </c>
      <c r="DS856" s="1071">
        <f>+DT856-DR856</f>
        <v>669</v>
      </c>
      <c r="DT856" s="1071">
        <v>1466</v>
      </c>
      <c r="DU856" s="1071">
        <f>+DV856-DT856</f>
        <v>900</v>
      </c>
      <c r="DV856" s="1071">
        <v>2366</v>
      </c>
      <c r="DW856" s="1071">
        <f>DX856-DU856</f>
        <v>516</v>
      </c>
      <c r="DX856" s="1071">
        <f>DY856-DT856</f>
        <v>1416</v>
      </c>
      <c r="DY856" s="1072">
        <v>2882</v>
      </c>
      <c r="DZ856" s="1071">
        <v>926</v>
      </c>
      <c r="EA856" s="1071">
        <f>+EB856-DZ856</f>
        <v>694</v>
      </c>
      <c r="EB856" s="1071">
        <v>1620</v>
      </c>
      <c r="EC856" s="1071">
        <f>+ED856-EB856</f>
        <v>988</v>
      </c>
      <c r="ED856" s="1071">
        <v>2608</v>
      </c>
      <c r="EE856" s="1071">
        <f>EF856-EC856</f>
        <v>579</v>
      </c>
      <c r="EF856" s="1071">
        <f>EG856-EB856</f>
        <v>1567</v>
      </c>
      <c r="EG856" s="1072">
        <v>3187</v>
      </c>
      <c r="EH856" s="1071">
        <v>972</v>
      </c>
      <c r="EI856" s="1071">
        <f>+EJ856-EH856</f>
        <v>721</v>
      </c>
      <c r="EJ856" s="1071">
        <v>1693</v>
      </c>
      <c r="EK856" s="1071">
        <f>EL856-EJ856</f>
        <v>1009</v>
      </c>
      <c r="EL856" s="1071">
        <v>2702</v>
      </c>
      <c r="EM856" s="1071">
        <f>EN856-EK856</f>
        <v>555</v>
      </c>
      <c r="EN856" s="1071">
        <f>EO856-EJ856</f>
        <v>1564</v>
      </c>
      <c r="EO856" s="1072">
        <v>3257</v>
      </c>
      <c r="EP856" s="1071"/>
      <c r="EQ856" s="1071"/>
      <c r="ER856" s="1071"/>
      <c r="ES856" s="1071"/>
      <c r="ET856" s="1071"/>
      <c r="EU856" s="1071"/>
      <c r="EV856" s="1071"/>
      <c r="EW856" s="1072"/>
      <c r="EX856" s="1071"/>
      <c r="EY856" s="1071"/>
      <c r="EZ856" s="1071"/>
      <c r="FA856" s="1071"/>
      <c r="FB856" s="1071"/>
      <c r="FC856" s="1071"/>
      <c r="FD856" s="1071"/>
      <c r="FE856" s="1072"/>
      <c r="FF856" s="1071"/>
      <c r="FG856" s="1071"/>
      <c r="FH856" s="1071"/>
      <c r="FI856" s="1071"/>
      <c r="FJ856" s="1071"/>
      <c r="FK856" s="1071"/>
      <c r="FL856" s="1071"/>
      <c r="FM856" s="1072"/>
      <c r="FN856" s="1071"/>
      <c r="FO856" s="1071"/>
      <c r="FP856" s="1071"/>
      <c r="FQ856" s="1071"/>
      <c r="FR856" s="1071"/>
      <c r="FS856" s="1071"/>
      <c r="FT856" s="1071"/>
      <c r="FU856" s="1071"/>
      <c r="FV856" s="1177"/>
      <c r="FW856" s="1071"/>
      <c r="FX856" s="1071"/>
      <c r="FY856" s="1071"/>
      <c r="FZ856" s="1071"/>
      <c r="GA856" s="1071"/>
      <c r="GB856" s="1071"/>
      <c r="GC856" s="1072"/>
      <c r="GD856" s="1071"/>
      <c r="GE856" s="1071"/>
      <c r="GF856" s="1071"/>
      <c r="GG856" s="1071"/>
      <c r="GH856" s="1071"/>
      <c r="GI856" s="1071"/>
      <c r="GJ856" s="1071"/>
      <c r="GK856" s="1072"/>
      <c r="GL856" s="1071"/>
      <c r="GM856" s="1071"/>
      <c r="GN856" s="1071"/>
      <c r="GO856" s="1071"/>
      <c r="GP856" s="1071"/>
      <c r="GQ856" s="1071"/>
      <c r="GR856" s="1071"/>
      <c r="GS856" s="1072"/>
      <c r="GT856" s="1071"/>
      <c r="GU856" s="1071"/>
      <c r="GV856" s="1071"/>
      <c r="GW856" s="1071"/>
      <c r="GX856" s="1071"/>
      <c r="GY856" s="1071"/>
      <c r="GZ856" s="1071"/>
      <c r="HA856" s="1072"/>
      <c r="HB856" s="1071"/>
      <c r="HC856" s="1071"/>
      <c r="HD856" s="1071"/>
      <c r="HE856" s="1071"/>
      <c r="HF856" s="1071"/>
      <c r="HG856" s="1071"/>
      <c r="HH856" s="1071"/>
      <c r="HI856" s="1072"/>
      <c r="HJ856" s="1071"/>
      <c r="HK856" s="1071"/>
      <c r="HL856" s="1071"/>
      <c r="HM856" s="1071"/>
      <c r="HN856" s="1071"/>
      <c r="HO856" s="1071"/>
      <c r="HP856" s="1071"/>
      <c r="HQ856" s="1072"/>
      <c r="HR856" s="1071"/>
      <c r="HS856" s="1071"/>
      <c r="HT856" s="1071"/>
      <c r="HU856" s="1071"/>
      <c r="HV856" s="1071"/>
      <c r="HW856" s="1071"/>
      <c r="HX856" s="1071"/>
      <c r="HY856" s="1071"/>
      <c r="HZ856" s="1071"/>
      <c r="IA856" s="1071"/>
      <c r="IB856" s="1071"/>
      <c r="IC856" s="1071"/>
      <c r="ID856" s="1071"/>
      <c r="IE856" s="1071"/>
      <c r="IF856" s="1071"/>
      <c r="IG856" s="1072"/>
      <c r="IH856" s="1071"/>
      <c r="II856" s="1071"/>
      <c r="IJ856" s="1071"/>
      <c r="IK856" s="1071"/>
      <c r="IL856" s="1071"/>
      <c r="IM856" s="1071"/>
      <c r="IN856" s="1071"/>
      <c r="IO856" s="1072"/>
      <c r="IP856" s="1071"/>
      <c r="IQ856" s="1071"/>
      <c r="IR856" s="1071"/>
      <c r="IS856" s="1071"/>
      <c r="IT856" s="1071"/>
      <c r="IU856" s="1071"/>
      <c r="IV856" s="1071"/>
      <c r="IW856" s="1071"/>
      <c r="IX856" s="1049"/>
      <c r="IY856" s="1049"/>
      <c r="IZ856" s="1049"/>
      <c r="JA856" s="1049"/>
      <c r="JB856" s="1049"/>
      <c r="JC856" s="1049"/>
      <c r="JD856" s="1041"/>
      <c r="JE856" s="1037"/>
      <c r="JF856" s="1037"/>
      <c r="JG856" s="1037"/>
      <c r="JH856" s="1037"/>
      <c r="JI856" s="1035"/>
      <c r="JJ856" s="1035"/>
      <c r="JK856" s="1035"/>
      <c r="JL856" s="1035"/>
      <c r="JM856" s="1035"/>
      <c r="JN856" s="1035"/>
      <c r="JO856" s="1035"/>
      <c r="JP856" s="1035"/>
      <c r="JQ856" s="1035"/>
      <c r="JR856" s="1035"/>
      <c r="JS856" s="1035"/>
      <c r="JT856" s="1035"/>
      <c r="JU856" s="1035"/>
      <c r="JV856" s="1035"/>
      <c r="JW856" s="1035"/>
      <c r="JX856" s="1035"/>
      <c r="JY856" s="1035"/>
      <c r="KP856" s="1117"/>
      <c r="LV856" s="967"/>
    </row>
    <row r="857" outlineLevel="1" spans="1:334">
      <c r="A857" s="967" t="s">
        <v>61</v>
      </c>
      <c r="AX857" s="1059"/>
      <c r="BE857" s="1060"/>
      <c r="BN857" s="1059"/>
      <c r="BU857" s="1060"/>
      <c r="BV857" s="1059"/>
      <c r="CC857" s="1060"/>
      <c r="CD857" s="1059"/>
      <c r="CJ857" s="1061"/>
      <c r="CK857" s="1060"/>
      <c r="CL857" s="1059"/>
      <c r="CS857" s="1060"/>
      <c r="CT857" s="1059"/>
      <c r="CW857" s="1062"/>
      <c r="CX857" s="1062"/>
      <c r="DB857" s="1181"/>
      <c r="DC857" s="1181"/>
      <c r="DD857" s="1181"/>
      <c r="DE857" s="1194"/>
      <c r="DF857" s="1194"/>
      <c r="DG857" s="1181"/>
      <c r="DH857" s="1181"/>
      <c r="DI857" s="1182"/>
      <c r="DJ857" s="1181"/>
      <c r="DK857" s="1181"/>
      <c r="DL857" s="1181"/>
      <c r="DM857" s="1181"/>
      <c r="DN857" s="1181"/>
      <c r="DO857" s="1181"/>
      <c r="DP857" s="1181"/>
      <c r="DQ857" s="1182"/>
      <c r="DR857" s="1080"/>
      <c r="DS857" s="1080"/>
      <c r="DT857" s="1080"/>
      <c r="DU857" s="1080"/>
      <c r="DV857" s="1080"/>
      <c r="DW857" s="1080"/>
      <c r="DX857" s="1080"/>
      <c r="DY857" s="1081"/>
      <c r="DZ857" s="1080">
        <f>+DZ856/DR856-1</f>
        <v>0.161856963613551</v>
      </c>
      <c r="EA857" s="1080">
        <f t="shared" ref="EA857:EJ857" si="4669">+EA856/DS856-1</f>
        <v>0.0373692077727952</v>
      </c>
      <c r="EB857" s="1080">
        <f t="shared" si="4669"/>
        <v>0.105047748976808</v>
      </c>
      <c r="EC857" s="1080">
        <f t="shared" si="4669"/>
        <v>0.0977777777777777</v>
      </c>
      <c r="ED857" s="1080">
        <f t="shared" si="4669"/>
        <v>0.102282333051564</v>
      </c>
      <c r="EE857" s="1080">
        <f t="shared" si="4669"/>
        <v>0.122093023255814</v>
      </c>
      <c r="EF857" s="1080">
        <f t="shared" si="4669"/>
        <v>0.106638418079096</v>
      </c>
      <c r="EG857" s="1081">
        <f t="shared" si="4669"/>
        <v>0.105829285218598</v>
      </c>
      <c r="EH857" s="1080">
        <f t="shared" si="4669"/>
        <v>0.0496760259179265</v>
      </c>
      <c r="EI857" s="1080">
        <f t="shared" si="4669"/>
        <v>0.0389048991354466</v>
      </c>
      <c r="EJ857" s="1080">
        <f t="shared" si="4669"/>
        <v>0.0450617283950616</v>
      </c>
      <c r="EK857" s="1080">
        <f>EK856/EC856-1</f>
        <v>0.0212550607287449</v>
      </c>
      <c r="EL857" s="1080">
        <f>EL856/ED856-1</f>
        <v>0.0360429447852761</v>
      </c>
      <c r="EM857" s="1080">
        <f>EM856/EE856-1</f>
        <v>-0.0414507772020726</v>
      </c>
      <c r="EN857" s="1080">
        <f>EN856/EF856-1</f>
        <v>-0.00191448627951496</v>
      </c>
      <c r="EO857" s="1081">
        <f>EO856/EG856-1</f>
        <v>0.0219642296830875</v>
      </c>
      <c r="EP857" s="1080"/>
      <c r="EQ857" s="1080"/>
      <c r="ER857" s="1080"/>
      <c r="ES857" s="1080"/>
      <c r="ET857" s="1080"/>
      <c r="EU857" s="1080"/>
      <c r="EV857" s="1080"/>
      <c r="EW857" s="1081"/>
      <c r="EX857" s="1080"/>
      <c r="EY857" s="1080"/>
      <c r="EZ857" s="1080"/>
      <c r="FA857" s="1080"/>
      <c r="FB857" s="1080"/>
      <c r="FC857" s="1080"/>
      <c r="FD857" s="1080"/>
      <c r="FE857" s="1081"/>
      <c r="FF857" s="1080"/>
      <c r="FG857" s="1080"/>
      <c r="FH857" s="1080"/>
      <c r="FI857" s="1080"/>
      <c r="FJ857" s="1080"/>
      <c r="FK857" s="1080"/>
      <c r="FL857" s="1080"/>
      <c r="FM857" s="1081"/>
      <c r="FN857" s="1080"/>
      <c r="FO857" s="1080"/>
      <c r="FP857" s="1080"/>
      <c r="FQ857" s="1080"/>
      <c r="FR857" s="1080"/>
      <c r="FS857" s="1080"/>
      <c r="FT857" s="1080"/>
      <c r="FU857" s="1080"/>
      <c r="FV857" s="1150"/>
      <c r="FW857" s="1080"/>
      <c r="FX857" s="1080"/>
      <c r="FY857" s="1080"/>
      <c r="FZ857" s="1080"/>
      <c r="GA857" s="1080"/>
      <c r="GB857" s="1080"/>
      <c r="GC857" s="1081"/>
      <c r="GD857" s="1080"/>
      <c r="GE857" s="1080"/>
      <c r="GF857" s="1080"/>
      <c r="GG857" s="1080"/>
      <c r="GH857" s="1080"/>
      <c r="GI857" s="1080"/>
      <c r="GJ857" s="1080"/>
      <c r="GK857" s="1081"/>
      <c r="GL857" s="1080"/>
      <c r="GM857" s="1080"/>
      <c r="GN857" s="1080"/>
      <c r="GO857" s="1080"/>
      <c r="GP857" s="1080"/>
      <c r="GQ857" s="1080"/>
      <c r="GR857" s="1080"/>
      <c r="GS857" s="1081"/>
      <c r="GT857" s="1080"/>
      <c r="GU857" s="1080"/>
      <c r="GV857" s="1080"/>
      <c r="GW857" s="1080"/>
      <c r="GX857" s="1080"/>
      <c r="GY857" s="1080"/>
      <c r="GZ857" s="1080"/>
      <c r="HA857" s="1081"/>
      <c r="HB857" s="1080"/>
      <c r="HC857" s="1080"/>
      <c r="HD857" s="1080"/>
      <c r="HE857" s="1080"/>
      <c r="HF857" s="1080"/>
      <c r="HG857" s="1080"/>
      <c r="HH857" s="1080"/>
      <c r="HI857" s="1081"/>
      <c r="HJ857" s="1080"/>
      <c r="HK857" s="1080"/>
      <c r="HL857" s="1080"/>
      <c r="HM857" s="1080"/>
      <c r="HN857" s="1080"/>
      <c r="HO857" s="1080"/>
      <c r="HP857" s="1080"/>
      <c r="HQ857" s="1081"/>
      <c r="HR857" s="1080"/>
      <c r="HS857" s="1080"/>
      <c r="HT857" s="1080"/>
      <c r="HU857" s="1080"/>
      <c r="HV857" s="1080"/>
      <c r="HW857" s="1080"/>
      <c r="HX857" s="1080"/>
      <c r="HY857" s="1080"/>
      <c r="HZ857" s="1080"/>
      <c r="IA857" s="1080"/>
      <c r="IB857" s="1080"/>
      <c r="IC857" s="1080"/>
      <c r="ID857" s="1080"/>
      <c r="IE857" s="1080"/>
      <c r="IF857" s="1080"/>
      <c r="IG857" s="1081"/>
      <c r="IH857" s="1080"/>
      <c r="II857" s="1080"/>
      <c r="IJ857" s="1080"/>
      <c r="IK857" s="1080"/>
      <c r="IL857" s="1080"/>
      <c r="IM857" s="1080"/>
      <c r="IN857" s="1080"/>
      <c r="IO857" s="1081"/>
      <c r="IP857" s="1080"/>
      <c r="IQ857" s="1080"/>
      <c r="IR857" s="1080"/>
      <c r="IS857" s="1080"/>
      <c r="IT857" s="1080"/>
      <c r="IU857" s="1080"/>
      <c r="IV857" s="1080"/>
      <c r="IW857" s="1080"/>
      <c r="IX857" s="1049"/>
      <c r="IY857" s="1049"/>
      <c r="IZ857" s="1049"/>
      <c r="JA857" s="1049"/>
      <c r="JB857" s="1049"/>
      <c r="JC857" s="1049"/>
      <c r="JD857" s="1041"/>
      <c r="JE857" s="1037"/>
      <c r="JF857" s="1037"/>
      <c r="JG857" s="1037"/>
      <c r="JH857" s="1037"/>
      <c r="JI857" s="1035"/>
      <c r="JJ857" s="1035"/>
      <c r="JK857" s="1035"/>
      <c r="JL857" s="1035"/>
      <c r="JM857" s="1035"/>
      <c r="JN857" s="1035"/>
      <c r="JO857" s="1035"/>
      <c r="JP857" s="1035"/>
      <c r="JQ857" s="1035"/>
      <c r="JR857" s="1035"/>
      <c r="JS857" s="1035"/>
      <c r="JT857" s="1035"/>
      <c r="JU857" s="1035"/>
      <c r="JV857" s="1035"/>
      <c r="JW857" s="1035"/>
      <c r="JX857" s="1035"/>
      <c r="JY857" s="1035"/>
      <c r="KP857" s="1117"/>
      <c r="LV857" s="967"/>
    </row>
    <row r="858" outlineLevel="1" spans="1:334">
      <c r="A858" s="967" t="s">
        <v>65</v>
      </c>
      <c r="AX858" s="1059"/>
      <c r="BE858" s="1060"/>
      <c r="BN858" s="1059"/>
      <c r="BU858" s="1060"/>
      <c r="BV858" s="1059"/>
      <c r="CC858" s="1060"/>
      <c r="CD858" s="1059"/>
      <c r="CJ858" s="1061"/>
      <c r="CK858" s="1060"/>
      <c r="CL858" s="1059"/>
      <c r="CS858" s="1060"/>
      <c r="CT858" s="1059"/>
      <c r="CW858" s="1062"/>
      <c r="CX858" s="1062"/>
      <c r="DB858" s="1181"/>
      <c r="DC858" s="1181"/>
      <c r="DD858" s="1181"/>
      <c r="DE858" s="1194"/>
      <c r="DF858" s="1194"/>
      <c r="DG858" s="1181"/>
      <c r="DH858" s="1181"/>
      <c r="DI858" s="1182"/>
      <c r="DJ858" s="1181"/>
      <c r="DK858" s="1181"/>
      <c r="DL858" s="1181"/>
      <c r="DM858" s="1181"/>
      <c r="DN858" s="1181"/>
      <c r="DO858" s="1181"/>
      <c r="DP858" s="1181"/>
      <c r="DQ858" s="1182"/>
      <c r="DR858" s="1080"/>
      <c r="DS858" s="1080"/>
      <c r="DT858" s="1080"/>
      <c r="DU858" s="1080"/>
      <c r="DV858" s="1080"/>
      <c r="DW858" s="1080"/>
      <c r="DX858" s="1080"/>
      <c r="DY858" s="1081"/>
      <c r="DZ858" s="1080">
        <v>0.14</v>
      </c>
      <c r="EA858" s="1080"/>
      <c r="EB858" s="1080">
        <v>0.09</v>
      </c>
      <c r="EC858" s="1080"/>
      <c r="ED858" s="1080">
        <v>0.1</v>
      </c>
      <c r="EE858" s="1080"/>
      <c r="EF858" s="1080"/>
      <c r="EG858" s="1081">
        <v>0.1</v>
      </c>
      <c r="EH858" s="1080">
        <v>0.05</v>
      </c>
      <c r="EI858" s="1080"/>
      <c r="EJ858" s="1080">
        <v>0.04</v>
      </c>
      <c r="EK858" s="1080"/>
      <c r="EL858" s="1080">
        <v>0.03</v>
      </c>
      <c r="EM858" s="1080"/>
      <c r="EN858" s="1080"/>
      <c r="EO858" s="1081">
        <v>0.01</v>
      </c>
      <c r="EP858" s="1080"/>
      <c r="EQ858" s="1080"/>
      <c r="ER858" s="1080"/>
      <c r="ES858" s="1080"/>
      <c r="ET858" s="1080"/>
      <c r="EU858" s="1080"/>
      <c r="EV858" s="1080"/>
      <c r="EW858" s="1081"/>
      <c r="EX858" s="1080"/>
      <c r="EY858" s="1080"/>
      <c r="EZ858" s="1080"/>
      <c r="FA858" s="1080"/>
      <c r="FB858" s="1080"/>
      <c r="FC858" s="1080"/>
      <c r="FD858" s="1080"/>
      <c r="FE858" s="1081"/>
      <c r="FF858" s="1080"/>
      <c r="FG858" s="1080"/>
      <c r="FH858" s="1080"/>
      <c r="FI858" s="1080"/>
      <c r="FJ858" s="1080"/>
      <c r="FK858" s="1080"/>
      <c r="FL858" s="1080"/>
      <c r="FM858" s="1081"/>
      <c r="FN858" s="1080"/>
      <c r="FO858" s="1080"/>
      <c r="FP858" s="1080"/>
      <c r="FQ858" s="1080"/>
      <c r="FR858" s="1080"/>
      <c r="FS858" s="1080"/>
      <c r="FT858" s="1080"/>
      <c r="FU858" s="1080"/>
      <c r="FV858" s="1150"/>
      <c r="FW858" s="1080"/>
      <c r="FX858" s="1080"/>
      <c r="FY858" s="1080"/>
      <c r="FZ858" s="1080"/>
      <c r="GA858" s="1080"/>
      <c r="GB858" s="1080"/>
      <c r="GC858" s="1081"/>
      <c r="GD858" s="1080"/>
      <c r="GE858" s="1080"/>
      <c r="GF858" s="1080"/>
      <c r="GG858" s="1080"/>
      <c r="GH858" s="1080"/>
      <c r="GI858" s="1080"/>
      <c r="GJ858" s="1080"/>
      <c r="GK858" s="1081"/>
      <c r="GL858" s="1080"/>
      <c r="GM858" s="1080"/>
      <c r="GN858" s="1080"/>
      <c r="GO858" s="1080"/>
      <c r="GP858" s="1080"/>
      <c r="GQ858" s="1080"/>
      <c r="GR858" s="1080"/>
      <c r="GS858" s="1081"/>
      <c r="GT858" s="1080"/>
      <c r="GU858" s="1080"/>
      <c r="GV858" s="1080"/>
      <c r="GW858" s="1080"/>
      <c r="GX858" s="1080"/>
      <c r="GY858" s="1080"/>
      <c r="GZ858" s="1080"/>
      <c r="HA858" s="1081"/>
      <c r="HB858" s="1080"/>
      <c r="HC858" s="1080"/>
      <c r="HD858" s="1080"/>
      <c r="HE858" s="1080"/>
      <c r="HF858" s="1080"/>
      <c r="HG858" s="1080"/>
      <c r="HH858" s="1080"/>
      <c r="HI858" s="1081"/>
      <c r="HJ858" s="1080"/>
      <c r="HK858" s="1080"/>
      <c r="HL858" s="1080"/>
      <c r="HM858" s="1080"/>
      <c r="HN858" s="1080"/>
      <c r="HO858" s="1080"/>
      <c r="HP858" s="1080"/>
      <c r="HQ858" s="1081"/>
      <c r="HR858" s="1080"/>
      <c r="HS858" s="1080"/>
      <c r="HT858" s="1080"/>
      <c r="HU858" s="1080"/>
      <c r="HV858" s="1080"/>
      <c r="HW858" s="1080"/>
      <c r="HX858" s="1080"/>
      <c r="HY858" s="1080"/>
      <c r="HZ858" s="1080"/>
      <c r="IA858" s="1080"/>
      <c r="IB858" s="1080"/>
      <c r="IC858" s="1080"/>
      <c r="ID858" s="1080"/>
      <c r="IE858" s="1080"/>
      <c r="IF858" s="1080"/>
      <c r="IG858" s="1081"/>
      <c r="IH858" s="1080"/>
      <c r="II858" s="1080"/>
      <c r="IJ858" s="1080"/>
      <c r="IK858" s="1080"/>
      <c r="IL858" s="1080"/>
      <c r="IM858" s="1080"/>
      <c r="IN858" s="1080"/>
      <c r="IO858" s="1081"/>
      <c r="IP858" s="1080"/>
      <c r="IQ858" s="1080"/>
      <c r="IR858" s="1080"/>
      <c r="IS858" s="1080"/>
      <c r="IT858" s="1080"/>
      <c r="IU858" s="1080"/>
      <c r="IV858" s="1080"/>
      <c r="IW858" s="1080"/>
      <c r="IX858" s="1049"/>
      <c r="IY858" s="1049"/>
      <c r="IZ858" s="1049"/>
      <c r="JA858" s="1049"/>
      <c r="JB858" s="1049"/>
      <c r="JC858" s="1049"/>
      <c r="JD858" s="1041"/>
      <c r="JE858" s="1037"/>
      <c r="JF858" s="1037"/>
      <c r="JG858" s="1037"/>
      <c r="JH858" s="1037"/>
      <c r="JI858" s="1035"/>
      <c r="JJ858" s="1035"/>
      <c r="JK858" s="1035"/>
      <c r="JL858" s="1035"/>
      <c r="JM858" s="1035"/>
      <c r="JN858" s="1035"/>
      <c r="JO858" s="1035"/>
      <c r="JP858" s="1035"/>
      <c r="JQ858" s="1035"/>
      <c r="JR858" s="1035"/>
      <c r="JS858" s="1035"/>
      <c r="JT858" s="1035"/>
      <c r="JU858" s="1035"/>
      <c r="JV858" s="1035"/>
      <c r="JW858" s="1035"/>
      <c r="JX858" s="1035"/>
      <c r="JY858" s="1035"/>
      <c r="KP858" s="1117"/>
      <c r="LV858" s="967"/>
    </row>
    <row r="859" outlineLevel="1" spans="1:334">
      <c r="A859" s="1180" t="s">
        <v>524</v>
      </c>
      <c r="AX859" s="1059"/>
      <c r="BE859" s="1060"/>
      <c r="BN859" s="1059"/>
      <c r="BU859" s="1060"/>
      <c r="BV859" s="1059"/>
      <c r="CC859" s="1060"/>
      <c r="CD859" s="1059"/>
      <c r="CJ859" s="1061"/>
      <c r="CK859" s="1060"/>
      <c r="CL859" s="1059"/>
      <c r="CS859" s="1060"/>
      <c r="CT859" s="1059"/>
      <c r="CW859" s="1062"/>
      <c r="CX859" s="1062"/>
      <c r="DB859" s="1181"/>
      <c r="DC859" s="1181"/>
      <c r="DD859" s="1181"/>
      <c r="DE859" s="1194"/>
      <c r="DF859" s="1194"/>
      <c r="DG859" s="1181"/>
      <c r="DH859" s="1181"/>
      <c r="DI859" s="1182"/>
      <c r="DJ859" s="1181"/>
      <c r="DK859" s="1181"/>
      <c r="DL859" s="1181"/>
      <c r="DM859" s="1181"/>
      <c r="DN859" s="1181"/>
      <c r="DO859" s="1181"/>
      <c r="DP859" s="1181"/>
      <c r="DQ859" s="1182"/>
      <c r="DR859" s="1071">
        <v>128</v>
      </c>
      <c r="DS859" s="1071">
        <f>+DT859-DR859</f>
        <v>115</v>
      </c>
      <c r="DT859" s="1071">
        <v>243</v>
      </c>
      <c r="DU859" s="1071">
        <f>+DV859-DT859</f>
        <v>163</v>
      </c>
      <c r="DV859" s="1071">
        <v>406</v>
      </c>
      <c r="DW859" s="1071">
        <f>DX859-DU859</f>
        <v>97</v>
      </c>
      <c r="DX859" s="1071">
        <f>DY859-DT859</f>
        <v>260</v>
      </c>
      <c r="DY859" s="1072">
        <v>503</v>
      </c>
      <c r="DZ859" s="1071">
        <v>142</v>
      </c>
      <c r="EA859" s="1071">
        <f>+EB859-DZ859</f>
        <v>94</v>
      </c>
      <c r="EB859" s="1071">
        <v>236</v>
      </c>
      <c r="EC859" s="1071">
        <f>+ED859-EB859</f>
        <v>154</v>
      </c>
      <c r="ED859" s="1071">
        <v>390</v>
      </c>
      <c r="EE859" s="1071">
        <f>EF859-EC859</f>
        <v>106</v>
      </c>
      <c r="EF859" s="1071">
        <f>EG859-EB859</f>
        <v>260</v>
      </c>
      <c r="EG859" s="1072">
        <v>496</v>
      </c>
      <c r="EH859" s="1071">
        <v>160</v>
      </c>
      <c r="EI859" s="1071">
        <f>+EJ859-EH859</f>
        <v>106</v>
      </c>
      <c r="EJ859" s="1071">
        <v>266</v>
      </c>
      <c r="EK859" s="1071">
        <f>EL859-EJ859</f>
        <v>179</v>
      </c>
      <c r="EL859" s="1071">
        <v>445</v>
      </c>
      <c r="EM859" s="1071">
        <f>EN859-EK859</f>
        <v>100</v>
      </c>
      <c r="EN859" s="1071">
        <f>EO859-EJ859</f>
        <v>279</v>
      </c>
      <c r="EO859" s="1072">
        <v>545</v>
      </c>
      <c r="EP859" s="1071"/>
      <c r="EQ859" s="1071"/>
      <c r="ER859" s="1071"/>
      <c r="ES859" s="1071"/>
      <c r="ET859" s="1071"/>
      <c r="EU859" s="1071"/>
      <c r="EV859" s="1071"/>
      <c r="EW859" s="1072"/>
      <c r="EX859" s="1071"/>
      <c r="EY859" s="1071"/>
      <c r="EZ859" s="1071"/>
      <c r="FA859" s="1071"/>
      <c r="FB859" s="1071"/>
      <c r="FC859" s="1071"/>
      <c r="FD859" s="1071"/>
      <c r="FE859" s="1072"/>
      <c r="FF859" s="1071"/>
      <c r="FG859" s="1071"/>
      <c r="FH859" s="1071"/>
      <c r="FI859" s="1071"/>
      <c r="FJ859" s="1071"/>
      <c r="FK859" s="1071"/>
      <c r="FL859" s="1071"/>
      <c r="FM859" s="1072"/>
      <c r="FN859" s="1071"/>
      <c r="FO859" s="1071"/>
      <c r="FP859" s="1071"/>
      <c r="FQ859" s="1071"/>
      <c r="FR859" s="1071"/>
      <c r="FS859" s="1071"/>
      <c r="FT859" s="1071"/>
      <c r="FU859" s="1071"/>
      <c r="FV859" s="1177"/>
      <c r="FW859" s="1071"/>
      <c r="FX859" s="1071"/>
      <c r="FY859" s="1071"/>
      <c r="FZ859" s="1071"/>
      <c r="GA859" s="1071"/>
      <c r="GB859" s="1071"/>
      <c r="GC859" s="1072"/>
      <c r="GD859" s="1071"/>
      <c r="GE859" s="1071"/>
      <c r="GF859" s="1071"/>
      <c r="GG859" s="1071"/>
      <c r="GH859" s="1071"/>
      <c r="GI859" s="1071"/>
      <c r="GJ859" s="1071"/>
      <c r="GK859" s="1072"/>
      <c r="GL859" s="1071"/>
      <c r="GM859" s="1071"/>
      <c r="GN859" s="1071"/>
      <c r="GO859" s="1071"/>
      <c r="GP859" s="1071"/>
      <c r="GQ859" s="1071"/>
      <c r="GR859" s="1071"/>
      <c r="GS859" s="1072"/>
      <c r="GT859" s="1071"/>
      <c r="GU859" s="1071"/>
      <c r="GV859" s="1071"/>
      <c r="GW859" s="1071"/>
      <c r="GX859" s="1071"/>
      <c r="GY859" s="1071"/>
      <c r="GZ859" s="1071"/>
      <c r="HA859" s="1072"/>
      <c r="HB859" s="1071"/>
      <c r="HC859" s="1071"/>
      <c r="HD859" s="1071"/>
      <c r="HE859" s="1071"/>
      <c r="HF859" s="1071"/>
      <c r="HG859" s="1071"/>
      <c r="HH859" s="1071"/>
      <c r="HI859" s="1072"/>
      <c r="HJ859" s="1071"/>
      <c r="HK859" s="1071"/>
      <c r="HL859" s="1071"/>
      <c r="HM859" s="1071"/>
      <c r="HN859" s="1071"/>
      <c r="HO859" s="1071"/>
      <c r="HP859" s="1071"/>
      <c r="HQ859" s="1072"/>
      <c r="HR859" s="1071"/>
      <c r="HS859" s="1071"/>
      <c r="HT859" s="1071"/>
      <c r="HU859" s="1071"/>
      <c r="HV859" s="1071"/>
      <c r="HW859" s="1071"/>
      <c r="HX859" s="1071"/>
      <c r="HY859" s="1071"/>
      <c r="HZ859" s="1071"/>
      <c r="IA859" s="1071"/>
      <c r="IB859" s="1071"/>
      <c r="IC859" s="1071"/>
      <c r="ID859" s="1071"/>
      <c r="IE859" s="1071"/>
      <c r="IF859" s="1071"/>
      <c r="IG859" s="1072"/>
      <c r="IH859" s="1071"/>
      <c r="II859" s="1071"/>
      <c r="IJ859" s="1071"/>
      <c r="IK859" s="1071"/>
      <c r="IL859" s="1071"/>
      <c r="IM859" s="1071"/>
      <c r="IN859" s="1071"/>
      <c r="IO859" s="1072"/>
      <c r="IP859" s="1071"/>
      <c r="IQ859" s="1071"/>
      <c r="IR859" s="1071"/>
      <c r="IS859" s="1071"/>
      <c r="IT859" s="1071"/>
      <c r="IU859" s="1071"/>
      <c r="IV859" s="1071"/>
      <c r="IW859" s="1071"/>
      <c r="IX859" s="1049"/>
      <c r="IY859" s="1049"/>
      <c r="IZ859" s="1049"/>
      <c r="JA859" s="1049"/>
      <c r="JB859" s="1049"/>
      <c r="JC859" s="1049"/>
      <c r="JD859" s="1041"/>
      <c r="JE859" s="1037"/>
      <c r="JF859" s="1037"/>
      <c r="JG859" s="1037"/>
      <c r="JH859" s="1037"/>
      <c r="JI859" s="1035"/>
      <c r="JJ859" s="1035"/>
      <c r="JK859" s="1035"/>
      <c r="JL859" s="1035"/>
      <c r="JM859" s="1035"/>
      <c r="JN859" s="1035"/>
      <c r="JO859" s="1035"/>
      <c r="JP859" s="1035"/>
      <c r="JQ859" s="1035"/>
      <c r="JR859" s="1035"/>
      <c r="JS859" s="1035"/>
      <c r="JT859" s="1035"/>
      <c r="JU859" s="1035"/>
      <c r="JV859" s="1035"/>
      <c r="JW859" s="1035"/>
      <c r="JX859" s="1035"/>
      <c r="JY859" s="1035"/>
      <c r="KP859" s="1117"/>
      <c r="LV859" s="967"/>
    </row>
    <row r="860" outlineLevel="1" spans="1:334">
      <c r="A860" s="967" t="s">
        <v>61</v>
      </c>
      <c r="AX860" s="1059"/>
      <c r="BE860" s="1060"/>
      <c r="BN860" s="1059"/>
      <c r="BU860" s="1060"/>
      <c r="BV860" s="1059"/>
      <c r="CC860" s="1060"/>
      <c r="CD860" s="1059"/>
      <c r="CJ860" s="1061"/>
      <c r="CK860" s="1060"/>
      <c r="CL860" s="1059"/>
      <c r="CS860" s="1060"/>
      <c r="CT860" s="1059"/>
      <c r="CW860" s="1062"/>
      <c r="CX860" s="1062"/>
      <c r="DB860" s="1181"/>
      <c r="DC860" s="1181"/>
      <c r="DD860" s="1181"/>
      <c r="DE860" s="1194"/>
      <c r="DF860" s="1194"/>
      <c r="DG860" s="1181"/>
      <c r="DH860" s="1181"/>
      <c r="DI860" s="1182"/>
      <c r="DJ860" s="1181"/>
      <c r="DK860" s="1181"/>
      <c r="DL860" s="1181"/>
      <c r="DM860" s="1181"/>
      <c r="DN860" s="1181"/>
      <c r="DO860" s="1181"/>
      <c r="DP860" s="1181"/>
      <c r="DQ860" s="1182"/>
      <c r="DR860" s="1080"/>
      <c r="DS860" s="1080"/>
      <c r="DT860" s="1080"/>
      <c r="DU860" s="1080"/>
      <c r="DV860" s="1080"/>
      <c r="DW860" s="1080"/>
      <c r="DX860" s="1080"/>
      <c r="DY860" s="1081"/>
      <c r="DZ860" s="1080">
        <f>+DZ859/DR859-1</f>
        <v>0.109375</v>
      </c>
      <c r="EA860" s="1080">
        <f t="shared" ref="EA860:EG860" si="4670">+EA859/DS859-1</f>
        <v>-0.182608695652174</v>
      </c>
      <c r="EB860" s="1080">
        <f t="shared" si="4670"/>
        <v>-0.0288065843621399</v>
      </c>
      <c r="EC860" s="1080">
        <f t="shared" si="4670"/>
        <v>-0.0552147239263804</v>
      </c>
      <c r="ED860" s="1080">
        <f t="shared" si="4670"/>
        <v>-0.0394088669950738</v>
      </c>
      <c r="EE860" s="1080">
        <f t="shared" si="4670"/>
        <v>0.0927835051546391</v>
      </c>
      <c r="EF860" s="1080">
        <f t="shared" si="4670"/>
        <v>0</v>
      </c>
      <c r="EG860" s="1081">
        <f t="shared" si="4670"/>
        <v>-0.0139165009940357</v>
      </c>
      <c r="EH860" s="1080">
        <v>0.12</v>
      </c>
      <c r="EI860" s="1080">
        <f>+EI859/EA859-1</f>
        <v>0.127659574468085</v>
      </c>
      <c r="EJ860" s="1080">
        <f>+EJ859/EB859-1</f>
        <v>0.127118644067797</v>
      </c>
      <c r="EK860" s="1080">
        <f>EK859/EC859-1</f>
        <v>0.162337662337662</v>
      </c>
      <c r="EL860" s="1080">
        <f>EL859/ED859-1</f>
        <v>0.141025641025641</v>
      </c>
      <c r="EM860" s="1080">
        <f>EM859/EE859-1</f>
        <v>-0.0566037735849056</v>
      </c>
      <c r="EN860" s="1080">
        <f>EN859/EF859-1</f>
        <v>0.073076923076923</v>
      </c>
      <c r="EO860" s="1081">
        <f>EO859/EG859-1</f>
        <v>0.0987903225806452</v>
      </c>
      <c r="EP860" s="1080"/>
      <c r="EQ860" s="1080"/>
      <c r="ER860" s="1080"/>
      <c r="ES860" s="1080"/>
      <c r="ET860" s="1080"/>
      <c r="EU860" s="1080"/>
      <c r="EV860" s="1080"/>
      <c r="EW860" s="1081"/>
      <c r="EX860" s="1080"/>
      <c r="EY860" s="1080"/>
      <c r="EZ860" s="1080"/>
      <c r="FA860" s="1080"/>
      <c r="FB860" s="1080"/>
      <c r="FC860" s="1080"/>
      <c r="FD860" s="1080"/>
      <c r="FE860" s="1081"/>
      <c r="FF860" s="1080"/>
      <c r="FG860" s="1080"/>
      <c r="FH860" s="1080"/>
      <c r="FI860" s="1080"/>
      <c r="FJ860" s="1080"/>
      <c r="FK860" s="1080"/>
      <c r="FL860" s="1080"/>
      <c r="FM860" s="1081"/>
      <c r="FN860" s="1080"/>
      <c r="FO860" s="1080"/>
      <c r="FP860" s="1080"/>
      <c r="FQ860" s="1080"/>
      <c r="FR860" s="1080"/>
      <c r="FS860" s="1080"/>
      <c r="FT860" s="1080"/>
      <c r="FU860" s="1080"/>
      <c r="FV860" s="1150"/>
      <c r="FW860" s="1080"/>
      <c r="FX860" s="1080"/>
      <c r="FY860" s="1080"/>
      <c r="FZ860" s="1080"/>
      <c r="GA860" s="1080"/>
      <c r="GB860" s="1080"/>
      <c r="GC860" s="1081"/>
      <c r="GD860" s="1080"/>
      <c r="GE860" s="1080"/>
      <c r="GF860" s="1080"/>
      <c r="GG860" s="1080"/>
      <c r="GH860" s="1080"/>
      <c r="GI860" s="1080"/>
      <c r="GJ860" s="1080"/>
      <c r="GK860" s="1081"/>
      <c r="GL860" s="1080"/>
      <c r="GM860" s="1080"/>
      <c r="GN860" s="1080"/>
      <c r="GO860" s="1080"/>
      <c r="GP860" s="1080"/>
      <c r="GQ860" s="1080"/>
      <c r="GR860" s="1080"/>
      <c r="GS860" s="1081"/>
      <c r="GT860" s="1080"/>
      <c r="GU860" s="1080"/>
      <c r="GV860" s="1080"/>
      <c r="GW860" s="1080"/>
      <c r="GX860" s="1080"/>
      <c r="GY860" s="1080"/>
      <c r="GZ860" s="1080"/>
      <c r="HA860" s="1081"/>
      <c r="HB860" s="1080"/>
      <c r="HC860" s="1080"/>
      <c r="HD860" s="1080"/>
      <c r="HE860" s="1080"/>
      <c r="HF860" s="1080"/>
      <c r="HG860" s="1080"/>
      <c r="HH860" s="1080"/>
      <c r="HI860" s="1081"/>
      <c r="HJ860" s="1080"/>
      <c r="HK860" s="1080"/>
      <c r="HL860" s="1080"/>
      <c r="HM860" s="1080"/>
      <c r="HN860" s="1080"/>
      <c r="HO860" s="1080"/>
      <c r="HP860" s="1080"/>
      <c r="HQ860" s="1081"/>
      <c r="HR860" s="1080"/>
      <c r="HS860" s="1080"/>
      <c r="HT860" s="1080"/>
      <c r="HU860" s="1080"/>
      <c r="HV860" s="1080"/>
      <c r="HW860" s="1080"/>
      <c r="HX860" s="1080"/>
      <c r="HY860" s="1080"/>
      <c r="HZ860" s="1080"/>
      <c r="IA860" s="1080"/>
      <c r="IB860" s="1080"/>
      <c r="IC860" s="1080"/>
      <c r="ID860" s="1080"/>
      <c r="IE860" s="1080"/>
      <c r="IF860" s="1080"/>
      <c r="IG860" s="1081"/>
      <c r="IH860" s="1080"/>
      <c r="II860" s="1080"/>
      <c r="IJ860" s="1080"/>
      <c r="IK860" s="1080"/>
      <c r="IL860" s="1080"/>
      <c r="IM860" s="1080"/>
      <c r="IN860" s="1080"/>
      <c r="IO860" s="1081"/>
      <c r="IP860" s="1080"/>
      <c r="IQ860" s="1080"/>
      <c r="IR860" s="1080"/>
      <c r="IS860" s="1080"/>
      <c r="IT860" s="1080"/>
      <c r="IU860" s="1080"/>
      <c r="IV860" s="1080"/>
      <c r="IW860" s="1080"/>
      <c r="IX860" s="1049"/>
      <c r="IY860" s="1049"/>
      <c r="IZ860" s="1049"/>
      <c r="JA860" s="1049"/>
      <c r="JB860" s="1049"/>
      <c r="JC860" s="1049"/>
      <c r="JD860" s="1041"/>
      <c r="JE860" s="1037"/>
      <c r="JF860" s="1037"/>
      <c r="JG860" s="1037"/>
      <c r="JH860" s="1037"/>
      <c r="JI860" s="1035"/>
      <c r="JJ860" s="1035"/>
      <c r="JK860" s="1035"/>
      <c r="JL860" s="1035"/>
      <c r="JM860" s="1035"/>
      <c r="JN860" s="1035"/>
      <c r="JO860" s="1035"/>
      <c r="JP860" s="1035"/>
      <c r="JQ860" s="1035"/>
      <c r="JR860" s="1035"/>
      <c r="JS860" s="1035"/>
      <c r="JT860" s="1035"/>
      <c r="JU860" s="1035"/>
      <c r="JV860" s="1035"/>
      <c r="JW860" s="1035"/>
      <c r="JX860" s="1035"/>
      <c r="JY860" s="1035"/>
      <c r="KP860" s="1117"/>
      <c r="LV860" s="967"/>
    </row>
    <row r="861" outlineLevel="1" spans="1:334">
      <c r="A861" s="967" t="s">
        <v>65</v>
      </c>
      <c r="AX861" s="1059"/>
      <c r="BE861" s="1060"/>
      <c r="BN861" s="1059"/>
      <c r="BU861" s="1060"/>
      <c r="BV861" s="1059"/>
      <c r="CC861" s="1060"/>
      <c r="CD861" s="1059"/>
      <c r="CJ861" s="1061"/>
      <c r="CK861" s="1060"/>
      <c r="CL861" s="1059"/>
      <c r="CS861" s="1060"/>
      <c r="CT861" s="1059"/>
      <c r="CW861" s="1062"/>
      <c r="CX861" s="1062"/>
      <c r="DB861" s="1181"/>
      <c r="DC861" s="1181"/>
      <c r="DD861" s="1181"/>
      <c r="DE861" s="1194"/>
      <c r="DF861" s="1194"/>
      <c r="DG861" s="1181"/>
      <c r="DH861" s="1181"/>
      <c r="DI861" s="1182"/>
      <c r="DJ861" s="1181"/>
      <c r="DK861" s="1181"/>
      <c r="DL861" s="1181"/>
      <c r="DM861" s="1181"/>
      <c r="DN861" s="1181"/>
      <c r="DO861" s="1181"/>
      <c r="DP861" s="1181"/>
      <c r="DQ861" s="1182"/>
      <c r="DR861" s="1080"/>
      <c r="DS861" s="1080"/>
      <c r="DT861" s="1080"/>
      <c r="DU861" s="1080"/>
      <c r="DV861" s="1080"/>
      <c r="DW861" s="1080"/>
      <c r="DX861" s="1080"/>
      <c r="DY861" s="1081"/>
      <c r="DZ861" s="1080">
        <v>0.09</v>
      </c>
      <c r="EA861" s="1080"/>
      <c r="EB861" s="1080">
        <v>0</v>
      </c>
      <c r="EC861" s="1080"/>
      <c r="ED861" s="1080">
        <v>0.02</v>
      </c>
      <c r="EE861" s="1080"/>
      <c r="EF861" s="1080"/>
      <c r="EG861" s="1081">
        <v>0.05</v>
      </c>
      <c r="EH861" s="1080">
        <v>0.14</v>
      </c>
      <c r="EI861" s="1080"/>
      <c r="EJ861" s="1080">
        <v>0.11</v>
      </c>
      <c r="EK861" s="1080"/>
      <c r="EL861" s="1080">
        <v>0.11</v>
      </c>
      <c r="EM861" s="1080"/>
      <c r="EN861" s="1080"/>
      <c r="EO861" s="1081">
        <v>0.06</v>
      </c>
      <c r="EP861" s="1080"/>
      <c r="EQ861" s="1080"/>
      <c r="ER861" s="1080"/>
      <c r="ES861" s="1080"/>
      <c r="ET861" s="1080"/>
      <c r="EU861" s="1080"/>
      <c r="EV861" s="1080"/>
      <c r="EW861" s="1081"/>
      <c r="EX861" s="1080"/>
      <c r="EY861" s="1080"/>
      <c r="EZ861" s="1080"/>
      <c r="FA861" s="1080"/>
      <c r="FB861" s="1080"/>
      <c r="FC861" s="1080"/>
      <c r="FD861" s="1080"/>
      <c r="FE861" s="1081"/>
      <c r="FF861" s="1080"/>
      <c r="FG861" s="1080"/>
      <c r="FH861" s="1080"/>
      <c r="FI861" s="1080"/>
      <c r="FJ861" s="1080"/>
      <c r="FK861" s="1080"/>
      <c r="FL861" s="1080"/>
      <c r="FM861" s="1081"/>
      <c r="FN861" s="1080"/>
      <c r="FO861" s="1080"/>
      <c r="FP861" s="1080"/>
      <c r="FQ861" s="1080"/>
      <c r="FR861" s="1080"/>
      <c r="FS861" s="1080"/>
      <c r="FT861" s="1080"/>
      <c r="FU861" s="1080"/>
      <c r="FV861" s="1150"/>
      <c r="FW861" s="1080"/>
      <c r="FX861" s="1080"/>
      <c r="FY861" s="1080"/>
      <c r="FZ861" s="1080"/>
      <c r="GA861" s="1080"/>
      <c r="GB861" s="1080"/>
      <c r="GC861" s="1081"/>
      <c r="GD861" s="1080"/>
      <c r="GE861" s="1080"/>
      <c r="GF861" s="1080"/>
      <c r="GG861" s="1080"/>
      <c r="GH861" s="1080"/>
      <c r="GI861" s="1080"/>
      <c r="GJ861" s="1080"/>
      <c r="GK861" s="1081"/>
      <c r="GL861" s="1080"/>
      <c r="GM861" s="1080"/>
      <c r="GN861" s="1080"/>
      <c r="GO861" s="1080"/>
      <c r="GP861" s="1080"/>
      <c r="GQ861" s="1080"/>
      <c r="GR861" s="1080"/>
      <c r="GS861" s="1081"/>
      <c r="GT861" s="1080"/>
      <c r="GU861" s="1080"/>
      <c r="GV861" s="1080"/>
      <c r="GW861" s="1080"/>
      <c r="GX861" s="1080"/>
      <c r="GY861" s="1080"/>
      <c r="GZ861" s="1080"/>
      <c r="HA861" s="1081"/>
      <c r="HB861" s="1080"/>
      <c r="HC861" s="1080"/>
      <c r="HD861" s="1080"/>
      <c r="HE861" s="1080"/>
      <c r="HF861" s="1080"/>
      <c r="HG861" s="1080"/>
      <c r="HH861" s="1080"/>
      <c r="HI861" s="1081"/>
      <c r="HJ861" s="1080"/>
      <c r="HK861" s="1080"/>
      <c r="HL861" s="1080"/>
      <c r="HM861" s="1080"/>
      <c r="HN861" s="1080"/>
      <c r="HO861" s="1080"/>
      <c r="HP861" s="1080"/>
      <c r="HQ861" s="1081"/>
      <c r="HR861" s="1080"/>
      <c r="HS861" s="1080"/>
      <c r="HT861" s="1080"/>
      <c r="HU861" s="1080"/>
      <c r="HV861" s="1080"/>
      <c r="HW861" s="1080"/>
      <c r="HX861" s="1080"/>
      <c r="HY861" s="1080"/>
      <c r="HZ861" s="1080"/>
      <c r="IA861" s="1080"/>
      <c r="IB861" s="1080"/>
      <c r="IC861" s="1080"/>
      <c r="ID861" s="1080"/>
      <c r="IE861" s="1080"/>
      <c r="IF861" s="1080"/>
      <c r="IG861" s="1081"/>
      <c r="IH861" s="1080"/>
      <c r="II861" s="1080"/>
      <c r="IJ861" s="1080"/>
      <c r="IK861" s="1080"/>
      <c r="IL861" s="1080"/>
      <c r="IM861" s="1080"/>
      <c r="IN861" s="1080"/>
      <c r="IO861" s="1081"/>
      <c r="IP861" s="1080"/>
      <c r="IQ861" s="1080"/>
      <c r="IR861" s="1080"/>
      <c r="IS861" s="1080"/>
      <c r="IT861" s="1080"/>
      <c r="IU861" s="1080"/>
      <c r="IV861" s="1080"/>
      <c r="IW861" s="1080"/>
      <c r="IX861" s="1049"/>
      <c r="IY861" s="1049"/>
      <c r="IZ861" s="1049"/>
      <c r="JA861" s="1049"/>
      <c r="JB861" s="1049"/>
      <c r="JC861" s="1049"/>
      <c r="JD861" s="1041"/>
      <c r="JE861" s="1037"/>
      <c r="JF861" s="1037"/>
      <c r="JG861" s="1037"/>
      <c r="JH861" s="1037"/>
      <c r="JI861" s="1035"/>
      <c r="JJ861" s="1035"/>
      <c r="JK861" s="1035"/>
      <c r="JL861" s="1035"/>
      <c r="JM861" s="1035"/>
      <c r="JN861" s="1035"/>
      <c r="JO861" s="1035"/>
      <c r="JP861" s="1035"/>
      <c r="JQ861" s="1035"/>
      <c r="JR861" s="1035"/>
      <c r="JS861" s="1035"/>
      <c r="JT861" s="1035"/>
      <c r="JU861" s="1035"/>
      <c r="JV861" s="1035"/>
      <c r="JW861" s="1035"/>
      <c r="JX861" s="1035"/>
      <c r="JY861" s="1035"/>
      <c r="KP861" s="1117"/>
      <c r="LV861" s="967"/>
    </row>
    <row r="862" outlineLevel="1" spans="1:334">
      <c r="A862" s="1180" t="s">
        <v>101</v>
      </c>
      <c r="AX862" s="1059"/>
      <c r="BE862" s="1060"/>
      <c r="BN862" s="1059"/>
      <c r="BU862" s="1060"/>
      <c r="BV862" s="1059"/>
      <c r="CC862" s="1060"/>
      <c r="CD862" s="1059"/>
      <c r="CJ862" s="1061"/>
      <c r="CK862" s="1060"/>
      <c r="CL862" s="1059"/>
      <c r="CS862" s="1060"/>
      <c r="CT862" s="1059"/>
      <c r="CW862" s="1062"/>
      <c r="CX862" s="1062"/>
      <c r="DB862" s="1181"/>
      <c r="DC862" s="1181"/>
      <c r="DD862" s="1181"/>
      <c r="DE862" s="1194"/>
      <c r="DF862" s="1194"/>
      <c r="DG862" s="1181"/>
      <c r="DH862" s="1181"/>
      <c r="DI862" s="1182"/>
      <c r="DJ862" s="1181"/>
      <c r="DK862" s="1181"/>
      <c r="DL862" s="1181"/>
      <c r="DM862" s="1181"/>
      <c r="DN862" s="1181"/>
      <c r="DO862" s="1181"/>
      <c r="DP862" s="1181"/>
      <c r="DQ862" s="1182"/>
      <c r="DR862" s="1071">
        <v>333</v>
      </c>
      <c r="DS862" s="1071">
        <f>+DT862-DR862</f>
        <v>389</v>
      </c>
      <c r="DT862" s="1071">
        <v>722</v>
      </c>
      <c r="DU862" s="1071">
        <f>+DV862-DT862</f>
        <v>502</v>
      </c>
      <c r="DV862" s="1071">
        <v>1224</v>
      </c>
      <c r="DW862" s="1071">
        <f>DX862-DU862</f>
        <v>385</v>
      </c>
      <c r="DX862" s="1071">
        <f>DY862-DT862</f>
        <v>887</v>
      </c>
      <c r="DY862" s="1072">
        <v>1609</v>
      </c>
      <c r="DZ862" s="1071">
        <v>445</v>
      </c>
      <c r="EA862" s="1071">
        <f>+EB862-DZ862</f>
        <v>356</v>
      </c>
      <c r="EB862" s="1071">
        <v>801</v>
      </c>
      <c r="EC862" s="1071">
        <f>+ED862-EB862</f>
        <v>510</v>
      </c>
      <c r="ED862" s="1071">
        <v>1311</v>
      </c>
      <c r="EE862" s="1071">
        <f>EF862-EC862</f>
        <v>460</v>
      </c>
      <c r="EF862" s="1071">
        <f>EG862-EB862</f>
        <v>970</v>
      </c>
      <c r="EG862" s="1072">
        <v>1771</v>
      </c>
      <c r="EH862" s="1071">
        <v>453</v>
      </c>
      <c r="EI862" s="1071">
        <f>+EJ862-EH862</f>
        <v>401</v>
      </c>
      <c r="EJ862" s="1071">
        <v>854</v>
      </c>
      <c r="EK862" s="1071">
        <f>EL862-EJ862</f>
        <v>480</v>
      </c>
      <c r="EL862" s="1071">
        <v>1334</v>
      </c>
      <c r="EM862" s="1071">
        <f>EN862-EK862</f>
        <v>410</v>
      </c>
      <c r="EN862" s="1071">
        <f>EO862-EJ862</f>
        <v>890</v>
      </c>
      <c r="EO862" s="1072">
        <v>1744</v>
      </c>
      <c r="EP862" s="1071"/>
      <c r="EQ862" s="1071"/>
      <c r="ER862" s="1071"/>
      <c r="ES862" s="1071"/>
      <c r="ET862" s="1071"/>
      <c r="EU862" s="1071"/>
      <c r="EV862" s="1071"/>
      <c r="EW862" s="1072"/>
      <c r="EX862" s="1071"/>
      <c r="EY862" s="1071"/>
      <c r="EZ862" s="1071"/>
      <c r="FA862" s="1071"/>
      <c r="FB862" s="1071"/>
      <c r="FC862" s="1071"/>
      <c r="FD862" s="1071"/>
      <c r="FE862" s="1072"/>
      <c r="FF862" s="1071"/>
      <c r="FG862" s="1071"/>
      <c r="FH862" s="1071"/>
      <c r="FI862" s="1071"/>
      <c r="FJ862" s="1071"/>
      <c r="FK862" s="1071"/>
      <c r="FL862" s="1071"/>
      <c r="FM862" s="1072"/>
      <c r="FN862" s="1071"/>
      <c r="FO862" s="1071"/>
      <c r="FP862" s="1071"/>
      <c r="FQ862" s="1071"/>
      <c r="FR862" s="1071"/>
      <c r="FS862" s="1071"/>
      <c r="FT862" s="1071"/>
      <c r="FU862" s="1071"/>
      <c r="FV862" s="1177"/>
      <c r="FW862" s="1071"/>
      <c r="FX862" s="1071"/>
      <c r="FY862" s="1071"/>
      <c r="FZ862" s="1071"/>
      <c r="GA862" s="1071"/>
      <c r="GB862" s="1071"/>
      <c r="GC862" s="1072"/>
      <c r="GD862" s="1071"/>
      <c r="GE862" s="1071"/>
      <c r="GF862" s="1071"/>
      <c r="GG862" s="1071"/>
      <c r="GH862" s="1071"/>
      <c r="GI862" s="1071"/>
      <c r="GJ862" s="1071"/>
      <c r="GK862" s="1072"/>
      <c r="GL862" s="1071"/>
      <c r="GM862" s="1071"/>
      <c r="GN862" s="1071"/>
      <c r="GO862" s="1071"/>
      <c r="GP862" s="1071"/>
      <c r="GQ862" s="1071"/>
      <c r="GR862" s="1071"/>
      <c r="GS862" s="1072"/>
      <c r="GT862" s="1071"/>
      <c r="GU862" s="1071"/>
      <c r="GV862" s="1071"/>
      <c r="GW862" s="1071"/>
      <c r="GX862" s="1071"/>
      <c r="GY862" s="1071"/>
      <c r="GZ862" s="1071"/>
      <c r="HA862" s="1072"/>
      <c r="HB862" s="1071"/>
      <c r="HC862" s="1071"/>
      <c r="HD862" s="1071"/>
      <c r="HE862" s="1071"/>
      <c r="HF862" s="1071"/>
      <c r="HG862" s="1071"/>
      <c r="HH862" s="1071"/>
      <c r="HI862" s="1072"/>
      <c r="HJ862" s="1071"/>
      <c r="HK862" s="1071"/>
      <c r="HL862" s="1071"/>
      <c r="HM862" s="1071"/>
      <c r="HN862" s="1071"/>
      <c r="HO862" s="1071"/>
      <c r="HP862" s="1071"/>
      <c r="HQ862" s="1072"/>
      <c r="HR862" s="1071"/>
      <c r="HS862" s="1071"/>
      <c r="HT862" s="1071"/>
      <c r="HU862" s="1071"/>
      <c r="HV862" s="1071"/>
      <c r="HW862" s="1071"/>
      <c r="HX862" s="1071"/>
      <c r="HY862" s="1071"/>
      <c r="HZ862" s="1071"/>
      <c r="IA862" s="1071"/>
      <c r="IB862" s="1071"/>
      <c r="IC862" s="1071"/>
      <c r="ID862" s="1071"/>
      <c r="IE862" s="1071"/>
      <c r="IF862" s="1071"/>
      <c r="IG862" s="1072"/>
      <c r="IH862" s="1071"/>
      <c r="II862" s="1071"/>
      <c r="IJ862" s="1071"/>
      <c r="IK862" s="1071"/>
      <c r="IL862" s="1071"/>
      <c r="IM862" s="1071"/>
      <c r="IN862" s="1071"/>
      <c r="IO862" s="1072"/>
      <c r="IP862" s="1071"/>
      <c r="IQ862" s="1071"/>
      <c r="IR862" s="1071"/>
      <c r="IS862" s="1071"/>
      <c r="IT862" s="1071"/>
      <c r="IU862" s="1071"/>
      <c r="IV862" s="1071"/>
      <c r="IW862" s="1071"/>
      <c r="IX862" s="1049"/>
      <c r="IY862" s="1049"/>
      <c r="IZ862" s="1049"/>
      <c r="JA862" s="1049"/>
      <c r="JB862" s="1049"/>
      <c r="JC862" s="1049"/>
      <c r="JD862" s="1041"/>
      <c r="JE862" s="1037"/>
      <c r="JF862" s="1037"/>
      <c r="JG862" s="1037"/>
      <c r="JH862" s="1037"/>
      <c r="JI862" s="1035"/>
      <c r="JJ862" s="1035"/>
      <c r="JK862" s="1035"/>
      <c r="JL862" s="1035"/>
      <c r="JM862" s="1035"/>
      <c r="JN862" s="1035"/>
      <c r="JO862" s="1035"/>
      <c r="JP862" s="1035"/>
      <c r="JQ862" s="1035"/>
      <c r="JR862" s="1035"/>
      <c r="JS862" s="1035"/>
      <c r="JT862" s="1035"/>
      <c r="JU862" s="1035"/>
      <c r="JV862" s="1035"/>
      <c r="JW862" s="1035"/>
      <c r="JX862" s="1035"/>
      <c r="JY862" s="1035"/>
      <c r="KP862" s="1117"/>
      <c r="LV862" s="967"/>
    </row>
    <row r="863" outlineLevel="1" spans="1:334">
      <c r="A863" s="967" t="s">
        <v>61</v>
      </c>
      <c r="AX863" s="1059"/>
      <c r="BE863" s="1060"/>
      <c r="BN863" s="1059"/>
      <c r="BU863" s="1060"/>
      <c r="BV863" s="1059"/>
      <c r="CC863" s="1060"/>
      <c r="CD863" s="1059"/>
      <c r="CJ863" s="1061"/>
      <c r="CK863" s="1060"/>
      <c r="CL863" s="1059"/>
      <c r="CS863" s="1060"/>
      <c r="CT863" s="1059"/>
      <c r="CW863" s="1062"/>
      <c r="CX863" s="1062"/>
      <c r="DB863" s="1181"/>
      <c r="DC863" s="1181"/>
      <c r="DD863" s="1181"/>
      <c r="DE863" s="1194"/>
      <c r="DF863" s="1194"/>
      <c r="DG863" s="1181"/>
      <c r="DH863" s="1181"/>
      <c r="DI863" s="1182"/>
      <c r="DJ863" s="1181"/>
      <c r="DK863" s="1181"/>
      <c r="DL863" s="1181"/>
      <c r="DM863" s="1181"/>
      <c r="DN863" s="1181"/>
      <c r="DO863" s="1181"/>
      <c r="DP863" s="1181"/>
      <c r="DQ863" s="1182"/>
      <c r="DR863" s="1080"/>
      <c r="DS863" s="1080"/>
      <c r="DT863" s="1080"/>
      <c r="DU863" s="1080"/>
      <c r="DV863" s="1080"/>
      <c r="DW863" s="1080"/>
      <c r="DX863" s="1080"/>
      <c r="DY863" s="1081"/>
      <c r="DZ863" s="1080">
        <f>+DZ862/DR862-1</f>
        <v>0.336336336336336</v>
      </c>
      <c r="EA863" s="1080">
        <f t="shared" ref="EA863:EG863" si="4671">+EA862/DS862-1</f>
        <v>-0.0848329048843187</v>
      </c>
      <c r="EB863" s="1080">
        <f t="shared" si="4671"/>
        <v>0.109418282548476</v>
      </c>
      <c r="EC863" s="1080">
        <f t="shared" si="4671"/>
        <v>0.0159362549800797</v>
      </c>
      <c r="ED863" s="1080">
        <f t="shared" si="4671"/>
        <v>0.071078431372549</v>
      </c>
      <c r="EE863" s="1080">
        <f t="shared" si="4671"/>
        <v>0.194805194805195</v>
      </c>
      <c r="EF863" s="1080">
        <f t="shared" si="4671"/>
        <v>0.0935738444193912</v>
      </c>
      <c r="EG863" s="1081">
        <f t="shared" si="4671"/>
        <v>0.100683654443754</v>
      </c>
      <c r="EH863" s="1080">
        <v>0.02</v>
      </c>
      <c r="EI863" s="1080">
        <f>+EI862/EA862-1</f>
        <v>0.126404494382022</v>
      </c>
      <c r="EJ863" s="1080">
        <f>+EJ862/EB862-1</f>
        <v>0.0661672908863919</v>
      </c>
      <c r="EK863" s="1080">
        <f>EK862/EC862-1</f>
        <v>-0.0588235294117647</v>
      </c>
      <c r="EL863" s="1080">
        <f>EL862/ED862-1</f>
        <v>0.0175438596491229</v>
      </c>
      <c r="EM863" s="1080">
        <f>EM862/EE862-1</f>
        <v>-0.108695652173913</v>
      </c>
      <c r="EN863" s="1080">
        <f>EN862/EF862-1</f>
        <v>-0.0824742268041238</v>
      </c>
      <c r="EO863" s="1081">
        <f>EO862/EG862-1</f>
        <v>-0.0152456239412762</v>
      </c>
      <c r="EP863" s="1080"/>
      <c r="EQ863" s="1080"/>
      <c r="ER863" s="1080"/>
      <c r="ES863" s="1080"/>
      <c r="ET863" s="1080"/>
      <c r="EU863" s="1080"/>
      <c r="EV863" s="1080"/>
      <c r="EW863" s="1081"/>
      <c r="EX863" s="1080"/>
      <c r="EY863" s="1080"/>
      <c r="EZ863" s="1080"/>
      <c r="FA863" s="1080"/>
      <c r="FB863" s="1080"/>
      <c r="FC863" s="1080"/>
      <c r="FD863" s="1080"/>
      <c r="FE863" s="1081"/>
      <c r="FF863" s="1080"/>
      <c r="FG863" s="1080"/>
      <c r="FH863" s="1080"/>
      <c r="FI863" s="1080"/>
      <c r="FJ863" s="1080"/>
      <c r="FK863" s="1080"/>
      <c r="FL863" s="1080"/>
      <c r="FM863" s="1081"/>
      <c r="FN863" s="1080"/>
      <c r="FO863" s="1080"/>
      <c r="FP863" s="1080"/>
      <c r="FQ863" s="1080"/>
      <c r="FR863" s="1080"/>
      <c r="FS863" s="1080"/>
      <c r="FT863" s="1080"/>
      <c r="FU863" s="1080"/>
      <c r="FV863" s="1150"/>
      <c r="FW863" s="1080"/>
      <c r="FX863" s="1080"/>
      <c r="FY863" s="1080"/>
      <c r="FZ863" s="1080"/>
      <c r="GA863" s="1080"/>
      <c r="GB863" s="1080"/>
      <c r="GC863" s="1081"/>
      <c r="GD863" s="1080"/>
      <c r="GE863" s="1080"/>
      <c r="GF863" s="1080"/>
      <c r="GG863" s="1080"/>
      <c r="GH863" s="1080"/>
      <c r="GI863" s="1080"/>
      <c r="GJ863" s="1080"/>
      <c r="GK863" s="1081"/>
      <c r="GL863" s="1080"/>
      <c r="GM863" s="1080"/>
      <c r="GN863" s="1080"/>
      <c r="GO863" s="1080"/>
      <c r="GP863" s="1080"/>
      <c r="GQ863" s="1080"/>
      <c r="GR863" s="1080"/>
      <c r="GS863" s="1081"/>
      <c r="GT863" s="1080"/>
      <c r="GU863" s="1080"/>
      <c r="GV863" s="1080"/>
      <c r="GW863" s="1080"/>
      <c r="GX863" s="1080"/>
      <c r="GY863" s="1080"/>
      <c r="GZ863" s="1080"/>
      <c r="HA863" s="1081"/>
      <c r="HB863" s="1080"/>
      <c r="HC863" s="1080"/>
      <c r="HD863" s="1080"/>
      <c r="HE863" s="1080"/>
      <c r="HF863" s="1080"/>
      <c r="HG863" s="1080"/>
      <c r="HH863" s="1080"/>
      <c r="HI863" s="1081"/>
      <c r="HJ863" s="1080"/>
      <c r="HK863" s="1080"/>
      <c r="HL863" s="1080"/>
      <c r="HM863" s="1080"/>
      <c r="HN863" s="1080"/>
      <c r="HO863" s="1080"/>
      <c r="HP863" s="1080"/>
      <c r="HQ863" s="1081"/>
      <c r="HR863" s="1080"/>
      <c r="HS863" s="1080"/>
      <c r="HT863" s="1080"/>
      <c r="HU863" s="1080"/>
      <c r="HV863" s="1080"/>
      <c r="HW863" s="1080"/>
      <c r="HX863" s="1080"/>
      <c r="HY863" s="1080"/>
      <c r="HZ863" s="1080"/>
      <c r="IA863" s="1080"/>
      <c r="IB863" s="1080"/>
      <c r="IC863" s="1080"/>
      <c r="ID863" s="1080"/>
      <c r="IE863" s="1080"/>
      <c r="IF863" s="1080"/>
      <c r="IG863" s="1081"/>
      <c r="IH863" s="1080"/>
      <c r="II863" s="1080"/>
      <c r="IJ863" s="1080"/>
      <c r="IK863" s="1080"/>
      <c r="IL863" s="1080"/>
      <c r="IM863" s="1080"/>
      <c r="IN863" s="1080"/>
      <c r="IO863" s="1081"/>
      <c r="IP863" s="1080"/>
      <c r="IQ863" s="1080"/>
      <c r="IR863" s="1080"/>
      <c r="IS863" s="1080"/>
      <c r="IT863" s="1080"/>
      <c r="IU863" s="1080"/>
      <c r="IV863" s="1080"/>
      <c r="IW863" s="1080"/>
      <c r="IX863" s="1049"/>
      <c r="IY863" s="1049"/>
      <c r="IZ863" s="1049"/>
      <c r="JA863" s="1049"/>
      <c r="JB863" s="1049"/>
      <c r="JC863" s="1049"/>
      <c r="JD863" s="1041"/>
      <c r="JE863" s="1037"/>
      <c r="JF863" s="1037"/>
      <c r="JG863" s="1037"/>
      <c r="JH863" s="1037"/>
      <c r="JI863" s="1035"/>
      <c r="JJ863" s="1035"/>
      <c r="JK863" s="1035"/>
      <c r="JL863" s="1035"/>
      <c r="JM863" s="1035"/>
      <c r="JN863" s="1035"/>
      <c r="JO863" s="1035"/>
      <c r="JP863" s="1035"/>
      <c r="JQ863" s="1035"/>
      <c r="JR863" s="1035"/>
      <c r="JS863" s="1035"/>
      <c r="JT863" s="1035"/>
      <c r="JU863" s="1035"/>
      <c r="JV863" s="1035"/>
      <c r="JW863" s="1035"/>
      <c r="JX863" s="1035"/>
      <c r="JY863" s="1035"/>
      <c r="KP863" s="1117"/>
      <c r="LV863" s="967"/>
    </row>
    <row r="864" outlineLevel="1" spans="1:334">
      <c r="A864" s="967" t="s">
        <v>65</v>
      </c>
      <c r="AX864" s="1059"/>
      <c r="BE864" s="1060"/>
      <c r="BN864" s="1059"/>
      <c r="BU864" s="1060"/>
      <c r="BV864" s="1059"/>
      <c r="CC864" s="1060"/>
      <c r="CD864" s="1059"/>
      <c r="CJ864" s="1061"/>
      <c r="CK864" s="1060"/>
      <c r="CL864" s="1059"/>
      <c r="CS864" s="1060"/>
      <c r="CT864" s="1059"/>
      <c r="CW864" s="1062"/>
      <c r="CX864" s="1062"/>
      <c r="DB864" s="1181"/>
      <c r="DC864" s="1181"/>
      <c r="DD864" s="1181"/>
      <c r="DE864" s="1194"/>
      <c r="DF864" s="1194"/>
      <c r="DG864" s="1181"/>
      <c r="DH864" s="1181"/>
      <c r="DI864" s="1182"/>
      <c r="DJ864" s="1181"/>
      <c r="DK864" s="1181"/>
      <c r="DL864" s="1181"/>
      <c r="DM864" s="1181"/>
      <c r="DN864" s="1181"/>
      <c r="DO864" s="1181"/>
      <c r="DP864" s="1181"/>
      <c r="DQ864" s="1182"/>
      <c r="DR864" s="1080"/>
      <c r="DS864" s="1080"/>
      <c r="DT864" s="1080"/>
      <c r="DU864" s="1080"/>
      <c r="DV864" s="1080"/>
      <c r="DW864" s="1080"/>
      <c r="DX864" s="1080"/>
      <c r="DY864" s="1081"/>
      <c r="DZ864" s="1080">
        <v>0.31</v>
      </c>
      <c r="EA864" s="1080"/>
      <c r="EB864" s="1080">
        <v>0.16</v>
      </c>
      <c r="EC864" s="1080"/>
      <c r="ED864" s="1080">
        <v>0.14</v>
      </c>
      <c r="EE864" s="1080"/>
      <c r="EF864" s="1080"/>
      <c r="EG864" s="1081">
        <v>0.15</v>
      </c>
      <c r="EH864" s="1080">
        <v>-0.02</v>
      </c>
      <c r="EI864" s="1080"/>
      <c r="EJ864" s="1080">
        <v>-0.01</v>
      </c>
      <c r="EK864" s="1080"/>
      <c r="EL864" s="1080">
        <v>-0.07</v>
      </c>
      <c r="EM864" s="1080"/>
      <c r="EN864" s="1080"/>
      <c r="EO864" s="1081">
        <v>-0.09</v>
      </c>
      <c r="EP864" s="1080"/>
      <c r="EQ864" s="1080"/>
      <c r="ER864" s="1080"/>
      <c r="ES864" s="1080"/>
      <c r="ET864" s="1080"/>
      <c r="EU864" s="1080"/>
      <c r="EV864" s="1080"/>
      <c r="EW864" s="1081"/>
      <c r="EX864" s="1080"/>
      <c r="EY864" s="1080"/>
      <c r="EZ864" s="1080"/>
      <c r="FA864" s="1080"/>
      <c r="FB864" s="1080"/>
      <c r="FC864" s="1080"/>
      <c r="FD864" s="1080"/>
      <c r="FE864" s="1081"/>
      <c r="FF864" s="1080"/>
      <c r="FG864" s="1080"/>
      <c r="FH864" s="1080"/>
      <c r="FI864" s="1080"/>
      <c r="FJ864" s="1080"/>
      <c r="FK864" s="1080"/>
      <c r="FL864" s="1080"/>
      <c r="FM864" s="1081"/>
      <c r="FN864" s="1080"/>
      <c r="FO864" s="1080"/>
      <c r="FP864" s="1080"/>
      <c r="FQ864" s="1080"/>
      <c r="FR864" s="1080"/>
      <c r="FS864" s="1080"/>
      <c r="FT864" s="1080"/>
      <c r="FU864" s="1080"/>
      <c r="FV864" s="1150"/>
      <c r="FW864" s="1080"/>
      <c r="FX864" s="1080"/>
      <c r="FY864" s="1080"/>
      <c r="FZ864" s="1080"/>
      <c r="GA864" s="1080"/>
      <c r="GB864" s="1080"/>
      <c r="GC864" s="1081"/>
      <c r="GD864" s="1080"/>
      <c r="GE864" s="1080"/>
      <c r="GF864" s="1080"/>
      <c r="GG864" s="1080"/>
      <c r="GH864" s="1080"/>
      <c r="GI864" s="1080"/>
      <c r="GJ864" s="1080"/>
      <c r="GK864" s="1081"/>
      <c r="GL864" s="1080"/>
      <c r="GM864" s="1080"/>
      <c r="GN864" s="1080"/>
      <c r="GO864" s="1080"/>
      <c r="GP864" s="1080"/>
      <c r="GQ864" s="1080"/>
      <c r="GR864" s="1080"/>
      <c r="GS864" s="1081"/>
      <c r="GT864" s="1080"/>
      <c r="GU864" s="1080"/>
      <c r="GV864" s="1080"/>
      <c r="GW864" s="1080"/>
      <c r="GX864" s="1080"/>
      <c r="GY864" s="1080"/>
      <c r="GZ864" s="1080"/>
      <c r="HA864" s="1081"/>
      <c r="HB864" s="1080"/>
      <c r="HC864" s="1080"/>
      <c r="HD864" s="1080"/>
      <c r="HE864" s="1080"/>
      <c r="HF864" s="1080"/>
      <c r="HG864" s="1080"/>
      <c r="HH864" s="1080"/>
      <c r="HI864" s="1081"/>
      <c r="HJ864" s="1080"/>
      <c r="HK864" s="1080"/>
      <c r="HL864" s="1080"/>
      <c r="HM864" s="1080"/>
      <c r="HN864" s="1080"/>
      <c r="HO864" s="1080"/>
      <c r="HP864" s="1080"/>
      <c r="HQ864" s="1081"/>
      <c r="HR864" s="1080"/>
      <c r="HS864" s="1080"/>
      <c r="HT864" s="1080"/>
      <c r="HU864" s="1080"/>
      <c r="HV864" s="1080"/>
      <c r="HW864" s="1080"/>
      <c r="HX864" s="1080"/>
      <c r="HY864" s="1080"/>
      <c r="HZ864" s="1080"/>
      <c r="IA864" s="1080"/>
      <c r="IB864" s="1080"/>
      <c r="IC864" s="1080"/>
      <c r="ID864" s="1080"/>
      <c r="IE864" s="1080"/>
      <c r="IF864" s="1080"/>
      <c r="IG864" s="1081"/>
      <c r="IH864" s="1080"/>
      <c r="II864" s="1080"/>
      <c r="IJ864" s="1080"/>
      <c r="IK864" s="1080"/>
      <c r="IL864" s="1080"/>
      <c r="IM864" s="1080"/>
      <c r="IN864" s="1080"/>
      <c r="IO864" s="1081"/>
      <c r="IP864" s="1080"/>
      <c r="IQ864" s="1080"/>
      <c r="IR864" s="1080"/>
      <c r="IS864" s="1080"/>
      <c r="IT864" s="1080"/>
      <c r="IU864" s="1080"/>
      <c r="IV864" s="1080"/>
      <c r="IW864" s="1080"/>
      <c r="IX864" s="1049"/>
      <c r="IY864" s="1049"/>
      <c r="IZ864" s="1049"/>
      <c r="JA864" s="1049"/>
      <c r="JB864" s="1049"/>
      <c r="JC864" s="1049"/>
      <c r="JD864" s="1041"/>
      <c r="JE864" s="1037"/>
      <c r="JF864" s="1037"/>
      <c r="JG864" s="1037"/>
      <c r="JH864" s="1037"/>
      <c r="JI864" s="1035"/>
      <c r="JJ864" s="1035"/>
      <c r="JK864" s="1035"/>
      <c r="JL864" s="1035"/>
      <c r="JM864" s="1035"/>
      <c r="JN864" s="1035"/>
      <c r="JO864" s="1035"/>
      <c r="JP864" s="1035"/>
      <c r="JQ864" s="1035"/>
      <c r="JR864" s="1035"/>
      <c r="JS864" s="1035"/>
      <c r="JT864" s="1035"/>
      <c r="JU864" s="1035"/>
      <c r="JV864" s="1035"/>
      <c r="JW864" s="1035"/>
      <c r="JX864" s="1035"/>
      <c r="JY864" s="1035"/>
      <c r="KP864" s="1117"/>
      <c r="LV864" s="967"/>
    </row>
    <row r="865" outlineLevel="1" spans="1:334">
      <c r="A865" s="1180" t="s">
        <v>114</v>
      </c>
      <c r="AX865" s="1059"/>
      <c r="BE865" s="1060"/>
      <c r="BN865" s="1059"/>
      <c r="BU865" s="1060"/>
      <c r="BV865" s="1059"/>
      <c r="CC865" s="1060"/>
      <c r="CD865" s="1059"/>
      <c r="CJ865" s="1061"/>
      <c r="CK865" s="1060"/>
      <c r="CL865" s="1059"/>
      <c r="CS865" s="1060"/>
      <c r="CT865" s="1059"/>
      <c r="CW865" s="1062"/>
      <c r="CX865" s="1062"/>
      <c r="DB865" s="1181"/>
      <c r="DC865" s="1181"/>
      <c r="DD865" s="1181"/>
      <c r="DE865" s="1194"/>
      <c r="DF865" s="1194"/>
      <c r="DG865" s="1181"/>
      <c r="DH865" s="1181"/>
      <c r="DI865" s="1182"/>
      <c r="DJ865" s="1181"/>
      <c r="DK865" s="1181"/>
      <c r="DL865" s="1181"/>
      <c r="DM865" s="1181"/>
      <c r="DN865" s="1181"/>
      <c r="DO865" s="1181"/>
      <c r="DP865" s="1181"/>
      <c r="DQ865" s="1182"/>
      <c r="DR865" s="1071">
        <v>164</v>
      </c>
      <c r="DS865" s="1071">
        <f>+DT865-DR865</f>
        <v>164</v>
      </c>
      <c r="DT865" s="1071">
        <v>328</v>
      </c>
      <c r="DU865" s="1071">
        <f>+DV865-DT865</f>
        <v>276</v>
      </c>
      <c r="DV865" s="1071">
        <v>604</v>
      </c>
      <c r="DW865" s="1071">
        <f>DX865-DU865</f>
        <v>236</v>
      </c>
      <c r="DX865" s="1071">
        <f>DY865-DT865</f>
        <v>512</v>
      </c>
      <c r="DY865" s="1072">
        <v>840</v>
      </c>
      <c r="DZ865" s="1071">
        <v>239</v>
      </c>
      <c r="EA865" s="1071">
        <f>+EB865-DZ865</f>
        <v>223</v>
      </c>
      <c r="EB865" s="1071">
        <v>462</v>
      </c>
      <c r="EC865" s="1071">
        <f>+ED865-EB865</f>
        <v>300</v>
      </c>
      <c r="ED865" s="1071">
        <v>762</v>
      </c>
      <c r="EE865" s="1071">
        <f>EF865-EC865</f>
        <v>276</v>
      </c>
      <c r="EF865" s="1071">
        <f>EG865-EB865</f>
        <v>576</v>
      </c>
      <c r="EG865" s="1072">
        <v>1038</v>
      </c>
      <c r="EH865" s="1071">
        <v>327</v>
      </c>
      <c r="EI865" s="1071">
        <f>+EJ865-EH865</f>
        <v>290</v>
      </c>
      <c r="EJ865" s="1071">
        <v>617</v>
      </c>
      <c r="EK865" s="1071">
        <f>EL865-EJ865</f>
        <v>381</v>
      </c>
      <c r="EL865" s="1071">
        <v>998</v>
      </c>
      <c r="EM865" s="1071">
        <f>EN865-EK865</f>
        <v>324</v>
      </c>
      <c r="EN865" s="1071">
        <f>EO865-EJ865</f>
        <v>705</v>
      </c>
      <c r="EO865" s="1072">
        <v>1322</v>
      </c>
      <c r="EP865" s="1071"/>
      <c r="EQ865" s="1071"/>
      <c r="ER865" s="1071"/>
      <c r="ES865" s="1071"/>
      <c r="ET865" s="1071"/>
      <c r="EU865" s="1071"/>
      <c r="EV865" s="1071"/>
      <c r="EW865" s="1072"/>
      <c r="EX865" s="1071"/>
      <c r="EY865" s="1071"/>
      <c r="EZ865" s="1071"/>
      <c r="FA865" s="1071"/>
      <c r="FB865" s="1071"/>
      <c r="FC865" s="1071"/>
      <c r="FD865" s="1071"/>
      <c r="FE865" s="1072"/>
      <c r="FF865" s="1071"/>
      <c r="FG865" s="1071"/>
      <c r="FH865" s="1071"/>
      <c r="FI865" s="1071"/>
      <c r="FJ865" s="1071"/>
      <c r="FK865" s="1071"/>
      <c r="FL865" s="1071"/>
      <c r="FM865" s="1072"/>
      <c r="FN865" s="1071"/>
      <c r="FO865" s="1071"/>
      <c r="FP865" s="1071"/>
      <c r="FQ865" s="1071"/>
      <c r="FR865" s="1071"/>
      <c r="FS865" s="1071"/>
      <c r="FT865" s="1071"/>
      <c r="FU865" s="1071"/>
      <c r="FV865" s="1177"/>
      <c r="FW865" s="1071"/>
      <c r="FX865" s="1071"/>
      <c r="FY865" s="1071"/>
      <c r="FZ865" s="1071"/>
      <c r="GA865" s="1071"/>
      <c r="GB865" s="1071"/>
      <c r="GC865" s="1072"/>
      <c r="GD865" s="1071"/>
      <c r="GE865" s="1071"/>
      <c r="GF865" s="1071"/>
      <c r="GG865" s="1071"/>
      <c r="GH865" s="1071"/>
      <c r="GI865" s="1071"/>
      <c r="GJ865" s="1071"/>
      <c r="GK865" s="1072"/>
      <c r="GL865" s="1071"/>
      <c r="GM865" s="1071"/>
      <c r="GN865" s="1071"/>
      <c r="GO865" s="1071"/>
      <c r="GP865" s="1071"/>
      <c r="GQ865" s="1071"/>
      <c r="GR865" s="1071"/>
      <c r="GS865" s="1072"/>
      <c r="GT865" s="1071"/>
      <c r="GU865" s="1071"/>
      <c r="GV865" s="1071"/>
      <c r="GW865" s="1071"/>
      <c r="GX865" s="1071"/>
      <c r="GY865" s="1071"/>
      <c r="GZ865" s="1071"/>
      <c r="HA865" s="1072"/>
      <c r="HB865" s="1071"/>
      <c r="HC865" s="1071"/>
      <c r="HD865" s="1071"/>
      <c r="HE865" s="1071"/>
      <c r="HF865" s="1071"/>
      <c r="HG865" s="1071"/>
      <c r="HH865" s="1071"/>
      <c r="HI865" s="1072"/>
      <c r="HJ865" s="1071"/>
      <c r="HK865" s="1071"/>
      <c r="HL865" s="1071"/>
      <c r="HM865" s="1071"/>
      <c r="HN865" s="1071"/>
      <c r="HO865" s="1071"/>
      <c r="HP865" s="1071"/>
      <c r="HQ865" s="1072"/>
      <c r="HR865" s="1071"/>
      <c r="HS865" s="1071"/>
      <c r="HT865" s="1071"/>
      <c r="HU865" s="1071"/>
      <c r="HV865" s="1071"/>
      <c r="HW865" s="1071"/>
      <c r="HX865" s="1071"/>
      <c r="HY865" s="1071"/>
      <c r="HZ865" s="1071"/>
      <c r="IA865" s="1071"/>
      <c r="IB865" s="1071"/>
      <c r="IC865" s="1071"/>
      <c r="ID865" s="1071"/>
      <c r="IE865" s="1071"/>
      <c r="IF865" s="1071"/>
      <c r="IG865" s="1072"/>
      <c r="IH865" s="1071"/>
      <c r="II865" s="1071"/>
      <c r="IJ865" s="1071"/>
      <c r="IK865" s="1071"/>
      <c r="IL865" s="1071"/>
      <c r="IM865" s="1071"/>
      <c r="IN865" s="1071"/>
      <c r="IO865" s="1072"/>
      <c r="IP865" s="1071"/>
      <c r="IQ865" s="1071"/>
      <c r="IR865" s="1071"/>
      <c r="IS865" s="1071"/>
      <c r="IT865" s="1071"/>
      <c r="IU865" s="1071"/>
      <c r="IV865" s="1071"/>
      <c r="IW865" s="1071"/>
      <c r="IX865" s="1049"/>
      <c r="IY865" s="1049"/>
      <c r="IZ865" s="1049"/>
      <c r="JA865" s="1049"/>
      <c r="JB865" s="1049"/>
      <c r="JC865" s="1049"/>
      <c r="JD865" s="1041"/>
      <c r="JE865" s="1037"/>
      <c r="JF865" s="1037"/>
      <c r="JG865" s="1037"/>
      <c r="JH865" s="1037"/>
      <c r="JI865" s="1035"/>
      <c r="JJ865" s="1035"/>
      <c r="JK865" s="1035"/>
      <c r="JL865" s="1035"/>
      <c r="JM865" s="1035"/>
      <c r="JN865" s="1035"/>
      <c r="JO865" s="1035"/>
      <c r="JP865" s="1035"/>
      <c r="JQ865" s="1035"/>
      <c r="JR865" s="1035"/>
      <c r="JS865" s="1035"/>
      <c r="JT865" s="1035"/>
      <c r="JU865" s="1035"/>
      <c r="JV865" s="1035"/>
      <c r="JW865" s="1035"/>
      <c r="JX865" s="1035"/>
      <c r="JY865" s="1035"/>
      <c r="KP865" s="1117"/>
      <c r="LV865" s="967"/>
    </row>
    <row r="866" outlineLevel="1" spans="1:334">
      <c r="A866" s="967" t="s">
        <v>61</v>
      </c>
      <c r="AX866" s="1059"/>
      <c r="BE866" s="1060"/>
      <c r="BN866" s="1059"/>
      <c r="BU866" s="1060"/>
      <c r="BV866" s="1059"/>
      <c r="CC866" s="1060"/>
      <c r="CD866" s="1059"/>
      <c r="CJ866" s="1061"/>
      <c r="CK866" s="1060"/>
      <c r="CL866" s="1059"/>
      <c r="CS866" s="1060"/>
      <c r="CT866" s="1059"/>
      <c r="CW866" s="1062"/>
      <c r="CX866" s="1062"/>
      <c r="DB866" s="1181"/>
      <c r="DC866" s="1181"/>
      <c r="DD866" s="1181"/>
      <c r="DE866" s="1194"/>
      <c r="DF866" s="1194"/>
      <c r="DG866" s="1181"/>
      <c r="DH866" s="1181"/>
      <c r="DI866" s="1182"/>
      <c r="DJ866" s="1181"/>
      <c r="DK866" s="1181"/>
      <c r="DL866" s="1181"/>
      <c r="DM866" s="1181"/>
      <c r="DN866" s="1181"/>
      <c r="DO866" s="1181"/>
      <c r="DP866" s="1181"/>
      <c r="DQ866" s="1182"/>
      <c r="DR866" s="1080"/>
      <c r="DS866" s="1080"/>
      <c r="DT866" s="1080"/>
      <c r="DU866" s="1080"/>
      <c r="DV866" s="1080"/>
      <c r="DW866" s="1080"/>
      <c r="DX866" s="1080"/>
      <c r="DY866" s="1081"/>
      <c r="DZ866" s="1080">
        <f>+DZ865/DR865-1</f>
        <v>0.457317073170732</v>
      </c>
      <c r="EA866" s="1080">
        <f t="shared" ref="EA866:EG866" si="4672">+EA865/DS865-1</f>
        <v>0.359756097560976</v>
      </c>
      <c r="EB866" s="1080">
        <f t="shared" si="4672"/>
        <v>0.408536585365854</v>
      </c>
      <c r="EC866" s="1080">
        <f t="shared" si="4672"/>
        <v>0.0869565217391304</v>
      </c>
      <c r="ED866" s="1080">
        <f t="shared" si="4672"/>
        <v>0.26158940397351</v>
      </c>
      <c r="EE866" s="1080">
        <f t="shared" si="4672"/>
        <v>0.169491525423729</v>
      </c>
      <c r="EF866" s="1080">
        <f t="shared" si="4672"/>
        <v>0.125</v>
      </c>
      <c r="EG866" s="1081">
        <f t="shared" si="4672"/>
        <v>0.235714285714286</v>
      </c>
      <c r="EH866" s="1080">
        <v>0.37</v>
      </c>
      <c r="EI866" s="1080">
        <f>+EI865/EA865-1</f>
        <v>0.300448430493274</v>
      </c>
      <c r="EJ866" s="1080">
        <f>+EJ865/EB865-1</f>
        <v>0.335497835497836</v>
      </c>
      <c r="EK866" s="1080">
        <f>EK865/EC865-1</f>
        <v>0.27</v>
      </c>
      <c r="EL866" s="1080">
        <f>EL865/ED865-1</f>
        <v>0.309711286089239</v>
      </c>
      <c r="EM866" s="1080">
        <f>EM865/EE865-1</f>
        <v>0.173913043478261</v>
      </c>
      <c r="EN866" s="1080">
        <f>EN865/EF865-1</f>
        <v>0.223958333333333</v>
      </c>
      <c r="EO866" s="1081">
        <f>EO865/EG865-1</f>
        <v>0.273603082851638</v>
      </c>
      <c r="EP866" s="1080"/>
      <c r="EQ866" s="1080"/>
      <c r="ER866" s="1080"/>
      <c r="ES866" s="1080"/>
      <c r="ET866" s="1080"/>
      <c r="EU866" s="1080"/>
      <c r="EV866" s="1080"/>
      <c r="EW866" s="1081"/>
      <c r="EX866" s="1080"/>
      <c r="EY866" s="1080"/>
      <c r="EZ866" s="1080"/>
      <c r="FA866" s="1080"/>
      <c r="FB866" s="1080"/>
      <c r="FC866" s="1080"/>
      <c r="FD866" s="1080"/>
      <c r="FE866" s="1081"/>
      <c r="FF866" s="1080"/>
      <c r="FG866" s="1080"/>
      <c r="FH866" s="1080"/>
      <c r="FI866" s="1080"/>
      <c r="FJ866" s="1080"/>
      <c r="FK866" s="1080"/>
      <c r="FL866" s="1080"/>
      <c r="FM866" s="1081"/>
      <c r="FN866" s="1080"/>
      <c r="FO866" s="1080"/>
      <c r="FP866" s="1080"/>
      <c r="FQ866" s="1080"/>
      <c r="FR866" s="1080"/>
      <c r="FS866" s="1080"/>
      <c r="FT866" s="1080"/>
      <c r="FU866" s="1080"/>
      <c r="FV866" s="1150"/>
      <c r="FW866" s="1080"/>
      <c r="FX866" s="1080"/>
      <c r="FY866" s="1080"/>
      <c r="FZ866" s="1080"/>
      <c r="GA866" s="1080"/>
      <c r="GB866" s="1080"/>
      <c r="GC866" s="1081"/>
      <c r="GD866" s="1080"/>
      <c r="GE866" s="1080"/>
      <c r="GF866" s="1080"/>
      <c r="GG866" s="1080"/>
      <c r="GH866" s="1080"/>
      <c r="GI866" s="1080"/>
      <c r="GJ866" s="1080"/>
      <c r="GK866" s="1081"/>
      <c r="GL866" s="1080"/>
      <c r="GM866" s="1080"/>
      <c r="GN866" s="1080"/>
      <c r="GO866" s="1080"/>
      <c r="GP866" s="1080"/>
      <c r="GQ866" s="1080"/>
      <c r="GR866" s="1080"/>
      <c r="GS866" s="1081"/>
      <c r="GT866" s="1080"/>
      <c r="GU866" s="1080"/>
      <c r="GV866" s="1080"/>
      <c r="GW866" s="1080"/>
      <c r="GX866" s="1080"/>
      <c r="GY866" s="1080"/>
      <c r="GZ866" s="1080"/>
      <c r="HA866" s="1081"/>
      <c r="HB866" s="1080"/>
      <c r="HC866" s="1080"/>
      <c r="HD866" s="1080"/>
      <c r="HE866" s="1080"/>
      <c r="HF866" s="1080"/>
      <c r="HG866" s="1080"/>
      <c r="HH866" s="1080"/>
      <c r="HI866" s="1081"/>
      <c r="HJ866" s="1080"/>
      <c r="HK866" s="1080"/>
      <c r="HL866" s="1080"/>
      <c r="HM866" s="1080"/>
      <c r="HN866" s="1080"/>
      <c r="HO866" s="1080"/>
      <c r="HP866" s="1080"/>
      <c r="HQ866" s="1081"/>
      <c r="HR866" s="1080"/>
      <c r="HS866" s="1080"/>
      <c r="HT866" s="1080"/>
      <c r="HU866" s="1080"/>
      <c r="HV866" s="1080"/>
      <c r="HW866" s="1080"/>
      <c r="HX866" s="1080"/>
      <c r="HY866" s="1080"/>
      <c r="HZ866" s="1080"/>
      <c r="IA866" s="1080"/>
      <c r="IB866" s="1080"/>
      <c r="IC866" s="1080"/>
      <c r="ID866" s="1080"/>
      <c r="IE866" s="1080"/>
      <c r="IF866" s="1080"/>
      <c r="IG866" s="1081"/>
      <c r="IH866" s="1080"/>
      <c r="II866" s="1080"/>
      <c r="IJ866" s="1080"/>
      <c r="IK866" s="1080"/>
      <c r="IL866" s="1080"/>
      <c r="IM866" s="1080"/>
      <c r="IN866" s="1080"/>
      <c r="IO866" s="1081"/>
      <c r="IP866" s="1080"/>
      <c r="IQ866" s="1080"/>
      <c r="IR866" s="1080"/>
      <c r="IS866" s="1080"/>
      <c r="IT866" s="1080"/>
      <c r="IU866" s="1080"/>
      <c r="IV866" s="1080"/>
      <c r="IW866" s="1080"/>
      <c r="IX866" s="1049"/>
      <c r="IY866" s="1049"/>
      <c r="IZ866" s="1049"/>
      <c r="JA866" s="1049"/>
      <c r="JB866" s="1049"/>
      <c r="JC866" s="1049"/>
      <c r="JD866" s="1041"/>
      <c r="JE866" s="1037"/>
      <c r="JF866" s="1037"/>
      <c r="JG866" s="1037"/>
      <c r="JH866" s="1037"/>
      <c r="JI866" s="1035"/>
      <c r="JJ866" s="1035"/>
      <c r="JK866" s="1035"/>
      <c r="JL866" s="1035"/>
      <c r="JM866" s="1035"/>
      <c r="JN866" s="1035"/>
      <c r="JO866" s="1035"/>
      <c r="JP866" s="1035"/>
      <c r="JQ866" s="1035"/>
      <c r="JR866" s="1035"/>
      <c r="JS866" s="1035"/>
      <c r="JT866" s="1035"/>
      <c r="JU866" s="1035"/>
      <c r="JV866" s="1035"/>
      <c r="JW866" s="1035"/>
      <c r="JX866" s="1035"/>
      <c r="JY866" s="1035"/>
      <c r="KP866" s="1117"/>
      <c r="LV866" s="967"/>
    </row>
    <row r="867" outlineLevel="1" spans="1:334">
      <c r="A867" s="967" t="s">
        <v>65</v>
      </c>
      <c r="AX867" s="1059"/>
      <c r="BE867" s="1060"/>
      <c r="BN867" s="1059"/>
      <c r="BU867" s="1060"/>
      <c r="BV867" s="1059"/>
      <c r="CC867" s="1060"/>
      <c r="CD867" s="1059"/>
      <c r="CJ867" s="1061"/>
      <c r="CK867" s="1060"/>
      <c r="CL867" s="1059"/>
      <c r="CS867" s="1060"/>
      <c r="CT867" s="1059"/>
      <c r="CW867" s="1062"/>
      <c r="CX867" s="1062"/>
      <c r="DB867" s="1181"/>
      <c r="DC867" s="1181"/>
      <c r="DD867" s="1181"/>
      <c r="DE867" s="1194"/>
      <c r="DF867" s="1194"/>
      <c r="DG867" s="1181"/>
      <c r="DH867" s="1181"/>
      <c r="DI867" s="1182"/>
      <c r="DJ867" s="1181"/>
      <c r="DK867" s="1181"/>
      <c r="DL867" s="1181"/>
      <c r="DM867" s="1181"/>
      <c r="DN867" s="1181"/>
      <c r="DO867" s="1181"/>
      <c r="DP867" s="1181"/>
      <c r="DQ867" s="1182"/>
      <c r="DR867" s="1080"/>
      <c r="DS867" s="1080"/>
      <c r="DT867" s="1080"/>
      <c r="DU867" s="1080"/>
      <c r="DV867" s="1080"/>
      <c r="DW867" s="1080"/>
      <c r="DX867" s="1080"/>
      <c r="DY867" s="1081"/>
      <c r="DZ867" s="1080">
        <v>0.39</v>
      </c>
      <c r="EA867" s="1080"/>
      <c r="EB867" s="1080">
        <v>0.42</v>
      </c>
      <c r="EC867" s="1080"/>
      <c r="ED867" s="1080">
        <v>0.29</v>
      </c>
      <c r="EE867" s="1080"/>
      <c r="EF867" s="1080"/>
      <c r="EG867" s="1081">
        <v>0.24</v>
      </c>
      <c r="EH867" s="1080">
        <v>0.27</v>
      </c>
      <c r="EI867" s="1080"/>
      <c r="EJ867" s="1080">
        <v>0.2</v>
      </c>
      <c r="EK867" s="1080"/>
      <c r="EL867" s="1080">
        <v>0.17</v>
      </c>
      <c r="EM867" s="1080"/>
      <c r="EN867" s="1080"/>
      <c r="EO867" s="1081">
        <v>0.15</v>
      </c>
      <c r="EP867" s="1080"/>
      <c r="EQ867" s="1080"/>
      <c r="ER867" s="1080"/>
      <c r="ES867" s="1080"/>
      <c r="ET867" s="1080"/>
      <c r="EU867" s="1080"/>
      <c r="EV867" s="1080"/>
      <c r="EW867" s="1081"/>
      <c r="EX867" s="1080"/>
      <c r="EY867" s="1080"/>
      <c r="EZ867" s="1080"/>
      <c r="FA867" s="1080"/>
      <c r="FB867" s="1080"/>
      <c r="FC867" s="1080"/>
      <c r="FD867" s="1080"/>
      <c r="FE867" s="1081"/>
      <c r="FF867" s="1080"/>
      <c r="FG867" s="1080"/>
      <c r="FH867" s="1080"/>
      <c r="FI867" s="1080"/>
      <c r="FJ867" s="1080"/>
      <c r="FK867" s="1080"/>
      <c r="FL867" s="1080"/>
      <c r="FM867" s="1081"/>
      <c r="FN867" s="1080"/>
      <c r="FO867" s="1080"/>
      <c r="FP867" s="1080"/>
      <c r="FQ867" s="1080"/>
      <c r="FR867" s="1080"/>
      <c r="FS867" s="1080"/>
      <c r="FT867" s="1080"/>
      <c r="FU867" s="1080"/>
      <c r="FV867" s="1150"/>
      <c r="FW867" s="1080"/>
      <c r="FX867" s="1080"/>
      <c r="FY867" s="1080"/>
      <c r="FZ867" s="1080"/>
      <c r="GA867" s="1080"/>
      <c r="GB867" s="1080"/>
      <c r="GC867" s="1081"/>
      <c r="GD867" s="1080"/>
      <c r="GE867" s="1080"/>
      <c r="GF867" s="1080"/>
      <c r="GG867" s="1080"/>
      <c r="GH867" s="1080"/>
      <c r="GI867" s="1080"/>
      <c r="GJ867" s="1080"/>
      <c r="GK867" s="1081"/>
      <c r="GL867" s="1080"/>
      <c r="GM867" s="1080"/>
      <c r="GN867" s="1080"/>
      <c r="GO867" s="1080"/>
      <c r="GP867" s="1080"/>
      <c r="GQ867" s="1080"/>
      <c r="GR867" s="1080"/>
      <c r="GS867" s="1081"/>
      <c r="GT867" s="1080"/>
      <c r="GU867" s="1080"/>
      <c r="GV867" s="1080"/>
      <c r="GW867" s="1080"/>
      <c r="GX867" s="1080"/>
      <c r="GY867" s="1080"/>
      <c r="GZ867" s="1080"/>
      <c r="HA867" s="1081"/>
      <c r="HB867" s="1080"/>
      <c r="HC867" s="1080"/>
      <c r="HD867" s="1080"/>
      <c r="HE867" s="1080"/>
      <c r="HF867" s="1080"/>
      <c r="HG867" s="1080"/>
      <c r="HH867" s="1080"/>
      <c r="HI867" s="1081"/>
      <c r="HJ867" s="1080"/>
      <c r="HK867" s="1080"/>
      <c r="HL867" s="1080"/>
      <c r="HM867" s="1080"/>
      <c r="HN867" s="1080"/>
      <c r="HO867" s="1080"/>
      <c r="HP867" s="1080"/>
      <c r="HQ867" s="1081"/>
      <c r="HR867" s="1080"/>
      <c r="HS867" s="1080"/>
      <c r="HT867" s="1080"/>
      <c r="HU867" s="1080"/>
      <c r="HV867" s="1080"/>
      <c r="HW867" s="1080"/>
      <c r="HX867" s="1080"/>
      <c r="HY867" s="1080"/>
      <c r="HZ867" s="1080"/>
      <c r="IA867" s="1080"/>
      <c r="IB867" s="1080"/>
      <c r="IC867" s="1080"/>
      <c r="ID867" s="1080"/>
      <c r="IE867" s="1080"/>
      <c r="IF867" s="1080"/>
      <c r="IG867" s="1081"/>
      <c r="IH867" s="1080"/>
      <c r="II867" s="1080"/>
      <c r="IJ867" s="1080"/>
      <c r="IK867" s="1080"/>
      <c r="IL867" s="1080"/>
      <c r="IM867" s="1080"/>
      <c r="IN867" s="1080"/>
      <c r="IO867" s="1081"/>
      <c r="IP867" s="1080"/>
      <c r="IQ867" s="1080"/>
      <c r="IR867" s="1080"/>
      <c r="IS867" s="1080"/>
      <c r="IT867" s="1080"/>
      <c r="IU867" s="1080"/>
      <c r="IV867" s="1080"/>
      <c r="IW867" s="1080"/>
      <c r="IX867" s="1049"/>
      <c r="IY867" s="1049"/>
      <c r="IZ867" s="1049"/>
      <c r="JA867" s="1049"/>
      <c r="JB867" s="1049"/>
      <c r="JC867" s="1049"/>
      <c r="JD867" s="1041"/>
      <c r="JE867" s="1037"/>
      <c r="JF867" s="1037"/>
      <c r="JG867" s="1037"/>
      <c r="JH867" s="1037"/>
      <c r="JI867" s="1035"/>
      <c r="JJ867" s="1035"/>
      <c r="JK867" s="1035"/>
      <c r="JL867" s="1035"/>
      <c r="JM867" s="1035"/>
      <c r="JN867" s="1035"/>
      <c r="JO867" s="1035"/>
      <c r="JP867" s="1035"/>
      <c r="JQ867" s="1035"/>
      <c r="JR867" s="1035"/>
      <c r="JS867" s="1035"/>
      <c r="JT867" s="1035"/>
      <c r="JU867" s="1035"/>
      <c r="JV867" s="1035"/>
      <c r="JW867" s="1035"/>
      <c r="JX867" s="1035"/>
      <c r="JY867" s="1035"/>
      <c r="KP867" s="1117"/>
      <c r="LV867" s="967"/>
    </row>
    <row r="868" outlineLevel="1" spans="1:334">
      <c r="A868" s="1180" t="s">
        <v>525</v>
      </c>
      <c r="AX868" s="1059"/>
      <c r="BE868" s="1060"/>
      <c r="BN868" s="1059"/>
      <c r="BU868" s="1060"/>
      <c r="BV868" s="1059"/>
      <c r="CC868" s="1060"/>
      <c r="CD868" s="1059"/>
      <c r="CJ868" s="1061"/>
      <c r="CK868" s="1060"/>
      <c r="CL868" s="1059"/>
      <c r="CS868" s="1060"/>
      <c r="CT868" s="1059"/>
      <c r="CW868" s="1062"/>
      <c r="CX868" s="1062"/>
      <c r="DB868" s="1181"/>
      <c r="DC868" s="1181"/>
      <c r="DD868" s="1181"/>
      <c r="DE868" s="1194"/>
      <c r="DF868" s="1194"/>
      <c r="DG868" s="1181"/>
      <c r="DH868" s="1181"/>
      <c r="DI868" s="1182"/>
      <c r="DJ868" s="1181"/>
      <c r="DK868" s="1181"/>
      <c r="DL868" s="1181"/>
      <c r="DM868" s="1181"/>
      <c r="DN868" s="1181"/>
      <c r="DO868" s="1181"/>
      <c r="DP868" s="1181"/>
      <c r="DQ868" s="1182"/>
      <c r="DR868" s="1071">
        <v>242</v>
      </c>
      <c r="DS868" s="1071">
        <f>+DT868-DR868</f>
        <v>313</v>
      </c>
      <c r="DT868" s="1071">
        <v>555</v>
      </c>
      <c r="DU868" s="1071">
        <f>+DV868-DT868</f>
        <v>302</v>
      </c>
      <c r="DV868" s="1071">
        <v>857</v>
      </c>
      <c r="DW868" s="1071">
        <f>DX868-DU868</f>
        <v>413</v>
      </c>
      <c r="DX868" s="1071">
        <f>DY868-DT868</f>
        <v>715</v>
      </c>
      <c r="DY868" s="1072">
        <v>1270</v>
      </c>
      <c r="DZ868" s="1071">
        <v>291</v>
      </c>
      <c r="EA868" s="1071">
        <f>+EB868-DZ868</f>
        <v>322</v>
      </c>
      <c r="EB868" s="1071">
        <v>613</v>
      </c>
      <c r="EC868" s="1071">
        <f>+ED868-EB868</f>
        <v>325</v>
      </c>
      <c r="ED868" s="1071">
        <v>938</v>
      </c>
      <c r="EE868" s="1071">
        <f>EF868-EC868</f>
        <v>394</v>
      </c>
      <c r="EF868" s="1071">
        <f>EG868-EB868</f>
        <v>719</v>
      </c>
      <c r="EG868" s="1072">
        <v>1332</v>
      </c>
      <c r="EH868" s="1071">
        <v>393</v>
      </c>
      <c r="EI868" s="1071">
        <f>+EJ868-EH868</f>
        <v>330</v>
      </c>
      <c r="EJ868" s="1071">
        <v>723</v>
      </c>
      <c r="EK868" s="1071">
        <f>EL868-EJ868</f>
        <v>348</v>
      </c>
      <c r="EL868" s="1071">
        <v>1071</v>
      </c>
      <c r="EM868" s="1071">
        <f>EN868-EK868</f>
        <v>422</v>
      </c>
      <c r="EN868" s="1071">
        <f>EO868-EJ868</f>
        <v>770</v>
      </c>
      <c r="EO868" s="1072">
        <v>1493</v>
      </c>
      <c r="EP868" s="1071"/>
      <c r="EQ868" s="1071"/>
      <c r="ER868" s="1071"/>
      <c r="ES868" s="1071"/>
      <c r="ET868" s="1071"/>
      <c r="EU868" s="1071"/>
      <c r="EV868" s="1071"/>
      <c r="EW868" s="1072"/>
      <c r="EX868" s="1071"/>
      <c r="EY868" s="1071"/>
      <c r="EZ868" s="1071"/>
      <c r="FA868" s="1071"/>
      <c r="FB868" s="1071"/>
      <c r="FC868" s="1071"/>
      <c r="FD868" s="1071"/>
      <c r="FE868" s="1072"/>
      <c r="FF868" s="1071"/>
      <c r="FG868" s="1071"/>
      <c r="FH868" s="1071"/>
      <c r="FI868" s="1071"/>
      <c r="FJ868" s="1071"/>
      <c r="FK868" s="1071"/>
      <c r="FL868" s="1071"/>
      <c r="FM868" s="1072"/>
      <c r="FN868" s="1071"/>
      <c r="FO868" s="1071"/>
      <c r="FP868" s="1071"/>
      <c r="FQ868" s="1071"/>
      <c r="FR868" s="1071"/>
      <c r="FS868" s="1071"/>
      <c r="FT868" s="1071"/>
      <c r="FU868" s="1071"/>
      <c r="FV868" s="1177"/>
      <c r="FW868" s="1071"/>
      <c r="FX868" s="1071"/>
      <c r="FY868" s="1071"/>
      <c r="FZ868" s="1071"/>
      <c r="GA868" s="1071"/>
      <c r="GB868" s="1071"/>
      <c r="GC868" s="1072"/>
      <c r="GD868" s="1071"/>
      <c r="GE868" s="1071"/>
      <c r="GF868" s="1071"/>
      <c r="GG868" s="1071"/>
      <c r="GH868" s="1071"/>
      <c r="GI868" s="1071"/>
      <c r="GJ868" s="1071"/>
      <c r="GK868" s="1072"/>
      <c r="GL868" s="1071"/>
      <c r="GM868" s="1071"/>
      <c r="GN868" s="1071"/>
      <c r="GO868" s="1071"/>
      <c r="GP868" s="1071"/>
      <c r="GQ868" s="1071"/>
      <c r="GR868" s="1071"/>
      <c r="GS868" s="1072"/>
      <c r="GT868" s="1071"/>
      <c r="GU868" s="1071"/>
      <c r="GV868" s="1071"/>
      <c r="GW868" s="1071"/>
      <c r="GX868" s="1071"/>
      <c r="GY868" s="1071"/>
      <c r="GZ868" s="1071"/>
      <c r="HA868" s="1072"/>
      <c r="HB868" s="1071"/>
      <c r="HC868" s="1071"/>
      <c r="HD868" s="1071"/>
      <c r="HE868" s="1071"/>
      <c r="HF868" s="1071"/>
      <c r="HG868" s="1071"/>
      <c r="HH868" s="1071"/>
      <c r="HI868" s="1072"/>
      <c r="HJ868" s="1071"/>
      <c r="HK868" s="1071"/>
      <c r="HL868" s="1071"/>
      <c r="HM868" s="1071"/>
      <c r="HN868" s="1071"/>
      <c r="HO868" s="1071"/>
      <c r="HP868" s="1071"/>
      <c r="HQ868" s="1072"/>
      <c r="HR868" s="1071"/>
      <c r="HS868" s="1071"/>
      <c r="HT868" s="1071"/>
      <c r="HU868" s="1071"/>
      <c r="HV868" s="1071"/>
      <c r="HW868" s="1071"/>
      <c r="HX868" s="1071"/>
      <c r="HY868" s="1071"/>
      <c r="HZ868" s="1071"/>
      <c r="IA868" s="1071"/>
      <c r="IB868" s="1071"/>
      <c r="IC868" s="1071"/>
      <c r="ID868" s="1071"/>
      <c r="IE868" s="1071"/>
      <c r="IF868" s="1071"/>
      <c r="IG868" s="1072"/>
      <c r="IH868" s="1071"/>
      <c r="II868" s="1071"/>
      <c r="IJ868" s="1071"/>
      <c r="IK868" s="1071"/>
      <c r="IL868" s="1071"/>
      <c r="IM868" s="1071"/>
      <c r="IN868" s="1071"/>
      <c r="IO868" s="1072"/>
      <c r="IP868" s="1071"/>
      <c r="IQ868" s="1071"/>
      <c r="IR868" s="1071"/>
      <c r="IS868" s="1071"/>
      <c r="IT868" s="1071"/>
      <c r="IU868" s="1071"/>
      <c r="IV868" s="1071"/>
      <c r="IW868" s="1071"/>
      <c r="IX868" s="1049"/>
      <c r="IY868" s="1049"/>
      <c r="IZ868" s="1049"/>
      <c r="JA868" s="1049"/>
      <c r="JB868" s="1049"/>
      <c r="JC868" s="1049"/>
      <c r="JD868" s="1041"/>
      <c r="JE868" s="1037"/>
      <c r="JF868" s="1037"/>
      <c r="JG868" s="1037"/>
      <c r="JH868" s="1037"/>
      <c r="JI868" s="1035"/>
      <c r="JJ868" s="1035"/>
      <c r="JK868" s="1035"/>
      <c r="JL868" s="1035"/>
      <c r="JM868" s="1035"/>
      <c r="JN868" s="1035"/>
      <c r="JO868" s="1035"/>
      <c r="JP868" s="1035"/>
      <c r="JQ868" s="1035"/>
      <c r="JR868" s="1035"/>
      <c r="JS868" s="1035"/>
      <c r="JT868" s="1035"/>
      <c r="JU868" s="1035"/>
      <c r="JV868" s="1035"/>
      <c r="JW868" s="1035"/>
      <c r="JX868" s="1035"/>
      <c r="JY868" s="1035"/>
      <c r="KP868" s="1117"/>
      <c r="LV868" s="967"/>
    </row>
    <row r="869" outlineLevel="1" spans="1:334">
      <c r="A869" s="967" t="s">
        <v>61</v>
      </c>
      <c r="AX869" s="1059"/>
      <c r="BE869" s="1060"/>
      <c r="BN869" s="1059"/>
      <c r="BU869" s="1060"/>
      <c r="BV869" s="1059"/>
      <c r="CC869" s="1060"/>
      <c r="CD869" s="1059"/>
      <c r="CJ869" s="1061"/>
      <c r="CK869" s="1060"/>
      <c r="CL869" s="1059"/>
      <c r="CS869" s="1060"/>
      <c r="CT869" s="1059"/>
      <c r="CW869" s="1062"/>
      <c r="CX869" s="1062"/>
      <c r="DB869" s="1181"/>
      <c r="DC869" s="1181"/>
      <c r="DD869" s="1181"/>
      <c r="DE869" s="1194"/>
      <c r="DF869" s="1194"/>
      <c r="DG869" s="1181"/>
      <c r="DH869" s="1181"/>
      <c r="DI869" s="1182"/>
      <c r="DJ869" s="1181"/>
      <c r="DK869" s="1181"/>
      <c r="DL869" s="1181"/>
      <c r="DM869" s="1181"/>
      <c r="DN869" s="1181"/>
      <c r="DO869" s="1181"/>
      <c r="DP869" s="1181"/>
      <c r="DQ869" s="1182"/>
      <c r="DR869" s="1080"/>
      <c r="DS869" s="1080"/>
      <c r="DT869" s="1080"/>
      <c r="DU869" s="1080"/>
      <c r="DV869" s="1080"/>
      <c r="DW869" s="1080"/>
      <c r="DX869" s="1080"/>
      <c r="DY869" s="1081"/>
      <c r="DZ869" s="1080">
        <f>+DZ868/DR868-1</f>
        <v>0.202479338842975</v>
      </c>
      <c r="EA869" s="1080">
        <f t="shared" ref="EA869:EG869" si="4673">+EA868/DS868-1</f>
        <v>0.0287539936102237</v>
      </c>
      <c r="EB869" s="1080">
        <f t="shared" si="4673"/>
        <v>0.104504504504505</v>
      </c>
      <c r="EC869" s="1080">
        <f t="shared" si="4673"/>
        <v>0.076158940397351</v>
      </c>
      <c r="ED869" s="1080">
        <f t="shared" si="4673"/>
        <v>0.0945157526254377</v>
      </c>
      <c r="EE869" s="1080">
        <f t="shared" si="4673"/>
        <v>-0.0460048426150121</v>
      </c>
      <c r="EF869" s="1080">
        <f t="shared" si="4673"/>
        <v>0.00559440559440549</v>
      </c>
      <c r="EG869" s="1081">
        <f t="shared" si="4673"/>
        <v>0.0488188976377952</v>
      </c>
      <c r="EH869" s="1080">
        <v>0.35</v>
      </c>
      <c r="EI869" s="1080">
        <f>+EI868/EA868-1</f>
        <v>0.0248447204968945</v>
      </c>
      <c r="EJ869" s="1080">
        <f>+EJ868/EB868-1</f>
        <v>0.179445350734095</v>
      </c>
      <c r="EK869" s="1080">
        <f>EK868/EC868-1</f>
        <v>0.0707692307692307</v>
      </c>
      <c r="EL869" s="1080">
        <f>EL868/ED868-1</f>
        <v>0.141791044776119</v>
      </c>
      <c r="EM869" s="1080">
        <f>EM868/EE868-1</f>
        <v>0.0710659898477157</v>
      </c>
      <c r="EN869" s="1080">
        <f>EN868/EF868-1</f>
        <v>0.0709318497913769</v>
      </c>
      <c r="EO869" s="1081">
        <f>EO868/EG868-1</f>
        <v>0.120870870870871</v>
      </c>
      <c r="EP869" s="1080"/>
      <c r="EQ869" s="1080"/>
      <c r="ER869" s="1080"/>
      <c r="ES869" s="1080"/>
      <c r="ET869" s="1080"/>
      <c r="EU869" s="1080"/>
      <c r="EV869" s="1080"/>
      <c r="EW869" s="1081"/>
      <c r="EX869" s="1080"/>
      <c r="EY869" s="1080"/>
      <c r="EZ869" s="1080"/>
      <c r="FA869" s="1080"/>
      <c r="FB869" s="1080"/>
      <c r="FC869" s="1080"/>
      <c r="FD869" s="1080"/>
      <c r="FE869" s="1081"/>
      <c r="FF869" s="1080"/>
      <c r="FG869" s="1080"/>
      <c r="FH869" s="1080"/>
      <c r="FI869" s="1080"/>
      <c r="FJ869" s="1080"/>
      <c r="FK869" s="1080"/>
      <c r="FL869" s="1080"/>
      <c r="FM869" s="1081"/>
      <c r="FN869" s="1080"/>
      <c r="FO869" s="1080"/>
      <c r="FP869" s="1080"/>
      <c r="FQ869" s="1080"/>
      <c r="FR869" s="1080"/>
      <c r="FS869" s="1080"/>
      <c r="FT869" s="1080"/>
      <c r="FU869" s="1080"/>
      <c r="FV869" s="1150"/>
      <c r="FW869" s="1080"/>
      <c r="FX869" s="1080"/>
      <c r="FY869" s="1080"/>
      <c r="FZ869" s="1080"/>
      <c r="GA869" s="1080"/>
      <c r="GB869" s="1080"/>
      <c r="GC869" s="1081"/>
      <c r="GD869" s="1080"/>
      <c r="GE869" s="1080"/>
      <c r="GF869" s="1080"/>
      <c r="GG869" s="1080"/>
      <c r="GH869" s="1080"/>
      <c r="GI869" s="1080"/>
      <c r="GJ869" s="1080"/>
      <c r="GK869" s="1081"/>
      <c r="GL869" s="1080"/>
      <c r="GM869" s="1080"/>
      <c r="GN869" s="1080"/>
      <c r="GO869" s="1080"/>
      <c r="GP869" s="1080"/>
      <c r="GQ869" s="1080"/>
      <c r="GR869" s="1080"/>
      <c r="GS869" s="1081"/>
      <c r="GT869" s="1080"/>
      <c r="GU869" s="1080"/>
      <c r="GV869" s="1080"/>
      <c r="GW869" s="1080"/>
      <c r="GX869" s="1080"/>
      <c r="GY869" s="1080"/>
      <c r="GZ869" s="1080"/>
      <c r="HA869" s="1081"/>
      <c r="HB869" s="1080"/>
      <c r="HC869" s="1080"/>
      <c r="HD869" s="1080"/>
      <c r="HE869" s="1080"/>
      <c r="HF869" s="1080"/>
      <c r="HG869" s="1080"/>
      <c r="HH869" s="1080"/>
      <c r="HI869" s="1081"/>
      <c r="HJ869" s="1080"/>
      <c r="HK869" s="1080"/>
      <c r="HL869" s="1080"/>
      <c r="HM869" s="1080"/>
      <c r="HN869" s="1080"/>
      <c r="HO869" s="1080"/>
      <c r="HP869" s="1080"/>
      <c r="HQ869" s="1081"/>
      <c r="HR869" s="1080"/>
      <c r="HS869" s="1080"/>
      <c r="HT869" s="1080"/>
      <c r="HU869" s="1080"/>
      <c r="HV869" s="1080"/>
      <c r="HW869" s="1080"/>
      <c r="HX869" s="1080"/>
      <c r="HY869" s="1080"/>
      <c r="HZ869" s="1080"/>
      <c r="IA869" s="1080"/>
      <c r="IB869" s="1080"/>
      <c r="IC869" s="1080"/>
      <c r="ID869" s="1080"/>
      <c r="IE869" s="1080"/>
      <c r="IF869" s="1080"/>
      <c r="IG869" s="1081"/>
      <c r="IH869" s="1080"/>
      <c r="II869" s="1080"/>
      <c r="IJ869" s="1080"/>
      <c r="IK869" s="1080"/>
      <c r="IL869" s="1080"/>
      <c r="IM869" s="1080"/>
      <c r="IN869" s="1080"/>
      <c r="IO869" s="1081"/>
      <c r="IP869" s="1080"/>
      <c r="IQ869" s="1080"/>
      <c r="IR869" s="1080"/>
      <c r="IS869" s="1080"/>
      <c r="IT869" s="1080"/>
      <c r="IU869" s="1080"/>
      <c r="IV869" s="1080"/>
      <c r="IW869" s="1080"/>
      <c r="IX869" s="1049"/>
      <c r="IY869" s="1049"/>
      <c r="IZ869" s="1049"/>
      <c r="JA869" s="1049"/>
      <c r="JB869" s="1049"/>
      <c r="JC869" s="1049"/>
      <c r="JD869" s="1041"/>
      <c r="JE869" s="1037"/>
      <c r="JF869" s="1037"/>
      <c r="JG869" s="1037"/>
      <c r="JH869" s="1037"/>
      <c r="JI869" s="1035"/>
      <c r="JJ869" s="1035"/>
      <c r="JK869" s="1035"/>
      <c r="JL869" s="1035"/>
      <c r="JM869" s="1035"/>
      <c r="JN869" s="1035"/>
      <c r="JO869" s="1035"/>
      <c r="JP869" s="1035"/>
      <c r="JQ869" s="1035"/>
      <c r="JR869" s="1035"/>
      <c r="JS869" s="1035"/>
      <c r="JT869" s="1035"/>
      <c r="JU869" s="1035"/>
      <c r="JV869" s="1035"/>
      <c r="JW869" s="1035"/>
      <c r="JX869" s="1035"/>
      <c r="JY869" s="1035"/>
      <c r="KP869" s="1117"/>
      <c r="LV869" s="967"/>
    </row>
    <row r="870" outlineLevel="1" spans="1:334">
      <c r="A870" s="967" t="s">
        <v>65</v>
      </c>
      <c r="AX870" s="1059"/>
      <c r="BE870" s="1060"/>
      <c r="BN870" s="1059"/>
      <c r="BU870" s="1060"/>
      <c r="BV870" s="1059"/>
      <c r="CC870" s="1060"/>
      <c r="CD870" s="1059"/>
      <c r="CJ870" s="1061"/>
      <c r="CK870" s="1060"/>
      <c r="CL870" s="1059"/>
      <c r="CS870" s="1060"/>
      <c r="CT870" s="1059"/>
      <c r="CW870" s="1062"/>
      <c r="CX870" s="1062"/>
      <c r="DB870" s="1181"/>
      <c r="DC870" s="1181"/>
      <c r="DD870" s="1181"/>
      <c r="DE870" s="1194"/>
      <c r="DF870" s="1194"/>
      <c r="DG870" s="1181"/>
      <c r="DH870" s="1181"/>
      <c r="DI870" s="1182"/>
      <c r="DJ870" s="1181"/>
      <c r="DK870" s="1181"/>
      <c r="DL870" s="1181"/>
      <c r="DM870" s="1181"/>
      <c r="DN870" s="1181"/>
      <c r="DO870" s="1181"/>
      <c r="DP870" s="1181"/>
      <c r="DQ870" s="1182"/>
      <c r="DR870" s="1080"/>
      <c r="DS870" s="1080"/>
      <c r="DT870" s="1080"/>
      <c r="DU870" s="1080"/>
      <c r="DV870" s="1080"/>
      <c r="DW870" s="1080"/>
      <c r="DX870" s="1080"/>
      <c r="DY870" s="1081"/>
      <c r="DZ870" s="1080">
        <v>0.11</v>
      </c>
      <c r="EA870" s="1080"/>
      <c r="EB870" s="1080">
        <v>0.07</v>
      </c>
      <c r="EC870" s="1080"/>
      <c r="ED870" s="1080">
        <v>0.07</v>
      </c>
      <c r="EE870" s="1080"/>
      <c r="EF870" s="1080"/>
      <c r="EG870" s="1081">
        <v>0.05</v>
      </c>
      <c r="EH870" s="1080">
        <v>0.29</v>
      </c>
      <c r="EI870" s="1080"/>
      <c r="EJ870" s="1080">
        <v>0.1</v>
      </c>
      <c r="EK870" s="1080"/>
      <c r="EL870" s="1080">
        <v>0.07</v>
      </c>
      <c r="EM870" s="1080"/>
      <c r="EN870" s="1080"/>
      <c r="EO870" s="1081">
        <v>0.06</v>
      </c>
      <c r="EP870" s="1080"/>
      <c r="EQ870" s="1080"/>
      <c r="ER870" s="1080"/>
      <c r="ES870" s="1080"/>
      <c r="ET870" s="1080"/>
      <c r="EU870" s="1080"/>
      <c r="EV870" s="1080"/>
      <c r="EW870" s="1081"/>
      <c r="EX870" s="1080"/>
      <c r="EY870" s="1080"/>
      <c r="EZ870" s="1080"/>
      <c r="FA870" s="1080"/>
      <c r="FB870" s="1080"/>
      <c r="FC870" s="1080"/>
      <c r="FD870" s="1080"/>
      <c r="FE870" s="1081"/>
      <c r="FF870" s="1080"/>
      <c r="FG870" s="1080"/>
      <c r="FH870" s="1080"/>
      <c r="FI870" s="1080"/>
      <c r="FJ870" s="1080"/>
      <c r="FK870" s="1080"/>
      <c r="FL870" s="1080"/>
      <c r="FM870" s="1081"/>
      <c r="FN870" s="1080"/>
      <c r="FO870" s="1080"/>
      <c r="FP870" s="1080"/>
      <c r="FQ870" s="1080"/>
      <c r="FR870" s="1080"/>
      <c r="FS870" s="1080"/>
      <c r="FT870" s="1080"/>
      <c r="FU870" s="1080"/>
      <c r="FV870" s="1150"/>
      <c r="FW870" s="1080"/>
      <c r="FX870" s="1080"/>
      <c r="FY870" s="1080"/>
      <c r="FZ870" s="1080"/>
      <c r="GA870" s="1080"/>
      <c r="GB870" s="1080"/>
      <c r="GC870" s="1081"/>
      <c r="GD870" s="1080"/>
      <c r="GE870" s="1080"/>
      <c r="GF870" s="1080"/>
      <c r="GG870" s="1080"/>
      <c r="GH870" s="1080"/>
      <c r="GI870" s="1080"/>
      <c r="GJ870" s="1080"/>
      <c r="GK870" s="1081"/>
      <c r="GL870" s="1080"/>
      <c r="GM870" s="1080"/>
      <c r="GN870" s="1080"/>
      <c r="GO870" s="1080"/>
      <c r="GP870" s="1080"/>
      <c r="GQ870" s="1080"/>
      <c r="GR870" s="1080"/>
      <c r="GS870" s="1081"/>
      <c r="GT870" s="1080"/>
      <c r="GU870" s="1080"/>
      <c r="GV870" s="1080"/>
      <c r="GW870" s="1080"/>
      <c r="GX870" s="1080"/>
      <c r="GY870" s="1080"/>
      <c r="GZ870" s="1080"/>
      <c r="HA870" s="1081"/>
      <c r="HB870" s="1080"/>
      <c r="HC870" s="1080"/>
      <c r="HD870" s="1080"/>
      <c r="HE870" s="1080"/>
      <c r="HF870" s="1080"/>
      <c r="HG870" s="1080"/>
      <c r="HH870" s="1080"/>
      <c r="HI870" s="1081"/>
      <c r="HJ870" s="1080"/>
      <c r="HK870" s="1080"/>
      <c r="HL870" s="1080"/>
      <c r="HM870" s="1080"/>
      <c r="HN870" s="1080"/>
      <c r="HO870" s="1080"/>
      <c r="HP870" s="1080"/>
      <c r="HQ870" s="1081"/>
      <c r="HR870" s="1080"/>
      <c r="HS870" s="1080"/>
      <c r="HT870" s="1080"/>
      <c r="HU870" s="1080"/>
      <c r="HV870" s="1080"/>
      <c r="HW870" s="1080"/>
      <c r="HX870" s="1080"/>
      <c r="HY870" s="1080"/>
      <c r="HZ870" s="1080"/>
      <c r="IA870" s="1080"/>
      <c r="IB870" s="1080"/>
      <c r="IC870" s="1080"/>
      <c r="ID870" s="1080"/>
      <c r="IE870" s="1080"/>
      <c r="IF870" s="1080"/>
      <c r="IG870" s="1081"/>
      <c r="IH870" s="1080"/>
      <c r="II870" s="1080"/>
      <c r="IJ870" s="1080"/>
      <c r="IK870" s="1080"/>
      <c r="IL870" s="1080"/>
      <c r="IM870" s="1080"/>
      <c r="IN870" s="1080"/>
      <c r="IO870" s="1081"/>
      <c r="IP870" s="1080"/>
      <c r="IQ870" s="1080"/>
      <c r="IR870" s="1080"/>
      <c r="IS870" s="1080"/>
      <c r="IT870" s="1080"/>
      <c r="IU870" s="1080"/>
      <c r="IV870" s="1080"/>
      <c r="IW870" s="1080"/>
      <c r="IX870" s="1049"/>
      <c r="IY870" s="1049"/>
      <c r="IZ870" s="1049"/>
      <c r="JA870" s="1049"/>
      <c r="JB870" s="1049"/>
      <c r="JC870" s="1049"/>
      <c r="JD870" s="1041"/>
      <c r="JE870" s="1037"/>
      <c r="JF870" s="1037"/>
      <c r="JG870" s="1037"/>
      <c r="JH870" s="1037"/>
      <c r="JI870" s="1035"/>
      <c r="JJ870" s="1035"/>
      <c r="JK870" s="1035"/>
      <c r="JL870" s="1035"/>
      <c r="JM870" s="1035"/>
      <c r="JN870" s="1035"/>
      <c r="JO870" s="1035"/>
      <c r="JP870" s="1035"/>
      <c r="JQ870" s="1035"/>
      <c r="JR870" s="1035"/>
      <c r="JS870" s="1035"/>
      <c r="JT870" s="1035"/>
      <c r="JU870" s="1035"/>
      <c r="JV870" s="1035"/>
      <c r="JW870" s="1035"/>
      <c r="JX870" s="1035"/>
      <c r="JY870" s="1035"/>
      <c r="KP870" s="1117"/>
      <c r="LV870" s="967"/>
    </row>
    <row r="871" outlineLevel="1" spans="1:334">
      <c r="A871" s="1180" t="s">
        <v>102</v>
      </c>
      <c r="AX871" s="1059"/>
      <c r="BE871" s="1060"/>
      <c r="BN871" s="1059"/>
      <c r="BU871" s="1060"/>
      <c r="BV871" s="1059"/>
      <c r="CC871" s="1060"/>
      <c r="CD871" s="1059"/>
      <c r="CJ871" s="1061"/>
      <c r="CK871" s="1060"/>
      <c r="CL871" s="1059"/>
      <c r="CS871" s="1060"/>
      <c r="CT871" s="1059"/>
      <c r="CW871" s="1062"/>
      <c r="CX871" s="1062"/>
      <c r="DB871" s="1181"/>
      <c r="DC871" s="1181"/>
      <c r="DD871" s="1181"/>
      <c r="DE871" s="1194"/>
      <c r="DF871" s="1194"/>
      <c r="DG871" s="1181"/>
      <c r="DH871" s="1181"/>
      <c r="DI871" s="1182"/>
      <c r="DJ871" s="1181"/>
      <c r="DK871" s="1181"/>
      <c r="DL871" s="1181"/>
      <c r="DM871" s="1181"/>
      <c r="DN871" s="1181"/>
      <c r="DO871" s="1181"/>
      <c r="DP871" s="1181"/>
      <c r="DQ871" s="1182"/>
      <c r="DR871" s="1071">
        <v>234</v>
      </c>
      <c r="DS871" s="1071">
        <f>+DT871-DR871</f>
        <v>277</v>
      </c>
      <c r="DT871" s="1071">
        <v>511</v>
      </c>
      <c r="DU871" s="1071">
        <f>+DV871-DT871</f>
        <v>280</v>
      </c>
      <c r="DV871" s="1071">
        <v>791</v>
      </c>
      <c r="DW871" s="1071">
        <f>DX871-DU871</f>
        <v>286</v>
      </c>
      <c r="DX871" s="1071">
        <f>DY871-DT871</f>
        <v>566</v>
      </c>
      <c r="DY871" s="1072">
        <v>1077</v>
      </c>
      <c r="DZ871" s="1071">
        <v>277</v>
      </c>
      <c r="EA871" s="1071">
        <f>+EB871-DZ871</f>
        <v>284</v>
      </c>
      <c r="EB871" s="1071">
        <v>561</v>
      </c>
      <c r="EC871" s="1071">
        <f>+ED871-EB871</f>
        <v>300</v>
      </c>
      <c r="ED871" s="1071">
        <v>861</v>
      </c>
      <c r="EE871" s="1071">
        <f>EF871-EC871</f>
        <v>264</v>
      </c>
      <c r="EF871" s="1071">
        <f>EG871-EB871</f>
        <v>564</v>
      </c>
      <c r="EG871" s="1072">
        <v>1125</v>
      </c>
      <c r="EH871" s="1071">
        <v>309</v>
      </c>
      <c r="EI871" s="1071">
        <f>+EJ871-EH871</f>
        <v>265</v>
      </c>
      <c r="EJ871" s="1071">
        <v>574</v>
      </c>
      <c r="EK871" s="1071">
        <f>EL871-EJ871</f>
        <v>346</v>
      </c>
      <c r="EL871" s="1071">
        <v>920</v>
      </c>
      <c r="EM871" s="1071">
        <f>EN871-EK871</f>
        <v>252</v>
      </c>
      <c r="EN871" s="1071">
        <f>EO871-EJ871</f>
        <v>598</v>
      </c>
      <c r="EO871" s="1072">
        <v>1172</v>
      </c>
      <c r="EP871" s="1071"/>
      <c r="EQ871" s="1071"/>
      <c r="ER871" s="1071"/>
      <c r="ES871" s="1071"/>
      <c r="ET871" s="1071"/>
      <c r="EU871" s="1071"/>
      <c r="EV871" s="1071"/>
      <c r="EW871" s="1072"/>
      <c r="EX871" s="1071"/>
      <c r="EY871" s="1071"/>
      <c r="EZ871" s="1071"/>
      <c r="FA871" s="1071"/>
      <c r="FB871" s="1071"/>
      <c r="FC871" s="1071"/>
      <c r="FD871" s="1071"/>
      <c r="FE871" s="1072"/>
      <c r="FF871" s="1071"/>
      <c r="FG871" s="1071"/>
      <c r="FH871" s="1071"/>
      <c r="FI871" s="1071"/>
      <c r="FJ871" s="1071"/>
      <c r="FK871" s="1071"/>
      <c r="FL871" s="1071"/>
      <c r="FM871" s="1072"/>
      <c r="FN871" s="1071"/>
      <c r="FO871" s="1071"/>
      <c r="FP871" s="1071"/>
      <c r="FQ871" s="1071"/>
      <c r="FR871" s="1071"/>
      <c r="FS871" s="1071"/>
      <c r="FT871" s="1071"/>
      <c r="FU871" s="1071"/>
      <c r="FV871" s="1177"/>
      <c r="FW871" s="1071"/>
      <c r="FX871" s="1071"/>
      <c r="FY871" s="1071"/>
      <c r="FZ871" s="1071"/>
      <c r="GA871" s="1071"/>
      <c r="GB871" s="1071"/>
      <c r="GC871" s="1072"/>
      <c r="GD871" s="1071"/>
      <c r="GE871" s="1071"/>
      <c r="GF871" s="1071"/>
      <c r="GG871" s="1071"/>
      <c r="GH871" s="1071"/>
      <c r="GI871" s="1071"/>
      <c r="GJ871" s="1071"/>
      <c r="GK871" s="1072"/>
      <c r="GL871" s="1071"/>
      <c r="GM871" s="1071"/>
      <c r="GN871" s="1071"/>
      <c r="GO871" s="1071"/>
      <c r="GP871" s="1071"/>
      <c r="GQ871" s="1071"/>
      <c r="GR871" s="1071"/>
      <c r="GS871" s="1072"/>
      <c r="GT871" s="1071"/>
      <c r="GU871" s="1071"/>
      <c r="GV871" s="1071"/>
      <c r="GW871" s="1071"/>
      <c r="GX871" s="1071"/>
      <c r="GY871" s="1071"/>
      <c r="GZ871" s="1071"/>
      <c r="HA871" s="1072"/>
      <c r="HB871" s="1071"/>
      <c r="HC871" s="1071"/>
      <c r="HD871" s="1071"/>
      <c r="HE871" s="1071"/>
      <c r="HF871" s="1071"/>
      <c r="HG871" s="1071"/>
      <c r="HH871" s="1071"/>
      <c r="HI871" s="1072"/>
      <c r="HJ871" s="1071"/>
      <c r="HK871" s="1071"/>
      <c r="HL871" s="1071"/>
      <c r="HM871" s="1071"/>
      <c r="HN871" s="1071"/>
      <c r="HO871" s="1071"/>
      <c r="HP871" s="1071"/>
      <c r="HQ871" s="1072"/>
      <c r="HR871" s="1071"/>
      <c r="HS871" s="1071"/>
      <c r="HT871" s="1071"/>
      <c r="HU871" s="1071"/>
      <c r="HV871" s="1071"/>
      <c r="HW871" s="1071"/>
      <c r="HX871" s="1071"/>
      <c r="HY871" s="1071"/>
      <c r="HZ871" s="1071"/>
      <c r="IA871" s="1071"/>
      <c r="IB871" s="1071"/>
      <c r="IC871" s="1071"/>
      <c r="ID871" s="1071"/>
      <c r="IE871" s="1071"/>
      <c r="IF871" s="1071"/>
      <c r="IG871" s="1072"/>
      <c r="IH871" s="1071"/>
      <c r="II871" s="1071"/>
      <c r="IJ871" s="1071"/>
      <c r="IK871" s="1071"/>
      <c r="IL871" s="1071"/>
      <c r="IM871" s="1071"/>
      <c r="IN871" s="1071"/>
      <c r="IO871" s="1072"/>
      <c r="IP871" s="1071"/>
      <c r="IQ871" s="1071"/>
      <c r="IR871" s="1071"/>
      <c r="IS871" s="1071"/>
      <c r="IT871" s="1071"/>
      <c r="IU871" s="1071"/>
      <c r="IV871" s="1071"/>
      <c r="IW871" s="1071"/>
      <c r="IX871" s="1049"/>
      <c r="IY871" s="1049"/>
      <c r="IZ871" s="1049"/>
      <c r="JA871" s="1049"/>
      <c r="JB871" s="1049"/>
      <c r="JC871" s="1049"/>
      <c r="JD871" s="1041"/>
      <c r="JE871" s="1037"/>
      <c r="JF871" s="1037"/>
      <c r="JG871" s="1037"/>
      <c r="JH871" s="1037"/>
      <c r="JI871" s="1035"/>
      <c r="JJ871" s="1035"/>
      <c r="JK871" s="1035"/>
      <c r="JL871" s="1035"/>
      <c r="JM871" s="1035"/>
      <c r="JN871" s="1035"/>
      <c r="JO871" s="1035"/>
      <c r="JP871" s="1035"/>
      <c r="JQ871" s="1035"/>
      <c r="JR871" s="1035"/>
      <c r="JS871" s="1035"/>
      <c r="JT871" s="1035"/>
      <c r="JU871" s="1035"/>
      <c r="JV871" s="1035"/>
      <c r="JW871" s="1035"/>
      <c r="JX871" s="1035"/>
      <c r="JY871" s="1035"/>
      <c r="KP871" s="1117"/>
      <c r="LV871" s="967"/>
    </row>
    <row r="872" outlineLevel="1" spans="1:334">
      <c r="A872" s="967" t="s">
        <v>61</v>
      </c>
      <c r="AX872" s="1059"/>
      <c r="BE872" s="1060"/>
      <c r="BN872" s="1059"/>
      <c r="BU872" s="1060"/>
      <c r="BV872" s="1059"/>
      <c r="CC872" s="1060"/>
      <c r="CD872" s="1059"/>
      <c r="CJ872" s="1061"/>
      <c r="CK872" s="1060"/>
      <c r="CL872" s="1059"/>
      <c r="CS872" s="1060"/>
      <c r="CT872" s="1059"/>
      <c r="CW872" s="1062"/>
      <c r="CX872" s="1062"/>
      <c r="DB872" s="1181"/>
      <c r="DC872" s="1181"/>
      <c r="DD872" s="1181"/>
      <c r="DE872" s="1194"/>
      <c r="DF872" s="1194"/>
      <c r="DG872" s="1181"/>
      <c r="DH872" s="1181"/>
      <c r="DI872" s="1182"/>
      <c r="DJ872" s="1181"/>
      <c r="DK872" s="1181"/>
      <c r="DL872" s="1181"/>
      <c r="DM872" s="1181"/>
      <c r="DN872" s="1181"/>
      <c r="DO872" s="1181"/>
      <c r="DP872" s="1181"/>
      <c r="DQ872" s="1182"/>
      <c r="DR872" s="1080"/>
      <c r="DS872" s="1080"/>
      <c r="DT872" s="1080"/>
      <c r="DU872" s="1080"/>
      <c r="DV872" s="1080"/>
      <c r="DW872" s="1080"/>
      <c r="DX872" s="1080"/>
      <c r="DY872" s="1081"/>
      <c r="DZ872" s="1080">
        <f>+DZ871/DR871-1</f>
        <v>0.183760683760684</v>
      </c>
      <c r="EA872" s="1080">
        <f t="shared" ref="EA872:EG872" si="4674">+EA871/DS871-1</f>
        <v>0.0252707581227436</v>
      </c>
      <c r="EB872" s="1080">
        <f t="shared" si="4674"/>
        <v>0.0978473581213308</v>
      </c>
      <c r="EC872" s="1080">
        <f t="shared" si="4674"/>
        <v>0.0714285714285714</v>
      </c>
      <c r="ED872" s="1080">
        <f t="shared" si="4674"/>
        <v>0.0884955752212389</v>
      </c>
      <c r="EE872" s="1080">
        <f t="shared" si="4674"/>
        <v>-0.0769230769230769</v>
      </c>
      <c r="EF872" s="1080">
        <f t="shared" si="4674"/>
        <v>-0.00353356890459366</v>
      </c>
      <c r="EG872" s="1081">
        <f t="shared" si="4674"/>
        <v>0.0445682451253482</v>
      </c>
      <c r="EH872" s="1080">
        <v>0.12</v>
      </c>
      <c r="EI872" s="1080">
        <f>+EI871/EA871-1</f>
        <v>-0.0669014084507042</v>
      </c>
      <c r="EJ872" s="1080">
        <f>+EJ871/EB871-1</f>
        <v>0.0231729055258467</v>
      </c>
      <c r="EK872" s="1080">
        <f>EK871/EC871-1</f>
        <v>0.153333333333333</v>
      </c>
      <c r="EL872" s="1080">
        <f>EL871/ED871-1</f>
        <v>0.0685249709639955</v>
      </c>
      <c r="EM872" s="1080">
        <f>EM871/EE871-1</f>
        <v>-0.0454545454545454</v>
      </c>
      <c r="EN872" s="1080">
        <f>EN871/EF871-1</f>
        <v>0.0602836879432624</v>
      </c>
      <c r="EO872" s="1081">
        <f>EO871/EG871-1</f>
        <v>0.0417777777777777</v>
      </c>
      <c r="EP872" s="1080"/>
      <c r="EQ872" s="1080"/>
      <c r="ER872" s="1080"/>
      <c r="ES872" s="1080"/>
      <c r="ET872" s="1080"/>
      <c r="EU872" s="1080"/>
      <c r="EV872" s="1080"/>
      <c r="EW872" s="1081"/>
      <c r="EX872" s="1080"/>
      <c r="EY872" s="1080"/>
      <c r="EZ872" s="1080"/>
      <c r="FA872" s="1080"/>
      <c r="FB872" s="1080"/>
      <c r="FC872" s="1080"/>
      <c r="FD872" s="1080"/>
      <c r="FE872" s="1081"/>
      <c r="FF872" s="1080"/>
      <c r="FG872" s="1080"/>
      <c r="FH872" s="1080"/>
      <c r="FI872" s="1080"/>
      <c r="FJ872" s="1080"/>
      <c r="FK872" s="1080"/>
      <c r="FL872" s="1080"/>
      <c r="FM872" s="1081"/>
      <c r="FN872" s="1080"/>
      <c r="FO872" s="1080"/>
      <c r="FP872" s="1080"/>
      <c r="FQ872" s="1080"/>
      <c r="FR872" s="1080"/>
      <c r="FS872" s="1080"/>
      <c r="FT872" s="1080"/>
      <c r="FU872" s="1080"/>
      <c r="FV872" s="1150"/>
      <c r="FW872" s="1080"/>
      <c r="FX872" s="1080"/>
      <c r="FY872" s="1080"/>
      <c r="FZ872" s="1080"/>
      <c r="GA872" s="1080"/>
      <c r="GB872" s="1080"/>
      <c r="GC872" s="1081"/>
      <c r="GD872" s="1080"/>
      <c r="GE872" s="1080"/>
      <c r="GF872" s="1080"/>
      <c r="GG872" s="1080"/>
      <c r="GH872" s="1080"/>
      <c r="GI872" s="1080"/>
      <c r="GJ872" s="1080"/>
      <c r="GK872" s="1081"/>
      <c r="GL872" s="1080"/>
      <c r="GM872" s="1080"/>
      <c r="GN872" s="1080"/>
      <c r="GO872" s="1080"/>
      <c r="GP872" s="1080"/>
      <c r="GQ872" s="1080"/>
      <c r="GR872" s="1080"/>
      <c r="GS872" s="1081"/>
      <c r="GT872" s="1080"/>
      <c r="GU872" s="1080"/>
      <c r="GV872" s="1080"/>
      <c r="GW872" s="1080"/>
      <c r="GX872" s="1080"/>
      <c r="GY872" s="1080"/>
      <c r="GZ872" s="1080"/>
      <c r="HA872" s="1081"/>
      <c r="HB872" s="1080"/>
      <c r="HC872" s="1080"/>
      <c r="HD872" s="1080"/>
      <c r="HE872" s="1080"/>
      <c r="HF872" s="1080"/>
      <c r="HG872" s="1080"/>
      <c r="HH872" s="1080"/>
      <c r="HI872" s="1081"/>
      <c r="HJ872" s="1080"/>
      <c r="HK872" s="1080"/>
      <c r="HL872" s="1080"/>
      <c r="HM872" s="1080"/>
      <c r="HN872" s="1080"/>
      <c r="HO872" s="1080"/>
      <c r="HP872" s="1080"/>
      <c r="HQ872" s="1081"/>
      <c r="HR872" s="1080"/>
      <c r="HS872" s="1080"/>
      <c r="HT872" s="1080"/>
      <c r="HU872" s="1080"/>
      <c r="HV872" s="1080"/>
      <c r="HW872" s="1080"/>
      <c r="HX872" s="1080"/>
      <c r="HY872" s="1080"/>
      <c r="HZ872" s="1080"/>
      <c r="IA872" s="1080"/>
      <c r="IB872" s="1080"/>
      <c r="IC872" s="1080"/>
      <c r="ID872" s="1080"/>
      <c r="IE872" s="1080"/>
      <c r="IF872" s="1080"/>
      <c r="IG872" s="1081"/>
      <c r="IH872" s="1080"/>
      <c r="II872" s="1080"/>
      <c r="IJ872" s="1080"/>
      <c r="IK872" s="1080"/>
      <c r="IL872" s="1080"/>
      <c r="IM872" s="1080"/>
      <c r="IN872" s="1080"/>
      <c r="IO872" s="1081"/>
      <c r="IP872" s="1080"/>
      <c r="IQ872" s="1080"/>
      <c r="IR872" s="1080"/>
      <c r="IS872" s="1080"/>
      <c r="IT872" s="1080"/>
      <c r="IU872" s="1080"/>
      <c r="IV872" s="1080"/>
      <c r="IW872" s="1080"/>
      <c r="IX872" s="1049"/>
      <c r="IY872" s="1049"/>
      <c r="IZ872" s="1049"/>
      <c r="JA872" s="1049"/>
      <c r="JB872" s="1049"/>
      <c r="JC872" s="1049"/>
      <c r="JD872" s="1041"/>
      <c r="JE872" s="1037"/>
      <c r="JF872" s="1037"/>
      <c r="JG872" s="1037"/>
      <c r="JH872" s="1037"/>
      <c r="JI872" s="1035"/>
      <c r="JJ872" s="1035"/>
      <c r="JK872" s="1035"/>
      <c r="JL872" s="1035"/>
      <c r="JM872" s="1035"/>
      <c r="JN872" s="1035"/>
      <c r="JO872" s="1035"/>
      <c r="JP872" s="1035"/>
      <c r="JQ872" s="1035"/>
      <c r="JR872" s="1035"/>
      <c r="JS872" s="1035"/>
      <c r="JT872" s="1035"/>
      <c r="JU872" s="1035"/>
      <c r="JV872" s="1035"/>
      <c r="JW872" s="1035"/>
      <c r="JX872" s="1035"/>
      <c r="JY872" s="1035"/>
      <c r="KP872" s="1117"/>
      <c r="LV872" s="967"/>
    </row>
    <row r="873" outlineLevel="1" spans="1:334">
      <c r="A873" s="967" t="s">
        <v>65</v>
      </c>
      <c r="AX873" s="1059"/>
      <c r="BE873" s="1060"/>
      <c r="BN873" s="1059"/>
      <c r="BU873" s="1060"/>
      <c r="BV873" s="1059"/>
      <c r="CC873" s="1060"/>
      <c r="CD873" s="1059"/>
      <c r="CJ873" s="1061"/>
      <c r="CK873" s="1060"/>
      <c r="CL873" s="1059"/>
      <c r="CS873" s="1060"/>
      <c r="CT873" s="1059"/>
      <c r="CW873" s="1062"/>
      <c r="CX873" s="1062"/>
      <c r="DB873" s="1181"/>
      <c r="DC873" s="1181"/>
      <c r="DD873" s="1181"/>
      <c r="DE873" s="1194"/>
      <c r="DF873" s="1194"/>
      <c r="DG873" s="1181"/>
      <c r="DH873" s="1181"/>
      <c r="DI873" s="1182"/>
      <c r="DJ873" s="1181"/>
      <c r="DK873" s="1181"/>
      <c r="DL873" s="1181"/>
      <c r="DM873" s="1181"/>
      <c r="DN873" s="1181"/>
      <c r="DO873" s="1181"/>
      <c r="DP873" s="1181"/>
      <c r="DQ873" s="1182"/>
      <c r="DR873" s="1080"/>
      <c r="DS873" s="1080"/>
      <c r="DT873" s="1080"/>
      <c r="DU873" s="1080"/>
      <c r="DV873" s="1080"/>
      <c r="DW873" s="1080"/>
      <c r="DX873" s="1080"/>
      <c r="DY873" s="1081"/>
      <c r="DZ873" s="1080">
        <v>0.13</v>
      </c>
      <c r="EA873" s="1080"/>
      <c r="EB873" s="1080">
        <v>0.1</v>
      </c>
      <c r="EC873" s="1080"/>
      <c r="ED873" s="1080">
        <v>0.12</v>
      </c>
      <c r="EE873" s="1080"/>
      <c r="EF873" s="1080"/>
      <c r="EG873" s="1081">
        <v>0.08</v>
      </c>
      <c r="EH873" s="1080">
        <v>0.13</v>
      </c>
      <c r="EI873" s="1080"/>
      <c r="EJ873" s="1080">
        <v>0.03</v>
      </c>
      <c r="EK873" s="1080"/>
      <c r="EL873" s="1080">
        <v>0.07</v>
      </c>
      <c r="EM873" s="1080"/>
      <c r="EN873" s="1080"/>
      <c r="EO873" s="1081">
        <v>0.05</v>
      </c>
      <c r="EP873" s="1080"/>
      <c r="EQ873" s="1080"/>
      <c r="ER873" s="1080"/>
      <c r="ES873" s="1080"/>
      <c r="ET873" s="1080"/>
      <c r="EU873" s="1080"/>
      <c r="EV873" s="1080"/>
      <c r="EW873" s="1081"/>
      <c r="EX873" s="1080"/>
      <c r="EY873" s="1080"/>
      <c r="EZ873" s="1080"/>
      <c r="FA873" s="1080"/>
      <c r="FB873" s="1080"/>
      <c r="FC873" s="1080"/>
      <c r="FD873" s="1080"/>
      <c r="FE873" s="1081"/>
      <c r="FF873" s="1080"/>
      <c r="FG873" s="1080"/>
      <c r="FH873" s="1080"/>
      <c r="FI873" s="1080"/>
      <c r="FJ873" s="1080"/>
      <c r="FK873" s="1080"/>
      <c r="FL873" s="1080"/>
      <c r="FM873" s="1081"/>
      <c r="FN873" s="1080"/>
      <c r="FO873" s="1080"/>
      <c r="FP873" s="1080"/>
      <c r="FQ873" s="1080"/>
      <c r="FR873" s="1080"/>
      <c r="FS873" s="1080"/>
      <c r="FT873" s="1080"/>
      <c r="FU873" s="1080"/>
      <c r="FV873" s="1150"/>
      <c r="FW873" s="1080"/>
      <c r="FX873" s="1080"/>
      <c r="FY873" s="1080"/>
      <c r="FZ873" s="1080"/>
      <c r="GA873" s="1080"/>
      <c r="GB873" s="1080"/>
      <c r="GC873" s="1081"/>
      <c r="GD873" s="1080"/>
      <c r="GE873" s="1080"/>
      <c r="GF873" s="1080"/>
      <c r="GG873" s="1080"/>
      <c r="GH873" s="1080"/>
      <c r="GI873" s="1080"/>
      <c r="GJ873" s="1080"/>
      <c r="GK873" s="1081"/>
      <c r="GL873" s="1080"/>
      <c r="GM873" s="1080"/>
      <c r="GN873" s="1080"/>
      <c r="GO873" s="1080"/>
      <c r="GP873" s="1080"/>
      <c r="GQ873" s="1080"/>
      <c r="GR873" s="1080"/>
      <c r="GS873" s="1081"/>
      <c r="GT873" s="1080"/>
      <c r="GU873" s="1080"/>
      <c r="GV873" s="1080"/>
      <c r="GW873" s="1080"/>
      <c r="GX873" s="1080"/>
      <c r="GY873" s="1080"/>
      <c r="GZ873" s="1080"/>
      <c r="HA873" s="1081"/>
      <c r="HB873" s="1080"/>
      <c r="HC873" s="1080"/>
      <c r="HD873" s="1080"/>
      <c r="HE873" s="1080"/>
      <c r="HF873" s="1080"/>
      <c r="HG873" s="1080"/>
      <c r="HH873" s="1080"/>
      <c r="HI873" s="1081"/>
      <c r="HJ873" s="1080"/>
      <c r="HK873" s="1080"/>
      <c r="HL873" s="1080"/>
      <c r="HM873" s="1080"/>
      <c r="HN873" s="1080"/>
      <c r="HO873" s="1080"/>
      <c r="HP873" s="1080"/>
      <c r="HQ873" s="1081"/>
      <c r="HR873" s="1080"/>
      <c r="HS873" s="1080"/>
      <c r="HT873" s="1080"/>
      <c r="HU873" s="1080"/>
      <c r="HV873" s="1080"/>
      <c r="HW873" s="1080"/>
      <c r="HX873" s="1080"/>
      <c r="HY873" s="1080"/>
      <c r="HZ873" s="1080"/>
      <c r="IA873" s="1080"/>
      <c r="IB873" s="1080"/>
      <c r="IC873" s="1080"/>
      <c r="ID873" s="1080"/>
      <c r="IE873" s="1080"/>
      <c r="IF873" s="1080"/>
      <c r="IG873" s="1081"/>
      <c r="IH873" s="1080"/>
      <c r="II873" s="1080"/>
      <c r="IJ873" s="1080"/>
      <c r="IK873" s="1080"/>
      <c r="IL873" s="1080"/>
      <c r="IM873" s="1080"/>
      <c r="IN873" s="1080"/>
      <c r="IO873" s="1081"/>
      <c r="IP873" s="1080"/>
      <c r="IQ873" s="1080"/>
      <c r="IR873" s="1080"/>
      <c r="IS873" s="1080"/>
      <c r="IT873" s="1080"/>
      <c r="IU873" s="1080"/>
      <c r="IV873" s="1080"/>
      <c r="IW873" s="1080"/>
      <c r="IX873" s="1049"/>
      <c r="IY873" s="1049"/>
      <c r="IZ873" s="1049"/>
      <c r="JA873" s="1049"/>
      <c r="JB873" s="1049"/>
      <c r="JC873" s="1049"/>
      <c r="JD873" s="1041"/>
      <c r="JE873" s="1037"/>
      <c r="JF873" s="1037"/>
      <c r="JG873" s="1037"/>
      <c r="JH873" s="1037"/>
      <c r="JI873" s="1035"/>
      <c r="JJ873" s="1035"/>
      <c r="JK873" s="1035"/>
      <c r="JL873" s="1035"/>
      <c r="JM873" s="1035"/>
      <c r="JN873" s="1035"/>
      <c r="JO873" s="1035"/>
      <c r="JP873" s="1035"/>
      <c r="JQ873" s="1035"/>
      <c r="JR873" s="1035"/>
      <c r="JS873" s="1035"/>
      <c r="JT873" s="1035"/>
      <c r="JU873" s="1035"/>
      <c r="JV873" s="1035"/>
      <c r="JW873" s="1035"/>
      <c r="JX873" s="1035"/>
      <c r="JY873" s="1035"/>
      <c r="KP873" s="1117"/>
      <c r="LV873" s="967"/>
    </row>
    <row r="874" outlineLevel="1" spans="1:334">
      <c r="A874" s="1180" t="s">
        <v>108</v>
      </c>
      <c r="AX874" s="1059"/>
      <c r="BE874" s="1060"/>
      <c r="BN874" s="1059"/>
      <c r="BU874" s="1060"/>
      <c r="BV874" s="1059"/>
      <c r="CC874" s="1060"/>
      <c r="CD874" s="1059"/>
      <c r="CJ874" s="1061"/>
      <c r="CK874" s="1060"/>
      <c r="CL874" s="1059"/>
      <c r="CS874" s="1060"/>
      <c r="CT874" s="1059"/>
      <c r="CW874" s="1062"/>
      <c r="CX874" s="1062"/>
      <c r="DB874" s="1181"/>
      <c r="DC874" s="1181"/>
      <c r="DD874" s="1181"/>
      <c r="DE874" s="1194"/>
      <c r="DF874" s="1194"/>
      <c r="DG874" s="1181"/>
      <c r="DH874" s="1181"/>
      <c r="DI874" s="1182"/>
      <c r="DJ874" s="1181"/>
      <c r="DK874" s="1181"/>
      <c r="DL874" s="1181"/>
      <c r="DM874" s="1181"/>
      <c r="DN874" s="1181"/>
      <c r="DO874" s="1181"/>
      <c r="DP874" s="1181"/>
      <c r="DQ874" s="1182"/>
      <c r="DR874" s="1071">
        <f t="shared" ref="DR874:EJ874" si="4675">+DR875-DR871-DR868-DR865-DR862-DR859-DR856</f>
        <v>0</v>
      </c>
      <c r="DS874" s="1071">
        <f t="shared" si="4675"/>
        <v>1</v>
      </c>
      <c r="DT874" s="1071">
        <f t="shared" si="4675"/>
        <v>1</v>
      </c>
      <c r="DU874" s="1071">
        <f t="shared" si="4675"/>
        <v>-2</v>
      </c>
      <c r="DV874" s="1071">
        <f t="shared" si="4675"/>
        <v>-1</v>
      </c>
      <c r="DW874" s="1071">
        <f t="shared" si="4675"/>
        <v>1</v>
      </c>
      <c r="DX874" s="1071">
        <f t="shared" si="4675"/>
        <v>-1</v>
      </c>
      <c r="DY874" s="1072">
        <f t="shared" si="4675"/>
        <v>0</v>
      </c>
      <c r="DZ874" s="1071">
        <f t="shared" si="4675"/>
        <v>0</v>
      </c>
      <c r="EA874" s="1071">
        <f t="shared" si="4675"/>
        <v>-1</v>
      </c>
      <c r="EB874" s="1071">
        <f t="shared" si="4675"/>
        <v>-1</v>
      </c>
      <c r="EC874" s="1071">
        <f t="shared" si="4675"/>
        <v>0</v>
      </c>
      <c r="ED874" s="1071">
        <f t="shared" si="4675"/>
        <v>-1</v>
      </c>
      <c r="EE874" s="1071">
        <f t="shared" si="4675"/>
        <v>23</v>
      </c>
      <c r="EF874" s="1071">
        <f t="shared" si="4675"/>
        <v>23</v>
      </c>
      <c r="EG874" s="1072">
        <f t="shared" si="4675"/>
        <v>22</v>
      </c>
      <c r="EH874" s="1071">
        <f t="shared" si="4675"/>
        <v>0</v>
      </c>
      <c r="EI874" s="1071">
        <f t="shared" si="4675"/>
        <v>0</v>
      </c>
      <c r="EJ874" s="1071">
        <f t="shared" si="4675"/>
        <v>0</v>
      </c>
      <c r="EK874" s="1071">
        <f>EL874-EJ874</f>
        <v>0</v>
      </c>
      <c r="EL874" s="1071">
        <v>0</v>
      </c>
      <c r="EM874" s="1071">
        <f>EN874-EI874</f>
        <v>0</v>
      </c>
      <c r="EN874" s="1071">
        <f>EO874-EJ874</f>
        <v>0</v>
      </c>
      <c r="EO874" s="1072">
        <v>0</v>
      </c>
      <c r="EP874" s="1080"/>
      <c r="EQ874" s="1080"/>
      <c r="ER874" s="1080"/>
      <c r="ES874" s="1080"/>
      <c r="ET874" s="1080"/>
      <c r="EU874" s="1080"/>
      <c r="EV874" s="1080"/>
      <c r="EW874" s="1081"/>
      <c r="EX874" s="1080"/>
      <c r="EY874" s="1080"/>
      <c r="EZ874" s="1080"/>
      <c r="FA874" s="1080"/>
      <c r="FB874" s="1080"/>
      <c r="FC874" s="1080"/>
      <c r="FD874" s="1080"/>
      <c r="FE874" s="1081"/>
      <c r="FF874" s="1080"/>
      <c r="FG874" s="1080"/>
      <c r="FH874" s="1080"/>
      <c r="FI874" s="1080"/>
      <c r="FJ874" s="1080"/>
      <c r="FK874" s="1080"/>
      <c r="FL874" s="1080"/>
      <c r="FM874" s="1081"/>
      <c r="FN874" s="1080"/>
      <c r="FO874" s="1080"/>
      <c r="FP874" s="1080"/>
      <c r="FQ874" s="1080"/>
      <c r="FR874" s="1080"/>
      <c r="FS874" s="1080"/>
      <c r="FT874" s="1080"/>
      <c r="FU874" s="1080"/>
      <c r="FV874" s="1150"/>
      <c r="FW874" s="1080"/>
      <c r="FX874" s="1080"/>
      <c r="FY874" s="1080"/>
      <c r="FZ874" s="1080"/>
      <c r="GA874" s="1080"/>
      <c r="GB874" s="1080"/>
      <c r="GC874" s="1081"/>
      <c r="GD874" s="1080"/>
      <c r="GE874" s="1080"/>
      <c r="GF874" s="1080"/>
      <c r="GG874" s="1080"/>
      <c r="GH874" s="1080"/>
      <c r="GI874" s="1080"/>
      <c r="GJ874" s="1080"/>
      <c r="GK874" s="1081"/>
      <c r="GL874" s="1080"/>
      <c r="GM874" s="1080"/>
      <c r="GN874" s="1080"/>
      <c r="GO874" s="1080"/>
      <c r="GP874" s="1080"/>
      <c r="GQ874" s="1080"/>
      <c r="GR874" s="1080"/>
      <c r="GS874" s="1081"/>
      <c r="GT874" s="1080"/>
      <c r="GU874" s="1080"/>
      <c r="GV874" s="1080"/>
      <c r="GW874" s="1080"/>
      <c r="GX874" s="1080"/>
      <c r="GY874" s="1080"/>
      <c r="GZ874" s="1080"/>
      <c r="HA874" s="1081"/>
      <c r="HB874" s="1080"/>
      <c r="HC874" s="1080"/>
      <c r="HD874" s="1080"/>
      <c r="HE874" s="1080"/>
      <c r="HF874" s="1080"/>
      <c r="HG874" s="1080"/>
      <c r="HH874" s="1080"/>
      <c r="HI874" s="1081"/>
      <c r="HJ874" s="1080"/>
      <c r="HK874" s="1080"/>
      <c r="HL874" s="1080"/>
      <c r="HM874" s="1080"/>
      <c r="HN874" s="1080"/>
      <c r="HO874" s="1080"/>
      <c r="HP874" s="1080"/>
      <c r="HQ874" s="1081"/>
      <c r="HR874" s="1080"/>
      <c r="HS874" s="1080"/>
      <c r="HT874" s="1080"/>
      <c r="HU874" s="1080"/>
      <c r="HV874" s="1080"/>
      <c r="HW874" s="1080"/>
      <c r="HX874" s="1080"/>
      <c r="HY874" s="1080"/>
      <c r="HZ874" s="1080"/>
      <c r="IA874" s="1080"/>
      <c r="IB874" s="1080"/>
      <c r="IC874" s="1080"/>
      <c r="ID874" s="1080"/>
      <c r="IE874" s="1080"/>
      <c r="IF874" s="1080"/>
      <c r="IG874" s="1081"/>
      <c r="IH874" s="1080"/>
      <c r="II874" s="1080"/>
      <c r="IJ874" s="1080"/>
      <c r="IK874" s="1080"/>
      <c r="IL874" s="1080"/>
      <c r="IM874" s="1080"/>
      <c r="IN874" s="1080"/>
      <c r="IO874" s="1081"/>
      <c r="IP874" s="1080"/>
      <c r="IQ874" s="1080"/>
      <c r="IR874" s="1080"/>
      <c r="IS874" s="1080"/>
      <c r="IT874" s="1080"/>
      <c r="IU874" s="1080"/>
      <c r="IV874" s="1080"/>
      <c r="IW874" s="1080"/>
      <c r="IX874" s="1049"/>
      <c r="IY874" s="1049"/>
      <c r="IZ874" s="1049"/>
      <c r="JA874" s="1049"/>
      <c r="JB874" s="1049"/>
      <c r="JC874" s="1049"/>
      <c r="JD874" s="1041"/>
      <c r="JE874" s="1037"/>
      <c r="JF874" s="1037"/>
      <c r="JG874" s="1037"/>
      <c r="JH874" s="1037"/>
      <c r="JI874" s="1035"/>
      <c r="JJ874" s="1035"/>
      <c r="JK874" s="1035"/>
      <c r="JL874" s="1035"/>
      <c r="JM874" s="1035"/>
      <c r="JN874" s="1035"/>
      <c r="JO874" s="1035"/>
      <c r="JP874" s="1035"/>
      <c r="JQ874" s="1035"/>
      <c r="JR874" s="1035"/>
      <c r="JS874" s="1035"/>
      <c r="JT874" s="1035"/>
      <c r="JU874" s="1035"/>
      <c r="JV874" s="1035"/>
      <c r="JW874" s="1035"/>
      <c r="JX874" s="1035"/>
      <c r="JY874" s="1035"/>
      <c r="KP874" s="1117"/>
      <c r="LV874" s="967"/>
    </row>
    <row r="875" outlineLevel="1" spans="1:334">
      <c r="A875" s="1609" t="s">
        <v>71</v>
      </c>
      <c r="AX875" s="1059"/>
      <c r="BE875" s="1060"/>
      <c r="BN875" s="1059"/>
      <c r="BU875" s="1060"/>
      <c r="BV875" s="1059"/>
      <c r="CC875" s="1060"/>
      <c r="CD875" s="1059"/>
      <c r="CJ875" s="1061"/>
      <c r="CK875" s="1060"/>
      <c r="CL875" s="1059"/>
      <c r="CS875" s="1060"/>
      <c r="CT875" s="1607"/>
      <c r="CU875" s="1607"/>
      <c r="CV875" s="1607"/>
      <c r="CW875" s="1607"/>
      <c r="CX875" s="1607"/>
      <c r="CY875" s="1607"/>
      <c r="CZ875" s="1607"/>
      <c r="DA875" s="1607"/>
      <c r="DB875" s="1106"/>
      <c r="DC875" s="1106"/>
      <c r="DD875" s="1106"/>
      <c r="DE875" s="1106"/>
      <c r="DF875" s="1106"/>
      <c r="DG875" s="1106"/>
      <c r="DH875" s="1106"/>
      <c r="DI875" s="1107"/>
      <c r="DJ875" s="1106"/>
      <c r="DK875" s="1106"/>
      <c r="DL875" s="1106"/>
      <c r="DM875" s="1106"/>
      <c r="DN875" s="1106"/>
      <c r="DO875" s="1106"/>
      <c r="DP875" s="1106"/>
      <c r="DQ875" s="1107"/>
      <c r="DR875" s="1106">
        <v>1898</v>
      </c>
      <c r="DS875" s="1106">
        <f>+DT875-DR875</f>
        <v>1928</v>
      </c>
      <c r="DT875" s="1106">
        <v>3826</v>
      </c>
      <c r="DU875" s="1106">
        <f>+DV875-DT875</f>
        <v>2421</v>
      </c>
      <c r="DV875" s="1106">
        <v>6247</v>
      </c>
      <c r="DW875" s="1106">
        <f>DX875-DU875</f>
        <v>1934</v>
      </c>
      <c r="DX875" s="1106">
        <f>DY875-DT875</f>
        <v>4355</v>
      </c>
      <c r="DY875" s="1107">
        <v>8181</v>
      </c>
      <c r="DZ875" s="1106">
        <v>2320</v>
      </c>
      <c r="EA875" s="1106">
        <f>+EB875-DZ875</f>
        <v>1972</v>
      </c>
      <c r="EB875" s="1106">
        <v>4292</v>
      </c>
      <c r="EC875" s="1106">
        <f>+ED875-EB875</f>
        <v>2577</v>
      </c>
      <c r="ED875" s="1106">
        <v>6869</v>
      </c>
      <c r="EE875" s="1106">
        <f>EF875-EC875</f>
        <v>2102</v>
      </c>
      <c r="EF875" s="1106">
        <f>EG875-EB875</f>
        <v>4679</v>
      </c>
      <c r="EG875" s="1107">
        <v>8971</v>
      </c>
      <c r="EH875" s="1106">
        <v>2614</v>
      </c>
      <c r="EI875" s="1106">
        <f>+EJ875-EH875</f>
        <v>2113</v>
      </c>
      <c r="EJ875" s="1106">
        <v>4727</v>
      </c>
      <c r="EK875" s="1106">
        <f>EK856+EK859+EK862+EK865+EK868+EK871+EK874</f>
        <v>2743</v>
      </c>
      <c r="EL875" s="1106">
        <f>EL856+EL859+EL862+EL865+EL868+EL871+EL874</f>
        <v>7470</v>
      </c>
      <c r="EM875" s="1106">
        <f>EN875-EK875</f>
        <v>2063</v>
      </c>
      <c r="EN875" s="1106">
        <f>EO875-EJ875</f>
        <v>4806</v>
      </c>
      <c r="EO875" s="1107">
        <f>EO856+EO859+EO862+EO865+EO868+EO871+EO874</f>
        <v>9533</v>
      </c>
      <c r="EP875" s="1106"/>
      <c r="EQ875" s="1106"/>
      <c r="ER875" s="1106"/>
      <c r="ES875" s="1106"/>
      <c r="ET875" s="1106"/>
      <c r="EU875" s="1106"/>
      <c r="EV875" s="1106"/>
      <c r="EW875" s="1107"/>
      <c r="EX875" s="1106"/>
      <c r="EY875" s="1106"/>
      <c r="EZ875" s="1106"/>
      <c r="FA875" s="1106"/>
      <c r="FB875" s="1106"/>
      <c r="FC875" s="1106"/>
      <c r="FD875" s="1106"/>
      <c r="FE875" s="1107"/>
      <c r="FF875" s="1106"/>
      <c r="FG875" s="1106"/>
      <c r="FH875" s="1106"/>
      <c r="FI875" s="1106"/>
      <c r="FJ875" s="1106"/>
      <c r="FK875" s="1106"/>
      <c r="FL875" s="1106"/>
      <c r="FM875" s="1107"/>
      <c r="FN875" s="1106"/>
      <c r="FO875" s="1106"/>
      <c r="FP875" s="1106"/>
      <c r="FQ875" s="1106"/>
      <c r="FR875" s="1106"/>
      <c r="FS875" s="1106"/>
      <c r="FT875" s="1106"/>
      <c r="FU875" s="1106"/>
      <c r="FV875" s="1108"/>
      <c r="FW875" s="1106"/>
      <c r="FX875" s="1106"/>
      <c r="FY875" s="1106"/>
      <c r="FZ875" s="1106"/>
      <c r="GA875" s="1106"/>
      <c r="GB875" s="1106"/>
      <c r="GC875" s="1107"/>
      <c r="GD875" s="1106"/>
      <c r="GE875" s="1106"/>
      <c r="GF875" s="1106"/>
      <c r="GG875" s="1106"/>
      <c r="GH875" s="1106"/>
      <c r="GI875" s="1106"/>
      <c r="GJ875" s="1106"/>
      <c r="GK875" s="1107"/>
      <c r="GL875" s="1106"/>
      <c r="GM875" s="1106"/>
      <c r="GN875" s="1106"/>
      <c r="GO875" s="1106"/>
      <c r="GP875" s="1106"/>
      <c r="GQ875" s="1106"/>
      <c r="GR875" s="1106"/>
      <c r="GS875" s="1107"/>
      <c r="GT875" s="1106"/>
      <c r="GU875" s="1106"/>
      <c r="GV875" s="1106"/>
      <c r="GW875" s="1106"/>
      <c r="GX875" s="1106"/>
      <c r="GY875" s="1106"/>
      <c r="GZ875" s="1106"/>
      <c r="HA875" s="1107"/>
      <c r="HB875" s="1106"/>
      <c r="HC875" s="1106"/>
      <c r="HD875" s="1106"/>
      <c r="HE875" s="1106"/>
      <c r="HF875" s="1106"/>
      <c r="HG875" s="1106"/>
      <c r="HH875" s="1106"/>
      <c r="HI875" s="1107"/>
      <c r="HJ875" s="1106"/>
      <c r="HK875" s="1106"/>
      <c r="HL875" s="1106"/>
      <c r="HM875" s="1106"/>
      <c r="HN875" s="1106"/>
      <c r="HO875" s="1106"/>
      <c r="HP875" s="1106"/>
      <c r="HQ875" s="1107"/>
      <c r="HR875" s="1106"/>
      <c r="HS875" s="1106"/>
      <c r="HT875" s="1106"/>
      <c r="HU875" s="1106"/>
      <c r="HV875" s="1106"/>
      <c r="HW875" s="1106"/>
      <c r="HX875" s="1106"/>
      <c r="HY875" s="1106"/>
      <c r="HZ875" s="1106"/>
      <c r="IA875" s="1106"/>
      <c r="IB875" s="1106"/>
      <c r="IC875" s="1106"/>
      <c r="ID875" s="1106"/>
      <c r="IE875" s="1106"/>
      <c r="IF875" s="1106"/>
      <c r="IG875" s="1107"/>
      <c r="IH875" s="1106"/>
      <c r="II875" s="1106"/>
      <c r="IJ875" s="1106"/>
      <c r="IK875" s="1106"/>
      <c r="IL875" s="1106"/>
      <c r="IM875" s="1106"/>
      <c r="IN875" s="1106"/>
      <c r="IO875" s="1107"/>
      <c r="IP875" s="1106"/>
      <c r="IQ875" s="1106"/>
      <c r="IR875" s="1106"/>
      <c r="IS875" s="1106"/>
      <c r="IT875" s="1106"/>
      <c r="IU875" s="1106"/>
      <c r="IV875" s="1106"/>
      <c r="IW875" s="1106"/>
      <c r="IX875" s="1049"/>
      <c r="IY875" s="1049"/>
      <c r="IZ875" s="1049"/>
      <c r="JA875" s="1049"/>
      <c r="JB875" s="1049"/>
      <c r="JC875" s="1049"/>
      <c r="JD875" s="1041"/>
      <c r="JE875" s="1037"/>
      <c r="JF875" s="1037"/>
      <c r="JG875" s="1037"/>
      <c r="JH875" s="1037"/>
      <c r="JI875" s="1035"/>
      <c r="JJ875" s="1035"/>
      <c r="JK875" s="1035"/>
      <c r="JL875" s="1035"/>
      <c r="JM875" s="1035"/>
      <c r="JN875" s="1035"/>
      <c r="JO875" s="1035"/>
      <c r="JP875" s="1035"/>
      <c r="JQ875" s="1035"/>
      <c r="JR875" s="1035"/>
      <c r="JS875" s="1035"/>
      <c r="JT875" s="1035"/>
      <c r="JU875" s="1035"/>
      <c r="JV875" s="1035"/>
      <c r="JW875" s="1035"/>
      <c r="JX875" s="1035"/>
      <c r="JY875" s="1035"/>
      <c r="KP875" s="1117"/>
      <c r="LV875" s="967"/>
    </row>
    <row r="876" outlineLevel="1" spans="1:334">
      <c r="A876" s="1204"/>
      <c r="AX876" s="1059"/>
      <c r="BE876" s="1060"/>
      <c r="BN876" s="1059"/>
      <c r="BU876" s="1060"/>
      <c r="BV876" s="1059"/>
      <c r="CC876" s="1060"/>
      <c r="CD876" s="1059"/>
      <c r="CJ876" s="1061"/>
      <c r="CK876" s="1060"/>
      <c r="CL876" s="1059"/>
      <c r="CS876" s="1060"/>
      <c r="CT876" s="1059"/>
      <c r="CW876" s="1062"/>
      <c r="CX876" s="1062"/>
      <c r="DB876" s="1181"/>
      <c r="DC876" s="1181"/>
      <c r="DD876" s="1181"/>
      <c r="DE876" s="1194"/>
      <c r="DF876" s="1194"/>
      <c r="DG876" s="1181"/>
      <c r="DH876" s="1181"/>
      <c r="DI876" s="1182"/>
      <c r="DJ876" s="1181"/>
      <c r="DK876" s="1181"/>
      <c r="DL876" s="1181"/>
      <c r="DM876" s="1181"/>
      <c r="DN876" s="1181"/>
      <c r="DO876" s="1181"/>
      <c r="DP876" s="1181"/>
      <c r="DQ876" s="1182"/>
      <c r="DR876" s="1080"/>
      <c r="DS876" s="1080"/>
      <c r="DT876" s="1080"/>
      <c r="DU876" s="1080"/>
      <c r="DV876" s="1080"/>
      <c r="DW876" s="1080"/>
      <c r="DX876" s="1080"/>
      <c r="DY876" s="1081"/>
      <c r="DZ876" s="1080"/>
      <c r="EA876" s="1080"/>
      <c r="EB876" s="1080"/>
      <c r="EC876" s="1080"/>
      <c r="ED876" s="1080"/>
      <c r="EE876" s="1080"/>
      <c r="EF876" s="1080"/>
      <c r="EG876" s="1081"/>
      <c r="EH876" s="1080"/>
      <c r="EI876" s="1080"/>
      <c r="EJ876" s="1080"/>
      <c r="EK876" s="1080"/>
      <c r="EL876" s="1080"/>
      <c r="EM876" s="1080"/>
      <c r="EN876" s="1080"/>
      <c r="EO876" s="1081"/>
      <c r="EP876" s="1080"/>
      <c r="EQ876" s="1080"/>
      <c r="ER876" s="1080"/>
      <c r="ES876" s="1080"/>
      <c r="ET876" s="1080"/>
      <c r="EU876" s="1080"/>
      <c r="EV876" s="1080"/>
      <c r="EW876" s="1081"/>
      <c r="EX876" s="1080"/>
      <c r="EY876" s="1080"/>
      <c r="EZ876" s="1080"/>
      <c r="FA876" s="1080"/>
      <c r="FB876" s="1080"/>
      <c r="FC876" s="1080"/>
      <c r="FD876" s="1080"/>
      <c r="FE876" s="1081"/>
      <c r="FF876" s="1080"/>
      <c r="FG876" s="1080"/>
      <c r="FH876" s="1080"/>
      <c r="FI876" s="1080"/>
      <c r="FJ876" s="1080"/>
      <c r="FK876" s="1080"/>
      <c r="FL876" s="1080"/>
      <c r="FM876" s="1081"/>
      <c r="FN876" s="1080"/>
      <c r="FO876" s="1080"/>
      <c r="FP876" s="1080"/>
      <c r="FQ876" s="1080"/>
      <c r="FR876" s="1080"/>
      <c r="FS876" s="1080"/>
      <c r="FT876" s="1080"/>
      <c r="FU876" s="1080"/>
      <c r="FV876" s="1150"/>
      <c r="FW876" s="1080"/>
      <c r="FX876" s="1080"/>
      <c r="FY876" s="1080"/>
      <c r="FZ876" s="1080"/>
      <c r="GA876" s="1080"/>
      <c r="GB876" s="1080"/>
      <c r="GC876" s="1081"/>
      <c r="GD876" s="1080"/>
      <c r="GE876" s="1080"/>
      <c r="GF876" s="1080"/>
      <c r="GG876" s="1080"/>
      <c r="GH876" s="1080"/>
      <c r="GI876" s="1080"/>
      <c r="GJ876" s="1080"/>
      <c r="GK876" s="1081"/>
      <c r="GL876" s="1080"/>
      <c r="GM876" s="1080"/>
      <c r="GN876" s="1080"/>
      <c r="GO876" s="1080"/>
      <c r="GP876" s="1080"/>
      <c r="GQ876" s="1080"/>
      <c r="GR876" s="1080"/>
      <c r="GS876" s="1081"/>
      <c r="GT876" s="1080"/>
      <c r="GU876" s="1080"/>
      <c r="GV876" s="1080"/>
      <c r="GW876" s="1080"/>
      <c r="GX876" s="1080"/>
      <c r="GY876" s="1080"/>
      <c r="GZ876" s="1080"/>
      <c r="HA876" s="1081"/>
      <c r="HB876" s="1080"/>
      <c r="HC876" s="1080"/>
      <c r="HD876" s="1080"/>
      <c r="HE876" s="1080"/>
      <c r="HF876" s="1080"/>
      <c r="HG876" s="1080"/>
      <c r="HH876" s="1080"/>
      <c r="HI876" s="1081"/>
      <c r="HJ876" s="1080"/>
      <c r="HK876" s="1080"/>
      <c r="HL876" s="1080"/>
      <c r="HM876" s="1080"/>
      <c r="HN876" s="1080"/>
      <c r="HO876" s="1080"/>
      <c r="HP876" s="1080"/>
      <c r="HQ876" s="1081"/>
      <c r="HR876" s="1080"/>
      <c r="HS876" s="1080"/>
      <c r="HT876" s="1080"/>
      <c r="HU876" s="1080"/>
      <c r="HV876" s="1080"/>
      <c r="HW876" s="1080"/>
      <c r="HX876" s="1080"/>
      <c r="HY876" s="1080"/>
      <c r="HZ876" s="1080"/>
      <c r="IA876" s="1080"/>
      <c r="IB876" s="1080"/>
      <c r="IC876" s="1080"/>
      <c r="ID876" s="1080"/>
      <c r="IE876" s="1080"/>
      <c r="IF876" s="1080"/>
      <c r="IG876" s="1081"/>
      <c r="IH876" s="1080"/>
      <c r="II876" s="1080"/>
      <c r="IJ876" s="1080"/>
      <c r="IK876" s="1080"/>
      <c r="IL876" s="1080"/>
      <c r="IM876" s="1080"/>
      <c r="IN876" s="1080"/>
      <c r="IO876" s="1081"/>
      <c r="IP876" s="1080"/>
      <c r="IQ876" s="1080"/>
      <c r="IR876" s="1080"/>
      <c r="IS876" s="1080"/>
      <c r="IT876" s="1080"/>
      <c r="IU876" s="1080"/>
      <c r="IV876" s="1080"/>
      <c r="IW876" s="1080"/>
      <c r="IX876" s="1049"/>
      <c r="IY876" s="1049"/>
      <c r="IZ876" s="1049"/>
      <c r="JA876" s="1049"/>
      <c r="JB876" s="1049"/>
      <c r="JC876" s="1049"/>
      <c r="JD876" s="1041"/>
      <c r="JE876" s="1037"/>
      <c r="JF876" s="1037"/>
      <c r="JG876" s="1037"/>
      <c r="JH876" s="1037"/>
      <c r="JI876" s="1035"/>
      <c r="JJ876" s="1035"/>
      <c r="JK876" s="1035"/>
      <c r="JL876" s="1035"/>
      <c r="JM876" s="1035"/>
      <c r="JN876" s="1035"/>
      <c r="JO876" s="1035"/>
      <c r="JP876" s="1035"/>
      <c r="JQ876" s="1035"/>
      <c r="JR876" s="1035"/>
      <c r="JS876" s="1035"/>
      <c r="JT876" s="1035"/>
      <c r="JU876" s="1035"/>
      <c r="JV876" s="1035"/>
      <c r="JW876" s="1035"/>
      <c r="JX876" s="1035"/>
      <c r="JY876" s="1035"/>
      <c r="KP876" s="1117"/>
      <c r="LV876" s="967"/>
    </row>
    <row r="877" outlineLevel="1" spans="1:334">
      <c r="A877" s="1025" t="s">
        <v>62</v>
      </c>
      <c r="AX877" s="1059"/>
      <c r="BE877" s="1060"/>
      <c r="BN877" s="1059"/>
      <c r="BU877" s="1060"/>
      <c r="BV877" s="1059"/>
      <c r="CC877" s="1060"/>
      <c r="CD877" s="1059"/>
      <c r="CJ877" s="1061"/>
      <c r="CK877" s="1060"/>
      <c r="CL877" s="1059"/>
      <c r="CS877" s="1060"/>
      <c r="CT877" s="1059"/>
      <c r="CW877" s="1062"/>
      <c r="CX877" s="1062"/>
      <c r="DB877" s="1181"/>
      <c r="DC877" s="1181"/>
      <c r="DD877" s="1181"/>
      <c r="DE877" s="1194"/>
      <c r="DF877" s="1194"/>
      <c r="DG877" s="1181"/>
      <c r="DH877" s="1181"/>
      <c r="DI877" s="1182"/>
      <c r="DJ877" s="1181"/>
      <c r="DK877" s="1181"/>
      <c r="DL877" s="1181"/>
      <c r="DM877" s="1181"/>
      <c r="DN877" s="1181"/>
      <c r="DO877" s="1181"/>
      <c r="DP877" s="1181"/>
      <c r="DQ877" s="1182"/>
      <c r="DR877" s="1080"/>
      <c r="DS877" s="1080"/>
      <c r="DT877" s="1080"/>
      <c r="DU877" s="1080"/>
      <c r="DV877" s="1080"/>
      <c r="DW877" s="1080"/>
      <c r="DX877" s="1080"/>
      <c r="DY877" s="1081"/>
      <c r="DZ877" s="1080"/>
      <c r="EA877" s="1080"/>
      <c r="EB877" s="1080"/>
      <c r="EC877" s="1080"/>
      <c r="ED877" s="1080"/>
      <c r="EE877" s="1080"/>
      <c r="EF877" s="1080"/>
      <c r="EG877" s="1081"/>
      <c r="EH877" s="1080"/>
      <c r="EI877" s="1080"/>
      <c r="EJ877" s="1080"/>
      <c r="EK877" s="1080"/>
      <c r="EL877" s="1080"/>
      <c r="EM877" s="1080"/>
      <c r="EN877" s="1080"/>
      <c r="EO877" s="1081"/>
      <c r="EP877" s="1080"/>
      <c r="EQ877" s="1080"/>
      <c r="ER877" s="1080"/>
      <c r="ES877" s="1080"/>
      <c r="ET877" s="1080"/>
      <c r="EU877" s="1080"/>
      <c r="EV877" s="1080"/>
      <c r="EW877" s="1081"/>
      <c r="EX877" s="1080"/>
      <c r="EY877" s="1080"/>
      <c r="EZ877" s="1080"/>
      <c r="FA877" s="1080"/>
      <c r="FB877" s="1080"/>
      <c r="FC877" s="1080"/>
      <c r="FD877" s="1080"/>
      <c r="FE877" s="1081"/>
      <c r="FF877" s="1080"/>
      <c r="FG877" s="1080"/>
      <c r="FH877" s="1080"/>
      <c r="FI877" s="1080"/>
      <c r="FJ877" s="1080"/>
      <c r="FK877" s="1080"/>
      <c r="FL877" s="1080"/>
      <c r="FM877" s="1081"/>
      <c r="FN877" s="1080"/>
      <c r="FO877" s="1080"/>
      <c r="FP877" s="1080"/>
      <c r="FQ877" s="1080"/>
      <c r="FR877" s="1080"/>
      <c r="FS877" s="1080"/>
      <c r="FT877" s="1080"/>
      <c r="FU877" s="1080"/>
      <c r="FV877" s="1150"/>
      <c r="FW877" s="1080"/>
      <c r="FX877" s="1080"/>
      <c r="FY877" s="1080"/>
      <c r="FZ877" s="1080"/>
      <c r="GA877" s="1080"/>
      <c r="GB877" s="1080"/>
      <c r="GC877" s="1081"/>
      <c r="GD877" s="1080"/>
      <c r="GE877" s="1080"/>
      <c r="GF877" s="1080"/>
      <c r="GG877" s="1080"/>
      <c r="GH877" s="1080"/>
      <c r="GI877" s="1080"/>
      <c r="GJ877" s="1080"/>
      <c r="GK877" s="1081"/>
      <c r="GL877" s="1080"/>
      <c r="GM877" s="1080"/>
      <c r="GN877" s="1080"/>
      <c r="GO877" s="1080"/>
      <c r="GP877" s="1080"/>
      <c r="GQ877" s="1080"/>
      <c r="GR877" s="1080"/>
      <c r="GS877" s="1081"/>
      <c r="GT877" s="1080"/>
      <c r="GU877" s="1080"/>
      <c r="GV877" s="1080"/>
      <c r="GW877" s="1080"/>
      <c r="GX877" s="1080"/>
      <c r="GY877" s="1080"/>
      <c r="GZ877" s="1080"/>
      <c r="HA877" s="1081"/>
      <c r="HB877" s="1080"/>
      <c r="HC877" s="1080"/>
      <c r="HD877" s="1080"/>
      <c r="HE877" s="1080"/>
      <c r="HF877" s="1080"/>
      <c r="HG877" s="1080"/>
      <c r="HH877" s="1080"/>
      <c r="HI877" s="1081"/>
      <c r="HJ877" s="1080"/>
      <c r="HK877" s="1080"/>
      <c r="HL877" s="1080"/>
      <c r="HM877" s="1080"/>
      <c r="HN877" s="1080"/>
      <c r="HO877" s="1080"/>
      <c r="HP877" s="1080"/>
      <c r="HQ877" s="1081"/>
      <c r="HR877" s="1080"/>
      <c r="HS877" s="1080"/>
      <c r="HT877" s="1080"/>
      <c r="HU877" s="1080"/>
      <c r="HV877" s="1080"/>
      <c r="HW877" s="1080"/>
      <c r="HX877" s="1080"/>
      <c r="HY877" s="1080"/>
      <c r="HZ877" s="1080"/>
      <c r="IA877" s="1080"/>
      <c r="IB877" s="1080"/>
      <c r="IC877" s="1080"/>
      <c r="ID877" s="1080"/>
      <c r="IE877" s="1080"/>
      <c r="IF877" s="1080"/>
      <c r="IG877" s="1081"/>
      <c r="IH877" s="1080"/>
      <c r="II877" s="1080"/>
      <c r="IJ877" s="1080"/>
      <c r="IK877" s="1080"/>
      <c r="IL877" s="1080"/>
      <c r="IM877" s="1080"/>
      <c r="IN877" s="1080"/>
      <c r="IO877" s="1081"/>
      <c r="IP877" s="1080"/>
      <c r="IQ877" s="1080"/>
      <c r="IR877" s="1080"/>
      <c r="IS877" s="1080"/>
      <c r="IT877" s="1080"/>
      <c r="IU877" s="1080"/>
      <c r="IV877" s="1080"/>
      <c r="IW877" s="1080"/>
      <c r="IX877" s="1049"/>
      <c r="IY877" s="1049"/>
      <c r="IZ877" s="1049"/>
      <c r="JA877" s="1049"/>
      <c r="JB877" s="1049"/>
      <c r="JC877" s="1049"/>
      <c r="JD877" s="1041"/>
      <c r="JE877" s="1037"/>
      <c r="JF877" s="1037"/>
      <c r="JG877" s="1037"/>
      <c r="JH877" s="1037"/>
      <c r="JI877" s="1035"/>
      <c r="JJ877" s="1035"/>
      <c r="JK877" s="1035"/>
      <c r="JL877" s="1035"/>
      <c r="JM877" s="1035"/>
      <c r="JN877" s="1035"/>
      <c r="JO877" s="1035"/>
      <c r="JP877" s="1035"/>
      <c r="JQ877" s="1035"/>
      <c r="JR877" s="1035"/>
      <c r="JS877" s="1035"/>
      <c r="JT877" s="1035"/>
      <c r="JU877" s="1035"/>
      <c r="JV877" s="1035"/>
      <c r="JW877" s="1035"/>
      <c r="JX877" s="1035"/>
      <c r="JY877" s="1035"/>
      <c r="KP877" s="1117"/>
      <c r="LV877" s="967"/>
    </row>
    <row r="878" outlineLevel="1" spans="1:334">
      <c r="A878" s="1152" t="s">
        <v>112</v>
      </c>
      <c r="AX878" s="1059"/>
      <c r="BE878" s="1060"/>
      <c r="BN878" s="1059"/>
      <c r="BU878" s="1060"/>
      <c r="BV878" s="1059"/>
      <c r="CC878" s="1060"/>
      <c r="CD878" s="1059"/>
      <c r="CJ878" s="1061"/>
      <c r="CK878" s="1060"/>
      <c r="CL878" s="1059"/>
      <c r="CS878" s="1060"/>
      <c r="CT878" s="1059"/>
      <c r="CW878" s="1062"/>
      <c r="CX878" s="1062"/>
      <c r="DB878" s="1181"/>
      <c r="DC878" s="1181"/>
      <c r="DD878" s="1181"/>
      <c r="DE878" s="1194"/>
      <c r="DF878" s="1194"/>
      <c r="DG878" s="1181"/>
      <c r="DH878" s="1181"/>
      <c r="DI878" s="1182"/>
      <c r="DJ878" s="1181"/>
      <c r="DK878" s="1181"/>
      <c r="DL878" s="1181"/>
      <c r="DM878" s="1181"/>
      <c r="DN878" s="1181"/>
      <c r="DO878" s="1181"/>
      <c r="DP878" s="1181"/>
      <c r="DQ878" s="1182"/>
      <c r="DR878" s="1071">
        <v>89</v>
      </c>
      <c r="DS878" s="1071">
        <f>+DT878-DR878</f>
        <v>103</v>
      </c>
      <c r="DT878" s="1071">
        <v>192</v>
      </c>
      <c r="DU878" s="1071">
        <f>+DV878-DT878</f>
        <v>132</v>
      </c>
      <c r="DV878" s="1071">
        <v>324</v>
      </c>
      <c r="DW878" s="1071">
        <f>DX878-DU878</f>
        <v>102</v>
      </c>
      <c r="DX878" s="1071">
        <f>DY878-DT878</f>
        <v>234</v>
      </c>
      <c r="DY878" s="1072">
        <v>426</v>
      </c>
      <c r="DZ878" s="1071">
        <v>100</v>
      </c>
      <c r="EA878" s="1071">
        <f>+EB878-DZ878</f>
        <v>115</v>
      </c>
      <c r="EB878" s="1071">
        <v>215</v>
      </c>
      <c r="EC878" s="1071">
        <f>+ED878-EB878</f>
        <v>141</v>
      </c>
      <c r="ED878" s="1071">
        <v>356</v>
      </c>
      <c r="EE878" s="1071">
        <f>EF878-EC878</f>
        <v>120</v>
      </c>
      <c r="EF878" s="1071">
        <f>EG878-EB878</f>
        <v>261</v>
      </c>
      <c r="EG878" s="1072">
        <v>476</v>
      </c>
      <c r="EH878" s="1071">
        <v>110</v>
      </c>
      <c r="EI878" s="1071">
        <f>+EJ878-EH878</f>
        <v>126</v>
      </c>
      <c r="EJ878" s="1071">
        <v>236</v>
      </c>
      <c r="EK878" s="1071">
        <f>+EL878-EJ878</f>
        <v>148</v>
      </c>
      <c r="EL878" s="1071">
        <v>384</v>
      </c>
      <c r="EM878" s="1071">
        <f>EN878-EK878</f>
        <v>123</v>
      </c>
      <c r="EN878" s="1071">
        <f>EO878-EJ878</f>
        <v>271</v>
      </c>
      <c r="EO878" s="1072">
        <v>507</v>
      </c>
      <c r="EP878" s="1071"/>
      <c r="EQ878" s="1071"/>
      <c r="ER878" s="1071"/>
      <c r="ES878" s="1071"/>
      <c r="ET878" s="1071"/>
      <c r="EU878" s="1071"/>
      <c r="EV878" s="1071"/>
      <c r="EW878" s="1072"/>
      <c r="EX878" s="1071"/>
      <c r="EY878" s="1071"/>
      <c r="EZ878" s="1071"/>
      <c r="FA878" s="1071"/>
      <c r="FB878" s="1071"/>
      <c r="FC878" s="1071"/>
      <c r="FD878" s="1071"/>
      <c r="FE878" s="1072"/>
      <c r="FF878" s="1071"/>
      <c r="FG878" s="1071"/>
      <c r="FH878" s="1071"/>
      <c r="FI878" s="1071"/>
      <c r="FJ878" s="1071"/>
      <c r="FK878" s="1071"/>
      <c r="FL878" s="1071"/>
      <c r="FM878" s="1072"/>
      <c r="FN878" s="1071"/>
      <c r="FO878" s="1071"/>
      <c r="FP878" s="1071"/>
      <c r="FQ878" s="1071"/>
      <c r="FR878" s="1071"/>
      <c r="FS878" s="1071"/>
      <c r="FT878" s="1071"/>
      <c r="FU878" s="1071"/>
      <c r="FV878" s="1177"/>
      <c r="FW878" s="1071"/>
      <c r="FX878" s="1071"/>
      <c r="FY878" s="1071"/>
      <c r="FZ878" s="1071"/>
      <c r="GA878" s="1071"/>
      <c r="GB878" s="1071"/>
      <c r="GC878" s="1072"/>
      <c r="GD878" s="1071"/>
      <c r="GE878" s="1071"/>
      <c r="GF878" s="1071"/>
      <c r="GG878" s="1071"/>
      <c r="GH878" s="1071"/>
      <c r="GI878" s="1071"/>
      <c r="GJ878" s="1071"/>
      <c r="GK878" s="1072"/>
      <c r="GL878" s="1071"/>
      <c r="GM878" s="1071"/>
      <c r="GN878" s="1071"/>
      <c r="GO878" s="1071"/>
      <c r="GP878" s="1071"/>
      <c r="GQ878" s="1071"/>
      <c r="GR878" s="1071"/>
      <c r="GS878" s="1072"/>
      <c r="GT878" s="1071"/>
      <c r="GU878" s="1071"/>
      <c r="GV878" s="1071"/>
      <c r="GW878" s="1071"/>
      <c r="GX878" s="1071"/>
      <c r="GY878" s="1071"/>
      <c r="GZ878" s="1071"/>
      <c r="HA878" s="1072"/>
      <c r="HB878" s="1071"/>
      <c r="HC878" s="1071"/>
      <c r="HD878" s="1071"/>
      <c r="HE878" s="1071"/>
      <c r="HF878" s="1071"/>
      <c r="HG878" s="1071"/>
      <c r="HH878" s="1071"/>
      <c r="HI878" s="1072"/>
      <c r="HJ878" s="1071"/>
      <c r="HK878" s="1071"/>
      <c r="HL878" s="1071"/>
      <c r="HM878" s="1071"/>
      <c r="HN878" s="1071"/>
      <c r="HO878" s="1071"/>
      <c r="HP878" s="1071"/>
      <c r="HQ878" s="1072"/>
      <c r="HR878" s="1071"/>
      <c r="HS878" s="1071"/>
      <c r="HT878" s="1071"/>
      <c r="HU878" s="1071"/>
      <c r="HV878" s="1071"/>
      <c r="HW878" s="1071"/>
      <c r="HX878" s="1071"/>
      <c r="HY878" s="1071"/>
      <c r="HZ878" s="1071"/>
      <c r="IA878" s="1071"/>
      <c r="IB878" s="1071"/>
      <c r="IC878" s="1071"/>
      <c r="ID878" s="1071"/>
      <c r="IE878" s="1071"/>
      <c r="IF878" s="1071"/>
      <c r="IG878" s="1072"/>
      <c r="IH878" s="1071"/>
      <c r="II878" s="1071"/>
      <c r="IJ878" s="1071"/>
      <c r="IK878" s="1071"/>
      <c r="IL878" s="1071"/>
      <c r="IM878" s="1071"/>
      <c r="IN878" s="1071"/>
      <c r="IO878" s="1072"/>
      <c r="IP878" s="1071"/>
      <c r="IQ878" s="1071"/>
      <c r="IR878" s="1071"/>
      <c r="IS878" s="1071"/>
      <c r="IT878" s="1071"/>
      <c r="IU878" s="1071"/>
      <c r="IV878" s="1071"/>
      <c r="IW878" s="1071"/>
      <c r="IX878" s="1049"/>
      <c r="IY878" s="1049"/>
      <c r="IZ878" s="1049"/>
      <c r="JA878" s="1049"/>
      <c r="JB878" s="1049"/>
      <c r="JC878" s="1049"/>
      <c r="JD878" s="1041"/>
      <c r="JE878" s="1037"/>
      <c r="JF878" s="1037"/>
      <c r="JG878" s="1037"/>
      <c r="JH878" s="1037"/>
      <c r="JI878" s="1035"/>
      <c r="JJ878" s="1035"/>
      <c r="JK878" s="1035"/>
      <c r="JL878" s="1035"/>
      <c r="JM878" s="1035"/>
      <c r="JN878" s="1035"/>
      <c r="JO878" s="1035"/>
      <c r="JP878" s="1035"/>
      <c r="JQ878" s="1035"/>
      <c r="JR878" s="1035"/>
      <c r="JS878" s="1035"/>
      <c r="JT878" s="1035"/>
      <c r="JU878" s="1035"/>
      <c r="JV878" s="1035"/>
      <c r="JW878" s="1035"/>
      <c r="JX878" s="1035"/>
      <c r="JY878" s="1035"/>
      <c r="KP878" s="1117"/>
      <c r="LV878" s="967"/>
    </row>
    <row r="879" outlineLevel="1" spans="1:334">
      <c r="A879" s="967" t="s">
        <v>61</v>
      </c>
      <c r="AX879" s="1059"/>
      <c r="BE879" s="1060"/>
      <c r="BN879" s="1059"/>
      <c r="BU879" s="1060"/>
      <c r="BV879" s="1059"/>
      <c r="CC879" s="1060"/>
      <c r="CD879" s="1059"/>
      <c r="CJ879" s="1061"/>
      <c r="CK879" s="1060"/>
      <c r="CL879" s="1059"/>
      <c r="CS879" s="1060"/>
      <c r="CT879" s="1059"/>
      <c r="CW879" s="1062"/>
      <c r="CX879" s="1062"/>
      <c r="DB879" s="1181"/>
      <c r="DC879" s="1181"/>
      <c r="DD879" s="1181"/>
      <c r="DE879" s="1194"/>
      <c r="DF879" s="1194"/>
      <c r="DG879" s="1181"/>
      <c r="DH879" s="1181"/>
      <c r="DI879" s="1182"/>
      <c r="DJ879" s="1181"/>
      <c r="DK879" s="1181"/>
      <c r="DL879" s="1181"/>
      <c r="DM879" s="1181"/>
      <c r="DN879" s="1181"/>
      <c r="DO879" s="1181"/>
      <c r="DP879" s="1181"/>
      <c r="DQ879" s="1182"/>
      <c r="DR879" s="1080"/>
      <c r="DS879" s="1080"/>
      <c r="DT879" s="1080"/>
      <c r="DU879" s="1080"/>
      <c r="DV879" s="1080"/>
      <c r="DW879" s="1080"/>
      <c r="DX879" s="1080"/>
      <c r="DY879" s="1081"/>
      <c r="DZ879" s="1080">
        <f>+DZ878/DR878-1</f>
        <v>0.123595505617978</v>
      </c>
      <c r="EA879" s="1080">
        <f t="shared" ref="EA879:EG879" si="4676">+EA878/DS878-1</f>
        <v>0.116504854368932</v>
      </c>
      <c r="EB879" s="1080">
        <f t="shared" si="4676"/>
        <v>0.119791666666667</v>
      </c>
      <c r="EC879" s="1080">
        <f t="shared" si="4676"/>
        <v>0.0681818181818181</v>
      </c>
      <c r="ED879" s="1080">
        <f t="shared" si="4676"/>
        <v>0.0987654320987654</v>
      </c>
      <c r="EE879" s="1080">
        <f t="shared" si="4676"/>
        <v>0.176470588235294</v>
      </c>
      <c r="EF879" s="1080">
        <f t="shared" si="4676"/>
        <v>0.115384615384615</v>
      </c>
      <c r="EG879" s="1081">
        <f t="shared" si="4676"/>
        <v>0.117370892018779</v>
      </c>
      <c r="EH879" s="1080">
        <v>0.1</v>
      </c>
      <c r="EI879" s="1080">
        <f>+EI878/EA878-1</f>
        <v>0.0956521739130434</v>
      </c>
      <c r="EJ879" s="1080">
        <f>+EJ878/EB878-1</f>
        <v>0.0976744186046512</v>
      </c>
      <c r="EK879" s="1080">
        <f>+EK878/EC878-1</f>
        <v>0.0496453900709219</v>
      </c>
      <c r="EL879" s="1080">
        <f>+EL878/ED878-1</f>
        <v>0.0786516853932584</v>
      </c>
      <c r="EM879" s="1080">
        <f>EM878/EE878-1</f>
        <v>0.0249999999999999</v>
      </c>
      <c r="EN879" s="1080">
        <f>EN878/EF878-1</f>
        <v>0.0383141762452108</v>
      </c>
      <c r="EO879" s="1081">
        <f>EO878/EG878-1</f>
        <v>0.0651260504201681</v>
      </c>
      <c r="EP879" s="1080"/>
      <c r="EQ879" s="1080"/>
      <c r="ER879" s="1080"/>
      <c r="ES879" s="1080"/>
      <c r="ET879" s="1080"/>
      <c r="EU879" s="1080"/>
      <c r="EV879" s="1080"/>
      <c r="EW879" s="1081"/>
      <c r="EX879" s="1080"/>
      <c r="EY879" s="1080"/>
      <c r="EZ879" s="1080"/>
      <c r="FA879" s="1080"/>
      <c r="FB879" s="1080"/>
      <c r="FC879" s="1080"/>
      <c r="FD879" s="1080"/>
      <c r="FE879" s="1081"/>
      <c r="FF879" s="1080"/>
      <c r="FG879" s="1080"/>
      <c r="FH879" s="1080"/>
      <c r="FI879" s="1080"/>
      <c r="FJ879" s="1080"/>
      <c r="FK879" s="1080"/>
      <c r="FL879" s="1080"/>
      <c r="FM879" s="1081"/>
      <c r="FN879" s="1080"/>
      <c r="FO879" s="1080"/>
      <c r="FP879" s="1080"/>
      <c r="FQ879" s="1080"/>
      <c r="FR879" s="1080"/>
      <c r="FS879" s="1080"/>
      <c r="FT879" s="1080"/>
      <c r="FU879" s="1080"/>
      <c r="FV879" s="1150"/>
      <c r="FW879" s="1080"/>
      <c r="FX879" s="1080"/>
      <c r="FY879" s="1080"/>
      <c r="FZ879" s="1080"/>
      <c r="GA879" s="1080"/>
      <c r="GB879" s="1080"/>
      <c r="GC879" s="1081"/>
      <c r="GD879" s="1080"/>
      <c r="GE879" s="1080"/>
      <c r="GF879" s="1080"/>
      <c r="GG879" s="1080"/>
      <c r="GH879" s="1080"/>
      <c r="GI879" s="1080"/>
      <c r="GJ879" s="1080"/>
      <c r="GK879" s="1081"/>
      <c r="GL879" s="1080"/>
      <c r="GM879" s="1080"/>
      <c r="GN879" s="1080"/>
      <c r="GO879" s="1080"/>
      <c r="GP879" s="1080"/>
      <c r="GQ879" s="1080"/>
      <c r="GR879" s="1080"/>
      <c r="GS879" s="1081"/>
      <c r="GT879" s="1080"/>
      <c r="GU879" s="1080"/>
      <c r="GV879" s="1080"/>
      <c r="GW879" s="1080"/>
      <c r="GX879" s="1080"/>
      <c r="GY879" s="1080"/>
      <c r="GZ879" s="1080"/>
      <c r="HA879" s="1081"/>
      <c r="HB879" s="1080"/>
      <c r="HC879" s="1080"/>
      <c r="HD879" s="1080"/>
      <c r="HE879" s="1080"/>
      <c r="HF879" s="1080"/>
      <c r="HG879" s="1080"/>
      <c r="HH879" s="1080"/>
      <c r="HI879" s="1081"/>
      <c r="HJ879" s="1080"/>
      <c r="HK879" s="1080"/>
      <c r="HL879" s="1080"/>
      <c r="HM879" s="1080"/>
      <c r="HN879" s="1080"/>
      <c r="HO879" s="1080"/>
      <c r="HP879" s="1080"/>
      <c r="HQ879" s="1081"/>
      <c r="HR879" s="1080"/>
      <c r="HS879" s="1080"/>
      <c r="HT879" s="1080"/>
      <c r="HU879" s="1080"/>
      <c r="HV879" s="1080"/>
      <c r="HW879" s="1080"/>
      <c r="HX879" s="1080"/>
      <c r="HY879" s="1080"/>
      <c r="HZ879" s="1080"/>
      <c r="IA879" s="1080"/>
      <c r="IB879" s="1080"/>
      <c r="IC879" s="1080"/>
      <c r="ID879" s="1080"/>
      <c r="IE879" s="1080"/>
      <c r="IF879" s="1080"/>
      <c r="IG879" s="1081"/>
      <c r="IH879" s="1080"/>
      <c r="II879" s="1080"/>
      <c r="IJ879" s="1080"/>
      <c r="IK879" s="1080"/>
      <c r="IL879" s="1080"/>
      <c r="IM879" s="1080"/>
      <c r="IN879" s="1080"/>
      <c r="IO879" s="1081"/>
      <c r="IP879" s="1080"/>
      <c r="IQ879" s="1080"/>
      <c r="IR879" s="1080"/>
      <c r="IS879" s="1080"/>
      <c r="IT879" s="1080"/>
      <c r="IU879" s="1080"/>
      <c r="IV879" s="1080"/>
      <c r="IW879" s="1080"/>
      <c r="IX879" s="1049"/>
      <c r="IY879" s="1049"/>
      <c r="IZ879" s="1049"/>
      <c r="JA879" s="1049"/>
      <c r="JB879" s="1049"/>
      <c r="JC879" s="1049"/>
      <c r="JD879" s="1041"/>
      <c r="JE879" s="1037"/>
      <c r="JF879" s="1037"/>
      <c r="JG879" s="1037"/>
      <c r="JH879" s="1037"/>
      <c r="JI879" s="1035"/>
      <c r="JJ879" s="1035"/>
      <c r="JK879" s="1035"/>
      <c r="JL879" s="1035"/>
      <c r="JM879" s="1035"/>
      <c r="JN879" s="1035"/>
      <c r="JO879" s="1035"/>
      <c r="JP879" s="1035"/>
      <c r="JQ879" s="1035"/>
      <c r="JR879" s="1035"/>
      <c r="JS879" s="1035"/>
      <c r="JT879" s="1035"/>
      <c r="JU879" s="1035"/>
      <c r="JV879" s="1035"/>
      <c r="JW879" s="1035"/>
      <c r="JX879" s="1035"/>
      <c r="JY879" s="1035"/>
      <c r="KP879" s="1117"/>
      <c r="LV879" s="967"/>
    </row>
    <row r="880" outlineLevel="1" spans="1:334">
      <c r="A880" s="967" t="s">
        <v>65</v>
      </c>
      <c r="AX880" s="1059"/>
      <c r="BE880" s="1060"/>
      <c r="BN880" s="1059"/>
      <c r="BU880" s="1060"/>
      <c r="BV880" s="1059"/>
      <c r="CC880" s="1060"/>
      <c r="CD880" s="1059"/>
      <c r="CJ880" s="1061"/>
      <c r="CK880" s="1060"/>
      <c r="CL880" s="1059"/>
      <c r="CS880" s="1060"/>
      <c r="CT880" s="1059"/>
      <c r="CW880" s="1062"/>
      <c r="CX880" s="1062"/>
      <c r="DB880" s="1181"/>
      <c r="DC880" s="1181"/>
      <c r="DD880" s="1181"/>
      <c r="DE880" s="1194"/>
      <c r="DF880" s="1194"/>
      <c r="DG880" s="1181"/>
      <c r="DH880" s="1181"/>
      <c r="DI880" s="1182"/>
      <c r="DJ880" s="1181"/>
      <c r="DK880" s="1181"/>
      <c r="DL880" s="1181"/>
      <c r="DM880" s="1181"/>
      <c r="DN880" s="1181"/>
      <c r="DO880" s="1181"/>
      <c r="DP880" s="1181"/>
      <c r="DQ880" s="1182"/>
      <c r="DR880" s="1080"/>
      <c r="DS880" s="1080"/>
      <c r="DT880" s="1080"/>
      <c r="DU880" s="1080"/>
      <c r="DV880" s="1080"/>
      <c r="DW880" s="1080"/>
      <c r="DX880" s="1080"/>
      <c r="DY880" s="1081"/>
      <c r="DZ880" s="1080">
        <v>0.12</v>
      </c>
      <c r="EA880" s="1080"/>
      <c r="EB880" s="1080">
        <v>0.11</v>
      </c>
      <c r="EC880" s="1080"/>
      <c r="ED880" s="1080">
        <v>0.09</v>
      </c>
      <c r="EE880" s="1080"/>
      <c r="EF880" s="1080"/>
      <c r="EG880" s="1081">
        <v>0.11</v>
      </c>
      <c r="EH880" s="1080">
        <v>0.1</v>
      </c>
      <c r="EI880" s="1080"/>
      <c r="EJ880" s="1080">
        <v>0.1</v>
      </c>
      <c r="EK880" s="1080"/>
      <c r="EL880" s="1080">
        <v>0.07</v>
      </c>
      <c r="EM880" s="1080"/>
      <c r="EN880" s="1080"/>
      <c r="EO880" s="1081">
        <v>0.06</v>
      </c>
      <c r="EP880" s="1080"/>
      <c r="EQ880" s="1080"/>
      <c r="ER880" s="1080"/>
      <c r="ES880" s="1080"/>
      <c r="ET880" s="1080"/>
      <c r="EU880" s="1080"/>
      <c r="EV880" s="1080"/>
      <c r="EW880" s="1081"/>
      <c r="EX880" s="1080"/>
      <c r="EY880" s="1080"/>
      <c r="EZ880" s="1080"/>
      <c r="FA880" s="1080"/>
      <c r="FB880" s="1080"/>
      <c r="FC880" s="1080"/>
      <c r="FD880" s="1080"/>
      <c r="FE880" s="1081"/>
      <c r="FF880" s="1080"/>
      <c r="FG880" s="1080"/>
      <c r="FH880" s="1080"/>
      <c r="FI880" s="1080"/>
      <c r="FJ880" s="1080"/>
      <c r="FK880" s="1080"/>
      <c r="FL880" s="1080"/>
      <c r="FM880" s="1081"/>
      <c r="FN880" s="1080"/>
      <c r="FO880" s="1080"/>
      <c r="FP880" s="1080"/>
      <c r="FQ880" s="1080"/>
      <c r="FR880" s="1080"/>
      <c r="FS880" s="1080"/>
      <c r="FT880" s="1080"/>
      <c r="FU880" s="1080"/>
      <c r="FV880" s="1150"/>
      <c r="FW880" s="1080"/>
      <c r="FX880" s="1080"/>
      <c r="FY880" s="1080"/>
      <c r="FZ880" s="1080"/>
      <c r="GA880" s="1080"/>
      <c r="GB880" s="1080"/>
      <c r="GC880" s="1081"/>
      <c r="GD880" s="1080"/>
      <c r="GE880" s="1080"/>
      <c r="GF880" s="1080"/>
      <c r="GG880" s="1080"/>
      <c r="GH880" s="1080"/>
      <c r="GI880" s="1080"/>
      <c r="GJ880" s="1080"/>
      <c r="GK880" s="1081"/>
      <c r="GL880" s="1080"/>
      <c r="GM880" s="1080"/>
      <c r="GN880" s="1080"/>
      <c r="GO880" s="1080"/>
      <c r="GP880" s="1080"/>
      <c r="GQ880" s="1080"/>
      <c r="GR880" s="1080"/>
      <c r="GS880" s="1081"/>
      <c r="GT880" s="1080"/>
      <c r="GU880" s="1080"/>
      <c r="GV880" s="1080"/>
      <c r="GW880" s="1080"/>
      <c r="GX880" s="1080"/>
      <c r="GY880" s="1080"/>
      <c r="GZ880" s="1080"/>
      <c r="HA880" s="1081"/>
      <c r="HB880" s="1080"/>
      <c r="HC880" s="1080"/>
      <c r="HD880" s="1080"/>
      <c r="HE880" s="1080"/>
      <c r="HF880" s="1080"/>
      <c r="HG880" s="1080"/>
      <c r="HH880" s="1080"/>
      <c r="HI880" s="1081"/>
      <c r="HJ880" s="1080"/>
      <c r="HK880" s="1080"/>
      <c r="HL880" s="1080"/>
      <c r="HM880" s="1080"/>
      <c r="HN880" s="1080"/>
      <c r="HO880" s="1080"/>
      <c r="HP880" s="1080"/>
      <c r="HQ880" s="1081"/>
      <c r="HR880" s="1080"/>
      <c r="HS880" s="1080"/>
      <c r="HT880" s="1080"/>
      <c r="HU880" s="1080"/>
      <c r="HV880" s="1080"/>
      <c r="HW880" s="1080"/>
      <c r="HX880" s="1080"/>
      <c r="HY880" s="1080"/>
      <c r="HZ880" s="1080"/>
      <c r="IA880" s="1080"/>
      <c r="IB880" s="1080"/>
      <c r="IC880" s="1080"/>
      <c r="ID880" s="1080"/>
      <c r="IE880" s="1080"/>
      <c r="IF880" s="1080"/>
      <c r="IG880" s="1081"/>
      <c r="IH880" s="1080"/>
      <c r="II880" s="1080"/>
      <c r="IJ880" s="1080"/>
      <c r="IK880" s="1080"/>
      <c r="IL880" s="1080"/>
      <c r="IM880" s="1080"/>
      <c r="IN880" s="1080"/>
      <c r="IO880" s="1081"/>
      <c r="IP880" s="1080"/>
      <c r="IQ880" s="1080"/>
      <c r="IR880" s="1080"/>
      <c r="IS880" s="1080"/>
      <c r="IT880" s="1080"/>
      <c r="IU880" s="1080"/>
      <c r="IV880" s="1080"/>
      <c r="IW880" s="1080"/>
      <c r="IX880" s="1049"/>
      <c r="IY880" s="1049"/>
      <c r="IZ880" s="1049"/>
      <c r="JA880" s="1049"/>
      <c r="JB880" s="1049"/>
      <c r="JC880" s="1049"/>
      <c r="JD880" s="1041"/>
      <c r="JE880" s="1037"/>
      <c r="JF880" s="1037"/>
      <c r="JG880" s="1037"/>
      <c r="JH880" s="1037"/>
      <c r="JI880" s="1035"/>
      <c r="JJ880" s="1035"/>
      <c r="JK880" s="1035"/>
      <c r="JL880" s="1035"/>
      <c r="JM880" s="1035"/>
      <c r="JN880" s="1035"/>
      <c r="JO880" s="1035"/>
      <c r="JP880" s="1035"/>
      <c r="JQ880" s="1035"/>
      <c r="JR880" s="1035"/>
      <c r="JS880" s="1035"/>
      <c r="JT880" s="1035"/>
      <c r="JU880" s="1035"/>
      <c r="JV880" s="1035"/>
      <c r="JW880" s="1035"/>
      <c r="JX880" s="1035"/>
      <c r="JY880" s="1035"/>
      <c r="KP880" s="1117"/>
      <c r="LV880" s="967"/>
    </row>
    <row r="881" outlineLevel="1" spans="1:334">
      <c r="A881" s="1180" t="s">
        <v>524</v>
      </c>
      <c r="AX881" s="1059"/>
      <c r="BE881" s="1060"/>
      <c r="BN881" s="1059"/>
      <c r="BU881" s="1060"/>
      <c r="BV881" s="1059"/>
      <c r="CC881" s="1060"/>
      <c r="CD881" s="1059"/>
      <c r="CJ881" s="1061"/>
      <c r="CK881" s="1060"/>
      <c r="CL881" s="1059"/>
      <c r="CS881" s="1060"/>
      <c r="CT881" s="1059"/>
      <c r="CW881" s="1062"/>
      <c r="CX881" s="1062"/>
      <c r="DB881" s="1181"/>
      <c r="DC881" s="1181"/>
      <c r="DD881" s="1181"/>
      <c r="DE881" s="1194"/>
      <c r="DF881" s="1194"/>
      <c r="DG881" s="1181"/>
      <c r="DH881" s="1181"/>
      <c r="DI881" s="1182"/>
      <c r="DJ881" s="1181"/>
      <c r="DK881" s="1181"/>
      <c r="DL881" s="1181"/>
      <c r="DM881" s="1181"/>
      <c r="DN881" s="1181"/>
      <c r="DO881" s="1181"/>
      <c r="DP881" s="1181"/>
      <c r="DQ881" s="1182"/>
      <c r="DR881" s="1071">
        <v>155</v>
      </c>
      <c r="DS881" s="1071">
        <f>+DT881-DR881</f>
        <v>222</v>
      </c>
      <c r="DT881" s="1071">
        <v>377</v>
      </c>
      <c r="DU881" s="1071">
        <f>+DV881-DT881</f>
        <v>228</v>
      </c>
      <c r="DV881" s="1071">
        <v>605</v>
      </c>
      <c r="DW881" s="1071">
        <f>DX881-DU881</f>
        <v>241</v>
      </c>
      <c r="DX881" s="1071">
        <f>DY881-DT881</f>
        <v>469</v>
      </c>
      <c r="DY881" s="1072">
        <v>846</v>
      </c>
      <c r="DZ881" s="1071">
        <v>218</v>
      </c>
      <c r="EA881" s="1071">
        <f>+EB881-DZ881</f>
        <v>277</v>
      </c>
      <c r="EB881" s="1071">
        <v>495</v>
      </c>
      <c r="EC881" s="1071">
        <f>+ED881-EB881</f>
        <v>273</v>
      </c>
      <c r="ED881" s="1071">
        <v>768</v>
      </c>
      <c r="EE881" s="1071">
        <f>EF881-EC881</f>
        <v>287</v>
      </c>
      <c r="EF881" s="1071">
        <f>EG881-EB881</f>
        <v>560</v>
      </c>
      <c r="EG881" s="1072">
        <v>1055</v>
      </c>
      <c r="EH881" s="1071">
        <v>259</v>
      </c>
      <c r="EI881" s="1071">
        <f>+EJ881-EH881</f>
        <v>368</v>
      </c>
      <c r="EJ881" s="1071">
        <v>627</v>
      </c>
      <c r="EK881" s="1071">
        <f>+EL881-EJ881</f>
        <v>376</v>
      </c>
      <c r="EL881" s="1071">
        <v>1003</v>
      </c>
      <c r="EM881" s="1071">
        <f>EN881-EK881</f>
        <v>343</v>
      </c>
      <c r="EN881" s="1071">
        <f>EO881-EJ881</f>
        <v>719</v>
      </c>
      <c r="EO881" s="1072">
        <v>1346</v>
      </c>
      <c r="EP881" s="1071"/>
      <c r="EQ881" s="1071"/>
      <c r="ER881" s="1071"/>
      <c r="ES881" s="1071"/>
      <c r="ET881" s="1071"/>
      <c r="EU881" s="1071"/>
      <c r="EV881" s="1071"/>
      <c r="EW881" s="1072"/>
      <c r="EX881" s="1071"/>
      <c r="EY881" s="1071"/>
      <c r="EZ881" s="1071"/>
      <c r="FA881" s="1071"/>
      <c r="FB881" s="1071"/>
      <c r="FC881" s="1071"/>
      <c r="FD881" s="1071"/>
      <c r="FE881" s="1072"/>
      <c r="FF881" s="1071"/>
      <c r="FG881" s="1071"/>
      <c r="FH881" s="1071"/>
      <c r="FI881" s="1071"/>
      <c r="FJ881" s="1071"/>
      <c r="FK881" s="1071"/>
      <c r="FL881" s="1071"/>
      <c r="FM881" s="1072"/>
      <c r="FN881" s="1071"/>
      <c r="FO881" s="1071"/>
      <c r="FP881" s="1071"/>
      <c r="FQ881" s="1071"/>
      <c r="FR881" s="1071"/>
      <c r="FS881" s="1071"/>
      <c r="FT881" s="1071"/>
      <c r="FU881" s="1071"/>
      <c r="FV881" s="1177"/>
      <c r="FW881" s="1071"/>
      <c r="FX881" s="1071"/>
      <c r="FY881" s="1071"/>
      <c r="FZ881" s="1071"/>
      <c r="GA881" s="1071"/>
      <c r="GB881" s="1071"/>
      <c r="GC881" s="1072"/>
      <c r="GD881" s="1071"/>
      <c r="GE881" s="1071"/>
      <c r="GF881" s="1071"/>
      <c r="GG881" s="1071"/>
      <c r="GH881" s="1071"/>
      <c r="GI881" s="1071"/>
      <c r="GJ881" s="1071"/>
      <c r="GK881" s="1072"/>
      <c r="GL881" s="1071"/>
      <c r="GM881" s="1071"/>
      <c r="GN881" s="1071"/>
      <c r="GO881" s="1071"/>
      <c r="GP881" s="1071"/>
      <c r="GQ881" s="1071"/>
      <c r="GR881" s="1071"/>
      <c r="GS881" s="1072"/>
      <c r="GT881" s="1071"/>
      <c r="GU881" s="1071"/>
      <c r="GV881" s="1071"/>
      <c r="GW881" s="1071"/>
      <c r="GX881" s="1071"/>
      <c r="GY881" s="1071"/>
      <c r="GZ881" s="1071"/>
      <c r="HA881" s="1072"/>
      <c r="HB881" s="1071"/>
      <c r="HC881" s="1071"/>
      <c r="HD881" s="1071"/>
      <c r="HE881" s="1071"/>
      <c r="HF881" s="1071"/>
      <c r="HG881" s="1071"/>
      <c r="HH881" s="1071"/>
      <c r="HI881" s="1072"/>
      <c r="HJ881" s="1071"/>
      <c r="HK881" s="1071"/>
      <c r="HL881" s="1071"/>
      <c r="HM881" s="1071"/>
      <c r="HN881" s="1071"/>
      <c r="HO881" s="1071"/>
      <c r="HP881" s="1071"/>
      <c r="HQ881" s="1072"/>
      <c r="HR881" s="1071"/>
      <c r="HS881" s="1071"/>
      <c r="HT881" s="1071"/>
      <c r="HU881" s="1071"/>
      <c r="HV881" s="1071"/>
      <c r="HW881" s="1071"/>
      <c r="HX881" s="1071"/>
      <c r="HY881" s="1071"/>
      <c r="HZ881" s="1071"/>
      <c r="IA881" s="1071"/>
      <c r="IB881" s="1071"/>
      <c r="IC881" s="1071"/>
      <c r="ID881" s="1071"/>
      <c r="IE881" s="1071"/>
      <c r="IF881" s="1071"/>
      <c r="IG881" s="1072"/>
      <c r="IH881" s="1071"/>
      <c r="II881" s="1071"/>
      <c r="IJ881" s="1071"/>
      <c r="IK881" s="1071"/>
      <c r="IL881" s="1071"/>
      <c r="IM881" s="1071"/>
      <c r="IN881" s="1071"/>
      <c r="IO881" s="1072"/>
      <c r="IP881" s="1071"/>
      <c r="IQ881" s="1071"/>
      <c r="IR881" s="1071"/>
      <c r="IS881" s="1071"/>
      <c r="IT881" s="1071"/>
      <c r="IU881" s="1071"/>
      <c r="IV881" s="1071"/>
      <c r="IW881" s="1071"/>
      <c r="IX881" s="1049"/>
      <c r="IY881" s="1049"/>
      <c r="IZ881" s="1049"/>
      <c r="JA881" s="1049"/>
      <c r="JB881" s="1049"/>
      <c r="JC881" s="1049"/>
      <c r="JD881" s="1041"/>
      <c r="JE881" s="1037"/>
      <c r="JF881" s="1037"/>
      <c r="JG881" s="1037"/>
      <c r="JH881" s="1037"/>
      <c r="JI881" s="1035"/>
      <c r="JJ881" s="1035"/>
      <c r="JK881" s="1035"/>
      <c r="JL881" s="1035"/>
      <c r="JM881" s="1035"/>
      <c r="JN881" s="1035"/>
      <c r="JO881" s="1035"/>
      <c r="JP881" s="1035"/>
      <c r="JQ881" s="1035"/>
      <c r="JR881" s="1035"/>
      <c r="JS881" s="1035"/>
      <c r="JT881" s="1035"/>
      <c r="JU881" s="1035"/>
      <c r="JV881" s="1035"/>
      <c r="JW881" s="1035"/>
      <c r="JX881" s="1035"/>
      <c r="JY881" s="1035"/>
      <c r="KP881" s="1117"/>
      <c r="LV881" s="967"/>
    </row>
    <row r="882" outlineLevel="1" spans="1:334">
      <c r="A882" s="967" t="s">
        <v>61</v>
      </c>
      <c r="AX882" s="1059"/>
      <c r="BE882" s="1060"/>
      <c r="BN882" s="1059"/>
      <c r="BU882" s="1060"/>
      <c r="BV882" s="1059"/>
      <c r="CC882" s="1060"/>
      <c r="CD882" s="1059"/>
      <c r="CJ882" s="1061"/>
      <c r="CK882" s="1060"/>
      <c r="CL882" s="1059"/>
      <c r="CS882" s="1060"/>
      <c r="CT882" s="1059"/>
      <c r="CW882" s="1062"/>
      <c r="CX882" s="1062"/>
      <c r="DB882" s="1181"/>
      <c r="DC882" s="1181"/>
      <c r="DD882" s="1181"/>
      <c r="DE882" s="1194"/>
      <c r="DF882" s="1194"/>
      <c r="DG882" s="1181"/>
      <c r="DH882" s="1181"/>
      <c r="DI882" s="1182"/>
      <c r="DJ882" s="1181"/>
      <c r="DK882" s="1181"/>
      <c r="DL882" s="1181"/>
      <c r="DM882" s="1181"/>
      <c r="DN882" s="1181"/>
      <c r="DO882" s="1181"/>
      <c r="DP882" s="1181"/>
      <c r="DQ882" s="1182"/>
      <c r="DR882" s="1080"/>
      <c r="DS882" s="1080"/>
      <c r="DT882" s="1080"/>
      <c r="DU882" s="1080"/>
      <c r="DV882" s="1080"/>
      <c r="DW882" s="1080"/>
      <c r="DX882" s="1080"/>
      <c r="DY882" s="1081"/>
      <c r="DZ882" s="1080">
        <f>+DZ881/DR881-1</f>
        <v>0.406451612903226</v>
      </c>
      <c r="EA882" s="1080">
        <f t="shared" ref="EA882:EG882" si="4677">+EA881/DS881-1</f>
        <v>0.247747747747748</v>
      </c>
      <c r="EB882" s="1080">
        <f t="shared" si="4677"/>
        <v>0.312997347480106</v>
      </c>
      <c r="EC882" s="1080">
        <f t="shared" si="4677"/>
        <v>0.197368421052632</v>
      </c>
      <c r="ED882" s="1080">
        <f t="shared" si="4677"/>
        <v>0.269421487603306</v>
      </c>
      <c r="EE882" s="1080">
        <f t="shared" si="4677"/>
        <v>0.190871369294606</v>
      </c>
      <c r="EF882" s="1080">
        <f t="shared" si="4677"/>
        <v>0.194029850746269</v>
      </c>
      <c r="EG882" s="1081">
        <f t="shared" si="4677"/>
        <v>0.247044917257683</v>
      </c>
      <c r="EH882" s="1080">
        <v>0.18</v>
      </c>
      <c r="EI882" s="1080">
        <f>+EI881/EA881-1</f>
        <v>0.328519855595668</v>
      </c>
      <c r="EJ882" s="1080">
        <f>+EJ881/EB881-1</f>
        <v>0.266666666666667</v>
      </c>
      <c r="EK882" s="1080">
        <f>+EK881/EC881-1</f>
        <v>0.377289377289377</v>
      </c>
      <c r="EL882" s="1080">
        <f>+EL881/ED881-1</f>
        <v>0.305989583333333</v>
      </c>
      <c r="EM882" s="1080">
        <f>EM881/EE881-1</f>
        <v>0.195121951219512</v>
      </c>
      <c r="EN882" s="1080">
        <f>EN881/EF881-1</f>
        <v>0.283928571428572</v>
      </c>
      <c r="EO882" s="1081">
        <f>EO881/EG881-1</f>
        <v>0.275829383886256</v>
      </c>
      <c r="EP882" s="1080"/>
      <c r="EQ882" s="1080"/>
      <c r="ER882" s="1080"/>
      <c r="ES882" s="1080"/>
      <c r="ET882" s="1080"/>
      <c r="EU882" s="1080"/>
      <c r="EV882" s="1080"/>
      <c r="EW882" s="1081"/>
      <c r="EX882" s="1080"/>
      <c r="EY882" s="1080"/>
      <c r="EZ882" s="1080"/>
      <c r="FA882" s="1080"/>
      <c r="FB882" s="1080"/>
      <c r="FC882" s="1080"/>
      <c r="FD882" s="1080"/>
      <c r="FE882" s="1081"/>
      <c r="FF882" s="1080"/>
      <c r="FG882" s="1080"/>
      <c r="FH882" s="1080"/>
      <c r="FI882" s="1080"/>
      <c r="FJ882" s="1080"/>
      <c r="FK882" s="1080"/>
      <c r="FL882" s="1080"/>
      <c r="FM882" s="1081"/>
      <c r="FN882" s="1080"/>
      <c r="FO882" s="1080"/>
      <c r="FP882" s="1080"/>
      <c r="FQ882" s="1080"/>
      <c r="FR882" s="1080"/>
      <c r="FS882" s="1080"/>
      <c r="FT882" s="1080"/>
      <c r="FU882" s="1080"/>
      <c r="FV882" s="1150"/>
      <c r="FW882" s="1080"/>
      <c r="FX882" s="1080"/>
      <c r="FY882" s="1080"/>
      <c r="FZ882" s="1080"/>
      <c r="GA882" s="1080"/>
      <c r="GB882" s="1080"/>
      <c r="GC882" s="1081"/>
      <c r="GD882" s="1080"/>
      <c r="GE882" s="1080"/>
      <c r="GF882" s="1080"/>
      <c r="GG882" s="1080"/>
      <c r="GH882" s="1080"/>
      <c r="GI882" s="1080"/>
      <c r="GJ882" s="1080"/>
      <c r="GK882" s="1081"/>
      <c r="GL882" s="1080"/>
      <c r="GM882" s="1080"/>
      <c r="GN882" s="1080"/>
      <c r="GO882" s="1080"/>
      <c r="GP882" s="1080"/>
      <c r="GQ882" s="1080"/>
      <c r="GR882" s="1080"/>
      <c r="GS882" s="1081"/>
      <c r="GT882" s="1080"/>
      <c r="GU882" s="1080"/>
      <c r="GV882" s="1080"/>
      <c r="GW882" s="1080"/>
      <c r="GX882" s="1080"/>
      <c r="GY882" s="1080"/>
      <c r="GZ882" s="1080"/>
      <c r="HA882" s="1081"/>
      <c r="HB882" s="1080"/>
      <c r="HC882" s="1080"/>
      <c r="HD882" s="1080"/>
      <c r="HE882" s="1080"/>
      <c r="HF882" s="1080"/>
      <c r="HG882" s="1080"/>
      <c r="HH882" s="1080"/>
      <c r="HI882" s="1081"/>
      <c r="HJ882" s="1080"/>
      <c r="HK882" s="1080"/>
      <c r="HL882" s="1080"/>
      <c r="HM882" s="1080"/>
      <c r="HN882" s="1080"/>
      <c r="HO882" s="1080"/>
      <c r="HP882" s="1080"/>
      <c r="HQ882" s="1081"/>
      <c r="HR882" s="1080"/>
      <c r="HS882" s="1080"/>
      <c r="HT882" s="1080"/>
      <c r="HU882" s="1080"/>
      <c r="HV882" s="1080"/>
      <c r="HW882" s="1080"/>
      <c r="HX882" s="1080"/>
      <c r="HY882" s="1080"/>
      <c r="HZ882" s="1080"/>
      <c r="IA882" s="1080"/>
      <c r="IB882" s="1080"/>
      <c r="IC882" s="1080"/>
      <c r="ID882" s="1080"/>
      <c r="IE882" s="1080"/>
      <c r="IF882" s="1080"/>
      <c r="IG882" s="1081"/>
      <c r="IH882" s="1080"/>
      <c r="II882" s="1080"/>
      <c r="IJ882" s="1080"/>
      <c r="IK882" s="1080"/>
      <c r="IL882" s="1080"/>
      <c r="IM882" s="1080"/>
      <c r="IN882" s="1080"/>
      <c r="IO882" s="1081"/>
      <c r="IP882" s="1080"/>
      <c r="IQ882" s="1080"/>
      <c r="IR882" s="1080"/>
      <c r="IS882" s="1080"/>
      <c r="IT882" s="1080"/>
      <c r="IU882" s="1080"/>
      <c r="IV882" s="1080"/>
      <c r="IW882" s="1080"/>
      <c r="IX882" s="1049"/>
      <c r="IY882" s="1049"/>
      <c r="IZ882" s="1049"/>
      <c r="JA882" s="1049"/>
      <c r="JB882" s="1049"/>
      <c r="JC882" s="1049"/>
      <c r="JD882" s="1041"/>
      <c r="JE882" s="1037"/>
      <c r="JF882" s="1037"/>
      <c r="JG882" s="1037"/>
      <c r="JH882" s="1037"/>
      <c r="JI882" s="1035"/>
      <c r="JJ882" s="1035"/>
      <c r="JK882" s="1035"/>
      <c r="JL882" s="1035"/>
      <c r="JM882" s="1035"/>
      <c r="JN882" s="1035"/>
      <c r="JO882" s="1035"/>
      <c r="JP882" s="1035"/>
      <c r="JQ882" s="1035"/>
      <c r="JR882" s="1035"/>
      <c r="JS882" s="1035"/>
      <c r="JT882" s="1035"/>
      <c r="JU882" s="1035"/>
      <c r="JV882" s="1035"/>
      <c r="JW882" s="1035"/>
      <c r="JX882" s="1035"/>
      <c r="JY882" s="1035"/>
      <c r="KP882" s="1117"/>
      <c r="LV882" s="967"/>
    </row>
    <row r="883" outlineLevel="1" spans="1:334">
      <c r="A883" s="967" t="s">
        <v>65</v>
      </c>
      <c r="AX883" s="1059"/>
      <c r="BE883" s="1060"/>
      <c r="BN883" s="1059"/>
      <c r="BU883" s="1060"/>
      <c r="BV883" s="1059"/>
      <c r="CC883" s="1060"/>
      <c r="CD883" s="1059"/>
      <c r="CJ883" s="1061"/>
      <c r="CK883" s="1060"/>
      <c r="CL883" s="1059"/>
      <c r="CS883" s="1060"/>
      <c r="CT883" s="1059"/>
      <c r="CW883" s="1062"/>
      <c r="CX883" s="1062"/>
      <c r="DB883" s="1181"/>
      <c r="DC883" s="1181"/>
      <c r="DD883" s="1181"/>
      <c r="DE883" s="1194"/>
      <c r="DF883" s="1194"/>
      <c r="DG883" s="1181"/>
      <c r="DH883" s="1181"/>
      <c r="DI883" s="1182"/>
      <c r="DJ883" s="1181"/>
      <c r="DK883" s="1181"/>
      <c r="DL883" s="1181"/>
      <c r="DM883" s="1181"/>
      <c r="DN883" s="1181"/>
      <c r="DO883" s="1181"/>
      <c r="DP883" s="1181"/>
      <c r="DQ883" s="1182"/>
      <c r="DR883" s="1080"/>
      <c r="DS883" s="1080"/>
      <c r="DT883" s="1080"/>
      <c r="DU883" s="1080"/>
      <c r="DV883" s="1080"/>
      <c r="DW883" s="1080"/>
      <c r="DX883" s="1080"/>
      <c r="DY883" s="1081"/>
      <c r="DZ883" s="1080">
        <v>0.39</v>
      </c>
      <c r="EA883" s="1080"/>
      <c r="EB883" s="1080">
        <v>0.38</v>
      </c>
      <c r="EC883" s="1080"/>
      <c r="ED883" s="1080">
        <v>0.36</v>
      </c>
      <c r="EE883" s="1080"/>
      <c r="EF883" s="1080"/>
      <c r="EG883" s="1081">
        <v>0.32</v>
      </c>
      <c r="EH883" s="1080">
        <v>0.15</v>
      </c>
      <c r="EI883" s="1080"/>
      <c r="EJ883" s="1080">
        <v>0.19</v>
      </c>
      <c r="EK883" s="1080"/>
      <c r="EL883" s="1080">
        <v>0.21</v>
      </c>
      <c r="EM883" s="1080"/>
      <c r="EN883" s="1080"/>
      <c r="EO883" s="1081">
        <v>0.19</v>
      </c>
      <c r="EP883" s="1080"/>
      <c r="EQ883" s="1080"/>
      <c r="ER883" s="1080"/>
      <c r="ES883" s="1080"/>
      <c r="ET883" s="1080"/>
      <c r="EU883" s="1080"/>
      <c r="EV883" s="1080"/>
      <c r="EW883" s="1081"/>
      <c r="EX883" s="1080"/>
      <c r="EY883" s="1080"/>
      <c r="EZ883" s="1080"/>
      <c r="FA883" s="1080"/>
      <c r="FB883" s="1080"/>
      <c r="FC883" s="1080"/>
      <c r="FD883" s="1080"/>
      <c r="FE883" s="1081"/>
      <c r="FF883" s="1080"/>
      <c r="FG883" s="1080"/>
      <c r="FH883" s="1080"/>
      <c r="FI883" s="1080"/>
      <c r="FJ883" s="1080"/>
      <c r="FK883" s="1080"/>
      <c r="FL883" s="1080"/>
      <c r="FM883" s="1081"/>
      <c r="FN883" s="1080"/>
      <c r="FO883" s="1080"/>
      <c r="FP883" s="1080"/>
      <c r="FQ883" s="1080"/>
      <c r="FR883" s="1080"/>
      <c r="FS883" s="1080"/>
      <c r="FT883" s="1080"/>
      <c r="FU883" s="1080"/>
      <c r="FV883" s="1150"/>
      <c r="FW883" s="1080"/>
      <c r="FX883" s="1080"/>
      <c r="FY883" s="1080"/>
      <c r="FZ883" s="1080"/>
      <c r="GA883" s="1080"/>
      <c r="GB883" s="1080"/>
      <c r="GC883" s="1081"/>
      <c r="GD883" s="1080"/>
      <c r="GE883" s="1080"/>
      <c r="GF883" s="1080"/>
      <c r="GG883" s="1080"/>
      <c r="GH883" s="1080"/>
      <c r="GI883" s="1080"/>
      <c r="GJ883" s="1080"/>
      <c r="GK883" s="1081"/>
      <c r="GL883" s="1080"/>
      <c r="GM883" s="1080"/>
      <c r="GN883" s="1080"/>
      <c r="GO883" s="1080"/>
      <c r="GP883" s="1080"/>
      <c r="GQ883" s="1080"/>
      <c r="GR883" s="1080"/>
      <c r="GS883" s="1081"/>
      <c r="GT883" s="1080"/>
      <c r="GU883" s="1080"/>
      <c r="GV883" s="1080"/>
      <c r="GW883" s="1080"/>
      <c r="GX883" s="1080"/>
      <c r="GY883" s="1080"/>
      <c r="GZ883" s="1080"/>
      <c r="HA883" s="1081"/>
      <c r="HB883" s="1080"/>
      <c r="HC883" s="1080"/>
      <c r="HD883" s="1080"/>
      <c r="HE883" s="1080"/>
      <c r="HF883" s="1080"/>
      <c r="HG883" s="1080"/>
      <c r="HH883" s="1080"/>
      <c r="HI883" s="1081"/>
      <c r="HJ883" s="1080"/>
      <c r="HK883" s="1080"/>
      <c r="HL883" s="1080"/>
      <c r="HM883" s="1080"/>
      <c r="HN883" s="1080"/>
      <c r="HO883" s="1080"/>
      <c r="HP883" s="1080"/>
      <c r="HQ883" s="1081"/>
      <c r="HR883" s="1080"/>
      <c r="HS883" s="1080"/>
      <c r="HT883" s="1080"/>
      <c r="HU883" s="1080"/>
      <c r="HV883" s="1080"/>
      <c r="HW883" s="1080"/>
      <c r="HX883" s="1080"/>
      <c r="HY883" s="1080"/>
      <c r="HZ883" s="1080"/>
      <c r="IA883" s="1080"/>
      <c r="IB883" s="1080"/>
      <c r="IC883" s="1080"/>
      <c r="ID883" s="1080"/>
      <c r="IE883" s="1080"/>
      <c r="IF883" s="1080"/>
      <c r="IG883" s="1081"/>
      <c r="IH883" s="1080"/>
      <c r="II883" s="1080"/>
      <c r="IJ883" s="1080"/>
      <c r="IK883" s="1080"/>
      <c r="IL883" s="1080"/>
      <c r="IM883" s="1080"/>
      <c r="IN883" s="1080"/>
      <c r="IO883" s="1081"/>
      <c r="IP883" s="1080"/>
      <c r="IQ883" s="1080"/>
      <c r="IR883" s="1080"/>
      <c r="IS883" s="1080"/>
      <c r="IT883" s="1080"/>
      <c r="IU883" s="1080"/>
      <c r="IV883" s="1080"/>
      <c r="IW883" s="1080"/>
      <c r="IX883" s="1049"/>
      <c r="IY883" s="1049"/>
      <c r="IZ883" s="1049"/>
      <c r="JA883" s="1049"/>
      <c r="JB883" s="1049"/>
      <c r="JC883" s="1049"/>
      <c r="JD883" s="1041"/>
      <c r="JE883" s="1037"/>
      <c r="JF883" s="1037"/>
      <c r="JG883" s="1037"/>
      <c r="JH883" s="1037"/>
      <c r="JI883" s="1035"/>
      <c r="JJ883" s="1035"/>
      <c r="JK883" s="1035"/>
      <c r="JL883" s="1035"/>
      <c r="JM883" s="1035"/>
      <c r="JN883" s="1035"/>
      <c r="JO883" s="1035"/>
      <c r="JP883" s="1035"/>
      <c r="JQ883" s="1035"/>
      <c r="JR883" s="1035"/>
      <c r="JS883" s="1035"/>
      <c r="JT883" s="1035"/>
      <c r="JU883" s="1035"/>
      <c r="JV883" s="1035"/>
      <c r="JW883" s="1035"/>
      <c r="JX883" s="1035"/>
      <c r="JY883" s="1035"/>
      <c r="KP883" s="1117"/>
      <c r="LV883" s="967"/>
    </row>
    <row r="884" outlineLevel="1" spans="1:334">
      <c r="A884" s="1180" t="s">
        <v>101</v>
      </c>
      <c r="AX884" s="1059"/>
      <c r="BE884" s="1060"/>
      <c r="BN884" s="1059"/>
      <c r="BU884" s="1060"/>
      <c r="BV884" s="1059"/>
      <c r="CC884" s="1060"/>
      <c r="CD884" s="1059"/>
      <c r="CJ884" s="1061"/>
      <c r="CK884" s="1060"/>
      <c r="CL884" s="1059"/>
      <c r="CS884" s="1060"/>
      <c r="CT884" s="1059"/>
      <c r="CW884" s="1062"/>
      <c r="CX884" s="1062"/>
      <c r="DB884" s="1181"/>
      <c r="DC884" s="1181"/>
      <c r="DD884" s="1181"/>
      <c r="DE884" s="1194"/>
      <c r="DF884" s="1194"/>
      <c r="DG884" s="1181"/>
      <c r="DH884" s="1181"/>
      <c r="DI884" s="1182"/>
      <c r="DJ884" s="1181"/>
      <c r="DK884" s="1181"/>
      <c r="DL884" s="1181"/>
      <c r="DM884" s="1181"/>
      <c r="DN884" s="1181"/>
      <c r="DO884" s="1181"/>
      <c r="DP884" s="1181"/>
      <c r="DQ884" s="1182"/>
      <c r="DR884" s="1071">
        <v>81</v>
      </c>
      <c r="DS884" s="1071">
        <f>+DT884-DR884</f>
        <v>113</v>
      </c>
      <c r="DT884" s="1071">
        <v>194</v>
      </c>
      <c r="DU884" s="1071">
        <f>+DV884-DT884</f>
        <v>141</v>
      </c>
      <c r="DV884" s="1071">
        <v>335</v>
      </c>
      <c r="DW884" s="1071">
        <f>DX884-DU884</f>
        <v>126</v>
      </c>
      <c r="DX884" s="1071">
        <f>DY884-DT884</f>
        <v>267</v>
      </c>
      <c r="DY884" s="1072">
        <v>461</v>
      </c>
      <c r="DZ884" s="1071">
        <v>93</v>
      </c>
      <c r="EA884" s="1071">
        <f>+EB884-DZ884</f>
        <v>113</v>
      </c>
      <c r="EB884" s="1071">
        <v>206</v>
      </c>
      <c r="EC884" s="1071">
        <f>+ED884-EB884</f>
        <v>149</v>
      </c>
      <c r="ED884" s="1071">
        <v>355</v>
      </c>
      <c r="EE884" s="1071">
        <f>EF884-EC884</f>
        <v>149</v>
      </c>
      <c r="EF884" s="1071">
        <f>EG884-EB884</f>
        <v>298</v>
      </c>
      <c r="EG884" s="1072">
        <v>504</v>
      </c>
      <c r="EH884" s="1071">
        <v>118</v>
      </c>
      <c r="EI884" s="1071">
        <f>+EJ884-EH884</f>
        <v>140</v>
      </c>
      <c r="EJ884" s="1071">
        <v>258</v>
      </c>
      <c r="EK884" s="1071">
        <f>+EL884-EJ884</f>
        <v>182</v>
      </c>
      <c r="EL884" s="1071">
        <v>440</v>
      </c>
      <c r="EM884" s="1071">
        <f>EN884-EK884</f>
        <v>159</v>
      </c>
      <c r="EN884" s="1071">
        <f>EO884-EJ884</f>
        <v>341</v>
      </c>
      <c r="EO884" s="1072">
        <v>599</v>
      </c>
      <c r="EP884" s="1071"/>
      <c r="EQ884" s="1071"/>
      <c r="ER884" s="1071"/>
      <c r="ES884" s="1071"/>
      <c r="ET884" s="1071"/>
      <c r="EU884" s="1071"/>
      <c r="EV884" s="1071"/>
      <c r="EW884" s="1072"/>
      <c r="EX884" s="1071"/>
      <c r="EY884" s="1071"/>
      <c r="EZ884" s="1071"/>
      <c r="FA884" s="1071"/>
      <c r="FB884" s="1071"/>
      <c r="FC884" s="1071"/>
      <c r="FD884" s="1071"/>
      <c r="FE884" s="1072"/>
      <c r="FF884" s="1071"/>
      <c r="FG884" s="1071"/>
      <c r="FH884" s="1071"/>
      <c r="FI884" s="1071"/>
      <c r="FJ884" s="1071"/>
      <c r="FK884" s="1071"/>
      <c r="FL884" s="1071"/>
      <c r="FM884" s="1072"/>
      <c r="FN884" s="1071"/>
      <c r="FO884" s="1071"/>
      <c r="FP884" s="1071"/>
      <c r="FQ884" s="1071"/>
      <c r="FR884" s="1071"/>
      <c r="FS884" s="1071"/>
      <c r="FT884" s="1071"/>
      <c r="FU884" s="1071"/>
      <c r="FV884" s="1177"/>
      <c r="FW884" s="1071"/>
      <c r="FX884" s="1071"/>
      <c r="FY884" s="1071"/>
      <c r="FZ884" s="1071"/>
      <c r="GA884" s="1071"/>
      <c r="GB884" s="1071"/>
      <c r="GC884" s="1072"/>
      <c r="GD884" s="1071"/>
      <c r="GE884" s="1071"/>
      <c r="GF884" s="1071"/>
      <c r="GG884" s="1071"/>
      <c r="GH884" s="1071"/>
      <c r="GI884" s="1071"/>
      <c r="GJ884" s="1071"/>
      <c r="GK884" s="1072"/>
      <c r="GL884" s="1071"/>
      <c r="GM884" s="1071"/>
      <c r="GN884" s="1071"/>
      <c r="GO884" s="1071"/>
      <c r="GP884" s="1071"/>
      <c r="GQ884" s="1071"/>
      <c r="GR884" s="1071"/>
      <c r="GS884" s="1072"/>
      <c r="GT884" s="1071"/>
      <c r="GU884" s="1071"/>
      <c r="GV884" s="1071"/>
      <c r="GW884" s="1071"/>
      <c r="GX884" s="1071"/>
      <c r="GY884" s="1071"/>
      <c r="GZ884" s="1071"/>
      <c r="HA884" s="1072"/>
      <c r="HB884" s="1071"/>
      <c r="HC884" s="1071"/>
      <c r="HD884" s="1071"/>
      <c r="HE884" s="1071"/>
      <c r="HF884" s="1071"/>
      <c r="HG884" s="1071"/>
      <c r="HH884" s="1071"/>
      <c r="HI884" s="1072"/>
      <c r="HJ884" s="1071"/>
      <c r="HK884" s="1071"/>
      <c r="HL884" s="1071"/>
      <c r="HM884" s="1071"/>
      <c r="HN884" s="1071"/>
      <c r="HO884" s="1071"/>
      <c r="HP884" s="1071"/>
      <c r="HQ884" s="1072"/>
      <c r="HR884" s="1071"/>
      <c r="HS884" s="1071"/>
      <c r="HT884" s="1071"/>
      <c r="HU884" s="1071"/>
      <c r="HV884" s="1071"/>
      <c r="HW884" s="1071"/>
      <c r="HX884" s="1071"/>
      <c r="HY884" s="1071"/>
      <c r="HZ884" s="1071"/>
      <c r="IA884" s="1071"/>
      <c r="IB884" s="1071"/>
      <c r="IC884" s="1071"/>
      <c r="ID884" s="1071"/>
      <c r="IE884" s="1071"/>
      <c r="IF884" s="1071"/>
      <c r="IG884" s="1072"/>
      <c r="IH884" s="1071"/>
      <c r="II884" s="1071"/>
      <c r="IJ884" s="1071"/>
      <c r="IK884" s="1071"/>
      <c r="IL884" s="1071"/>
      <c r="IM884" s="1071"/>
      <c r="IN884" s="1071"/>
      <c r="IO884" s="1072"/>
      <c r="IP884" s="1071"/>
      <c r="IQ884" s="1071"/>
      <c r="IR884" s="1071"/>
      <c r="IS884" s="1071"/>
      <c r="IT884" s="1071"/>
      <c r="IU884" s="1071"/>
      <c r="IV884" s="1071"/>
      <c r="IW884" s="1071"/>
      <c r="IX884" s="1049"/>
      <c r="IY884" s="1049"/>
      <c r="IZ884" s="1049"/>
      <c r="JA884" s="1049"/>
      <c r="JB884" s="1049"/>
      <c r="JC884" s="1049"/>
      <c r="JD884" s="1041"/>
      <c r="JE884" s="1037"/>
      <c r="JF884" s="1037"/>
      <c r="JG884" s="1037"/>
      <c r="JH884" s="1037"/>
      <c r="JI884" s="1035"/>
      <c r="JJ884" s="1035"/>
      <c r="JK884" s="1035"/>
      <c r="JL884" s="1035"/>
      <c r="JM884" s="1035"/>
      <c r="JN884" s="1035"/>
      <c r="JO884" s="1035"/>
      <c r="JP884" s="1035"/>
      <c r="JQ884" s="1035"/>
      <c r="JR884" s="1035"/>
      <c r="JS884" s="1035"/>
      <c r="JT884" s="1035"/>
      <c r="JU884" s="1035"/>
      <c r="JV884" s="1035"/>
      <c r="JW884" s="1035"/>
      <c r="JX884" s="1035"/>
      <c r="JY884" s="1035"/>
      <c r="KP884" s="1117"/>
      <c r="LV884" s="967"/>
    </row>
    <row r="885" outlineLevel="1" spans="1:334">
      <c r="A885" s="967" t="s">
        <v>61</v>
      </c>
      <c r="AX885" s="1059"/>
      <c r="BE885" s="1060"/>
      <c r="BN885" s="1059"/>
      <c r="BU885" s="1060"/>
      <c r="BV885" s="1059"/>
      <c r="CC885" s="1060"/>
      <c r="CD885" s="1059"/>
      <c r="CJ885" s="1061"/>
      <c r="CK885" s="1060"/>
      <c r="CL885" s="1059"/>
      <c r="CS885" s="1060"/>
      <c r="CT885" s="1059"/>
      <c r="CW885" s="1062"/>
      <c r="CX885" s="1062"/>
      <c r="DB885" s="1181"/>
      <c r="DC885" s="1181"/>
      <c r="DD885" s="1181"/>
      <c r="DE885" s="1194"/>
      <c r="DF885" s="1194"/>
      <c r="DG885" s="1181"/>
      <c r="DH885" s="1181"/>
      <c r="DI885" s="1182"/>
      <c r="DJ885" s="1181"/>
      <c r="DK885" s="1181"/>
      <c r="DL885" s="1181"/>
      <c r="DM885" s="1181"/>
      <c r="DN885" s="1181"/>
      <c r="DO885" s="1181"/>
      <c r="DP885" s="1181"/>
      <c r="DQ885" s="1182"/>
      <c r="DR885" s="1080"/>
      <c r="DS885" s="1080"/>
      <c r="DT885" s="1080"/>
      <c r="DU885" s="1080"/>
      <c r="DV885" s="1080"/>
      <c r="DW885" s="1080"/>
      <c r="DX885" s="1080"/>
      <c r="DY885" s="1081"/>
      <c r="DZ885" s="1080">
        <f>+DZ884/DR884-1</f>
        <v>0.148148148148148</v>
      </c>
      <c r="EA885" s="1080">
        <f t="shared" ref="EA885:EG885" si="4678">+EA884/DS884-1</f>
        <v>0</v>
      </c>
      <c r="EB885" s="1080">
        <f t="shared" si="4678"/>
        <v>0.0618556701030928</v>
      </c>
      <c r="EC885" s="1080">
        <f t="shared" si="4678"/>
        <v>0.0567375886524824</v>
      </c>
      <c r="ED885" s="1080">
        <f t="shared" si="4678"/>
        <v>0.0597014925373134</v>
      </c>
      <c r="EE885" s="1080">
        <f t="shared" si="4678"/>
        <v>0.182539682539683</v>
      </c>
      <c r="EF885" s="1080">
        <f t="shared" si="4678"/>
        <v>0.116104868913858</v>
      </c>
      <c r="EG885" s="1081">
        <f t="shared" si="4678"/>
        <v>0.0932754880694142</v>
      </c>
      <c r="EH885" s="1080">
        <v>0.27</v>
      </c>
      <c r="EI885" s="1080">
        <f>+EI884/EA884-1</f>
        <v>0.238938053097345</v>
      </c>
      <c r="EJ885" s="1080">
        <f>+EJ884/EB884-1</f>
        <v>0.25242718446602</v>
      </c>
      <c r="EK885" s="1080">
        <f>+EK884/EC884-1</f>
        <v>0.221476510067114</v>
      </c>
      <c r="EL885" s="1080">
        <f>+EL884/ED884-1</f>
        <v>0.23943661971831</v>
      </c>
      <c r="EM885" s="1080">
        <f>EM884/EE884-1</f>
        <v>0.0671140939597314</v>
      </c>
      <c r="EN885" s="1080">
        <f>EN884/EF884-1</f>
        <v>0.144295302013423</v>
      </c>
      <c r="EO885" s="1081">
        <f>EO884/EG884-1</f>
        <v>0.188492063492063</v>
      </c>
      <c r="EP885" s="1080"/>
      <c r="EQ885" s="1080"/>
      <c r="ER885" s="1080"/>
      <c r="ES885" s="1080"/>
      <c r="ET885" s="1080"/>
      <c r="EU885" s="1080"/>
      <c r="EV885" s="1080"/>
      <c r="EW885" s="1081"/>
      <c r="EX885" s="1080"/>
      <c r="EY885" s="1080"/>
      <c r="EZ885" s="1080"/>
      <c r="FA885" s="1080"/>
      <c r="FB885" s="1080"/>
      <c r="FC885" s="1080"/>
      <c r="FD885" s="1080"/>
      <c r="FE885" s="1081"/>
      <c r="FF885" s="1080"/>
      <c r="FG885" s="1080"/>
      <c r="FH885" s="1080"/>
      <c r="FI885" s="1080"/>
      <c r="FJ885" s="1080"/>
      <c r="FK885" s="1080"/>
      <c r="FL885" s="1080"/>
      <c r="FM885" s="1081"/>
      <c r="FN885" s="1080"/>
      <c r="FO885" s="1080"/>
      <c r="FP885" s="1080"/>
      <c r="FQ885" s="1080"/>
      <c r="FR885" s="1080"/>
      <c r="FS885" s="1080"/>
      <c r="FT885" s="1080"/>
      <c r="FU885" s="1080"/>
      <c r="FV885" s="1150"/>
      <c r="FW885" s="1080"/>
      <c r="FX885" s="1080"/>
      <c r="FY885" s="1080"/>
      <c r="FZ885" s="1080"/>
      <c r="GA885" s="1080"/>
      <c r="GB885" s="1080"/>
      <c r="GC885" s="1081"/>
      <c r="GD885" s="1080"/>
      <c r="GE885" s="1080"/>
      <c r="GF885" s="1080"/>
      <c r="GG885" s="1080"/>
      <c r="GH885" s="1080"/>
      <c r="GI885" s="1080"/>
      <c r="GJ885" s="1080"/>
      <c r="GK885" s="1081"/>
      <c r="GL885" s="1080"/>
      <c r="GM885" s="1080"/>
      <c r="GN885" s="1080"/>
      <c r="GO885" s="1080"/>
      <c r="GP885" s="1080"/>
      <c r="GQ885" s="1080"/>
      <c r="GR885" s="1080"/>
      <c r="GS885" s="1081"/>
      <c r="GT885" s="1080"/>
      <c r="GU885" s="1080"/>
      <c r="GV885" s="1080"/>
      <c r="GW885" s="1080"/>
      <c r="GX885" s="1080"/>
      <c r="GY885" s="1080"/>
      <c r="GZ885" s="1080"/>
      <c r="HA885" s="1081"/>
      <c r="HB885" s="1080"/>
      <c r="HC885" s="1080"/>
      <c r="HD885" s="1080"/>
      <c r="HE885" s="1080"/>
      <c r="HF885" s="1080"/>
      <c r="HG885" s="1080"/>
      <c r="HH885" s="1080"/>
      <c r="HI885" s="1081"/>
      <c r="HJ885" s="1080"/>
      <c r="HK885" s="1080"/>
      <c r="HL885" s="1080"/>
      <c r="HM885" s="1080"/>
      <c r="HN885" s="1080"/>
      <c r="HO885" s="1080"/>
      <c r="HP885" s="1080"/>
      <c r="HQ885" s="1081"/>
      <c r="HR885" s="1080"/>
      <c r="HS885" s="1080"/>
      <c r="HT885" s="1080"/>
      <c r="HU885" s="1080"/>
      <c r="HV885" s="1080"/>
      <c r="HW885" s="1080"/>
      <c r="HX885" s="1080"/>
      <c r="HY885" s="1080"/>
      <c r="HZ885" s="1080"/>
      <c r="IA885" s="1080"/>
      <c r="IB885" s="1080"/>
      <c r="IC885" s="1080"/>
      <c r="ID885" s="1080"/>
      <c r="IE885" s="1080"/>
      <c r="IF885" s="1080"/>
      <c r="IG885" s="1081"/>
      <c r="IH885" s="1080"/>
      <c r="II885" s="1080"/>
      <c r="IJ885" s="1080"/>
      <c r="IK885" s="1080"/>
      <c r="IL885" s="1080"/>
      <c r="IM885" s="1080"/>
      <c r="IN885" s="1080"/>
      <c r="IO885" s="1081"/>
      <c r="IP885" s="1080"/>
      <c r="IQ885" s="1080"/>
      <c r="IR885" s="1080"/>
      <c r="IS885" s="1080"/>
      <c r="IT885" s="1080"/>
      <c r="IU885" s="1080"/>
      <c r="IV885" s="1080"/>
      <c r="IW885" s="1080"/>
      <c r="IX885" s="1049"/>
      <c r="IY885" s="1049"/>
      <c r="IZ885" s="1049"/>
      <c r="JA885" s="1049"/>
      <c r="JB885" s="1049"/>
      <c r="JC885" s="1049"/>
      <c r="JD885" s="1041"/>
      <c r="JE885" s="1037"/>
      <c r="JF885" s="1037"/>
      <c r="JG885" s="1037"/>
      <c r="JH885" s="1037"/>
      <c r="JI885" s="1035"/>
      <c r="JJ885" s="1035"/>
      <c r="JK885" s="1035"/>
      <c r="JL885" s="1035"/>
      <c r="JM885" s="1035"/>
      <c r="JN885" s="1035"/>
      <c r="JO885" s="1035"/>
      <c r="JP885" s="1035"/>
      <c r="JQ885" s="1035"/>
      <c r="JR885" s="1035"/>
      <c r="JS885" s="1035"/>
      <c r="JT885" s="1035"/>
      <c r="JU885" s="1035"/>
      <c r="JV885" s="1035"/>
      <c r="JW885" s="1035"/>
      <c r="JX885" s="1035"/>
      <c r="JY885" s="1035"/>
      <c r="KP885" s="1117"/>
      <c r="LV885" s="967"/>
    </row>
    <row r="886" outlineLevel="1" spans="1:334">
      <c r="A886" s="967" t="s">
        <v>65</v>
      </c>
      <c r="AX886" s="1059"/>
      <c r="BE886" s="1060"/>
      <c r="BN886" s="1059"/>
      <c r="BU886" s="1060"/>
      <c r="BV886" s="1059"/>
      <c r="CC886" s="1060"/>
      <c r="CD886" s="1059"/>
      <c r="CJ886" s="1061"/>
      <c r="CK886" s="1060"/>
      <c r="CL886" s="1059"/>
      <c r="CS886" s="1060"/>
      <c r="CT886" s="1059"/>
      <c r="CW886" s="1062"/>
      <c r="CX886" s="1062"/>
      <c r="DB886" s="1181"/>
      <c r="DC886" s="1181"/>
      <c r="DD886" s="1181"/>
      <c r="DE886" s="1194"/>
      <c r="DF886" s="1194"/>
      <c r="DG886" s="1181"/>
      <c r="DH886" s="1181"/>
      <c r="DI886" s="1182"/>
      <c r="DJ886" s="1181"/>
      <c r="DK886" s="1181"/>
      <c r="DL886" s="1181"/>
      <c r="DM886" s="1181"/>
      <c r="DN886" s="1181"/>
      <c r="DO886" s="1181"/>
      <c r="DP886" s="1181"/>
      <c r="DQ886" s="1182"/>
      <c r="DR886" s="1080"/>
      <c r="DS886" s="1080"/>
      <c r="DT886" s="1080"/>
      <c r="DU886" s="1080"/>
      <c r="DV886" s="1080"/>
      <c r="DW886" s="1080"/>
      <c r="DX886" s="1080"/>
      <c r="DY886" s="1081"/>
      <c r="DZ886" s="1080">
        <v>0.13</v>
      </c>
      <c r="EA886" s="1080"/>
      <c r="EB886" s="1080">
        <v>0.11</v>
      </c>
      <c r="EC886" s="1080"/>
      <c r="ED886" s="1080">
        <v>0.12</v>
      </c>
      <c r="EE886" s="1080"/>
      <c r="EF886" s="1080"/>
      <c r="EG886" s="1081">
        <v>0.14</v>
      </c>
      <c r="EH886" s="1080">
        <v>0.22</v>
      </c>
      <c r="EI886" s="1080"/>
      <c r="EJ886" s="1080">
        <v>0.16</v>
      </c>
      <c r="EK886" s="1080"/>
      <c r="EL886" s="1080">
        <v>0.13</v>
      </c>
      <c r="EM886" s="1080"/>
      <c r="EN886" s="1080"/>
      <c r="EO886" s="1081">
        <v>0.1</v>
      </c>
      <c r="EP886" s="1080"/>
      <c r="EQ886" s="1080"/>
      <c r="ER886" s="1080"/>
      <c r="ES886" s="1080"/>
      <c r="ET886" s="1080"/>
      <c r="EU886" s="1080"/>
      <c r="EV886" s="1080"/>
      <c r="EW886" s="1081"/>
      <c r="EX886" s="1080"/>
      <c r="EY886" s="1080"/>
      <c r="EZ886" s="1080"/>
      <c r="FA886" s="1080"/>
      <c r="FB886" s="1080"/>
      <c r="FC886" s="1080"/>
      <c r="FD886" s="1080"/>
      <c r="FE886" s="1081"/>
      <c r="FF886" s="1080"/>
      <c r="FG886" s="1080"/>
      <c r="FH886" s="1080"/>
      <c r="FI886" s="1080"/>
      <c r="FJ886" s="1080"/>
      <c r="FK886" s="1080"/>
      <c r="FL886" s="1080"/>
      <c r="FM886" s="1081"/>
      <c r="FN886" s="1080"/>
      <c r="FO886" s="1080"/>
      <c r="FP886" s="1080"/>
      <c r="FQ886" s="1080"/>
      <c r="FR886" s="1080"/>
      <c r="FS886" s="1080"/>
      <c r="FT886" s="1080"/>
      <c r="FU886" s="1080"/>
      <c r="FV886" s="1150"/>
      <c r="FW886" s="1080"/>
      <c r="FX886" s="1080"/>
      <c r="FY886" s="1080"/>
      <c r="FZ886" s="1080"/>
      <c r="GA886" s="1080"/>
      <c r="GB886" s="1080"/>
      <c r="GC886" s="1081"/>
      <c r="GD886" s="1080"/>
      <c r="GE886" s="1080"/>
      <c r="GF886" s="1080"/>
      <c r="GG886" s="1080"/>
      <c r="GH886" s="1080"/>
      <c r="GI886" s="1080"/>
      <c r="GJ886" s="1080"/>
      <c r="GK886" s="1081"/>
      <c r="GL886" s="1080"/>
      <c r="GM886" s="1080"/>
      <c r="GN886" s="1080"/>
      <c r="GO886" s="1080"/>
      <c r="GP886" s="1080"/>
      <c r="GQ886" s="1080"/>
      <c r="GR886" s="1080"/>
      <c r="GS886" s="1081"/>
      <c r="GT886" s="1080"/>
      <c r="GU886" s="1080"/>
      <c r="GV886" s="1080"/>
      <c r="GW886" s="1080"/>
      <c r="GX886" s="1080"/>
      <c r="GY886" s="1080"/>
      <c r="GZ886" s="1080"/>
      <c r="HA886" s="1081"/>
      <c r="HB886" s="1080"/>
      <c r="HC886" s="1080"/>
      <c r="HD886" s="1080"/>
      <c r="HE886" s="1080"/>
      <c r="HF886" s="1080"/>
      <c r="HG886" s="1080"/>
      <c r="HH886" s="1080"/>
      <c r="HI886" s="1081"/>
      <c r="HJ886" s="1080"/>
      <c r="HK886" s="1080"/>
      <c r="HL886" s="1080"/>
      <c r="HM886" s="1080"/>
      <c r="HN886" s="1080"/>
      <c r="HO886" s="1080"/>
      <c r="HP886" s="1080"/>
      <c r="HQ886" s="1081"/>
      <c r="HR886" s="1080"/>
      <c r="HS886" s="1080"/>
      <c r="HT886" s="1080"/>
      <c r="HU886" s="1080"/>
      <c r="HV886" s="1080"/>
      <c r="HW886" s="1080"/>
      <c r="HX886" s="1080"/>
      <c r="HY886" s="1080"/>
      <c r="HZ886" s="1080"/>
      <c r="IA886" s="1080"/>
      <c r="IB886" s="1080"/>
      <c r="IC886" s="1080"/>
      <c r="ID886" s="1080"/>
      <c r="IE886" s="1080"/>
      <c r="IF886" s="1080"/>
      <c r="IG886" s="1081"/>
      <c r="IH886" s="1080"/>
      <c r="II886" s="1080"/>
      <c r="IJ886" s="1080"/>
      <c r="IK886" s="1080"/>
      <c r="IL886" s="1080"/>
      <c r="IM886" s="1080"/>
      <c r="IN886" s="1080"/>
      <c r="IO886" s="1081"/>
      <c r="IP886" s="1080"/>
      <c r="IQ886" s="1080"/>
      <c r="IR886" s="1080"/>
      <c r="IS886" s="1080"/>
      <c r="IT886" s="1080"/>
      <c r="IU886" s="1080"/>
      <c r="IV886" s="1080"/>
      <c r="IW886" s="1080"/>
      <c r="IX886" s="1049"/>
      <c r="IY886" s="1049"/>
      <c r="IZ886" s="1049"/>
      <c r="JA886" s="1049"/>
      <c r="JB886" s="1049"/>
      <c r="JC886" s="1049"/>
      <c r="JD886" s="1041"/>
      <c r="JE886" s="1037"/>
      <c r="JF886" s="1037"/>
      <c r="JG886" s="1037"/>
      <c r="JH886" s="1037"/>
      <c r="JI886" s="1035"/>
      <c r="JJ886" s="1035"/>
      <c r="JK886" s="1035"/>
      <c r="JL886" s="1035"/>
      <c r="JM886" s="1035"/>
      <c r="JN886" s="1035"/>
      <c r="JO886" s="1035"/>
      <c r="JP886" s="1035"/>
      <c r="JQ886" s="1035"/>
      <c r="JR886" s="1035"/>
      <c r="JS886" s="1035"/>
      <c r="JT886" s="1035"/>
      <c r="JU886" s="1035"/>
      <c r="JV886" s="1035"/>
      <c r="JW886" s="1035"/>
      <c r="JX886" s="1035"/>
      <c r="JY886" s="1035"/>
      <c r="KP886" s="1117"/>
      <c r="LV886" s="967"/>
    </row>
    <row r="887" outlineLevel="1" spans="1:334">
      <c r="A887" s="1180" t="s">
        <v>114</v>
      </c>
      <c r="AX887" s="1059"/>
      <c r="BE887" s="1060"/>
      <c r="BN887" s="1059"/>
      <c r="BU887" s="1060"/>
      <c r="BV887" s="1059"/>
      <c r="CC887" s="1060"/>
      <c r="CD887" s="1059"/>
      <c r="CJ887" s="1061"/>
      <c r="CK887" s="1060"/>
      <c r="CL887" s="1059"/>
      <c r="CS887" s="1060"/>
      <c r="CT887" s="1059"/>
      <c r="CW887" s="1062"/>
      <c r="CX887" s="1062"/>
      <c r="DB887" s="1181"/>
      <c r="DC887" s="1181"/>
      <c r="DD887" s="1181"/>
      <c r="DE887" s="1194"/>
      <c r="DF887" s="1194"/>
      <c r="DG887" s="1181"/>
      <c r="DH887" s="1181"/>
      <c r="DI887" s="1182"/>
      <c r="DJ887" s="1181"/>
      <c r="DK887" s="1181"/>
      <c r="DL887" s="1181"/>
      <c r="DM887" s="1181"/>
      <c r="DN887" s="1181"/>
      <c r="DO887" s="1181"/>
      <c r="DP887" s="1181"/>
      <c r="DQ887" s="1182"/>
      <c r="DR887" s="1071">
        <v>30</v>
      </c>
      <c r="DS887" s="1071">
        <f>+DT887-DR887</f>
        <v>31</v>
      </c>
      <c r="DT887" s="1071">
        <v>61</v>
      </c>
      <c r="DU887" s="1071">
        <f>+DV887-DT887</f>
        <v>33</v>
      </c>
      <c r="DV887" s="1071">
        <v>94</v>
      </c>
      <c r="DW887" s="1071">
        <f>DX887-DU887</f>
        <v>37</v>
      </c>
      <c r="DX887" s="1071">
        <f>DY887-DT887</f>
        <v>70</v>
      </c>
      <c r="DY887" s="1072">
        <v>131</v>
      </c>
      <c r="DZ887" s="1071">
        <v>37</v>
      </c>
      <c r="EA887" s="1071">
        <f>+EB887-DZ887</f>
        <v>35</v>
      </c>
      <c r="EB887" s="1071">
        <v>72</v>
      </c>
      <c r="EC887" s="1071">
        <f>+ED887-EB887</f>
        <v>39</v>
      </c>
      <c r="ED887" s="1071">
        <v>111</v>
      </c>
      <c r="EE887" s="1071">
        <f>EF887-EC887</f>
        <v>46</v>
      </c>
      <c r="EF887" s="1071">
        <f>EG887-EB887</f>
        <v>85</v>
      </c>
      <c r="EG887" s="1072">
        <v>157</v>
      </c>
      <c r="EH887" s="1071">
        <v>46</v>
      </c>
      <c r="EI887" s="1071">
        <f>+EJ887-EH887</f>
        <v>46</v>
      </c>
      <c r="EJ887" s="1071">
        <v>92</v>
      </c>
      <c r="EK887" s="1071">
        <f>+EL887-EJ887</f>
        <v>46</v>
      </c>
      <c r="EL887" s="1071">
        <v>138</v>
      </c>
      <c r="EM887" s="1071">
        <f>EN887-EK887</f>
        <v>60</v>
      </c>
      <c r="EN887" s="1071">
        <f>EO887-EJ887</f>
        <v>106</v>
      </c>
      <c r="EO887" s="1072">
        <v>198</v>
      </c>
      <c r="EP887" s="1071"/>
      <c r="EQ887" s="1071"/>
      <c r="ER887" s="1071"/>
      <c r="ES887" s="1071"/>
      <c r="ET887" s="1071"/>
      <c r="EU887" s="1071"/>
      <c r="EV887" s="1071"/>
      <c r="EW887" s="1072"/>
      <c r="EX887" s="1071"/>
      <c r="EY887" s="1071"/>
      <c r="EZ887" s="1071"/>
      <c r="FA887" s="1071"/>
      <c r="FB887" s="1071"/>
      <c r="FC887" s="1071"/>
      <c r="FD887" s="1071"/>
      <c r="FE887" s="1072"/>
      <c r="FF887" s="1071"/>
      <c r="FG887" s="1071"/>
      <c r="FH887" s="1071"/>
      <c r="FI887" s="1071"/>
      <c r="FJ887" s="1071"/>
      <c r="FK887" s="1071"/>
      <c r="FL887" s="1071"/>
      <c r="FM887" s="1072"/>
      <c r="FN887" s="1071"/>
      <c r="FO887" s="1071"/>
      <c r="FP887" s="1071"/>
      <c r="FQ887" s="1071"/>
      <c r="FR887" s="1071"/>
      <c r="FS887" s="1071"/>
      <c r="FT887" s="1071"/>
      <c r="FU887" s="1071"/>
      <c r="FV887" s="1177"/>
      <c r="FW887" s="1071"/>
      <c r="FX887" s="1071"/>
      <c r="FY887" s="1071"/>
      <c r="FZ887" s="1071"/>
      <c r="GA887" s="1071"/>
      <c r="GB887" s="1071"/>
      <c r="GC887" s="1072"/>
      <c r="GD887" s="1071"/>
      <c r="GE887" s="1071"/>
      <c r="GF887" s="1071"/>
      <c r="GG887" s="1071"/>
      <c r="GH887" s="1071"/>
      <c r="GI887" s="1071"/>
      <c r="GJ887" s="1071"/>
      <c r="GK887" s="1072"/>
      <c r="GL887" s="1071"/>
      <c r="GM887" s="1071"/>
      <c r="GN887" s="1071"/>
      <c r="GO887" s="1071"/>
      <c r="GP887" s="1071"/>
      <c r="GQ887" s="1071"/>
      <c r="GR887" s="1071"/>
      <c r="GS887" s="1072"/>
      <c r="GT887" s="1071"/>
      <c r="GU887" s="1071"/>
      <c r="GV887" s="1071"/>
      <c r="GW887" s="1071"/>
      <c r="GX887" s="1071"/>
      <c r="GY887" s="1071"/>
      <c r="GZ887" s="1071"/>
      <c r="HA887" s="1072"/>
      <c r="HB887" s="1071"/>
      <c r="HC887" s="1071"/>
      <c r="HD887" s="1071"/>
      <c r="HE887" s="1071"/>
      <c r="HF887" s="1071"/>
      <c r="HG887" s="1071"/>
      <c r="HH887" s="1071"/>
      <c r="HI887" s="1072"/>
      <c r="HJ887" s="1071"/>
      <c r="HK887" s="1071"/>
      <c r="HL887" s="1071"/>
      <c r="HM887" s="1071"/>
      <c r="HN887" s="1071"/>
      <c r="HO887" s="1071"/>
      <c r="HP887" s="1071"/>
      <c r="HQ887" s="1072"/>
      <c r="HR887" s="1071"/>
      <c r="HS887" s="1071"/>
      <c r="HT887" s="1071"/>
      <c r="HU887" s="1071"/>
      <c r="HV887" s="1071"/>
      <c r="HW887" s="1071"/>
      <c r="HX887" s="1071"/>
      <c r="HY887" s="1071"/>
      <c r="HZ887" s="1071"/>
      <c r="IA887" s="1071"/>
      <c r="IB887" s="1071"/>
      <c r="IC887" s="1071"/>
      <c r="ID887" s="1071"/>
      <c r="IE887" s="1071"/>
      <c r="IF887" s="1071"/>
      <c r="IG887" s="1072"/>
      <c r="IH887" s="1071"/>
      <c r="II887" s="1071"/>
      <c r="IJ887" s="1071"/>
      <c r="IK887" s="1071"/>
      <c r="IL887" s="1071"/>
      <c r="IM887" s="1071"/>
      <c r="IN887" s="1071"/>
      <c r="IO887" s="1072"/>
      <c r="IP887" s="1071"/>
      <c r="IQ887" s="1071"/>
      <c r="IR887" s="1071"/>
      <c r="IS887" s="1071"/>
      <c r="IT887" s="1071"/>
      <c r="IU887" s="1071"/>
      <c r="IV887" s="1071"/>
      <c r="IW887" s="1071"/>
      <c r="IX887" s="1049"/>
      <c r="IY887" s="1049"/>
      <c r="IZ887" s="1049"/>
      <c r="JA887" s="1049"/>
      <c r="JB887" s="1049"/>
      <c r="JC887" s="1049"/>
      <c r="JD887" s="1041"/>
      <c r="JE887" s="1037"/>
      <c r="JF887" s="1037"/>
      <c r="JG887" s="1037"/>
      <c r="JH887" s="1037"/>
      <c r="JI887" s="1035"/>
      <c r="JJ887" s="1035"/>
      <c r="JK887" s="1035"/>
      <c r="JL887" s="1035"/>
      <c r="JM887" s="1035"/>
      <c r="JN887" s="1035"/>
      <c r="JO887" s="1035"/>
      <c r="JP887" s="1035"/>
      <c r="JQ887" s="1035"/>
      <c r="JR887" s="1035"/>
      <c r="JS887" s="1035"/>
      <c r="JT887" s="1035"/>
      <c r="JU887" s="1035"/>
      <c r="JV887" s="1035"/>
      <c r="JW887" s="1035"/>
      <c r="JX887" s="1035"/>
      <c r="JY887" s="1035"/>
      <c r="KP887" s="1117"/>
      <c r="LV887" s="967"/>
    </row>
    <row r="888" outlineLevel="1" spans="1:334">
      <c r="A888" s="967" t="s">
        <v>61</v>
      </c>
      <c r="AX888" s="1059"/>
      <c r="BE888" s="1060"/>
      <c r="BN888" s="1059"/>
      <c r="BU888" s="1060"/>
      <c r="BV888" s="1059"/>
      <c r="CC888" s="1060"/>
      <c r="CD888" s="1059"/>
      <c r="CJ888" s="1061"/>
      <c r="CK888" s="1060"/>
      <c r="CL888" s="1059"/>
      <c r="CS888" s="1060"/>
      <c r="CT888" s="1059"/>
      <c r="CW888" s="1062"/>
      <c r="CX888" s="1062"/>
      <c r="DB888" s="1181"/>
      <c r="DC888" s="1181"/>
      <c r="DD888" s="1181"/>
      <c r="DE888" s="1194"/>
      <c r="DF888" s="1194"/>
      <c r="DG888" s="1181"/>
      <c r="DH888" s="1181"/>
      <c r="DI888" s="1182"/>
      <c r="DJ888" s="1181"/>
      <c r="DK888" s="1181"/>
      <c r="DL888" s="1181"/>
      <c r="DM888" s="1181"/>
      <c r="DN888" s="1181"/>
      <c r="DO888" s="1181"/>
      <c r="DP888" s="1181"/>
      <c r="DQ888" s="1182"/>
      <c r="DR888" s="1080"/>
      <c r="DS888" s="1080"/>
      <c r="DT888" s="1080"/>
      <c r="DU888" s="1080"/>
      <c r="DV888" s="1080"/>
      <c r="DW888" s="1080"/>
      <c r="DX888" s="1080"/>
      <c r="DY888" s="1081"/>
      <c r="DZ888" s="1080">
        <f>+DZ887/DR887-1</f>
        <v>0.233333333333333</v>
      </c>
      <c r="EA888" s="1080">
        <f t="shared" ref="EA888:EG888" si="4679">+EA887/DS887-1</f>
        <v>0.129032258064516</v>
      </c>
      <c r="EB888" s="1080">
        <f t="shared" si="4679"/>
        <v>0.180327868852459</v>
      </c>
      <c r="EC888" s="1080">
        <f t="shared" si="4679"/>
        <v>0.181818181818182</v>
      </c>
      <c r="ED888" s="1080">
        <f t="shared" si="4679"/>
        <v>0.180851063829787</v>
      </c>
      <c r="EE888" s="1080">
        <f t="shared" si="4679"/>
        <v>0.243243243243243</v>
      </c>
      <c r="EF888" s="1080">
        <f t="shared" si="4679"/>
        <v>0.214285714285714</v>
      </c>
      <c r="EG888" s="1081">
        <f t="shared" si="4679"/>
        <v>0.198473282442748</v>
      </c>
      <c r="EH888" s="1080">
        <v>0.26</v>
      </c>
      <c r="EI888" s="1080">
        <f>+EI887/EA887-1</f>
        <v>0.314285714285714</v>
      </c>
      <c r="EJ888" s="1080">
        <f>+EJ887/EB887-1</f>
        <v>0.277777777777778</v>
      </c>
      <c r="EK888" s="1080">
        <f>+EK887/EC887-1</f>
        <v>0.17948717948718</v>
      </c>
      <c r="EL888" s="1080">
        <f>+EL887/ED887-1</f>
        <v>0.243243243243243</v>
      </c>
      <c r="EM888" s="1080">
        <f>EM887/EE887-1</f>
        <v>0.304347826086957</v>
      </c>
      <c r="EN888" s="1080">
        <f>EN887/EF887-1</f>
        <v>0.247058823529412</v>
      </c>
      <c r="EO888" s="1081">
        <f>EO887/EG887-1</f>
        <v>0.261146496815287</v>
      </c>
      <c r="EP888" s="1080"/>
      <c r="EQ888" s="1080"/>
      <c r="ER888" s="1080"/>
      <c r="ES888" s="1080"/>
      <c r="ET888" s="1080"/>
      <c r="EU888" s="1080"/>
      <c r="EV888" s="1080"/>
      <c r="EW888" s="1081"/>
      <c r="EX888" s="1080"/>
      <c r="EY888" s="1080"/>
      <c r="EZ888" s="1080"/>
      <c r="FA888" s="1080"/>
      <c r="FB888" s="1080"/>
      <c r="FC888" s="1080"/>
      <c r="FD888" s="1080"/>
      <c r="FE888" s="1081"/>
      <c r="FF888" s="1080"/>
      <c r="FG888" s="1080"/>
      <c r="FH888" s="1080"/>
      <c r="FI888" s="1080"/>
      <c r="FJ888" s="1080"/>
      <c r="FK888" s="1080"/>
      <c r="FL888" s="1080"/>
      <c r="FM888" s="1081"/>
      <c r="FN888" s="1080"/>
      <c r="FO888" s="1080"/>
      <c r="FP888" s="1080"/>
      <c r="FQ888" s="1080"/>
      <c r="FR888" s="1080"/>
      <c r="FS888" s="1080"/>
      <c r="FT888" s="1080"/>
      <c r="FU888" s="1080"/>
      <c r="FV888" s="1150"/>
      <c r="FW888" s="1080"/>
      <c r="FX888" s="1080"/>
      <c r="FY888" s="1080"/>
      <c r="FZ888" s="1080"/>
      <c r="GA888" s="1080"/>
      <c r="GB888" s="1080"/>
      <c r="GC888" s="1081"/>
      <c r="GD888" s="1080"/>
      <c r="GE888" s="1080"/>
      <c r="GF888" s="1080"/>
      <c r="GG888" s="1080"/>
      <c r="GH888" s="1080"/>
      <c r="GI888" s="1080"/>
      <c r="GJ888" s="1080"/>
      <c r="GK888" s="1081"/>
      <c r="GL888" s="1080"/>
      <c r="GM888" s="1080"/>
      <c r="GN888" s="1080"/>
      <c r="GO888" s="1080"/>
      <c r="GP888" s="1080"/>
      <c r="GQ888" s="1080"/>
      <c r="GR888" s="1080"/>
      <c r="GS888" s="1081"/>
      <c r="GT888" s="1080"/>
      <c r="GU888" s="1080"/>
      <c r="GV888" s="1080"/>
      <c r="GW888" s="1080"/>
      <c r="GX888" s="1080"/>
      <c r="GY888" s="1080"/>
      <c r="GZ888" s="1080"/>
      <c r="HA888" s="1081"/>
      <c r="HB888" s="1080"/>
      <c r="HC888" s="1080"/>
      <c r="HD888" s="1080"/>
      <c r="HE888" s="1080"/>
      <c r="HF888" s="1080"/>
      <c r="HG888" s="1080"/>
      <c r="HH888" s="1080"/>
      <c r="HI888" s="1081"/>
      <c r="HJ888" s="1080"/>
      <c r="HK888" s="1080"/>
      <c r="HL888" s="1080"/>
      <c r="HM888" s="1080"/>
      <c r="HN888" s="1080"/>
      <c r="HO888" s="1080"/>
      <c r="HP888" s="1080"/>
      <c r="HQ888" s="1081"/>
      <c r="HR888" s="1080"/>
      <c r="HS888" s="1080"/>
      <c r="HT888" s="1080"/>
      <c r="HU888" s="1080"/>
      <c r="HV888" s="1080"/>
      <c r="HW888" s="1080"/>
      <c r="HX888" s="1080"/>
      <c r="HY888" s="1080"/>
      <c r="HZ888" s="1080"/>
      <c r="IA888" s="1080"/>
      <c r="IB888" s="1080"/>
      <c r="IC888" s="1080"/>
      <c r="ID888" s="1080"/>
      <c r="IE888" s="1080"/>
      <c r="IF888" s="1080"/>
      <c r="IG888" s="1081"/>
      <c r="IH888" s="1080"/>
      <c r="II888" s="1080"/>
      <c r="IJ888" s="1080"/>
      <c r="IK888" s="1080"/>
      <c r="IL888" s="1080"/>
      <c r="IM888" s="1080"/>
      <c r="IN888" s="1080"/>
      <c r="IO888" s="1081"/>
      <c r="IP888" s="1080"/>
      <c r="IQ888" s="1080"/>
      <c r="IR888" s="1080"/>
      <c r="IS888" s="1080"/>
      <c r="IT888" s="1080"/>
      <c r="IU888" s="1080"/>
      <c r="IV888" s="1080"/>
      <c r="IW888" s="1080"/>
      <c r="IX888" s="1049"/>
      <c r="IY888" s="1049"/>
      <c r="IZ888" s="1049"/>
      <c r="JA888" s="1049"/>
      <c r="JB888" s="1049"/>
      <c r="JC888" s="1049"/>
      <c r="JD888" s="1041"/>
      <c r="JE888" s="1037"/>
      <c r="JF888" s="1037"/>
      <c r="JG888" s="1037"/>
      <c r="JH888" s="1037"/>
      <c r="JI888" s="1035"/>
      <c r="JJ888" s="1035"/>
      <c r="JK888" s="1035"/>
      <c r="JL888" s="1035"/>
      <c r="JM888" s="1035"/>
      <c r="JN888" s="1035"/>
      <c r="JO888" s="1035"/>
      <c r="JP888" s="1035"/>
      <c r="JQ888" s="1035"/>
      <c r="JR888" s="1035"/>
      <c r="JS888" s="1035"/>
      <c r="JT888" s="1035"/>
      <c r="JU888" s="1035"/>
      <c r="JV888" s="1035"/>
      <c r="JW888" s="1035"/>
      <c r="JX888" s="1035"/>
      <c r="JY888" s="1035"/>
      <c r="KP888" s="1117"/>
      <c r="LV888" s="967"/>
    </row>
    <row r="889" outlineLevel="1" spans="1:334">
      <c r="A889" s="967" t="s">
        <v>65</v>
      </c>
      <c r="AX889" s="1059"/>
      <c r="BE889" s="1060"/>
      <c r="BN889" s="1059"/>
      <c r="BU889" s="1060"/>
      <c r="BV889" s="1059"/>
      <c r="CC889" s="1060"/>
      <c r="CD889" s="1059"/>
      <c r="CJ889" s="1061"/>
      <c r="CK889" s="1060"/>
      <c r="CL889" s="1059"/>
      <c r="CS889" s="1060"/>
      <c r="CT889" s="1059"/>
      <c r="CW889" s="1062"/>
      <c r="CX889" s="1062"/>
      <c r="DB889" s="1181"/>
      <c r="DC889" s="1181"/>
      <c r="DD889" s="1181"/>
      <c r="DE889" s="1194"/>
      <c r="DF889" s="1194"/>
      <c r="DG889" s="1181"/>
      <c r="DH889" s="1181"/>
      <c r="DI889" s="1182"/>
      <c r="DJ889" s="1181"/>
      <c r="DK889" s="1181"/>
      <c r="DL889" s="1181"/>
      <c r="DM889" s="1181"/>
      <c r="DN889" s="1181"/>
      <c r="DO889" s="1181"/>
      <c r="DP889" s="1181"/>
      <c r="DQ889" s="1182"/>
      <c r="DR889" s="1080"/>
      <c r="DS889" s="1080"/>
      <c r="DT889" s="1080"/>
      <c r="DU889" s="1080"/>
      <c r="DV889" s="1080"/>
      <c r="DW889" s="1080"/>
      <c r="DX889" s="1080"/>
      <c r="DY889" s="1081"/>
      <c r="DZ889" s="1080">
        <v>0.19</v>
      </c>
      <c r="EA889" s="1080"/>
      <c r="EB889" s="1080">
        <v>0.2</v>
      </c>
      <c r="EC889" s="1080"/>
      <c r="ED889" s="1080">
        <v>0.21</v>
      </c>
      <c r="EE889" s="1080"/>
      <c r="EF889" s="1080"/>
      <c r="EG889" s="1081">
        <v>0.2</v>
      </c>
      <c r="EH889" s="1080">
        <v>0.18</v>
      </c>
      <c r="EI889" s="1080"/>
      <c r="EJ889" s="1080">
        <v>0.15</v>
      </c>
      <c r="EK889" s="1080"/>
      <c r="EL889" s="1080">
        <v>0.11</v>
      </c>
      <c r="EM889" s="1080"/>
      <c r="EN889" s="1080"/>
      <c r="EO889" s="1081">
        <v>0.14</v>
      </c>
      <c r="EP889" s="1080"/>
      <c r="EQ889" s="1080"/>
      <c r="ER889" s="1080"/>
      <c r="ES889" s="1080"/>
      <c r="ET889" s="1080"/>
      <c r="EU889" s="1080"/>
      <c r="EV889" s="1080"/>
      <c r="EW889" s="1081"/>
      <c r="EX889" s="1080"/>
      <c r="EY889" s="1080"/>
      <c r="EZ889" s="1080"/>
      <c r="FA889" s="1080"/>
      <c r="FB889" s="1080"/>
      <c r="FC889" s="1080"/>
      <c r="FD889" s="1080"/>
      <c r="FE889" s="1081"/>
      <c r="FF889" s="1080"/>
      <c r="FG889" s="1080"/>
      <c r="FH889" s="1080"/>
      <c r="FI889" s="1080"/>
      <c r="FJ889" s="1080"/>
      <c r="FK889" s="1080"/>
      <c r="FL889" s="1080"/>
      <c r="FM889" s="1081"/>
      <c r="FN889" s="1080"/>
      <c r="FO889" s="1080"/>
      <c r="FP889" s="1080"/>
      <c r="FQ889" s="1080"/>
      <c r="FR889" s="1080"/>
      <c r="FS889" s="1080"/>
      <c r="FT889" s="1080"/>
      <c r="FU889" s="1080"/>
      <c r="FV889" s="1150"/>
      <c r="FW889" s="1080"/>
      <c r="FX889" s="1080"/>
      <c r="FY889" s="1080"/>
      <c r="FZ889" s="1080"/>
      <c r="GA889" s="1080"/>
      <c r="GB889" s="1080"/>
      <c r="GC889" s="1081"/>
      <c r="GD889" s="1080"/>
      <c r="GE889" s="1080"/>
      <c r="GF889" s="1080"/>
      <c r="GG889" s="1080"/>
      <c r="GH889" s="1080"/>
      <c r="GI889" s="1080"/>
      <c r="GJ889" s="1080"/>
      <c r="GK889" s="1081"/>
      <c r="GL889" s="1080"/>
      <c r="GM889" s="1080"/>
      <c r="GN889" s="1080"/>
      <c r="GO889" s="1080"/>
      <c r="GP889" s="1080"/>
      <c r="GQ889" s="1080"/>
      <c r="GR889" s="1080"/>
      <c r="GS889" s="1081"/>
      <c r="GT889" s="1080"/>
      <c r="GU889" s="1080"/>
      <c r="GV889" s="1080"/>
      <c r="GW889" s="1080"/>
      <c r="GX889" s="1080"/>
      <c r="GY889" s="1080"/>
      <c r="GZ889" s="1080"/>
      <c r="HA889" s="1081"/>
      <c r="HB889" s="1080"/>
      <c r="HC889" s="1080"/>
      <c r="HD889" s="1080"/>
      <c r="HE889" s="1080"/>
      <c r="HF889" s="1080"/>
      <c r="HG889" s="1080"/>
      <c r="HH889" s="1080"/>
      <c r="HI889" s="1081"/>
      <c r="HJ889" s="1080"/>
      <c r="HK889" s="1080"/>
      <c r="HL889" s="1080"/>
      <c r="HM889" s="1080"/>
      <c r="HN889" s="1080"/>
      <c r="HO889" s="1080"/>
      <c r="HP889" s="1080"/>
      <c r="HQ889" s="1081"/>
      <c r="HR889" s="1080"/>
      <c r="HS889" s="1080"/>
      <c r="HT889" s="1080"/>
      <c r="HU889" s="1080"/>
      <c r="HV889" s="1080"/>
      <c r="HW889" s="1080"/>
      <c r="HX889" s="1080"/>
      <c r="HY889" s="1080"/>
      <c r="HZ889" s="1080"/>
      <c r="IA889" s="1080"/>
      <c r="IB889" s="1080"/>
      <c r="IC889" s="1080"/>
      <c r="ID889" s="1080"/>
      <c r="IE889" s="1080"/>
      <c r="IF889" s="1080"/>
      <c r="IG889" s="1081"/>
      <c r="IH889" s="1080"/>
      <c r="II889" s="1080"/>
      <c r="IJ889" s="1080"/>
      <c r="IK889" s="1080"/>
      <c r="IL889" s="1080"/>
      <c r="IM889" s="1080"/>
      <c r="IN889" s="1080"/>
      <c r="IO889" s="1081"/>
      <c r="IP889" s="1080"/>
      <c r="IQ889" s="1080"/>
      <c r="IR889" s="1080"/>
      <c r="IS889" s="1080"/>
      <c r="IT889" s="1080"/>
      <c r="IU889" s="1080"/>
      <c r="IV889" s="1080"/>
      <c r="IW889" s="1080"/>
      <c r="IX889" s="1049"/>
      <c r="IY889" s="1049"/>
      <c r="IZ889" s="1049"/>
      <c r="JA889" s="1049"/>
      <c r="JB889" s="1049"/>
      <c r="JC889" s="1049"/>
      <c r="JD889" s="1041"/>
      <c r="JE889" s="1037"/>
      <c r="JF889" s="1037"/>
      <c r="JG889" s="1037"/>
      <c r="JH889" s="1037"/>
      <c r="JI889" s="1035"/>
      <c r="JJ889" s="1035"/>
      <c r="JK889" s="1035"/>
      <c r="JL889" s="1035"/>
      <c r="JM889" s="1035"/>
      <c r="JN889" s="1035"/>
      <c r="JO889" s="1035"/>
      <c r="JP889" s="1035"/>
      <c r="JQ889" s="1035"/>
      <c r="JR889" s="1035"/>
      <c r="JS889" s="1035"/>
      <c r="JT889" s="1035"/>
      <c r="JU889" s="1035"/>
      <c r="JV889" s="1035"/>
      <c r="JW889" s="1035"/>
      <c r="JX889" s="1035"/>
      <c r="JY889" s="1035"/>
      <c r="KP889" s="1117"/>
      <c r="LV889" s="967"/>
    </row>
    <row r="890" outlineLevel="1" spans="1:334">
      <c r="A890" s="967" t="s">
        <v>675</v>
      </c>
      <c r="AX890" s="1059"/>
      <c r="BE890" s="1060"/>
      <c r="BN890" s="1059"/>
      <c r="BU890" s="1060"/>
      <c r="BV890" s="1059"/>
      <c r="CC890" s="1060"/>
      <c r="CD890" s="1059"/>
      <c r="CJ890" s="1061"/>
      <c r="CK890" s="1060"/>
      <c r="CL890" s="1059"/>
      <c r="CS890" s="1060"/>
      <c r="CT890" s="1059"/>
      <c r="CW890" s="1062"/>
      <c r="CX890" s="1062"/>
      <c r="DB890" s="1181"/>
      <c r="DC890" s="1181"/>
      <c r="DD890" s="1181"/>
      <c r="DE890" s="1194"/>
      <c r="DF890" s="1194"/>
      <c r="DG890" s="1181"/>
      <c r="DH890" s="1181"/>
      <c r="DI890" s="1182"/>
      <c r="DJ890" s="1181"/>
      <c r="DK890" s="1181"/>
      <c r="DL890" s="1181"/>
      <c r="DM890" s="1181"/>
      <c r="DN890" s="1181"/>
      <c r="DO890" s="1181"/>
      <c r="DP890" s="1181"/>
      <c r="DQ890" s="1182"/>
      <c r="DR890" s="1080"/>
      <c r="DS890" s="1080"/>
      <c r="DT890" s="1080"/>
      <c r="DU890" s="1080"/>
      <c r="DV890" s="1080"/>
      <c r="DW890" s="1080"/>
      <c r="DX890" s="1080"/>
      <c r="DY890" s="1081"/>
      <c r="DZ890" s="1080"/>
      <c r="EA890" s="1080"/>
      <c r="EB890" s="1080"/>
      <c r="EC890" s="1080"/>
      <c r="ED890" s="1080"/>
      <c r="EE890" s="1080"/>
      <c r="EF890" s="1080"/>
      <c r="EG890" s="1081"/>
      <c r="EH890" s="1080">
        <f>(EH892/DZ892-1)*0.5</f>
        <v>-0.0512195735912251</v>
      </c>
      <c r="EI890" s="1080"/>
      <c r="EJ890" s="1080"/>
      <c r="EK890" s="1080"/>
      <c r="EL890" s="1080"/>
      <c r="EM890" s="1080"/>
      <c r="EN890" s="1080"/>
      <c r="EO890" s="1081"/>
      <c r="EP890" s="1080"/>
      <c r="EQ890" s="1080"/>
      <c r="ER890" s="1080"/>
      <c r="ES890" s="1080"/>
      <c r="ET890" s="1080"/>
      <c r="EU890" s="1080"/>
      <c r="EV890" s="1080"/>
      <c r="EW890" s="1081"/>
      <c r="EX890" s="1080"/>
      <c r="EY890" s="1080"/>
      <c r="EZ890" s="1080"/>
      <c r="FA890" s="1080"/>
      <c r="FB890" s="1080"/>
      <c r="FC890" s="1080"/>
      <c r="FD890" s="1080"/>
      <c r="FE890" s="1081"/>
      <c r="FF890" s="1080"/>
      <c r="FG890" s="1080"/>
      <c r="FH890" s="1080"/>
      <c r="FI890" s="1080"/>
      <c r="FJ890" s="1080"/>
      <c r="FK890" s="1080"/>
      <c r="FL890" s="1080"/>
      <c r="FM890" s="1081"/>
      <c r="FN890" s="1080"/>
      <c r="FO890" s="1080"/>
      <c r="FP890" s="1080"/>
      <c r="FQ890" s="1080"/>
      <c r="FR890" s="1080"/>
      <c r="FS890" s="1080"/>
      <c r="FT890" s="1080"/>
      <c r="FU890" s="1080"/>
      <c r="FV890" s="1150"/>
      <c r="FW890" s="1080"/>
      <c r="FX890" s="1080"/>
      <c r="FY890" s="1080"/>
      <c r="FZ890" s="1080"/>
      <c r="GA890" s="1080"/>
      <c r="GB890" s="1080"/>
      <c r="GC890" s="1081"/>
      <c r="GD890" s="1080"/>
      <c r="GE890" s="1080"/>
      <c r="GF890" s="1080"/>
      <c r="GG890" s="1080"/>
      <c r="GH890" s="1080"/>
      <c r="GI890" s="1080"/>
      <c r="GJ890" s="1080"/>
      <c r="GK890" s="1081"/>
      <c r="GL890" s="1080"/>
      <c r="GM890" s="1080"/>
      <c r="GN890" s="1080"/>
      <c r="GO890" s="1080"/>
      <c r="GP890" s="1080"/>
      <c r="GQ890" s="1080"/>
      <c r="GR890" s="1080"/>
      <c r="GS890" s="1081"/>
      <c r="GT890" s="1080"/>
      <c r="GU890" s="1080"/>
      <c r="GV890" s="1080"/>
      <c r="GW890" s="1080"/>
      <c r="GX890" s="1080"/>
      <c r="GY890" s="1080"/>
      <c r="GZ890" s="1080"/>
      <c r="HA890" s="1081"/>
      <c r="HB890" s="1080"/>
      <c r="HC890" s="1080"/>
      <c r="HD890" s="1080"/>
      <c r="HE890" s="1080"/>
      <c r="HF890" s="1080"/>
      <c r="HG890" s="1080"/>
      <c r="HH890" s="1080"/>
      <c r="HI890" s="1081"/>
      <c r="HJ890" s="1080"/>
      <c r="HK890" s="1080"/>
      <c r="HL890" s="1080"/>
      <c r="HM890" s="1080"/>
      <c r="HN890" s="1080"/>
      <c r="HO890" s="1080"/>
      <c r="HP890" s="1080"/>
      <c r="HQ890" s="1081"/>
      <c r="HR890" s="1080"/>
      <c r="HS890" s="1080"/>
      <c r="HT890" s="1080"/>
      <c r="HU890" s="1080"/>
      <c r="HV890" s="1080"/>
      <c r="HW890" s="1080"/>
      <c r="HX890" s="1080"/>
      <c r="HY890" s="1080"/>
      <c r="HZ890" s="1080"/>
      <c r="IA890" s="1080"/>
      <c r="IB890" s="1080"/>
      <c r="IC890" s="1080"/>
      <c r="ID890" s="1080"/>
      <c r="IE890" s="1080"/>
      <c r="IF890" s="1080"/>
      <c r="IG890" s="1081"/>
      <c r="IH890" s="1080"/>
      <c r="II890" s="1080"/>
      <c r="IJ890" s="1080"/>
      <c r="IK890" s="1080"/>
      <c r="IL890" s="1080"/>
      <c r="IM890" s="1080"/>
      <c r="IN890" s="1080"/>
      <c r="IO890" s="1081"/>
      <c r="IP890" s="1080"/>
      <c r="IQ890" s="1080"/>
      <c r="IR890" s="1080"/>
      <c r="IS890" s="1080"/>
      <c r="IT890" s="1080"/>
      <c r="IU890" s="1080"/>
      <c r="IV890" s="1080"/>
      <c r="IW890" s="1080"/>
      <c r="IX890" s="1049"/>
      <c r="IY890" s="1049"/>
      <c r="IZ890" s="1049"/>
      <c r="JA890" s="1049"/>
      <c r="JB890" s="1049"/>
      <c r="JC890" s="1049"/>
      <c r="JD890" s="1041"/>
      <c r="JE890" s="1037"/>
      <c r="JF890" s="1037"/>
      <c r="JG890" s="1037"/>
      <c r="JH890" s="1037"/>
      <c r="JI890" s="1035"/>
      <c r="JJ890" s="1035"/>
      <c r="JK890" s="1035"/>
      <c r="JL890" s="1035"/>
      <c r="JM890" s="1035"/>
      <c r="JN890" s="1035"/>
      <c r="JO890" s="1035"/>
      <c r="JP890" s="1035"/>
      <c r="JQ890" s="1035"/>
      <c r="JR890" s="1035"/>
      <c r="JS890" s="1035"/>
      <c r="JT890" s="1035"/>
      <c r="JU890" s="1035"/>
      <c r="JV890" s="1035"/>
      <c r="JW890" s="1035"/>
      <c r="JX890" s="1035"/>
      <c r="JY890" s="1035"/>
      <c r="KP890" s="1117"/>
      <c r="LV890" s="967"/>
    </row>
    <row r="891" outlineLevel="1" spans="1:334">
      <c r="A891" s="967" t="s">
        <v>676</v>
      </c>
      <c r="AX891" s="1059"/>
      <c r="BE891" s="1060"/>
      <c r="BN891" s="1059"/>
      <c r="BU891" s="1060"/>
      <c r="BV891" s="1059"/>
      <c r="CC891" s="1060"/>
      <c r="CD891" s="1059"/>
      <c r="CJ891" s="1061"/>
      <c r="CK891" s="1060"/>
      <c r="CL891" s="1059"/>
      <c r="CS891" s="1060"/>
      <c r="CT891" s="1059"/>
      <c r="CW891" s="1062"/>
      <c r="CX891" s="1062"/>
      <c r="DB891" s="1181"/>
      <c r="DC891" s="1181"/>
      <c r="DD891" s="1181"/>
      <c r="DE891" s="1194"/>
      <c r="DF891" s="1194"/>
      <c r="DG891" s="1181"/>
      <c r="DH891" s="1181"/>
      <c r="DI891" s="1182"/>
      <c r="DJ891" s="1181"/>
      <c r="DK891" s="1181"/>
      <c r="DL891" s="1181"/>
      <c r="DM891" s="1181"/>
      <c r="DN891" s="1181"/>
      <c r="DO891" s="1181"/>
      <c r="DP891" s="1181"/>
      <c r="DQ891" s="1182"/>
      <c r="DR891" s="1080"/>
      <c r="DS891" s="1080"/>
      <c r="DT891" s="1080"/>
      <c r="DU891" s="1080"/>
      <c r="DV891" s="1080"/>
      <c r="DW891" s="1080"/>
      <c r="DX891" s="1080"/>
      <c r="DY891" s="1081"/>
      <c r="DZ891" s="1080"/>
      <c r="EA891" s="1080"/>
      <c r="EB891" s="1080"/>
      <c r="EC891" s="1080"/>
      <c r="ED891" s="1080"/>
      <c r="EE891" s="1080"/>
      <c r="EF891" s="1080"/>
      <c r="EG891" s="1081"/>
      <c r="EH891" s="1080">
        <f>EH889-EH890</f>
        <v>0.231219573591225</v>
      </c>
      <c r="EI891" s="1080"/>
      <c r="EJ891" s="1080"/>
      <c r="EK891" s="1080"/>
      <c r="EL891" s="1080"/>
      <c r="EM891" s="1080"/>
      <c r="EN891" s="1080"/>
      <c r="EO891" s="1081"/>
      <c r="EP891" s="1080"/>
      <c r="EQ891" s="1080"/>
      <c r="ER891" s="1080"/>
      <c r="ES891" s="1080"/>
      <c r="ET891" s="1080"/>
      <c r="EU891" s="1080"/>
      <c r="EV891" s="1080"/>
      <c r="EW891" s="1081"/>
      <c r="EX891" s="1080"/>
      <c r="EY891" s="1080"/>
      <c r="EZ891" s="1080"/>
      <c r="FA891" s="1080"/>
      <c r="FB891" s="1080"/>
      <c r="FC891" s="1080"/>
      <c r="FD891" s="1080"/>
      <c r="FE891" s="1081"/>
      <c r="FF891" s="1080"/>
      <c r="FG891" s="1080"/>
      <c r="FH891" s="1080"/>
      <c r="FI891" s="1080"/>
      <c r="FJ891" s="1080"/>
      <c r="FK891" s="1080"/>
      <c r="FL891" s="1080"/>
      <c r="FM891" s="1081"/>
      <c r="FN891" s="1080"/>
      <c r="FO891" s="1080"/>
      <c r="FP891" s="1080"/>
      <c r="FQ891" s="1080"/>
      <c r="FR891" s="1080"/>
      <c r="FS891" s="1080"/>
      <c r="FT891" s="1080"/>
      <c r="FU891" s="1080"/>
      <c r="FV891" s="1150"/>
      <c r="FW891" s="1080"/>
      <c r="FX891" s="1080"/>
      <c r="FY891" s="1080"/>
      <c r="FZ891" s="1080"/>
      <c r="GA891" s="1080"/>
      <c r="GB891" s="1080"/>
      <c r="GC891" s="1081"/>
      <c r="GD891" s="1080"/>
      <c r="GE891" s="1080"/>
      <c r="GF891" s="1080"/>
      <c r="GG891" s="1080"/>
      <c r="GH891" s="1080"/>
      <c r="GI891" s="1080"/>
      <c r="GJ891" s="1080"/>
      <c r="GK891" s="1081"/>
      <c r="GL891" s="1080"/>
      <c r="GM891" s="1080"/>
      <c r="GN891" s="1080"/>
      <c r="GO891" s="1080"/>
      <c r="GP891" s="1080"/>
      <c r="GQ891" s="1080"/>
      <c r="GR891" s="1080"/>
      <c r="GS891" s="1081"/>
      <c r="GT891" s="1080"/>
      <c r="GU891" s="1080"/>
      <c r="GV891" s="1080"/>
      <c r="GW891" s="1080"/>
      <c r="GX891" s="1080"/>
      <c r="GY891" s="1080"/>
      <c r="GZ891" s="1080"/>
      <c r="HA891" s="1081"/>
      <c r="HB891" s="1080"/>
      <c r="HC891" s="1080"/>
      <c r="HD891" s="1080"/>
      <c r="HE891" s="1080"/>
      <c r="HF891" s="1080"/>
      <c r="HG891" s="1080"/>
      <c r="HH891" s="1080"/>
      <c r="HI891" s="1081"/>
      <c r="HJ891" s="1080"/>
      <c r="HK891" s="1080"/>
      <c r="HL891" s="1080"/>
      <c r="HM891" s="1080"/>
      <c r="HN891" s="1080"/>
      <c r="HO891" s="1080"/>
      <c r="HP891" s="1080"/>
      <c r="HQ891" s="1081"/>
      <c r="HR891" s="1080"/>
      <c r="HS891" s="1080"/>
      <c r="HT891" s="1080"/>
      <c r="HU891" s="1080"/>
      <c r="HV891" s="1080"/>
      <c r="HW891" s="1080"/>
      <c r="HX891" s="1080"/>
      <c r="HY891" s="1080"/>
      <c r="HZ891" s="1080"/>
      <c r="IA891" s="1080"/>
      <c r="IB891" s="1080"/>
      <c r="IC891" s="1080"/>
      <c r="ID891" s="1080"/>
      <c r="IE891" s="1080"/>
      <c r="IF891" s="1080"/>
      <c r="IG891" s="1081"/>
      <c r="IH891" s="1080"/>
      <c r="II891" s="1080"/>
      <c r="IJ891" s="1080"/>
      <c r="IK891" s="1080"/>
      <c r="IL891" s="1080"/>
      <c r="IM891" s="1080"/>
      <c r="IN891" s="1080"/>
      <c r="IO891" s="1081"/>
      <c r="IP891" s="1080"/>
      <c r="IQ891" s="1080"/>
      <c r="IR891" s="1080"/>
      <c r="IS891" s="1080"/>
      <c r="IT891" s="1080"/>
      <c r="IU891" s="1080"/>
      <c r="IV891" s="1080"/>
      <c r="IW891" s="1080"/>
      <c r="IX891" s="1049"/>
      <c r="IY891" s="1049"/>
      <c r="IZ891" s="1049"/>
      <c r="JA891" s="1049"/>
      <c r="JB891" s="1049"/>
      <c r="JC891" s="1049"/>
      <c r="JD891" s="1041"/>
      <c r="JE891" s="1037"/>
      <c r="JF891" s="1037"/>
      <c r="JG891" s="1037"/>
      <c r="JH891" s="1037"/>
      <c r="JI891" s="1035"/>
      <c r="JJ891" s="1035"/>
      <c r="JK891" s="1035"/>
      <c r="JL891" s="1035"/>
      <c r="JM891" s="1035"/>
      <c r="JN891" s="1035"/>
      <c r="JO891" s="1035"/>
      <c r="JP891" s="1035"/>
      <c r="JQ891" s="1035"/>
      <c r="JR891" s="1035"/>
      <c r="JS891" s="1035"/>
      <c r="JT891" s="1035"/>
      <c r="JU891" s="1035"/>
      <c r="JV891" s="1035"/>
      <c r="JW891" s="1035"/>
      <c r="JX891" s="1035"/>
      <c r="JY891" s="1035"/>
      <c r="KP891" s="1117"/>
      <c r="LV891" s="967"/>
    </row>
    <row r="892" outlineLevel="1" spans="1:334">
      <c r="A892" s="967" t="s">
        <v>677</v>
      </c>
      <c r="AX892" s="1059"/>
      <c r="BE892" s="1060"/>
      <c r="BN892" s="1059"/>
      <c r="BU892" s="1060"/>
      <c r="BV892" s="1059"/>
      <c r="CC892" s="1060"/>
      <c r="CD892" s="1059"/>
      <c r="CJ892" s="1061"/>
      <c r="CK892" s="1060"/>
      <c r="CL892" s="1059"/>
      <c r="CS892" s="1060"/>
      <c r="CT892" s="1059"/>
      <c r="CW892" s="1062"/>
      <c r="CX892" s="1062"/>
      <c r="DB892" s="1181"/>
      <c r="DC892" s="1181"/>
      <c r="DD892" s="1181"/>
      <c r="DE892" s="1194"/>
      <c r="DF892" s="1194"/>
      <c r="DG892" s="1181"/>
      <c r="DH892" s="1181"/>
      <c r="DI892" s="1182"/>
      <c r="DJ892" s="1181"/>
      <c r="DK892" s="1181"/>
      <c r="DL892" s="1181"/>
      <c r="DM892" s="1181"/>
      <c r="DN892" s="1181"/>
      <c r="DO892" s="1181"/>
      <c r="DP892" s="1181"/>
      <c r="DQ892" s="1182"/>
      <c r="DR892" s="1148"/>
      <c r="DS892" s="1148"/>
      <c r="DT892" s="1148"/>
      <c r="DU892" s="1148"/>
      <c r="DV892" s="1148"/>
      <c r="DW892" s="1148"/>
      <c r="DX892" s="1148"/>
      <c r="DY892" s="1149"/>
      <c r="DZ892" s="1610">
        <f>DZ143*DZ114</f>
        <v>199.311946226703</v>
      </c>
      <c r="EA892" s="1610">
        <f>EA143*EA114</f>
        <v>204.3125</v>
      </c>
      <c r="EB892" s="1610">
        <f>EA892</f>
        <v>204.3125</v>
      </c>
      <c r="EC892" s="1610">
        <f>EC143*EC114</f>
        <v>218.273798076923</v>
      </c>
      <c r="ED892" s="1610">
        <f>EC892</f>
        <v>218.273798076923</v>
      </c>
      <c r="EE892" s="1610">
        <f>EE143*EE114</f>
        <v>167.494600431965</v>
      </c>
      <c r="EF892" s="1610">
        <f>EE892</f>
        <v>167.494600431965</v>
      </c>
      <c r="EG892" s="1611">
        <f>EF892</f>
        <v>167.494600431965</v>
      </c>
      <c r="EH892" s="1610">
        <f>EG892+EH144*0.3</f>
        <v>178.894600431965</v>
      </c>
      <c r="EI892" s="1148"/>
      <c r="EJ892" s="1148"/>
      <c r="EK892" s="1148"/>
      <c r="EL892" s="1148"/>
      <c r="EM892" s="1148"/>
      <c r="EN892" s="1148"/>
      <c r="EO892" s="1149"/>
      <c r="EP892" s="1148"/>
      <c r="EQ892" s="1148"/>
      <c r="ER892" s="1148"/>
      <c r="ES892" s="1148"/>
      <c r="ET892" s="1148"/>
      <c r="EU892" s="1148"/>
      <c r="EV892" s="1148"/>
      <c r="EW892" s="1149"/>
      <c r="EX892" s="1148"/>
      <c r="EY892" s="1148"/>
      <c r="EZ892" s="1148"/>
      <c r="FA892" s="1148"/>
      <c r="FB892" s="1148"/>
      <c r="FC892" s="1148"/>
      <c r="FD892" s="1148"/>
      <c r="FE892" s="1149"/>
      <c r="FF892" s="1148"/>
      <c r="FG892" s="1148"/>
      <c r="FH892" s="1148"/>
      <c r="FI892" s="1148"/>
      <c r="FJ892" s="1148"/>
      <c r="FK892" s="1148"/>
      <c r="FL892" s="1148"/>
      <c r="FM892" s="1149"/>
      <c r="FN892" s="1148"/>
      <c r="FO892" s="1148"/>
      <c r="FP892" s="1148"/>
      <c r="FQ892" s="1148"/>
      <c r="FR892" s="1148"/>
      <c r="FS892" s="1148"/>
      <c r="FT892" s="1148"/>
      <c r="FU892" s="1148"/>
      <c r="FV892" s="1151"/>
      <c r="FW892" s="1148"/>
      <c r="FX892" s="1148"/>
      <c r="FY892" s="1148"/>
      <c r="FZ892" s="1148"/>
      <c r="GA892" s="1148"/>
      <c r="GB892" s="1148"/>
      <c r="GC892" s="1149"/>
      <c r="GD892" s="1148"/>
      <c r="GE892" s="1148"/>
      <c r="GF892" s="1148"/>
      <c r="GG892" s="1148"/>
      <c r="GH892" s="1148"/>
      <c r="GI892" s="1148"/>
      <c r="GJ892" s="1148"/>
      <c r="GK892" s="1149"/>
      <c r="GL892" s="1148"/>
      <c r="GM892" s="1148"/>
      <c r="GN892" s="1148"/>
      <c r="GO892" s="1148"/>
      <c r="GP892" s="1148"/>
      <c r="GQ892" s="1148"/>
      <c r="GR892" s="1148"/>
      <c r="GS892" s="1149"/>
      <c r="GT892" s="1148"/>
      <c r="GU892" s="1148"/>
      <c r="GV892" s="1148"/>
      <c r="GW892" s="1148"/>
      <c r="GX892" s="1148"/>
      <c r="GY892" s="1148"/>
      <c r="GZ892" s="1148"/>
      <c r="HA892" s="1149"/>
      <c r="HB892" s="1148"/>
      <c r="HC892" s="1148"/>
      <c r="HD892" s="1148"/>
      <c r="HE892" s="1148"/>
      <c r="HF892" s="1148"/>
      <c r="HG892" s="1148"/>
      <c r="HH892" s="1148"/>
      <c r="HI892" s="1149"/>
      <c r="HJ892" s="1148"/>
      <c r="HK892" s="1148"/>
      <c r="HL892" s="1148"/>
      <c r="HM892" s="1148"/>
      <c r="HN892" s="1148"/>
      <c r="HO892" s="1148"/>
      <c r="HP892" s="1148"/>
      <c r="HQ892" s="1149"/>
      <c r="HR892" s="1148"/>
      <c r="HS892" s="1148"/>
      <c r="HT892" s="1148"/>
      <c r="HU892" s="1148"/>
      <c r="HV892" s="1148"/>
      <c r="HW892" s="1148"/>
      <c r="HX892" s="1148"/>
      <c r="HY892" s="1148"/>
      <c r="HZ892" s="1148"/>
      <c r="IA892" s="1148"/>
      <c r="IB892" s="1148"/>
      <c r="IC892" s="1148"/>
      <c r="ID892" s="1148"/>
      <c r="IE892" s="1148"/>
      <c r="IF892" s="1148"/>
      <c r="IG892" s="1149"/>
      <c r="IH892" s="1148"/>
      <c r="II892" s="1148"/>
      <c r="IJ892" s="1148"/>
      <c r="IK892" s="1148"/>
      <c r="IL892" s="1148"/>
      <c r="IM892" s="1148"/>
      <c r="IN892" s="1148"/>
      <c r="IO892" s="1149"/>
      <c r="IP892" s="1148"/>
      <c r="IQ892" s="1148"/>
      <c r="IR892" s="1148"/>
      <c r="IS892" s="1148"/>
      <c r="IT892" s="1148"/>
      <c r="IU892" s="1148"/>
      <c r="IV892" s="1148"/>
      <c r="IW892" s="1148"/>
      <c r="IX892" s="1049"/>
      <c r="IY892" s="1049"/>
      <c r="IZ892" s="1049"/>
      <c r="JA892" s="1049"/>
      <c r="JB892" s="1049"/>
      <c r="JC892" s="1049"/>
      <c r="JD892" s="1041"/>
      <c r="JE892" s="1037"/>
      <c r="JF892" s="1037"/>
      <c r="JG892" s="1037"/>
      <c r="JH892" s="1037"/>
      <c r="JI892" s="1035"/>
      <c r="JJ892" s="1035"/>
      <c r="JK892" s="1035"/>
      <c r="JL892" s="1035"/>
      <c r="JM892" s="1035"/>
      <c r="JN892" s="1035"/>
      <c r="JO892" s="1035"/>
      <c r="JP892" s="1035"/>
      <c r="JQ892" s="1035"/>
      <c r="JR892" s="1035"/>
      <c r="JS892" s="1035"/>
      <c r="JT892" s="1035"/>
      <c r="JU892" s="1035"/>
      <c r="JV892" s="1035"/>
      <c r="JW892" s="1035"/>
      <c r="JX892" s="1035"/>
      <c r="JY892" s="1035"/>
      <c r="KP892" s="1117"/>
      <c r="LV892" s="967"/>
    </row>
    <row r="893" outlineLevel="1" spans="1:334">
      <c r="A893" s="1180" t="s">
        <v>525</v>
      </c>
      <c r="AX893" s="1059"/>
      <c r="BE893" s="1060"/>
      <c r="BN893" s="1059"/>
      <c r="BU893" s="1060"/>
      <c r="BV893" s="1059"/>
      <c r="CC893" s="1060"/>
      <c r="CD893" s="1059"/>
      <c r="CJ893" s="1061"/>
      <c r="CK893" s="1060"/>
      <c r="CL893" s="1059"/>
      <c r="CS893" s="1060"/>
      <c r="CT893" s="1059"/>
      <c r="CW893" s="1062"/>
      <c r="CX893" s="1062"/>
      <c r="DB893" s="1181"/>
      <c r="DC893" s="1181"/>
      <c r="DD893" s="1181"/>
      <c r="DE893" s="1194"/>
      <c r="DF893" s="1194"/>
      <c r="DG893" s="1181"/>
      <c r="DH893" s="1181"/>
      <c r="DI893" s="1182"/>
      <c r="DJ893" s="1181"/>
      <c r="DK893" s="1181"/>
      <c r="DL893" s="1181"/>
      <c r="DM893" s="1181"/>
      <c r="DN893" s="1181"/>
      <c r="DO893" s="1181"/>
      <c r="DP893" s="1181"/>
      <c r="DQ893" s="1182"/>
      <c r="DR893" s="1071">
        <v>71</v>
      </c>
      <c r="DS893" s="1071">
        <f>+DT893-DR893</f>
        <v>81</v>
      </c>
      <c r="DT893" s="1071">
        <v>152</v>
      </c>
      <c r="DU893" s="1071">
        <f>+DV893-DT893</f>
        <v>86</v>
      </c>
      <c r="DV893" s="1071">
        <v>238</v>
      </c>
      <c r="DW893" s="1071">
        <f>DX893-DU893</f>
        <v>92</v>
      </c>
      <c r="DX893" s="1071">
        <f>DY893-DT893</f>
        <v>178</v>
      </c>
      <c r="DY893" s="1072">
        <v>330</v>
      </c>
      <c r="DZ893" s="1071">
        <v>80.8</v>
      </c>
      <c r="EA893" s="1071">
        <f>+EB893-DZ893</f>
        <v>90.2</v>
      </c>
      <c r="EB893" s="1071">
        <v>171</v>
      </c>
      <c r="EC893" s="1071">
        <f>+ED893-EB893</f>
        <v>95</v>
      </c>
      <c r="ED893" s="1071">
        <v>266</v>
      </c>
      <c r="EE893" s="1071">
        <f>EF893-EC893</f>
        <v>107</v>
      </c>
      <c r="EF893" s="1071">
        <f>EG893-EB893</f>
        <v>202</v>
      </c>
      <c r="EG893" s="1072">
        <v>373</v>
      </c>
      <c r="EH893" s="1071">
        <v>102</v>
      </c>
      <c r="EI893" s="1071">
        <f>+EJ893-EH893</f>
        <v>112</v>
      </c>
      <c r="EJ893" s="1071">
        <v>214</v>
      </c>
      <c r="EK893" s="1071">
        <f>+EL893-EJ893</f>
        <v>112</v>
      </c>
      <c r="EL893" s="1071">
        <v>326</v>
      </c>
      <c r="EM893" s="1071">
        <f>EN893-EK893</f>
        <v>110</v>
      </c>
      <c r="EN893" s="1071">
        <f>EO893-EJ893</f>
        <v>222</v>
      </c>
      <c r="EO893" s="1072">
        <v>436</v>
      </c>
      <c r="EP893" s="1071"/>
      <c r="EQ893" s="1071"/>
      <c r="ER893" s="1071"/>
      <c r="ES893" s="1071"/>
      <c r="ET893" s="1071"/>
      <c r="EU893" s="1071"/>
      <c r="EV893" s="1071"/>
      <c r="EW893" s="1072"/>
      <c r="EX893" s="1071"/>
      <c r="EY893" s="1071"/>
      <c r="EZ893" s="1071"/>
      <c r="FA893" s="1071"/>
      <c r="FB893" s="1071"/>
      <c r="FC893" s="1071"/>
      <c r="FD893" s="1071"/>
      <c r="FE893" s="1072"/>
      <c r="FF893" s="1071"/>
      <c r="FG893" s="1071"/>
      <c r="FH893" s="1071"/>
      <c r="FI893" s="1071"/>
      <c r="FJ893" s="1071"/>
      <c r="FK893" s="1071"/>
      <c r="FL893" s="1071"/>
      <c r="FM893" s="1072"/>
      <c r="FN893" s="1071"/>
      <c r="FO893" s="1071"/>
      <c r="FP893" s="1071"/>
      <c r="FQ893" s="1071"/>
      <c r="FR893" s="1071"/>
      <c r="FS893" s="1071"/>
      <c r="FT893" s="1071"/>
      <c r="FU893" s="1071"/>
      <c r="FV893" s="1177"/>
      <c r="FW893" s="1071"/>
      <c r="FX893" s="1071"/>
      <c r="FY893" s="1071"/>
      <c r="FZ893" s="1071"/>
      <c r="GA893" s="1071"/>
      <c r="GB893" s="1071"/>
      <c r="GC893" s="1072"/>
      <c r="GD893" s="1071"/>
      <c r="GE893" s="1071"/>
      <c r="GF893" s="1071"/>
      <c r="GG893" s="1071"/>
      <c r="GH893" s="1071"/>
      <c r="GI893" s="1071"/>
      <c r="GJ893" s="1071"/>
      <c r="GK893" s="1072"/>
      <c r="GL893" s="1071"/>
      <c r="GM893" s="1071"/>
      <c r="GN893" s="1071"/>
      <c r="GO893" s="1071"/>
      <c r="GP893" s="1071"/>
      <c r="GQ893" s="1071"/>
      <c r="GR893" s="1071"/>
      <c r="GS893" s="1072"/>
      <c r="GT893" s="1071"/>
      <c r="GU893" s="1071"/>
      <c r="GV893" s="1071"/>
      <c r="GW893" s="1071"/>
      <c r="GX893" s="1071"/>
      <c r="GY893" s="1071"/>
      <c r="GZ893" s="1071"/>
      <c r="HA893" s="1072"/>
      <c r="HB893" s="1071"/>
      <c r="HC893" s="1071"/>
      <c r="HD893" s="1071"/>
      <c r="HE893" s="1071"/>
      <c r="HF893" s="1071"/>
      <c r="HG893" s="1071"/>
      <c r="HH893" s="1071"/>
      <c r="HI893" s="1072"/>
      <c r="HJ893" s="1071"/>
      <c r="HK893" s="1071"/>
      <c r="HL893" s="1071"/>
      <c r="HM893" s="1071"/>
      <c r="HN893" s="1071"/>
      <c r="HO893" s="1071"/>
      <c r="HP893" s="1071"/>
      <c r="HQ893" s="1072"/>
      <c r="HR893" s="1071"/>
      <c r="HS893" s="1071"/>
      <c r="HT893" s="1071"/>
      <c r="HU893" s="1071"/>
      <c r="HV893" s="1071"/>
      <c r="HW893" s="1071"/>
      <c r="HX893" s="1071"/>
      <c r="HY893" s="1071"/>
      <c r="HZ893" s="1071"/>
      <c r="IA893" s="1071"/>
      <c r="IB893" s="1071"/>
      <c r="IC893" s="1071"/>
      <c r="ID893" s="1071"/>
      <c r="IE893" s="1071"/>
      <c r="IF893" s="1071"/>
      <c r="IG893" s="1072"/>
      <c r="IH893" s="1071"/>
      <c r="II893" s="1071"/>
      <c r="IJ893" s="1071"/>
      <c r="IK893" s="1071"/>
      <c r="IL893" s="1071"/>
      <c r="IM893" s="1071"/>
      <c r="IN893" s="1071"/>
      <c r="IO893" s="1072"/>
      <c r="IP893" s="1071"/>
      <c r="IQ893" s="1071"/>
      <c r="IR893" s="1071"/>
      <c r="IS893" s="1071"/>
      <c r="IT893" s="1071"/>
      <c r="IU893" s="1071"/>
      <c r="IV893" s="1071"/>
      <c r="IW893" s="1071"/>
      <c r="IX893" s="1049"/>
      <c r="IY893" s="1049"/>
      <c r="IZ893" s="1049"/>
      <c r="JA893" s="1049"/>
      <c r="JB893" s="1049"/>
      <c r="JC893" s="1049"/>
      <c r="JD893" s="1041"/>
      <c r="JE893" s="1037"/>
      <c r="JF893" s="1037"/>
      <c r="JG893" s="1037"/>
      <c r="JH893" s="1037"/>
      <c r="JI893" s="1035"/>
      <c r="JJ893" s="1035"/>
      <c r="JK893" s="1035"/>
      <c r="JL893" s="1035"/>
      <c r="JM893" s="1035"/>
      <c r="JN893" s="1035"/>
      <c r="JO893" s="1035"/>
      <c r="JP893" s="1035"/>
      <c r="JQ893" s="1035"/>
      <c r="JR893" s="1035"/>
      <c r="JS893" s="1035"/>
      <c r="JT893" s="1035"/>
      <c r="JU893" s="1035"/>
      <c r="JV893" s="1035"/>
      <c r="JW893" s="1035"/>
      <c r="JX893" s="1035"/>
      <c r="JY893" s="1035"/>
      <c r="KP893" s="1117"/>
      <c r="LV893" s="967"/>
    </row>
    <row r="894" outlineLevel="1" spans="1:334">
      <c r="A894" s="967" t="s">
        <v>61</v>
      </c>
      <c r="AX894" s="1059"/>
      <c r="BE894" s="1060"/>
      <c r="BN894" s="1059"/>
      <c r="BU894" s="1060"/>
      <c r="BV894" s="1059"/>
      <c r="CC894" s="1060"/>
      <c r="CD894" s="1059"/>
      <c r="CJ894" s="1061"/>
      <c r="CK894" s="1060"/>
      <c r="CL894" s="1059"/>
      <c r="CS894" s="1060"/>
      <c r="CT894" s="1059"/>
      <c r="CW894" s="1062"/>
      <c r="CX894" s="1062"/>
      <c r="DB894" s="1181"/>
      <c r="DC894" s="1181"/>
      <c r="DD894" s="1181"/>
      <c r="DE894" s="1194"/>
      <c r="DF894" s="1194"/>
      <c r="DG894" s="1181"/>
      <c r="DH894" s="1181"/>
      <c r="DI894" s="1182"/>
      <c r="DJ894" s="1181"/>
      <c r="DK894" s="1181"/>
      <c r="DL894" s="1181"/>
      <c r="DM894" s="1181"/>
      <c r="DN894" s="1181"/>
      <c r="DO894" s="1181"/>
      <c r="DP894" s="1181"/>
      <c r="DQ894" s="1182"/>
      <c r="DR894" s="1080"/>
      <c r="DS894" s="1080"/>
      <c r="DT894" s="1080"/>
      <c r="DU894" s="1080"/>
      <c r="DV894" s="1080"/>
      <c r="DW894" s="1080"/>
      <c r="DX894" s="1080"/>
      <c r="DY894" s="1081"/>
      <c r="DZ894" s="1080">
        <f>+DZ893/DR893-1</f>
        <v>0.138028169014085</v>
      </c>
      <c r="EA894" s="1080">
        <f t="shared" ref="EA894:EG894" si="4680">+EA893/DS893-1</f>
        <v>0.11358024691358</v>
      </c>
      <c r="EB894" s="1080">
        <f t="shared" si="4680"/>
        <v>0.125</v>
      </c>
      <c r="EC894" s="1080">
        <f t="shared" si="4680"/>
        <v>0.104651162790698</v>
      </c>
      <c r="ED894" s="1080">
        <f t="shared" si="4680"/>
        <v>0.117647058823529</v>
      </c>
      <c r="EE894" s="1080">
        <f t="shared" si="4680"/>
        <v>0.16304347826087</v>
      </c>
      <c r="EF894" s="1080">
        <f t="shared" si="4680"/>
        <v>0.134831460674157</v>
      </c>
      <c r="EG894" s="1081">
        <f t="shared" si="4680"/>
        <v>0.13030303030303</v>
      </c>
      <c r="EH894" s="1080">
        <v>0.27</v>
      </c>
      <c r="EI894" s="1080">
        <f>+EI893/EA893-1</f>
        <v>0.241685144124169</v>
      </c>
      <c r="EJ894" s="1080">
        <f>+EJ893/EB893-1</f>
        <v>0.251461988304094</v>
      </c>
      <c r="EK894" s="1080">
        <f>+EK893/EC893-1</f>
        <v>0.178947368421053</v>
      </c>
      <c r="EL894" s="1080">
        <f>+EL893/ED893-1</f>
        <v>0.225563909774436</v>
      </c>
      <c r="EM894" s="1080">
        <f>EM893/EE893-1</f>
        <v>0.02803738317757</v>
      </c>
      <c r="EN894" s="1080">
        <f>EN893/EF893-1</f>
        <v>0.0990099009900991</v>
      </c>
      <c r="EO894" s="1081">
        <f>EO893/EG893-1</f>
        <v>0.168900804289544</v>
      </c>
      <c r="EP894" s="1080"/>
      <c r="EQ894" s="1080"/>
      <c r="ER894" s="1080"/>
      <c r="ES894" s="1080"/>
      <c r="ET894" s="1080"/>
      <c r="EU894" s="1080"/>
      <c r="EV894" s="1080"/>
      <c r="EW894" s="1081"/>
      <c r="EX894" s="1080"/>
      <c r="EY894" s="1080"/>
      <c r="EZ894" s="1080"/>
      <c r="FA894" s="1080"/>
      <c r="FB894" s="1080"/>
      <c r="FC894" s="1080"/>
      <c r="FD894" s="1080"/>
      <c r="FE894" s="1081"/>
      <c r="FF894" s="1080"/>
      <c r="FG894" s="1080"/>
      <c r="FH894" s="1080"/>
      <c r="FI894" s="1080"/>
      <c r="FJ894" s="1080"/>
      <c r="FK894" s="1080"/>
      <c r="FL894" s="1080"/>
      <c r="FM894" s="1081"/>
      <c r="FN894" s="1080"/>
      <c r="FO894" s="1080"/>
      <c r="FP894" s="1080"/>
      <c r="FQ894" s="1080"/>
      <c r="FR894" s="1080"/>
      <c r="FS894" s="1080"/>
      <c r="FT894" s="1080"/>
      <c r="FU894" s="1080"/>
      <c r="FV894" s="1150"/>
      <c r="FW894" s="1080"/>
      <c r="FX894" s="1080"/>
      <c r="FY894" s="1080"/>
      <c r="FZ894" s="1080"/>
      <c r="GA894" s="1080"/>
      <c r="GB894" s="1080"/>
      <c r="GC894" s="1081"/>
      <c r="GD894" s="1080"/>
      <c r="GE894" s="1080"/>
      <c r="GF894" s="1080"/>
      <c r="GG894" s="1080"/>
      <c r="GH894" s="1080"/>
      <c r="GI894" s="1080"/>
      <c r="GJ894" s="1080"/>
      <c r="GK894" s="1081"/>
      <c r="GL894" s="1080"/>
      <c r="GM894" s="1080"/>
      <c r="GN894" s="1080"/>
      <c r="GO894" s="1080"/>
      <c r="GP894" s="1080"/>
      <c r="GQ894" s="1080"/>
      <c r="GR894" s="1080"/>
      <c r="GS894" s="1081"/>
      <c r="GT894" s="1080"/>
      <c r="GU894" s="1080"/>
      <c r="GV894" s="1080"/>
      <c r="GW894" s="1080"/>
      <c r="GX894" s="1080"/>
      <c r="GY894" s="1080"/>
      <c r="GZ894" s="1080"/>
      <c r="HA894" s="1081"/>
      <c r="HB894" s="1080"/>
      <c r="HC894" s="1080"/>
      <c r="HD894" s="1080"/>
      <c r="HE894" s="1080"/>
      <c r="HF894" s="1080"/>
      <c r="HG894" s="1080"/>
      <c r="HH894" s="1080"/>
      <c r="HI894" s="1081"/>
      <c r="HJ894" s="1080"/>
      <c r="HK894" s="1080"/>
      <c r="HL894" s="1080"/>
      <c r="HM894" s="1080"/>
      <c r="HN894" s="1080"/>
      <c r="HO894" s="1080"/>
      <c r="HP894" s="1080"/>
      <c r="HQ894" s="1081"/>
      <c r="HR894" s="1080"/>
      <c r="HS894" s="1080"/>
      <c r="HT894" s="1080"/>
      <c r="HU894" s="1080"/>
      <c r="HV894" s="1080"/>
      <c r="HW894" s="1080"/>
      <c r="HX894" s="1080"/>
      <c r="HY894" s="1080"/>
      <c r="HZ894" s="1080"/>
      <c r="IA894" s="1080"/>
      <c r="IB894" s="1080"/>
      <c r="IC894" s="1080"/>
      <c r="ID894" s="1080"/>
      <c r="IE894" s="1080"/>
      <c r="IF894" s="1080"/>
      <c r="IG894" s="1081"/>
      <c r="IH894" s="1080"/>
      <c r="II894" s="1080"/>
      <c r="IJ894" s="1080"/>
      <c r="IK894" s="1080"/>
      <c r="IL894" s="1080"/>
      <c r="IM894" s="1080"/>
      <c r="IN894" s="1080"/>
      <c r="IO894" s="1081"/>
      <c r="IP894" s="1080"/>
      <c r="IQ894" s="1080"/>
      <c r="IR894" s="1080"/>
      <c r="IS894" s="1080"/>
      <c r="IT894" s="1080"/>
      <c r="IU894" s="1080"/>
      <c r="IV894" s="1080"/>
      <c r="IW894" s="1080"/>
      <c r="IX894" s="1049"/>
      <c r="IY894" s="1049"/>
      <c r="IZ894" s="1049"/>
      <c r="JA894" s="1049"/>
      <c r="JB894" s="1049"/>
      <c r="JC894" s="1049"/>
      <c r="JD894" s="1041"/>
      <c r="JE894" s="1037"/>
      <c r="JF894" s="1037"/>
      <c r="JG894" s="1037"/>
      <c r="JH894" s="1037"/>
      <c r="JI894" s="1035"/>
      <c r="JJ894" s="1035"/>
      <c r="JK894" s="1035"/>
      <c r="JL894" s="1035"/>
      <c r="JM894" s="1035"/>
      <c r="JN894" s="1035"/>
      <c r="JO894" s="1035"/>
      <c r="JP894" s="1035"/>
      <c r="JQ894" s="1035"/>
      <c r="JR894" s="1035"/>
      <c r="JS894" s="1035"/>
      <c r="JT894" s="1035"/>
      <c r="JU894" s="1035"/>
      <c r="JV894" s="1035"/>
      <c r="JW894" s="1035"/>
      <c r="JX894" s="1035"/>
      <c r="JY894" s="1035"/>
      <c r="KP894" s="1117"/>
      <c r="LV894" s="967"/>
    </row>
    <row r="895" outlineLevel="1" spans="1:334">
      <c r="A895" s="967" t="s">
        <v>65</v>
      </c>
      <c r="AX895" s="1059"/>
      <c r="BE895" s="1060"/>
      <c r="BN895" s="1059"/>
      <c r="BU895" s="1060"/>
      <c r="BV895" s="1059"/>
      <c r="CC895" s="1060"/>
      <c r="CD895" s="1059"/>
      <c r="CJ895" s="1061"/>
      <c r="CK895" s="1060"/>
      <c r="CL895" s="1059"/>
      <c r="CS895" s="1060"/>
      <c r="CT895" s="1059"/>
      <c r="CW895" s="1062"/>
      <c r="CX895" s="1062"/>
      <c r="DB895" s="1181"/>
      <c r="DC895" s="1181"/>
      <c r="DD895" s="1181"/>
      <c r="DE895" s="1194"/>
      <c r="DF895" s="1194"/>
      <c r="DG895" s="1181"/>
      <c r="DH895" s="1181"/>
      <c r="DI895" s="1182"/>
      <c r="DJ895" s="1181"/>
      <c r="DK895" s="1181"/>
      <c r="DL895" s="1181"/>
      <c r="DM895" s="1181"/>
      <c r="DN895" s="1181"/>
      <c r="DO895" s="1181"/>
      <c r="DP895" s="1181"/>
      <c r="DQ895" s="1182"/>
      <c r="DR895" s="1080"/>
      <c r="DS895" s="1080"/>
      <c r="DT895" s="1080"/>
      <c r="DU895" s="1080"/>
      <c r="DV895" s="1080"/>
      <c r="DW895" s="1080"/>
      <c r="DX895" s="1080"/>
      <c r="DY895" s="1081"/>
      <c r="DZ895" s="1080">
        <v>0.04</v>
      </c>
      <c r="EA895" s="1080"/>
      <c r="EB895" s="1080">
        <v>0.08</v>
      </c>
      <c r="EC895" s="1080"/>
      <c r="ED895" s="1080">
        <v>0.08</v>
      </c>
      <c r="EE895" s="1080"/>
      <c r="EF895" s="1080"/>
      <c r="EG895" s="1081">
        <v>0.09</v>
      </c>
      <c r="EH895" s="1080">
        <v>0.19</v>
      </c>
      <c r="EI895" s="1080"/>
      <c r="EJ895" s="1080">
        <v>0.15</v>
      </c>
      <c r="EK895" s="1080"/>
      <c r="EL895" s="1080">
        <v>0.12</v>
      </c>
      <c r="EM895" s="1080"/>
      <c r="EN895" s="1080"/>
      <c r="EO895" s="1081">
        <v>0.09</v>
      </c>
      <c r="EP895" s="1080"/>
      <c r="EQ895" s="1080"/>
      <c r="ER895" s="1080"/>
      <c r="ES895" s="1080"/>
      <c r="ET895" s="1080"/>
      <c r="EU895" s="1080"/>
      <c r="EV895" s="1080"/>
      <c r="EW895" s="1081"/>
      <c r="EX895" s="1080"/>
      <c r="EY895" s="1080"/>
      <c r="EZ895" s="1080"/>
      <c r="FA895" s="1080"/>
      <c r="FB895" s="1080"/>
      <c r="FC895" s="1080"/>
      <c r="FD895" s="1080"/>
      <c r="FE895" s="1081"/>
      <c r="FF895" s="1080"/>
      <c r="FG895" s="1080"/>
      <c r="FH895" s="1080"/>
      <c r="FI895" s="1080"/>
      <c r="FJ895" s="1080"/>
      <c r="FK895" s="1080"/>
      <c r="FL895" s="1080"/>
      <c r="FM895" s="1081"/>
      <c r="FN895" s="1080"/>
      <c r="FO895" s="1080"/>
      <c r="FP895" s="1080"/>
      <c r="FQ895" s="1080"/>
      <c r="FR895" s="1080"/>
      <c r="FS895" s="1080"/>
      <c r="FT895" s="1080"/>
      <c r="FU895" s="1080"/>
      <c r="FV895" s="1150"/>
      <c r="FW895" s="1080"/>
      <c r="FX895" s="1080"/>
      <c r="FY895" s="1080"/>
      <c r="FZ895" s="1080"/>
      <c r="GA895" s="1080"/>
      <c r="GB895" s="1080"/>
      <c r="GC895" s="1081"/>
      <c r="GD895" s="1080"/>
      <c r="GE895" s="1080"/>
      <c r="GF895" s="1080"/>
      <c r="GG895" s="1080"/>
      <c r="GH895" s="1080"/>
      <c r="GI895" s="1080"/>
      <c r="GJ895" s="1080"/>
      <c r="GK895" s="1081"/>
      <c r="GL895" s="1080"/>
      <c r="GM895" s="1080"/>
      <c r="GN895" s="1080"/>
      <c r="GO895" s="1080"/>
      <c r="GP895" s="1080"/>
      <c r="GQ895" s="1080"/>
      <c r="GR895" s="1080"/>
      <c r="GS895" s="1081"/>
      <c r="GT895" s="1080"/>
      <c r="GU895" s="1080"/>
      <c r="GV895" s="1080"/>
      <c r="GW895" s="1080"/>
      <c r="GX895" s="1080"/>
      <c r="GY895" s="1080"/>
      <c r="GZ895" s="1080"/>
      <c r="HA895" s="1081"/>
      <c r="HB895" s="1080"/>
      <c r="HC895" s="1080"/>
      <c r="HD895" s="1080"/>
      <c r="HE895" s="1080"/>
      <c r="HF895" s="1080"/>
      <c r="HG895" s="1080"/>
      <c r="HH895" s="1080"/>
      <c r="HI895" s="1081"/>
      <c r="HJ895" s="1080"/>
      <c r="HK895" s="1080"/>
      <c r="HL895" s="1080"/>
      <c r="HM895" s="1080"/>
      <c r="HN895" s="1080"/>
      <c r="HO895" s="1080"/>
      <c r="HP895" s="1080"/>
      <c r="HQ895" s="1081"/>
      <c r="HR895" s="1080"/>
      <c r="HS895" s="1080"/>
      <c r="HT895" s="1080"/>
      <c r="HU895" s="1080"/>
      <c r="HV895" s="1080"/>
      <c r="HW895" s="1080"/>
      <c r="HX895" s="1080"/>
      <c r="HY895" s="1080"/>
      <c r="HZ895" s="1080"/>
      <c r="IA895" s="1080"/>
      <c r="IB895" s="1080"/>
      <c r="IC895" s="1080"/>
      <c r="ID895" s="1080"/>
      <c r="IE895" s="1080"/>
      <c r="IF895" s="1080"/>
      <c r="IG895" s="1081"/>
      <c r="IH895" s="1080"/>
      <c r="II895" s="1080"/>
      <c r="IJ895" s="1080"/>
      <c r="IK895" s="1080"/>
      <c r="IL895" s="1080"/>
      <c r="IM895" s="1080"/>
      <c r="IN895" s="1080"/>
      <c r="IO895" s="1081"/>
      <c r="IP895" s="1080"/>
      <c r="IQ895" s="1080"/>
      <c r="IR895" s="1080"/>
      <c r="IS895" s="1080"/>
      <c r="IT895" s="1080"/>
      <c r="IU895" s="1080"/>
      <c r="IV895" s="1080"/>
      <c r="IW895" s="1080"/>
      <c r="IX895" s="1049"/>
      <c r="IY895" s="1049"/>
      <c r="IZ895" s="1049"/>
      <c r="JA895" s="1049"/>
      <c r="JB895" s="1049"/>
      <c r="JC895" s="1049"/>
      <c r="JD895" s="1041"/>
      <c r="JE895" s="1037"/>
      <c r="JF895" s="1037"/>
      <c r="JG895" s="1037"/>
      <c r="JH895" s="1037"/>
      <c r="JI895" s="1035"/>
      <c r="JJ895" s="1035"/>
      <c r="JK895" s="1035"/>
      <c r="JL895" s="1035"/>
      <c r="JM895" s="1035"/>
      <c r="JN895" s="1035"/>
      <c r="JO895" s="1035"/>
      <c r="JP895" s="1035"/>
      <c r="JQ895" s="1035"/>
      <c r="JR895" s="1035"/>
      <c r="JS895" s="1035"/>
      <c r="JT895" s="1035"/>
      <c r="JU895" s="1035"/>
      <c r="JV895" s="1035"/>
      <c r="JW895" s="1035"/>
      <c r="JX895" s="1035"/>
      <c r="JY895" s="1035"/>
      <c r="KP895" s="1117"/>
      <c r="LV895" s="967"/>
    </row>
    <row r="896" outlineLevel="1" spans="1:334">
      <c r="A896" s="1180" t="s">
        <v>102</v>
      </c>
      <c r="AX896" s="1059"/>
      <c r="BE896" s="1060"/>
      <c r="BN896" s="1059"/>
      <c r="BU896" s="1060"/>
      <c r="BV896" s="1059"/>
      <c r="CC896" s="1060"/>
      <c r="CD896" s="1059"/>
      <c r="CJ896" s="1061"/>
      <c r="CK896" s="1060"/>
      <c r="CL896" s="1059"/>
      <c r="CS896" s="1060"/>
      <c r="CT896" s="1059"/>
      <c r="CW896" s="1062"/>
      <c r="CX896" s="1062"/>
      <c r="DB896" s="1181"/>
      <c r="DC896" s="1181"/>
      <c r="DD896" s="1181"/>
      <c r="DE896" s="1194"/>
      <c r="DF896" s="1194"/>
      <c r="DG896" s="1181"/>
      <c r="DH896" s="1181"/>
      <c r="DI896" s="1182"/>
      <c r="DJ896" s="1181"/>
      <c r="DK896" s="1181"/>
      <c r="DL896" s="1181"/>
      <c r="DM896" s="1181"/>
      <c r="DN896" s="1181"/>
      <c r="DO896" s="1181"/>
      <c r="DP896" s="1181"/>
      <c r="DQ896" s="1182"/>
      <c r="DR896" s="1071">
        <v>34</v>
      </c>
      <c r="DS896" s="1071">
        <f>+DT896-DR896</f>
        <v>50</v>
      </c>
      <c r="DT896" s="1071">
        <v>84</v>
      </c>
      <c r="DU896" s="1071">
        <f>+DV896-DT896</f>
        <v>46</v>
      </c>
      <c r="DV896" s="1071">
        <v>130</v>
      </c>
      <c r="DW896" s="1071">
        <f>DX896-DU896</f>
        <v>65</v>
      </c>
      <c r="DX896" s="1071">
        <f>DY896-DT896</f>
        <v>111</v>
      </c>
      <c r="DY896" s="1072">
        <v>195</v>
      </c>
      <c r="DZ896" s="1071">
        <v>48</v>
      </c>
      <c r="EA896" s="1071">
        <f>+EB896-DZ896</f>
        <v>51</v>
      </c>
      <c r="EB896" s="1071">
        <v>99</v>
      </c>
      <c r="EC896" s="1071">
        <f>+ED896-EB896</f>
        <v>61</v>
      </c>
      <c r="ED896" s="1071">
        <v>160</v>
      </c>
      <c r="EE896" s="1071">
        <f>EF896-EC896</f>
        <v>68</v>
      </c>
      <c r="EF896" s="1071">
        <f>EG896-EB896</f>
        <v>129</v>
      </c>
      <c r="EG896" s="1072">
        <v>228</v>
      </c>
      <c r="EH896" s="1071">
        <v>58</v>
      </c>
      <c r="EI896" s="1071">
        <f>+EJ896-EH896</f>
        <v>62</v>
      </c>
      <c r="EJ896" s="1071">
        <v>120</v>
      </c>
      <c r="EK896" s="1071">
        <f>+EL896-EJ896</f>
        <v>80</v>
      </c>
      <c r="EL896" s="1071">
        <v>200</v>
      </c>
      <c r="EM896" s="1071">
        <f>EN896-EK896</f>
        <v>87</v>
      </c>
      <c r="EN896" s="1071">
        <f>EO896-EJ896</f>
        <v>167</v>
      </c>
      <c r="EO896" s="1072">
        <v>287</v>
      </c>
      <c r="EP896" s="1071"/>
      <c r="EQ896" s="1071"/>
      <c r="ER896" s="1071"/>
      <c r="ES896" s="1071"/>
      <c r="ET896" s="1071"/>
      <c r="EU896" s="1071"/>
      <c r="EV896" s="1071"/>
      <c r="EW896" s="1072"/>
      <c r="EX896" s="1071"/>
      <c r="EY896" s="1071"/>
      <c r="EZ896" s="1071"/>
      <c r="FA896" s="1071"/>
      <c r="FB896" s="1071"/>
      <c r="FC896" s="1071"/>
      <c r="FD896" s="1071"/>
      <c r="FE896" s="1072"/>
      <c r="FF896" s="1071"/>
      <c r="FG896" s="1071"/>
      <c r="FH896" s="1071"/>
      <c r="FI896" s="1071"/>
      <c r="FJ896" s="1071"/>
      <c r="FK896" s="1071"/>
      <c r="FL896" s="1071"/>
      <c r="FM896" s="1072"/>
      <c r="FN896" s="1071"/>
      <c r="FO896" s="1071"/>
      <c r="FP896" s="1071"/>
      <c r="FQ896" s="1071"/>
      <c r="FR896" s="1071"/>
      <c r="FS896" s="1071"/>
      <c r="FT896" s="1071"/>
      <c r="FU896" s="1071"/>
      <c r="FV896" s="1177"/>
      <c r="FW896" s="1071"/>
      <c r="FX896" s="1071"/>
      <c r="FY896" s="1071"/>
      <c r="FZ896" s="1071"/>
      <c r="GA896" s="1071"/>
      <c r="GB896" s="1071"/>
      <c r="GC896" s="1072"/>
      <c r="GD896" s="1071"/>
      <c r="GE896" s="1071"/>
      <c r="GF896" s="1071"/>
      <c r="GG896" s="1071"/>
      <c r="GH896" s="1071"/>
      <c r="GI896" s="1071"/>
      <c r="GJ896" s="1071"/>
      <c r="GK896" s="1072"/>
      <c r="GL896" s="1071"/>
      <c r="GM896" s="1071"/>
      <c r="GN896" s="1071"/>
      <c r="GO896" s="1071"/>
      <c r="GP896" s="1071"/>
      <c r="GQ896" s="1071"/>
      <c r="GR896" s="1071"/>
      <c r="GS896" s="1072"/>
      <c r="GT896" s="1071"/>
      <c r="GU896" s="1071"/>
      <c r="GV896" s="1071"/>
      <c r="GW896" s="1071"/>
      <c r="GX896" s="1071"/>
      <c r="GY896" s="1071"/>
      <c r="GZ896" s="1071"/>
      <c r="HA896" s="1072"/>
      <c r="HB896" s="1071"/>
      <c r="HC896" s="1071"/>
      <c r="HD896" s="1071"/>
      <c r="HE896" s="1071"/>
      <c r="HF896" s="1071"/>
      <c r="HG896" s="1071"/>
      <c r="HH896" s="1071"/>
      <c r="HI896" s="1072"/>
      <c r="HJ896" s="1071"/>
      <c r="HK896" s="1071"/>
      <c r="HL896" s="1071"/>
      <c r="HM896" s="1071"/>
      <c r="HN896" s="1071"/>
      <c r="HO896" s="1071"/>
      <c r="HP896" s="1071"/>
      <c r="HQ896" s="1072"/>
      <c r="HR896" s="1071"/>
      <c r="HS896" s="1071"/>
      <c r="HT896" s="1071"/>
      <c r="HU896" s="1071"/>
      <c r="HV896" s="1071"/>
      <c r="HW896" s="1071"/>
      <c r="HX896" s="1071"/>
      <c r="HY896" s="1071"/>
      <c r="HZ896" s="1071"/>
      <c r="IA896" s="1071"/>
      <c r="IB896" s="1071"/>
      <c r="IC896" s="1071"/>
      <c r="ID896" s="1071"/>
      <c r="IE896" s="1071"/>
      <c r="IF896" s="1071"/>
      <c r="IG896" s="1072"/>
      <c r="IH896" s="1071"/>
      <c r="II896" s="1071"/>
      <c r="IJ896" s="1071"/>
      <c r="IK896" s="1071"/>
      <c r="IL896" s="1071"/>
      <c r="IM896" s="1071"/>
      <c r="IN896" s="1071"/>
      <c r="IO896" s="1072"/>
      <c r="IP896" s="1071"/>
      <c r="IQ896" s="1071"/>
      <c r="IR896" s="1071"/>
      <c r="IS896" s="1071"/>
      <c r="IT896" s="1071"/>
      <c r="IU896" s="1071"/>
      <c r="IV896" s="1071"/>
      <c r="IW896" s="1071"/>
      <c r="IX896" s="1049"/>
      <c r="IY896" s="1049"/>
      <c r="IZ896" s="1049"/>
      <c r="JA896" s="1049"/>
      <c r="JB896" s="1049"/>
      <c r="JC896" s="1049"/>
      <c r="JD896" s="1041"/>
      <c r="JE896" s="1037"/>
      <c r="JF896" s="1037"/>
      <c r="JG896" s="1037"/>
      <c r="JH896" s="1037"/>
      <c r="JI896" s="1035"/>
      <c r="JJ896" s="1035"/>
      <c r="JK896" s="1035"/>
      <c r="JL896" s="1035"/>
      <c r="JM896" s="1035"/>
      <c r="JN896" s="1035"/>
      <c r="JO896" s="1035"/>
      <c r="JP896" s="1035"/>
      <c r="JQ896" s="1035"/>
      <c r="JR896" s="1035"/>
      <c r="JS896" s="1035"/>
      <c r="JT896" s="1035"/>
      <c r="JU896" s="1035"/>
      <c r="JV896" s="1035"/>
      <c r="JW896" s="1035"/>
      <c r="JX896" s="1035"/>
      <c r="JY896" s="1035"/>
      <c r="KP896" s="1117"/>
      <c r="LV896" s="967"/>
    </row>
    <row r="897" outlineLevel="1" spans="1:334">
      <c r="A897" s="967" t="s">
        <v>61</v>
      </c>
      <c r="AX897" s="1059"/>
      <c r="BE897" s="1060"/>
      <c r="BN897" s="1059"/>
      <c r="BU897" s="1060"/>
      <c r="BV897" s="1059"/>
      <c r="CC897" s="1060"/>
      <c r="CD897" s="1059"/>
      <c r="CJ897" s="1061"/>
      <c r="CK897" s="1060"/>
      <c r="CL897" s="1059"/>
      <c r="CS897" s="1060"/>
      <c r="CT897" s="1059"/>
      <c r="CW897" s="1062"/>
      <c r="CX897" s="1062"/>
      <c r="DB897" s="1181"/>
      <c r="DC897" s="1181"/>
      <c r="DD897" s="1181"/>
      <c r="DE897" s="1194"/>
      <c r="DF897" s="1194"/>
      <c r="DG897" s="1181"/>
      <c r="DH897" s="1181"/>
      <c r="DI897" s="1182"/>
      <c r="DJ897" s="1181"/>
      <c r="DK897" s="1181"/>
      <c r="DL897" s="1181"/>
      <c r="DM897" s="1181"/>
      <c r="DN897" s="1181"/>
      <c r="DO897" s="1181"/>
      <c r="DP897" s="1181"/>
      <c r="DQ897" s="1182"/>
      <c r="DR897" s="1080"/>
      <c r="DS897" s="1080"/>
      <c r="DT897" s="1080"/>
      <c r="DU897" s="1080"/>
      <c r="DV897" s="1080"/>
      <c r="DW897" s="1080"/>
      <c r="DX897" s="1080"/>
      <c r="DY897" s="1081"/>
      <c r="DZ897" s="1080">
        <f>+DZ896/DR896-1</f>
        <v>0.411764705882353</v>
      </c>
      <c r="EA897" s="1080">
        <f t="shared" ref="EA897:EG897" si="4681">+EA896/DS896-1</f>
        <v>0.02</v>
      </c>
      <c r="EB897" s="1080">
        <f t="shared" si="4681"/>
        <v>0.178571428571429</v>
      </c>
      <c r="EC897" s="1080">
        <f t="shared" si="4681"/>
        <v>0.326086956521739</v>
      </c>
      <c r="ED897" s="1080">
        <f t="shared" si="4681"/>
        <v>0.230769230769231</v>
      </c>
      <c r="EE897" s="1080">
        <f t="shared" si="4681"/>
        <v>0.0461538461538462</v>
      </c>
      <c r="EF897" s="1080">
        <f t="shared" si="4681"/>
        <v>0.162162162162162</v>
      </c>
      <c r="EG897" s="1081">
        <f t="shared" si="4681"/>
        <v>0.169230769230769</v>
      </c>
      <c r="EH897" s="1080">
        <v>0.22</v>
      </c>
      <c r="EI897" s="1080">
        <f>+EI896/EA896-1</f>
        <v>0.215686274509804</v>
      </c>
      <c r="EJ897" s="1080">
        <f>+EJ896/EB896-1</f>
        <v>0.212121212121212</v>
      </c>
      <c r="EK897" s="1080">
        <f>+EK896/EC896-1</f>
        <v>0.311475409836065</v>
      </c>
      <c r="EL897" s="1080">
        <f>+EL896/ED896-1</f>
        <v>0.25</v>
      </c>
      <c r="EM897" s="1080">
        <f>EM896/EE896-1</f>
        <v>0.279411764705882</v>
      </c>
      <c r="EN897" s="1080">
        <f>EN896/EF896-1</f>
        <v>0.294573643410853</v>
      </c>
      <c r="EO897" s="1081">
        <f>EO896/EG896-1</f>
        <v>0.258771929824561</v>
      </c>
      <c r="EP897" s="1080"/>
      <c r="EQ897" s="1080"/>
      <c r="ER897" s="1080"/>
      <c r="ES897" s="1080"/>
      <c r="ET897" s="1080"/>
      <c r="EU897" s="1080"/>
      <c r="EV897" s="1080"/>
      <c r="EW897" s="1081"/>
      <c r="EX897" s="1080"/>
      <c r="EY897" s="1080"/>
      <c r="EZ897" s="1080"/>
      <c r="FA897" s="1080"/>
      <c r="FB897" s="1080"/>
      <c r="FC897" s="1080"/>
      <c r="FD897" s="1080"/>
      <c r="FE897" s="1081"/>
      <c r="FF897" s="1080"/>
      <c r="FG897" s="1080"/>
      <c r="FH897" s="1080"/>
      <c r="FI897" s="1080"/>
      <c r="FJ897" s="1080"/>
      <c r="FK897" s="1080"/>
      <c r="FL897" s="1080"/>
      <c r="FM897" s="1081"/>
      <c r="FN897" s="1080"/>
      <c r="FO897" s="1080"/>
      <c r="FP897" s="1080"/>
      <c r="FQ897" s="1080"/>
      <c r="FR897" s="1080"/>
      <c r="FS897" s="1080"/>
      <c r="FT897" s="1080"/>
      <c r="FU897" s="1080"/>
      <c r="FV897" s="1150"/>
      <c r="FW897" s="1080"/>
      <c r="FX897" s="1080"/>
      <c r="FY897" s="1080"/>
      <c r="FZ897" s="1080"/>
      <c r="GA897" s="1080"/>
      <c r="GB897" s="1080"/>
      <c r="GC897" s="1081"/>
      <c r="GD897" s="1080"/>
      <c r="GE897" s="1080"/>
      <c r="GF897" s="1080"/>
      <c r="GG897" s="1080"/>
      <c r="GH897" s="1080"/>
      <c r="GI897" s="1080"/>
      <c r="GJ897" s="1080"/>
      <c r="GK897" s="1081"/>
      <c r="GL897" s="1080"/>
      <c r="GM897" s="1080"/>
      <c r="GN897" s="1080"/>
      <c r="GO897" s="1080"/>
      <c r="GP897" s="1080"/>
      <c r="GQ897" s="1080"/>
      <c r="GR897" s="1080"/>
      <c r="GS897" s="1081"/>
      <c r="GT897" s="1080"/>
      <c r="GU897" s="1080"/>
      <c r="GV897" s="1080"/>
      <c r="GW897" s="1080"/>
      <c r="GX897" s="1080"/>
      <c r="GY897" s="1080"/>
      <c r="GZ897" s="1080"/>
      <c r="HA897" s="1081"/>
      <c r="HB897" s="1080"/>
      <c r="HC897" s="1080"/>
      <c r="HD897" s="1080"/>
      <c r="HE897" s="1080"/>
      <c r="HF897" s="1080"/>
      <c r="HG897" s="1080"/>
      <c r="HH897" s="1080"/>
      <c r="HI897" s="1081"/>
      <c r="HJ897" s="1080"/>
      <c r="HK897" s="1080"/>
      <c r="HL897" s="1080"/>
      <c r="HM897" s="1080"/>
      <c r="HN897" s="1080"/>
      <c r="HO897" s="1080"/>
      <c r="HP897" s="1080"/>
      <c r="HQ897" s="1081"/>
      <c r="HR897" s="1080"/>
      <c r="HS897" s="1080"/>
      <c r="HT897" s="1080"/>
      <c r="HU897" s="1080"/>
      <c r="HV897" s="1080"/>
      <c r="HW897" s="1080"/>
      <c r="HX897" s="1080"/>
      <c r="HY897" s="1080"/>
      <c r="HZ897" s="1080"/>
      <c r="IA897" s="1080"/>
      <c r="IB897" s="1080"/>
      <c r="IC897" s="1080"/>
      <c r="ID897" s="1080"/>
      <c r="IE897" s="1080"/>
      <c r="IF897" s="1080"/>
      <c r="IG897" s="1081"/>
      <c r="IH897" s="1080"/>
      <c r="II897" s="1080"/>
      <c r="IJ897" s="1080"/>
      <c r="IK897" s="1080"/>
      <c r="IL897" s="1080"/>
      <c r="IM897" s="1080"/>
      <c r="IN897" s="1080"/>
      <c r="IO897" s="1081"/>
      <c r="IP897" s="1080"/>
      <c r="IQ897" s="1080"/>
      <c r="IR897" s="1080"/>
      <c r="IS897" s="1080"/>
      <c r="IT897" s="1080"/>
      <c r="IU897" s="1080"/>
      <c r="IV897" s="1080"/>
      <c r="IW897" s="1080"/>
      <c r="IX897" s="1049"/>
      <c r="IY897" s="1049"/>
      <c r="IZ897" s="1049"/>
      <c r="JA897" s="1049"/>
      <c r="JB897" s="1049"/>
      <c r="JC897" s="1049"/>
      <c r="JD897" s="1041"/>
      <c r="JE897" s="1037"/>
      <c r="JF897" s="1037"/>
      <c r="JG897" s="1037"/>
      <c r="JH897" s="1037"/>
      <c r="JI897" s="1035"/>
      <c r="JJ897" s="1035"/>
      <c r="JK897" s="1035"/>
      <c r="JL897" s="1035"/>
      <c r="JM897" s="1035"/>
      <c r="JN897" s="1035"/>
      <c r="JO897" s="1035"/>
      <c r="JP897" s="1035"/>
      <c r="JQ897" s="1035"/>
      <c r="JR897" s="1035"/>
      <c r="JS897" s="1035"/>
      <c r="JT897" s="1035"/>
      <c r="JU897" s="1035"/>
      <c r="JV897" s="1035"/>
      <c r="JW897" s="1035"/>
      <c r="JX897" s="1035"/>
      <c r="JY897" s="1035"/>
      <c r="KP897" s="1117"/>
      <c r="LV897" s="967"/>
    </row>
    <row r="898" outlineLevel="1" spans="1:334">
      <c r="A898" s="967" t="s">
        <v>65</v>
      </c>
      <c r="AX898" s="1059"/>
      <c r="BE898" s="1060"/>
      <c r="BN898" s="1059"/>
      <c r="BU898" s="1060"/>
      <c r="BV898" s="1059"/>
      <c r="CC898" s="1060"/>
      <c r="CD898" s="1059"/>
      <c r="CJ898" s="1061"/>
      <c r="CK898" s="1060"/>
      <c r="CL898" s="1059"/>
      <c r="CS898" s="1060"/>
      <c r="CT898" s="1059"/>
      <c r="CW898" s="1062"/>
      <c r="CX898" s="1062"/>
      <c r="DB898" s="1181"/>
      <c r="DC898" s="1181"/>
      <c r="DD898" s="1181"/>
      <c r="DE898" s="1194"/>
      <c r="DF898" s="1194"/>
      <c r="DG898" s="1181"/>
      <c r="DH898" s="1181"/>
      <c r="DI898" s="1182"/>
      <c r="DJ898" s="1181"/>
      <c r="DK898" s="1181"/>
      <c r="DL898" s="1181"/>
      <c r="DM898" s="1181"/>
      <c r="DN898" s="1181"/>
      <c r="DO898" s="1181"/>
      <c r="DP898" s="1181"/>
      <c r="DQ898" s="1182"/>
      <c r="DR898" s="1080"/>
      <c r="DS898" s="1080"/>
      <c r="DT898" s="1080"/>
      <c r="DU898" s="1080"/>
      <c r="DV898" s="1080"/>
      <c r="DW898" s="1080"/>
      <c r="DX898" s="1080"/>
      <c r="DY898" s="1081"/>
      <c r="DZ898" s="1080">
        <v>0.33</v>
      </c>
      <c r="EA898" s="1080"/>
      <c r="EB898" s="1080">
        <v>0.19</v>
      </c>
      <c r="EC898" s="1080"/>
      <c r="ED898" s="1080">
        <v>0.26</v>
      </c>
      <c r="EE898" s="1080"/>
      <c r="EF898" s="1080"/>
      <c r="EG898" s="1081"/>
      <c r="EH898" s="1080">
        <v>0.21</v>
      </c>
      <c r="EI898" s="1080"/>
      <c r="EJ898" s="1080">
        <v>0.2</v>
      </c>
      <c r="EK898" s="1080"/>
      <c r="EL898" s="1080">
        <v>0.22</v>
      </c>
      <c r="EM898" s="1080"/>
      <c r="EN898" s="1080"/>
      <c r="EO898" s="1081">
        <v>0.23</v>
      </c>
      <c r="EP898" s="1080"/>
      <c r="EQ898" s="1080"/>
      <c r="ER898" s="1080"/>
      <c r="ES898" s="1080"/>
      <c r="ET898" s="1080"/>
      <c r="EU898" s="1080"/>
      <c r="EV898" s="1080"/>
      <c r="EW898" s="1081"/>
      <c r="EX898" s="1080"/>
      <c r="EY898" s="1080"/>
      <c r="EZ898" s="1080"/>
      <c r="FA898" s="1080"/>
      <c r="FB898" s="1080"/>
      <c r="FC898" s="1080"/>
      <c r="FD898" s="1080"/>
      <c r="FE898" s="1081"/>
      <c r="FF898" s="1080"/>
      <c r="FG898" s="1080"/>
      <c r="FH898" s="1080"/>
      <c r="FI898" s="1080"/>
      <c r="FJ898" s="1080"/>
      <c r="FK898" s="1080"/>
      <c r="FL898" s="1080"/>
      <c r="FM898" s="1081"/>
      <c r="FN898" s="1080"/>
      <c r="FO898" s="1080"/>
      <c r="FP898" s="1080"/>
      <c r="FQ898" s="1080"/>
      <c r="FR898" s="1080"/>
      <c r="FS898" s="1080"/>
      <c r="FT898" s="1080"/>
      <c r="FU898" s="1080"/>
      <c r="FV898" s="1150"/>
      <c r="FW898" s="1080"/>
      <c r="FX898" s="1080"/>
      <c r="FY898" s="1080"/>
      <c r="FZ898" s="1080"/>
      <c r="GA898" s="1080"/>
      <c r="GB898" s="1080"/>
      <c r="GC898" s="1081"/>
      <c r="GD898" s="1080"/>
      <c r="GE898" s="1080"/>
      <c r="GF898" s="1080"/>
      <c r="GG898" s="1080"/>
      <c r="GH898" s="1080"/>
      <c r="GI898" s="1080"/>
      <c r="GJ898" s="1080"/>
      <c r="GK898" s="1081"/>
      <c r="GL898" s="1080"/>
      <c r="GM898" s="1080"/>
      <c r="GN898" s="1080"/>
      <c r="GO898" s="1080"/>
      <c r="GP898" s="1080"/>
      <c r="GQ898" s="1080"/>
      <c r="GR898" s="1080"/>
      <c r="GS898" s="1081"/>
      <c r="GT898" s="1080"/>
      <c r="GU898" s="1080"/>
      <c r="GV898" s="1080"/>
      <c r="GW898" s="1080"/>
      <c r="GX898" s="1080"/>
      <c r="GY898" s="1080"/>
      <c r="GZ898" s="1080"/>
      <c r="HA898" s="1081"/>
      <c r="HB898" s="1080"/>
      <c r="HC898" s="1080"/>
      <c r="HD898" s="1080"/>
      <c r="HE898" s="1080"/>
      <c r="HF898" s="1080"/>
      <c r="HG898" s="1080"/>
      <c r="HH898" s="1080"/>
      <c r="HI898" s="1081"/>
      <c r="HJ898" s="1080"/>
      <c r="HK898" s="1080"/>
      <c r="HL898" s="1080"/>
      <c r="HM898" s="1080"/>
      <c r="HN898" s="1080"/>
      <c r="HO898" s="1080"/>
      <c r="HP898" s="1080"/>
      <c r="HQ898" s="1081"/>
      <c r="HR898" s="1080"/>
      <c r="HS898" s="1080"/>
      <c r="HT898" s="1080"/>
      <c r="HU898" s="1080"/>
      <c r="HV898" s="1080"/>
      <c r="HW898" s="1080"/>
      <c r="HX898" s="1080"/>
      <c r="HY898" s="1080"/>
      <c r="HZ898" s="1080"/>
      <c r="IA898" s="1080"/>
      <c r="IB898" s="1080"/>
      <c r="IC898" s="1080"/>
      <c r="ID898" s="1080"/>
      <c r="IE898" s="1080"/>
      <c r="IF898" s="1080"/>
      <c r="IG898" s="1081"/>
      <c r="IH898" s="1080"/>
      <c r="II898" s="1080"/>
      <c r="IJ898" s="1080"/>
      <c r="IK898" s="1080"/>
      <c r="IL898" s="1080"/>
      <c r="IM898" s="1080"/>
      <c r="IN898" s="1080"/>
      <c r="IO898" s="1081"/>
      <c r="IP898" s="1080"/>
      <c r="IQ898" s="1080"/>
      <c r="IR898" s="1080"/>
      <c r="IS898" s="1080"/>
      <c r="IT898" s="1080"/>
      <c r="IU898" s="1080"/>
      <c r="IV898" s="1080"/>
      <c r="IW898" s="1080"/>
      <c r="IX898" s="1049"/>
      <c r="IY898" s="1049"/>
      <c r="IZ898" s="1049"/>
      <c r="JA898" s="1049"/>
      <c r="JB898" s="1049"/>
      <c r="JC898" s="1049"/>
      <c r="JD898" s="1041"/>
      <c r="JE898" s="1037"/>
      <c r="JF898" s="1037"/>
      <c r="JG898" s="1037"/>
      <c r="JH898" s="1037"/>
      <c r="JI898" s="1035"/>
      <c r="JJ898" s="1035"/>
      <c r="JK898" s="1035"/>
      <c r="JL898" s="1035"/>
      <c r="JM898" s="1035"/>
      <c r="JN898" s="1035"/>
      <c r="JO898" s="1035"/>
      <c r="JP898" s="1035"/>
      <c r="JQ898" s="1035"/>
      <c r="JR898" s="1035"/>
      <c r="JS898" s="1035"/>
      <c r="JT898" s="1035"/>
      <c r="JU898" s="1035"/>
      <c r="JV898" s="1035"/>
      <c r="JW898" s="1035"/>
      <c r="JX898" s="1035"/>
      <c r="JY898" s="1035"/>
      <c r="KP898" s="1117"/>
      <c r="LV898" s="967"/>
    </row>
    <row r="899" outlineLevel="1" spans="1:334">
      <c r="A899" s="1180" t="s">
        <v>108</v>
      </c>
      <c r="AX899" s="1059"/>
      <c r="BE899" s="1060"/>
      <c r="BN899" s="1059"/>
      <c r="BU899" s="1060"/>
      <c r="BV899" s="1059"/>
      <c r="CC899" s="1060"/>
      <c r="CD899" s="1059"/>
      <c r="CJ899" s="1061"/>
      <c r="CK899" s="1060"/>
      <c r="CL899" s="1059"/>
      <c r="CS899" s="1060"/>
      <c r="CT899" s="1059"/>
      <c r="CW899" s="1062"/>
      <c r="CX899" s="1062"/>
      <c r="DB899" s="1181"/>
      <c r="DC899" s="1181"/>
      <c r="DD899" s="1181"/>
      <c r="DE899" s="1194"/>
      <c r="DF899" s="1194"/>
      <c r="DG899" s="1181"/>
      <c r="DH899" s="1181"/>
      <c r="DI899" s="1182"/>
      <c r="DJ899" s="1181"/>
      <c r="DK899" s="1181"/>
      <c r="DL899" s="1181"/>
      <c r="DM899" s="1181"/>
      <c r="DN899" s="1181"/>
      <c r="DO899" s="1181"/>
      <c r="DP899" s="1181"/>
      <c r="DQ899" s="1182"/>
      <c r="DR899" s="1071">
        <f t="shared" ref="DR899:EL899" si="4682">+DR900-DR896-DR893-DR887-DR884-DR881-DR878</f>
        <v>-1</v>
      </c>
      <c r="DS899" s="1071">
        <f t="shared" si="4682"/>
        <v>2</v>
      </c>
      <c r="DT899" s="1071">
        <f t="shared" si="4682"/>
        <v>1</v>
      </c>
      <c r="DU899" s="1071">
        <f t="shared" si="4682"/>
        <v>-2</v>
      </c>
      <c r="DV899" s="1071">
        <f t="shared" si="4682"/>
        <v>-1</v>
      </c>
      <c r="DW899" s="1071">
        <f t="shared" si="4682"/>
        <v>1</v>
      </c>
      <c r="DX899" s="1071">
        <f t="shared" si="4682"/>
        <v>-1</v>
      </c>
      <c r="DY899" s="1072">
        <f t="shared" si="4682"/>
        <v>0</v>
      </c>
      <c r="DZ899" s="1071">
        <f t="shared" si="4682"/>
        <v>0.199999999999989</v>
      </c>
      <c r="EA899" s="1071">
        <f t="shared" si="4682"/>
        <v>-0.200000000000045</v>
      </c>
      <c r="EB899" s="1071">
        <f t="shared" si="4682"/>
        <v>0</v>
      </c>
      <c r="EC899" s="1071">
        <f t="shared" si="4682"/>
        <v>-1</v>
      </c>
      <c r="ED899" s="1071">
        <f t="shared" si="4682"/>
        <v>-1</v>
      </c>
      <c r="EE899" s="1071">
        <f t="shared" si="4682"/>
        <v>1</v>
      </c>
      <c r="EF899" s="1071">
        <f t="shared" si="4682"/>
        <v>0</v>
      </c>
      <c r="EG899" s="1072">
        <f t="shared" si="4682"/>
        <v>0</v>
      </c>
      <c r="EH899" s="1071">
        <f t="shared" si="4682"/>
        <v>0</v>
      </c>
      <c r="EI899" s="1071">
        <f t="shared" si="4682"/>
        <v>0</v>
      </c>
      <c r="EJ899" s="1071">
        <f t="shared" si="4682"/>
        <v>0</v>
      </c>
      <c r="EK899" s="1071">
        <f t="shared" si="4682"/>
        <v>0</v>
      </c>
      <c r="EL899" s="1071">
        <f t="shared" si="4682"/>
        <v>0</v>
      </c>
      <c r="EM899" s="1071">
        <f>EN899-EI899</f>
        <v>0</v>
      </c>
      <c r="EN899" s="1071">
        <f>EO899-EJ899</f>
        <v>0</v>
      </c>
      <c r="EO899" s="1072">
        <v>0</v>
      </c>
      <c r="EP899" s="1080"/>
      <c r="EQ899" s="1080"/>
      <c r="ER899" s="1080"/>
      <c r="ES899" s="1080"/>
      <c r="ET899" s="1080"/>
      <c r="EU899" s="1080"/>
      <c r="EV899" s="1080"/>
      <c r="EW899" s="1081"/>
      <c r="EX899" s="1080"/>
      <c r="EY899" s="1080"/>
      <c r="EZ899" s="1080"/>
      <c r="FA899" s="1080"/>
      <c r="FB899" s="1080"/>
      <c r="FC899" s="1080"/>
      <c r="FD899" s="1080"/>
      <c r="FE899" s="1081"/>
      <c r="FF899" s="1080"/>
      <c r="FG899" s="1080"/>
      <c r="FH899" s="1080"/>
      <c r="FI899" s="1080"/>
      <c r="FJ899" s="1080"/>
      <c r="FK899" s="1080"/>
      <c r="FL899" s="1080"/>
      <c r="FM899" s="1081"/>
      <c r="FN899" s="1080"/>
      <c r="FO899" s="1080"/>
      <c r="FP899" s="1080"/>
      <c r="FQ899" s="1080"/>
      <c r="FR899" s="1080"/>
      <c r="FS899" s="1080"/>
      <c r="FT899" s="1080"/>
      <c r="FU899" s="1080"/>
      <c r="FV899" s="1150"/>
      <c r="FW899" s="1080"/>
      <c r="FX899" s="1080"/>
      <c r="FY899" s="1080"/>
      <c r="FZ899" s="1080"/>
      <c r="GA899" s="1080"/>
      <c r="GB899" s="1080"/>
      <c r="GC899" s="1081"/>
      <c r="GD899" s="1080"/>
      <c r="GE899" s="1080"/>
      <c r="GF899" s="1080"/>
      <c r="GG899" s="1080"/>
      <c r="GH899" s="1080"/>
      <c r="GI899" s="1080"/>
      <c r="GJ899" s="1080"/>
      <c r="GK899" s="1081"/>
      <c r="GL899" s="1080"/>
      <c r="GM899" s="1080"/>
      <c r="GN899" s="1080"/>
      <c r="GO899" s="1080"/>
      <c r="GP899" s="1080"/>
      <c r="GQ899" s="1080"/>
      <c r="GR899" s="1080"/>
      <c r="GS899" s="1081"/>
      <c r="GT899" s="1080"/>
      <c r="GU899" s="1080"/>
      <c r="GV899" s="1080"/>
      <c r="GW899" s="1080"/>
      <c r="GX899" s="1080"/>
      <c r="GY899" s="1080"/>
      <c r="GZ899" s="1080"/>
      <c r="HA899" s="1081"/>
      <c r="HB899" s="1080"/>
      <c r="HC899" s="1080"/>
      <c r="HD899" s="1080"/>
      <c r="HE899" s="1080"/>
      <c r="HF899" s="1080"/>
      <c r="HG899" s="1080"/>
      <c r="HH899" s="1080"/>
      <c r="HI899" s="1081"/>
      <c r="HJ899" s="1080"/>
      <c r="HK899" s="1080"/>
      <c r="HL899" s="1080"/>
      <c r="HM899" s="1080"/>
      <c r="HN899" s="1080"/>
      <c r="HO899" s="1080"/>
      <c r="HP899" s="1080"/>
      <c r="HQ899" s="1081"/>
      <c r="HR899" s="1080"/>
      <c r="HS899" s="1080"/>
      <c r="HT899" s="1080"/>
      <c r="HU899" s="1080"/>
      <c r="HV899" s="1080"/>
      <c r="HW899" s="1080"/>
      <c r="HX899" s="1080"/>
      <c r="HY899" s="1080"/>
      <c r="HZ899" s="1080"/>
      <c r="IA899" s="1080"/>
      <c r="IB899" s="1080"/>
      <c r="IC899" s="1080"/>
      <c r="ID899" s="1080"/>
      <c r="IE899" s="1080"/>
      <c r="IF899" s="1080"/>
      <c r="IG899" s="1081"/>
      <c r="IH899" s="1080"/>
      <c r="II899" s="1080"/>
      <c r="IJ899" s="1080"/>
      <c r="IK899" s="1080"/>
      <c r="IL899" s="1080"/>
      <c r="IM899" s="1080"/>
      <c r="IN899" s="1080"/>
      <c r="IO899" s="1081"/>
      <c r="IP899" s="1080"/>
      <c r="IQ899" s="1080"/>
      <c r="IR899" s="1080"/>
      <c r="IS899" s="1080"/>
      <c r="IT899" s="1080"/>
      <c r="IU899" s="1080"/>
      <c r="IV899" s="1080"/>
      <c r="IW899" s="1080"/>
      <c r="IX899" s="1049"/>
      <c r="IY899" s="1049"/>
      <c r="IZ899" s="1049"/>
      <c r="JA899" s="1049"/>
      <c r="JB899" s="1049"/>
      <c r="JC899" s="1049"/>
      <c r="JD899" s="1041"/>
      <c r="JE899" s="1037"/>
      <c r="JF899" s="1037"/>
      <c r="JG899" s="1037"/>
      <c r="JH899" s="1037"/>
      <c r="JI899" s="1035"/>
      <c r="JJ899" s="1035"/>
      <c r="JK899" s="1035"/>
      <c r="JL899" s="1035"/>
      <c r="JM899" s="1035"/>
      <c r="JN899" s="1035"/>
      <c r="JO899" s="1035"/>
      <c r="JP899" s="1035"/>
      <c r="JQ899" s="1035"/>
      <c r="JR899" s="1035"/>
      <c r="JS899" s="1035"/>
      <c r="JT899" s="1035"/>
      <c r="JU899" s="1035"/>
      <c r="JV899" s="1035"/>
      <c r="JW899" s="1035"/>
      <c r="JX899" s="1035"/>
      <c r="JY899" s="1035"/>
      <c r="KP899" s="1117"/>
      <c r="LV899" s="967"/>
    </row>
    <row r="900" outlineLevel="1" spans="1:334">
      <c r="A900" s="1609" t="s">
        <v>71</v>
      </c>
      <c r="AX900" s="1059"/>
      <c r="BE900" s="1060"/>
      <c r="BN900" s="1059"/>
      <c r="BU900" s="1060"/>
      <c r="BV900" s="1059"/>
      <c r="CC900" s="1060"/>
      <c r="CD900" s="1059"/>
      <c r="CJ900" s="1061"/>
      <c r="CK900" s="1060"/>
      <c r="CL900" s="1059"/>
      <c r="CS900" s="1060"/>
      <c r="CT900" s="1607"/>
      <c r="CU900" s="1607"/>
      <c r="CV900" s="1607"/>
      <c r="CW900" s="1607"/>
      <c r="CX900" s="1607"/>
      <c r="CY900" s="1607"/>
      <c r="CZ900" s="1607"/>
      <c r="DA900" s="1607"/>
      <c r="DB900" s="1106"/>
      <c r="DC900" s="1106"/>
      <c r="DD900" s="1106"/>
      <c r="DE900" s="1106"/>
      <c r="DF900" s="1106"/>
      <c r="DG900" s="1106"/>
      <c r="DH900" s="1106"/>
      <c r="DI900" s="1107"/>
      <c r="DJ900" s="1106"/>
      <c r="DK900" s="1106"/>
      <c r="DL900" s="1106"/>
      <c r="DM900" s="1106"/>
      <c r="DN900" s="1106"/>
      <c r="DO900" s="1106"/>
      <c r="DP900" s="1106"/>
      <c r="DQ900" s="1107"/>
      <c r="DR900" s="1106">
        <v>459</v>
      </c>
      <c r="DS900" s="1106">
        <f>+DT900-DR900</f>
        <v>602</v>
      </c>
      <c r="DT900" s="1106">
        <v>1061</v>
      </c>
      <c r="DU900" s="1106">
        <f>+DV900-DT900</f>
        <v>664</v>
      </c>
      <c r="DV900" s="1106">
        <v>1725</v>
      </c>
      <c r="DW900" s="1106">
        <f>DX900-DU900</f>
        <v>664</v>
      </c>
      <c r="DX900" s="1106">
        <f>DY900-DT900</f>
        <v>1328</v>
      </c>
      <c r="DY900" s="1107">
        <v>2389</v>
      </c>
      <c r="DZ900" s="1106">
        <v>577</v>
      </c>
      <c r="EA900" s="1106">
        <f>+EB900-DZ900</f>
        <v>681</v>
      </c>
      <c r="EB900" s="1106">
        <v>1258</v>
      </c>
      <c r="EC900" s="1106">
        <f>+ED900-EB900</f>
        <v>757</v>
      </c>
      <c r="ED900" s="1106">
        <v>2015</v>
      </c>
      <c r="EE900" s="1106">
        <f>EF900-EC900</f>
        <v>778</v>
      </c>
      <c r="EF900" s="1106">
        <f>EG900-EB900</f>
        <v>1535</v>
      </c>
      <c r="EG900" s="1107">
        <v>2793</v>
      </c>
      <c r="EH900" s="1106">
        <v>693</v>
      </c>
      <c r="EI900" s="1106">
        <f>+EJ900-EH900</f>
        <v>854</v>
      </c>
      <c r="EJ900" s="1106">
        <v>1547</v>
      </c>
      <c r="EK900" s="1106">
        <f>+EL900-EJ900</f>
        <v>944</v>
      </c>
      <c r="EL900" s="1106">
        <v>2491</v>
      </c>
      <c r="EM900" s="1106">
        <f>EN900-EK900</f>
        <v>882</v>
      </c>
      <c r="EN900" s="1106">
        <f>EO900-EJ900</f>
        <v>1826</v>
      </c>
      <c r="EO900" s="1107">
        <f>EO878+EO881+EO884+EO887+EO893+EO896+EO899</f>
        <v>3373</v>
      </c>
      <c r="EP900" s="1106"/>
      <c r="EQ900" s="1106"/>
      <c r="ER900" s="1106"/>
      <c r="ES900" s="1106"/>
      <c r="ET900" s="1106"/>
      <c r="EU900" s="1106"/>
      <c r="EV900" s="1106"/>
      <c r="EW900" s="1107"/>
      <c r="EX900" s="1106"/>
      <c r="EY900" s="1106"/>
      <c r="EZ900" s="1106"/>
      <c r="FA900" s="1106"/>
      <c r="FB900" s="1106"/>
      <c r="FC900" s="1106"/>
      <c r="FD900" s="1106"/>
      <c r="FE900" s="1107"/>
      <c r="FF900" s="1106"/>
      <c r="FG900" s="1106"/>
      <c r="FH900" s="1106"/>
      <c r="FI900" s="1106"/>
      <c r="FJ900" s="1106"/>
      <c r="FK900" s="1106"/>
      <c r="FL900" s="1106"/>
      <c r="FM900" s="1107"/>
      <c r="FN900" s="1106"/>
      <c r="FO900" s="1106"/>
      <c r="FP900" s="1106"/>
      <c r="FQ900" s="1106"/>
      <c r="FR900" s="1106"/>
      <c r="FS900" s="1106"/>
      <c r="FT900" s="1106"/>
      <c r="FU900" s="1106"/>
      <c r="FV900" s="1108"/>
      <c r="FW900" s="1106"/>
      <c r="FX900" s="1106"/>
      <c r="FY900" s="1106"/>
      <c r="FZ900" s="1106"/>
      <c r="GA900" s="1106"/>
      <c r="GB900" s="1106"/>
      <c r="GC900" s="1107"/>
      <c r="GD900" s="1106"/>
      <c r="GE900" s="1106"/>
      <c r="GF900" s="1106"/>
      <c r="GG900" s="1106"/>
      <c r="GH900" s="1106"/>
      <c r="GI900" s="1106"/>
      <c r="GJ900" s="1106"/>
      <c r="GK900" s="1107"/>
      <c r="GL900" s="1106"/>
      <c r="GM900" s="1106"/>
      <c r="GN900" s="1106"/>
      <c r="GO900" s="1106"/>
      <c r="GP900" s="1106"/>
      <c r="GQ900" s="1106"/>
      <c r="GR900" s="1106"/>
      <c r="GS900" s="1107"/>
      <c r="GT900" s="1106"/>
      <c r="GU900" s="1106"/>
      <c r="GV900" s="1106"/>
      <c r="GW900" s="1106"/>
      <c r="GX900" s="1106"/>
      <c r="GY900" s="1106"/>
      <c r="GZ900" s="1106"/>
      <c r="HA900" s="1107"/>
      <c r="HB900" s="1106"/>
      <c r="HC900" s="1106"/>
      <c r="HD900" s="1106"/>
      <c r="HE900" s="1106"/>
      <c r="HF900" s="1106"/>
      <c r="HG900" s="1106"/>
      <c r="HH900" s="1106"/>
      <c r="HI900" s="1107"/>
      <c r="HJ900" s="1106"/>
      <c r="HK900" s="1106"/>
      <c r="HL900" s="1106"/>
      <c r="HM900" s="1106"/>
      <c r="HN900" s="1106"/>
      <c r="HO900" s="1106"/>
      <c r="HP900" s="1106"/>
      <c r="HQ900" s="1107"/>
      <c r="HR900" s="1106"/>
      <c r="HS900" s="1106"/>
      <c r="HT900" s="1106"/>
      <c r="HU900" s="1106"/>
      <c r="HV900" s="1106"/>
      <c r="HW900" s="1106"/>
      <c r="HX900" s="1106"/>
      <c r="HY900" s="1106"/>
      <c r="HZ900" s="1106"/>
      <c r="IA900" s="1106"/>
      <c r="IB900" s="1106"/>
      <c r="IC900" s="1106"/>
      <c r="ID900" s="1106"/>
      <c r="IE900" s="1106"/>
      <c r="IF900" s="1106"/>
      <c r="IG900" s="1107"/>
      <c r="IH900" s="1106"/>
      <c r="II900" s="1106"/>
      <c r="IJ900" s="1106"/>
      <c r="IK900" s="1106"/>
      <c r="IL900" s="1106"/>
      <c r="IM900" s="1106"/>
      <c r="IN900" s="1106"/>
      <c r="IO900" s="1107"/>
      <c r="IP900" s="1106"/>
      <c r="IQ900" s="1106"/>
      <c r="IR900" s="1106"/>
      <c r="IS900" s="1106"/>
      <c r="IT900" s="1106"/>
      <c r="IU900" s="1106"/>
      <c r="IV900" s="1106"/>
      <c r="IW900" s="1106"/>
      <c r="IX900" s="1049"/>
      <c r="IY900" s="1049"/>
      <c r="IZ900" s="1049"/>
      <c r="JA900" s="1049"/>
      <c r="JB900" s="1049"/>
      <c r="JC900" s="1049"/>
      <c r="JD900" s="1041"/>
      <c r="JE900" s="1037"/>
      <c r="JF900" s="1037"/>
      <c r="JG900" s="1037"/>
      <c r="JH900" s="1037"/>
      <c r="JI900" s="1035"/>
      <c r="JJ900" s="1035"/>
      <c r="JK900" s="1035"/>
      <c r="JL900" s="1035"/>
      <c r="JM900" s="1035"/>
      <c r="JN900" s="1035"/>
      <c r="JO900" s="1035"/>
      <c r="JP900" s="1035"/>
      <c r="JQ900" s="1035"/>
      <c r="JR900" s="1035"/>
      <c r="JS900" s="1035"/>
      <c r="JT900" s="1035"/>
      <c r="JU900" s="1035"/>
      <c r="JV900" s="1035"/>
      <c r="JW900" s="1035"/>
      <c r="JX900" s="1035"/>
      <c r="JY900" s="1035"/>
      <c r="KP900" s="1117"/>
      <c r="LV900" s="967"/>
    </row>
    <row r="901" outlineLevel="1" spans="1:334">
      <c r="A901" s="1204"/>
      <c r="AX901" s="1059"/>
      <c r="BE901" s="1060"/>
      <c r="BN901" s="1059"/>
      <c r="BU901" s="1060"/>
      <c r="BV901" s="1059"/>
      <c r="CC901" s="1060"/>
      <c r="CD901" s="1059"/>
      <c r="CJ901" s="1061"/>
      <c r="CK901" s="1060"/>
      <c r="CL901" s="1059"/>
      <c r="CS901" s="1060"/>
      <c r="CT901" s="1059"/>
      <c r="CW901" s="1062"/>
      <c r="CX901" s="1062"/>
      <c r="DB901" s="1181"/>
      <c r="DC901" s="1181"/>
      <c r="DD901" s="1181"/>
      <c r="DE901" s="1194"/>
      <c r="DF901" s="1194"/>
      <c r="DG901" s="1181"/>
      <c r="DH901" s="1181"/>
      <c r="DI901" s="1182"/>
      <c r="DJ901" s="1181"/>
      <c r="DK901" s="1181"/>
      <c r="DL901" s="1181"/>
      <c r="DM901" s="1181"/>
      <c r="DN901" s="1181"/>
      <c r="DO901" s="1181"/>
      <c r="DP901" s="1181"/>
      <c r="DQ901" s="1182"/>
      <c r="DR901" s="1080"/>
      <c r="DS901" s="1080"/>
      <c r="DT901" s="1080"/>
      <c r="DU901" s="1080"/>
      <c r="DV901" s="1080"/>
      <c r="DW901" s="1080"/>
      <c r="DX901" s="1080"/>
      <c r="DY901" s="1081"/>
      <c r="DZ901" s="1080"/>
      <c r="EA901" s="1080"/>
      <c r="EB901" s="1080"/>
      <c r="EC901" s="1080"/>
      <c r="ED901" s="1080"/>
      <c r="EE901" s="1080"/>
      <c r="EF901" s="1080"/>
      <c r="EG901" s="1081"/>
      <c r="EH901" s="1080"/>
      <c r="EI901" s="1080"/>
      <c r="EJ901" s="1080"/>
      <c r="EK901" s="1080"/>
      <c r="EL901" s="1080"/>
      <c r="EM901" s="1080"/>
      <c r="EN901" s="1080"/>
      <c r="EO901" s="1081"/>
      <c r="EP901" s="1080"/>
      <c r="EQ901" s="1080"/>
      <c r="ER901" s="1080"/>
      <c r="ES901" s="1080"/>
      <c r="ET901" s="1080"/>
      <c r="EU901" s="1080"/>
      <c r="EV901" s="1080"/>
      <c r="EW901" s="1081"/>
      <c r="EX901" s="1080"/>
      <c r="EY901" s="1080"/>
      <c r="EZ901" s="1080"/>
      <c r="FA901" s="1080"/>
      <c r="FB901" s="1080"/>
      <c r="FC901" s="1080"/>
      <c r="FD901" s="1080"/>
      <c r="FE901" s="1081"/>
      <c r="FF901" s="1080"/>
      <c r="FG901" s="1080"/>
      <c r="FH901" s="1080"/>
      <c r="FI901" s="1080"/>
      <c r="FJ901" s="1080"/>
      <c r="FK901" s="1080"/>
      <c r="FL901" s="1080"/>
      <c r="FM901" s="1081"/>
      <c r="FN901" s="1080"/>
      <c r="FO901" s="1080"/>
      <c r="FP901" s="1080"/>
      <c r="FQ901" s="1080"/>
      <c r="FR901" s="1080"/>
      <c r="FS901" s="1080"/>
      <c r="FT901" s="1080"/>
      <c r="FU901" s="1080"/>
      <c r="FV901" s="1150"/>
      <c r="FW901" s="1080"/>
      <c r="FX901" s="1080"/>
      <c r="FY901" s="1080"/>
      <c r="FZ901" s="1080"/>
      <c r="GA901" s="1080"/>
      <c r="GB901" s="1080"/>
      <c r="GC901" s="1081"/>
      <c r="GD901" s="1080"/>
      <c r="GE901" s="1080"/>
      <c r="GF901" s="1080"/>
      <c r="GG901" s="1080"/>
      <c r="GH901" s="1080"/>
      <c r="GI901" s="1080"/>
      <c r="GJ901" s="1080"/>
      <c r="GK901" s="1081"/>
      <c r="GL901" s="1080"/>
      <c r="GM901" s="1080"/>
      <c r="GN901" s="1080"/>
      <c r="GO901" s="1080"/>
      <c r="GP901" s="1080"/>
      <c r="GQ901" s="1080"/>
      <c r="GR901" s="1080"/>
      <c r="GS901" s="1081"/>
      <c r="GT901" s="1080"/>
      <c r="GU901" s="1080"/>
      <c r="GV901" s="1080"/>
      <c r="GW901" s="1080"/>
      <c r="GX901" s="1080"/>
      <c r="GY901" s="1080"/>
      <c r="GZ901" s="1080"/>
      <c r="HA901" s="1081"/>
      <c r="HB901" s="1080"/>
      <c r="HC901" s="1080"/>
      <c r="HD901" s="1080"/>
      <c r="HE901" s="1080"/>
      <c r="HF901" s="1080"/>
      <c r="HG901" s="1080"/>
      <c r="HH901" s="1080"/>
      <c r="HI901" s="1081"/>
      <c r="HJ901" s="1080"/>
      <c r="HK901" s="1080"/>
      <c r="HL901" s="1080"/>
      <c r="HM901" s="1080"/>
      <c r="HN901" s="1080"/>
      <c r="HO901" s="1080"/>
      <c r="HP901" s="1080"/>
      <c r="HQ901" s="1081"/>
      <c r="HR901" s="1080"/>
      <c r="HS901" s="1080"/>
      <c r="HT901" s="1080"/>
      <c r="HU901" s="1080"/>
      <c r="HV901" s="1080"/>
      <c r="HW901" s="1080"/>
      <c r="HX901" s="1080"/>
      <c r="HY901" s="1080"/>
      <c r="HZ901" s="1080"/>
      <c r="IA901" s="1080"/>
      <c r="IB901" s="1080"/>
      <c r="IC901" s="1080"/>
      <c r="ID901" s="1080"/>
      <c r="IE901" s="1080"/>
      <c r="IF901" s="1080"/>
      <c r="IG901" s="1081"/>
      <c r="IH901" s="1080"/>
      <c r="II901" s="1080"/>
      <c r="IJ901" s="1080"/>
      <c r="IK901" s="1080"/>
      <c r="IL901" s="1080"/>
      <c r="IM901" s="1080"/>
      <c r="IN901" s="1080"/>
      <c r="IO901" s="1081"/>
      <c r="IP901" s="1080"/>
      <c r="IQ901" s="1080"/>
      <c r="IR901" s="1080"/>
      <c r="IS901" s="1080"/>
      <c r="IT901" s="1080"/>
      <c r="IU901" s="1080"/>
      <c r="IV901" s="1080"/>
      <c r="IW901" s="1080"/>
      <c r="IX901" s="1049"/>
      <c r="IY901" s="1049"/>
      <c r="IZ901" s="1049"/>
      <c r="JA901" s="1049"/>
      <c r="JB901" s="1049"/>
      <c r="JC901" s="1049"/>
      <c r="JD901" s="1041"/>
      <c r="JE901" s="1037"/>
      <c r="JF901" s="1037"/>
      <c r="JG901" s="1037"/>
      <c r="JH901" s="1037"/>
      <c r="JI901" s="1035"/>
      <c r="JJ901" s="1035"/>
      <c r="JK901" s="1035"/>
      <c r="JL901" s="1035"/>
      <c r="JM901" s="1035"/>
      <c r="JN901" s="1035"/>
      <c r="JO901" s="1035"/>
      <c r="JP901" s="1035"/>
      <c r="JQ901" s="1035"/>
      <c r="JR901" s="1035"/>
      <c r="JS901" s="1035"/>
      <c r="JT901" s="1035"/>
      <c r="JU901" s="1035"/>
      <c r="JV901" s="1035"/>
      <c r="JW901" s="1035"/>
      <c r="JX901" s="1035"/>
      <c r="JY901" s="1035"/>
      <c r="KP901" s="1117"/>
      <c r="LV901" s="967"/>
    </row>
    <row r="902" outlineLevel="1" spans="1:334">
      <c r="A902" s="1025" t="s">
        <v>678</v>
      </c>
      <c r="AX902" s="1059"/>
      <c r="BE902" s="1060"/>
      <c r="BN902" s="1059"/>
      <c r="BU902" s="1060"/>
      <c r="BV902" s="1059"/>
      <c r="CC902" s="1060"/>
      <c r="CD902" s="1059"/>
      <c r="CJ902" s="1061"/>
      <c r="CK902" s="1060"/>
      <c r="CL902" s="1059"/>
      <c r="CS902" s="1060"/>
      <c r="CT902" s="1059"/>
      <c r="CW902" s="1062"/>
      <c r="CX902" s="1062"/>
      <c r="DB902" s="1181"/>
      <c r="DC902" s="1181"/>
      <c r="DD902" s="1181"/>
      <c r="DE902" s="1194"/>
      <c r="DF902" s="1194"/>
      <c r="DG902" s="1181"/>
      <c r="DH902" s="1181"/>
      <c r="DI902" s="1182"/>
      <c r="DJ902" s="1181"/>
      <c r="DK902" s="1181"/>
      <c r="DL902" s="1181"/>
      <c r="DM902" s="1181"/>
      <c r="DN902" s="1181"/>
      <c r="DO902" s="1181"/>
      <c r="DP902" s="1181"/>
      <c r="DQ902" s="1182"/>
      <c r="DR902" s="1080"/>
      <c r="DS902" s="1080"/>
      <c r="DT902" s="1080"/>
      <c r="DU902" s="1080"/>
      <c r="DV902" s="1080"/>
      <c r="DW902" s="1080"/>
      <c r="DX902" s="1080"/>
      <c r="DY902" s="1081"/>
      <c r="DZ902" s="1080"/>
      <c r="EA902" s="1080"/>
      <c r="EB902" s="1080"/>
      <c r="EC902" s="1080"/>
      <c r="ED902" s="1080"/>
      <c r="EE902" s="1080"/>
      <c r="EF902" s="1080"/>
      <c r="EG902" s="1081"/>
      <c r="EH902" s="1080"/>
      <c r="EI902" s="1080"/>
      <c r="EJ902" s="1080"/>
      <c r="EK902" s="1080"/>
      <c r="EL902" s="1080"/>
      <c r="EM902" s="1080"/>
      <c r="EN902" s="1080"/>
      <c r="EO902" s="1081"/>
      <c r="EP902" s="1080"/>
      <c r="EQ902" s="1080"/>
      <c r="ER902" s="1080"/>
      <c r="ES902" s="1080"/>
      <c r="ET902" s="1080"/>
      <c r="EU902" s="1080"/>
      <c r="EV902" s="1080"/>
      <c r="EW902" s="1081"/>
      <c r="EX902" s="1080"/>
      <c r="EY902" s="1080"/>
      <c r="EZ902" s="1080"/>
      <c r="FA902" s="1080"/>
      <c r="FB902" s="1080"/>
      <c r="FC902" s="1080"/>
      <c r="FD902" s="1080"/>
      <c r="FE902" s="1081"/>
      <c r="FF902" s="1080"/>
      <c r="FG902" s="1080"/>
      <c r="FH902" s="1080"/>
      <c r="FI902" s="1080"/>
      <c r="FJ902" s="1080"/>
      <c r="FK902" s="1080"/>
      <c r="FL902" s="1080"/>
      <c r="FM902" s="1081"/>
      <c r="FN902" s="1080"/>
      <c r="FO902" s="1080"/>
      <c r="FP902" s="1080"/>
      <c r="FQ902" s="1080"/>
      <c r="FR902" s="1080"/>
      <c r="FS902" s="1080"/>
      <c r="FT902" s="1080"/>
      <c r="FU902" s="1080"/>
      <c r="FV902" s="1150"/>
      <c r="FW902" s="1080"/>
      <c r="FX902" s="1080"/>
      <c r="FY902" s="1080"/>
      <c r="FZ902" s="1080"/>
      <c r="GA902" s="1080"/>
      <c r="GB902" s="1080"/>
      <c r="GC902" s="1081"/>
      <c r="GD902" s="1080"/>
      <c r="GE902" s="1080"/>
      <c r="GF902" s="1080"/>
      <c r="GG902" s="1080"/>
      <c r="GH902" s="1080"/>
      <c r="GI902" s="1080"/>
      <c r="GJ902" s="1080"/>
      <c r="GK902" s="1081"/>
      <c r="GL902" s="1080"/>
      <c r="GM902" s="1080"/>
      <c r="GN902" s="1080"/>
      <c r="GO902" s="1080"/>
      <c r="GP902" s="1080"/>
      <c r="GQ902" s="1080"/>
      <c r="GR902" s="1080"/>
      <c r="GS902" s="1081"/>
      <c r="GT902" s="1080"/>
      <c r="GU902" s="1080"/>
      <c r="GV902" s="1080"/>
      <c r="GW902" s="1080"/>
      <c r="GX902" s="1080"/>
      <c r="GY902" s="1080"/>
      <c r="GZ902" s="1080"/>
      <c r="HA902" s="1081"/>
      <c r="HB902" s="1080"/>
      <c r="HC902" s="1080"/>
      <c r="HD902" s="1080"/>
      <c r="HE902" s="1080"/>
      <c r="HF902" s="1080"/>
      <c r="HG902" s="1080"/>
      <c r="HH902" s="1080"/>
      <c r="HI902" s="1081"/>
      <c r="HJ902" s="1080"/>
      <c r="HK902" s="1080"/>
      <c r="HL902" s="1080"/>
      <c r="HM902" s="1080"/>
      <c r="HN902" s="1080"/>
      <c r="HO902" s="1080"/>
      <c r="HP902" s="1080"/>
      <c r="HQ902" s="1081"/>
      <c r="HR902" s="1080"/>
      <c r="HS902" s="1080"/>
      <c r="HT902" s="1080"/>
      <c r="HU902" s="1080"/>
      <c r="HV902" s="1080"/>
      <c r="HW902" s="1080"/>
      <c r="HX902" s="1080"/>
      <c r="HY902" s="1080"/>
      <c r="HZ902" s="1080"/>
      <c r="IA902" s="1080"/>
      <c r="IB902" s="1080"/>
      <c r="IC902" s="1080"/>
      <c r="ID902" s="1080"/>
      <c r="IE902" s="1080"/>
      <c r="IF902" s="1080"/>
      <c r="IG902" s="1081"/>
      <c r="IH902" s="1080"/>
      <c r="II902" s="1080"/>
      <c r="IJ902" s="1080"/>
      <c r="IK902" s="1080"/>
      <c r="IL902" s="1080"/>
      <c r="IM902" s="1080"/>
      <c r="IN902" s="1080"/>
      <c r="IO902" s="1081"/>
      <c r="IP902" s="1080"/>
      <c r="IQ902" s="1080"/>
      <c r="IR902" s="1080"/>
      <c r="IS902" s="1080"/>
      <c r="IT902" s="1080"/>
      <c r="IU902" s="1080"/>
      <c r="IV902" s="1080"/>
      <c r="IW902" s="1080"/>
      <c r="IX902" s="1049"/>
      <c r="IY902" s="1049"/>
      <c r="IZ902" s="1049"/>
      <c r="JA902" s="1049"/>
      <c r="JB902" s="1049"/>
      <c r="JC902" s="1049"/>
      <c r="JD902" s="1041"/>
      <c r="JE902" s="1037"/>
      <c r="JF902" s="1037"/>
      <c r="JG902" s="1037"/>
      <c r="JH902" s="1037"/>
      <c r="JI902" s="1035"/>
      <c r="JJ902" s="1035"/>
      <c r="JK902" s="1035"/>
      <c r="JL902" s="1035"/>
      <c r="JM902" s="1035"/>
      <c r="JN902" s="1035"/>
      <c r="JO902" s="1035"/>
      <c r="JP902" s="1035"/>
      <c r="JQ902" s="1035"/>
      <c r="JR902" s="1035"/>
      <c r="JS902" s="1035"/>
      <c r="JT902" s="1035"/>
      <c r="JU902" s="1035"/>
      <c r="JV902" s="1035"/>
      <c r="JW902" s="1035"/>
      <c r="JX902" s="1035"/>
      <c r="JY902" s="1035"/>
      <c r="KP902" s="1117"/>
      <c r="LV902" s="967"/>
    </row>
    <row r="903" outlineLevel="1" spans="1:334">
      <c r="A903" s="1152" t="s">
        <v>112</v>
      </c>
      <c r="AX903" s="1059"/>
      <c r="BE903" s="1060"/>
      <c r="BN903" s="1059"/>
      <c r="BU903" s="1060"/>
      <c r="BV903" s="1059"/>
      <c r="CC903" s="1060"/>
      <c r="CD903" s="1059"/>
      <c r="CJ903" s="1061"/>
      <c r="CK903" s="1060"/>
      <c r="CL903" s="1059"/>
      <c r="CS903" s="1060"/>
      <c r="CT903" s="1059"/>
      <c r="CW903" s="1062"/>
      <c r="CX903" s="1062"/>
      <c r="DB903" s="1181"/>
      <c r="DC903" s="1181"/>
      <c r="DD903" s="1181"/>
      <c r="DE903" s="1194"/>
      <c r="DF903" s="1194"/>
      <c r="DG903" s="1181"/>
      <c r="DH903" s="1181"/>
      <c r="DI903" s="1182"/>
      <c r="DJ903" s="1181"/>
      <c r="DK903" s="1181"/>
      <c r="DL903" s="1181"/>
      <c r="DM903" s="1181"/>
      <c r="DN903" s="1181"/>
      <c r="DO903" s="1181"/>
      <c r="DP903" s="1181"/>
      <c r="DQ903" s="1182"/>
      <c r="DR903" s="1208">
        <v>60</v>
      </c>
      <c r="DS903" s="1071">
        <f>+DT903-DR903</f>
        <v>54</v>
      </c>
      <c r="DT903" s="1208">
        <v>114</v>
      </c>
      <c r="DU903" s="1071">
        <f>+DV903-DT903</f>
        <v>71</v>
      </c>
      <c r="DV903" s="1208">
        <v>185</v>
      </c>
      <c r="DW903" s="1071">
        <f>DX903-DU903</f>
        <v>50</v>
      </c>
      <c r="DX903" s="1071">
        <f>DY903-DT903</f>
        <v>121</v>
      </c>
      <c r="DY903" s="1212">
        <v>235</v>
      </c>
      <c r="DZ903" s="1208">
        <v>68</v>
      </c>
      <c r="EA903" s="1071">
        <f>+EB903-DZ903</f>
        <v>59</v>
      </c>
      <c r="EB903" s="1208">
        <v>127</v>
      </c>
      <c r="EC903" s="1071">
        <f>+ED903-EB903</f>
        <v>82</v>
      </c>
      <c r="ED903" s="1208">
        <v>209</v>
      </c>
      <c r="EE903" s="1071">
        <f>EF903-EC903</f>
        <v>50</v>
      </c>
      <c r="EF903" s="1071">
        <f>EG903-EB903</f>
        <v>132</v>
      </c>
      <c r="EG903" s="1212">
        <v>259</v>
      </c>
      <c r="EH903" s="1071">
        <v>92</v>
      </c>
      <c r="EI903" s="1071">
        <f>+EJ903-EH903</f>
        <v>77</v>
      </c>
      <c r="EJ903" s="1071">
        <v>169</v>
      </c>
      <c r="EK903" s="1071">
        <f>+EL903-EJ903</f>
        <v>87</v>
      </c>
      <c r="EL903" s="1071">
        <v>256</v>
      </c>
      <c r="EM903" s="1071">
        <f>EN903-EK903</f>
        <v>56</v>
      </c>
      <c r="EN903" s="1071">
        <f>EO903-EJ903</f>
        <v>143</v>
      </c>
      <c r="EO903" s="1072">
        <v>312</v>
      </c>
      <c r="EP903" s="1071"/>
      <c r="EQ903" s="1071"/>
      <c r="ER903" s="1071"/>
      <c r="ES903" s="1071"/>
      <c r="ET903" s="1071"/>
      <c r="EU903" s="1071"/>
      <c r="EV903" s="1071"/>
      <c r="EW903" s="1072"/>
      <c r="EX903" s="1071"/>
      <c r="EY903" s="1071"/>
      <c r="EZ903" s="1071"/>
      <c r="FA903" s="1071"/>
      <c r="FB903" s="1071"/>
      <c r="FC903" s="1071"/>
      <c r="FD903" s="1071"/>
      <c r="FE903" s="1072"/>
      <c r="FF903" s="1071"/>
      <c r="FG903" s="1071"/>
      <c r="FH903" s="1071"/>
      <c r="FI903" s="1071"/>
      <c r="FJ903" s="1071"/>
      <c r="FK903" s="1071"/>
      <c r="FL903" s="1071"/>
      <c r="FM903" s="1072"/>
      <c r="FN903" s="1071"/>
      <c r="FO903" s="1071"/>
      <c r="FP903" s="1071"/>
      <c r="FQ903" s="1071"/>
      <c r="FR903" s="1071"/>
      <c r="FS903" s="1071"/>
      <c r="FT903" s="1071"/>
      <c r="FU903" s="1071"/>
      <c r="FV903" s="1177"/>
      <c r="FW903" s="1071"/>
      <c r="FX903" s="1071"/>
      <c r="FY903" s="1071"/>
      <c r="FZ903" s="1071"/>
      <c r="GA903" s="1071"/>
      <c r="GB903" s="1071"/>
      <c r="GC903" s="1072"/>
      <c r="GD903" s="1071"/>
      <c r="GE903" s="1071"/>
      <c r="GF903" s="1071"/>
      <c r="GG903" s="1071"/>
      <c r="GH903" s="1071"/>
      <c r="GI903" s="1071"/>
      <c r="GJ903" s="1071"/>
      <c r="GK903" s="1072"/>
      <c r="GL903" s="1071"/>
      <c r="GM903" s="1071"/>
      <c r="GN903" s="1071"/>
      <c r="GO903" s="1071"/>
      <c r="GP903" s="1071"/>
      <c r="GQ903" s="1071"/>
      <c r="GR903" s="1071"/>
      <c r="GS903" s="1072"/>
      <c r="GT903" s="1071"/>
      <c r="GU903" s="1071"/>
      <c r="GV903" s="1071"/>
      <c r="GW903" s="1071"/>
      <c r="GX903" s="1071"/>
      <c r="GY903" s="1071"/>
      <c r="GZ903" s="1071"/>
      <c r="HA903" s="1072"/>
      <c r="HB903" s="1071"/>
      <c r="HC903" s="1071"/>
      <c r="HD903" s="1071"/>
      <c r="HE903" s="1071"/>
      <c r="HF903" s="1071"/>
      <c r="HG903" s="1071"/>
      <c r="HH903" s="1071"/>
      <c r="HI903" s="1072"/>
      <c r="HJ903" s="1071"/>
      <c r="HK903" s="1071"/>
      <c r="HL903" s="1071"/>
      <c r="HM903" s="1071"/>
      <c r="HN903" s="1071"/>
      <c r="HO903" s="1071"/>
      <c r="HP903" s="1071"/>
      <c r="HQ903" s="1072"/>
      <c r="HR903" s="1071"/>
      <c r="HS903" s="1071"/>
      <c r="HT903" s="1071"/>
      <c r="HU903" s="1071"/>
      <c r="HV903" s="1071"/>
      <c r="HW903" s="1071"/>
      <c r="HX903" s="1071"/>
      <c r="HY903" s="1071"/>
      <c r="HZ903" s="1071"/>
      <c r="IA903" s="1071"/>
      <c r="IB903" s="1071"/>
      <c r="IC903" s="1071"/>
      <c r="ID903" s="1071"/>
      <c r="IE903" s="1071"/>
      <c r="IF903" s="1071"/>
      <c r="IG903" s="1072"/>
      <c r="IH903" s="1071"/>
      <c r="II903" s="1071"/>
      <c r="IJ903" s="1071"/>
      <c r="IK903" s="1071"/>
      <c r="IL903" s="1071"/>
      <c r="IM903" s="1071"/>
      <c r="IN903" s="1071"/>
      <c r="IO903" s="1072"/>
      <c r="IP903" s="1071"/>
      <c r="IQ903" s="1071"/>
      <c r="IR903" s="1071"/>
      <c r="IS903" s="1071"/>
      <c r="IT903" s="1071"/>
      <c r="IU903" s="1071"/>
      <c r="IV903" s="1071"/>
      <c r="IW903" s="1071"/>
      <c r="IX903" s="1049"/>
      <c r="IY903" s="1049"/>
      <c r="IZ903" s="1049"/>
      <c r="JA903" s="1049"/>
      <c r="JB903" s="1049"/>
      <c r="JC903" s="1049"/>
      <c r="JD903" s="1041"/>
      <c r="JE903" s="1037"/>
      <c r="JF903" s="1037"/>
      <c r="JG903" s="1037"/>
      <c r="JH903" s="1037"/>
      <c r="JI903" s="1035"/>
      <c r="JJ903" s="1035"/>
      <c r="JK903" s="1035"/>
      <c r="JL903" s="1035"/>
      <c r="JM903" s="1035"/>
      <c r="JN903" s="1035"/>
      <c r="JO903" s="1035"/>
      <c r="JP903" s="1035"/>
      <c r="JQ903" s="1035"/>
      <c r="JR903" s="1035"/>
      <c r="JS903" s="1035"/>
      <c r="JT903" s="1035"/>
      <c r="JU903" s="1035"/>
      <c r="JV903" s="1035"/>
      <c r="JW903" s="1035"/>
      <c r="JX903" s="1035"/>
      <c r="JY903" s="1035"/>
      <c r="KP903" s="1117"/>
      <c r="LV903" s="967"/>
    </row>
    <row r="904" outlineLevel="1" spans="1:334">
      <c r="A904" s="967" t="s">
        <v>61</v>
      </c>
      <c r="AX904" s="1059"/>
      <c r="BE904" s="1060"/>
      <c r="BN904" s="1059"/>
      <c r="BU904" s="1060"/>
      <c r="BV904" s="1059"/>
      <c r="CC904" s="1060"/>
      <c r="CD904" s="1059"/>
      <c r="CJ904" s="1061"/>
      <c r="CK904" s="1060"/>
      <c r="CL904" s="1059"/>
      <c r="CS904" s="1060"/>
      <c r="CT904" s="1059"/>
      <c r="CW904" s="1062"/>
      <c r="CX904" s="1062"/>
      <c r="DB904" s="1181"/>
      <c r="DC904" s="1181"/>
      <c r="DD904" s="1181"/>
      <c r="DE904" s="1194"/>
      <c r="DF904" s="1194"/>
      <c r="DG904" s="1181"/>
      <c r="DH904" s="1181"/>
      <c r="DI904" s="1182"/>
      <c r="DJ904" s="1181"/>
      <c r="DK904" s="1181"/>
      <c r="DL904" s="1181"/>
      <c r="DM904" s="1181"/>
      <c r="DN904" s="1181"/>
      <c r="DO904" s="1181"/>
      <c r="DP904" s="1181"/>
      <c r="DQ904" s="1182"/>
      <c r="DR904" s="1080"/>
      <c r="DS904" s="1080"/>
      <c r="DT904" s="1080"/>
      <c r="DU904" s="1080"/>
      <c r="DV904" s="1080"/>
      <c r="DW904" s="1080"/>
      <c r="DX904" s="1080"/>
      <c r="DY904" s="1081"/>
      <c r="DZ904" s="1080">
        <f>+DZ903/DR903-1</f>
        <v>0.133333333333333</v>
      </c>
      <c r="EA904" s="1080">
        <f t="shared" ref="EA904:EG904" si="4683">+EA903/DS903-1</f>
        <v>0.0925925925925926</v>
      </c>
      <c r="EB904" s="1080">
        <f t="shared" si="4683"/>
        <v>0.114035087719298</v>
      </c>
      <c r="EC904" s="1080">
        <f t="shared" si="4683"/>
        <v>0.154929577464789</v>
      </c>
      <c r="ED904" s="1080">
        <f t="shared" si="4683"/>
        <v>0.12972972972973</v>
      </c>
      <c r="EE904" s="1080">
        <f t="shared" si="4683"/>
        <v>0</v>
      </c>
      <c r="EF904" s="1080">
        <f t="shared" si="4683"/>
        <v>0.0909090909090908</v>
      </c>
      <c r="EG904" s="1081">
        <f t="shared" si="4683"/>
        <v>0.102127659574468</v>
      </c>
      <c r="EH904" s="1080">
        <v>0.36</v>
      </c>
      <c r="EI904" s="1080">
        <f>+EI903/EA903-1</f>
        <v>0.305084745762712</v>
      </c>
      <c r="EJ904" s="1080">
        <f>+EJ903/EB903-1</f>
        <v>0.330708661417323</v>
      </c>
      <c r="EK904" s="1080">
        <f>+EK903/EC903-1</f>
        <v>0.0609756097560976</v>
      </c>
      <c r="EL904" s="1080">
        <f>+EL903/ED903-1</f>
        <v>0.22488038277512</v>
      </c>
      <c r="EM904" s="1080">
        <f>EM903/EE903-1</f>
        <v>0.12</v>
      </c>
      <c r="EN904" s="1080">
        <f>EN903/EF903-1</f>
        <v>0.0833333333333333</v>
      </c>
      <c r="EO904" s="1081">
        <f>EO903/EG903-1</f>
        <v>0.204633204633205</v>
      </c>
      <c r="EP904" s="1080"/>
      <c r="EQ904" s="1080"/>
      <c r="ER904" s="1080"/>
      <c r="ES904" s="1080"/>
      <c r="ET904" s="1080"/>
      <c r="EU904" s="1080"/>
      <c r="EV904" s="1080"/>
      <c r="EW904" s="1081"/>
      <c r="EX904" s="1080"/>
      <c r="EY904" s="1080"/>
      <c r="EZ904" s="1080"/>
      <c r="FA904" s="1080"/>
      <c r="FB904" s="1080"/>
      <c r="FC904" s="1080"/>
      <c r="FD904" s="1080"/>
      <c r="FE904" s="1081"/>
      <c r="FF904" s="1080"/>
      <c r="FG904" s="1080"/>
      <c r="FH904" s="1080"/>
      <c r="FI904" s="1080"/>
      <c r="FJ904" s="1080"/>
      <c r="FK904" s="1080"/>
      <c r="FL904" s="1080"/>
      <c r="FM904" s="1081"/>
      <c r="FN904" s="1080"/>
      <c r="FO904" s="1080"/>
      <c r="FP904" s="1080"/>
      <c r="FQ904" s="1080"/>
      <c r="FR904" s="1080"/>
      <c r="FS904" s="1080"/>
      <c r="FT904" s="1080"/>
      <c r="FU904" s="1080"/>
      <c r="FV904" s="1150"/>
      <c r="FW904" s="1080"/>
      <c r="FX904" s="1080"/>
      <c r="FY904" s="1080"/>
      <c r="FZ904" s="1080"/>
      <c r="GA904" s="1080"/>
      <c r="GB904" s="1080"/>
      <c r="GC904" s="1081"/>
      <c r="GD904" s="1080"/>
      <c r="GE904" s="1080"/>
      <c r="GF904" s="1080"/>
      <c r="GG904" s="1080"/>
      <c r="GH904" s="1080"/>
      <c r="GI904" s="1080"/>
      <c r="GJ904" s="1080"/>
      <c r="GK904" s="1081"/>
      <c r="GL904" s="1080"/>
      <c r="GM904" s="1080"/>
      <c r="GN904" s="1080"/>
      <c r="GO904" s="1080"/>
      <c r="GP904" s="1080"/>
      <c r="GQ904" s="1080"/>
      <c r="GR904" s="1080"/>
      <c r="GS904" s="1081"/>
      <c r="GT904" s="1080"/>
      <c r="GU904" s="1080"/>
      <c r="GV904" s="1080"/>
      <c r="GW904" s="1080"/>
      <c r="GX904" s="1080"/>
      <c r="GY904" s="1080"/>
      <c r="GZ904" s="1080"/>
      <c r="HA904" s="1081"/>
      <c r="HB904" s="1080"/>
      <c r="HC904" s="1080"/>
      <c r="HD904" s="1080"/>
      <c r="HE904" s="1080"/>
      <c r="HF904" s="1080"/>
      <c r="HG904" s="1080"/>
      <c r="HH904" s="1080"/>
      <c r="HI904" s="1081"/>
      <c r="HJ904" s="1080"/>
      <c r="HK904" s="1080"/>
      <c r="HL904" s="1080"/>
      <c r="HM904" s="1080"/>
      <c r="HN904" s="1080"/>
      <c r="HO904" s="1080"/>
      <c r="HP904" s="1080"/>
      <c r="HQ904" s="1081"/>
      <c r="HR904" s="1080"/>
      <c r="HS904" s="1080"/>
      <c r="HT904" s="1080"/>
      <c r="HU904" s="1080"/>
      <c r="HV904" s="1080"/>
      <c r="HW904" s="1080"/>
      <c r="HX904" s="1080"/>
      <c r="HY904" s="1080"/>
      <c r="HZ904" s="1080"/>
      <c r="IA904" s="1080"/>
      <c r="IB904" s="1080"/>
      <c r="IC904" s="1080"/>
      <c r="ID904" s="1080"/>
      <c r="IE904" s="1080"/>
      <c r="IF904" s="1080"/>
      <c r="IG904" s="1081"/>
      <c r="IH904" s="1080"/>
      <c r="II904" s="1080"/>
      <c r="IJ904" s="1080"/>
      <c r="IK904" s="1080"/>
      <c r="IL904" s="1080"/>
      <c r="IM904" s="1080"/>
      <c r="IN904" s="1080"/>
      <c r="IO904" s="1081"/>
      <c r="IP904" s="1080"/>
      <c r="IQ904" s="1080"/>
      <c r="IR904" s="1080"/>
      <c r="IS904" s="1080"/>
      <c r="IT904" s="1080"/>
      <c r="IU904" s="1080"/>
      <c r="IV904" s="1080"/>
      <c r="IW904" s="1080"/>
      <c r="IX904" s="1049"/>
      <c r="IY904" s="1049"/>
      <c r="IZ904" s="1049"/>
      <c r="JA904" s="1049"/>
      <c r="JB904" s="1049"/>
      <c r="JC904" s="1049"/>
      <c r="JD904" s="1041"/>
      <c r="JE904" s="1037"/>
      <c r="JF904" s="1037"/>
      <c r="JG904" s="1037"/>
      <c r="JH904" s="1037"/>
      <c r="JI904" s="1035"/>
      <c r="JJ904" s="1035"/>
      <c r="JK904" s="1035"/>
      <c r="JL904" s="1035"/>
      <c r="JM904" s="1035"/>
      <c r="JN904" s="1035"/>
      <c r="JO904" s="1035"/>
      <c r="JP904" s="1035"/>
      <c r="JQ904" s="1035"/>
      <c r="JR904" s="1035"/>
      <c r="JS904" s="1035"/>
      <c r="JT904" s="1035"/>
      <c r="JU904" s="1035"/>
      <c r="JV904" s="1035"/>
      <c r="JW904" s="1035"/>
      <c r="JX904" s="1035"/>
      <c r="JY904" s="1035"/>
      <c r="KP904" s="1117"/>
      <c r="LV904" s="967"/>
    </row>
    <row r="905" outlineLevel="1" spans="1:334">
      <c r="A905" s="967" t="s">
        <v>65</v>
      </c>
      <c r="AX905" s="1059"/>
      <c r="BE905" s="1060"/>
      <c r="BN905" s="1059"/>
      <c r="BU905" s="1060"/>
      <c r="BV905" s="1059"/>
      <c r="CC905" s="1060"/>
      <c r="CD905" s="1059"/>
      <c r="CJ905" s="1061"/>
      <c r="CK905" s="1060"/>
      <c r="CL905" s="1059"/>
      <c r="CS905" s="1060"/>
      <c r="CT905" s="1059"/>
      <c r="CW905" s="1062"/>
      <c r="CX905" s="1062"/>
      <c r="DB905" s="1181"/>
      <c r="DC905" s="1181"/>
      <c r="DD905" s="1181"/>
      <c r="DE905" s="1194"/>
      <c r="DF905" s="1194"/>
      <c r="DG905" s="1181"/>
      <c r="DH905" s="1181"/>
      <c r="DI905" s="1182"/>
      <c r="DJ905" s="1181"/>
      <c r="DK905" s="1181"/>
      <c r="DL905" s="1181"/>
      <c r="DM905" s="1181"/>
      <c r="DN905" s="1181"/>
      <c r="DO905" s="1181"/>
      <c r="DP905" s="1181"/>
      <c r="DQ905" s="1182"/>
      <c r="DR905" s="1080"/>
      <c r="DS905" s="1080"/>
      <c r="DT905" s="1080"/>
      <c r="DU905" s="1080"/>
      <c r="DV905" s="1080"/>
      <c r="DW905" s="1080"/>
      <c r="DX905" s="1080"/>
      <c r="DY905" s="1081"/>
      <c r="DZ905" s="1080">
        <v>0.1</v>
      </c>
      <c r="EA905" s="1080"/>
      <c r="EB905" s="1080">
        <v>0.1</v>
      </c>
      <c r="EC905" s="1080"/>
      <c r="ED905" s="1080">
        <v>0.13</v>
      </c>
      <c r="EE905" s="1080"/>
      <c r="EF905" s="1080"/>
      <c r="EG905" s="1081">
        <v>0.11</v>
      </c>
      <c r="EH905" s="1080">
        <v>0.34</v>
      </c>
      <c r="EI905" s="1080"/>
      <c r="EJ905" s="1080">
        <v>0.29</v>
      </c>
      <c r="EK905" s="1080"/>
      <c r="EL905" s="1080">
        <v>0.18</v>
      </c>
      <c r="EM905" s="1080"/>
      <c r="EN905" s="1080"/>
      <c r="EO905" s="1081">
        <v>0.16</v>
      </c>
      <c r="EP905" s="1080"/>
      <c r="EQ905" s="1080"/>
      <c r="ER905" s="1080"/>
      <c r="ES905" s="1080"/>
      <c r="ET905" s="1080"/>
      <c r="EU905" s="1080"/>
      <c r="EV905" s="1080"/>
      <c r="EW905" s="1081"/>
      <c r="EX905" s="1080"/>
      <c r="EY905" s="1080"/>
      <c r="EZ905" s="1080"/>
      <c r="FA905" s="1080"/>
      <c r="FB905" s="1080"/>
      <c r="FC905" s="1080"/>
      <c r="FD905" s="1080"/>
      <c r="FE905" s="1081"/>
      <c r="FF905" s="1080"/>
      <c r="FG905" s="1080"/>
      <c r="FH905" s="1080"/>
      <c r="FI905" s="1080"/>
      <c r="FJ905" s="1080"/>
      <c r="FK905" s="1080"/>
      <c r="FL905" s="1080"/>
      <c r="FM905" s="1081"/>
      <c r="FN905" s="1080"/>
      <c r="FO905" s="1080"/>
      <c r="FP905" s="1080"/>
      <c r="FQ905" s="1080"/>
      <c r="FR905" s="1080"/>
      <c r="FS905" s="1080"/>
      <c r="FT905" s="1080"/>
      <c r="FU905" s="1080"/>
      <c r="FV905" s="1150"/>
      <c r="FW905" s="1080"/>
      <c r="FX905" s="1080"/>
      <c r="FY905" s="1080"/>
      <c r="FZ905" s="1080"/>
      <c r="GA905" s="1080"/>
      <c r="GB905" s="1080"/>
      <c r="GC905" s="1081"/>
      <c r="GD905" s="1080"/>
      <c r="GE905" s="1080"/>
      <c r="GF905" s="1080"/>
      <c r="GG905" s="1080"/>
      <c r="GH905" s="1080"/>
      <c r="GI905" s="1080"/>
      <c r="GJ905" s="1080"/>
      <c r="GK905" s="1081"/>
      <c r="GL905" s="1080"/>
      <c r="GM905" s="1080"/>
      <c r="GN905" s="1080"/>
      <c r="GO905" s="1080"/>
      <c r="GP905" s="1080"/>
      <c r="GQ905" s="1080"/>
      <c r="GR905" s="1080"/>
      <c r="GS905" s="1081"/>
      <c r="GT905" s="1080"/>
      <c r="GU905" s="1080"/>
      <c r="GV905" s="1080"/>
      <c r="GW905" s="1080"/>
      <c r="GX905" s="1080"/>
      <c r="GY905" s="1080"/>
      <c r="GZ905" s="1080"/>
      <c r="HA905" s="1081"/>
      <c r="HB905" s="1080"/>
      <c r="HC905" s="1080"/>
      <c r="HD905" s="1080"/>
      <c r="HE905" s="1080"/>
      <c r="HF905" s="1080"/>
      <c r="HG905" s="1080"/>
      <c r="HH905" s="1080"/>
      <c r="HI905" s="1081"/>
      <c r="HJ905" s="1080"/>
      <c r="HK905" s="1080"/>
      <c r="HL905" s="1080"/>
      <c r="HM905" s="1080"/>
      <c r="HN905" s="1080"/>
      <c r="HO905" s="1080"/>
      <c r="HP905" s="1080"/>
      <c r="HQ905" s="1081"/>
      <c r="HR905" s="1080"/>
      <c r="HS905" s="1080"/>
      <c r="HT905" s="1080"/>
      <c r="HU905" s="1080"/>
      <c r="HV905" s="1080"/>
      <c r="HW905" s="1080"/>
      <c r="HX905" s="1080"/>
      <c r="HY905" s="1080"/>
      <c r="HZ905" s="1080"/>
      <c r="IA905" s="1080"/>
      <c r="IB905" s="1080"/>
      <c r="IC905" s="1080"/>
      <c r="ID905" s="1080"/>
      <c r="IE905" s="1080"/>
      <c r="IF905" s="1080"/>
      <c r="IG905" s="1081"/>
      <c r="IH905" s="1080"/>
      <c r="II905" s="1080"/>
      <c r="IJ905" s="1080"/>
      <c r="IK905" s="1080"/>
      <c r="IL905" s="1080"/>
      <c r="IM905" s="1080"/>
      <c r="IN905" s="1080"/>
      <c r="IO905" s="1081"/>
      <c r="IP905" s="1080"/>
      <c r="IQ905" s="1080"/>
      <c r="IR905" s="1080"/>
      <c r="IS905" s="1080"/>
      <c r="IT905" s="1080"/>
      <c r="IU905" s="1080"/>
      <c r="IV905" s="1080"/>
      <c r="IW905" s="1080"/>
      <c r="IX905" s="1049"/>
      <c r="IY905" s="1049"/>
      <c r="IZ905" s="1049"/>
      <c r="JA905" s="1049"/>
      <c r="JB905" s="1049"/>
      <c r="JC905" s="1049"/>
      <c r="JD905" s="1041"/>
      <c r="JE905" s="1037"/>
      <c r="JF905" s="1037"/>
      <c r="JG905" s="1037"/>
      <c r="JH905" s="1037"/>
      <c r="JI905" s="1035"/>
      <c r="JJ905" s="1035"/>
      <c r="JK905" s="1035"/>
      <c r="JL905" s="1035"/>
      <c r="JM905" s="1035"/>
      <c r="JN905" s="1035"/>
      <c r="JO905" s="1035"/>
      <c r="JP905" s="1035"/>
      <c r="JQ905" s="1035"/>
      <c r="JR905" s="1035"/>
      <c r="JS905" s="1035"/>
      <c r="JT905" s="1035"/>
      <c r="JU905" s="1035"/>
      <c r="JV905" s="1035"/>
      <c r="JW905" s="1035"/>
      <c r="JX905" s="1035"/>
      <c r="JY905" s="1035"/>
      <c r="KP905" s="1117"/>
      <c r="LV905" s="967"/>
    </row>
    <row r="906" outlineLevel="1" spans="1:334">
      <c r="A906" s="1180" t="s">
        <v>524</v>
      </c>
      <c r="AX906" s="1059"/>
      <c r="BE906" s="1060"/>
      <c r="BN906" s="1059"/>
      <c r="BU906" s="1060"/>
      <c r="BV906" s="1059"/>
      <c r="CC906" s="1060"/>
      <c r="CD906" s="1059"/>
      <c r="CJ906" s="1061"/>
      <c r="CK906" s="1060"/>
      <c r="CL906" s="1059"/>
      <c r="CS906" s="1060"/>
      <c r="CT906" s="1059"/>
      <c r="CW906" s="1062"/>
      <c r="CX906" s="1062"/>
      <c r="DB906" s="1181"/>
      <c r="DC906" s="1181"/>
      <c r="DD906" s="1181"/>
      <c r="DE906" s="1194"/>
      <c r="DF906" s="1194"/>
      <c r="DG906" s="1181"/>
      <c r="DH906" s="1181"/>
      <c r="DI906" s="1182"/>
      <c r="DJ906" s="1181"/>
      <c r="DK906" s="1181"/>
      <c r="DL906" s="1181"/>
      <c r="DM906" s="1181"/>
      <c r="DN906" s="1181"/>
      <c r="DO906" s="1181"/>
      <c r="DP906" s="1181"/>
      <c r="DQ906" s="1182"/>
      <c r="DR906" s="1208">
        <v>6.1</v>
      </c>
      <c r="DS906" s="1071">
        <f>+DT906-DR906</f>
        <v>6.9</v>
      </c>
      <c r="DT906" s="1208">
        <v>13</v>
      </c>
      <c r="DU906" s="1071">
        <f>+DV906-DT906</f>
        <v>10</v>
      </c>
      <c r="DV906" s="1208">
        <v>23</v>
      </c>
      <c r="DW906" s="1071">
        <f>DX906-DU906</f>
        <v>12</v>
      </c>
      <c r="DX906" s="1071">
        <f>DY906-DT906</f>
        <v>22</v>
      </c>
      <c r="DY906" s="1212">
        <v>35</v>
      </c>
      <c r="DZ906" s="1208">
        <v>9.51</v>
      </c>
      <c r="EA906" s="1071">
        <f>+EB906-DZ906</f>
        <v>10.49</v>
      </c>
      <c r="EB906" s="1208">
        <v>20</v>
      </c>
      <c r="EC906" s="1071">
        <f>+ED906-EB906</f>
        <v>12</v>
      </c>
      <c r="ED906" s="1208">
        <v>32</v>
      </c>
      <c r="EE906" s="1071">
        <f>EF906-EC906</f>
        <v>13</v>
      </c>
      <c r="EF906" s="1071">
        <f>EG906-EB906</f>
        <v>25</v>
      </c>
      <c r="EG906" s="1212">
        <v>45</v>
      </c>
      <c r="EH906" s="1071">
        <v>12</v>
      </c>
      <c r="EI906" s="1071">
        <f>+EJ906-EH906</f>
        <v>12</v>
      </c>
      <c r="EJ906" s="1071">
        <v>24</v>
      </c>
      <c r="EK906" s="1071">
        <f>+EL906-EJ906</f>
        <v>14</v>
      </c>
      <c r="EL906" s="1071">
        <v>38</v>
      </c>
      <c r="EM906" s="1071">
        <f>EN906-EK906</f>
        <v>17</v>
      </c>
      <c r="EN906" s="1071">
        <f>EO906-EJ906</f>
        <v>31</v>
      </c>
      <c r="EO906" s="1072">
        <v>55</v>
      </c>
      <c r="EP906" s="1071"/>
      <c r="EQ906" s="1071"/>
      <c r="ER906" s="1071"/>
      <c r="ES906" s="1071"/>
      <c r="ET906" s="1071"/>
      <c r="EU906" s="1071"/>
      <c r="EV906" s="1071"/>
      <c r="EW906" s="1072"/>
      <c r="EX906" s="1071"/>
      <c r="EY906" s="1071"/>
      <c r="EZ906" s="1071"/>
      <c r="FA906" s="1071"/>
      <c r="FB906" s="1071"/>
      <c r="FC906" s="1071"/>
      <c r="FD906" s="1071"/>
      <c r="FE906" s="1072"/>
      <c r="FF906" s="1071"/>
      <c r="FG906" s="1071"/>
      <c r="FH906" s="1071"/>
      <c r="FI906" s="1071"/>
      <c r="FJ906" s="1071"/>
      <c r="FK906" s="1071"/>
      <c r="FL906" s="1071"/>
      <c r="FM906" s="1072"/>
      <c r="FN906" s="1071"/>
      <c r="FO906" s="1071"/>
      <c r="FP906" s="1071"/>
      <c r="FQ906" s="1071"/>
      <c r="FR906" s="1071"/>
      <c r="FS906" s="1071"/>
      <c r="FT906" s="1071"/>
      <c r="FU906" s="1071"/>
      <c r="FV906" s="1177"/>
      <c r="FW906" s="1071"/>
      <c r="FX906" s="1071"/>
      <c r="FY906" s="1071"/>
      <c r="FZ906" s="1071"/>
      <c r="GA906" s="1071"/>
      <c r="GB906" s="1071"/>
      <c r="GC906" s="1072"/>
      <c r="GD906" s="1071"/>
      <c r="GE906" s="1071"/>
      <c r="GF906" s="1071"/>
      <c r="GG906" s="1071"/>
      <c r="GH906" s="1071"/>
      <c r="GI906" s="1071"/>
      <c r="GJ906" s="1071"/>
      <c r="GK906" s="1072"/>
      <c r="GL906" s="1071"/>
      <c r="GM906" s="1071"/>
      <c r="GN906" s="1071"/>
      <c r="GO906" s="1071"/>
      <c r="GP906" s="1071"/>
      <c r="GQ906" s="1071"/>
      <c r="GR906" s="1071"/>
      <c r="GS906" s="1072"/>
      <c r="GT906" s="1071"/>
      <c r="GU906" s="1071"/>
      <c r="GV906" s="1071"/>
      <c r="GW906" s="1071"/>
      <c r="GX906" s="1071"/>
      <c r="GY906" s="1071"/>
      <c r="GZ906" s="1071"/>
      <c r="HA906" s="1072"/>
      <c r="HB906" s="1071"/>
      <c r="HC906" s="1071"/>
      <c r="HD906" s="1071"/>
      <c r="HE906" s="1071"/>
      <c r="HF906" s="1071"/>
      <c r="HG906" s="1071"/>
      <c r="HH906" s="1071"/>
      <c r="HI906" s="1072"/>
      <c r="HJ906" s="1071"/>
      <c r="HK906" s="1071"/>
      <c r="HL906" s="1071"/>
      <c r="HM906" s="1071"/>
      <c r="HN906" s="1071"/>
      <c r="HO906" s="1071"/>
      <c r="HP906" s="1071"/>
      <c r="HQ906" s="1072"/>
      <c r="HR906" s="1071"/>
      <c r="HS906" s="1071"/>
      <c r="HT906" s="1071"/>
      <c r="HU906" s="1071"/>
      <c r="HV906" s="1071"/>
      <c r="HW906" s="1071"/>
      <c r="HX906" s="1071"/>
      <c r="HY906" s="1071"/>
      <c r="HZ906" s="1071"/>
      <c r="IA906" s="1071"/>
      <c r="IB906" s="1071"/>
      <c r="IC906" s="1071"/>
      <c r="ID906" s="1071"/>
      <c r="IE906" s="1071"/>
      <c r="IF906" s="1071"/>
      <c r="IG906" s="1072"/>
      <c r="IH906" s="1071"/>
      <c r="II906" s="1071"/>
      <c r="IJ906" s="1071"/>
      <c r="IK906" s="1071"/>
      <c r="IL906" s="1071"/>
      <c r="IM906" s="1071"/>
      <c r="IN906" s="1071"/>
      <c r="IO906" s="1072"/>
      <c r="IP906" s="1071"/>
      <c r="IQ906" s="1071"/>
      <c r="IR906" s="1071"/>
      <c r="IS906" s="1071"/>
      <c r="IT906" s="1071"/>
      <c r="IU906" s="1071"/>
      <c r="IV906" s="1071"/>
      <c r="IW906" s="1071"/>
      <c r="IX906" s="1049"/>
      <c r="IY906" s="1049"/>
      <c r="IZ906" s="1049"/>
      <c r="JA906" s="1049"/>
      <c r="JB906" s="1049"/>
      <c r="JC906" s="1049"/>
      <c r="JD906" s="1041"/>
      <c r="JE906" s="1037"/>
      <c r="JF906" s="1037"/>
      <c r="JG906" s="1037"/>
      <c r="JH906" s="1037"/>
      <c r="JI906" s="1035"/>
      <c r="JJ906" s="1035"/>
      <c r="JK906" s="1035"/>
      <c r="JL906" s="1035"/>
      <c r="JM906" s="1035"/>
      <c r="JN906" s="1035"/>
      <c r="JO906" s="1035"/>
      <c r="JP906" s="1035"/>
      <c r="JQ906" s="1035"/>
      <c r="JR906" s="1035"/>
      <c r="JS906" s="1035"/>
      <c r="JT906" s="1035"/>
      <c r="JU906" s="1035"/>
      <c r="JV906" s="1035"/>
      <c r="JW906" s="1035"/>
      <c r="JX906" s="1035"/>
      <c r="JY906" s="1035"/>
      <c r="KP906" s="1117"/>
      <c r="LV906" s="967"/>
    </row>
    <row r="907" outlineLevel="1" spans="1:334">
      <c r="A907" s="967" t="s">
        <v>61</v>
      </c>
      <c r="AX907" s="1059"/>
      <c r="BE907" s="1060"/>
      <c r="BN907" s="1059"/>
      <c r="BU907" s="1060"/>
      <c r="BV907" s="1059"/>
      <c r="CC907" s="1060"/>
      <c r="CD907" s="1059"/>
      <c r="CJ907" s="1061"/>
      <c r="CK907" s="1060"/>
      <c r="CL907" s="1059"/>
      <c r="CS907" s="1060"/>
      <c r="CT907" s="1059"/>
      <c r="CW907" s="1062"/>
      <c r="CX907" s="1062"/>
      <c r="DB907" s="1181"/>
      <c r="DC907" s="1181"/>
      <c r="DD907" s="1181"/>
      <c r="DE907" s="1194"/>
      <c r="DF907" s="1194"/>
      <c r="DG907" s="1181"/>
      <c r="DH907" s="1181"/>
      <c r="DI907" s="1182"/>
      <c r="DJ907" s="1181"/>
      <c r="DK907" s="1181"/>
      <c r="DL907" s="1181"/>
      <c r="DM907" s="1181"/>
      <c r="DN907" s="1181"/>
      <c r="DO907" s="1181"/>
      <c r="DP907" s="1181"/>
      <c r="DQ907" s="1182"/>
      <c r="DR907" s="1080"/>
      <c r="DS907" s="1080"/>
      <c r="DT907" s="1080"/>
      <c r="DU907" s="1080"/>
      <c r="DV907" s="1080"/>
      <c r="DW907" s="1080"/>
      <c r="DX907" s="1080"/>
      <c r="DY907" s="1081"/>
      <c r="DZ907" s="1080">
        <f>+DZ906/DR906-1</f>
        <v>0.559016393442623</v>
      </c>
      <c r="EA907" s="1080">
        <f t="shared" ref="EA907:EG907" si="4684">+EA906/DS906-1</f>
        <v>0.520289855072464</v>
      </c>
      <c r="EB907" s="1080">
        <f t="shared" si="4684"/>
        <v>0.538461538461539</v>
      </c>
      <c r="EC907" s="1080">
        <f t="shared" si="4684"/>
        <v>0.2</v>
      </c>
      <c r="ED907" s="1080">
        <f t="shared" si="4684"/>
        <v>0.391304347826087</v>
      </c>
      <c r="EE907" s="1080">
        <f t="shared" si="4684"/>
        <v>0.0833333333333333</v>
      </c>
      <c r="EF907" s="1080">
        <f t="shared" si="4684"/>
        <v>0.136363636363636</v>
      </c>
      <c r="EG907" s="1081">
        <f t="shared" si="4684"/>
        <v>0.285714285714286</v>
      </c>
      <c r="EH907" s="1080">
        <v>0.26</v>
      </c>
      <c r="EI907" s="1080">
        <f>+EI906/EA906-1</f>
        <v>0.143946615824595</v>
      </c>
      <c r="EJ907" s="1080">
        <f>+EJ906/EB906-1</f>
        <v>0.2</v>
      </c>
      <c r="EK907" s="1080">
        <f>+EK906/EC906-1</f>
        <v>0.166666666666667</v>
      </c>
      <c r="EL907" s="1080">
        <f>+EL906/ED906-1</f>
        <v>0.1875</v>
      </c>
      <c r="EM907" s="1080">
        <f>EM906/EE906-1</f>
        <v>0.307692307692308</v>
      </c>
      <c r="EN907" s="1080">
        <f>EN906/EF906-1</f>
        <v>0.24</v>
      </c>
      <c r="EO907" s="1081">
        <f>EO906/EG906-1</f>
        <v>0.222222222222222</v>
      </c>
      <c r="EP907" s="1080"/>
      <c r="EQ907" s="1080"/>
      <c r="ER907" s="1080"/>
      <c r="ES907" s="1080"/>
      <c r="ET907" s="1080"/>
      <c r="EU907" s="1080"/>
      <c r="EV907" s="1080"/>
      <c r="EW907" s="1081"/>
      <c r="EX907" s="1080"/>
      <c r="EY907" s="1080"/>
      <c r="EZ907" s="1080"/>
      <c r="FA907" s="1080"/>
      <c r="FB907" s="1080"/>
      <c r="FC907" s="1080"/>
      <c r="FD907" s="1080"/>
      <c r="FE907" s="1081"/>
      <c r="FF907" s="1080"/>
      <c r="FG907" s="1080"/>
      <c r="FH907" s="1080"/>
      <c r="FI907" s="1080"/>
      <c r="FJ907" s="1080"/>
      <c r="FK907" s="1080"/>
      <c r="FL907" s="1080"/>
      <c r="FM907" s="1081"/>
      <c r="FN907" s="1080"/>
      <c r="FO907" s="1080"/>
      <c r="FP907" s="1080"/>
      <c r="FQ907" s="1080"/>
      <c r="FR907" s="1080"/>
      <c r="FS907" s="1080"/>
      <c r="FT907" s="1080"/>
      <c r="FU907" s="1080"/>
      <c r="FV907" s="1150"/>
      <c r="FW907" s="1080"/>
      <c r="FX907" s="1080"/>
      <c r="FY907" s="1080"/>
      <c r="FZ907" s="1080"/>
      <c r="GA907" s="1080"/>
      <c r="GB907" s="1080"/>
      <c r="GC907" s="1081"/>
      <c r="GD907" s="1080"/>
      <c r="GE907" s="1080"/>
      <c r="GF907" s="1080"/>
      <c r="GG907" s="1080"/>
      <c r="GH907" s="1080"/>
      <c r="GI907" s="1080"/>
      <c r="GJ907" s="1080"/>
      <c r="GK907" s="1081"/>
      <c r="GL907" s="1080"/>
      <c r="GM907" s="1080"/>
      <c r="GN907" s="1080"/>
      <c r="GO907" s="1080"/>
      <c r="GP907" s="1080"/>
      <c r="GQ907" s="1080"/>
      <c r="GR907" s="1080"/>
      <c r="GS907" s="1081"/>
      <c r="GT907" s="1080"/>
      <c r="GU907" s="1080"/>
      <c r="GV907" s="1080"/>
      <c r="GW907" s="1080"/>
      <c r="GX907" s="1080"/>
      <c r="GY907" s="1080"/>
      <c r="GZ907" s="1080"/>
      <c r="HA907" s="1081"/>
      <c r="HB907" s="1080"/>
      <c r="HC907" s="1080"/>
      <c r="HD907" s="1080"/>
      <c r="HE907" s="1080"/>
      <c r="HF907" s="1080"/>
      <c r="HG907" s="1080"/>
      <c r="HH907" s="1080"/>
      <c r="HI907" s="1081"/>
      <c r="HJ907" s="1080"/>
      <c r="HK907" s="1080"/>
      <c r="HL907" s="1080"/>
      <c r="HM907" s="1080"/>
      <c r="HN907" s="1080"/>
      <c r="HO907" s="1080"/>
      <c r="HP907" s="1080"/>
      <c r="HQ907" s="1081"/>
      <c r="HR907" s="1080"/>
      <c r="HS907" s="1080"/>
      <c r="HT907" s="1080"/>
      <c r="HU907" s="1080"/>
      <c r="HV907" s="1080"/>
      <c r="HW907" s="1080"/>
      <c r="HX907" s="1080"/>
      <c r="HY907" s="1080"/>
      <c r="HZ907" s="1080"/>
      <c r="IA907" s="1080"/>
      <c r="IB907" s="1080"/>
      <c r="IC907" s="1080"/>
      <c r="ID907" s="1080"/>
      <c r="IE907" s="1080"/>
      <c r="IF907" s="1080"/>
      <c r="IG907" s="1081"/>
      <c r="IH907" s="1080"/>
      <c r="II907" s="1080"/>
      <c r="IJ907" s="1080"/>
      <c r="IK907" s="1080"/>
      <c r="IL907" s="1080"/>
      <c r="IM907" s="1080"/>
      <c r="IN907" s="1080"/>
      <c r="IO907" s="1081"/>
      <c r="IP907" s="1080"/>
      <c r="IQ907" s="1080"/>
      <c r="IR907" s="1080"/>
      <c r="IS907" s="1080"/>
      <c r="IT907" s="1080"/>
      <c r="IU907" s="1080"/>
      <c r="IV907" s="1080"/>
      <c r="IW907" s="1080"/>
      <c r="IX907" s="1049"/>
      <c r="IY907" s="1049"/>
      <c r="IZ907" s="1049"/>
      <c r="JA907" s="1049"/>
      <c r="JB907" s="1049"/>
      <c r="JC907" s="1049"/>
      <c r="JD907" s="1041"/>
      <c r="JE907" s="1037"/>
      <c r="JF907" s="1037"/>
      <c r="JG907" s="1037"/>
      <c r="JH907" s="1037"/>
      <c r="JI907" s="1035"/>
      <c r="JJ907" s="1035"/>
      <c r="JK907" s="1035"/>
      <c r="JL907" s="1035"/>
      <c r="JM907" s="1035"/>
      <c r="JN907" s="1035"/>
      <c r="JO907" s="1035"/>
      <c r="JP907" s="1035"/>
      <c r="JQ907" s="1035"/>
      <c r="JR907" s="1035"/>
      <c r="JS907" s="1035"/>
      <c r="JT907" s="1035"/>
      <c r="JU907" s="1035"/>
      <c r="JV907" s="1035"/>
      <c r="JW907" s="1035"/>
      <c r="JX907" s="1035"/>
      <c r="JY907" s="1035"/>
      <c r="KP907" s="1117"/>
      <c r="LV907" s="967"/>
    </row>
    <row r="908" outlineLevel="1" spans="1:334">
      <c r="A908" s="967" t="s">
        <v>65</v>
      </c>
      <c r="AX908" s="1059"/>
      <c r="BE908" s="1060"/>
      <c r="BN908" s="1059"/>
      <c r="BU908" s="1060"/>
      <c r="BV908" s="1059"/>
      <c r="CC908" s="1060"/>
      <c r="CD908" s="1059"/>
      <c r="CJ908" s="1061"/>
      <c r="CK908" s="1060"/>
      <c r="CL908" s="1059"/>
      <c r="CS908" s="1060"/>
      <c r="CT908" s="1059"/>
      <c r="CW908" s="1062"/>
      <c r="CX908" s="1062"/>
      <c r="DB908" s="1181"/>
      <c r="DC908" s="1181"/>
      <c r="DD908" s="1181"/>
      <c r="DE908" s="1194"/>
      <c r="DF908" s="1194"/>
      <c r="DG908" s="1181"/>
      <c r="DH908" s="1181"/>
      <c r="DI908" s="1182"/>
      <c r="DJ908" s="1181"/>
      <c r="DK908" s="1181"/>
      <c r="DL908" s="1181"/>
      <c r="DM908" s="1181"/>
      <c r="DN908" s="1181"/>
      <c r="DO908" s="1181"/>
      <c r="DP908" s="1181"/>
      <c r="DQ908" s="1182"/>
      <c r="DR908" s="1080"/>
      <c r="DS908" s="1080"/>
      <c r="DT908" s="1080"/>
      <c r="DU908" s="1080"/>
      <c r="DV908" s="1080"/>
      <c r="DW908" s="1080"/>
      <c r="DX908" s="1080"/>
      <c r="DY908" s="1081"/>
      <c r="DZ908" s="1080">
        <v>0.51</v>
      </c>
      <c r="EA908" s="1080"/>
      <c r="EB908" s="1080">
        <v>0.59</v>
      </c>
      <c r="EC908" s="1080"/>
      <c r="ED908" s="1080">
        <v>0.44</v>
      </c>
      <c r="EE908" s="1080"/>
      <c r="EF908" s="1080"/>
      <c r="EG908" s="1081">
        <v>0.35</v>
      </c>
      <c r="EH908" s="1080">
        <v>0.25</v>
      </c>
      <c r="EI908" s="1080"/>
      <c r="EJ908" s="1080">
        <v>0.17</v>
      </c>
      <c r="EK908" s="1080"/>
      <c r="EL908" s="1080">
        <v>0.13</v>
      </c>
      <c r="EM908" s="1080"/>
      <c r="EN908" s="1080"/>
      <c r="EO908" s="1081">
        <v>0.17</v>
      </c>
      <c r="EP908" s="1080"/>
      <c r="EQ908" s="1080"/>
      <c r="ER908" s="1080"/>
      <c r="ES908" s="1080"/>
      <c r="ET908" s="1080"/>
      <c r="EU908" s="1080"/>
      <c r="EV908" s="1080"/>
      <c r="EW908" s="1081"/>
      <c r="EX908" s="1080"/>
      <c r="EY908" s="1080"/>
      <c r="EZ908" s="1080"/>
      <c r="FA908" s="1080"/>
      <c r="FB908" s="1080"/>
      <c r="FC908" s="1080"/>
      <c r="FD908" s="1080"/>
      <c r="FE908" s="1081"/>
      <c r="FF908" s="1080"/>
      <c r="FG908" s="1080"/>
      <c r="FH908" s="1080"/>
      <c r="FI908" s="1080"/>
      <c r="FJ908" s="1080"/>
      <c r="FK908" s="1080"/>
      <c r="FL908" s="1080"/>
      <c r="FM908" s="1081"/>
      <c r="FN908" s="1080"/>
      <c r="FO908" s="1080"/>
      <c r="FP908" s="1080"/>
      <c r="FQ908" s="1080"/>
      <c r="FR908" s="1080"/>
      <c r="FS908" s="1080"/>
      <c r="FT908" s="1080"/>
      <c r="FU908" s="1080"/>
      <c r="FV908" s="1150"/>
      <c r="FW908" s="1080"/>
      <c r="FX908" s="1080"/>
      <c r="FY908" s="1080"/>
      <c r="FZ908" s="1080"/>
      <c r="GA908" s="1080"/>
      <c r="GB908" s="1080"/>
      <c r="GC908" s="1081"/>
      <c r="GD908" s="1080"/>
      <c r="GE908" s="1080"/>
      <c r="GF908" s="1080"/>
      <c r="GG908" s="1080"/>
      <c r="GH908" s="1080"/>
      <c r="GI908" s="1080"/>
      <c r="GJ908" s="1080"/>
      <c r="GK908" s="1081"/>
      <c r="GL908" s="1080"/>
      <c r="GM908" s="1080"/>
      <c r="GN908" s="1080"/>
      <c r="GO908" s="1080"/>
      <c r="GP908" s="1080"/>
      <c r="GQ908" s="1080"/>
      <c r="GR908" s="1080"/>
      <c r="GS908" s="1081"/>
      <c r="GT908" s="1080"/>
      <c r="GU908" s="1080"/>
      <c r="GV908" s="1080"/>
      <c r="GW908" s="1080"/>
      <c r="GX908" s="1080"/>
      <c r="GY908" s="1080"/>
      <c r="GZ908" s="1080"/>
      <c r="HA908" s="1081"/>
      <c r="HB908" s="1080"/>
      <c r="HC908" s="1080"/>
      <c r="HD908" s="1080"/>
      <c r="HE908" s="1080"/>
      <c r="HF908" s="1080"/>
      <c r="HG908" s="1080"/>
      <c r="HH908" s="1080"/>
      <c r="HI908" s="1081"/>
      <c r="HJ908" s="1080"/>
      <c r="HK908" s="1080"/>
      <c r="HL908" s="1080"/>
      <c r="HM908" s="1080"/>
      <c r="HN908" s="1080"/>
      <c r="HO908" s="1080"/>
      <c r="HP908" s="1080"/>
      <c r="HQ908" s="1081"/>
      <c r="HR908" s="1080"/>
      <c r="HS908" s="1080"/>
      <c r="HT908" s="1080"/>
      <c r="HU908" s="1080"/>
      <c r="HV908" s="1080"/>
      <c r="HW908" s="1080"/>
      <c r="HX908" s="1080"/>
      <c r="HY908" s="1080"/>
      <c r="HZ908" s="1080"/>
      <c r="IA908" s="1080"/>
      <c r="IB908" s="1080"/>
      <c r="IC908" s="1080"/>
      <c r="ID908" s="1080"/>
      <c r="IE908" s="1080"/>
      <c r="IF908" s="1080"/>
      <c r="IG908" s="1081"/>
      <c r="IH908" s="1080"/>
      <c r="II908" s="1080"/>
      <c r="IJ908" s="1080"/>
      <c r="IK908" s="1080"/>
      <c r="IL908" s="1080"/>
      <c r="IM908" s="1080"/>
      <c r="IN908" s="1080"/>
      <c r="IO908" s="1081"/>
      <c r="IP908" s="1080"/>
      <c r="IQ908" s="1080"/>
      <c r="IR908" s="1080"/>
      <c r="IS908" s="1080"/>
      <c r="IT908" s="1080"/>
      <c r="IU908" s="1080"/>
      <c r="IV908" s="1080"/>
      <c r="IW908" s="1080"/>
      <c r="IX908" s="1049"/>
      <c r="IY908" s="1049"/>
      <c r="IZ908" s="1049"/>
      <c r="JA908" s="1049"/>
      <c r="JB908" s="1049"/>
      <c r="JC908" s="1049"/>
      <c r="JD908" s="1041"/>
      <c r="JE908" s="1037"/>
      <c r="JF908" s="1037"/>
      <c r="JG908" s="1037"/>
      <c r="JH908" s="1037"/>
      <c r="JI908" s="1035"/>
      <c r="JJ908" s="1035"/>
      <c r="JK908" s="1035"/>
      <c r="JL908" s="1035"/>
      <c r="JM908" s="1035"/>
      <c r="JN908" s="1035"/>
      <c r="JO908" s="1035"/>
      <c r="JP908" s="1035"/>
      <c r="JQ908" s="1035"/>
      <c r="JR908" s="1035"/>
      <c r="JS908" s="1035"/>
      <c r="JT908" s="1035"/>
      <c r="JU908" s="1035"/>
      <c r="JV908" s="1035"/>
      <c r="JW908" s="1035"/>
      <c r="JX908" s="1035"/>
      <c r="JY908" s="1035"/>
      <c r="KP908" s="1117"/>
      <c r="LV908" s="967"/>
    </row>
    <row r="909" outlineLevel="1" spans="1:334">
      <c r="A909" s="1180" t="s">
        <v>101</v>
      </c>
      <c r="AX909" s="1059"/>
      <c r="BE909" s="1060"/>
      <c r="BN909" s="1059"/>
      <c r="BU909" s="1060"/>
      <c r="BV909" s="1059"/>
      <c r="CC909" s="1060"/>
      <c r="CD909" s="1059"/>
      <c r="CJ909" s="1061"/>
      <c r="CK909" s="1060"/>
      <c r="CL909" s="1059"/>
      <c r="CS909" s="1060"/>
      <c r="CT909" s="1059"/>
      <c r="CW909" s="1062"/>
      <c r="CX909" s="1062"/>
      <c r="DB909" s="1181"/>
      <c r="DC909" s="1181"/>
      <c r="DD909" s="1181"/>
      <c r="DE909" s="1194"/>
      <c r="DF909" s="1194"/>
      <c r="DG909" s="1181"/>
      <c r="DH909" s="1181"/>
      <c r="DI909" s="1182"/>
      <c r="DJ909" s="1181"/>
      <c r="DK909" s="1181"/>
      <c r="DL909" s="1181"/>
      <c r="DM909" s="1181"/>
      <c r="DN909" s="1181"/>
      <c r="DO909" s="1181"/>
      <c r="DP909" s="1181"/>
      <c r="DQ909" s="1182"/>
      <c r="DR909" s="1208">
        <v>171</v>
      </c>
      <c r="DS909" s="1071">
        <f>+DT909-DR909</f>
        <v>224</v>
      </c>
      <c r="DT909" s="1208">
        <v>395</v>
      </c>
      <c r="DU909" s="1071">
        <f>+DV909-DT909</f>
        <v>186</v>
      </c>
      <c r="DV909" s="1208">
        <v>581</v>
      </c>
      <c r="DW909" s="1071">
        <f>DX909-DU909</f>
        <v>154</v>
      </c>
      <c r="DX909" s="1071">
        <f>DY909-DT909</f>
        <v>340</v>
      </c>
      <c r="DY909" s="1212">
        <v>735</v>
      </c>
      <c r="DZ909" s="1208">
        <v>213</v>
      </c>
      <c r="EA909" s="1071">
        <f>+EB909-DZ909</f>
        <v>231</v>
      </c>
      <c r="EB909" s="1208">
        <v>444</v>
      </c>
      <c r="EC909" s="1071">
        <f>+ED909-EB909</f>
        <v>197</v>
      </c>
      <c r="ED909" s="1208">
        <v>641</v>
      </c>
      <c r="EE909" s="1071">
        <f>EF909-EC909</f>
        <v>186</v>
      </c>
      <c r="EF909" s="1071">
        <f>EG909-EB909</f>
        <v>383</v>
      </c>
      <c r="EG909" s="1212">
        <v>827</v>
      </c>
      <c r="EH909" s="1071">
        <v>298</v>
      </c>
      <c r="EI909" s="1071">
        <f>+EJ909-EH909</f>
        <v>318</v>
      </c>
      <c r="EJ909" s="1071">
        <v>616</v>
      </c>
      <c r="EK909" s="1071">
        <f>+EL909-EJ909</f>
        <v>251</v>
      </c>
      <c r="EL909" s="1071">
        <v>867</v>
      </c>
      <c r="EM909" s="1071">
        <f>EN909-EK909</f>
        <v>200</v>
      </c>
      <c r="EN909" s="1071">
        <f>EO909-EJ909</f>
        <v>451</v>
      </c>
      <c r="EO909" s="1072">
        <v>1067</v>
      </c>
      <c r="EP909" s="1071"/>
      <c r="EQ909" s="1071"/>
      <c r="ER909" s="1071"/>
      <c r="ES909" s="1071"/>
      <c r="ET909" s="1071"/>
      <c r="EU909" s="1071"/>
      <c r="EV909" s="1071"/>
      <c r="EW909" s="1072"/>
      <c r="EX909" s="1071"/>
      <c r="EY909" s="1071"/>
      <c r="EZ909" s="1071"/>
      <c r="FA909" s="1071"/>
      <c r="FB909" s="1071"/>
      <c r="FC909" s="1071"/>
      <c r="FD909" s="1071"/>
      <c r="FE909" s="1072"/>
      <c r="FF909" s="1071"/>
      <c r="FG909" s="1071"/>
      <c r="FH909" s="1071"/>
      <c r="FI909" s="1071"/>
      <c r="FJ909" s="1071"/>
      <c r="FK909" s="1071"/>
      <c r="FL909" s="1071"/>
      <c r="FM909" s="1072"/>
      <c r="FN909" s="1071"/>
      <c r="FO909" s="1071"/>
      <c r="FP909" s="1071"/>
      <c r="FQ909" s="1071"/>
      <c r="FR909" s="1071"/>
      <c r="FS909" s="1071"/>
      <c r="FT909" s="1071"/>
      <c r="FU909" s="1071"/>
      <c r="FV909" s="1177"/>
      <c r="FW909" s="1071"/>
      <c r="FX909" s="1071"/>
      <c r="FY909" s="1071"/>
      <c r="FZ909" s="1071"/>
      <c r="GA909" s="1071"/>
      <c r="GB909" s="1071"/>
      <c r="GC909" s="1072"/>
      <c r="GD909" s="1071"/>
      <c r="GE909" s="1071"/>
      <c r="GF909" s="1071"/>
      <c r="GG909" s="1071"/>
      <c r="GH909" s="1071"/>
      <c r="GI909" s="1071"/>
      <c r="GJ909" s="1071"/>
      <c r="GK909" s="1072"/>
      <c r="GL909" s="1071"/>
      <c r="GM909" s="1071"/>
      <c r="GN909" s="1071"/>
      <c r="GO909" s="1071"/>
      <c r="GP909" s="1071"/>
      <c r="GQ909" s="1071"/>
      <c r="GR909" s="1071"/>
      <c r="GS909" s="1072"/>
      <c r="GT909" s="1071"/>
      <c r="GU909" s="1071"/>
      <c r="GV909" s="1071"/>
      <c r="GW909" s="1071"/>
      <c r="GX909" s="1071"/>
      <c r="GY909" s="1071"/>
      <c r="GZ909" s="1071"/>
      <c r="HA909" s="1072"/>
      <c r="HB909" s="1071"/>
      <c r="HC909" s="1071"/>
      <c r="HD909" s="1071"/>
      <c r="HE909" s="1071"/>
      <c r="HF909" s="1071"/>
      <c r="HG909" s="1071"/>
      <c r="HH909" s="1071"/>
      <c r="HI909" s="1072"/>
      <c r="HJ909" s="1071"/>
      <c r="HK909" s="1071"/>
      <c r="HL909" s="1071"/>
      <c r="HM909" s="1071"/>
      <c r="HN909" s="1071"/>
      <c r="HO909" s="1071"/>
      <c r="HP909" s="1071"/>
      <c r="HQ909" s="1072"/>
      <c r="HR909" s="1071"/>
      <c r="HS909" s="1071"/>
      <c r="HT909" s="1071"/>
      <c r="HU909" s="1071"/>
      <c r="HV909" s="1071"/>
      <c r="HW909" s="1071"/>
      <c r="HX909" s="1071"/>
      <c r="HY909" s="1071"/>
      <c r="HZ909" s="1071"/>
      <c r="IA909" s="1071"/>
      <c r="IB909" s="1071"/>
      <c r="IC909" s="1071"/>
      <c r="ID909" s="1071"/>
      <c r="IE909" s="1071"/>
      <c r="IF909" s="1071"/>
      <c r="IG909" s="1072"/>
      <c r="IH909" s="1071"/>
      <c r="II909" s="1071"/>
      <c r="IJ909" s="1071"/>
      <c r="IK909" s="1071"/>
      <c r="IL909" s="1071"/>
      <c r="IM909" s="1071"/>
      <c r="IN909" s="1071"/>
      <c r="IO909" s="1072"/>
      <c r="IP909" s="1071"/>
      <c r="IQ909" s="1071"/>
      <c r="IR909" s="1071"/>
      <c r="IS909" s="1071"/>
      <c r="IT909" s="1071"/>
      <c r="IU909" s="1071"/>
      <c r="IV909" s="1071"/>
      <c r="IW909" s="1071"/>
      <c r="IX909" s="1049"/>
      <c r="IY909" s="1049"/>
      <c r="IZ909" s="1049"/>
      <c r="JA909" s="1049"/>
      <c r="JB909" s="1049"/>
      <c r="JC909" s="1049"/>
      <c r="JD909" s="1041"/>
      <c r="JE909" s="1037"/>
      <c r="JF909" s="1037"/>
      <c r="JG909" s="1037"/>
      <c r="JH909" s="1037"/>
      <c r="JI909" s="1035"/>
      <c r="JJ909" s="1035"/>
      <c r="JK909" s="1035"/>
      <c r="JL909" s="1035"/>
      <c r="JM909" s="1035"/>
      <c r="JN909" s="1035"/>
      <c r="JO909" s="1035"/>
      <c r="JP909" s="1035"/>
      <c r="JQ909" s="1035"/>
      <c r="JR909" s="1035"/>
      <c r="JS909" s="1035"/>
      <c r="JT909" s="1035"/>
      <c r="JU909" s="1035"/>
      <c r="JV909" s="1035"/>
      <c r="JW909" s="1035"/>
      <c r="JX909" s="1035"/>
      <c r="JY909" s="1035"/>
      <c r="KP909" s="1117"/>
      <c r="LV909" s="967"/>
    </row>
    <row r="910" outlineLevel="1" spans="1:334">
      <c r="A910" s="967" t="s">
        <v>61</v>
      </c>
      <c r="AX910" s="1059"/>
      <c r="BE910" s="1060"/>
      <c r="BN910" s="1059"/>
      <c r="BU910" s="1060"/>
      <c r="BV910" s="1059"/>
      <c r="CC910" s="1060"/>
      <c r="CD910" s="1059"/>
      <c r="CJ910" s="1061"/>
      <c r="CK910" s="1060"/>
      <c r="CL910" s="1059"/>
      <c r="CS910" s="1060"/>
      <c r="CT910" s="1059"/>
      <c r="CW910" s="1062"/>
      <c r="CX910" s="1062"/>
      <c r="DB910" s="1181"/>
      <c r="DC910" s="1181"/>
      <c r="DD910" s="1181"/>
      <c r="DE910" s="1194"/>
      <c r="DF910" s="1194"/>
      <c r="DG910" s="1181"/>
      <c r="DH910" s="1181"/>
      <c r="DI910" s="1182"/>
      <c r="DJ910" s="1181"/>
      <c r="DK910" s="1181"/>
      <c r="DL910" s="1181"/>
      <c r="DM910" s="1181"/>
      <c r="DN910" s="1181"/>
      <c r="DO910" s="1181"/>
      <c r="DP910" s="1181"/>
      <c r="DQ910" s="1182"/>
      <c r="DR910" s="1080"/>
      <c r="DS910" s="1080"/>
      <c r="DT910" s="1080"/>
      <c r="DU910" s="1080"/>
      <c r="DV910" s="1080"/>
      <c r="DW910" s="1080"/>
      <c r="DX910" s="1080"/>
      <c r="DY910" s="1081"/>
      <c r="DZ910" s="1080">
        <f>+DZ909/DR909-1</f>
        <v>0.245614035087719</v>
      </c>
      <c r="EA910" s="1080">
        <f t="shared" ref="EA910:EG910" si="4685">+EA909/DS909-1</f>
        <v>0.03125</v>
      </c>
      <c r="EB910" s="1080">
        <f t="shared" si="4685"/>
        <v>0.124050632911392</v>
      </c>
      <c r="EC910" s="1080">
        <f t="shared" si="4685"/>
        <v>0.0591397849462365</v>
      </c>
      <c r="ED910" s="1080">
        <f t="shared" si="4685"/>
        <v>0.103270223752151</v>
      </c>
      <c r="EE910" s="1080">
        <f t="shared" si="4685"/>
        <v>0.207792207792208</v>
      </c>
      <c r="EF910" s="1080">
        <f t="shared" si="4685"/>
        <v>0.126470588235294</v>
      </c>
      <c r="EG910" s="1081">
        <f t="shared" si="4685"/>
        <v>0.125170068027211</v>
      </c>
      <c r="EH910" s="1080">
        <v>0.4</v>
      </c>
      <c r="EI910" s="1080">
        <f>+EI909/EA909-1</f>
        <v>0.376623376623377</v>
      </c>
      <c r="EJ910" s="1080">
        <f>+EJ909/EB909-1</f>
        <v>0.387387387387387</v>
      </c>
      <c r="EK910" s="1080">
        <f>+EK909/EC909-1</f>
        <v>0.274111675126903</v>
      </c>
      <c r="EL910" s="1080">
        <f>+EL909/ED909-1</f>
        <v>0.352574102964119</v>
      </c>
      <c r="EM910" s="1080">
        <f>EM909/EE909-1</f>
        <v>0.075268817204301</v>
      </c>
      <c r="EN910" s="1080">
        <f>EN909/EF909-1</f>
        <v>0.177545691906005</v>
      </c>
      <c r="EO910" s="1081">
        <f>EO909/EG909-1</f>
        <v>0.290205562273277</v>
      </c>
      <c r="EP910" s="1080"/>
      <c r="EQ910" s="1080"/>
      <c r="ER910" s="1080"/>
      <c r="ES910" s="1080"/>
      <c r="ET910" s="1080"/>
      <c r="EU910" s="1080"/>
      <c r="EV910" s="1080"/>
      <c r="EW910" s="1081"/>
      <c r="EX910" s="1080"/>
      <c r="EY910" s="1080"/>
      <c r="EZ910" s="1080"/>
      <c r="FA910" s="1080"/>
      <c r="FB910" s="1080"/>
      <c r="FC910" s="1080"/>
      <c r="FD910" s="1080"/>
      <c r="FE910" s="1081"/>
      <c r="FF910" s="1080"/>
      <c r="FG910" s="1080"/>
      <c r="FH910" s="1080"/>
      <c r="FI910" s="1080"/>
      <c r="FJ910" s="1080"/>
      <c r="FK910" s="1080"/>
      <c r="FL910" s="1080"/>
      <c r="FM910" s="1081"/>
      <c r="FN910" s="1080"/>
      <c r="FO910" s="1080"/>
      <c r="FP910" s="1080"/>
      <c r="FQ910" s="1080"/>
      <c r="FR910" s="1080"/>
      <c r="FS910" s="1080"/>
      <c r="FT910" s="1080"/>
      <c r="FU910" s="1080"/>
      <c r="FV910" s="1150"/>
      <c r="FW910" s="1080"/>
      <c r="FX910" s="1080"/>
      <c r="FY910" s="1080"/>
      <c r="FZ910" s="1080"/>
      <c r="GA910" s="1080"/>
      <c r="GB910" s="1080"/>
      <c r="GC910" s="1081"/>
      <c r="GD910" s="1080"/>
      <c r="GE910" s="1080"/>
      <c r="GF910" s="1080"/>
      <c r="GG910" s="1080"/>
      <c r="GH910" s="1080"/>
      <c r="GI910" s="1080"/>
      <c r="GJ910" s="1080"/>
      <c r="GK910" s="1081"/>
      <c r="GL910" s="1080"/>
      <c r="GM910" s="1080"/>
      <c r="GN910" s="1080"/>
      <c r="GO910" s="1080"/>
      <c r="GP910" s="1080"/>
      <c r="GQ910" s="1080"/>
      <c r="GR910" s="1080"/>
      <c r="GS910" s="1081"/>
      <c r="GT910" s="1080"/>
      <c r="GU910" s="1080"/>
      <c r="GV910" s="1080"/>
      <c r="GW910" s="1080"/>
      <c r="GX910" s="1080"/>
      <c r="GY910" s="1080"/>
      <c r="GZ910" s="1080"/>
      <c r="HA910" s="1081"/>
      <c r="HB910" s="1080"/>
      <c r="HC910" s="1080"/>
      <c r="HD910" s="1080"/>
      <c r="HE910" s="1080"/>
      <c r="HF910" s="1080"/>
      <c r="HG910" s="1080"/>
      <c r="HH910" s="1080"/>
      <c r="HI910" s="1081"/>
      <c r="HJ910" s="1080"/>
      <c r="HK910" s="1080"/>
      <c r="HL910" s="1080"/>
      <c r="HM910" s="1080"/>
      <c r="HN910" s="1080"/>
      <c r="HO910" s="1080"/>
      <c r="HP910" s="1080"/>
      <c r="HQ910" s="1081"/>
      <c r="HR910" s="1080"/>
      <c r="HS910" s="1080"/>
      <c r="HT910" s="1080"/>
      <c r="HU910" s="1080"/>
      <c r="HV910" s="1080"/>
      <c r="HW910" s="1080"/>
      <c r="HX910" s="1080"/>
      <c r="HY910" s="1080"/>
      <c r="HZ910" s="1080"/>
      <c r="IA910" s="1080"/>
      <c r="IB910" s="1080"/>
      <c r="IC910" s="1080"/>
      <c r="ID910" s="1080"/>
      <c r="IE910" s="1080"/>
      <c r="IF910" s="1080"/>
      <c r="IG910" s="1081"/>
      <c r="IH910" s="1080"/>
      <c r="II910" s="1080"/>
      <c r="IJ910" s="1080"/>
      <c r="IK910" s="1080"/>
      <c r="IL910" s="1080"/>
      <c r="IM910" s="1080"/>
      <c r="IN910" s="1080"/>
      <c r="IO910" s="1081"/>
      <c r="IP910" s="1080"/>
      <c r="IQ910" s="1080"/>
      <c r="IR910" s="1080"/>
      <c r="IS910" s="1080"/>
      <c r="IT910" s="1080"/>
      <c r="IU910" s="1080"/>
      <c r="IV910" s="1080"/>
      <c r="IW910" s="1080"/>
      <c r="IX910" s="1049"/>
      <c r="IY910" s="1049"/>
      <c r="IZ910" s="1049"/>
      <c r="JA910" s="1049"/>
      <c r="JB910" s="1049"/>
      <c r="JC910" s="1049"/>
      <c r="JD910" s="1041"/>
      <c r="JE910" s="1037"/>
      <c r="JF910" s="1037"/>
      <c r="JG910" s="1037"/>
      <c r="JH910" s="1037"/>
      <c r="JI910" s="1035"/>
      <c r="JJ910" s="1035"/>
      <c r="JK910" s="1035"/>
      <c r="JL910" s="1035"/>
      <c r="JM910" s="1035"/>
      <c r="JN910" s="1035"/>
      <c r="JO910" s="1035"/>
      <c r="JP910" s="1035"/>
      <c r="JQ910" s="1035"/>
      <c r="JR910" s="1035"/>
      <c r="JS910" s="1035"/>
      <c r="JT910" s="1035"/>
      <c r="JU910" s="1035"/>
      <c r="JV910" s="1035"/>
      <c r="JW910" s="1035"/>
      <c r="JX910" s="1035"/>
      <c r="JY910" s="1035"/>
      <c r="KP910" s="1117"/>
      <c r="LV910" s="967"/>
    </row>
    <row r="911" outlineLevel="1" spans="1:334">
      <c r="A911" s="967" t="s">
        <v>65</v>
      </c>
      <c r="AX911" s="1059"/>
      <c r="BE911" s="1060"/>
      <c r="BN911" s="1059"/>
      <c r="BU911" s="1060"/>
      <c r="BV911" s="1059"/>
      <c r="CC911" s="1060"/>
      <c r="CD911" s="1059"/>
      <c r="CJ911" s="1061"/>
      <c r="CK911" s="1060"/>
      <c r="CL911" s="1059"/>
      <c r="CS911" s="1060"/>
      <c r="CT911" s="1059"/>
      <c r="CW911" s="1062"/>
      <c r="CX911" s="1062"/>
      <c r="DB911" s="1181"/>
      <c r="DC911" s="1181"/>
      <c r="DD911" s="1181"/>
      <c r="DE911" s="1194"/>
      <c r="DF911" s="1194"/>
      <c r="DG911" s="1181"/>
      <c r="DH911" s="1181"/>
      <c r="DI911" s="1182"/>
      <c r="DJ911" s="1181"/>
      <c r="DK911" s="1181"/>
      <c r="DL911" s="1181"/>
      <c r="DM911" s="1181"/>
      <c r="DN911" s="1181"/>
      <c r="DO911" s="1181"/>
      <c r="DP911" s="1181"/>
      <c r="DQ911" s="1182"/>
      <c r="DR911" s="1080"/>
      <c r="DS911" s="1080"/>
      <c r="DT911" s="1080"/>
      <c r="DU911" s="1080"/>
      <c r="DV911" s="1080"/>
      <c r="DW911" s="1080"/>
      <c r="DX911" s="1080"/>
      <c r="DY911" s="1081"/>
      <c r="DZ911" s="1080">
        <v>0.22</v>
      </c>
      <c r="EA911" s="1080"/>
      <c r="EB911" s="1080">
        <v>0.16</v>
      </c>
      <c r="EC911" s="1080"/>
      <c r="ED911" s="1080">
        <v>0.16</v>
      </c>
      <c r="EE911" s="1080"/>
      <c r="EF911" s="1080"/>
      <c r="EG911" s="1081">
        <v>0.17</v>
      </c>
      <c r="EH911" s="1080">
        <v>0.34</v>
      </c>
      <c r="EI911" s="1080"/>
      <c r="EJ911" s="1080">
        <v>0.29</v>
      </c>
      <c r="EK911" s="1080"/>
      <c r="EL911" s="1080">
        <v>0.24</v>
      </c>
      <c r="EM911" s="1080"/>
      <c r="EN911" s="1080"/>
      <c r="EO911" s="1081">
        <v>0.19</v>
      </c>
      <c r="EP911" s="1080"/>
      <c r="EQ911" s="1080"/>
      <c r="ER911" s="1080"/>
      <c r="ES911" s="1080"/>
      <c r="ET911" s="1080"/>
      <c r="EU911" s="1080"/>
      <c r="EV911" s="1080"/>
      <c r="EW911" s="1081"/>
      <c r="EX911" s="1080"/>
      <c r="EY911" s="1080"/>
      <c r="EZ911" s="1080"/>
      <c r="FA911" s="1080"/>
      <c r="FB911" s="1080"/>
      <c r="FC911" s="1080"/>
      <c r="FD911" s="1080"/>
      <c r="FE911" s="1081"/>
      <c r="FF911" s="1080"/>
      <c r="FG911" s="1080"/>
      <c r="FH911" s="1080"/>
      <c r="FI911" s="1080"/>
      <c r="FJ911" s="1080"/>
      <c r="FK911" s="1080"/>
      <c r="FL911" s="1080"/>
      <c r="FM911" s="1081"/>
      <c r="FN911" s="1080"/>
      <c r="FO911" s="1080"/>
      <c r="FP911" s="1080"/>
      <c r="FQ911" s="1080"/>
      <c r="FR911" s="1080"/>
      <c r="FS911" s="1080"/>
      <c r="FT911" s="1080"/>
      <c r="FU911" s="1080"/>
      <c r="FV911" s="1150"/>
      <c r="FW911" s="1080"/>
      <c r="FX911" s="1080"/>
      <c r="FY911" s="1080"/>
      <c r="FZ911" s="1080"/>
      <c r="GA911" s="1080"/>
      <c r="GB911" s="1080"/>
      <c r="GC911" s="1081"/>
      <c r="GD911" s="1080"/>
      <c r="GE911" s="1080"/>
      <c r="GF911" s="1080"/>
      <c r="GG911" s="1080"/>
      <c r="GH911" s="1080"/>
      <c r="GI911" s="1080"/>
      <c r="GJ911" s="1080"/>
      <c r="GK911" s="1081"/>
      <c r="GL911" s="1080"/>
      <c r="GM911" s="1080"/>
      <c r="GN911" s="1080"/>
      <c r="GO911" s="1080"/>
      <c r="GP911" s="1080"/>
      <c r="GQ911" s="1080"/>
      <c r="GR911" s="1080"/>
      <c r="GS911" s="1081"/>
      <c r="GT911" s="1080"/>
      <c r="GU911" s="1080"/>
      <c r="GV911" s="1080"/>
      <c r="GW911" s="1080"/>
      <c r="GX911" s="1080"/>
      <c r="GY911" s="1080"/>
      <c r="GZ911" s="1080"/>
      <c r="HA911" s="1081"/>
      <c r="HB911" s="1080"/>
      <c r="HC911" s="1080"/>
      <c r="HD911" s="1080"/>
      <c r="HE911" s="1080"/>
      <c r="HF911" s="1080"/>
      <c r="HG911" s="1080"/>
      <c r="HH911" s="1080"/>
      <c r="HI911" s="1081"/>
      <c r="HJ911" s="1080"/>
      <c r="HK911" s="1080"/>
      <c r="HL911" s="1080"/>
      <c r="HM911" s="1080"/>
      <c r="HN911" s="1080"/>
      <c r="HO911" s="1080"/>
      <c r="HP911" s="1080"/>
      <c r="HQ911" s="1081"/>
      <c r="HR911" s="1080"/>
      <c r="HS911" s="1080"/>
      <c r="HT911" s="1080"/>
      <c r="HU911" s="1080"/>
      <c r="HV911" s="1080"/>
      <c r="HW911" s="1080"/>
      <c r="HX911" s="1080"/>
      <c r="HY911" s="1080"/>
      <c r="HZ911" s="1080"/>
      <c r="IA911" s="1080"/>
      <c r="IB911" s="1080"/>
      <c r="IC911" s="1080"/>
      <c r="ID911" s="1080"/>
      <c r="IE911" s="1080"/>
      <c r="IF911" s="1080"/>
      <c r="IG911" s="1081"/>
      <c r="IH911" s="1080"/>
      <c r="II911" s="1080"/>
      <c r="IJ911" s="1080"/>
      <c r="IK911" s="1080"/>
      <c r="IL911" s="1080"/>
      <c r="IM911" s="1080"/>
      <c r="IN911" s="1080"/>
      <c r="IO911" s="1081"/>
      <c r="IP911" s="1080"/>
      <c r="IQ911" s="1080"/>
      <c r="IR911" s="1080"/>
      <c r="IS911" s="1080"/>
      <c r="IT911" s="1080"/>
      <c r="IU911" s="1080"/>
      <c r="IV911" s="1080"/>
      <c r="IW911" s="1080"/>
      <c r="IX911" s="1049"/>
      <c r="IY911" s="1049"/>
      <c r="IZ911" s="1049"/>
      <c r="JA911" s="1049"/>
      <c r="JB911" s="1049"/>
      <c r="JC911" s="1049"/>
      <c r="JD911" s="1041"/>
      <c r="JE911" s="1037"/>
      <c r="JF911" s="1037"/>
      <c r="JG911" s="1037"/>
      <c r="JH911" s="1037"/>
      <c r="JI911" s="1035"/>
      <c r="JJ911" s="1035"/>
      <c r="JK911" s="1035"/>
      <c r="JL911" s="1035"/>
      <c r="JM911" s="1035"/>
      <c r="JN911" s="1035"/>
      <c r="JO911" s="1035"/>
      <c r="JP911" s="1035"/>
      <c r="JQ911" s="1035"/>
      <c r="JR911" s="1035"/>
      <c r="JS911" s="1035"/>
      <c r="JT911" s="1035"/>
      <c r="JU911" s="1035"/>
      <c r="JV911" s="1035"/>
      <c r="JW911" s="1035"/>
      <c r="JX911" s="1035"/>
      <c r="JY911" s="1035"/>
      <c r="KP911" s="1117"/>
      <c r="LV911" s="967"/>
    </row>
    <row r="912" outlineLevel="1" spans="1:334">
      <c r="A912" s="1180" t="s">
        <v>114</v>
      </c>
      <c r="AX912" s="1059"/>
      <c r="BE912" s="1060"/>
      <c r="BN912" s="1059"/>
      <c r="BU912" s="1060"/>
      <c r="BV912" s="1059"/>
      <c r="CC912" s="1060"/>
      <c r="CD912" s="1059"/>
      <c r="CJ912" s="1061"/>
      <c r="CK912" s="1060"/>
      <c r="CL912" s="1059"/>
      <c r="CS912" s="1060"/>
      <c r="CT912" s="1059"/>
      <c r="CW912" s="1062"/>
      <c r="CX912" s="1062"/>
      <c r="DB912" s="1181"/>
      <c r="DC912" s="1181"/>
      <c r="DD912" s="1181"/>
      <c r="DE912" s="1194"/>
      <c r="DF912" s="1194"/>
      <c r="DG912" s="1181"/>
      <c r="DH912" s="1181"/>
      <c r="DI912" s="1182"/>
      <c r="DJ912" s="1181"/>
      <c r="DK912" s="1181"/>
      <c r="DL912" s="1181"/>
      <c r="DM912" s="1181"/>
      <c r="DN912" s="1181"/>
      <c r="DO912" s="1181"/>
      <c r="DP912" s="1181"/>
      <c r="DQ912" s="1182"/>
      <c r="DR912" s="1208">
        <v>5</v>
      </c>
      <c r="DS912" s="1071">
        <f>+DT912-DR912</f>
        <v>9</v>
      </c>
      <c r="DT912" s="1208">
        <v>14</v>
      </c>
      <c r="DU912" s="1071">
        <f>+DV912-DT912</f>
        <v>9</v>
      </c>
      <c r="DV912" s="1208">
        <v>23</v>
      </c>
      <c r="DW912" s="1071">
        <f>DX912-DU912</f>
        <v>6</v>
      </c>
      <c r="DX912" s="1071">
        <f>DY912-DT912</f>
        <v>15</v>
      </c>
      <c r="DY912" s="1212">
        <v>29</v>
      </c>
      <c r="DZ912" s="1208">
        <v>8</v>
      </c>
      <c r="EA912" s="1071">
        <f>+EB912-DZ912</f>
        <v>10</v>
      </c>
      <c r="EB912" s="1208">
        <v>18</v>
      </c>
      <c r="EC912" s="1071">
        <f>+ED912-EB912</f>
        <v>9</v>
      </c>
      <c r="ED912" s="1208">
        <v>27</v>
      </c>
      <c r="EE912" s="1071">
        <f>EF912-EC912</f>
        <v>7</v>
      </c>
      <c r="EF912" s="1071">
        <f>EG912-EB912</f>
        <v>16</v>
      </c>
      <c r="EG912" s="1212">
        <v>34</v>
      </c>
      <c r="EH912" s="1071">
        <v>11</v>
      </c>
      <c r="EI912" s="1071">
        <f>+EJ912-EH912</f>
        <v>12</v>
      </c>
      <c r="EJ912" s="1071">
        <v>23</v>
      </c>
      <c r="EK912" s="1071">
        <f>+EL912-EJ912</f>
        <v>10</v>
      </c>
      <c r="EL912" s="1071">
        <v>33</v>
      </c>
      <c r="EM912" s="1071">
        <f>EN912-EK912</f>
        <v>9</v>
      </c>
      <c r="EN912" s="1071">
        <f>EO912-EJ912</f>
        <v>19</v>
      </c>
      <c r="EO912" s="1072">
        <v>42</v>
      </c>
      <c r="EP912" s="1071"/>
      <c r="EQ912" s="1071"/>
      <c r="ER912" s="1071"/>
      <c r="ES912" s="1071"/>
      <c r="ET912" s="1071"/>
      <c r="EU912" s="1071"/>
      <c r="EV912" s="1071"/>
      <c r="EW912" s="1072"/>
      <c r="EX912" s="1071"/>
      <c r="EY912" s="1071"/>
      <c r="EZ912" s="1071"/>
      <c r="FA912" s="1071"/>
      <c r="FB912" s="1071"/>
      <c r="FC912" s="1071"/>
      <c r="FD912" s="1071"/>
      <c r="FE912" s="1072"/>
      <c r="FF912" s="1071"/>
      <c r="FG912" s="1071"/>
      <c r="FH912" s="1071"/>
      <c r="FI912" s="1071"/>
      <c r="FJ912" s="1071"/>
      <c r="FK912" s="1071"/>
      <c r="FL912" s="1071"/>
      <c r="FM912" s="1072"/>
      <c r="FN912" s="1071"/>
      <c r="FO912" s="1071"/>
      <c r="FP912" s="1071"/>
      <c r="FQ912" s="1071"/>
      <c r="FR912" s="1071"/>
      <c r="FS912" s="1071"/>
      <c r="FT912" s="1071"/>
      <c r="FU912" s="1071"/>
      <c r="FV912" s="1177"/>
      <c r="FW912" s="1071"/>
      <c r="FX912" s="1071"/>
      <c r="FY912" s="1071"/>
      <c r="FZ912" s="1071"/>
      <c r="GA912" s="1071"/>
      <c r="GB912" s="1071"/>
      <c r="GC912" s="1072"/>
      <c r="GD912" s="1071"/>
      <c r="GE912" s="1071"/>
      <c r="GF912" s="1071"/>
      <c r="GG912" s="1071"/>
      <c r="GH912" s="1071"/>
      <c r="GI912" s="1071"/>
      <c r="GJ912" s="1071"/>
      <c r="GK912" s="1072"/>
      <c r="GL912" s="1071"/>
      <c r="GM912" s="1071"/>
      <c r="GN912" s="1071"/>
      <c r="GO912" s="1071"/>
      <c r="GP912" s="1071"/>
      <c r="GQ912" s="1071"/>
      <c r="GR912" s="1071"/>
      <c r="GS912" s="1072"/>
      <c r="GT912" s="1071"/>
      <c r="GU912" s="1071"/>
      <c r="GV912" s="1071"/>
      <c r="GW912" s="1071"/>
      <c r="GX912" s="1071"/>
      <c r="GY912" s="1071"/>
      <c r="GZ912" s="1071"/>
      <c r="HA912" s="1072"/>
      <c r="HB912" s="1071"/>
      <c r="HC912" s="1071"/>
      <c r="HD912" s="1071"/>
      <c r="HE912" s="1071"/>
      <c r="HF912" s="1071"/>
      <c r="HG912" s="1071"/>
      <c r="HH912" s="1071"/>
      <c r="HI912" s="1072"/>
      <c r="HJ912" s="1071"/>
      <c r="HK912" s="1071"/>
      <c r="HL912" s="1071"/>
      <c r="HM912" s="1071"/>
      <c r="HN912" s="1071"/>
      <c r="HO912" s="1071"/>
      <c r="HP912" s="1071"/>
      <c r="HQ912" s="1072"/>
      <c r="HR912" s="1071"/>
      <c r="HS912" s="1071"/>
      <c r="HT912" s="1071"/>
      <c r="HU912" s="1071"/>
      <c r="HV912" s="1071"/>
      <c r="HW912" s="1071"/>
      <c r="HX912" s="1071"/>
      <c r="HY912" s="1071"/>
      <c r="HZ912" s="1071"/>
      <c r="IA912" s="1071"/>
      <c r="IB912" s="1071"/>
      <c r="IC912" s="1071"/>
      <c r="ID912" s="1071"/>
      <c r="IE912" s="1071"/>
      <c r="IF912" s="1071"/>
      <c r="IG912" s="1072"/>
      <c r="IH912" s="1071"/>
      <c r="II912" s="1071"/>
      <c r="IJ912" s="1071"/>
      <c r="IK912" s="1071"/>
      <c r="IL912" s="1071"/>
      <c r="IM912" s="1071"/>
      <c r="IN912" s="1071"/>
      <c r="IO912" s="1072"/>
      <c r="IP912" s="1071"/>
      <c r="IQ912" s="1071"/>
      <c r="IR912" s="1071"/>
      <c r="IS912" s="1071"/>
      <c r="IT912" s="1071"/>
      <c r="IU912" s="1071"/>
      <c r="IV912" s="1071"/>
      <c r="IW912" s="1071"/>
      <c r="IX912" s="1049"/>
      <c r="IY912" s="1049"/>
      <c r="IZ912" s="1049"/>
      <c r="JA912" s="1049"/>
      <c r="JB912" s="1049"/>
      <c r="JC912" s="1049"/>
      <c r="JD912" s="1041"/>
      <c r="JE912" s="1037"/>
      <c r="JF912" s="1037"/>
      <c r="JG912" s="1037"/>
      <c r="JH912" s="1037"/>
      <c r="JI912" s="1035"/>
      <c r="JJ912" s="1035"/>
      <c r="JK912" s="1035"/>
      <c r="JL912" s="1035"/>
      <c r="JM912" s="1035"/>
      <c r="JN912" s="1035"/>
      <c r="JO912" s="1035"/>
      <c r="JP912" s="1035"/>
      <c r="JQ912" s="1035"/>
      <c r="JR912" s="1035"/>
      <c r="JS912" s="1035"/>
      <c r="JT912" s="1035"/>
      <c r="JU912" s="1035"/>
      <c r="JV912" s="1035"/>
      <c r="JW912" s="1035"/>
      <c r="JX912" s="1035"/>
      <c r="JY912" s="1035"/>
      <c r="KP912" s="1117"/>
      <c r="LV912" s="967"/>
    </row>
    <row r="913" outlineLevel="1" spans="1:334">
      <c r="A913" s="967" t="s">
        <v>61</v>
      </c>
      <c r="AX913" s="1059"/>
      <c r="BE913" s="1060"/>
      <c r="BN913" s="1059"/>
      <c r="BU913" s="1060"/>
      <c r="BV913" s="1059"/>
      <c r="CC913" s="1060"/>
      <c r="CD913" s="1059"/>
      <c r="CJ913" s="1061"/>
      <c r="CK913" s="1060"/>
      <c r="CL913" s="1059"/>
      <c r="CS913" s="1060"/>
      <c r="CT913" s="1059"/>
      <c r="CW913" s="1062"/>
      <c r="CX913" s="1062"/>
      <c r="DB913" s="1181"/>
      <c r="DC913" s="1181"/>
      <c r="DD913" s="1181"/>
      <c r="DE913" s="1194"/>
      <c r="DF913" s="1194"/>
      <c r="DG913" s="1181"/>
      <c r="DH913" s="1181"/>
      <c r="DI913" s="1182"/>
      <c r="DJ913" s="1181"/>
      <c r="DK913" s="1181"/>
      <c r="DL913" s="1181"/>
      <c r="DM913" s="1181"/>
      <c r="DN913" s="1181"/>
      <c r="DO913" s="1181"/>
      <c r="DP913" s="1181"/>
      <c r="DQ913" s="1182"/>
      <c r="DR913" s="1080"/>
      <c r="DS913" s="1080"/>
      <c r="DT913" s="1080"/>
      <c r="DU913" s="1080"/>
      <c r="DV913" s="1080"/>
      <c r="DW913" s="1080"/>
      <c r="DX913" s="1080"/>
      <c r="DY913" s="1081"/>
      <c r="DZ913" s="1080">
        <f>+DZ912/DR912-1</f>
        <v>0.6</v>
      </c>
      <c r="EA913" s="1080">
        <f t="shared" ref="EA913:EG913" si="4686">+EA912/DS912-1</f>
        <v>0.111111111111111</v>
      </c>
      <c r="EB913" s="1080">
        <f t="shared" si="4686"/>
        <v>0.285714285714286</v>
      </c>
      <c r="EC913" s="1080">
        <f t="shared" si="4686"/>
        <v>0</v>
      </c>
      <c r="ED913" s="1080">
        <f t="shared" si="4686"/>
        <v>0.173913043478261</v>
      </c>
      <c r="EE913" s="1080">
        <f t="shared" si="4686"/>
        <v>0.166666666666667</v>
      </c>
      <c r="EF913" s="1080">
        <f t="shared" si="4686"/>
        <v>0.0666666666666667</v>
      </c>
      <c r="EG913" s="1081">
        <f t="shared" si="4686"/>
        <v>0.172413793103448</v>
      </c>
      <c r="EH913" s="1080">
        <v>0.34</v>
      </c>
      <c r="EI913" s="1080">
        <f>+EI912/EA912-1</f>
        <v>0.2</v>
      </c>
      <c r="EJ913" s="1080">
        <f>+EJ912/EB912-1</f>
        <v>0.277777777777778</v>
      </c>
      <c r="EK913" s="1080">
        <f>+EK912/EC912-1</f>
        <v>0.111111111111111</v>
      </c>
      <c r="EL913" s="1080">
        <f>+EL912/ED912-1</f>
        <v>0.222222222222222</v>
      </c>
      <c r="EM913" s="1080">
        <f>EM912/EE912-1</f>
        <v>0.285714285714286</v>
      </c>
      <c r="EN913" s="1080">
        <f>EN912/EF912-1</f>
        <v>0.1875</v>
      </c>
      <c r="EO913" s="1081">
        <f>EO912/EG912-1</f>
        <v>0.235294117647059</v>
      </c>
      <c r="EP913" s="1080"/>
      <c r="EQ913" s="1080"/>
      <c r="ER913" s="1080"/>
      <c r="ES913" s="1080"/>
      <c r="ET913" s="1080"/>
      <c r="EU913" s="1080"/>
      <c r="EV913" s="1080"/>
      <c r="EW913" s="1081"/>
      <c r="EX913" s="1080"/>
      <c r="EY913" s="1080"/>
      <c r="EZ913" s="1080"/>
      <c r="FA913" s="1080"/>
      <c r="FB913" s="1080"/>
      <c r="FC913" s="1080"/>
      <c r="FD913" s="1080"/>
      <c r="FE913" s="1081"/>
      <c r="FF913" s="1080"/>
      <c r="FG913" s="1080"/>
      <c r="FH913" s="1080"/>
      <c r="FI913" s="1080"/>
      <c r="FJ913" s="1080"/>
      <c r="FK913" s="1080"/>
      <c r="FL913" s="1080"/>
      <c r="FM913" s="1081"/>
      <c r="FN913" s="1080"/>
      <c r="FO913" s="1080"/>
      <c r="FP913" s="1080"/>
      <c r="FQ913" s="1080"/>
      <c r="FR913" s="1080"/>
      <c r="FS913" s="1080"/>
      <c r="FT913" s="1080"/>
      <c r="FU913" s="1080"/>
      <c r="FV913" s="1150"/>
      <c r="FW913" s="1080"/>
      <c r="FX913" s="1080"/>
      <c r="FY913" s="1080"/>
      <c r="FZ913" s="1080"/>
      <c r="GA913" s="1080"/>
      <c r="GB913" s="1080"/>
      <c r="GC913" s="1081"/>
      <c r="GD913" s="1080"/>
      <c r="GE913" s="1080"/>
      <c r="GF913" s="1080"/>
      <c r="GG913" s="1080"/>
      <c r="GH913" s="1080"/>
      <c r="GI913" s="1080"/>
      <c r="GJ913" s="1080"/>
      <c r="GK913" s="1081"/>
      <c r="GL913" s="1080"/>
      <c r="GM913" s="1080"/>
      <c r="GN913" s="1080"/>
      <c r="GO913" s="1080"/>
      <c r="GP913" s="1080"/>
      <c r="GQ913" s="1080"/>
      <c r="GR913" s="1080"/>
      <c r="GS913" s="1081"/>
      <c r="GT913" s="1080"/>
      <c r="GU913" s="1080"/>
      <c r="GV913" s="1080"/>
      <c r="GW913" s="1080"/>
      <c r="GX913" s="1080"/>
      <c r="GY913" s="1080"/>
      <c r="GZ913" s="1080"/>
      <c r="HA913" s="1081"/>
      <c r="HB913" s="1080"/>
      <c r="HC913" s="1080"/>
      <c r="HD913" s="1080"/>
      <c r="HE913" s="1080"/>
      <c r="HF913" s="1080"/>
      <c r="HG913" s="1080"/>
      <c r="HH913" s="1080"/>
      <c r="HI913" s="1081"/>
      <c r="HJ913" s="1080"/>
      <c r="HK913" s="1080"/>
      <c r="HL913" s="1080"/>
      <c r="HM913" s="1080"/>
      <c r="HN913" s="1080"/>
      <c r="HO913" s="1080"/>
      <c r="HP913" s="1080"/>
      <c r="HQ913" s="1081"/>
      <c r="HR913" s="1080"/>
      <c r="HS913" s="1080"/>
      <c r="HT913" s="1080"/>
      <c r="HU913" s="1080"/>
      <c r="HV913" s="1080"/>
      <c r="HW913" s="1080"/>
      <c r="HX913" s="1080"/>
      <c r="HY913" s="1080"/>
      <c r="HZ913" s="1080"/>
      <c r="IA913" s="1080"/>
      <c r="IB913" s="1080"/>
      <c r="IC913" s="1080"/>
      <c r="ID913" s="1080"/>
      <c r="IE913" s="1080"/>
      <c r="IF913" s="1080"/>
      <c r="IG913" s="1081"/>
      <c r="IH913" s="1080"/>
      <c r="II913" s="1080"/>
      <c r="IJ913" s="1080"/>
      <c r="IK913" s="1080"/>
      <c r="IL913" s="1080"/>
      <c r="IM913" s="1080"/>
      <c r="IN913" s="1080"/>
      <c r="IO913" s="1081"/>
      <c r="IP913" s="1080"/>
      <c r="IQ913" s="1080"/>
      <c r="IR913" s="1080"/>
      <c r="IS913" s="1080"/>
      <c r="IT913" s="1080"/>
      <c r="IU913" s="1080"/>
      <c r="IV913" s="1080"/>
      <c r="IW913" s="1080"/>
      <c r="IX913" s="1049"/>
      <c r="IY913" s="1049"/>
      <c r="IZ913" s="1049"/>
      <c r="JA913" s="1049"/>
      <c r="JB913" s="1049"/>
      <c r="JC913" s="1049"/>
      <c r="JD913" s="1041"/>
      <c r="JE913" s="1037"/>
      <c r="JF913" s="1037"/>
      <c r="JG913" s="1037"/>
      <c r="JH913" s="1037"/>
      <c r="JI913" s="1035"/>
      <c r="JJ913" s="1035"/>
      <c r="JK913" s="1035"/>
      <c r="JL913" s="1035"/>
      <c r="JM913" s="1035"/>
      <c r="JN913" s="1035"/>
      <c r="JO913" s="1035"/>
      <c r="JP913" s="1035"/>
      <c r="JQ913" s="1035"/>
      <c r="JR913" s="1035"/>
      <c r="JS913" s="1035"/>
      <c r="JT913" s="1035"/>
      <c r="JU913" s="1035"/>
      <c r="JV913" s="1035"/>
      <c r="JW913" s="1035"/>
      <c r="JX913" s="1035"/>
      <c r="JY913" s="1035"/>
      <c r="KP913" s="1117"/>
      <c r="LV913" s="967"/>
    </row>
    <row r="914" outlineLevel="1" spans="1:334">
      <c r="A914" s="967" t="s">
        <v>65</v>
      </c>
      <c r="AX914" s="1059"/>
      <c r="BE914" s="1060"/>
      <c r="BN914" s="1059"/>
      <c r="BU914" s="1060"/>
      <c r="BV914" s="1059"/>
      <c r="CC914" s="1060"/>
      <c r="CD914" s="1059"/>
      <c r="CJ914" s="1061"/>
      <c r="CK914" s="1060"/>
      <c r="CL914" s="1059"/>
      <c r="CS914" s="1060"/>
      <c r="CT914" s="1059"/>
      <c r="CW914" s="1062"/>
      <c r="CX914" s="1062"/>
      <c r="DB914" s="1181"/>
      <c r="DC914" s="1181"/>
      <c r="DD914" s="1181"/>
      <c r="DE914" s="1194"/>
      <c r="DF914" s="1194"/>
      <c r="DG914" s="1181"/>
      <c r="DH914" s="1181"/>
      <c r="DI914" s="1182"/>
      <c r="DJ914" s="1181"/>
      <c r="DK914" s="1181"/>
      <c r="DL914" s="1181"/>
      <c r="DM914" s="1181"/>
      <c r="DN914" s="1181"/>
      <c r="DO914" s="1181"/>
      <c r="DP914" s="1181"/>
      <c r="DQ914" s="1182"/>
      <c r="DR914" s="1080"/>
      <c r="DS914" s="1080"/>
      <c r="DT914" s="1080"/>
      <c r="DU914" s="1080"/>
      <c r="DV914" s="1080"/>
      <c r="DW914" s="1080"/>
      <c r="DX914" s="1080"/>
      <c r="DY914" s="1081"/>
      <c r="DZ914" s="1080">
        <v>0.52</v>
      </c>
      <c r="EA914" s="1080"/>
      <c r="EB914" s="1080">
        <v>0.27</v>
      </c>
      <c r="EC914" s="1080"/>
      <c r="ED914" s="1080">
        <v>0.21</v>
      </c>
      <c r="EE914" s="1080"/>
      <c r="EF914" s="1080"/>
      <c r="EG914" s="1081">
        <v>0.22</v>
      </c>
      <c r="EH914" s="1080">
        <v>0.25</v>
      </c>
      <c r="EI914" s="1080"/>
      <c r="EJ914" s="1080">
        <v>0.17</v>
      </c>
      <c r="EK914" s="1080"/>
      <c r="EL914" s="1080">
        <v>0.09</v>
      </c>
      <c r="EM914" s="1080"/>
      <c r="EN914" s="1080"/>
      <c r="EO914" s="1081">
        <v>0.1</v>
      </c>
      <c r="EP914" s="1080"/>
      <c r="EQ914" s="1080"/>
      <c r="ER914" s="1080"/>
      <c r="ES914" s="1080"/>
      <c r="ET914" s="1080"/>
      <c r="EU914" s="1080"/>
      <c r="EV914" s="1080"/>
      <c r="EW914" s="1081"/>
      <c r="EX914" s="1080"/>
      <c r="EY914" s="1080"/>
      <c r="EZ914" s="1080"/>
      <c r="FA914" s="1080"/>
      <c r="FB914" s="1080"/>
      <c r="FC914" s="1080"/>
      <c r="FD914" s="1080"/>
      <c r="FE914" s="1081"/>
      <c r="FF914" s="1080"/>
      <c r="FG914" s="1080"/>
      <c r="FH914" s="1080"/>
      <c r="FI914" s="1080"/>
      <c r="FJ914" s="1080"/>
      <c r="FK914" s="1080"/>
      <c r="FL914" s="1080"/>
      <c r="FM914" s="1081"/>
      <c r="FN914" s="1080"/>
      <c r="FO914" s="1080"/>
      <c r="FP914" s="1080"/>
      <c r="FQ914" s="1080"/>
      <c r="FR914" s="1080"/>
      <c r="FS914" s="1080"/>
      <c r="FT914" s="1080"/>
      <c r="FU914" s="1080"/>
      <c r="FV914" s="1150"/>
      <c r="FW914" s="1080"/>
      <c r="FX914" s="1080"/>
      <c r="FY914" s="1080"/>
      <c r="FZ914" s="1080"/>
      <c r="GA914" s="1080"/>
      <c r="GB914" s="1080"/>
      <c r="GC914" s="1081"/>
      <c r="GD914" s="1080"/>
      <c r="GE914" s="1080"/>
      <c r="GF914" s="1080"/>
      <c r="GG914" s="1080"/>
      <c r="GH914" s="1080"/>
      <c r="GI914" s="1080"/>
      <c r="GJ914" s="1080"/>
      <c r="GK914" s="1081"/>
      <c r="GL914" s="1080"/>
      <c r="GM914" s="1080"/>
      <c r="GN914" s="1080"/>
      <c r="GO914" s="1080"/>
      <c r="GP914" s="1080"/>
      <c r="GQ914" s="1080"/>
      <c r="GR914" s="1080"/>
      <c r="GS914" s="1081"/>
      <c r="GT914" s="1080"/>
      <c r="GU914" s="1080"/>
      <c r="GV914" s="1080"/>
      <c r="GW914" s="1080"/>
      <c r="GX914" s="1080"/>
      <c r="GY914" s="1080"/>
      <c r="GZ914" s="1080"/>
      <c r="HA914" s="1081"/>
      <c r="HB914" s="1080"/>
      <c r="HC914" s="1080"/>
      <c r="HD914" s="1080"/>
      <c r="HE914" s="1080"/>
      <c r="HF914" s="1080"/>
      <c r="HG914" s="1080"/>
      <c r="HH914" s="1080"/>
      <c r="HI914" s="1081"/>
      <c r="HJ914" s="1080"/>
      <c r="HK914" s="1080"/>
      <c r="HL914" s="1080"/>
      <c r="HM914" s="1080"/>
      <c r="HN914" s="1080"/>
      <c r="HO914" s="1080"/>
      <c r="HP914" s="1080"/>
      <c r="HQ914" s="1081"/>
      <c r="HR914" s="1080"/>
      <c r="HS914" s="1080"/>
      <c r="HT914" s="1080"/>
      <c r="HU914" s="1080"/>
      <c r="HV914" s="1080"/>
      <c r="HW914" s="1080"/>
      <c r="HX914" s="1080"/>
      <c r="HY914" s="1080"/>
      <c r="HZ914" s="1080"/>
      <c r="IA914" s="1080"/>
      <c r="IB914" s="1080"/>
      <c r="IC914" s="1080"/>
      <c r="ID914" s="1080"/>
      <c r="IE914" s="1080"/>
      <c r="IF914" s="1080"/>
      <c r="IG914" s="1081"/>
      <c r="IH914" s="1080"/>
      <c r="II914" s="1080"/>
      <c r="IJ914" s="1080"/>
      <c r="IK914" s="1080"/>
      <c r="IL914" s="1080"/>
      <c r="IM914" s="1080"/>
      <c r="IN914" s="1080"/>
      <c r="IO914" s="1081"/>
      <c r="IP914" s="1080"/>
      <c r="IQ914" s="1080"/>
      <c r="IR914" s="1080"/>
      <c r="IS914" s="1080"/>
      <c r="IT914" s="1080"/>
      <c r="IU914" s="1080"/>
      <c r="IV914" s="1080"/>
      <c r="IW914" s="1080"/>
      <c r="IX914" s="1049"/>
      <c r="IY914" s="1049"/>
      <c r="IZ914" s="1049"/>
      <c r="JA914" s="1049"/>
      <c r="JB914" s="1049"/>
      <c r="JC914" s="1049"/>
      <c r="JD914" s="1041"/>
      <c r="JE914" s="1037"/>
      <c r="JF914" s="1037"/>
      <c r="JG914" s="1037"/>
      <c r="JH914" s="1037"/>
      <c r="JI914" s="1035"/>
      <c r="JJ914" s="1035"/>
      <c r="JK914" s="1035"/>
      <c r="JL914" s="1035"/>
      <c r="JM914" s="1035"/>
      <c r="JN914" s="1035"/>
      <c r="JO914" s="1035"/>
      <c r="JP914" s="1035"/>
      <c r="JQ914" s="1035"/>
      <c r="JR914" s="1035"/>
      <c r="JS914" s="1035"/>
      <c r="JT914" s="1035"/>
      <c r="JU914" s="1035"/>
      <c r="JV914" s="1035"/>
      <c r="JW914" s="1035"/>
      <c r="JX914" s="1035"/>
      <c r="JY914" s="1035"/>
      <c r="KP914" s="1117"/>
      <c r="LV914" s="967"/>
    </row>
    <row r="915" outlineLevel="1" spans="1:334">
      <c r="A915" s="1180" t="s">
        <v>525</v>
      </c>
      <c r="AX915" s="1059"/>
      <c r="BE915" s="1060"/>
      <c r="BN915" s="1059"/>
      <c r="BU915" s="1060"/>
      <c r="BV915" s="1059"/>
      <c r="CC915" s="1060"/>
      <c r="CD915" s="1059"/>
      <c r="CJ915" s="1061"/>
      <c r="CK915" s="1060"/>
      <c r="CL915" s="1059"/>
      <c r="CS915" s="1060"/>
      <c r="CT915" s="1059"/>
      <c r="CW915" s="1062"/>
      <c r="CX915" s="1062"/>
      <c r="DB915" s="1181"/>
      <c r="DC915" s="1181"/>
      <c r="DD915" s="1181"/>
      <c r="DE915" s="1194"/>
      <c r="DF915" s="1194"/>
      <c r="DG915" s="1181"/>
      <c r="DH915" s="1181"/>
      <c r="DI915" s="1182"/>
      <c r="DJ915" s="1181"/>
      <c r="DK915" s="1181"/>
      <c r="DL915" s="1181"/>
      <c r="DM915" s="1181"/>
      <c r="DN915" s="1181"/>
      <c r="DO915" s="1181"/>
      <c r="DP915" s="1181"/>
      <c r="DQ915" s="1182"/>
      <c r="DR915" s="1208">
        <v>71</v>
      </c>
      <c r="DS915" s="1071">
        <f>+DT915-DR915</f>
        <v>89</v>
      </c>
      <c r="DT915" s="1208">
        <v>160</v>
      </c>
      <c r="DU915" s="1071">
        <f>+DV915-DT915</f>
        <v>104</v>
      </c>
      <c r="DV915" s="1208">
        <v>264</v>
      </c>
      <c r="DW915" s="1071">
        <f>DX915-DU915</f>
        <v>108</v>
      </c>
      <c r="DX915" s="1071">
        <f>DY915-DT915</f>
        <v>212</v>
      </c>
      <c r="DY915" s="1212">
        <v>372</v>
      </c>
      <c r="DZ915" s="1612">
        <v>74.6</v>
      </c>
      <c r="EA915" s="1071">
        <f>+EB915-DZ915</f>
        <v>97.4</v>
      </c>
      <c r="EB915" s="1208">
        <v>172</v>
      </c>
      <c r="EC915" s="1071">
        <f>+ED915-EB915</f>
        <v>107</v>
      </c>
      <c r="ED915" s="1208">
        <v>279</v>
      </c>
      <c r="EE915" s="1071">
        <f>EF915-EC915</f>
        <v>119</v>
      </c>
      <c r="EF915" s="1071">
        <f>EG915-EB915</f>
        <v>226</v>
      </c>
      <c r="EG915" s="1212">
        <v>398</v>
      </c>
      <c r="EH915" s="1071">
        <v>99</v>
      </c>
      <c r="EI915" s="1071">
        <f>+EJ915-EH915</f>
        <v>126</v>
      </c>
      <c r="EJ915" s="1071">
        <v>225</v>
      </c>
      <c r="EK915" s="1071">
        <f>+EL915-EJ915</f>
        <v>119</v>
      </c>
      <c r="EL915" s="1071">
        <v>344</v>
      </c>
      <c r="EM915" s="1071">
        <f>EN915-EK915</f>
        <v>134</v>
      </c>
      <c r="EN915" s="1071">
        <f>EO915-EJ915</f>
        <v>253</v>
      </c>
      <c r="EO915" s="1072">
        <v>478</v>
      </c>
      <c r="EP915" s="1071"/>
      <c r="EQ915" s="1071"/>
      <c r="ER915" s="1071"/>
      <c r="ES915" s="1071"/>
      <c r="ET915" s="1071"/>
      <c r="EU915" s="1071"/>
      <c r="EV915" s="1071"/>
      <c r="EW915" s="1072"/>
      <c r="EX915" s="1071"/>
      <c r="EY915" s="1071"/>
      <c r="EZ915" s="1071"/>
      <c r="FA915" s="1071"/>
      <c r="FB915" s="1071"/>
      <c r="FC915" s="1071"/>
      <c r="FD915" s="1071"/>
      <c r="FE915" s="1072"/>
      <c r="FF915" s="1071"/>
      <c r="FG915" s="1071"/>
      <c r="FH915" s="1071"/>
      <c r="FI915" s="1071"/>
      <c r="FJ915" s="1071"/>
      <c r="FK915" s="1071"/>
      <c r="FL915" s="1071"/>
      <c r="FM915" s="1072"/>
      <c r="FN915" s="1071"/>
      <c r="FO915" s="1071"/>
      <c r="FP915" s="1071"/>
      <c r="FQ915" s="1071"/>
      <c r="FR915" s="1071"/>
      <c r="FS915" s="1071"/>
      <c r="FT915" s="1071"/>
      <c r="FU915" s="1071"/>
      <c r="FV915" s="1177"/>
      <c r="FW915" s="1071"/>
      <c r="FX915" s="1071"/>
      <c r="FY915" s="1071"/>
      <c r="FZ915" s="1071"/>
      <c r="GA915" s="1071"/>
      <c r="GB915" s="1071"/>
      <c r="GC915" s="1072"/>
      <c r="GD915" s="1071"/>
      <c r="GE915" s="1071"/>
      <c r="GF915" s="1071"/>
      <c r="GG915" s="1071"/>
      <c r="GH915" s="1071"/>
      <c r="GI915" s="1071"/>
      <c r="GJ915" s="1071"/>
      <c r="GK915" s="1072"/>
      <c r="GL915" s="1071"/>
      <c r="GM915" s="1071"/>
      <c r="GN915" s="1071"/>
      <c r="GO915" s="1071"/>
      <c r="GP915" s="1071"/>
      <c r="GQ915" s="1071"/>
      <c r="GR915" s="1071"/>
      <c r="GS915" s="1072"/>
      <c r="GT915" s="1071"/>
      <c r="GU915" s="1071"/>
      <c r="GV915" s="1071"/>
      <c r="GW915" s="1071"/>
      <c r="GX915" s="1071"/>
      <c r="GY915" s="1071"/>
      <c r="GZ915" s="1071"/>
      <c r="HA915" s="1072"/>
      <c r="HB915" s="1071"/>
      <c r="HC915" s="1071"/>
      <c r="HD915" s="1071"/>
      <c r="HE915" s="1071"/>
      <c r="HF915" s="1071"/>
      <c r="HG915" s="1071"/>
      <c r="HH915" s="1071"/>
      <c r="HI915" s="1072"/>
      <c r="HJ915" s="1071"/>
      <c r="HK915" s="1071"/>
      <c r="HL915" s="1071"/>
      <c r="HM915" s="1071"/>
      <c r="HN915" s="1071"/>
      <c r="HO915" s="1071"/>
      <c r="HP915" s="1071"/>
      <c r="HQ915" s="1072"/>
      <c r="HR915" s="1071"/>
      <c r="HS915" s="1071"/>
      <c r="HT915" s="1071"/>
      <c r="HU915" s="1071"/>
      <c r="HV915" s="1071"/>
      <c r="HW915" s="1071"/>
      <c r="HX915" s="1071"/>
      <c r="HY915" s="1071"/>
      <c r="HZ915" s="1071"/>
      <c r="IA915" s="1071"/>
      <c r="IB915" s="1071"/>
      <c r="IC915" s="1071"/>
      <c r="ID915" s="1071"/>
      <c r="IE915" s="1071"/>
      <c r="IF915" s="1071"/>
      <c r="IG915" s="1072"/>
      <c r="IH915" s="1071"/>
      <c r="II915" s="1071"/>
      <c r="IJ915" s="1071"/>
      <c r="IK915" s="1071"/>
      <c r="IL915" s="1071"/>
      <c r="IM915" s="1071"/>
      <c r="IN915" s="1071"/>
      <c r="IO915" s="1072"/>
      <c r="IP915" s="1071"/>
      <c r="IQ915" s="1071"/>
      <c r="IR915" s="1071"/>
      <c r="IS915" s="1071"/>
      <c r="IT915" s="1071"/>
      <c r="IU915" s="1071"/>
      <c r="IV915" s="1071"/>
      <c r="IW915" s="1071"/>
      <c r="IX915" s="1049"/>
      <c r="IY915" s="1049"/>
      <c r="IZ915" s="1049"/>
      <c r="JA915" s="1049"/>
      <c r="JB915" s="1049"/>
      <c r="JC915" s="1049"/>
      <c r="JD915" s="1041"/>
      <c r="JE915" s="1037"/>
      <c r="JF915" s="1037"/>
      <c r="JG915" s="1037"/>
      <c r="JH915" s="1037"/>
      <c r="JI915" s="1035"/>
      <c r="JJ915" s="1035"/>
      <c r="JK915" s="1035"/>
      <c r="JL915" s="1035"/>
      <c r="JM915" s="1035"/>
      <c r="JN915" s="1035"/>
      <c r="JO915" s="1035"/>
      <c r="JP915" s="1035"/>
      <c r="JQ915" s="1035"/>
      <c r="JR915" s="1035"/>
      <c r="JS915" s="1035"/>
      <c r="JT915" s="1035"/>
      <c r="JU915" s="1035"/>
      <c r="JV915" s="1035"/>
      <c r="JW915" s="1035"/>
      <c r="JX915" s="1035"/>
      <c r="JY915" s="1035"/>
      <c r="KP915" s="1117"/>
      <c r="LV915" s="967"/>
    </row>
    <row r="916" outlineLevel="1" spans="1:334">
      <c r="A916" s="967" t="s">
        <v>61</v>
      </c>
      <c r="AX916" s="1059"/>
      <c r="BE916" s="1060"/>
      <c r="BN916" s="1059"/>
      <c r="BU916" s="1060"/>
      <c r="BV916" s="1059"/>
      <c r="CC916" s="1060"/>
      <c r="CD916" s="1059"/>
      <c r="CJ916" s="1061"/>
      <c r="CK916" s="1060"/>
      <c r="CL916" s="1059"/>
      <c r="CS916" s="1060"/>
      <c r="CT916" s="1059"/>
      <c r="CW916" s="1062"/>
      <c r="CX916" s="1062"/>
      <c r="DB916" s="1181"/>
      <c r="DC916" s="1181"/>
      <c r="DD916" s="1181"/>
      <c r="DE916" s="1194"/>
      <c r="DF916" s="1194"/>
      <c r="DG916" s="1181"/>
      <c r="DH916" s="1181"/>
      <c r="DI916" s="1182"/>
      <c r="DJ916" s="1181"/>
      <c r="DK916" s="1181"/>
      <c r="DL916" s="1181"/>
      <c r="DM916" s="1181"/>
      <c r="DN916" s="1181"/>
      <c r="DO916" s="1181"/>
      <c r="DP916" s="1181"/>
      <c r="DQ916" s="1182"/>
      <c r="DR916" s="1080"/>
      <c r="DS916" s="1080"/>
      <c r="DT916" s="1080"/>
      <c r="DU916" s="1080"/>
      <c r="DV916" s="1080"/>
      <c r="DW916" s="1080"/>
      <c r="DX916" s="1080"/>
      <c r="DY916" s="1081"/>
      <c r="DZ916" s="1080">
        <f>+DZ915/DR915-1</f>
        <v>0.0507042253521126</v>
      </c>
      <c r="EA916" s="1080">
        <f t="shared" ref="EA916:EG916" si="4687">+EA915/DS915-1</f>
        <v>0.0943820224719101</v>
      </c>
      <c r="EB916" s="1080">
        <f t="shared" si="4687"/>
        <v>0.075</v>
      </c>
      <c r="EC916" s="1080">
        <f t="shared" si="4687"/>
        <v>0.0288461538461537</v>
      </c>
      <c r="ED916" s="1080">
        <f t="shared" si="4687"/>
        <v>0.0568181818181819</v>
      </c>
      <c r="EE916" s="1080">
        <f t="shared" si="4687"/>
        <v>0.101851851851852</v>
      </c>
      <c r="EF916" s="1080">
        <f t="shared" si="4687"/>
        <v>0.0660377358490567</v>
      </c>
      <c r="EG916" s="1081">
        <f t="shared" si="4687"/>
        <v>0.0698924731182795</v>
      </c>
      <c r="EH916" s="1080">
        <v>0.32</v>
      </c>
      <c r="EI916" s="1080">
        <f>+EI915/EA915-1</f>
        <v>0.293634496919918</v>
      </c>
      <c r="EJ916" s="1080">
        <f>+EJ915/EB915-1</f>
        <v>0.308139534883721</v>
      </c>
      <c r="EK916" s="1080">
        <f>+EK915/EC915-1</f>
        <v>0.11214953271028</v>
      </c>
      <c r="EL916" s="1080">
        <f>+EL915/ED915-1</f>
        <v>0.232974910394265</v>
      </c>
      <c r="EM916" s="1080">
        <f>EM915/EE915-1</f>
        <v>0.126050420168067</v>
      </c>
      <c r="EN916" s="1080">
        <f>EN915/EF915-1</f>
        <v>0.119469026548673</v>
      </c>
      <c r="EO916" s="1081">
        <f>EO915/EG915-1</f>
        <v>0.201005025125628</v>
      </c>
      <c r="EP916" s="1080"/>
      <c r="EQ916" s="1080"/>
      <c r="ER916" s="1080"/>
      <c r="ES916" s="1080"/>
      <c r="ET916" s="1080"/>
      <c r="EU916" s="1080"/>
      <c r="EV916" s="1080"/>
      <c r="EW916" s="1081"/>
      <c r="EX916" s="1080"/>
      <c r="EY916" s="1080"/>
      <c r="EZ916" s="1080"/>
      <c r="FA916" s="1080"/>
      <c r="FB916" s="1080"/>
      <c r="FC916" s="1080"/>
      <c r="FD916" s="1080"/>
      <c r="FE916" s="1081"/>
      <c r="FF916" s="1080"/>
      <c r="FG916" s="1080"/>
      <c r="FH916" s="1080"/>
      <c r="FI916" s="1080"/>
      <c r="FJ916" s="1080"/>
      <c r="FK916" s="1080"/>
      <c r="FL916" s="1080"/>
      <c r="FM916" s="1081"/>
      <c r="FN916" s="1080"/>
      <c r="FO916" s="1080"/>
      <c r="FP916" s="1080"/>
      <c r="FQ916" s="1080"/>
      <c r="FR916" s="1080"/>
      <c r="FS916" s="1080"/>
      <c r="FT916" s="1080"/>
      <c r="FU916" s="1080"/>
      <c r="FV916" s="1150"/>
      <c r="FW916" s="1080"/>
      <c r="FX916" s="1080"/>
      <c r="FY916" s="1080"/>
      <c r="FZ916" s="1080"/>
      <c r="GA916" s="1080"/>
      <c r="GB916" s="1080"/>
      <c r="GC916" s="1081"/>
      <c r="GD916" s="1080"/>
      <c r="GE916" s="1080"/>
      <c r="GF916" s="1080"/>
      <c r="GG916" s="1080"/>
      <c r="GH916" s="1080"/>
      <c r="GI916" s="1080"/>
      <c r="GJ916" s="1080"/>
      <c r="GK916" s="1081"/>
      <c r="GL916" s="1080"/>
      <c r="GM916" s="1080"/>
      <c r="GN916" s="1080"/>
      <c r="GO916" s="1080"/>
      <c r="GP916" s="1080"/>
      <c r="GQ916" s="1080"/>
      <c r="GR916" s="1080"/>
      <c r="GS916" s="1081"/>
      <c r="GT916" s="1080"/>
      <c r="GU916" s="1080"/>
      <c r="GV916" s="1080"/>
      <c r="GW916" s="1080"/>
      <c r="GX916" s="1080"/>
      <c r="GY916" s="1080"/>
      <c r="GZ916" s="1080"/>
      <c r="HA916" s="1081"/>
      <c r="HB916" s="1080"/>
      <c r="HC916" s="1080"/>
      <c r="HD916" s="1080"/>
      <c r="HE916" s="1080"/>
      <c r="HF916" s="1080"/>
      <c r="HG916" s="1080"/>
      <c r="HH916" s="1080"/>
      <c r="HI916" s="1081"/>
      <c r="HJ916" s="1080"/>
      <c r="HK916" s="1080"/>
      <c r="HL916" s="1080"/>
      <c r="HM916" s="1080"/>
      <c r="HN916" s="1080"/>
      <c r="HO916" s="1080"/>
      <c r="HP916" s="1080"/>
      <c r="HQ916" s="1081"/>
      <c r="HR916" s="1080"/>
      <c r="HS916" s="1080"/>
      <c r="HT916" s="1080"/>
      <c r="HU916" s="1080"/>
      <c r="HV916" s="1080"/>
      <c r="HW916" s="1080"/>
      <c r="HX916" s="1080"/>
      <c r="HY916" s="1080"/>
      <c r="HZ916" s="1080"/>
      <c r="IA916" s="1080"/>
      <c r="IB916" s="1080"/>
      <c r="IC916" s="1080"/>
      <c r="ID916" s="1080"/>
      <c r="IE916" s="1080"/>
      <c r="IF916" s="1080"/>
      <c r="IG916" s="1081"/>
      <c r="IH916" s="1080"/>
      <c r="II916" s="1080"/>
      <c r="IJ916" s="1080"/>
      <c r="IK916" s="1080"/>
      <c r="IL916" s="1080"/>
      <c r="IM916" s="1080"/>
      <c r="IN916" s="1080"/>
      <c r="IO916" s="1081"/>
      <c r="IP916" s="1080"/>
      <c r="IQ916" s="1080"/>
      <c r="IR916" s="1080"/>
      <c r="IS916" s="1080"/>
      <c r="IT916" s="1080"/>
      <c r="IU916" s="1080"/>
      <c r="IV916" s="1080"/>
      <c r="IW916" s="1080"/>
      <c r="IX916" s="1049"/>
      <c r="IY916" s="1049"/>
      <c r="IZ916" s="1049"/>
      <c r="JA916" s="1049"/>
      <c r="JB916" s="1049"/>
      <c r="JC916" s="1049"/>
      <c r="JD916" s="1041"/>
      <c r="JE916" s="1037"/>
      <c r="JF916" s="1037"/>
      <c r="JG916" s="1037"/>
      <c r="JH916" s="1037"/>
      <c r="JI916" s="1035"/>
      <c r="JJ916" s="1035"/>
      <c r="JK916" s="1035"/>
      <c r="JL916" s="1035"/>
      <c r="JM916" s="1035"/>
      <c r="JN916" s="1035"/>
      <c r="JO916" s="1035"/>
      <c r="JP916" s="1035"/>
      <c r="JQ916" s="1035"/>
      <c r="JR916" s="1035"/>
      <c r="JS916" s="1035"/>
      <c r="JT916" s="1035"/>
      <c r="JU916" s="1035"/>
      <c r="JV916" s="1035"/>
      <c r="JW916" s="1035"/>
      <c r="JX916" s="1035"/>
      <c r="JY916" s="1035"/>
      <c r="KP916" s="1117"/>
      <c r="LV916" s="967"/>
    </row>
    <row r="917" outlineLevel="1" spans="1:334">
      <c r="A917" s="967" t="s">
        <v>65</v>
      </c>
      <c r="AX917" s="1059"/>
      <c r="BE917" s="1060"/>
      <c r="BN917" s="1059"/>
      <c r="BU917" s="1060"/>
      <c r="BV917" s="1059"/>
      <c r="CC917" s="1060"/>
      <c r="CD917" s="1059"/>
      <c r="CJ917" s="1061"/>
      <c r="CK917" s="1060"/>
      <c r="CL917" s="1059"/>
      <c r="CS917" s="1060"/>
      <c r="CT917" s="1059"/>
      <c r="CW917" s="1062"/>
      <c r="CX917" s="1062"/>
      <c r="DB917" s="1181"/>
      <c r="DC917" s="1181"/>
      <c r="DD917" s="1181"/>
      <c r="DE917" s="1194"/>
      <c r="DF917" s="1194"/>
      <c r="DG917" s="1181"/>
      <c r="DH917" s="1181"/>
      <c r="DI917" s="1182"/>
      <c r="DJ917" s="1181"/>
      <c r="DK917" s="1181"/>
      <c r="DL917" s="1181"/>
      <c r="DM917" s="1181"/>
      <c r="DN917" s="1181"/>
      <c r="DO917" s="1181"/>
      <c r="DP917" s="1181"/>
      <c r="DQ917" s="1182"/>
      <c r="DR917" s="1080"/>
      <c r="DS917" s="1080"/>
      <c r="DT917" s="1080"/>
      <c r="DU917" s="1080"/>
      <c r="DV917" s="1080"/>
      <c r="DW917" s="1080"/>
      <c r="DX917" s="1080"/>
      <c r="DY917" s="1081"/>
      <c r="DZ917" s="1080">
        <v>-0.04</v>
      </c>
      <c r="EA917" s="1080"/>
      <c r="EB917" s="1080">
        <v>0.03</v>
      </c>
      <c r="EC917" s="1080"/>
      <c r="ED917" s="1080">
        <v>0.03</v>
      </c>
      <c r="EE917" s="1080"/>
      <c r="EF917" s="1080"/>
      <c r="EG917" s="1081">
        <v>0.04</v>
      </c>
      <c r="EH917" s="1080">
        <v>0.24</v>
      </c>
      <c r="EI917" s="1080"/>
      <c r="EJ917" s="1080">
        <v>0.21</v>
      </c>
      <c r="EK917" s="1080"/>
      <c r="EL917" s="1080">
        <v>0.13</v>
      </c>
      <c r="EM917" s="1080"/>
      <c r="EN917" s="1080"/>
      <c r="EO917" s="1081">
        <v>0.12</v>
      </c>
      <c r="EP917" s="1080"/>
      <c r="EQ917" s="1080"/>
      <c r="ER917" s="1080"/>
      <c r="ES917" s="1080"/>
      <c r="ET917" s="1080"/>
      <c r="EU917" s="1080"/>
      <c r="EV917" s="1080"/>
      <c r="EW917" s="1081"/>
      <c r="EX917" s="1080"/>
      <c r="EY917" s="1080"/>
      <c r="EZ917" s="1080"/>
      <c r="FA917" s="1080"/>
      <c r="FB917" s="1080"/>
      <c r="FC917" s="1080"/>
      <c r="FD917" s="1080"/>
      <c r="FE917" s="1081"/>
      <c r="FF917" s="1080"/>
      <c r="FG917" s="1080"/>
      <c r="FH917" s="1080"/>
      <c r="FI917" s="1080"/>
      <c r="FJ917" s="1080"/>
      <c r="FK917" s="1080"/>
      <c r="FL917" s="1080"/>
      <c r="FM917" s="1081"/>
      <c r="FN917" s="1080"/>
      <c r="FO917" s="1080"/>
      <c r="FP917" s="1080"/>
      <c r="FQ917" s="1080"/>
      <c r="FR917" s="1080"/>
      <c r="FS917" s="1080"/>
      <c r="FT917" s="1080"/>
      <c r="FU917" s="1080"/>
      <c r="FV917" s="1150"/>
      <c r="FW917" s="1080"/>
      <c r="FX917" s="1080"/>
      <c r="FY917" s="1080"/>
      <c r="FZ917" s="1080"/>
      <c r="GA917" s="1080"/>
      <c r="GB917" s="1080"/>
      <c r="GC917" s="1081"/>
      <c r="GD917" s="1080"/>
      <c r="GE917" s="1080"/>
      <c r="GF917" s="1080"/>
      <c r="GG917" s="1080"/>
      <c r="GH917" s="1080"/>
      <c r="GI917" s="1080"/>
      <c r="GJ917" s="1080"/>
      <c r="GK917" s="1081"/>
      <c r="GL917" s="1080"/>
      <c r="GM917" s="1080"/>
      <c r="GN917" s="1080"/>
      <c r="GO917" s="1080"/>
      <c r="GP917" s="1080"/>
      <c r="GQ917" s="1080"/>
      <c r="GR917" s="1080"/>
      <c r="GS917" s="1081"/>
      <c r="GT917" s="1080"/>
      <c r="GU917" s="1080"/>
      <c r="GV917" s="1080"/>
      <c r="GW917" s="1080"/>
      <c r="GX917" s="1080"/>
      <c r="GY917" s="1080"/>
      <c r="GZ917" s="1080"/>
      <c r="HA917" s="1081"/>
      <c r="HB917" s="1080"/>
      <c r="HC917" s="1080"/>
      <c r="HD917" s="1080"/>
      <c r="HE917" s="1080"/>
      <c r="HF917" s="1080"/>
      <c r="HG917" s="1080"/>
      <c r="HH917" s="1080"/>
      <c r="HI917" s="1081"/>
      <c r="HJ917" s="1080"/>
      <c r="HK917" s="1080"/>
      <c r="HL917" s="1080"/>
      <c r="HM917" s="1080"/>
      <c r="HN917" s="1080"/>
      <c r="HO917" s="1080"/>
      <c r="HP917" s="1080"/>
      <c r="HQ917" s="1081"/>
      <c r="HR917" s="1080"/>
      <c r="HS917" s="1080"/>
      <c r="HT917" s="1080"/>
      <c r="HU917" s="1080"/>
      <c r="HV917" s="1080"/>
      <c r="HW917" s="1080"/>
      <c r="HX917" s="1080"/>
      <c r="HY917" s="1080"/>
      <c r="HZ917" s="1080"/>
      <c r="IA917" s="1080"/>
      <c r="IB917" s="1080"/>
      <c r="IC917" s="1080"/>
      <c r="ID917" s="1080"/>
      <c r="IE917" s="1080"/>
      <c r="IF917" s="1080"/>
      <c r="IG917" s="1081"/>
      <c r="IH917" s="1080"/>
      <c r="II917" s="1080"/>
      <c r="IJ917" s="1080"/>
      <c r="IK917" s="1080"/>
      <c r="IL917" s="1080"/>
      <c r="IM917" s="1080"/>
      <c r="IN917" s="1080"/>
      <c r="IO917" s="1081"/>
      <c r="IP917" s="1080"/>
      <c r="IQ917" s="1080"/>
      <c r="IR917" s="1080"/>
      <c r="IS917" s="1080"/>
      <c r="IT917" s="1080"/>
      <c r="IU917" s="1080"/>
      <c r="IV917" s="1080"/>
      <c r="IW917" s="1080"/>
      <c r="IX917" s="1049"/>
      <c r="IY917" s="1049"/>
      <c r="IZ917" s="1049"/>
      <c r="JA917" s="1049"/>
      <c r="JB917" s="1049"/>
      <c r="JC917" s="1049"/>
      <c r="JD917" s="1041"/>
      <c r="JE917" s="1037"/>
      <c r="JF917" s="1037"/>
      <c r="JG917" s="1037"/>
      <c r="JH917" s="1037"/>
      <c r="JI917" s="1035"/>
      <c r="JJ917" s="1035"/>
      <c r="JK917" s="1035"/>
      <c r="JL917" s="1035"/>
      <c r="JM917" s="1035"/>
      <c r="JN917" s="1035"/>
      <c r="JO917" s="1035"/>
      <c r="JP917" s="1035"/>
      <c r="JQ917" s="1035"/>
      <c r="JR917" s="1035"/>
      <c r="JS917" s="1035"/>
      <c r="JT917" s="1035"/>
      <c r="JU917" s="1035"/>
      <c r="JV917" s="1035"/>
      <c r="JW917" s="1035"/>
      <c r="JX917" s="1035"/>
      <c r="JY917" s="1035"/>
      <c r="KP917" s="1117"/>
      <c r="LV917" s="967"/>
    </row>
    <row r="918" outlineLevel="1" spans="1:334">
      <c r="A918" s="1180" t="s">
        <v>102</v>
      </c>
      <c r="AX918" s="1059"/>
      <c r="BE918" s="1060"/>
      <c r="BN918" s="1059"/>
      <c r="BU918" s="1060"/>
      <c r="BV918" s="1059"/>
      <c r="CC918" s="1060"/>
      <c r="CD918" s="1059"/>
      <c r="CJ918" s="1061"/>
      <c r="CK918" s="1060"/>
      <c r="CL918" s="1059"/>
      <c r="CS918" s="1060"/>
      <c r="CT918" s="1059"/>
      <c r="CW918" s="1062"/>
      <c r="CX918" s="1062"/>
      <c r="DB918" s="1181"/>
      <c r="DC918" s="1181"/>
      <c r="DD918" s="1181"/>
      <c r="DE918" s="1194"/>
      <c r="DF918" s="1194"/>
      <c r="DG918" s="1181"/>
      <c r="DH918" s="1181"/>
      <c r="DI918" s="1182"/>
      <c r="DJ918" s="1181"/>
      <c r="DK918" s="1181"/>
      <c r="DL918" s="1181"/>
      <c r="DM918" s="1181"/>
      <c r="DN918" s="1181"/>
      <c r="DO918" s="1181"/>
      <c r="DP918" s="1181"/>
      <c r="DQ918" s="1182"/>
      <c r="DR918" s="1208">
        <v>3</v>
      </c>
      <c r="DS918" s="1071">
        <f>+DT918-DR918</f>
        <v>3</v>
      </c>
      <c r="DT918" s="1208">
        <v>6</v>
      </c>
      <c r="DU918" s="1071">
        <f>+DV918-DT918</f>
        <v>4</v>
      </c>
      <c r="DV918" s="1208">
        <v>10</v>
      </c>
      <c r="DW918" s="1071">
        <f>DX918-DU918</f>
        <v>4</v>
      </c>
      <c r="DX918" s="1071">
        <f>DY918-DT918</f>
        <v>8</v>
      </c>
      <c r="DY918" s="1212">
        <v>14</v>
      </c>
      <c r="DZ918" s="1208">
        <v>3</v>
      </c>
      <c r="EA918" s="1071">
        <f>+EB918-DZ918</f>
        <v>4</v>
      </c>
      <c r="EB918" s="1208">
        <v>7</v>
      </c>
      <c r="EC918" s="1071">
        <f>+ED918-EB918</f>
        <v>3</v>
      </c>
      <c r="ED918" s="1208">
        <v>10</v>
      </c>
      <c r="EE918" s="1071">
        <f>EF918-EC918</f>
        <v>5</v>
      </c>
      <c r="EF918" s="1071">
        <f>EG918-EB918</f>
        <v>8</v>
      </c>
      <c r="EG918" s="1212">
        <v>15</v>
      </c>
      <c r="EH918" s="1071">
        <v>5</v>
      </c>
      <c r="EI918" s="1071">
        <f>+EJ918-EH918</f>
        <v>5</v>
      </c>
      <c r="EJ918" s="1071">
        <v>10</v>
      </c>
      <c r="EK918" s="1071">
        <f>+EL918-EJ918</f>
        <v>5</v>
      </c>
      <c r="EL918" s="1071">
        <v>15</v>
      </c>
      <c r="EM918" s="1071">
        <f>EN918-EK918</f>
        <v>7</v>
      </c>
      <c r="EN918" s="1071">
        <f>EO918-EJ918</f>
        <v>12</v>
      </c>
      <c r="EO918" s="1072">
        <v>22</v>
      </c>
      <c r="EP918" s="1071"/>
      <c r="EQ918" s="1071"/>
      <c r="ER918" s="1071"/>
      <c r="ES918" s="1071"/>
      <c r="ET918" s="1071"/>
      <c r="EU918" s="1071"/>
      <c r="EV918" s="1071"/>
      <c r="EW918" s="1072"/>
      <c r="EX918" s="1071"/>
      <c r="EY918" s="1071"/>
      <c r="EZ918" s="1071"/>
      <c r="FA918" s="1071"/>
      <c r="FB918" s="1071"/>
      <c r="FC918" s="1071"/>
      <c r="FD918" s="1071"/>
      <c r="FE918" s="1072"/>
      <c r="FF918" s="1071"/>
      <c r="FG918" s="1071"/>
      <c r="FH918" s="1071"/>
      <c r="FI918" s="1071"/>
      <c r="FJ918" s="1071"/>
      <c r="FK918" s="1071"/>
      <c r="FL918" s="1071"/>
      <c r="FM918" s="1072"/>
      <c r="FN918" s="1071"/>
      <c r="FO918" s="1071"/>
      <c r="FP918" s="1071"/>
      <c r="FQ918" s="1071"/>
      <c r="FR918" s="1071"/>
      <c r="FS918" s="1071"/>
      <c r="FT918" s="1071"/>
      <c r="FU918" s="1071"/>
      <c r="FV918" s="1177"/>
      <c r="FW918" s="1071"/>
      <c r="FX918" s="1071"/>
      <c r="FY918" s="1071"/>
      <c r="FZ918" s="1071"/>
      <c r="GA918" s="1071"/>
      <c r="GB918" s="1071"/>
      <c r="GC918" s="1072"/>
      <c r="GD918" s="1071"/>
      <c r="GE918" s="1071"/>
      <c r="GF918" s="1071"/>
      <c r="GG918" s="1071"/>
      <c r="GH918" s="1071"/>
      <c r="GI918" s="1071"/>
      <c r="GJ918" s="1071"/>
      <c r="GK918" s="1072"/>
      <c r="GL918" s="1071"/>
      <c r="GM918" s="1071"/>
      <c r="GN918" s="1071"/>
      <c r="GO918" s="1071"/>
      <c r="GP918" s="1071"/>
      <c r="GQ918" s="1071"/>
      <c r="GR918" s="1071"/>
      <c r="GS918" s="1072"/>
      <c r="GT918" s="1071"/>
      <c r="GU918" s="1071"/>
      <c r="GV918" s="1071"/>
      <c r="GW918" s="1071"/>
      <c r="GX918" s="1071"/>
      <c r="GY918" s="1071"/>
      <c r="GZ918" s="1071"/>
      <c r="HA918" s="1072"/>
      <c r="HB918" s="1071"/>
      <c r="HC918" s="1071"/>
      <c r="HD918" s="1071"/>
      <c r="HE918" s="1071"/>
      <c r="HF918" s="1071"/>
      <c r="HG918" s="1071"/>
      <c r="HH918" s="1071"/>
      <c r="HI918" s="1072"/>
      <c r="HJ918" s="1071"/>
      <c r="HK918" s="1071"/>
      <c r="HL918" s="1071"/>
      <c r="HM918" s="1071"/>
      <c r="HN918" s="1071"/>
      <c r="HO918" s="1071"/>
      <c r="HP918" s="1071"/>
      <c r="HQ918" s="1072"/>
      <c r="HR918" s="1071"/>
      <c r="HS918" s="1071"/>
      <c r="HT918" s="1071"/>
      <c r="HU918" s="1071"/>
      <c r="HV918" s="1071"/>
      <c r="HW918" s="1071"/>
      <c r="HX918" s="1071"/>
      <c r="HY918" s="1071"/>
      <c r="HZ918" s="1071"/>
      <c r="IA918" s="1071"/>
      <c r="IB918" s="1071"/>
      <c r="IC918" s="1071"/>
      <c r="ID918" s="1071"/>
      <c r="IE918" s="1071"/>
      <c r="IF918" s="1071"/>
      <c r="IG918" s="1072"/>
      <c r="IH918" s="1071"/>
      <c r="II918" s="1071"/>
      <c r="IJ918" s="1071"/>
      <c r="IK918" s="1071"/>
      <c r="IL918" s="1071"/>
      <c r="IM918" s="1071"/>
      <c r="IN918" s="1071"/>
      <c r="IO918" s="1072"/>
      <c r="IP918" s="1071"/>
      <c r="IQ918" s="1071"/>
      <c r="IR918" s="1071"/>
      <c r="IS918" s="1071"/>
      <c r="IT918" s="1071"/>
      <c r="IU918" s="1071"/>
      <c r="IV918" s="1071"/>
      <c r="IW918" s="1071"/>
      <c r="IX918" s="1049"/>
      <c r="IY918" s="1049"/>
      <c r="IZ918" s="1049"/>
      <c r="JA918" s="1049"/>
      <c r="JB918" s="1049"/>
      <c r="JC918" s="1049"/>
      <c r="JD918" s="1041"/>
      <c r="JE918" s="1037"/>
      <c r="JF918" s="1037"/>
      <c r="JG918" s="1037"/>
      <c r="JH918" s="1037"/>
      <c r="JI918" s="1035"/>
      <c r="JJ918" s="1035"/>
      <c r="JK918" s="1035"/>
      <c r="JL918" s="1035"/>
      <c r="JM918" s="1035"/>
      <c r="JN918" s="1035"/>
      <c r="JO918" s="1035"/>
      <c r="JP918" s="1035"/>
      <c r="JQ918" s="1035"/>
      <c r="JR918" s="1035"/>
      <c r="JS918" s="1035"/>
      <c r="JT918" s="1035"/>
      <c r="JU918" s="1035"/>
      <c r="JV918" s="1035"/>
      <c r="JW918" s="1035"/>
      <c r="JX918" s="1035"/>
      <c r="JY918" s="1035"/>
      <c r="KP918" s="1117"/>
      <c r="LV918" s="967"/>
    </row>
    <row r="919" outlineLevel="1" spans="1:334">
      <c r="A919" s="967" t="s">
        <v>61</v>
      </c>
      <c r="AX919" s="1059"/>
      <c r="BE919" s="1060"/>
      <c r="BN919" s="1059"/>
      <c r="BU919" s="1060"/>
      <c r="BV919" s="1059"/>
      <c r="CC919" s="1060"/>
      <c r="CD919" s="1059"/>
      <c r="CJ919" s="1061"/>
      <c r="CK919" s="1060"/>
      <c r="CL919" s="1059"/>
      <c r="CS919" s="1060"/>
      <c r="CT919" s="1059"/>
      <c r="CW919" s="1062"/>
      <c r="CX919" s="1062"/>
      <c r="DB919" s="1181"/>
      <c r="DC919" s="1181"/>
      <c r="DD919" s="1181"/>
      <c r="DE919" s="1194"/>
      <c r="DF919" s="1194"/>
      <c r="DG919" s="1181"/>
      <c r="DH919" s="1181"/>
      <c r="DI919" s="1182"/>
      <c r="DJ919" s="1181"/>
      <c r="DK919" s="1181"/>
      <c r="DL919" s="1181"/>
      <c r="DM919" s="1181"/>
      <c r="DN919" s="1181"/>
      <c r="DO919" s="1181"/>
      <c r="DP919" s="1181"/>
      <c r="DQ919" s="1182"/>
      <c r="DR919" s="1080"/>
      <c r="DS919" s="1080"/>
      <c r="DT919" s="1080"/>
      <c r="DU919" s="1080"/>
      <c r="DV919" s="1080"/>
      <c r="DW919" s="1080"/>
      <c r="DX919" s="1080"/>
      <c r="DY919" s="1081"/>
      <c r="DZ919" s="1080">
        <f>+DZ918/DR918-1</f>
        <v>0</v>
      </c>
      <c r="EA919" s="1080">
        <f t="shared" ref="EA919:EG919" si="4688">+EA918/DS918-1</f>
        <v>0.333333333333333</v>
      </c>
      <c r="EB919" s="1080">
        <f t="shared" si="4688"/>
        <v>0.166666666666667</v>
      </c>
      <c r="EC919" s="1080">
        <f t="shared" si="4688"/>
        <v>-0.25</v>
      </c>
      <c r="ED919" s="1080">
        <f t="shared" si="4688"/>
        <v>0</v>
      </c>
      <c r="EE919" s="1080">
        <f t="shared" si="4688"/>
        <v>0.25</v>
      </c>
      <c r="EF919" s="1080">
        <f t="shared" si="4688"/>
        <v>0</v>
      </c>
      <c r="EG919" s="1081">
        <f t="shared" si="4688"/>
        <v>0.0714285714285714</v>
      </c>
      <c r="EH919" s="1080">
        <v>0.59</v>
      </c>
      <c r="EI919" s="1080">
        <f>+EI918/EA918-1</f>
        <v>0.25</v>
      </c>
      <c r="EJ919" s="1080">
        <f>+EJ918/EB918-1</f>
        <v>0.428571428571429</v>
      </c>
      <c r="EK919" s="1080">
        <f>+EK918/EC918-1</f>
        <v>0.666666666666667</v>
      </c>
      <c r="EL919" s="1080">
        <f>+EL918/ED918-1</f>
        <v>0.5</v>
      </c>
      <c r="EM919" s="1080">
        <f>EM918/EE918-1</f>
        <v>0.4</v>
      </c>
      <c r="EN919" s="1080">
        <f>EN918/EF918-1</f>
        <v>0.5</v>
      </c>
      <c r="EO919" s="1081">
        <f>EO918/EG918-1</f>
        <v>0.466666666666667</v>
      </c>
      <c r="EP919" s="1080"/>
      <c r="EQ919" s="1080"/>
      <c r="ER919" s="1080"/>
      <c r="ES919" s="1080"/>
      <c r="ET919" s="1080"/>
      <c r="EU919" s="1080"/>
      <c r="EV919" s="1080"/>
      <c r="EW919" s="1081"/>
      <c r="EX919" s="1080"/>
      <c r="EY919" s="1080"/>
      <c r="EZ919" s="1080"/>
      <c r="FA919" s="1080"/>
      <c r="FB919" s="1080"/>
      <c r="FC919" s="1080"/>
      <c r="FD919" s="1080"/>
      <c r="FE919" s="1081"/>
      <c r="FF919" s="1080"/>
      <c r="FG919" s="1080"/>
      <c r="FH919" s="1080"/>
      <c r="FI919" s="1080"/>
      <c r="FJ919" s="1080"/>
      <c r="FK919" s="1080"/>
      <c r="FL919" s="1080"/>
      <c r="FM919" s="1081"/>
      <c r="FN919" s="1080"/>
      <c r="FO919" s="1080"/>
      <c r="FP919" s="1080"/>
      <c r="FQ919" s="1080"/>
      <c r="FR919" s="1080"/>
      <c r="FS919" s="1080"/>
      <c r="FT919" s="1080"/>
      <c r="FU919" s="1080"/>
      <c r="FV919" s="1150"/>
      <c r="FW919" s="1080"/>
      <c r="FX919" s="1080"/>
      <c r="FY919" s="1080"/>
      <c r="FZ919" s="1080"/>
      <c r="GA919" s="1080"/>
      <c r="GB919" s="1080"/>
      <c r="GC919" s="1081"/>
      <c r="GD919" s="1080"/>
      <c r="GE919" s="1080"/>
      <c r="GF919" s="1080"/>
      <c r="GG919" s="1080"/>
      <c r="GH919" s="1080"/>
      <c r="GI919" s="1080"/>
      <c r="GJ919" s="1080"/>
      <c r="GK919" s="1081"/>
      <c r="GL919" s="1080"/>
      <c r="GM919" s="1080"/>
      <c r="GN919" s="1080"/>
      <c r="GO919" s="1080"/>
      <c r="GP919" s="1080"/>
      <c r="GQ919" s="1080"/>
      <c r="GR919" s="1080"/>
      <c r="GS919" s="1081"/>
      <c r="GT919" s="1080"/>
      <c r="GU919" s="1080"/>
      <c r="GV919" s="1080"/>
      <c r="GW919" s="1080"/>
      <c r="GX919" s="1080"/>
      <c r="GY919" s="1080"/>
      <c r="GZ919" s="1080"/>
      <c r="HA919" s="1081"/>
      <c r="HB919" s="1080"/>
      <c r="HC919" s="1080"/>
      <c r="HD919" s="1080"/>
      <c r="HE919" s="1080"/>
      <c r="HF919" s="1080"/>
      <c r="HG919" s="1080"/>
      <c r="HH919" s="1080"/>
      <c r="HI919" s="1081"/>
      <c r="HJ919" s="1080"/>
      <c r="HK919" s="1080"/>
      <c r="HL919" s="1080"/>
      <c r="HM919" s="1080"/>
      <c r="HN919" s="1080"/>
      <c r="HO919" s="1080"/>
      <c r="HP919" s="1080"/>
      <c r="HQ919" s="1081"/>
      <c r="HR919" s="1080"/>
      <c r="HS919" s="1080"/>
      <c r="HT919" s="1080"/>
      <c r="HU919" s="1080"/>
      <c r="HV919" s="1080"/>
      <c r="HW919" s="1080"/>
      <c r="HX919" s="1080"/>
      <c r="HY919" s="1080"/>
      <c r="HZ919" s="1080"/>
      <c r="IA919" s="1080"/>
      <c r="IB919" s="1080"/>
      <c r="IC919" s="1080"/>
      <c r="ID919" s="1080"/>
      <c r="IE919" s="1080"/>
      <c r="IF919" s="1080"/>
      <c r="IG919" s="1081"/>
      <c r="IH919" s="1080"/>
      <c r="II919" s="1080"/>
      <c r="IJ919" s="1080"/>
      <c r="IK919" s="1080"/>
      <c r="IL919" s="1080"/>
      <c r="IM919" s="1080"/>
      <c r="IN919" s="1080"/>
      <c r="IO919" s="1081"/>
      <c r="IP919" s="1080"/>
      <c r="IQ919" s="1080"/>
      <c r="IR919" s="1080"/>
      <c r="IS919" s="1080"/>
      <c r="IT919" s="1080"/>
      <c r="IU919" s="1080"/>
      <c r="IV919" s="1080"/>
      <c r="IW919" s="1080"/>
      <c r="IX919" s="1049"/>
      <c r="IY919" s="1049"/>
      <c r="IZ919" s="1049"/>
      <c r="JA919" s="1049"/>
      <c r="JB919" s="1049"/>
      <c r="JC919" s="1049"/>
      <c r="JD919" s="1041"/>
      <c r="JE919" s="1037"/>
      <c r="JF919" s="1037"/>
      <c r="JG919" s="1037"/>
      <c r="JH919" s="1037"/>
      <c r="JI919" s="1035"/>
      <c r="JJ919" s="1035"/>
      <c r="JK919" s="1035"/>
      <c r="JL919" s="1035"/>
      <c r="JM919" s="1035"/>
      <c r="JN919" s="1035"/>
      <c r="JO919" s="1035"/>
      <c r="JP919" s="1035"/>
      <c r="JQ919" s="1035"/>
      <c r="JR919" s="1035"/>
      <c r="JS919" s="1035"/>
      <c r="JT919" s="1035"/>
      <c r="JU919" s="1035"/>
      <c r="JV919" s="1035"/>
      <c r="JW919" s="1035"/>
      <c r="JX919" s="1035"/>
      <c r="JY919" s="1035"/>
      <c r="KP919" s="1117"/>
      <c r="LV919" s="967"/>
    </row>
    <row r="920" outlineLevel="1" spans="1:334">
      <c r="A920" s="967" t="s">
        <v>65</v>
      </c>
      <c r="AX920" s="1059"/>
      <c r="BE920" s="1060"/>
      <c r="BN920" s="1059"/>
      <c r="BU920" s="1060"/>
      <c r="BV920" s="1059"/>
      <c r="CC920" s="1060"/>
      <c r="CD920" s="1059"/>
      <c r="CJ920" s="1061"/>
      <c r="CK920" s="1060"/>
      <c r="CL920" s="1059"/>
      <c r="CS920" s="1060"/>
      <c r="CT920" s="1059"/>
      <c r="CW920" s="1062"/>
      <c r="CX920" s="1062"/>
      <c r="DB920" s="1181"/>
      <c r="DC920" s="1181"/>
      <c r="DD920" s="1181"/>
      <c r="DE920" s="1194"/>
      <c r="DF920" s="1194"/>
      <c r="DG920" s="1181"/>
      <c r="DH920" s="1181"/>
      <c r="DI920" s="1182"/>
      <c r="DJ920" s="1181"/>
      <c r="DK920" s="1181"/>
      <c r="DL920" s="1181"/>
      <c r="DM920" s="1181"/>
      <c r="DN920" s="1181"/>
      <c r="DO920" s="1181"/>
      <c r="DP920" s="1181"/>
      <c r="DQ920" s="1182"/>
      <c r="DR920" s="1080"/>
      <c r="DS920" s="1080"/>
      <c r="DT920" s="1080"/>
      <c r="DU920" s="1080"/>
      <c r="DV920" s="1080"/>
      <c r="DW920" s="1080"/>
      <c r="DX920" s="1080"/>
      <c r="DY920" s="1081"/>
      <c r="DZ920" s="1080">
        <v>-0.02</v>
      </c>
      <c r="EA920" s="1080"/>
      <c r="EB920" s="1080">
        <v>0.06</v>
      </c>
      <c r="EC920" s="1080"/>
      <c r="ED920" s="1080">
        <v>0.09</v>
      </c>
      <c r="EE920" s="1080"/>
      <c r="EF920" s="1080"/>
      <c r="EG920" s="1081">
        <v>0.2</v>
      </c>
      <c r="EH920" s="1080">
        <v>0.59</v>
      </c>
      <c r="EI920" s="1080"/>
      <c r="EJ920" s="1080">
        <v>0.45</v>
      </c>
      <c r="EK920" s="1080"/>
      <c r="EL920" s="1080">
        <v>0.43</v>
      </c>
      <c r="EM920" s="1080"/>
      <c r="EN920" s="1080"/>
      <c r="EO920" s="1081">
        <v>0.37</v>
      </c>
      <c r="EP920" s="1080"/>
      <c r="EQ920" s="1080"/>
      <c r="ER920" s="1080"/>
      <c r="ES920" s="1080"/>
      <c r="ET920" s="1080"/>
      <c r="EU920" s="1080"/>
      <c r="EV920" s="1080"/>
      <c r="EW920" s="1081"/>
      <c r="EX920" s="1080"/>
      <c r="EY920" s="1080"/>
      <c r="EZ920" s="1080"/>
      <c r="FA920" s="1080"/>
      <c r="FB920" s="1080"/>
      <c r="FC920" s="1080"/>
      <c r="FD920" s="1080"/>
      <c r="FE920" s="1081"/>
      <c r="FF920" s="1080"/>
      <c r="FG920" s="1080"/>
      <c r="FH920" s="1080"/>
      <c r="FI920" s="1080"/>
      <c r="FJ920" s="1080"/>
      <c r="FK920" s="1080"/>
      <c r="FL920" s="1080"/>
      <c r="FM920" s="1081"/>
      <c r="FN920" s="1080"/>
      <c r="FO920" s="1080"/>
      <c r="FP920" s="1080"/>
      <c r="FQ920" s="1080"/>
      <c r="FR920" s="1080"/>
      <c r="FS920" s="1080"/>
      <c r="FT920" s="1080"/>
      <c r="FU920" s="1080"/>
      <c r="FV920" s="1150"/>
      <c r="FW920" s="1080"/>
      <c r="FX920" s="1080"/>
      <c r="FY920" s="1080"/>
      <c r="FZ920" s="1080"/>
      <c r="GA920" s="1080"/>
      <c r="GB920" s="1080"/>
      <c r="GC920" s="1081"/>
      <c r="GD920" s="1080"/>
      <c r="GE920" s="1080"/>
      <c r="GF920" s="1080"/>
      <c r="GG920" s="1080"/>
      <c r="GH920" s="1080"/>
      <c r="GI920" s="1080"/>
      <c r="GJ920" s="1080"/>
      <c r="GK920" s="1081"/>
      <c r="GL920" s="1080"/>
      <c r="GM920" s="1080"/>
      <c r="GN920" s="1080"/>
      <c r="GO920" s="1080"/>
      <c r="GP920" s="1080"/>
      <c r="GQ920" s="1080"/>
      <c r="GR920" s="1080"/>
      <c r="GS920" s="1081"/>
      <c r="GT920" s="1080"/>
      <c r="GU920" s="1080"/>
      <c r="GV920" s="1080"/>
      <c r="GW920" s="1080"/>
      <c r="GX920" s="1080"/>
      <c r="GY920" s="1080"/>
      <c r="GZ920" s="1080"/>
      <c r="HA920" s="1081"/>
      <c r="HB920" s="1080"/>
      <c r="HC920" s="1080"/>
      <c r="HD920" s="1080"/>
      <c r="HE920" s="1080"/>
      <c r="HF920" s="1080"/>
      <c r="HG920" s="1080"/>
      <c r="HH920" s="1080"/>
      <c r="HI920" s="1081"/>
      <c r="HJ920" s="1080"/>
      <c r="HK920" s="1080"/>
      <c r="HL920" s="1080"/>
      <c r="HM920" s="1080"/>
      <c r="HN920" s="1080"/>
      <c r="HO920" s="1080"/>
      <c r="HP920" s="1080"/>
      <c r="HQ920" s="1081"/>
      <c r="HR920" s="1080"/>
      <c r="HS920" s="1080"/>
      <c r="HT920" s="1080"/>
      <c r="HU920" s="1080"/>
      <c r="HV920" s="1080"/>
      <c r="HW920" s="1080"/>
      <c r="HX920" s="1080"/>
      <c r="HY920" s="1080"/>
      <c r="HZ920" s="1080"/>
      <c r="IA920" s="1080"/>
      <c r="IB920" s="1080"/>
      <c r="IC920" s="1080"/>
      <c r="ID920" s="1080"/>
      <c r="IE920" s="1080"/>
      <c r="IF920" s="1080"/>
      <c r="IG920" s="1081"/>
      <c r="IH920" s="1080"/>
      <c r="II920" s="1080"/>
      <c r="IJ920" s="1080"/>
      <c r="IK920" s="1080"/>
      <c r="IL920" s="1080"/>
      <c r="IM920" s="1080"/>
      <c r="IN920" s="1080"/>
      <c r="IO920" s="1081"/>
      <c r="IP920" s="1080"/>
      <c r="IQ920" s="1080"/>
      <c r="IR920" s="1080"/>
      <c r="IS920" s="1080"/>
      <c r="IT920" s="1080"/>
      <c r="IU920" s="1080"/>
      <c r="IV920" s="1080"/>
      <c r="IW920" s="1080"/>
      <c r="IX920" s="1049"/>
      <c r="IY920" s="1049"/>
      <c r="IZ920" s="1049"/>
      <c r="JA920" s="1049"/>
      <c r="JB920" s="1049"/>
      <c r="JC920" s="1049"/>
      <c r="JD920" s="1041"/>
      <c r="JE920" s="1037"/>
      <c r="JF920" s="1037"/>
      <c r="JG920" s="1037"/>
      <c r="JH920" s="1037"/>
      <c r="JI920" s="1035"/>
      <c r="JJ920" s="1035"/>
      <c r="JK920" s="1035"/>
      <c r="JL920" s="1035"/>
      <c r="JM920" s="1035"/>
      <c r="JN920" s="1035"/>
      <c r="JO920" s="1035"/>
      <c r="JP920" s="1035"/>
      <c r="JQ920" s="1035"/>
      <c r="JR920" s="1035"/>
      <c r="JS920" s="1035"/>
      <c r="JT920" s="1035"/>
      <c r="JU920" s="1035"/>
      <c r="JV920" s="1035"/>
      <c r="JW920" s="1035"/>
      <c r="JX920" s="1035"/>
      <c r="JY920" s="1035"/>
      <c r="KP920" s="1117"/>
      <c r="LV920" s="967"/>
    </row>
    <row r="921" outlineLevel="1" spans="1:334">
      <c r="A921" s="1180" t="s">
        <v>108</v>
      </c>
      <c r="AX921" s="1059"/>
      <c r="BE921" s="1060"/>
      <c r="BN921" s="1059"/>
      <c r="BU921" s="1060"/>
      <c r="BV921" s="1059"/>
      <c r="CC921" s="1060"/>
      <c r="CD921" s="1059"/>
      <c r="CJ921" s="1061"/>
      <c r="CK921" s="1060"/>
      <c r="CL921" s="1059"/>
      <c r="CS921" s="1060"/>
      <c r="CT921" s="1059"/>
      <c r="CW921" s="1062"/>
      <c r="CX921" s="1062"/>
      <c r="DB921" s="1181"/>
      <c r="DC921" s="1181"/>
      <c r="DD921" s="1181"/>
      <c r="DE921" s="1194"/>
      <c r="DF921" s="1194"/>
      <c r="DG921" s="1181"/>
      <c r="DH921" s="1181"/>
      <c r="DI921" s="1182"/>
      <c r="DJ921" s="1181"/>
      <c r="DK921" s="1181"/>
      <c r="DL921" s="1181"/>
      <c r="DM921" s="1181"/>
      <c r="DN921" s="1181"/>
      <c r="DO921" s="1181"/>
      <c r="DP921" s="1181"/>
      <c r="DQ921" s="1182"/>
      <c r="DR921" s="1071">
        <f t="shared" ref="DR921:EG921" si="4689">+DR922-DR918-DR915-DR912-DR909-DR906-DR903</f>
        <v>-0.100000000000001</v>
      </c>
      <c r="DS921" s="1208">
        <f t="shared" si="4689"/>
        <v>1.1</v>
      </c>
      <c r="DT921" s="1208">
        <f t="shared" si="4689"/>
        <v>1</v>
      </c>
      <c r="DU921" s="1208">
        <f t="shared" si="4689"/>
        <v>-1</v>
      </c>
      <c r="DV921" s="1208">
        <f t="shared" si="4689"/>
        <v>0</v>
      </c>
      <c r="DW921" s="1208">
        <f t="shared" si="4689"/>
        <v>0</v>
      </c>
      <c r="DX921" s="1208">
        <f t="shared" si="4689"/>
        <v>-1</v>
      </c>
      <c r="DY921" s="1212">
        <f t="shared" si="4689"/>
        <v>0</v>
      </c>
      <c r="DZ921" s="1071">
        <f t="shared" si="4689"/>
        <v>-0.110000000000028</v>
      </c>
      <c r="EA921" s="1208">
        <f t="shared" si="4689"/>
        <v>-0.889999999999979</v>
      </c>
      <c r="EB921" s="1208">
        <f t="shared" si="4689"/>
        <v>-1</v>
      </c>
      <c r="EC921" s="1208">
        <f t="shared" si="4689"/>
        <v>0</v>
      </c>
      <c r="ED921" s="1208">
        <f t="shared" si="4689"/>
        <v>-1</v>
      </c>
      <c r="EE921" s="1208">
        <f t="shared" si="4689"/>
        <v>3</v>
      </c>
      <c r="EF921" s="1208">
        <f t="shared" si="4689"/>
        <v>3</v>
      </c>
      <c r="EG921" s="1212">
        <f t="shared" si="4689"/>
        <v>2</v>
      </c>
      <c r="EH921" s="1071"/>
      <c r="EI921" s="1080"/>
      <c r="EJ921" s="1080"/>
      <c r="EK921" s="1208">
        <f>+EK922-EK918-EK915-EK912-EK909-EK906-EK903</f>
        <v>0</v>
      </c>
      <c r="EL921" s="1208">
        <f>+EL922-EL918-EL915-EL912-EL909-EL906-EL903</f>
        <v>0</v>
      </c>
      <c r="EM921" s="1071">
        <f>EN921-EI921</f>
        <v>0</v>
      </c>
      <c r="EN921" s="1071">
        <f>EO921-EJ921</f>
        <v>0</v>
      </c>
      <c r="EO921" s="1081">
        <v>0</v>
      </c>
      <c r="EP921" s="1080"/>
      <c r="EQ921" s="1080"/>
      <c r="ER921" s="1080"/>
      <c r="ES921" s="1080"/>
      <c r="ET921" s="1080"/>
      <c r="EU921" s="1080"/>
      <c r="EV921" s="1080"/>
      <c r="EW921" s="1081"/>
      <c r="EX921" s="1080"/>
      <c r="EY921" s="1080"/>
      <c r="EZ921" s="1080"/>
      <c r="FA921" s="1080"/>
      <c r="FB921" s="1080"/>
      <c r="FC921" s="1080"/>
      <c r="FD921" s="1080"/>
      <c r="FE921" s="1081"/>
      <c r="FF921" s="1080"/>
      <c r="FG921" s="1080"/>
      <c r="FH921" s="1080"/>
      <c r="FI921" s="1080"/>
      <c r="FJ921" s="1080"/>
      <c r="FK921" s="1080"/>
      <c r="FL921" s="1080"/>
      <c r="FM921" s="1081"/>
      <c r="FN921" s="1080"/>
      <c r="FO921" s="1080"/>
      <c r="FP921" s="1080"/>
      <c r="FQ921" s="1080"/>
      <c r="FR921" s="1080"/>
      <c r="FS921" s="1080"/>
      <c r="FT921" s="1080"/>
      <c r="FU921" s="1080"/>
      <c r="FV921" s="1150"/>
      <c r="FW921" s="1080"/>
      <c r="FX921" s="1080"/>
      <c r="FY921" s="1080"/>
      <c r="FZ921" s="1080"/>
      <c r="GA921" s="1080"/>
      <c r="GB921" s="1080"/>
      <c r="GC921" s="1081"/>
      <c r="GD921" s="1080"/>
      <c r="GE921" s="1080"/>
      <c r="GF921" s="1080"/>
      <c r="GG921" s="1080"/>
      <c r="GH921" s="1080"/>
      <c r="GI921" s="1080"/>
      <c r="GJ921" s="1080"/>
      <c r="GK921" s="1081"/>
      <c r="GL921" s="1080"/>
      <c r="GM921" s="1080"/>
      <c r="GN921" s="1080"/>
      <c r="GO921" s="1080"/>
      <c r="GP921" s="1080"/>
      <c r="GQ921" s="1080"/>
      <c r="GR921" s="1080"/>
      <c r="GS921" s="1081"/>
      <c r="GT921" s="1080"/>
      <c r="GU921" s="1080"/>
      <c r="GV921" s="1080"/>
      <c r="GW921" s="1080"/>
      <c r="GX921" s="1080"/>
      <c r="GY921" s="1080"/>
      <c r="GZ921" s="1080"/>
      <c r="HA921" s="1081"/>
      <c r="HB921" s="1080"/>
      <c r="HC921" s="1080"/>
      <c r="HD921" s="1080"/>
      <c r="HE921" s="1080"/>
      <c r="HF921" s="1080"/>
      <c r="HG921" s="1080"/>
      <c r="HH921" s="1080"/>
      <c r="HI921" s="1081"/>
      <c r="HJ921" s="1080"/>
      <c r="HK921" s="1080"/>
      <c r="HL921" s="1080"/>
      <c r="HM921" s="1080"/>
      <c r="HN921" s="1080"/>
      <c r="HO921" s="1080"/>
      <c r="HP921" s="1080"/>
      <c r="HQ921" s="1081"/>
      <c r="HR921" s="1080"/>
      <c r="HS921" s="1080"/>
      <c r="HT921" s="1080"/>
      <c r="HU921" s="1080"/>
      <c r="HV921" s="1080"/>
      <c r="HW921" s="1080"/>
      <c r="HX921" s="1080"/>
      <c r="HY921" s="1080"/>
      <c r="HZ921" s="1080"/>
      <c r="IA921" s="1080"/>
      <c r="IB921" s="1080"/>
      <c r="IC921" s="1080"/>
      <c r="ID921" s="1080"/>
      <c r="IE921" s="1080"/>
      <c r="IF921" s="1080"/>
      <c r="IG921" s="1081"/>
      <c r="IH921" s="1080"/>
      <c r="II921" s="1080"/>
      <c r="IJ921" s="1080"/>
      <c r="IK921" s="1080"/>
      <c r="IL921" s="1080"/>
      <c r="IM921" s="1080"/>
      <c r="IN921" s="1080"/>
      <c r="IO921" s="1081"/>
      <c r="IP921" s="1080"/>
      <c r="IQ921" s="1080"/>
      <c r="IR921" s="1080"/>
      <c r="IS921" s="1080"/>
      <c r="IT921" s="1080"/>
      <c r="IU921" s="1080"/>
      <c r="IV921" s="1080"/>
      <c r="IW921" s="1080"/>
      <c r="IX921" s="1049"/>
      <c r="IY921" s="1049"/>
      <c r="IZ921" s="1049"/>
      <c r="JA921" s="1049"/>
      <c r="JB921" s="1049"/>
      <c r="JC921" s="1049"/>
      <c r="JD921" s="1041"/>
      <c r="JE921" s="1037"/>
      <c r="JF921" s="1037"/>
      <c r="JG921" s="1037"/>
      <c r="JH921" s="1037"/>
      <c r="JI921" s="1035"/>
      <c r="JJ921" s="1035"/>
      <c r="JK921" s="1035"/>
      <c r="JL921" s="1035"/>
      <c r="JM921" s="1035"/>
      <c r="JN921" s="1035"/>
      <c r="JO921" s="1035"/>
      <c r="JP921" s="1035"/>
      <c r="JQ921" s="1035"/>
      <c r="JR921" s="1035"/>
      <c r="JS921" s="1035"/>
      <c r="JT921" s="1035"/>
      <c r="JU921" s="1035"/>
      <c r="JV921" s="1035"/>
      <c r="JW921" s="1035"/>
      <c r="JX921" s="1035"/>
      <c r="JY921" s="1035"/>
      <c r="KP921" s="1117"/>
      <c r="LV921" s="967"/>
    </row>
    <row r="922" outlineLevel="1" spans="1:334">
      <c r="A922" s="1609" t="s">
        <v>71</v>
      </c>
      <c r="AX922" s="1059"/>
      <c r="BE922" s="1060"/>
      <c r="BN922" s="1059"/>
      <c r="BU922" s="1060"/>
      <c r="BV922" s="1059"/>
      <c r="CC922" s="1060"/>
      <c r="CD922" s="1059"/>
      <c r="CJ922" s="1061"/>
      <c r="CK922" s="1060"/>
      <c r="CL922" s="1059"/>
      <c r="CS922" s="1060"/>
      <c r="CT922" s="1607"/>
      <c r="CU922" s="1607"/>
      <c r="CV922" s="1607"/>
      <c r="CW922" s="1607"/>
      <c r="CX922" s="1607"/>
      <c r="CY922" s="1607"/>
      <c r="CZ922" s="1607"/>
      <c r="DA922" s="1607"/>
      <c r="DB922" s="1106"/>
      <c r="DC922" s="1106"/>
      <c r="DD922" s="1106"/>
      <c r="DE922" s="1106"/>
      <c r="DF922" s="1106"/>
      <c r="DG922" s="1106"/>
      <c r="DH922" s="1106"/>
      <c r="DI922" s="1107"/>
      <c r="DJ922" s="1106"/>
      <c r="DK922" s="1106"/>
      <c r="DL922" s="1106"/>
      <c r="DM922" s="1106"/>
      <c r="DN922" s="1106"/>
      <c r="DO922" s="1106"/>
      <c r="DP922" s="1106"/>
      <c r="DQ922" s="1107"/>
      <c r="DR922" s="1106">
        <v>316</v>
      </c>
      <c r="DS922" s="1106">
        <f>+DT922-DR922</f>
        <v>387</v>
      </c>
      <c r="DT922" s="1106">
        <v>703</v>
      </c>
      <c r="DU922" s="1106">
        <f>+DV922-DT922</f>
        <v>383</v>
      </c>
      <c r="DV922" s="1106">
        <v>1086</v>
      </c>
      <c r="DW922" s="1106">
        <f>DX922-DU922</f>
        <v>334</v>
      </c>
      <c r="DX922" s="1106">
        <f>DY922-DT922</f>
        <v>717</v>
      </c>
      <c r="DY922" s="1107">
        <v>1420</v>
      </c>
      <c r="DZ922" s="1106">
        <v>376</v>
      </c>
      <c r="EA922" s="1106">
        <f>+EB922-DZ922</f>
        <v>411</v>
      </c>
      <c r="EB922" s="1106">
        <v>787</v>
      </c>
      <c r="EC922" s="1106">
        <f>+ED922-EB922</f>
        <v>410</v>
      </c>
      <c r="ED922" s="1106">
        <v>1197</v>
      </c>
      <c r="EE922" s="1106">
        <f>EF922-EC922</f>
        <v>383</v>
      </c>
      <c r="EF922" s="1106">
        <f>EG922-EB922</f>
        <v>793</v>
      </c>
      <c r="EG922" s="1107">
        <v>1580</v>
      </c>
      <c r="EH922" s="1106">
        <v>517</v>
      </c>
      <c r="EI922" s="1106">
        <f>+EJ922-EH922</f>
        <v>550</v>
      </c>
      <c r="EJ922" s="1106">
        <v>1067</v>
      </c>
      <c r="EK922" s="1106">
        <f>+EL922-EJ922</f>
        <v>486</v>
      </c>
      <c r="EL922" s="1106">
        <v>1553</v>
      </c>
      <c r="EM922" s="1106">
        <f>EN922-EK922</f>
        <v>423</v>
      </c>
      <c r="EN922" s="1106">
        <f>EO922-EJ922</f>
        <v>909</v>
      </c>
      <c r="EO922" s="1107">
        <f>EO903+EO906+EO909+EO912+EO915+EO918+EO921</f>
        <v>1976</v>
      </c>
      <c r="EP922" s="1106"/>
      <c r="EQ922" s="1106"/>
      <c r="ER922" s="1106"/>
      <c r="ES922" s="1106"/>
      <c r="ET922" s="1106"/>
      <c r="EU922" s="1106"/>
      <c r="EV922" s="1106"/>
      <c r="EW922" s="1107"/>
      <c r="EX922" s="1106"/>
      <c r="EY922" s="1106"/>
      <c r="EZ922" s="1106"/>
      <c r="FA922" s="1106"/>
      <c r="FB922" s="1106"/>
      <c r="FC922" s="1106"/>
      <c r="FD922" s="1106"/>
      <c r="FE922" s="1107"/>
      <c r="FF922" s="1106"/>
      <c r="FG922" s="1106"/>
      <c r="FH922" s="1106"/>
      <c r="FI922" s="1106"/>
      <c r="FJ922" s="1106"/>
      <c r="FK922" s="1106"/>
      <c r="FL922" s="1106"/>
      <c r="FM922" s="1107"/>
      <c r="FN922" s="1106"/>
      <c r="FO922" s="1106"/>
      <c r="FP922" s="1106"/>
      <c r="FQ922" s="1106"/>
      <c r="FR922" s="1106"/>
      <c r="FS922" s="1106"/>
      <c r="FT922" s="1106"/>
      <c r="FU922" s="1106"/>
      <c r="FV922" s="1108"/>
      <c r="FW922" s="1106"/>
      <c r="FX922" s="1106"/>
      <c r="FY922" s="1106"/>
      <c r="FZ922" s="1106"/>
      <c r="GA922" s="1106"/>
      <c r="GB922" s="1106"/>
      <c r="GC922" s="1107"/>
      <c r="GD922" s="1106"/>
      <c r="GE922" s="1106"/>
      <c r="GF922" s="1106"/>
      <c r="GG922" s="1106"/>
      <c r="GH922" s="1106"/>
      <c r="GI922" s="1106"/>
      <c r="GJ922" s="1106"/>
      <c r="GK922" s="1107"/>
      <c r="GL922" s="1106"/>
      <c r="GM922" s="1106"/>
      <c r="GN922" s="1106"/>
      <c r="GO922" s="1106"/>
      <c r="GP922" s="1106"/>
      <c r="GQ922" s="1106"/>
      <c r="GR922" s="1106"/>
      <c r="GS922" s="1107"/>
      <c r="GT922" s="1106"/>
      <c r="GU922" s="1106"/>
      <c r="GV922" s="1106"/>
      <c r="GW922" s="1106"/>
      <c r="GX922" s="1106"/>
      <c r="GY922" s="1106"/>
      <c r="GZ922" s="1106"/>
      <c r="HA922" s="1107"/>
      <c r="HB922" s="1106"/>
      <c r="HC922" s="1106"/>
      <c r="HD922" s="1106"/>
      <c r="HE922" s="1106"/>
      <c r="HF922" s="1106"/>
      <c r="HG922" s="1106"/>
      <c r="HH922" s="1106"/>
      <c r="HI922" s="1107"/>
      <c r="HJ922" s="1106"/>
      <c r="HK922" s="1106"/>
      <c r="HL922" s="1106"/>
      <c r="HM922" s="1106"/>
      <c r="HN922" s="1106"/>
      <c r="HO922" s="1106"/>
      <c r="HP922" s="1106"/>
      <c r="HQ922" s="1107"/>
      <c r="HR922" s="1106"/>
      <c r="HS922" s="1106"/>
      <c r="HT922" s="1106"/>
      <c r="HU922" s="1106"/>
      <c r="HV922" s="1106"/>
      <c r="HW922" s="1106"/>
      <c r="HX922" s="1106"/>
      <c r="HY922" s="1106"/>
      <c r="HZ922" s="1106"/>
      <c r="IA922" s="1106"/>
      <c r="IB922" s="1106"/>
      <c r="IC922" s="1106"/>
      <c r="ID922" s="1106"/>
      <c r="IE922" s="1106"/>
      <c r="IF922" s="1106"/>
      <c r="IG922" s="1107"/>
      <c r="IH922" s="1106"/>
      <c r="II922" s="1106"/>
      <c r="IJ922" s="1106"/>
      <c r="IK922" s="1106"/>
      <c r="IL922" s="1106"/>
      <c r="IM922" s="1106"/>
      <c r="IN922" s="1106"/>
      <c r="IO922" s="1107"/>
      <c r="IP922" s="1106"/>
      <c r="IQ922" s="1106"/>
      <c r="IR922" s="1106"/>
      <c r="IS922" s="1106"/>
      <c r="IT922" s="1106"/>
      <c r="IU922" s="1106"/>
      <c r="IV922" s="1106"/>
      <c r="IW922" s="1106"/>
      <c r="IX922" s="1049"/>
      <c r="IY922" s="1049"/>
      <c r="IZ922" s="1049"/>
      <c r="JA922" s="1049"/>
      <c r="JB922" s="1049"/>
      <c r="JC922" s="1049"/>
      <c r="JD922" s="1041"/>
      <c r="JE922" s="1037"/>
      <c r="JF922" s="1037"/>
      <c r="JG922" s="1037"/>
      <c r="JH922" s="1037"/>
      <c r="JI922" s="1035"/>
      <c r="JJ922" s="1035"/>
      <c r="JK922" s="1035"/>
      <c r="JL922" s="1035"/>
      <c r="JM922" s="1035"/>
      <c r="JN922" s="1035"/>
      <c r="JO922" s="1035"/>
      <c r="JP922" s="1035"/>
      <c r="JQ922" s="1035"/>
      <c r="JR922" s="1035"/>
      <c r="JS922" s="1035"/>
      <c r="JT922" s="1035"/>
      <c r="JU922" s="1035"/>
      <c r="JV922" s="1035"/>
      <c r="JW922" s="1035"/>
      <c r="JX922" s="1035"/>
      <c r="JY922" s="1035"/>
      <c r="KP922" s="1117"/>
      <c r="LV922" s="967"/>
    </row>
    <row r="923" s="1024" customFormat="1" spans="1:334">
      <c r="A923" s="1204"/>
      <c r="B923" s="1121"/>
      <c r="C923" s="1121"/>
      <c r="D923" s="1121"/>
      <c r="E923" s="1121"/>
      <c r="F923" s="1121"/>
      <c r="G923" s="1121"/>
      <c r="H923" s="1121"/>
      <c r="I923" s="1121"/>
      <c r="J923" s="1121"/>
      <c r="K923" s="1121"/>
      <c r="L923" s="1121"/>
      <c r="M923" s="1121"/>
      <c r="N923" s="1121"/>
      <c r="O923" s="1121"/>
      <c r="P923" s="1121"/>
      <c r="Q923" s="1121"/>
      <c r="R923" s="1121"/>
      <c r="S923" s="1121"/>
      <c r="T923" s="1121"/>
      <c r="U923" s="1121"/>
      <c r="V923" s="1121"/>
      <c r="W923" s="1121"/>
      <c r="X923" s="1121"/>
      <c r="Y923" s="1121"/>
      <c r="Z923" s="1121"/>
      <c r="AA923" s="1121"/>
      <c r="AB923" s="1121"/>
      <c r="AC923" s="1121"/>
      <c r="AD923" s="1121"/>
      <c r="AE923" s="1121"/>
      <c r="AF923" s="1121"/>
      <c r="AG923" s="1121"/>
      <c r="AH923" s="1121"/>
      <c r="AI923" s="1121"/>
      <c r="AJ923" s="1121"/>
      <c r="AK923" s="1121"/>
      <c r="AL923" s="1121"/>
      <c r="AM923" s="1121"/>
      <c r="AN923" s="1121"/>
      <c r="AO923" s="1121"/>
      <c r="AP923" s="1121"/>
      <c r="AQ923" s="1121"/>
      <c r="AR923" s="1121"/>
      <c r="AS923" s="1121"/>
      <c r="AT923" s="1121"/>
      <c r="AU923" s="1121"/>
      <c r="AV923" s="1121"/>
      <c r="AW923" s="1121"/>
      <c r="AX923" s="1122"/>
      <c r="AY923" s="1121"/>
      <c r="AZ923" s="1121"/>
      <c r="BA923" s="1121"/>
      <c r="BB923" s="1121"/>
      <c r="BC923" s="1121"/>
      <c r="BD923" s="1121"/>
      <c r="BE923" s="1123"/>
      <c r="BF923" s="1121"/>
      <c r="BG923" s="1121"/>
      <c r="BH923" s="1121"/>
      <c r="BI923" s="1121"/>
      <c r="BJ923" s="1121"/>
      <c r="BK923" s="1121"/>
      <c r="BL923" s="1121"/>
      <c r="BM923" s="1121"/>
      <c r="BN923" s="1122"/>
      <c r="BO923" s="1121"/>
      <c r="BP923" s="1121"/>
      <c r="BQ923" s="1121"/>
      <c r="BR923" s="1121"/>
      <c r="BS923" s="1121"/>
      <c r="BT923" s="1121"/>
      <c r="BU923" s="1123"/>
      <c r="BV923" s="1122"/>
      <c r="BW923" s="1121"/>
      <c r="BX923" s="1121"/>
      <c r="BY923" s="1121"/>
      <c r="BZ923" s="1121"/>
      <c r="CA923" s="1121"/>
      <c r="CB923" s="1121"/>
      <c r="CC923" s="1123"/>
      <c r="CD923" s="1122"/>
      <c r="CE923" s="1121"/>
      <c r="CF923" s="1121"/>
      <c r="CG923" s="1121"/>
      <c r="CH923" s="1121"/>
      <c r="CI923" s="1121"/>
      <c r="CJ923" s="917"/>
      <c r="CK923" s="1123"/>
      <c r="CL923" s="1122"/>
      <c r="CM923" s="1121"/>
      <c r="CN923" s="1121"/>
      <c r="CO923" s="1121"/>
      <c r="CP923" s="1121"/>
      <c r="CQ923" s="1121"/>
      <c r="CR923" s="1121"/>
      <c r="CS923" s="1123"/>
      <c r="CT923" s="1122"/>
      <c r="CU923" s="1121"/>
      <c r="CV923" s="1121"/>
      <c r="CW923" s="1205"/>
      <c r="CX923" s="1205"/>
      <c r="CY923" s="1121"/>
      <c r="CZ923" s="1121"/>
      <c r="DA923" s="1121"/>
      <c r="DB923" s="1114"/>
      <c r="DC923" s="1114"/>
      <c r="DD923" s="1114"/>
      <c r="DE923" s="1206"/>
      <c r="DF923" s="1206"/>
      <c r="DG923" s="1114"/>
      <c r="DH923" s="1114"/>
      <c r="DI923" s="1207"/>
      <c r="DJ923" s="1114"/>
      <c r="DK923" s="1114"/>
      <c r="DL923" s="1114"/>
      <c r="DM923" s="1114"/>
      <c r="DN923" s="1114"/>
      <c r="DO923" s="1114"/>
      <c r="DP923" s="1114"/>
      <c r="DQ923" s="1207"/>
      <c r="DR923" s="1114"/>
      <c r="DS923" s="1114"/>
      <c r="DT923" s="1114"/>
      <c r="DU923" s="1114"/>
      <c r="DV923" s="1114"/>
      <c r="DW923" s="1114"/>
      <c r="DX923" s="1114"/>
      <c r="DY923" s="1207"/>
      <c r="DZ923" s="1114"/>
      <c r="EA923" s="1114"/>
      <c r="EB923" s="1114"/>
      <c r="EC923" s="1114"/>
      <c r="ED923" s="1114"/>
      <c r="EE923" s="1114"/>
      <c r="EF923" s="1114"/>
      <c r="EG923" s="1207"/>
      <c r="EH923" s="1114"/>
      <c r="EI923" s="1114"/>
      <c r="EJ923" s="1114"/>
      <c r="EK923" s="1114"/>
      <c r="EL923" s="1114"/>
      <c r="EM923" s="1114"/>
      <c r="EN923" s="1114"/>
      <c r="EO923" s="1207"/>
      <c r="EP923" s="1114"/>
      <c r="EQ923" s="1114"/>
      <c r="ER923" s="1114"/>
      <c r="ES923" s="1114"/>
      <c r="ET923" s="1114"/>
      <c r="EU923" s="1114"/>
      <c r="EV923" s="1114"/>
      <c r="EW923" s="1207"/>
      <c r="EX923" s="1114"/>
      <c r="EY923" s="1114"/>
      <c r="EZ923" s="1114"/>
      <c r="FA923" s="1114"/>
      <c r="FB923" s="1114"/>
      <c r="FC923" s="1114"/>
      <c r="FD923" s="1114"/>
      <c r="FE923" s="1207"/>
      <c r="FF923" s="1114"/>
      <c r="FG923" s="1114"/>
      <c r="FH923" s="1114"/>
      <c r="FI923" s="1114"/>
      <c r="FJ923" s="1114"/>
      <c r="FK923" s="1114"/>
      <c r="FL923" s="1114"/>
      <c r="FM923" s="1207"/>
      <c r="FN923" s="1114"/>
      <c r="FO923" s="1114"/>
      <c r="FP923" s="1114"/>
      <c r="FQ923" s="1114"/>
      <c r="FR923" s="1114"/>
      <c r="FS923" s="1114"/>
      <c r="FT923" s="1114"/>
      <c r="FU923" s="1114"/>
      <c r="FV923" s="1613"/>
      <c r="FW923" s="1114"/>
      <c r="FX923" s="1114"/>
      <c r="FY923" s="1114"/>
      <c r="FZ923" s="1114"/>
      <c r="GA923" s="1114"/>
      <c r="GB923" s="1114"/>
      <c r="GC923" s="1207"/>
      <c r="GD923" s="1114"/>
      <c r="GE923" s="1114"/>
      <c r="GF923" s="1114"/>
      <c r="GG923" s="1114"/>
      <c r="GH923" s="1114"/>
      <c r="GI923" s="1114"/>
      <c r="GJ923" s="1114"/>
      <c r="GK923" s="1207"/>
      <c r="GL923" s="1114"/>
      <c r="GM923" s="1114"/>
      <c r="GN923" s="1114"/>
      <c r="GO923" s="1114"/>
      <c r="GP923" s="1114"/>
      <c r="GQ923" s="1114"/>
      <c r="GR923" s="1114"/>
      <c r="GS923" s="1207"/>
      <c r="GT923" s="1114"/>
      <c r="GU923" s="1114"/>
      <c r="GV923" s="1114"/>
      <c r="GW923" s="1114"/>
      <c r="GX923" s="1114"/>
      <c r="GY923" s="1114"/>
      <c r="GZ923" s="1114"/>
      <c r="HA923" s="1207"/>
      <c r="HB923" s="1114"/>
      <c r="HC923" s="1114"/>
      <c r="HD923" s="1114"/>
      <c r="HE923" s="1114"/>
      <c r="HF923" s="1114"/>
      <c r="HG923" s="1114"/>
      <c r="HH923" s="1114"/>
      <c r="HI923" s="1207"/>
      <c r="HJ923" s="1114"/>
      <c r="HK923" s="1114"/>
      <c r="HL923" s="1114"/>
      <c r="HM923" s="1114"/>
      <c r="HN923" s="1114"/>
      <c r="HO923" s="1114"/>
      <c r="HP923" s="1114"/>
      <c r="HQ923" s="1207"/>
      <c r="HR923" s="1114"/>
      <c r="HS923" s="1114"/>
      <c r="HT923" s="1114"/>
      <c r="HU923" s="1114"/>
      <c r="HV923" s="1114"/>
      <c r="HW923" s="1114"/>
      <c r="HX923" s="1114"/>
      <c r="HY923" s="1114"/>
      <c r="HZ923" s="1114"/>
      <c r="IA923" s="1114"/>
      <c r="IB923" s="1114"/>
      <c r="IC923" s="1114"/>
      <c r="ID923" s="1114"/>
      <c r="IE923" s="1114"/>
      <c r="IF923" s="1114"/>
      <c r="IG923" s="1207"/>
      <c r="IH923" s="1114"/>
      <c r="II923" s="1114"/>
      <c r="IJ923" s="1114"/>
      <c r="IK923" s="1114"/>
      <c r="IL923" s="1114"/>
      <c r="IM923" s="1114"/>
      <c r="IN923" s="1114"/>
      <c r="IO923" s="1207"/>
      <c r="IP923" s="1114"/>
      <c r="IQ923" s="1114"/>
      <c r="IR923" s="1114"/>
      <c r="IS923" s="1114"/>
      <c r="IT923" s="1114"/>
      <c r="IU923" s="1114"/>
      <c r="IV923" s="1114"/>
      <c r="IW923" s="1114"/>
      <c r="IX923" s="1178"/>
      <c r="IY923" s="1178"/>
      <c r="IZ923" s="1178"/>
      <c r="JA923" s="1178"/>
      <c r="JB923" s="1178"/>
      <c r="JC923" s="1178"/>
      <c r="JD923" s="1125"/>
      <c r="JE923" s="1126"/>
      <c r="JF923" s="1126"/>
      <c r="JG923" s="1126"/>
      <c r="JH923" s="1126"/>
      <c r="KP923" s="1203"/>
      <c r="LV923" s="1127"/>
    </row>
    <row r="924" spans="1:334">
      <c r="A924" s="1051" t="s">
        <v>679</v>
      </c>
      <c r="AX924" s="1059"/>
      <c r="BE924" s="1060"/>
      <c r="BN924" s="1059"/>
      <c r="BU924" s="1060"/>
      <c r="BV924" s="1059"/>
      <c r="CC924" s="1060"/>
      <c r="CD924" s="1059"/>
      <c r="CJ924" s="1061"/>
      <c r="CK924" s="1060"/>
      <c r="CL924" s="1059"/>
      <c r="CS924" s="1060"/>
      <c r="CT924" s="1604"/>
      <c r="CU924" s="1604"/>
      <c r="CV924" s="1604"/>
      <c r="CW924" s="1604"/>
      <c r="CX924" s="1604"/>
      <c r="CY924" s="1604"/>
      <c r="CZ924" s="1604"/>
      <c r="DA924" s="1604"/>
      <c r="DB924" s="1070" t="str">
        <f t="shared" ref="DB924:EG924" si="4690">DB$2</f>
        <v>Q1 08</v>
      </c>
      <c r="DC924" s="1070" t="str">
        <f t="shared" si="4690"/>
        <v>Q2 08</v>
      </c>
      <c r="DD924" s="1070" t="str">
        <f t="shared" si="4690"/>
        <v>H1 08</v>
      </c>
      <c r="DE924" s="1070" t="str">
        <f t="shared" si="4690"/>
        <v>Q3 08</v>
      </c>
      <c r="DF924" s="1070" t="str">
        <f t="shared" si="4690"/>
        <v>9M 08</v>
      </c>
      <c r="DG924" s="1070" t="str">
        <f t="shared" si="4690"/>
        <v>Q4 08</v>
      </c>
      <c r="DH924" s="1070" t="str">
        <f t="shared" si="4690"/>
        <v>H2 08</v>
      </c>
      <c r="DI924" s="1605" t="str">
        <f t="shared" si="4690"/>
        <v>FY 08</v>
      </c>
      <c r="DJ924" s="1070" t="str">
        <f t="shared" si="4690"/>
        <v>Q1 09</v>
      </c>
      <c r="DK924" s="1070" t="str">
        <f t="shared" si="4690"/>
        <v>Q2 09</v>
      </c>
      <c r="DL924" s="1070" t="str">
        <f t="shared" si="4690"/>
        <v>H1 09</v>
      </c>
      <c r="DM924" s="1070" t="str">
        <f t="shared" si="4690"/>
        <v>Q3 09</v>
      </c>
      <c r="DN924" s="1070" t="str">
        <f t="shared" si="4690"/>
        <v>9M 09</v>
      </c>
      <c r="DO924" s="1070" t="str">
        <f t="shared" si="4690"/>
        <v>Q4 09</v>
      </c>
      <c r="DP924" s="1070" t="str">
        <f t="shared" si="4690"/>
        <v>H2 09</v>
      </c>
      <c r="DQ924" s="1605" t="str">
        <f t="shared" si="4690"/>
        <v>FY 09</v>
      </c>
      <c r="DR924" s="1070" t="str">
        <f t="shared" si="4690"/>
        <v>Q1 10</v>
      </c>
      <c r="DS924" s="1070" t="str">
        <f t="shared" si="4690"/>
        <v>Q2 10</v>
      </c>
      <c r="DT924" s="1070" t="str">
        <f t="shared" si="4690"/>
        <v>H1 10</v>
      </c>
      <c r="DU924" s="1070" t="str">
        <f t="shared" si="4690"/>
        <v>Q3 10</v>
      </c>
      <c r="DV924" s="1070" t="str">
        <f t="shared" si="4690"/>
        <v>9M 10</v>
      </c>
      <c r="DW924" s="1070" t="str">
        <f t="shared" si="4690"/>
        <v>Q4 10</v>
      </c>
      <c r="DX924" s="1070" t="str">
        <f t="shared" si="4690"/>
        <v>H2 10</v>
      </c>
      <c r="DY924" s="1605" t="str">
        <f t="shared" si="4690"/>
        <v>FY 10</v>
      </c>
      <c r="DZ924" s="1070" t="str">
        <f t="shared" si="4690"/>
        <v>Q1 11</v>
      </c>
      <c r="EA924" s="1070" t="str">
        <f t="shared" si="4690"/>
        <v>Q2 11</v>
      </c>
      <c r="EB924" s="1070" t="str">
        <f t="shared" si="4690"/>
        <v>H1 11</v>
      </c>
      <c r="EC924" s="1070" t="str">
        <f t="shared" si="4690"/>
        <v>Q3 11</v>
      </c>
      <c r="ED924" s="1070" t="str">
        <f t="shared" si="4690"/>
        <v>9M 11</v>
      </c>
      <c r="EE924" s="1070" t="str">
        <f t="shared" si="4690"/>
        <v>Q4 11</v>
      </c>
      <c r="EF924" s="1070" t="str">
        <f t="shared" si="4690"/>
        <v>H2 11</v>
      </c>
      <c r="EG924" s="1605" t="str">
        <f t="shared" si="4690"/>
        <v>FY 11</v>
      </c>
      <c r="EH924" s="1070" t="str">
        <f t="shared" ref="EH924:FM924" si="4691">EH$2</f>
        <v>Q1 12</v>
      </c>
      <c r="EI924" s="1070" t="str">
        <f t="shared" si="4691"/>
        <v>Q2 12</v>
      </c>
      <c r="EJ924" s="1070" t="str">
        <f t="shared" si="4691"/>
        <v>H1 12</v>
      </c>
      <c r="EK924" s="1070" t="str">
        <f t="shared" si="4691"/>
        <v>Q3 12</v>
      </c>
      <c r="EL924" s="1070" t="str">
        <f t="shared" si="4691"/>
        <v>9M 12</v>
      </c>
      <c r="EM924" s="1070" t="str">
        <f t="shared" si="4691"/>
        <v>Q4 12</v>
      </c>
      <c r="EN924" s="1070" t="str">
        <f t="shared" si="4691"/>
        <v>H2 12</v>
      </c>
      <c r="EO924" s="1605" t="str">
        <f t="shared" si="4691"/>
        <v>FY 12</v>
      </c>
      <c r="EP924" s="1070" t="str">
        <f t="shared" si="4691"/>
        <v>1Q13</v>
      </c>
      <c r="EQ924" s="1070" t="str">
        <f t="shared" si="4691"/>
        <v>2Q13</v>
      </c>
      <c r="ER924" s="1070" t="str">
        <f t="shared" si="4691"/>
        <v>1H13</v>
      </c>
      <c r="ES924" s="1070" t="str">
        <f t="shared" si="4691"/>
        <v>3Q13</v>
      </c>
      <c r="ET924" s="1070" t="str">
        <f t="shared" si="4691"/>
        <v>9M13</v>
      </c>
      <c r="EU924" s="1070" t="str">
        <f t="shared" si="4691"/>
        <v>4Q13</v>
      </c>
      <c r="EV924" s="1070" t="str">
        <f t="shared" si="4691"/>
        <v>2H13</v>
      </c>
      <c r="EW924" s="1605" t="str">
        <f t="shared" si="4691"/>
        <v>FY13</v>
      </c>
      <c r="EX924" s="1070" t="str">
        <f t="shared" si="4691"/>
        <v>1Q14</v>
      </c>
      <c r="EY924" s="1070" t="str">
        <f t="shared" si="4691"/>
        <v>2Q14</v>
      </c>
      <c r="EZ924" s="1070" t="str">
        <f t="shared" si="4691"/>
        <v>1H14</v>
      </c>
      <c r="FA924" s="1070" t="str">
        <f t="shared" si="4691"/>
        <v>3Q14</v>
      </c>
      <c r="FB924" s="1070" t="str">
        <f t="shared" si="4691"/>
        <v>9M14</v>
      </c>
      <c r="FC924" s="1070" t="str">
        <f t="shared" si="4691"/>
        <v>4Q14</v>
      </c>
      <c r="FD924" s="1070" t="str">
        <f t="shared" si="4691"/>
        <v>2H14</v>
      </c>
      <c r="FE924" s="1605" t="str">
        <f t="shared" si="4691"/>
        <v>FY14</v>
      </c>
      <c r="FF924" s="1070" t="str">
        <f t="shared" si="4691"/>
        <v>1Q15</v>
      </c>
      <c r="FG924" s="1070" t="str">
        <f t="shared" si="4691"/>
        <v>2Q15</v>
      </c>
      <c r="FH924" s="1070" t="str">
        <f t="shared" si="4691"/>
        <v>1H15</v>
      </c>
      <c r="FI924" s="1070" t="str">
        <f t="shared" si="4691"/>
        <v>3Q15</v>
      </c>
      <c r="FJ924" s="1070" t="str">
        <f t="shared" si="4691"/>
        <v>9M15</v>
      </c>
      <c r="FK924" s="1070" t="str">
        <f t="shared" si="4691"/>
        <v>4Q15</v>
      </c>
      <c r="FL924" s="1070" t="str">
        <f t="shared" si="4691"/>
        <v>2H15</v>
      </c>
      <c r="FM924" s="1605" t="str">
        <f t="shared" si="4691"/>
        <v>FY15</v>
      </c>
      <c r="FN924" s="1070"/>
      <c r="FO924" s="1070"/>
      <c r="FP924" s="1070"/>
      <c r="FQ924" s="1070"/>
      <c r="FR924" s="1070"/>
      <c r="FS924" s="1070"/>
      <c r="FT924" s="1070"/>
      <c r="FU924" s="1070"/>
      <c r="FV924" s="1606"/>
      <c r="FW924" s="1070"/>
      <c r="FX924" s="1070"/>
      <c r="FY924" s="1070"/>
      <c r="FZ924" s="1070"/>
      <c r="GA924" s="1070"/>
      <c r="GB924" s="1070"/>
      <c r="GC924" s="1605"/>
      <c r="GD924" s="1070"/>
      <c r="GE924" s="1070"/>
      <c r="GF924" s="1070"/>
      <c r="GG924" s="1070"/>
      <c r="GH924" s="1070"/>
      <c r="GI924" s="1070"/>
      <c r="GJ924" s="1070"/>
      <c r="GK924" s="1605"/>
      <c r="GL924" s="1070"/>
      <c r="GM924" s="1070"/>
      <c r="GN924" s="1070"/>
      <c r="GO924" s="1070"/>
      <c r="GP924" s="1070"/>
      <c r="GQ924" s="1070"/>
      <c r="GR924" s="1070"/>
      <c r="GS924" s="1605"/>
      <c r="GT924" s="1070"/>
      <c r="GU924" s="1070"/>
      <c r="GV924" s="1070"/>
      <c r="GW924" s="1070"/>
      <c r="GX924" s="1070"/>
      <c r="GY924" s="1070"/>
      <c r="GZ924" s="1070"/>
      <c r="HA924" s="1605"/>
      <c r="HB924" s="1070"/>
      <c r="HC924" s="1070"/>
      <c r="HD924" s="1070"/>
      <c r="HE924" s="1070"/>
      <c r="HF924" s="1070"/>
      <c r="HG924" s="1070"/>
      <c r="HH924" s="1070"/>
      <c r="HI924" s="1605"/>
      <c r="HJ924" s="1070"/>
      <c r="HK924" s="1070"/>
      <c r="HL924" s="1070"/>
      <c r="HM924" s="1070"/>
      <c r="HN924" s="1070"/>
      <c r="HO924" s="1070"/>
      <c r="HP924" s="1070"/>
      <c r="HQ924" s="1605"/>
      <c r="HR924" s="1070"/>
      <c r="HS924" s="1070"/>
      <c r="HT924" s="1070"/>
      <c r="HU924" s="1070"/>
      <c r="HV924" s="1070"/>
      <c r="HW924" s="1070"/>
      <c r="HX924" s="1070"/>
      <c r="HY924" s="1070"/>
      <c r="HZ924" s="1070"/>
      <c r="IA924" s="1070"/>
      <c r="IB924" s="1070"/>
      <c r="IC924" s="1070"/>
      <c r="ID924" s="1070"/>
      <c r="IE924" s="1070"/>
      <c r="IF924" s="1070"/>
      <c r="IG924" s="1605"/>
      <c r="IH924" s="1070"/>
      <c r="II924" s="1070"/>
      <c r="IJ924" s="1070"/>
      <c r="IK924" s="1070"/>
      <c r="IL924" s="1070"/>
      <c r="IM924" s="1070"/>
      <c r="IN924" s="1070"/>
      <c r="IO924" s="1605"/>
      <c r="IP924" s="1070"/>
      <c r="IQ924" s="1070"/>
      <c r="IR924" s="1070"/>
      <c r="IS924" s="1070"/>
      <c r="IT924" s="1070"/>
      <c r="IU924" s="1070"/>
      <c r="IV924" s="1070"/>
      <c r="IW924" s="1070"/>
      <c r="IX924" s="1049"/>
      <c r="IY924" s="1049"/>
      <c r="IZ924" s="1049"/>
      <c r="JA924" s="1049"/>
      <c r="JB924" s="1049"/>
      <c r="JC924" s="1049"/>
      <c r="JD924" s="1041"/>
      <c r="JE924" s="1037"/>
      <c r="JF924" s="1037"/>
      <c r="JG924" s="1037"/>
      <c r="JH924" s="1037"/>
      <c r="JI924" s="1035"/>
      <c r="JJ924" s="1035"/>
      <c r="JK924" s="1035"/>
      <c r="JL924" s="1035"/>
      <c r="JM924" s="1035"/>
      <c r="JN924" s="1035"/>
      <c r="JO924" s="1035"/>
      <c r="JP924" s="1035"/>
      <c r="JQ924" s="1035"/>
      <c r="JR924" s="1035"/>
      <c r="JS924" s="1035"/>
      <c r="JT924" s="1035"/>
      <c r="JU924" s="1035"/>
      <c r="JV924" s="1035"/>
      <c r="JW924" s="1035"/>
      <c r="JX924" s="1035"/>
      <c r="JY924" s="1035"/>
      <c r="LV924" s="967"/>
    </row>
    <row r="925" outlineLevel="1" spans="1:334">
      <c r="A925" s="1025" t="s">
        <v>60</v>
      </c>
      <c r="AX925" s="1059"/>
      <c r="BE925" s="1060"/>
      <c r="BN925" s="1059"/>
      <c r="BU925" s="1060"/>
      <c r="BV925" s="1059"/>
      <c r="CC925" s="1060"/>
      <c r="CD925" s="1059"/>
      <c r="CJ925" s="1061"/>
      <c r="CK925" s="1060"/>
      <c r="CL925" s="1059"/>
      <c r="CS925" s="1060"/>
      <c r="CT925" s="1025"/>
      <c r="CU925" s="1025"/>
      <c r="CV925" s="1025"/>
      <c r="CW925" s="1025"/>
      <c r="CX925" s="1025"/>
      <c r="CY925" s="1025"/>
      <c r="CZ925" s="1025"/>
      <c r="DA925" s="1025"/>
      <c r="DB925" s="1071">
        <v>722</v>
      </c>
      <c r="DC925" s="1071">
        <v>590</v>
      </c>
      <c r="DD925" s="1071">
        <f>DB925+DC925</f>
        <v>1312</v>
      </c>
      <c r="DE925" s="1071">
        <v>822</v>
      </c>
      <c r="DF925" s="1071">
        <f>DD925+DE925</f>
        <v>2134</v>
      </c>
      <c r="DG925" s="1071">
        <v>558</v>
      </c>
      <c r="DH925" s="1071">
        <f>DE925+DG925</f>
        <v>1380</v>
      </c>
      <c r="DI925" s="1072" t="e">
        <f>'Profit and Loss'!#REF!</f>
        <v>#REF!</v>
      </c>
      <c r="DJ925" s="1071">
        <v>615</v>
      </c>
      <c r="DK925" s="1071">
        <v>492</v>
      </c>
      <c r="DL925" s="1071">
        <f>DJ925+DK925</f>
        <v>1107</v>
      </c>
      <c r="DM925" s="1071">
        <v>704</v>
      </c>
      <c r="DN925" s="1071">
        <f>DL925+DM925</f>
        <v>1811</v>
      </c>
      <c r="DO925" s="1071">
        <v>535</v>
      </c>
      <c r="DP925" s="1071">
        <f>DO925+DM925</f>
        <v>1239</v>
      </c>
      <c r="DQ925" s="1072" t="e">
        <f>'Profit and Loss'!#REF!</f>
        <v>#REF!</v>
      </c>
      <c r="DR925" s="1073">
        <v>626</v>
      </c>
      <c r="DS925" s="1073">
        <v>607</v>
      </c>
      <c r="DT925" s="1073">
        <f>DR925+DS925</f>
        <v>1233</v>
      </c>
      <c r="DU925" s="1073">
        <f>DU$5*DU927</f>
        <v>813.456</v>
      </c>
      <c r="DV925" s="1073">
        <f>DT925+DU925</f>
        <v>2046.456</v>
      </c>
      <c r="DW925" s="1073">
        <f>+DX925-DU925</f>
        <v>525.544</v>
      </c>
      <c r="DX925" s="1073">
        <f>+DY925-DT925</f>
        <v>1339</v>
      </c>
      <c r="DY925" s="1072">
        <v>2572</v>
      </c>
      <c r="DZ925" s="1073">
        <v>802</v>
      </c>
      <c r="EA925" s="1073">
        <v>586</v>
      </c>
      <c r="EB925" s="1073">
        <f>DZ925+EA925</f>
        <v>1388</v>
      </c>
      <c r="EC925" s="1073">
        <f>ED925-EB925</f>
        <v>813</v>
      </c>
      <c r="ED925" s="1073">
        <v>2201</v>
      </c>
      <c r="EE925" s="1073">
        <f>+EF925-EC925</f>
        <v>489</v>
      </c>
      <c r="EF925" s="1073">
        <f>+EG925-EB925</f>
        <v>1302</v>
      </c>
      <c r="EG925" s="1074">
        <v>2690</v>
      </c>
      <c r="EH925" s="1073">
        <v>851</v>
      </c>
      <c r="EI925" s="1073">
        <f>+EJ925-EH925</f>
        <v>630</v>
      </c>
      <c r="EJ925" s="1073">
        <v>1481</v>
      </c>
      <c r="EK925" s="1073">
        <f>EL925-EJ925</f>
        <v>907</v>
      </c>
      <c r="EL925" s="1073">
        <v>2388</v>
      </c>
      <c r="EM925" s="1073">
        <f>EN925-EK925</f>
        <v>577</v>
      </c>
      <c r="EN925" s="1073">
        <f>EO925-EJ925</f>
        <v>1484</v>
      </c>
      <c r="EO925" s="1074">
        <v>2965</v>
      </c>
      <c r="EP925" s="1073">
        <v>893</v>
      </c>
      <c r="EQ925" s="1073">
        <f>ER925-EP925</f>
        <v>632</v>
      </c>
      <c r="ER925" s="1073">
        <v>1525</v>
      </c>
      <c r="ES925" s="1073">
        <f>ET925-ER925</f>
        <v>925</v>
      </c>
      <c r="ET925" s="1073">
        <v>2450</v>
      </c>
      <c r="EU925" s="1073">
        <f>EV925-ES925</f>
        <v>632</v>
      </c>
      <c r="EV925" s="1073">
        <f>EW925-ER925</f>
        <v>1557</v>
      </c>
      <c r="EW925" s="1074">
        <v>3082</v>
      </c>
      <c r="EX925" s="1076">
        <v>838</v>
      </c>
      <c r="EY925" s="1076">
        <v>670</v>
      </c>
      <c r="EZ925" s="1076">
        <f>EX925+EY925</f>
        <v>1508</v>
      </c>
      <c r="FA925" s="1073">
        <f>FB925-EZ925</f>
        <v>929</v>
      </c>
      <c r="FB925" s="1073">
        <v>2437</v>
      </c>
      <c r="FC925" s="1073"/>
      <c r="FD925" s="1073"/>
      <c r="FE925" s="1074"/>
      <c r="FF925" s="1175"/>
      <c r="FG925" s="1175"/>
      <c r="FH925" s="1175"/>
      <c r="FI925" s="1175"/>
      <c r="FJ925" s="1175"/>
      <c r="FK925" s="1175"/>
      <c r="FL925" s="1175"/>
      <c r="FM925" s="1176"/>
      <c r="FN925" s="1175"/>
      <c r="FO925" s="1175"/>
      <c r="FP925" s="1175"/>
      <c r="FQ925" s="1175"/>
      <c r="FR925" s="1175"/>
      <c r="FS925" s="1175"/>
      <c r="FT925" s="1175"/>
      <c r="FU925" s="1175"/>
      <c r="FV925" s="1614"/>
      <c r="FW925" s="1175"/>
      <c r="FX925" s="1175"/>
      <c r="FY925" s="1175"/>
      <c r="FZ925" s="1175"/>
      <c r="GA925" s="1175"/>
      <c r="GB925" s="1175"/>
      <c r="GC925" s="1176"/>
      <c r="GD925" s="1175"/>
      <c r="GE925" s="1175"/>
      <c r="GF925" s="1175"/>
      <c r="GG925" s="1175"/>
      <c r="GH925" s="1175"/>
      <c r="GI925" s="1175"/>
      <c r="GJ925" s="1175"/>
      <c r="GK925" s="1176"/>
      <c r="GL925" s="1175"/>
      <c r="GM925" s="1175"/>
      <c r="GN925" s="1175"/>
      <c r="GO925" s="1175"/>
      <c r="GP925" s="1175"/>
      <c r="GQ925" s="1175"/>
      <c r="GR925" s="1175"/>
      <c r="GS925" s="1176"/>
      <c r="GT925" s="1175"/>
      <c r="GU925" s="1175"/>
      <c r="GV925" s="1175"/>
      <c r="GW925" s="1175"/>
      <c r="GX925" s="1175"/>
      <c r="GY925" s="1175"/>
      <c r="GZ925" s="1175"/>
      <c r="HA925" s="1176"/>
      <c r="HB925" s="1175"/>
      <c r="HC925" s="1175"/>
      <c r="HD925" s="1175"/>
      <c r="HE925" s="1175"/>
      <c r="HF925" s="1175"/>
      <c r="HG925" s="1175"/>
      <c r="HH925" s="1175"/>
      <c r="HI925" s="1176"/>
      <c r="HJ925" s="1175"/>
      <c r="HK925" s="1175"/>
      <c r="HL925" s="1175"/>
      <c r="HM925" s="1175"/>
      <c r="HN925" s="1175"/>
      <c r="HO925" s="1175"/>
      <c r="HP925" s="1175"/>
      <c r="HQ925" s="1176"/>
      <c r="HR925" s="1175"/>
      <c r="HS925" s="1175"/>
      <c r="HT925" s="1175"/>
      <c r="HU925" s="1175"/>
      <c r="HV925" s="1175"/>
      <c r="HW925" s="1175"/>
      <c r="HX925" s="1175"/>
      <c r="HY925" s="1175"/>
      <c r="HZ925" s="1175"/>
      <c r="IA925" s="1175"/>
      <c r="IB925" s="1175"/>
      <c r="IC925" s="1175"/>
      <c r="ID925" s="1175"/>
      <c r="IE925" s="1175"/>
      <c r="IF925" s="1175"/>
      <c r="IG925" s="1176"/>
      <c r="IH925" s="1175"/>
      <c r="II925" s="1175"/>
      <c r="IJ925" s="1175"/>
      <c r="IK925" s="1175"/>
      <c r="IL925" s="1175"/>
      <c r="IM925" s="1175"/>
      <c r="IN925" s="1175"/>
      <c r="IO925" s="1176"/>
      <c r="IP925" s="1175"/>
      <c r="IQ925" s="1175"/>
      <c r="IR925" s="1175"/>
      <c r="IS925" s="1175"/>
      <c r="IT925" s="1175"/>
      <c r="IU925" s="1175"/>
      <c r="IV925" s="1175"/>
      <c r="IW925" s="1175"/>
      <c r="IX925" s="1049"/>
      <c r="IY925" s="1049">
        <v>63</v>
      </c>
      <c r="IZ925" s="1049">
        <v>103</v>
      </c>
      <c r="JA925" s="1049"/>
      <c r="JB925" s="1049"/>
      <c r="JC925" s="1049"/>
      <c r="JD925" s="1049"/>
      <c r="JE925" s="1037"/>
      <c r="JF925" s="1037"/>
      <c r="JG925" s="1037"/>
      <c r="JH925" s="1037"/>
      <c r="JI925" s="1035"/>
      <c r="JJ925" s="1035"/>
      <c r="JK925" s="1035"/>
      <c r="JL925" s="1035"/>
      <c r="JM925" s="1035"/>
      <c r="JN925" s="1035"/>
      <c r="JO925" s="1035"/>
      <c r="JP925" s="1035"/>
      <c r="JQ925" s="1035"/>
      <c r="JR925" s="1035"/>
      <c r="JS925" s="1035"/>
      <c r="JT925" s="1035"/>
      <c r="JU925" s="1035"/>
      <c r="JV925" s="1035"/>
      <c r="JW925" s="1035"/>
      <c r="JX925" s="1035"/>
      <c r="JY925" s="1035"/>
      <c r="LV925" s="967"/>
    </row>
    <row r="926" outlineLevel="1" spans="1:334">
      <c r="A926" s="1113" t="s">
        <v>61</v>
      </c>
      <c r="AX926" s="1059"/>
      <c r="BE926" s="1060"/>
      <c r="BN926" s="1059"/>
      <c r="BU926" s="1060"/>
      <c r="BV926" s="1059"/>
      <c r="CC926" s="1060"/>
      <c r="CD926" s="1059"/>
      <c r="CJ926" s="1061"/>
      <c r="CK926" s="1060"/>
      <c r="CL926" s="1059"/>
      <c r="CS926" s="1060"/>
      <c r="CT926" s="1025"/>
      <c r="CU926" s="1025"/>
      <c r="CV926" s="1025"/>
      <c r="CW926" s="1025"/>
      <c r="CX926" s="1025"/>
      <c r="CY926" s="1025"/>
      <c r="CZ926" s="1025"/>
      <c r="DA926" s="1025"/>
      <c r="DB926" s="1071"/>
      <c r="DC926" s="1071"/>
      <c r="DD926" s="1071"/>
      <c r="DE926" s="1071"/>
      <c r="DF926" s="1071"/>
      <c r="DG926" s="1071"/>
      <c r="DH926" s="1071"/>
      <c r="DI926" s="1072"/>
      <c r="DJ926" s="1080">
        <f t="shared" ref="DJ926:DV926" si="4692">DJ925/DB925-1</f>
        <v>-0.14819944598338</v>
      </c>
      <c r="DK926" s="1080">
        <f t="shared" si="4692"/>
        <v>-0.166101694915254</v>
      </c>
      <c r="DL926" s="1080">
        <f t="shared" si="4692"/>
        <v>-0.15625</v>
      </c>
      <c r="DM926" s="1080">
        <f t="shared" si="4692"/>
        <v>-0.143552311435523</v>
      </c>
      <c r="DN926" s="1080">
        <f t="shared" si="4692"/>
        <v>-0.151358950328022</v>
      </c>
      <c r="DO926" s="1080">
        <f t="shared" si="4692"/>
        <v>-0.0412186379928315</v>
      </c>
      <c r="DP926" s="1080">
        <f t="shared" si="4692"/>
        <v>-0.102173913043478</v>
      </c>
      <c r="DQ926" s="1081" t="e">
        <f t="shared" si="4692"/>
        <v>#REF!</v>
      </c>
      <c r="DR926" s="1080">
        <f t="shared" si="4692"/>
        <v>0.0178861788617886</v>
      </c>
      <c r="DS926" s="1080">
        <f t="shared" si="4692"/>
        <v>0.233739837398374</v>
      </c>
      <c r="DT926" s="1083">
        <f t="shared" si="4692"/>
        <v>0.113821138211382</v>
      </c>
      <c r="DU926" s="1083">
        <f t="shared" si="4692"/>
        <v>0.155477272727273</v>
      </c>
      <c r="DV926" s="1083">
        <f t="shared" si="4692"/>
        <v>0.130014356709001</v>
      </c>
      <c r="DW926" s="1080">
        <v>-0.0600000000000001</v>
      </c>
      <c r="DX926" s="1114">
        <f>DX925/DP925-1</f>
        <v>0.0807102502017756</v>
      </c>
      <c r="DY926" s="1081" t="e">
        <f>DY925/DQ925-1</f>
        <v>#REF!</v>
      </c>
      <c r="DZ926" s="1080">
        <f>DZ925/DR925-1</f>
        <v>0.281150159744409</v>
      </c>
      <c r="EA926" s="1080">
        <f>EA925/DS925-1</f>
        <v>-0.0345963756177924</v>
      </c>
      <c r="EB926" s="1083">
        <f t="shared" ref="EB926:EI926" si="4693">EB925/DT925-1</f>
        <v>0.125709651257097</v>
      </c>
      <c r="EC926" s="1080">
        <f t="shared" si="4693"/>
        <v>-0.000560571192541492</v>
      </c>
      <c r="ED926" s="1080">
        <f t="shared" si="4693"/>
        <v>0.0755178708948543</v>
      </c>
      <c r="EE926" s="1080">
        <f t="shared" si="4693"/>
        <v>-0.0695355669553833</v>
      </c>
      <c r="EF926" s="1080">
        <f t="shared" si="4693"/>
        <v>-0.0276325616131441</v>
      </c>
      <c r="EG926" s="1081">
        <f t="shared" si="4693"/>
        <v>0.0458786936236393</v>
      </c>
      <c r="EH926" s="1082">
        <f t="shared" si="4693"/>
        <v>0.0610972568578554</v>
      </c>
      <c r="EI926" s="1082">
        <f t="shared" si="4693"/>
        <v>0.0750853242320819</v>
      </c>
      <c r="EJ926" s="1083">
        <f t="shared" ref="EJ926:EP926" si="4694">EJ925/EB925-1</f>
        <v>0.0670028818443804</v>
      </c>
      <c r="EK926" s="1083">
        <f t="shared" si="4694"/>
        <v>0.115621156211562</v>
      </c>
      <c r="EL926" s="1083">
        <f t="shared" si="4694"/>
        <v>0.084961381190368</v>
      </c>
      <c r="EM926" s="1080">
        <f t="shared" si="4694"/>
        <v>0.179959100204499</v>
      </c>
      <c r="EN926" s="1080">
        <f t="shared" si="4694"/>
        <v>0.139784946236559</v>
      </c>
      <c r="EO926" s="1081">
        <f t="shared" si="4694"/>
        <v>0.102230483271375</v>
      </c>
      <c r="EP926" s="1080">
        <f t="shared" si="4694"/>
        <v>0.0493537015276146</v>
      </c>
      <c r="EQ926" s="1080">
        <f t="shared" ref="EQ926:FB926" si="4695">EQ925/EI925-1</f>
        <v>0.00317460317460316</v>
      </c>
      <c r="ER926" s="1080">
        <f t="shared" si="4695"/>
        <v>0.0297096556380825</v>
      </c>
      <c r="ES926" s="1080">
        <f t="shared" si="4695"/>
        <v>0.0198456449834619</v>
      </c>
      <c r="ET926" s="1080">
        <f t="shared" si="4695"/>
        <v>0.0259631490787269</v>
      </c>
      <c r="EU926" s="1080">
        <f t="shared" si="4695"/>
        <v>0.0953206239168112</v>
      </c>
      <c r="EV926" s="1080">
        <f t="shared" si="4695"/>
        <v>0.0491913746630728</v>
      </c>
      <c r="EW926" s="1081">
        <f t="shared" si="4695"/>
        <v>0.039460370994941</v>
      </c>
      <c r="EX926" s="1218">
        <f t="shared" si="4695"/>
        <v>-0.0615901455767077</v>
      </c>
      <c r="EY926" s="1218">
        <f t="shared" si="4695"/>
        <v>0.0601265822784811</v>
      </c>
      <c r="EZ926" s="1218">
        <f t="shared" si="4695"/>
        <v>-0.0111475409836066</v>
      </c>
      <c r="FA926" s="1080">
        <f t="shared" si="4695"/>
        <v>0.00432432432432428</v>
      </c>
      <c r="FB926" s="1080">
        <f t="shared" si="4695"/>
        <v>-0.00530612244897954</v>
      </c>
      <c r="FC926" s="1080"/>
      <c r="FD926" s="1080"/>
      <c r="FE926" s="1081"/>
      <c r="FF926" s="1217"/>
      <c r="FG926" s="1217"/>
      <c r="FH926" s="1217"/>
      <c r="FI926" s="1217"/>
      <c r="FJ926" s="1217"/>
      <c r="FK926" s="1217"/>
      <c r="FL926" s="1217"/>
      <c r="FM926" s="1216"/>
      <c r="FN926" s="1217"/>
      <c r="FO926" s="1217"/>
      <c r="FP926" s="1217"/>
      <c r="FQ926" s="1217"/>
      <c r="FR926" s="1217"/>
      <c r="FS926" s="1217"/>
      <c r="FT926" s="1217"/>
      <c r="FU926" s="1217"/>
      <c r="FV926" s="1615"/>
      <c r="FW926" s="1217"/>
      <c r="FX926" s="1217"/>
      <c r="FY926" s="1217"/>
      <c r="FZ926" s="1217"/>
      <c r="GA926" s="1217"/>
      <c r="GB926" s="1217"/>
      <c r="GC926" s="1216"/>
      <c r="GD926" s="1217"/>
      <c r="GE926" s="1217"/>
      <c r="GF926" s="1217"/>
      <c r="GG926" s="1217"/>
      <c r="GH926" s="1217"/>
      <c r="GI926" s="1217"/>
      <c r="GJ926" s="1217"/>
      <c r="GK926" s="1216"/>
      <c r="GL926" s="1217"/>
      <c r="GM926" s="1217"/>
      <c r="GN926" s="1217"/>
      <c r="GO926" s="1217"/>
      <c r="GP926" s="1217"/>
      <c r="GQ926" s="1217"/>
      <c r="GR926" s="1217"/>
      <c r="GS926" s="1216"/>
      <c r="GT926" s="1217"/>
      <c r="GU926" s="1217"/>
      <c r="GV926" s="1217"/>
      <c r="GW926" s="1217"/>
      <c r="GX926" s="1217"/>
      <c r="GY926" s="1217"/>
      <c r="GZ926" s="1217"/>
      <c r="HA926" s="1216"/>
      <c r="HB926" s="1217"/>
      <c r="HC926" s="1217"/>
      <c r="HD926" s="1217"/>
      <c r="HE926" s="1217"/>
      <c r="HF926" s="1217"/>
      <c r="HG926" s="1217"/>
      <c r="HH926" s="1217"/>
      <c r="HI926" s="1216"/>
      <c r="HJ926" s="1217"/>
      <c r="HK926" s="1217"/>
      <c r="HL926" s="1217"/>
      <c r="HM926" s="1217"/>
      <c r="HN926" s="1217"/>
      <c r="HO926" s="1217"/>
      <c r="HP926" s="1217"/>
      <c r="HQ926" s="1216"/>
      <c r="HR926" s="1217"/>
      <c r="HS926" s="1217"/>
      <c r="HT926" s="1217"/>
      <c r="HU926" s="1217"/>
      <c r="HV926" s="1217"/>
      <c r="HW926" s="1217"/>
      <c r="HX926" s="1217"/>
      <c r="HY926" s="1217"/>
      <c r="HZ926" s="1217"/>
      <c r="IA926" s="1217"/>
      <c r="IB926" s="1217"/>
      <c r="IC926" s="1217"/>
      <c r="ID926" s="1217"/>
      <c r="IE926" s="1217"/>
      <c r="IF926" s="1217"/>
      <c r="IG926" s="1216"/>
      <c r="IH926" s="1217"/>
      <c r="II926" s="1217"/>
      <c r="IJ926" s="1217"/>
      <c r="IK926" s="1217"/>
      <c r="IL926" s="1217"/>
      <c r="IM926" s="1217"/>
      <c r="IN926" s="1217"/>
      <c r="IO926" s="1216"/>
      <c r="IP926" s="1217"/>
      <c r="IQ926" s="1217"/>
      <c r="IR926" s="1217"/>
      <c r="IS926" s="1217"/>
      <c r="IT926" s="1217"/>
      <c r="IU926" s="1217"/>
      <c r="IV926" s="1217"/>
      <c r="IW926" s="1217"/>
      <c r="IX926" s="1049"/>
      <c r="IY926" s="1049">
        <v>0.74</v>
      </c>
      <c r="IZ926" s="1049">
        <v>0.67</v>
      </c>
      <c r="JA926" s="1049"/>
      <c r="JB926" s="1049"/>
      <c r="JC926" s="1049"/>
      <c r="JD926" s="1041"/>
      <c r="JE926" s="1037"/>
      <c r="JF926" s="1037"/>
      <c r="JG926" s="1037"/>
      <c r="JH926" s="1037"/>
      <c r="JI926" s="1035"/>
      <c r="JJ926" s="1035"/>
      <c r="JK926" s="1035"/>
      <c r="JL926" s="1035"/>
      <c r="JM926" s="1035"/>
      <c r="JN926" s="1035"/>
      <c r="JO926" s="1035"/>
      <c r="JP926" s="1035"/>
      <c r="JQ926" s="1035"/>
      <c r="JR926" s="1035"/>
      <c r="JS926" s="1035"/>
      <c r="JT926" s="1035"/>
      <c r="JU926" s="1035"/>
      <c r="JV926" s="1035"/>
      <c r="JW926" s="1035"/>
      <c r="JX926" s="1035"/>
      <c r="JY926" s="1035"/>
      <c r="LV926" s="967"/>
    </row>
    <row r="927" outlineLevel="1" spans="1:334">
      <c r="A927" s="1113" t="s">
        <v>680</v>
      </c>
      <c r="AX927" s="1059"/>
      <c r="BE927" s="1060"/>
      <c r="BN927" s="1059"/>
      <c r="BU927" s="1060"/>
      <c r="BV927" s="1059"/>
      <c r="CC927" s="1060"/>
      <c r="CD927" s="1059"/>
      <c r="CJ927" s="1061"/>
      <c r="CK927" s="1060"/>
      <c r="CL927" s="1059"/>
      <c r="CS927" s="1060"/>
      <c r="CT927" s="1117"/>
      <c r="CU927" s="1117"/>
      <c r="CV927" s="1117"/>
      <c r="CW927" s="1117"/>
      <c r="CX927" s="1117"/>
      <c r="CY927" s="1117"/>
      <c r="CZ927" s="1117"/>
      <c r="DA927" s="1117"/>
      <c r="DB927" s="1082">
        <f t="shared" ref="DB927:DT927" si="4696">DB925/DB5</f>
        <v>0.366869918699187</v>
      </c>
      <c r="DC927" s="1082">
        <f t="shared" si="4696"/>
        <v>0.336182336182336</v>
      </c>
      <c r="DD927" s="1082">
        <f t="shared" si="4696"/>
        <v>0.352403975288746</v>
      </c>
      <c r="DE927" s="1082">
        <f t="shared" si="4696"/>
        <v>0.366800535475234</v>
      </c>
      <c r="DF927" s="1082">
        <f t="shared" si="4696"/>
        <v>0.357813547954393</v>
      </c>
      <c r="DG927" s="1082">
        <f t="shared" si="4696"/>
        <v>0.311036789297659</v>
      </c>
      <c r="DH927" s="1082">
        <f t="shared" si="4696"/>
        <v>0.342007434944238</v>
      </c>
      <c r="DI927" s="1085" t="e">
        <f t="shared" si="4696"/>
        <v>#REF!</v>
      </c>
      <c r="DJ927" s="1082">
        <f t="shared" si="4696"/>
        <v>0.328175026680896</v>
      </c>
      <c r="DK927" s="1082">
        <f t="shared" si="4696"/>
        <v>0.306542056074766</v>
      </c>
      <c r="DL927" s="1082">
        <f t="shared" si="4696"/>
        <v>0.318194883587238</v>
      </c>
      <c r="DM927" s="1082">
        <f t="shared" si="4696"/>
        <v>0.345776031434185</v>
      </c>
      <c r="DN927" s="1082">
        <f t="shared" si="4696"/>
        <v>0.328377153218495</v>
      </c>
      <c r="DO927" s="1082">
        <f t="shared" si="4696"/>
        <v>0.324242424242424</v>
      </c>
      <c r="DP927" s="1082">
        <f t="shared" si="4696"/>
        <v>0.336136733586544</v>
      </c>
      <c r="DQ927" s="1085" t="e">
        <f t="shared" si="4696"/>
        <v>#REF!</v>
      </c>
      <c r="DR927" s="1083">
        <f t="shared" si="4696"/>
        <v>0.329820864067439</v>
      </c>
      <c r="DS927" s="1083">
        <f t="shared" si="4696"/>
        <v>0.314834024896266</v>
      </c>
      <c r="DT927" s="1083">
        <f t="shared" si="4696"/>
        <v>0.322268687924726</v>
      </c>
      <c r="DU927" s="1083">
        <v>0.336</v>
      </c>
      <c r="DV927" s="1083">
        <f t="shared" ref="DV927:FB927" si="4697">DV925/DV5</f>
        <v>0.327590203297583</v>
      </c>
      <c r="DW927" s="1083">
        <f t="shared" si="4697"/>
        <v>0.271739400206825</v>
      </c>
      <c r="DX927" s="1083">
        <f t="shared" si="4697"/>
        <v>0.307462686567164</v>
      </c>
      <c r="DY927" s="1085">
        <f t="shared" si="4697"/>
        <v>0.314386994254981</v>
      </c>
      <c r="DZ927" s="1083">
        <f t="shared" si="4697"/>
        <v>0.345689655172414</v>
      </c>
      <c r="EA927" s="1083">
        <f t="shared" si="4697"/>
        <v>0.297009630005068</v>
      </c>
      <c r="EB927" s="1083">
        <f t="shared" si="4697"/>
        <v>0.323317027719543</v>
      </c>
      <c r="EC927" s="1083">
        <f t="shared" si="4697"/>
        <v>0.315605590062112</v>
      </c>
      <c r="ED927" s="1083">
        <f t="shared" si="4697"/>
        <v>0.320425098267579</v>
      </c>
      <c r="EE927" s="1083">
        <f t="shared" si="4697"/>
        <v>0.234983181162902</v>
      </c>
      <c r="EF927" s="1083">
        <f t="shared" si="4697"/>
        <v>0.279579128194116</v>
      </c>
      <c r="EG927" s="1084">
        <f t="shared" si="4697"/>
        <v>0.300558659217877</v>
      </c>
      <c r="EH927" s="1083">
        <f t="shared" si="4697"/>
        <v>0.325554705432288</v>
      </c>
      <c r="EI927" s="1083">
        <f t="shared" si="4697"/>
        <v>0.298154283009938</v>
      </c>
      <c r="EJ927" s="1083">
        <f t="shared" si="4697"/>
        <v>0.313306536915591</v>
      </c>
      <c r="EK927" s="1083">
        <f t="shared" si="4697"/>
        <v>0.330659861465549</v>
      </c>
      <c r="EL927" s="1083">
        <f t="shared" si="4697"/>
        <v>0.319678714859438</v>
      </c>
      <c r="EM927" s="1083">
        <f t="shared" si="4697"/>
        <v>0.279689772176442</v>
      </c>
      <c r="EN927" s="1083">
        <f t="shared" si="4697"/>
        <v>0.308780690803163</v>
      </c>
      <c r="EO927" s="1093">
        <f t="shared" si="4697"/>
        <v>0.311024861009126</v>
      </c>
      <c r="EP927" s="1083">
        <f t="shared" si="4697"/>
        <v>0.35993550987505</v>
      </c>
      <c r="EQ927" s="1094">
        <f t="shared" si="4697"/>
        <v>0.313803376365442</v>
      </c>
      <c r="ER927" s="1094">
        <f t="shared" si="4697"/>
        <v>0.339265850945495</v>
      </c>
      <c r="ES927" s="1094">
        <f t="shared" si="4697"/>
        <v>0.36231884057971</v>
      </c>
      <c r="ET927" s="1094">
        <f t="shared" si="4697"/>
        <v>0.347616345062429</v>
      </c>
      <c r="EU927" s="1083">
        <f t="shared" si="4697"/>
        <v>0.307992202729045</v>
      </c>
      <c r="EV927" s="1083">
        <f t="shared" si="4697"/>
        <v>0.338110749185668</v>
      </c>
      <c r="EW927" s="1093">
        <f t="shared" si="4697"/>
        <v>0.338681318681319</v>
      </c>
      <c r="EX927" s="1087">
        <f t="shared" si="4697"/>
        <v>0.355536699193891</v>
      </c>
      <c r="EY927" s="1087">
        <f t="shared" si="4697"/>
        <v>0.321342925659472</v>
      </c>
      <c r="EZ927" s="1087">
        <f t="shared" si="4697"/>
        <v>0.339486717694732</v>
      </c>
      <c r="FA927" s="1094">
        <f t="shared" si="4697"/>
        <v>0.341921236658079</v>
      </c>
      <c r="FB927" s="1094">
        <f t="shared" si="4697"/>
        <v>0.340410671881548</v>
      </c>
      <c r="FC927" s="1094"/>
      <c r="FD927" s="1094"/>
      <c r="FE927" s="1093"/>
      <c r="FF927" s="1168"/>
      <c r="FG927" s="1168"/>
      <c r="FH927" s="1168"/>
      <c r="FI927" s="1168"/>
      <c r="FJ927" s="1168"/>
      <c r="FK927" s="1168"/>
      <c r="FL927" s="1168"/>
      <c r="FM927" s="1169"/>
      <c r="FN927" s="1168"/>
      <c r="FO927" s="1168"/>
      <c r="FP927" s="1168"/>
      <c r="FQ927" s="1168"/>
      <c r="FR927" s="1168"/>
      <c r="FS927" s="1168"/>
      <c r="FT927" s="1168"/>
      <c r="FU927" s="1168"/>
      <c r="FV927" s="1616"/>
      <c r="FW927" s="1168"/>
      <c r="FX927" s="1168"/>
      <c r="FY927" s="1168"/>
      <c r="FZ927" s="1168"/>
      <c r="GA927" s="1168"/>
      <c r="GB927" s="1168"/>
      <c r="GC927" s="1169"/>
      <c r="GD927" s="1168"/>
      <c r="GE927" s="1168"/>
      <c r="GF927" s="1168"/>
      <c r="GG927" s="1168"/>
      <c r="GH927" s="1168"/>
      <c r="GI927" s="1168"/>
      <c r="GJ927" s="1168"/>
      <c r="GK927" s="1169"/>
      <c r="GL927" s="1168"/>
      <c r="GM927" s="1168"/>
      <c r="GN927" s="1168"/>
      <c r="GO927" s="1168"/>
      <c r="GP927" s="1168"/>
      <c r="GQ927" s="1168"/>
      <c r="GR927" s="1168"/>
      <c r="GS927" s="1169"/>
      <c r="GT927" s="1168"/>
      <c r="GU927" s="1168"/>
      <c r="GV927" s="1168"/>
      <c r="GW927" s="1168"/>
      <c r="GX927" s="1168"/>
      <c r="GY927" s="1168"/>
      <c r="GZ927" s="1168"/>
      <c r="HA927" s="1169"/>
      <c r="HB927" s="1168"/>
      <c r="HC927" s="1168"/>
      <c r="HD927" s="1168"/>
      <c r="HE927" s="1168"/>
      <c r="HF927" s="1168"/>
      <c r="HG927" s="1168"/>
      <c r="HH927" s="1168"/>
      <c r="HI927" s="1169"/>
      <c r="HJ927" s="1168"/>
      <c r="HK927" s="1168"/>
      <c r="HL927" s="1168"/>
      <c r="HM927" s="1168"/>
      <c r="HN927" s="1168"/>
      <c r="HO927" s="1168"/>
      <c r="HP927" s="1168"/>
      <c r="HQ927" s="1169"/>
      <c r="HR927" s="1168"/>
      <c r="HS927" s="1168"/>
      <c r="HT927" s="1168"/>
      <c r="HU927" s="1168"/>
      <c r="HV927" s="1168"/>
      <c r="HW927" s="1168"/>
      <c r="HX927" s="1168"/>
      <c r="HY927" s="1168"/>
      <c r="HZ927" s="1168"/>
      <c r="IA927" s="1168"/>
      <c r="IB927" s="1168"/>
      <c r="IC927" s="1168"/>
      <c r="ID927" s="1168"/>
      <c r="IE927" s="1168"/>
      <c r="IF927" s="1168"/>
      <c r="IG927" s="1169"/>
      <c r="IH927" s="1168"/>
      <c r="II927" s="1168"/>
      <c r="IJ927" s="1168"/>
      <c r="IK927" s="1168"/>
      <c r="IL927" s="1168"/>
      <c r="IM927" s="1168"/>
      <c r="IN927" s="1168"/>
      <c r="IO927" s="1169"/>
      <c r="IP927" s="1168"/>
      <c r="IQ927" s="1168"/>
      <c r="IR927" s="1168"/>
      <c r="IS927" s="1168"/>
      <c r="IT927" s="1168"/>
      <c r="IU927" s="1168"/>
      <c r="IV927" s="1168"/>
      <c r="IW927" s="1168"/>
      <c r="IX927" s="1049"/>
      <c r="IY927" s="1049"/>
      <c r="IZ927" s="1378">
        <f>(IZ925*IZ926-IY925*IY926)/40</f>
        <v>0.55975</v>
      </c>
      <c r="JA927" s="1049"/>
      <c r="JB927" s="1049"/>
      <c r="JC927" s="1049"/>
      <c r="JD927" s="1041"/>
      <c r="JE927" s="1037"/>
      <c r="JF927" s="1037"/>
      <c r="JG927" s="1037"/>
      <c r="JH927" s="1037"/>
      <c r="JI927" s="1035"/>
      <c r="JJ927" s="1035"/>
      <c r="JK927" s="1035"/>
      <c r="JL927" s="1035"/>
      <c r="JM927" s="1035"/>
      <c r="JN927" s="1035"/>
      <c r="JO927" s="1035"/>
      <c r="JP927" s="1035"/>
      <c r="JQ927" s="1035"/>
      <c r="JR927" s="1035"/>
      <c r="JS927" s="1035"/>
      <c r="JT927" s="1035"/>
      <c r="JU927" s="1035"/>
      <c r="JV927" s="1035"/>
      <c r="JW927" s="1035"/>
      <c r="JX927" s="1035"/>
      <c r="JY927" s="1035"/>
      <c r="LV927" s="967"/>
    </row>
    <row r="928" outlineLevel="1" spans="1:334">
      <c r="A928" s="1025" t="s">
        <v>62</v>
      </c>
      <c r="AX928" s="1059"/>
      <c r="BE928" s="1060"/>
      <c r="BN928" s="1059"/>
      <c r="BU928" s="1060"/>
      <c r="BV928" s="1059"/>
      <c r="CC928" s="1060"/>
      <c r="CD928" s="1059"/>
      <c r="CJ928" s="1061"/>
      <c r="CK928" s="1060"/>
      <c r="CL928" s="1059"/>
      <c r="CS928" s="1060"/>
      <c r="CT928" s="1025"/>
      <c r="CU928" s="1025"/>
      <c r="CV928" s="1025"/>
      <c r="CW928" s="1025"/>
      <c r="CX928" s="1025"/>
      <c r="CY928" s="1025"/>
      <c r="CZ928" s="1025"/>
      <c r="DA928" s="1025"/>
      <c r="DB928" s="1071">
        <v>58</v>
      </c>
      <c r="DC928" s="1071">
        <v>85</v>
      </c>
      <c r="DD928" s="1071">
        <f>DB928+DC928</f>
        <v>143</v>
      </c>
      <c r="DE928" s="1071">
        <v>111</v>
      </c>
      <c r="DF928" s="1071">
        <f>DD928+DE928</f>
        <v>254</v>
      </c>
      <c r="DG928" s="1071">
        <v>72</v>
      </c>
      <c r="DH928" s="1071">
        <f>DE928+DG928</f>
        <v>183</v>
      </c>
      <c r="DI928" s="1072" t="e">
        <f>'Profit and Loss'!#REF!</f>
        <v>#REF!</v>
      </c>
      <c r="DJ928" s="1071">
        <v>15</v>
      </c>
      <c r="DK928" s="1071">
        <v>82</v>
      </c>
      <c r="DL928" s="1071">
        <f>DJ928+DK928</f>
        <v>97</v>
      </c>
      <c r="DM928" s="1071">
        <v>99</v>
      </c>
      <c r="DN928" s="1071">
        <f>DL928+DM928</f>
        <v>196</v>
      </c>
      <c r="DO928" s="1071">
        <v>66</v>
      </c>
      <c r="DP928" s="1071">
        <f>DO928+DM928</f>
        <v>165</v>
      </c>
      <c r="DQ928" s="1072" t="e">
        <f>'Profit and Loss'!#REF!</f>
        <v>#REF!</v>
      </c>
      <c r="DR928" s="1073">
        <v>52</v>
      </c>
      <c r="DS928" s="1073">
        <v>147</v>
      </c>
      <c r="DT928" s="1073">
        <f>DR928+DS928</f>
        <v>199</v>
      </c>
      <c r="DU928" s="1073">
        <f>DU$10*DU930</f>
        <v>149.625</v>
      </c>
      <c r="DV928" s="1073">
        <f>DT928+DU928</f>
        <v>348.625</v>
      </c>
      <c r="DW928" s="1073">
        <f>DW$10*DW930</f>
        <v>106.08</v>
      </c>
      <c r="DX928" s="1073">
        <f>DU928+DW928</f>
        <v>255.705</v>
      </c>
      <c r="DY928" s="1072">
        <f>SUM(DR928:DS928,DU928,DW928)</f>
        <v>454.705</v>
      </c>
      <c r="DZ928" s="1073">
        <v>89</v>
      </c>
      <c r="EA928" s="1073">
        <f>+EB928-DZ928</f>
        <v>172</v>
      </c>
      <c r="EB928" s="1073">
        <v>261</v>
      </c>
      <c r="EC928" s="1073">
        <f>ED928-EB928</f>
        <v>176</v>
      </c>
      <c r="ED928" s="1073">
        <v>437</v>
      </c>
      <c r="EE928" s="1073">
        <f>+EF928-EC928</f>
        <v>156</v>
      </c>
      <c r="EF928" s="1073">
        <f>+EG928-EB928</f>
        <v>332</v>
      </c>
      <c r="EG928" s="1074">
        <v>593</v>
      </c>
      <c r="EH928" s="1073">
        <v>115</v>
      </c>
      <c r="EI928" s="1073">
        <f>+EJ928-EH928</f>
        <v>217</v>
      </c>
      <c r="EJ928" s="1073">
        <v>332</v>
      </c>
      <c r="EK928" s="1073">
        <f>EL928-EJ928</f>
        <v>206</v>
      </c>
      <c r="EL928" s="1073">
        <v>538</v>
      </c>
      <c r="EM928" s="1073">
        <f>EN928-EK928</f>
        <v>186</v>
      </c>
      <c r="EN928" s="1073">
        <f>EO928-EJ928</f>
        <v>392</v>
      </c>
      <c r="EO928" s="1074">
        <v>724</v>
      </c>
      <c r="EP928" s="1073">
        <v>101</v>
      </c>
      <c r="EQ928" s="1073">
        <f>ER928-EP928</f>
        <v>215</v>
      </c>
      <c r="ER928" s="1073">
        <v>316</v>
      </c>
      <c r="ES928" s="1073">
        <f>ET928-ER928</f>
        <v>196</v>
      </c>
      <c r="ET928" s="1073">
        <v>512</v>
      </c>
      <c r="EU928" s="1073">
        <f>EV928-ES928</f>
        <v>166</v>
      </c>
      <c r="EV928" s="1073">
        <f>EW928-ER928</f>
        <v>362</v>
      </c>
      <c r="EW928" s="1074">
        <v>678</v>
      </c>
      <c r="EX928" s="1076">
        <v>105</v>
      </c>
      <c r="EY928" s="1076">
        <v>180</v>
      </c>
      <c r="EZ928" s="1076">
        <f>EX928+EY928</f>
        <v>285</v>
      </c>
      <c r="FA928" s="1073">
        <f>FB928-EZ928</f>
        <v>207</v>
      </c>
      <c r="FB928" s="1073">
        <v>492</v>
      </c>
      <c r="FC928" s="1073"/>
      <c r="FD928" s="1073"/>
      <c r="FE928" s="1074"/>
      <c r="FF928" s="1175"/>
      <c r="FG928" s="1175"/>
      <c r="FH928" s="1175"/>
      <c r="FI928" s="1175"/>
      <c r="FJ928" s="1175"/>
      <c r="FK928" s="1175"/>
      <c r="FL928" s="1175"/>
      <c r="FM928" s="1176"/>
      <c r="FN928" s="1175"/>
      <c r="FO928" s="1175"/>
      <c r="FP928" s="1175"/>
      <c r="FQ928" s="1175"/>
      <c r="FR928" s="1175"/>
      <c r="FS928" s="1175"/>
      <c r="FT928" s="1175"/>
      <c r="FU928" s="1175"/>
      <c r="FV928" s="1614"/>
      <c r="FW928" s="1175"/>
      <c r="FX928" s="1175"/>
      <c r="FY928" s="1175"/>
      <c r="FZ928" s="1175"/>
      <c r="GA928" s="1175"/>
      <c r="GB928" s="1175"/>
      <c r="GC928" s="1176"/>
      <c r="GD928" s="1175"/>
      <c r="GE928" s="1175"/>
      <c r="GF928" s="1175"/>
      <c r="GG928" s="1175"/>
      <c r="GH928" s="1175"/>
      <c r="GI928" s="1175"/>
      <c r="GJ928" s="1175"/>
      <c r="GK928" s="1176"/>
      <c r="GL928" s="1175"/>
      <c r="GM928" s="1175"/>
      <c r="GN928" s="1175"/>
      <c r="GO928" s="1175"/>
      <c r="GP928" s="1175"/>
      <c r="GQ928" s="1175"/>
      <c r="GR928" s="1175"/>
      <c r="GS928" s="1176"/>
      <c r="GT928" s="1175"/>
      <c r="GU928" s="1175"/>
      <c r="GV928" s="1175"/>
      <c r="GW928" s="1175"/>
      <c r="GX928" s="1175"/>
      <c r="GY928" s="1175"/>
      <c r="GZ928" s="1175"/>
      <c r="HA928" s="1176"/>
      <c r="HB928" s="1175"/>
      <c r="HC928" s="1175"/>
      <c r="HD928" s="1175"/>
      <c r="HE928" s="1175"/>
      <c r="HF928" s="1175"/>
      <c r="HG928" s="1175"/>
      <c r="HH928" s="1175"/>
      <c r="HI928" s="1176"/>
      <c r="HJ928" s="1175"/>
      <c r="HK928" s="1175"/>
      <c r="HL928" s="1175"/>
      <c r="HM928" s="1175"/>
      <c r="HN928" s="1175"/>
      <c r="HO928" s="1175"/>
      <c r="HP928" s="1175"/>
      <c r="HQ928" s="1176"/>
      <c r="HR928" s="1175"/>
      <c r="HS928" s="1175"/>
      <c r="HT928" s="1175"/>
      <c r="HU928" s="1175"/>
      <c r="HV928" s="1175"/>
      <c r="HW928" s="1175"/>
      <c r="HX928" s="1175"/>
      <c r="HY928" s="1175"/>
      <c r="HZ928" s="1175"/>
      <c r="IA928" s="1175"/>
      <c r="IB928" s="1175"/>
      <c r="IC928" s="1175"/>
      <c r="ID928" s="1175"/>
      <c r="IE928" s="1175"/>
      <c r="IF928" s="1175"/>
      <c r="IG928" s="1176"/>
      <c r="IH928" s="1175"/>
      <c r="II928" s="1175"/>
      <c r="IJ928" s="1175"/>
      <c r="IK928" s="1175"/>
      <c r="IL928" s="1175"/>
      <c r="IM928" s="1175"/>
      <c r="IN928" s="1175"/>
      <c r="IO928" s="1176"/>
      <c r="IP928" s="1175"/>
      <c r="IQ928" s="1175"/>
      <c r="IR928" s="1175"/>
      <c r="IS928" s="1175"/>
      <c r="IT928" s="1175"/>
      <c r="IU928" s="1175"/>
      <c r="IV928" s="1175"/>
      <c r="IW928" s="1175"/>
      <c r="IX928" s="1049"/>
      <c r="IY928" s="1049"/>
      <c r="IZ928" s="1378">
        <f>60/40-1</f>
        <v>0.5</v>
      </c>
      <c r="JA928" s="1049"/>
      <c r="JB928" s="1049"/>
      <c r="JC928" s="1049"/>
      <c r="JD928" s="1049"/>
      <c r="JE928" s="1037"/>
      <c r="JF928" s="1037"/>
      <c r="JG928" s="1037"/>
      <c r="JH928" s="1037"/>
      <c r="JI928" s="1035"/>
      <c r="JJ928" s="1035"/>
      <c r="JK928" s="1035"/>
      <c r="JL928" s="1035"/>
      <c r="JM928" s="1035"/>
      <c r="JN928" s="1035"/>
      <c r="JO928" s="1035"/>
      <c r="JP928" s="1035"/>
      <c r="JQ928" s="1035"/>
      <c r="JR928" s="1035"/>
      <c r="JS928" s="1035"/>
      <c r="JT928" s="1035"/>
      <c r="JU928" s="1035"/>
      <c r="JV928" s="1035"/>
      <c r="JW928" s="1035"/>
      <c r="JX928" s="1035"/>
      <c r="JY928" s="1035"/>
      <c r="LV928" s="1025"/>
    </row>
    <row r="929" outlineLevel="1" spans="1:334">
      <c r="A929" s="1113" t="s">
        <v>61</v>
      </c>
      <c r="AX929" s="1059"/>
      <c r="BE929" s="1060"/>
      <c r="BN929" s="1059"/>
      <c r="BU929" s="1060"/>
      <c r="BV929" s="1059"/>
      <c r="CC929" s="1060"/>
      <c r="CD929" s="1059"/>
      <c r="CJ929" s="1061"/>
      <c r="CK929" s="1060"/>
      <c r="CL929" s="1059"/>
      <c r="CS929" s="1060"/>
      <c r="CT929" s="1025"/>
      <c r="CU929" s="1025"/>
      <c r="CV929" s="1025"/>
      <c r="CW929" s="1025"/>
      <c r="CX929" s="1025"/>
      <c r="CY929" s="1025"/>
      <c r="CZ929" s="1025"/>
      <c r="DA929" s="1025"/>
      <c r="DB929" s="1071"/>
      <c r="DC929" s="1071"/>
      <c r="DD929" s="1071"/>
      <c r="DE929" s="1071"/>
      <c r="DF929" s="1071"/>
      <c r="DG929" s="1071"/>
      <c r="DH929" s="1071"/>
      <c r="DI929" s="1072"/>
      <c r="DJ929" s="1080">
        <f>DJ928/DB928-1</f>
        <v>-0.741379310344828</v>
      </c>
      <c r="DK929" s="1080">
        <f>DK928/DC928-1</f>
        <v>-0.0352941176470588</v>
      </c>
      <c r="DL929" s="1080">
        <f t="shared" ref="DL929:DV929" si="4698">DL928/DD928-1</f>
        <v>-0.321678321678322</v>
      </c>
      <c r="DM929" s="1080">
        <f t="shared" si="4698"/>
        <v>-0.108108108108108</v>
      </c>
      <c r="DN929" s="1080">
        <f t="shared" si="4698"/>
        <v>-0.228346456692913</v>
      </c>
      <c r="DO929" s="1080">
        <f t="shared" si="4698"/>
        <v>-0.0833333333333334</v>
      </c>
      <c r="DP929" s="1080">
        <f t="shared" si="4698"/>
        <v>-0.0983606557377049</v>
      </c>
      <c r="DQ929" s="1081" t="e">
        <f t="shared" si="4698"/>
        <v>#REF!</v>
      </c>
      <c r="DR929" s="1080">
        <f t="shared" si="4698"/>
        <v>2.46666666666667</v>
      </c>
      <c r="DS929" s="1080">
        <f t="shared" si="4698"/>
        <v>0.792682926829268</v>
      </c>
      <c r="DT929" s="1083">
        <f t="shared" si="4698"/>
        <v>1.05154639175258</v>
      </c>
      <c r="DU929" s="1083">
        <f t="shared" si="4698"/>
        <v>0.511363636363636</v>
      </c>
      <c r="DV929" s="1083">
        <f t="shared" si="4698"/>
        <v>0.778698979591837</v>
      </c>
      <c r="DW929" s="1080">
        <v>-0.05</v>
      </c>
      <c r="DX929" s="1114">
        <f>DX928/DP928-1</f>
        <v>0.549727272727273</v>
      </c>
      <c r="DY929" s="1081" t="e">
        <f>DY928/DQ928-1</f>
        <v>#REF!</v>
      </c>
      <c r="DZ929" s="1080">
        <f>DZ928/DR928-1</f>
        <v>0.711538461538461</v>
      </c>
      <c r="EA929" s="1080">
        <f>EA928/DS928-1</f>
        <v>0.170068027210884</v>
      </c>
      <c r="EB929" s="1083">
        <f t="shared" ref="EB929:EI929" si="4699">EB928/DT928-1</f>
        <v>0.311557788944724</v>
      </c>
      <c r="EC929" s="1080">
        <f t="shared" si="4699"/>
        <v>0.176274018379281</v>
      </c>
      <c r="ED929" s="1080">
        <f t="shared" si="4699"/>
        <v>0.2534958766583</v>
      </c>
      <c r="EE929" s="1080">
        <f t="shared" si="4699"/>
        <v>0.470588235294118</v>
      </c>
      <c r="EF929" s="1080">
        <f t="shared" si="4699"/>
        <v>0.298371169902818</v>
      </c>
      <c r="EG929" s="1081">
        <f t="shared" si="4699"/>
        <v>0.304142246071629</v>
      </c>
      <c r="EH929" s="1080">
        <f t="shared" si="4699"/>
        <v>0.292134831460674</v>
      </c>
      <c r="EI929" s="1080">
        <f t="shared" si="4699"/>
        <v>0.261627906976744</v>
      </c>
      <c r="EJ929" s="1083">
        <f t="shared" ref="EJ929:EP929" si="4700">EJ928/EB928-1</f>
        <v>0.272030651340996</v>
      </c>
      <c r="EK929" s="1083">
        <f t="shared" si="4700"/>
        <v>0.170454545454545</v>
      </c>
      <c r="EL929" s="1083">
        <f t="shared" si="4700"/>
        <v>0.231121281464531</v>
      </c>
      <c r="EM929" s="1080">
        <f t="shared" si="4700"/>
        <v>0.192307692307692</v>
      </c>
      <c r="EN929" s="1080">
        <f t="shared" si="4700"/>
        <v>0.180722891566265</v>
      </c>
      <c r="EO929" s="1081">
        <f t="shared" si="4700"/>
        <v>0.220910623946037</v>
      </c>
      <c r="EP929" s="1080">
        <f t="shared" si="4700"/>
        <v>-0.121739130434783</v>
      </c>
      <c r="EQ929" s="1080">
        <f t="shared" ref="EQ929:FB929" si="4701">EQ928/EI928-1</f>
        <v>-0.00921658986175111</v>
      </c>
      <c r="ER929" s="1080">
        <f t="shared" si="4701"/>
        <v>-0.0481927710843374</v>
      </c>
      <c r="ES929" s="1080">
        <f t="shared" si="4701"/>
        <v>-0.0485436893203883</v>
      </c>
      <c r="ET929" s="1080">
        <f t="shared" si="4701"/>
        <v>-0.0483271375464684</v>
      </c>
      <c r="EU929" s="1080">
        <f t="shared" si="4701"/>
        <v>-0.10752688172043</v>
      </c>
      <c r="EV929" s="1080">
        <f t="shared" si="4701"/>
        <v>-0.076530612244898</v>
      </c>
      <c r="EW929" s="1081">
        <f t="shared" si="4701"/>
        <v>-0.0635359116022099</v>
      </c>
      <c r="EX929" s="1218">
        <f t="shared" si="4701"/>
        <v>0.0396039603960396</v>
      </c>
      <c r="EY929" s="1218">
        <f t="shared" si="4701"/>
        <v>-0.162790697674419</v>
      </c>
      <c r="EZ929" s="1218">
        <f t="shared" si="4701"/>
        <v>-0.0981012658227848</v>
      </c>
      <c r="FA929" s="1080">
        <f t="shared" si="4701"/>
        <v>0.0561224489795917</v>
      </c>
      <c r="FB929" s="1080">
        <f t="shared" si="4701"/>
        <v>-0.0390625</v>
      </c>
      <c r="FC929" s="1080"/>
      <c r="FD929" s="1080"/>
      <c r="FE929" s="1081"/>
      <c r="FF929" s="1217"/>
      <c r="FG929" s="1217"/>
      <c r="FH929" s="1217"/>
      <c r="FI929" s="1217"/>
      <c r="FJ929" s="1217"/>
      <c r="FK929" s="1217"/>
      <c r="FL929" s="1217"/>
      <c r="FM929" s="1216"/>
      <c r="FN929" s="1217"/>
      <c r="FO929" s="1217"/>
      <c r="FP929" s="1217"/>
      <c r="FQ929" s="1217"/>
      <c r="FR929" s="1217"/>
      <c r="FS929" s="1217"/>
      <c r="FT929" s="1217"/>
      <c r="FU929" s="1217"/>
      <c r="FV929" s="1615"/>
      <c r="FW929" s="1217"/>
      <c r="FX929" s="1217"/>
      <c r="FY929" s="1217"/>
      <c r="FZ929" s="1217"/>
      <c r="GA929" s="1217"/>
      <c r="GB929" s="1217"/>
      <c r="GC929" s="1216"/>
      <c r="GD929" s="1217"/>
      <c r="GE929" s="1217"/>
      <c r="GF929" s="1217"/>
      <c r="GG929" s="1217"/>
      <c r="GH929" s="1217"/>
      <c r="GI929" s="1217"/>
      <c r="GJ929" s="1217"/>
      <c r="GK929" s="1216"/>
      <c r="GL929" s="1217"/>
      <c r="GM929" s="1217"/>
      <c r="GN929" s="1217"/>
      <c r="GO929" s="1217"/>
      <c r="GP929" s="1217"/>
      <c r="GQ929" s="1217"/>
      <c r="GR929" s="1217"/>
      <c r="GS929" s="1216"/>
      <c r="GT929" s="1217"/>
      <c r="GU929" s="1217"/>
      <c r="GV929" s="1217"/>
      <c r="GW929" s="1217"/>
      <c r="GX929" s="1217"/>
      <c r="GY929" s="1217"/>
      <c r="GZ929" s="1217"/>
      <c r="HA929" s="1216"/>
      <c r="HB929" s="1217"/>
      <c r="HC929" s="1217"/>
      <c r="HD929" s="1217"/>
      <c r="HE929" s="1217"/>
      <c r="HF929" s="1217"/>
      <c r="HG929" s="1217"/>
      <c r="HH929" s="1217"/>
      <c r="HI929" s="1216"/>
      <c r="HJ929" s="1217"/>
      <c r="HK929" s="1217"/>
      <c r="HL929" s="1217"/>
      <c r="HM929" s="1217"/>
      <c r="HN929" s="1217"/>
      <c r="HO929" s="1217"/>
      <c r="HP929" s="1217"/>
      <c r="HQ929" s="1216"/>
      <c r="HR929" s="1217"/>
      <c r="HS929" s="1217"/>
      <c r="HT929" s="1217"/>
      <c r="HU929" s="1217"/>
      <c r="HV929" s="1217"/>
      <c r="HW929" s="1217"/>
      <c r="HX929" s="1217"/>
      <c r="HY929" s="1217"/>
      <c r="HZ929" s="1217"/>
      <c r="IA929" s="1217"/>
      <c r="IB929" s="1217"/>
      <c r="IC929" s="1217"/>
      <c r="ID929" s="1217"/>
      <c r="IE929" s="1217"/>
      <c r="IF929" s="1217"/>
      <c r="IG929" s="1216"/>
      <c r="IH929" s="1217"/>
      <c r="II929" s="1217"/>
      <c r="IJ929" s="1217"/>
      <c r="IK929" s="1217"/>
      <c r="IL929" s="1217"/>
      <c r="IM929" s="1217"/>
      <c r="IN929" s="1217"/>
      <c r="IO929" s="1216"/>
      <c r="IP929" s="1217"/>
      <c r="IQ929" s="1217"/>
      <c r="IR929" s="1217"/>
      <c r="IS929" s="1217"/>
      <c r="IT929" s="1217"/>
      <c r="IU929" s="1217"/>
      <c r="IV929" s="1217"/>
      <c r="IW929" s="1217"/>
      <c r="IX929" s="1049"/>
      <c r="IY929" s="1049"/>
      <c r="IZ929" s="1049"/>
      <c r="JA929" s="1049"/>
      <c r="JB929" s="1049"/>
      <c r="JC929" s="1049"/>
      <c r="JD929" s="1041"/>
      <c r="JE929" s="1037"/>
      <c r="JF929" s="1037"/>
      <c r="JG929" s="1037"/>
      <c r="JH929" s="1037"/>
      <c r="JI929" s="1035"/>
      <c r="JJ929" s="1035"/>
      <c r="JK929" s="1035"/>
      <c r="JL929" s="1035"/>
      <c r="JM929" s="1035"/>
      <c r="JN929" s="1035"/>
      <c r="JO929" s="1035"/>
      <c r="JP929" s="1035"/>
      <c r="JQ929" s="1035"/>
      <c r="JR929" s="1035"/>
      <c r="JS929" s="1035"/>
      <c r="JT929" s="1035"/>
      <c r="JU929" s="1035"/>
      <c r="JV929" s="1035"/>
      <c r="JW929" s="1035"/>
      <c r="JX929" s="1035"/>
      <c r="JY929" s="1035"/>
      <c r="LV929" s="1025"/>
    </row>
    <row r="930" outlineLevel="1" spans="1:334">
      <c r="A930" s="1113" t="s">
        <v>680</v>
      </c>
      <c r="AX930" s="1059"/>
      <c r="BE930" s="1060"/>
      <c r="BN930" s="1059"/>
      <c r="BU930" s="1060"/>
      <c r="BV930" s="1059"/>
      <c r="CC930" s="1060"/>
      <c r="CD930" s="1059"/>
      <c r="CJ930" s="1061"/>
      <c r="CK930" s="1060"/>
      <c r="CL930" s="1059"/>
      <c r="CS930" s="1060"/>
      <c r="CT930" s="1117"/>
      <c r="CU930" s="1117"/>
      <c r="CV930" s="1117"/>
      <c r="CW930" s="1117"/>
      <c r="CX930" s="1117"/>
      <c r="CY930" s="1117"/>
      <c r="CZ930" s="1117"/>
      <c r="DA930" s="1117"/>
      <c r="DB930" s="1082">
        <f t="shared" ref="DB930:DT930" si="4702">DB928/DB10</f>
        <v>0.161111111111111</v>
      </c>
      <c r="DC930" s="1082">
        <f t="shared" si="4702"/>
        <v>0.200945626477541</v>
      </c>
      <c r="DD930" s="1082">
        <f t="shared" si="4702"/>
        <v>0.182630906768838</v>
      </c>
      <c r="DE930" s="1082">
        <f t="shared" si="4702"/>
        <v>0.226069246435845</v>
      </c>
      <c r="DF930" s="1082">
        <f t="shared" si="4702"/>
        <v>0.199372056514914</v>
      </c>
      <c r="DG930" s="1082">
        <f t="shared" si="4702"/>
        <v>0.155172413793103</v>
      </c>
      <c r="DH930" s="1082">
        <f t="shared" si="4702"/>
        <v>0.191623036649215</v>
      </c>
      <c r="DI930" s="1085" t="e">
        <f t="shared" si="4702"/>
        <v>#REF!</v>
      </c>
      <c r="DJ930" s="1082">
        <f t="shared" si="4702"/>
        <v>0.0375</v>
      </c>
      <c r="DK930" s="1082">
        <f t="shared" si="4702"/>
        <v>0.168724279835391</v>
      </c>
      <c r="DL930" s="1082">
        <f t="shared" si="4702"/>
        <v>0.109480812641084</v>
      </c>
      <c r="DM930" s="1082">
        <f t="shared" si="4702"/>
        <v>0.188931297709924</v>
      </c>
      <c r="DN930" s="1082">
        <f t="shared" si="4702"/>
        <v>0.139007092198582</v>
      </c>
      <c r="DO930" s="1082">
        <f t="shared" si="4702"/>
        <v>0.132796780684105</v>
      </c>
      <c r="DP930" s="1082">
        <f t="shared" si="4702"/>
        <v>0.161606268364349</v>
      </c>
      <c r="DQ930" s="1085" t="e">
        <f t="shared" si="4702"/>
        <v>#REF!</v>
      </c>
      <c r="DR930" s="1083">
        <f t="shared" si="4702"/>
        <v>0.113289760348584</v>
      </c>
      <c r="DS930" s="1083">
        <f t="shared" si="4702"/>
        <v>0.244186046511628</v>
      </c>
      <c r="DT930" s="1083">
        <f t="shared" si="4702"/>
        <v>0.1875589066918</v>
      </c>
      <c r="DU930" s="1083">
        <v>0.225</v>
      </c>
      <c r="DV930" s="1083">
        <f>DV928/DV10</f>
        <v>0.201984356894554</v>
      </c>
      <c r="DW930" s="1083">
        <v>0.16</v>
      </c>
      <c r="DX930" s="1083">
        <f t="shared" ref="DX930:FB930" si="4703">DX928/DX10</f>
        <v>0.192548945783133</v>
      </c>
      <c r="DY930" s="1085">
        <f t="shared" si="4703"/>
        <v>0.190332775219757</v>
      </c>
      <c r="DZ930" s="1083">
        <f t="shared" si="4703"/>
        <v>0.154246100519931</v>
      </c>
      <c r="EA930" s="1083">
        <f t="shared" si="4703"/>
        <v>0.252569750367107</v>
      </c>
      <c r="EB930" s="1083">
        <f t="shared" si="4703"/>
        <v>0.207472178060413</v>
      </c>
      <c r="EC930" s="1083">
        <f t="shared" si="4703"/>
        <v>0.232496697490092</v>
      </c>
      <c r="ED930" s="1083">
        <f t="shared" si="4703"/>
        <v>0.216873449131514</v>
      </c>
      <c r="EE930" s="1083">
        <f t="shared" si="4703"/>
        <v>0.200514138817481</v>
      </c>
      <c r="EF930" s="1083">
        <f t="shared" si="4703"/>
        <v>0.21628664495114</v>
      </c>
      <c r="EG930" s="1084">
        <f t="shared" si="4703"/>
        <v>0.212316505549588</v>
      </c>
      <c r="EH930" s="1083">
        <f t="shared" si="4703"/>
        <v>0.165945165945166</v>
      </c>
      <c r="EI930" s="1083">
        <f t="shared" si="4703"/>
        <v>0.254098360655738</v>
      </c>
      <c r="EJ930" s="1083">
        <f t="shared" si="4703"/>
        <v>0.214608920491273</v>
      </c>
      <c r="EK930" s="1083">
        <f t="shared" si="4703"/>
        <v>0.218220338983051</v>
      </c>
      <c r="EL930" s="1083">
        <f t="shared" si="4703"/>
        <v>0.215977519068647</v>
      </c>
      <c r="EM930" s="1083">
        <f t="shared" si="4703"/>
        <v>0.210884353741497</v>
      </c>
      <c r="EN930" s="1083">
        <f t="shared" si="4703"/>
        <v>0.214676889375685</v>
      </c>
      <c r="EO930" s="1093">
        <f t="shared" si="4703"/>
        <v>0.21464571597984</v>
      </c>
      <c r="EP930" s="1083">
        <f t="shared" si="4703"/>
        <v>0.1398891966759</v>
      </c>
      <c r="EQ930" s="1094">
        <f t="shared" si="4703"/>
        <v>0.2479815455594</v>
      </c>
      <c r="ER930" s="1094">
        <f t="shared" si="4703"/>
        <v>0.198867212083071</v>
      </c>
      <c r="ES930" s="1094">
        <f t="shared" si="4703"/>
        <v>0.212351029252438</v>
      </c>
      <c r="ET930" s="1094">
        <f t="shared" si="4703"/>
        <v>0.203821656050955</v>
      </c>
      <c r="EU930" s="1083">
        <f t="shared" si="4703"/>
        <v>0.177730192719486</v>
      </c>
      <c r="EV930" s="1083">
        <f t="shared" si="4703"/>
        <v>0.194938072159397</v>
      </c>
      <c r="EW930" s="1093">
        <f t="shared" si="4703"/>
        <v>0.196749854904237</v>
      </c>
      <c r="EX930" s="1087">
        <f t="shared" si="4703"/>
        <v>0.132241813602015</v>
      </c>
      <c r="EY930" s="1087">
        <f t="shared" si="4703"/>
        <v>0.187891440501044</v>
      </c>
      <c r="EZ930" s="1087">
        <f t="shared" si="4703"/>
        <v>0.162671232876712</v>
      </c>
      <c r="FA930" s="1094">
        <f t="shared" si="4703"/>
        <v>0.197707736389685</v>
      </c>
      <c r="FB930" s="1094">
        <f t="shared" si="4703"/>
        <v>0.17577706323687</v>
      </c>
      <c r="FC930" s="1094"/>
      <c r="FD930" s="1094"/>
      <c r="FE930" s="1093"/>
      <c r="FF930" s="1168"/>
      <c r="FG930" s="1168"/>
      <c r="FH930" s="1168"/>
      <c r="FI930" s="1168"/>
      <c r="FJ930" s="1168"/>
      <c r="FK930" s="1168"/>
      <c r="FL930" s="1168"/>
      <c r="FM930" s="1169"/>
      <c r="FN930" s="1168"/>
      <c r="FO930" s="1168"/>
      <c r="FP930" s="1168"/>
      <c r="FQ930" s="1168"/>
      <c r="FR930" s="1168"/>
      <c r="FS930" s="1168"/>
      <c r="FT930" s="1168"/>
      <c r="FU930" s="1168"/>
      <c r="FV930" s="1616"/>
      <c r="FW930" s="1168"/>
      <c r="FX930" s="1168"/>
      <c r="FY930" s="1168"/>
      <c r="FZ930" s="1168"/>
      <c r="GA930" s="1168"/>
      <c r="GB930" s="1168"/>
      <c r="GC930" s="1169"/>
      <c r="GD930" s="1168"/>
      <c r="GE930" s="1168"/>
      <c r="GF930" s="1168"/>
      <c r="GG930" s="1168"/>
      <c r="GH930" s="1168"/>
      <c r="GI930" s="1168"/>
      <c r="GJ930" s="1168"/>
      <c r="GK930" s="1169"/>
      <c r="GL930" s="1168"/>
      <c r="GM930" s="1168"/>
      <c r="GN930" s="1168"/>
      <c r="GO930" s="1168"/>
      <c r="GP930" s="1168"/>
      <c r="GQ930" s="1168"/>
      <c r="GR930" s="1168"/>
      <c r="GS930" s="1169"/>
      <c r="GT930" s="1168"/>
      <c r="GU930" s="1168"/>
      <c r="GV930" s="1168"/>
      <c r="GW930" s="1168"/>
      <c r="GX930" s="1168"/>
      <c r="GY930" s="1168"/>
      <c r="GZ930" s="1168"/>
      <c r="HA930" s="1169"/>
      <c r="HB930" s="1168"/>
      <c r="HC930" s="1168"/>
      <c r="HD930" s="1168"/>
      <c r="HE930" s="1168"/>
      <c r="HF930" s="1168"/>
      <c r="HG930" s="1168"/>
      <c r="HH930" s="1168"/>
      <c r="HI930" s="1169"/>
      <c r="HJ930" s="1168"/>
      <c r="HK930" s="1168"/>
      <c r="HL930" s="1168"/>
      <c r="HM930" s="1168"/>
      <c r="HN930" s="1168"/>
      <c r="HO930" s="1168"/>
      <c r="HP930" s="1168"/>
      <c r="HQ930" s="1169"/>
      <c r="HR930" s="1168"/>
      <c r="HS930" s="1168"/>
      <c r="HT930" s="1168"/>
      <c r="HU930" s="1168"/>
      <c r="HV930" s="1168"/>
      <c r="HW930" s="1168"/>
      <c r="HX930" s="1168"/>
      <c r="HY930" s="1168"/>
      <c r="HZ930" s="1168"/>
      <c r="IA930" s="1168"/>
      <c r="IB930" s="1168"/>
      <c r="IC930" s="1168"/>
      <c r="ID930" s="1168"/>
      <c r="IE930" s="1168"/>
      <c r="IF930" s="1168"/>
      <c r="IG930" s="1169"/>
      <c r="IH930" s="1168"/>
      <c r="II930" s="1168"/>
      <c r="IJ930" s="1168"/>
      <c r="IK930" s="1168"/>
      <c r="IL930" s="1168"/>
      <c r="IM930" s="1168"/>
      <c r="IN930" s="1168"/>
      <c r="IO930" s="1169"/>
      <c r="IP930" s="1168"/>
      <c r="IQ930" s="1168"/>
      <c r="IR930" s="1168"/>
      <c r="IS930" s="1168"/>
      <c r="IT930" s="1168"/>
      <c r="IU930" s="1168"/>
      <c r="IV930" s="1168"/>
      <c r="IW930" s="1168"/>
      <c r="IX930" s="1049"/>
      <c r="IY930" s="1049"/>
      <c r="IZ930" s="1049"/>
      <c r="JA930" s="1049"/>
      <c r="JB930" s="1049"/>
      <c r="JC930" s="1049"/>
      <c r="JD930" s="1041"/>
      <c r="JE930" s="1037"/>
      <c r="JF930" s="1037"/>
      <c r="JG930" s="1037"/>
      <c r="JH930" s="1037"/>
      <c r="JI930" s="1035"/>
      <c r="JJ930" s="1035"/>
      <c r="JK930" s="1035"/>
      <c r="JL930" s="1035"/>
      <c r="JM930" s="1035"/>
      <c r="JN930" s="1035"/>
      <c r="JO930" s="1035"/>
      <c r="JP930" s="1035"/>
      <c r="JQ930" s="1035"/>
      <c r="JR930" s="1035"/>
      <c r="JS930" s="1035"/>
      <c r="JT930" s="1035"/>
      <c r="JU930" s="1035"/>
      <c r="JV930" s="1035"/>
      <c r="JW930" s="1035"/>
      <c r="JX930" s="1035"/>
      <c r="JY930" s="1035"/>
      <c r="LV930" s="967"/>
    </row>
    <row r="931" outlineLevel="1" spans="1:334">
      <c r="A931" s="1025" t="s">
        <v>70</v>
      </c>
      <c r="AX931" s="1059"/>
      <c r="BE931" s="1060"/>
      <c r="BN931" s="1059"/>
      <c r="BU931" s="1060"/>
      <c r="BV931" s="1059"/>
      <c r="CC931" s="1060"/>
      <c r="CD931" s="1059"/>
      <c r="CJ931" s="1061"/>
      <c r="CK931" s="1060"/>
      <c r="CL931" s="1059"/>
      <c r="CS931" s="1060"/>
      <c r="CT931" s="1025"/>
      <c r="CU931" s="1025"/>
      <c r="CV931" s="1025"/>
      <c r="CW931" s="1025"/>
      <c r="CX931" s="1025"/>
      <c r="CY931" s="1025"/>
      <c r="CZ931" s="1025"/>
      <c r="DA931" s="1025"/>
      <c r="DB931" s="1071">
        <v>82</v>
      </c>
      <c r="DC931" s="1071">
        <v>90</v>
      </c>
      <c r="DD931" s="1071">
        <f>DB931+DC931</f>
        <v>172</v>
      </c>
      <c r="DE931" s="1071">
        <v>97</v>
      </c>
      <c r="DF931" s="1071">
        <f>DD931+DE931</f>
        <v>269</v>
      </c>
      <c r="DG931" s="1071">
        <v>68</v>
      </c>
      <c r="DH931" s="1071">
        <f>DE931+DG931</f>
        <v>165</v>
      </c>
      <c r="DI931" s="1072" t="e">
        <f>'Profit and Loss'!#REF!</f>
        <v>#REF!</v>
      </c>
      <c r="DJ931" s="1071">
        <v>43</v>
      </c>
      <c r="DK931" s="1071">
        <v>85</v>
      </c>
      <c r="DL931" s="1071">
        <f>DJ931+DK931</f>
        <v>128</v>
      </c>
      <c r="DM931" s="1071">
        <v>76</v>
      </c>
      <c r="DN931" s="1071">
        <f>DL931+DM931</f>
        <v>204</v>
      </c>
      <c r="DO931" s="1071">
        <v>78</v>
      </c>
      <c r="DP931" s="1071">
        <f>DO931+DM931</f>
        <v>154</v>
      </c>
      <c r="DQ931" s="1072" t="e">
        <f>'Profit and Loss'!#REF!</f>
        <v>#REF!</v>
      </c>
      <c r="DR931" s="1073">
        <v>92</v>
      </c>
      <c r="DS931" s="1073">
        <v>105</v>
      </c>
      <c r="DT931" s="1073">
        <f>DR931+DS931</f>
        <v>197</v>
      </c>
      <c r="DU931" s="1073">
        <f>DU$21*DU933</f>
        <v>110.016</v>
      </c>
      <c r="DV931" s="1073">
        <f>DT931+DU931</f>
        <v>307.016</v>
      </c>
      <c r="DW931" s="1073">
        <f>DW$21*DW933</f>
        <v>83.75</v>
      </c>
      <c r="DX931" s="1073">
        <f>DU931+DW931</f>
        <v>193.766</v>
      </c>
      <c r="DY931" s="1072">
        <f>SUM(DR931:DS931,DU931,DW931)</f>
        <v>390.766</v>
      </c>
      <c r="DZ931" s="1073">
        <v>106</v>
      </c>
      <c r="EA931" s="1073">
        <v>114</v>
      </c>
      <c r="EB931" s="1073">
        <f>DZ931+EA931</f>
        <v>220</v>
      </c>
      <c r="EC931" s="1073">
        <f>ED931-EB931</f>
        <v>117</v>
      </c>
      <c r="ED931" s="1073">
        <v>337</v>
      </c>
      <c r="EE931" s="1073">
        <f>+EF931-EC931</f>
        <v>90</v>
      </c>
      <c r="EF931" s="1073">
        <f>+EG931-EB931</f>
        <v>207</v>
      </c>
      <c r="EG931" s="1074">
        <v>427</v>
      </c>
      <c r="EH931" s="1073">
        <v>148</v>
      </c>
      <c r="EI931" s="1073">
        <f>+EJ931-EH931</f>
        <v>171</v>
      </c>
      <c r="EJ931" s="1073">
        <v>319</v>
      </c>
      <c r="EK931" s="1073">
        <f>EL931-EJ931</f>
        <v>126</v>
      </c>
      <c r="EL931" s="1073">
        <v>445</v>
      </c>
      <c r="EM931" s="1073">
        <f>EN931-EK931</f>
        <v>96</v>
      </c>
      <c r="EN931" s="1073">
        <f>EO931-EJ931</f>
        <v>222</v>
      </c>
      <c r="EO931" s="1074">
        <v>541</v>
      </c>
      <c r="EP931" s="1073">
        <v>172</v>
      </c>
      <c r="EQ931" s="1073">
        <f>ER931-EP931</f>
        <v>139</v>
      </c>
      <c r="ER931" s="1073">
        <v>311</v>
      </c>
      <c r="ES931" s="1073">
        <f>ET931-ER931</f>
        <v>70</v>
      </c>
      <c r="ET931" s="1073">
        <v>381</v>
      </c>
      <c r="EU931" s="1073">
        <f>EV931-ES931</f>
        <v>127</v>
      </c>
      <c r="EV931" s="1073">
        <f>EW931-ER931</f>
        <v>197</v>
      </c>
      <c r="EW931" s="1074">
        <v>508</v>
      </c>
      <c r="EX931" s="1073">
        <v>75</v>
      </c>
      <c r="EY931" s="1073">
        <v>89</v>
      </c>
      <c r="EZ931" s="1073">
        <f>EX931+EY931</f>
        <v>164</v>
      </c>
      <c r="FA931" s="1073">
        <f>FB931-EZ931</f>
        <v>53</v>
      </c>
      <c r="FB931" s="1073">
        <v>217</v>
      </c>
      <c r="FC931" s="1073"/>
      <c r="FD931" s="1073"/>
      <c r="FE931" s="1074"/>
      <c r="FF931" s="1175"/>
      <c r="FG931" s="1175"/>
      <c r="FH931" s="1175"/>
      <c r="FI931" s="1175"/>
      <c r="FJ931" s="1175"/>
      <c r="FK931" s="1175"/>
      <c r="FL931" s="1175"/>
      <c r="FM931" s="1176"/>
      <c r="FN931" s="1175"/>
      <c r="FO931" s="1175"/>
      <c r="FP931" s="1175"/>
      <c r="FQ931" s="1175"/>
      <c r="FR931" s="1175"/>
      <c r="FS931" s="1175"/>
      <c r="FT931" s="1175"/>
      <c r="FU931" s="1175"/>
      <c r="FV931" s="1614"/>
      <c r="FW931" s="1175"/>
      <c r="FX931" s="1175"/>
      <c r="FY931" s="1175"/>
      <c r="FZ931" s="1175"/>
      <c r="GA931" s="1175"/>
      <c r="GB931" s="1175"/>
      <c r="GC931" s="1176"/>
      <c r="GD931" s="1175"/>
      <c r="GE931" s="1175"/>
      <c r="GF931" s="1175"/>
      <c r="GG931" s="1175"/>
      <c r="GH931" s="1175"/>
      <c r="GI931" s="1175"/>
      <c r="GJ931" s="1175"/>
      <c r="GK931" s="1176"/>
      <c r="GL931" s="1175"/>
      <c r="GM931" s="1175"/>
      <c r="GN931" s="1175"/>
      <c r="GO931" s="1175"/>
      <c r="GP931" s="1175"/>
      <c r="GQ931" s="1175"/>
      <c r="GR931" s="1175"/>
      <c r="GS931" s="1176"/>
      <c r="GT931" s="1175"/>
      <c r="GU931" s="1175"/>
      <c r="GV931" s="1175"/>
      <c r="GW931" s="1175"/>
      <c r="GX931" s="1175"/>
      <c r="GY931" s="1175"/>
      <c r="GZ931" s="1175"/>
      <c r="HA931" s="1176"/>
      <c r="HB931" s="1175"/>
      <c r="HC931" s="1175"/>
      <c r="HD931" s="1175"/>
      <c r="HE931" s="1175"/>
      <c r="HF931" s="1175"/>
      <c r="HG931" s="1175"/>
      <c r="HH931" s="1175"/>
      <c r="HI931" s="1176"/>
      <c r="HJ931" s="1175"/>
      <c r="HK931" s="1175"/>
      <c r="HL931" s="1175"/>
      <c r="HM931" s="1175"/>
      <c r="HN931" s="1175"/>
      <c r="HO931" s="1175"/>
      <c r="HP931" s="1175"/>
      <c r="HQ931" s="1176"/>
      <c r="HR931" s="1175"/>
      <c r="HS931" s="1175"/>
      <c r="HT931" s="1175"/>
      <c r="HU931" s="1175"/>
      <c r="HV931" s="1175"/>
      <c r="HW931" s="1175"/>
      <c r="HX931" s="1175"/>
      <c r="HY931" s="1175"/>
      <c r="HZ931" s="1175"/>
      <c r="IA931" s="1175"/>
      <c r="IB931" s="1175"/>
      <c r="IC931" s="1175"/>
      <c r="ID931" s="1175"/>
      <c r="IE931" s="1175"/>
      <c r="IF931" s="1175"/>
      <c r="IG931" s="1176"/>
      <c r="IH931" s="1175"/>
      <c r="II931" s="1175"/>
      <c r="IJ931" s="1175"/>
      <c r="IK931" s="1175"/>
      <c r="IL931" s="1175"/>
      <c r="IM931" s="1175"/>
      <c r="IN931" s="1175"/>
      <c r="IO931" s="1176"/>
      <c r="IP931" s="1175"/>
      <c r="IQ931" s="1175"/>
      <c r="IR931" s="1175"/>
      <c r="IS931" s="1175"/>
      <c r="IT931" s="1175"/>
      <c r="IU931" s="1175"/>
      <c r="IV931" s="1175"/>
      <c r="IW931" s="1175"/>
      <c r="IX931" s="1049"/>
      <c r="IY931" s="1049"/>
      <c r="IZ931" s="1049"/>
      <c r="JA931" s="1049"/>
      <c r="JB931" s="1049"/>
      <c r="JC931" s="1049"/>
      <c r="JD931" s="1049"/>
      <c r="JE931" s="1037"/>
      <c r="JF931" s="1037"/>
      <c r="JG931" s="1037"/>
      <c r="JH931" s="1037"/>
      <c r="JI931" s="1035"/>
      <c r="JJ931" s="1035"/>
      <c r="JK931" s="1035"/>
      <c r="JL931" s="1035"/>
      <c r="JM931" s="1035"/>
      <c r="JN931" s="1035"/>
      <c r="JO931" s="1035"/>
      <c r="JP931" s="1035"/>
      <c r="JQ931" s="1035"/>
      <c r="JR931" s="1035"/>
      <c r="JS931" s="1035"/>
      <c r="JT931" s="1035"/>
      <c r="JU931" s="1035"/>
      <c r="JV931" s="1035"/>
      <c r="JW931" s="1035"/>
      <c r="JX931" s="1035"/>
      <c r="JY931" s="1035"/>
      <c r="LV931" s="967"/>
    </row>
    <row r="932" outlineLevel="1" spans="1:334">
      <c r="A932" s="1113" t="s">
        <v>61</v>
      </c>
      <c r="AX932" s="1059"/>
      <c r="BE932" s="1060"/>
      <c r="BN932" s="1059"/>
      <c r="BU932" s="1060"/>
      <c r="BV932" s="1059"/>
      <c r="CC932" s="1060"/>
      <c r="CD932" s="1059"/>
      <c r="CJ932" s="1061"/>
      <c r="CK932" s="1060"/>
      <c r="CL932" s="1059"/>
      <c r="CS932" s="1060"/>
      <c r="CT932" s="1025"/>
      <c r="CU932" s="1025"/>
      <c r="CV932" s="1025"/>
      <c r="CW932" s="1025"/>
      <c r="CX932" s="1025"/>
      <c r="CY932" s="1025"/>
      <c r="CZ932" s="1025"/>
      <c r="DA932" s="1025"/>
      <c r="DB932" s="1071"/>
      <c r="DC932" s="1071"/>
      <c r="DD932" s="1071"/>
      <c r="DE932" s="1071"/>
      <c r="DF932" s="1071"/>
      <c r="DG932" s="1071"/>
      <c r="DH932" s="1071"/>
      <c r="DI932" s="1072"/>
      <c r="DJ932" s="1080">
        <f t="shared" ref="DJ932:DV932" si="4704">DJ931/DB931-1</f>
        <v>-0.475609756097561</v>
      </c>
      <c r="DK932" s="1080">
        <f t="shared" si="4704"/>
        <v>-0.0555555555555556</v>
      </c>
      <c r="DL932" s="1080">
        <f t="shared" si="4704"/>
        <v>-0.255813953488372</v>
      </c>
      <c r="DM932" s="1080">
        <f t="shared" si="4704"/>
        <v>-0.216494845360825</v>
      </c>
      <c r="DN932" s="1080">
        <f t="shared" si="4704"/>
        <v>-0.241635687732342</v>
      </c>
      <c r="DO932" s="1080">
        <f t="shared" si="4704"/>
        <v>0.147058823529412</v>
      </c>
      <c r="DP932" s="1080">
        <f t="shared" si="4704"/>
        <v>-0.0666666666666667</v>
      </c>
      <c r="DQ932" s="1081" t="e">
        <f t="shared" si="4704"/>
        <v>#REF!</v>
      </c>
      <c r="DR932" s="1080">
        <f t="shared" si="4704"/>
        <v>1.13953488372093</v>
      </c>
      <c r="DS932" s="1080">
        <f t="shared" si="4704"/>
        <v>0.235294117647059</v>
      </c>
      <c r="DT932" s="1083">
        <f t="shared" si="4704"/>
        <v>0.5390625</v>
      </c>
      <c r="DU932" s="1083">
        <f t="shared" si="4704"/>
        <v>0.447578947368421</v>
      </c>
      <c r="DV932" s="1083">
        <f t="shared" si="4704"/>
        <v>0.504980392156863</v>
      </c>
      <c r="DW932" s="1080">
        <v>-0.042</v>
      </c>
      <c r="DX932" s="1114">
        <f>DX931/DP931-1</f>
        <v>0.258220779220779</v>
      </c>
      <c r="DY932" s="1081" t="e">
        <f>DY931/DQ931-1</f>
        <v>#REF!</v>
      </c>
      <c r="DZ932" s="1080">
        <f>DZ931/DR931-1</f>
        <v>0.152173913043478</v>
      </c>
      <c r="EA932" s="1080">
        <f>EA931/DS931-1</f>
        <v>0.0857142857142856</v>
      </c>
      <c r="EB932" s="1083">
        <f t="shared" ref="EB932:EI932" si="4705">EB931/DT931-1</f>
        <v>0.116751269035533</v>
      </c>
      <c r="EC932" s="1080">
        <f t="shared" si="4705"/>
        <v>0.0634816753926701</v>
      </c>
      <c r="ED932" s="1080">
        <f t="shared" si="4705"/>
        <v>0.0976626625322461</v>
      </c>
      <c r="EE932" s="1080">
        <f t="shared" si="4705"/>
        <v>0.0746268656716418</v>
      </c>
      <c r="EF932" s="1080">
        <f t="shared" si="4705"/>
        <v>0.0682988759637915</v>
      </c>
      <c r="EG932" s="1081">
        <f t="shared" si="4705"/>
        <v>0.0927255697783329</v>
      </c>
      <c r="EH932" s="1080">
        <f t="shared" si="4705"/>
        <v>0.39622641509434</v>
      </c>
      <c r="EI932" s="1080">
        <f t="shared" si="4705"/>
        <v>0.5</v>
      </c>
      <c r="EJ932" s="1083">
        <f t="shared" ref="EJ932:EP932" si="4706">EJ931/EB931-1</f>
        <v>0.45</v>
      </c>
      <c r="EK932" s="1083">
        <f t="shared" si="4706"/>
        <v>0.0769230769230769</v>
      </c>
      <c r="EL932" s="1083">
        <f t="shared" si="4706"/>
        <v>0.320474777448071</v>
      </c>
      <c r="EM932" s="1080">
        <f t="shared" si="4706"/>
        <v>0.0666666666666667</v>
      </c>
      <c r="EN932" s="1080">
        <f t="shared" si="4706"/>
        <v>0.0724637681159421</v>
      </c>
      <c r="EO932" s="1081">
        <f t="shared" si="4706"/>
        <v>0.266978922716628</v>
      </c>
      <c r="EP932" s="1080">
        <f t="shared" si="4706"/>
        <v>0.162162162162162</v>
      </c>
      <c r="EQ932" s="1080">
        <f t="shared" ref="EQ932:FB932" si="4707">EQ931/EI931-1</f>
        <v>-0.187134502923977</v>
      </c>
      <c r="ER932" s="1080">
        <f t="shared" si="4707"/>
        <v>-0.0250783699059561</v>
      </c>
      <c r="ES932" s="1080">
        <f t="shared" si="4707"/>
        <v>-0.444444444444444</v>
      </c>
      <c r="ET932" s="1080">
        <f t="shared" si="4707"/>
        <v>-0.143820224719101</v>
      </c>
      <c r="EU932" s="1080">
        <f t="shared" si="4707"/>
        <v>0.322916666666667</v>
      </c>
      <c r="EV932" s="1080">
        <f t="shared" si="4707"/>
        <v>-0.112612612612613</v>
      </c>
      <c r="EW932" s="1081">
        <f t="shared" si="4707"/>
        <v>-0.0609981515711645</v>
      </c>
      <c r="EX932" s="1080">
        <f t="shared" si="4707"/>
        <v>-0.563953488372093</v>
      </c>
      <c r="EY932" s="1080">
        <f t="shared" si="4707"/>
        <v>-0.359712230215827</v>
      </c>
      <c r="EZ932" s="1080">
        <f t="shared" si="4707"/>
        <v>-0.472668810289389</v>
      </c>
      <c r="FA932" s="1080">
        <f t="shared" si="4707"/>
        <v>-0.242857142857143</v>
      </c>
      <c r="FB932" s="1080">
        <f t="shared" si="4707"/>
        <v>-0.430446194225722</v>
      </c>
      <c r="FC932" s="1080"/>
      <c r="FD932" s="1080"/>
      <c r="FE932" s="1081"/>
      <c r="FF932" s="1217"/>
      <c r="FG932" s="1217"/>
      <c r="FH932" s="1217"/>
      <c r="FI932" s="1217"/>
      <c r="FJ932" s="1217"/>
      <c r="FK932" s="1217"/>
      <c r="FL932" s="1217"/>
      <c r="FM932" s="1216"/>
      <c r="FN932" s="1217"/>
      <c r="FO932" s="1217"/>
      <c r="FP932" s="1217"/>
      <c r="FQ932" s="1217"/>
      <c r="FR932" s="1217"/>
      <c r="FS932" s="1217"/>
      <c r="FT932" s="1217"/>
      <c r="FU932" s="1217"/>
      <c r="FV932" s="1615"/>
      <c r="FW932" s="1217"/>
      <c r="FX932" s="1217"/>
      <c r="FY932" s="1217"/>
      <c r="FZ932" s="1217"/>
      <c r="GA932" s="1217"/>
      <c r="GB932" s="1217"/>
      <c r="GC932" s="1216"/>
      <c r="GD932" s="1217"/>
      <c r="GE932" s="1217"/>
      <c r="GF932" s="1217"/>
      <c r="GG932" s="1217"/>
      <c r="GH932" s="1217"/>
      <c r="GI932" s="1217"/>
      <c r="GJ932" s="1217"/>
      <c r="GK932" s="1216"/>
      <c r="GL932" s="1217"/>
      <c r="GM932" s="1217"/>
      <c r="GN932" s="1217"/>
      <c r="GO932" s="1217"/>
      <c r="GP932" s="1217"/>
      <c r="GQ932" s="1217"/>
      <c r="GR932" s="1217"/>
      <c r="GS932" s="1216"/>
      <c r="GT932" s="1217"/>
      <c r="GU932" s="1217"/>
      <c r="GV932" s="1217"/>
      <c r="GW932" s="1217"/>
      <c r="GX932" s="1217"/>
      <c r="GY932" s="1217"/>
      <c r="GZ932" s="1217"/>
      <c r="HA932" s="1216"/>
      <c r="HB932" s="1217"/>
      <c r="HC932" s="1217"/>
      <c r="HD932" s="1217"/>
      <c r="HE932" s="1217"/>
      <c r="HF932" s="1217"/>
      <c r="HG932" s="1217"/>
      <c r="HH932" s="1217"/>
      <c r="HI932" s="1216"/>
      <c r="HJ932" s="1217"/>
      <c r="HK932" s="1217"/>
      <c r="HL932" s="1217"/>
      <c r="HM932" s="1217"/>
      <c r="HN932" s="1217"/>
      <c r="HO932" s="1217"/>
      <c r="HP932" s="1217"/>
      <c r="HQ932" s="1216"/>
      <c r="HR932" s="1217"/>
      <c r="HS932" s="1217"/>
      <c r="HT932" s="1217"/>
      <c r="HU932" s="1217"/>
      <c r="HV932" s="1217"/>
      <c r="HW932" s="1217"/>
      <c r="HX932" s="1217"/>
      <c r="HY932" s="1217"/>
      <c r="HZ932" s="1217"/>
      <c r="IA932" s="1217"/>
      <c r="IB932" s="1217"/>
      <c r="IC932" s="1217"/>
      <c r="ID932" s="1217"/>
      <c r="IE932" s="1217"/>
      <c r="IF932" s="1217"/>
      <c r="IG932" s="1216"/>
      <c r="IH932" s="1217"/>
      <c r="II932" s="1217"/>
      <c r="IJ932" s="1217"/>
      <c r="IK932" s="1217"/>
      <c r="IL932" s="1217"/>
      <c r="IM932" s="1217"/>
      <c r="IN932" s="1217"/>
      <c r="IO932" s="1216"/>
      <c r="IP932" s="1217"/>
      <c r="IQ932" s="1217"/>
      <c r="IR932" s="1217"/>
      <c r="IS932" s="1217"/>
      <c r="IT932" s="1217"/>
      <c r="IU932" s="1217"/>
      <c r="IV932" s="1217"/>
      <c r="IW932" s="1217"/>
      <c r="IX932" s="1049"/>
      <c r="IY932" s="1049"/>
      <c r="IZ932" s="1049"/>
      <c r="JA932" s="1049"/>
      <c r="JB932" s="1049"/>
      <c r="JC932" s="1049"/>
      <c r="JD932" s="1041"/>
      <c r="JE932" s="1037"/>
      <c r="JF932" s="1037"/>
      <c r="JG932" s="1037"/>
      <c r="JH932" s="1037"/>
      <c r="JI932" s="1035"/>
      <c r="JJ932" s="1035"/>
      <c r="JK932" s="1035"/>
      <c r="JL932" s="1035"/>
      <c r="JM932" s="1035"/>
      <c r="JN932" s="1035"/>
      <c r="JO932" s="1035"/>
      <c r="JP932" s="1035"/>
      <c r="JQ932" s="1035"/>
      <c r="JR932" s="1035"/>
      <c r="JS932" s="1035"/>
      <c r="JT932" s="1035"/>
      <c r="JU932" s="1035"/>
      <c r="JV932" s="1035"/>
      <c r="JW932" s="1035"/>
      <c r="JX932" s="1035"/>
      <c r="JY932" s="1035"/>
      <c r="LV932" s="967"/>
    </row>
    <row r="933" outlineLevel="1" spans="1:334">
      <c r="A933" s="1113" t="s">
        <v>680</v>
      </c>
      <c r="AX933" s="1059"/>
      <c r="BE933" s="1060"/>
      <c r="BN933" s="1059"/>
      <c r="BU933" s="1060"/>
      <c r="BV933" s="1059"/>
      <c r="CC933" s="1060"/>
      <c r="CD933" s="1059"/>
      <c r="CJ933" s="1061"/>
      <c r="CK933" s="1060"/>
      <c r="CL933" s="1059"/>
      <c r="CS933" s="1060"/>
      <c r="CT933" s="1117"/>
      <c r="CU933" s="1117"/>
      <c r="CV933" s="1117"/>
      <c r="CW933" s="1117"/>
      <c r="CX933" s="1117"/>
      <c r="CY933" s="1117"/>
      <c r="CZ933" s="1117"/>
      <c r="DA933" s="1117"/>
      <c r="DB933" s="1082">
        <f t="shared" ref="DB933:DT933" si="4708">DB931/DB21</f>
        <v>0.287719298245614</v>
      </c>
      <c r="DC933" s="1082">
        <f t="shared" si="4708"/>
        <v>0.267857142857143</v>
      </c>
      <c r="DD933" s="1082">
        <f t="shared" si="4708"/>
        <v>0.276972624798712</v>
      </c>
      <c r="DE933" s="1082">
        <f t="shared" si="4708"/>
        <v>0.279538904899135</v>
      </c>
      <c r="DF933" s="1082">
        <f t="shared" si="4708"/>
        <v>0.277892561983471</v>
      </c>
      <c r="DG933" s="1082">
        <f t="shared" si="4708"/>
        <v>0.213836477987421</v>
      </c>
      <c r="DH933" s="1082">
        <f t="shared" si="4708"/>
        <v>0.24812030075188</v>
      </c>
      <c r="DI933" s="1085" t="e">
        <f t="shared" si="4708"/>
        <v>#REF!</v>
      </c>
      <c r="DJ933" s="1082">
        <f t="shared" si="4708"/>
        <v>0.145762711864407</v>
      </c>
      <c r="DK933" s="1082">
        <f t="shared" si="4708"/>
        <v>0.234806629834254</v>
      </c>
      <c r="DL933" s="1082">
        <f t="shared" si="4708"/>
        <v>0.19482496194825</v>
      </c>
      <c r="DM933" s="1082">
        <f t="shared" si="4708"/>
        <v>0.233128834355828</v>
      </c>
      <c r="DN933" s="1082">
        <f t="shared" si="4708"/>
        <v>0.207527975584944</v>
      </c>
      <c r="DO933" s="1082">
        <f t="shared" si="4708"/>
        <v>0.253246753246753</v>
      </c>
      <c r="DP933" s="1082">
        <f t="shared" si="4708"/>
        <v>0.242902208201893</v>
      </c>
      <c r="DQ933" s="1085" t="e">
        <f t="shared" si="4708"/>
        <v>#REF!</v>
      </c>
      <c r="DR933" s="1083">
        <f t="shared" si="4708"/>
        <v>0.291139240506329</v>
      </c>
      <c r="DS933" s="1083">
        <f t="shared" si="4708"/>
        <v>0.271317829457364</v>
      </c>
      <c r="DT933" s="1083">
        <f t="shared" si="4708"/>
        <v>0.28022759601707</v>
      </c>
      <c r="DU933" s="1083">
        <v>0.288</v>
      </c>
      <c r="DV933" s="1083">
        <f>DV931/DV21</f>
        <v>0.282964055299539</v>
      </c>
      <c r="DW933" s="1083">
        <v>0.25</v>
      </c>
      <c r="DX933" s="1083">
        <f t="shared" ref="DX933:FB933" si="4709">DX931/DX21</f>
        <v>0.270245467224547</v>
      </c>
      <c r="DY933" s="1085">
        <f t="shared" si="4709"/>
        <v>0.275187323943662</v>
      </c>
      <c r="DZ933" s="1083">
        <f t="shared" si="4709"/>
        <v>0.281914893617021</v>
      </c>
      <c r="EA933" s="1083">
        <f t="shared" si="4709"/>
        <v>0.278048780487805</v>
      </c>
      <c r="EB933" s="1083">
        <f t="shared" si="4709"/>
        <v>0.279898218829517</v>
      </c>
      <c r="EC933" s="1083">
        <f t="shared" si="4709"/>
        <v>0.284671532846715</v>
      </c>
      <c r="ED933" s="1083">
        <f t="shared" si="4709"/>
        <v>0.281537176274018</v>
      </c>
      <c r="EE933" s="1083">
        <f t="shared" si="4709"/>
        <v>0.235602094240838</v>
      </c>
      <c r="EF933" s="1083">
        <f t="shared" si="4709"/>
        <v>0.260705289672544</v>
      </c>
      <c r="EG933" s="1084">
        <f t="shared" si="4709"/>
        <v>0.270253164556962</v>
      </c>
      <c r="EH933" s="1083">
        <f t="shared" si="4709"/>
        <v>0.286266924564797</v>
      </c>
      <c r="EI933" s="1083">
        <f t="shared" si="4709"/>
        <v>0.310909090909091</v>
      </c>
      <c r="EJ933" s="1083">
        <f t="shared" si="4709"/>
        <v>0.298969072164948</v>
      </c>
      <c r="EK933" s="1083">
        <f t="shared" si="4709"/>
        <v>0.259259259259259</v>
      </c>
      <c r="EL933" s="1083">
        <f t="shared" si="4709"/>
        <v>0.286542176432711</v>
      </c>
      <c r="EM933" s="1083">
        <f t="shared" si="4709"/>
        <v>0.226415094339623</v>
      </c>
      <c r="EN933" s="1083">
        <f t="shared" si="4709"/>
        <v>0.243956043956044</v>
      </c>
      <c r="EO933" s="1093">
        <f t="shared" si="4709"/>
        <v>0.27364693980779</v>
      </c>
      <c r="EP933" s="1083">
        <f t="shared" si="4709"/>
        <v>0.313868613138686</v>
      </c>
      <c r="EQ933" s="1094">
        <f t="shared" si="4709"/>
        <v>0.276892430278884</v>
      </c>
      <c r="ER933" s="1094">
        <f t="shared" si="4709"/>
        <v>0.296190476190476</v>
      </c>
      <c r="ES933" s="1094">
        <f t="shared" si="4709"/>
        <v>0.173697270471464</v>
      </c>
      <c r="ET933" s="1094">
        <f t="shared" si="4709"/>
        <v>0.262216104611149</v>
      </c>
      <c r="EU933" s="1083">
        <f t="shared" si="4709"/>
        <v>0.257606490872211</v>
      </c>
      <c r="EV933" s="1083">
        <f t="shared" si="4709"/>
        <v>0.219866071428571</v>
      </c>
      <c r="EW933" s="1093">
        <f t="shared" si="4709"/>
        <v>0.261048304213772</v>
      </c>
      <c r="EX933" s="1083">
        <f t="shared" si="4709"/>
        <v>0.196335078534031</v>
      </c>
      <c r="EY933" s="1083">
        <f t="shared" si="4709"/>
        <v>0.210900473933649</v>
      </c>
      <c r="EZ933" s="1083">
        <f t="shared" si="4709"/>
        <v>0.203980099502488</v>
      </c>
      <c r="FA933" s="1094">
        <f t="shared" si="4709"/>
        <v>0.149717514124294</v>
      </c>
      <c r="FB933" s="1094">
        <f t="shared" si="4709"/>
        <v>0.187392055267703</v>
      </c>
      <c r="FC933" s="1094"/>
      <c r="FD933" s="1094"/>
      <c r="FE933" s="1093"/>
      <c r="FF933" s="1168"/>
      <c r="FG933" s="1168"/>
      <c r="FH933" s="1168"/>
      <c r="FI933" s="1168"/>
      <c r="FJ933" s="1168"/>
      <c r="FK933" s="1168"/>
      <c r="FL933" s="1168"/>
      <c r="FM933" s="1169"/>
      <c r="FN933" s="1168"/>
      <c r="FO933" s="1168"/>
      <c r="FP933" s="1168"/>
      <c r="FQ933" s="1168"/>
      <c r="FR933" s="1168"/>
      <c r="FS933" s="1168"/>
      <c r="FT933" s="1168"/>
      <c r="FU933" s="1168"/>
      <c r="FV933" s="1616"/>
      <c r="FW933" s="1168"/>
      <c r="FX933" s="1168"/>
      <c r="FY933" s="1168"/>
      <c r="FZ933" s="1168"/>
      <c r="GA933" s="1168"/>
      <c r="GB933" s="1168"/>
      <c r="GC933" s="1169"/>
      <c r="GD933" s="1168"/>
      <c r="GE933" s="1168"/>
      <c r="GF933" s="1168"/>
      <c r="GG933" s="1168"/>
      <c r="GH933" s="1168"/>
      <c r="GI933" s="1168"/>
      <c r="GJ933" s="1168"/>
      <c r="GK933" s="1169"/>
      <c r="GL933" s="1168"/>
      <c r="GM933" s="1168"/>
      <c r="GN933" s="1168"/>
      <c r="GO933" s="1168"/>
      <c r="GP933" s="1168"/>
      <c r="GQ933" s="1168"/>
      <c r="GR933" s="1168"/>
      <c r="GS933" s="1169"/>
      <c r="GT933" s="1168"/>
      <c r="GU933" s="1168"/>
      <c r="GV933" s="1168"/>
      <c r="GW933" s="1168"/>
      <c r="GX933" s="1168"/>
      <c r="GY933" s="1168"/>
      <c r="GZ933" s="1168"/>
      <c r="HA933" s="1169"/>
      <c r="HB933" s="1168"/>
      <c r="HC933" s="1168"/>
      <c r="HD933" s="1168"/>
      <c r="HE933" s="1168"/>
      <c r="HF933" s="1168"/>
      <c r="HG933" s="1168"/>
      <c r="HH933" s="1168"/>
      <c r="HI933" s="1169"/>
      <c r="HJ933" s="1168"/>
      <c r="HK933" s="1168"/>
      <c r="HL933" s="1168"/>
      <c r="HM933" s="1168"/>
      <c r="HN933" s="1168"/>
      <c r="HO933" s="1168"/>
      <c r="HP933" s="1168"/>
      <c r="HQ933" s="1169"/>
      <c r="HR933" s="1168"/>
      <c r="HS933" s="1168"/>
      <c r="HT933" s="1168"/>
      <c r="HU933" s="1168"/>
      <c r="HV933" s="1168"/>
      <c r="HW933" s="1168"/>
      <c r="HX933" s="1168"/>
      <c r="HY933" s="1168"/>
      <c r="HZ933" s="1168"/>
      <c r="IA933" s="1168"/>
      <c r="IB933" s="1168"/>
      <c r="IC933" s="1168"/>
      <c r="ID933" s="1168"/>
      <c r="IE933" s="1168"/>
      <c r="IF933" s="1168"/>
      <c r="IG933" s="1169"/>
      <c r="IH933" s="1168"/>
      <c r="II933" s="1168"/>
      <c r="IJ933" s="1168"/>
      <c r="IK933" s="1168"/>
      <c r="IL933" s="1168"/>
      <c r="IM933" s="1168"/>
      <c r="IN933" s="1168"/>
      <c r="IO933" s="1169"/>
      <c r="IP933" s="1168"/>
      <c r="IQ933" s="1168"/>
      <c r="IR933" s="1168"/>
      <c r="IS933" s="1168"/>
      <c r="IT933" s="1168"/>
      <c r="IU933" s="1168"/>
      <c r="IV933" s="1168"/>
      <c r="IW933" s="1168"/>
      <c r="IX933" s="1049"/>
      <c r="IY933" s="1049"/>
      <c r="IZ933" s="1049"/>
      <c r="JA933" s="1049"/>
      <c r="JB933" s="1049"/>
      <c r="JC933" s="1049"/>
      <c r="JD933" s="1041"/>
      <c r="JE933" s="1037"/>
      <c r="JF933" s="1037"/>
      <c r="JG933" s="1037"/>
      <c r="JH933" s="1037"/>
      <c r="JI933" s="1035"/>
      <c r="JJ933" s="1035"/>
      <c r="JK933" s="1035"/>
      <c r="JL933" s="1035"/>
      <c r="JM933" s="1035"/>
      <c r="JN933" s="1035"/>
      <c r="JO933" s="1035"/>
      <c r="JP933" s="1035"/>
      <c r="JQ933" s="1035"/>
      <c r="JR933" s="1035"/>
      <c r="JS933" s="1035"/>
      <c r="JT933" s="1035"/>
      <c r="JU933" s="1035"/>
      <c r="JV933" s="1035"/>
      <c r="JW933" s="1035"/>
      <c r="JX933" s="1035"/>
      <c r="JY933" s="1035"/>
      <c r="LV933" s="967"/>
    </row>
    <row r="934" outlineLevel="1" spans="1:334">
      <c r="A934" s="1105" t="s">
        <v>212</v>
      </c>
      <c r="AX934" s="1059"/>
      <c r="BE934" s="1060"/>
      <c r="BN934" s="1059"/>
      <c r="BU934" s="1060"/>
      <c r="BV934" s="1059"/>
      <c r="CC934" s="1060"/>
      <c r="CD934" s="1059"/>
      <c r="CJ934" s="1061"/>
      <c r="CK934" s="1060"/>
      <c r="CL934" s="1059"/>
      <c r="CS934" s="1060"/>
      <c r="CT934" s="1105"/>
      <c r="CU934" s="1105"/>
      <c r="CV934" s="1105"/>
      <c r="CW934" s="1105"/>
      <c r="CX934" s="1105"/>
      <c r="CY934" s="1105"/>
      <c r="CZ934" s="1105"/>
      <c r="DA934" s="1105"/>
      <c r="DB934" s="1106">
        <f t="shared" ref="DB934:DP934" si="4710">SUM(DB931,DB928,DB925,)</f>
        <v>862</v>
      </c>
      <c r="DC934" s="1106">
        <f t="shared" si="4710"/>
        <v>765</v>
      </c>
      <c r="DD934" s="1106">
        <f t="shared" si="4710"/>
        <v>1627</v>
      </c>
      <c r="DE934" s="1106">
        <f t="shared" si="4710"/>
        <v>1030</v>
      </c>
      <c r="DF934" s="1106">
        <f t="shared" si="4710"/>
        <v>2657</v>
      </c>
      <c r="DG934" s="1106">
        <f t="shared" si="4710"/>
        <v>698</v>
      </c>
      <c r="DH934" s="1106">
        <f t="shared" si="4710"/>
        <v>1728</v>
      </c>
      <c r="DI934" s="1107" t="e">
        <f t="shared" si="4710"/>
        <v>#REF!</v>
      </c>
      <c r="DJ934" s="1106">
        <f t="shared" si="4710"/>
        <v>673</v>
      </c>
      <c r="DK934" s="1106">
        <f t="shared" si="4710"/>
        <v>659</v>
      </c>
      <c r="DL934" s="1106">
        <f t="shared" si="4710"/>
        <v>1332</v>
      </c>
      <c r="DM934" s="1106">
        <f t="shared" si="4710"/>
        <v>879</v>
      </c>
      <c r="DN934" s="1106">
        <f t="shared" si="4710"/>
        <v>2211</v>
      </c>
      <c r="DO934" s="1106">
        <f t="shared" si="4710"/>
        <v>679</v>
      </c>
      <c r="DP934" s="1106">
        <f t="shared" si="4710"/>
        <v>1558</v>
      </c>
      <c r="DQ934" s="1107" t="e">
        <f t="shared" ref="DQ934:DY934" si="4711">SUM(DQ931,DQ928,DQ925,)</f>
        <v>#REF!</v>
      </c>
      <c r="DR934" s="1106">
        <f t="shared" si="4711"/>
        <v>770</v>
      </c>
      <c r="DS934" s="1106">
        <f t="shared" si="4711"/>
        <v>859</v>
      </c>
      <c r="DT934" s="1106">
        <f t="shared" si="4711"/>
        <v>1629</v>
      </c>
      <c r="DU934" s="1106">
        <f t="shared" si="4711"/>
        <v>1073.097</v>
      </c>
      <c r="DV934" s="1106">
        <f t="shared" si="4711"/>
        <v>2702.097</v>
      </c>
      <c r="DW934" s="1106">
        <f t="shared" si="4711"/>
        <v>715.374</v>
      </c>
      <c r="DX934" s="1106">
        <f t="shared" si="4711"/>
        <v>1788.471</v>
      </c>
      <c r="DY934" s="1107">
        <f t="shared" si="4711"/>
        <v>3417.471</v>
      </c>
      <c r="DZ934" s="1106">
        <f>SUM(DZ931,DZ928,DZ925)</f>
        <v>997</v>
      </c>
      <c r="EA934" s="1106">
        <f t="shared" ref="EA934:EG934" si="4712">SUM(EA931,EA928,EA925,)</f>
        <v>872</v>
      </c>
      <c r="EB934" s="1106">
        <f t="shared" si="4712"/>
        <v>1869</v>
      </c>
      <c r="EC934" s="1106">
        <f t="shared" si="4712"/>
        <v>1106</v>
      </c>
      <c r="ED934" s="1106">
        <f t="shared" si="4712"/>
        <v>2975</v>
      </c>
      <c r="EE934" s="1106">
        <f t="shared" si="4712"/>
        <v>735</v>
      </c>
      <c r="EF934" s="1106">
        <f t="shared" si="4712"/>
        <v>1841</v>
      </c>
      <c r="EG934" s="1107">
        <f t="shared" si="4712"/>
        <v>3710</v>
      </c>
      <c r="EH934" s="1106">
        <f>SUM(EH931,EH928,EH925)</f>
        <v>1114</v>
      </c>
      <c r="EI934" s="1106">
        <f t="shared" ref="EI934:EO934" si="4713">SUM(EI931,EI928,EI925)</f>
        <v>1018</v>
      </c>
      <c r="EJ934" s="1106">
        <f t="shared" si="4713"/>
        <v>2132</v>
      </c>
      <c r="EK934" s="1106">
        <f t="shared" si="4713"/>
        <v>1239</v>
      </c>
      <c r="EL934" s="1106">
        <f t="shared" si="4713"/>
        <v>3371</v>
      </c>
      <c r="EM934" s="1106">
        <f t="shared" si="4713"/>
        <v>859</v>
      </c>
      <c r="EN934" s="1106">
        <f>EO934-EJ934</f>
        <v>2098</v>
      </c>
      <c r="EO934" s="1107">
        <f t="shared" si="4713"/>
        <v>4230</v>
      </c>
      <c r="EP934" s="1106">
        <f t="shared" ref="EP934:EU934" si="4714">SUM(EP931,EP928,EP925)</f>
        <v>1166</v>
      </c>
      <c r="EQ934" s="1106">
        <f t="shared" si="4714"/>
        <v>986</v>
      </c>
      <c r="ER934" s="1106">
        <f t="shared" si="4714"/>
        <v>2152</v>
      </c>
      <c r="ES934" s="1106">
        <f t="shared" si="4714"/>
        <v>1191</v>
      </c>
      <c r="ET934" s="1106">
        <f t="shared" si="4714"/>
        <v>3343</v>
      </c>
      <c r="EU934" s="1106">
        <f t="shared" si="4714"/>
        <v>925</v>
      </c>
      <c r="EV934" s="1106">
        <f>EW934-ER934</f>
        <v>2116</v>
      </c>
      <c r="EW934" s="1107">
        <f t="shared" ref="EW934:FB934" si="4715">SUM(EW931,EW928,EW925)</f>
        <v>4268</v>
      </c>
      <c r="EX934" s="1106">
        <f t="shared" si="4715"/>
        <v>1018</v>
      </c>
      <c r="EY934" s="1106">
        <f t="shared" si="4715"/>
        <v>939</v>
      </c>
      <c r="EZ934" s="1106">
        <f t="shared" si="4715"/>
        <v>1957</v>
      </c>
      <c r="FA934" s="1106">
        <f t="shared" si="4715"/>
        <v>1189</v>
      </c>
      <c r="FB934" s="1106">
        <f t="shared" si="4715"/>
        <v>3146</v>
      </c>
      <c r="FC934" s="1106"/>
      <c r="FD934" s="1106"/>
      <c r="FE934" s="1107"/>
      <c r="FF934" s="1175"/>
      <c r="FG934" s="1175"/>
      <c r="FH934" s="1175"/>
      <c r="FI934" s="1175"/>
      <c r="FJ934" s="1175"/>
      <c r="FK934" s="1175"/>
      <c r="FL934" s="1175"/>
      <c r="FM934" s="1176"/>
      <c r="FN934" s="1175"/>
      <c r="FO934" s="1175"/>
      <c r="FP934" s="1175"/>
      <c r="FQ934" s="1175"/>
      <c r="FR934" s="1175"/>
      <c r="FS934" s="1175"/>
      <c r="FT934" s="1175"/>
      <c r="FU934" s="1175"/>
      <c r="FV934" s="1614"/>
      <c r="FW934" s="1175"/>
      <c r="FX934" s="1175"/>
      <c r="FY934" s="1175"/>
      <c r="FZ934" s="1175"/>
      <c r="GA934" s="1175"/>
      <c r="GB934" s="1175"/>
      <c r="GC934" s="1176"/>
      <c r="GD934" s="1175"/>
      <c r="GE934" s="1175"/>
      <c r="GF934" s="1175"/>
      <c r="GG934" s="1175"/>
      <c r="GH934" s="1175"/>
      <c r="GI934" s="1175"/>
      <c r="GJ934" s="1175"/>
      <c r="GK934" s="1176"/>
      <c r="GL934" s="1175"/>
      <c r="GM934" s="1175"/>
      <c r="GN934" s="1175"/>
      <c r="GO934" s="1175"/>
      <c r="GP934" s="1175"/>
      <c r="GQ934" s="1175"/>
      <c r="GR934" s="1175"/>
      <c r="GS934" s="1176"/>
      <c r="GT934" s="1175"/>
      <c r="GU934" s="1175"/>
      <c r="GV934" s="1175"/>
      <c r="GW934" s="1175"/>
      <c r="GX934" s="1175"/>
      <c r="GY934" s="1175"/>
      <c r="GZ934" s="1175"/>
      <c r="HA934" s="1176"/>
      <c r="HB934" s="1175"/>
      <c r="HC934" s="1175"/>
      <c r="HD934" s="1175"/>
      <c r="HE934" s="1175"/>
      <c r="HF934" s="1175"/>
      <c r="HG934" s="1175"/>
      <c r="HH934" s="1175"/>
      <c r="HI934" s="1176"/>
      <c r="HJ934" s="1175"/>
      <c r="HK934" s="1175"/>
      <c r="HL934" s="1175"/>
      <c r="HM934" s="1175"/>
      <c r="HN934" s="1175"/>
      <c r="HO934" s="1175"/>
      <c r="HP934" s="1175"/>
      <c r="HQ934" s="1176"/>
      <c r="HR934" s="1175"/>
      <c r="HS934" s="1175"/>
      <c r="HT934" s="1175"/>
      <c r="HU934" s="1175"/>
      <c r="HV934" s="1175"/>
      <c r="HW934" s="1175"/>
      <c r="HX934" s="1175"/>
      <c r="HY934" s="1175"/>
      <c r="HZ934" s="1175"/>
      <c r="IA934" s="1175"/>
      <c r="IB934" s="1175"/>
      <c r="IC934" s="1175"/>
      <c r="ID934" s="1175"/>
      <c r="IE934" s="1175"/>
      <c r="IF934" s="1175"/>
      <c r="IG934" s="1176"/>
      <c r="IH934" s="1175"/>
      <c r="II934" s="1175"/>
      <c r="IJ934" s="1175"/>
      <c r="IK934" s="1175"/>
      <c r="IL934" s="1175"/>
      <c r="IM934" s="1175"/>
      <c r="IN934" s="1175"/>
      <c r="IO934" s="1176"/>
      <c r="IP934" s="1175"/>
      <c r="IQ934" s="1175"/>
      <c r="IR934" s="1175"/>
      <c r="IS934" s="1175"/>
      <c r="IT934" s="1175"/>
      <c r="IU934" s="1175"/>
      <c r="IV934" s="1175"/>
      <c r="IW934" s="1175"/>
      <c r="IX934" s="1049"/>
      <c r="IY934" s="1049"/>
      <c r="IZ934" s="1049"/>
      <c r="JA934" s="1049"/>
      <c r="JB934" s="1049"/>
      <c r="JC934" s="1049"/>
      <c r="JD934" s="1049"/>
      <c r="JE934" s="1037"/>
      <c r="JF934" s="1037"/>
      <c r="JG934" s="1037"/>
      <c r="JH934" s="1037"/>
      <c r="JI934" s="1035"/>
      <c r="JJ934" s="1035"/>
      <c r="JK934" s="1035"/>
      <c r="JL934" s="1035"/>
      <c r="JM934" s="1035"/>
      <c r="JN934" s="1035"/>
      <c r="JO934" s="1035"/>
      <c r="JP934" s="1035"/>
      <c r="JQ934" s="1035"/>
      <c r="JR934" s="1035"/>
      <c r="JS934" s="1035"/>
      <c r="JT934" s="1035"/>
      <c r="JU934" s="1035"/>
      <c r="JV934" s="1035"/>
      <c r="JW934" s="1035"/>
      <c r="JX934" s="1035"/>
      <c r="JY934" s="1035"/>
    </row>
    <row r="935" outlineLevel="1" spans="1:334">
      <c r="A935" s="1113" t="s">
        <v>61</v>
      </c>
      <c r="AX935" s="1059"/>
      <c r="BE935" s="1060"/>
      <c r="BN935" s="1059"/>
      <c r="BU935" s="1060"/>
      <c r="BV935" s="1059"/>
      <c r="CC935" s="1060"/>
      <c r="CD935" s="1059"/>
      <c r="CJ935" s="1061"/>
      <c r="CK935" s="1060"/>
      <c r="CL935" s="1059"/>
      <c r="CS935" s="1060"/>
      <c r="CT935" s="1117"/>
      <c r="CU935" s="1117"/>
      <c r="CV935" s="1117"/>
      <c r="CW935" s="1117"/>
      <c r="CX935" s="1117"/>
      <c r="CY935" s="1117"/>
      <c r="CZ935" s="1117"/>
      <c r="DA935" s="1117"/>
      <c r="DB935" s="1426"/>
      <c r="DC935" s="1426"/>
      <c r="DD935" s="1426"/>
      <c r="DE935" s="1426"/>
      <c r="DF935" s="1426"/>
      <c r="DG935" s="1426"/>
      <c r="DH935" s="1426"/>
      <c r="DI935" s="1444"/>
      <c r="DJ935" s="1080">
        <f>DJ934/DB934-1</f>
        <v>-0.219257540603248</v>
      </c>
      <c r="DK935" s="1080">
        <f>DK934/DC934-1</f>
        <v>-0.138562091503268</v>
      </c>
      <c r="DL935" s="1080">
        <f t="shared" ref="DL935:DQ935" si="4716">DL934/DD934-1</f>
        <v>-0.181315304240934</v>
      </c>
      <c r="DM935" s="1080">
        <f t="shared" si="4716"/>
        <v>-0.146601941747573</v>
      </c>
      <c r="DN935" s="1080">
        <f t="shared" si="4716"/>
        <v>-0.167858487015431</v>
      </c>
      <c r="DO935" s="1080">
        <f t="shared" si="4716"/>
        <v>-0.0272206303724928</v>
      </c>
      <c r="DP935" s="1080">
        <f t="shared" si="4716"/>
        <v>-0.0983796296296296</v>
      </c>
      <c r="DQ935" s="1081" t="e">
        <f t="shared" si="4716"/>
        <v>#REF!</v>
      </c>
      <c r="DR935" s="1080">
        <f t="shared" ref="DR935:DY935" si="4717">DR934/DJ934-1</f>
        <v>0.144130757800891</v>
      </c>
      <c r="DS935" s="1080">
        <f t="shared" si="4717"/>
        <v>0.303490136570562</v>
      </c>
      <c r="DT935" s="1114">
        <f t="shared" si="4717"/>
        <v>0.222972972972973</v>
      </c>
      <c r="DU935" s="1114">
        <f t="shared" si="4717"/>
        <v>0.220815699658703</v>
      </c>
      <c r="DV935" s="1114">
        <f t="shared" si="4717"/>
        <v>0.222115332428765</v>
      </c>
      <c r="DW935" s="1080">
        <f t="shared" si="4717"/>
        <v>0.0535699558173786</v>
      </c>
      <c r="DX935" s="1114">
        <f t="shared" si="4717"/>
        <v>0.147927471116816</v>
      </c>
      <c r="DY935" s="1081" t="e">
        <f t="shared" si="4717"/>
        <v>#REF!</v>
      </c>
      <c r="DZ935" s="1080">
        <f t="shared" ref="DZ935:EH935" si="4718">DZ934/DR934-1</f>
        <v>0.294805194805195</v>
      </c>
      <c r="EA935" s="1080">
        <f t="shared" si="4718"/>
        <v>0.0151338766006985</v>
      </c>
      <c r="EB935" s="1114">
        <f t="shared" si="4718"/>
        <v>0.147329650092081</v>
      </c>
      <c r="EC935" s="1080">
        <f t="shared" si="4718"/>
        <v>0.0306617202359154</v>
      </c>
      <c r="ED935" s="1080">
        <f t="shared" si="4718"/>
        <v>0.100996744380383</v>
      </c>
      <c r="EE935" s="1080">
        <f t="shared" si="4718"/>
        <v>0.0274346006424611</v>
      </c>
      <c r="EF935" s="1080">
        <f t="shared" si="4718"/>
        <v>0.0293708983819139</v>
      </c>
      <c r="EG935" s="1081">
        <f t="shared" si="4718"/>
        <v>0.085598092858725</v>
      </c>
      <c r="EH935" s="1080">
        <f t="shared" si="4718"/>
        <v>0.117352056168506</v>
      </c>
      <c r="EI935" s="1080">
        <f t="shared" ref="EI935:EO935" si="4719">EI934/EA934-1</f>
        <v>0.167431192660551</v>
      </c>
      <c r="EJ935" s="1114">
        <f t="shared" si="4719"/>
        <v>0.14071696094168</v>
      </c>
      <c r="EK935" s="1114">
        <f t="shared" si="4719"/>
        <v>0.120253164556962</v>
      </c>
      <c r="EL935" s="1114">
        <f t="shared" si="4719"/>
        <v>0.133109243697479</v>
      </c>
      <c r="EM935" s="1080">
        <f t="shared" si="4719"/>
        <v>0.168707482993197</v>
      </c>
      <c r="EN935" s="1080">
        <f t="shared" si="4719"/>
        <v>0.13959804454101</v>
      </c>
      <c r="EO935" s="1081">
        <f t="shared" si="4719"/>
        <v>0.140161725067385</v>
      </c>
      <c r="EP935" s="1080">
        <f t="shared" ref="EP935:FB935" si="4720">EP934/EH934-1</f>
        <v>0.0466786355475763</v>
      </c>
      <c r="EQ935" s="1080">
        <f t="shared" si="4720"/>
        <v>-0.0314341846758349</v>
      </c>
      <c r="ER935" s="1080">
        <f t="shared" si="4720"/>
        <v>0.00938086303939967</v>
      </c>
      <c r="ES935" s="1080">
        <f t="shared" si="4720"/>
        <v>-0.0387409200968523</v>
      </c>
      <c r="ET935" s="1080">
        <f t="shared" si="4720"/>
        <v>-0.00830614061109458</v>
      </c>
      <c r="EU935" s="1080">
        <f t="shared" si="4720"/>
        <v>0.0768335273573924</v>
      </c>
      <c r="EV935" s="1080">
        <f t="shared" si="4720"/>
        <v>0.00857959961868437</v>
      </c>
      <c r="EW935" s="1081">
        <f t="shared" si="4720"/>
        <v>0.00898345153664293</v>
      </c>
      <c r="EX935" s="1080">
        <f t="shared" si="4720"/>
        <v>-0.126929674099485</v>
      </c>
      <c r="EY935" s="1080">
        <f t="shared" si="4720"/>
        <v>-0.0476673427991886</v>
      </c>
      <c r="EZ935" s="1080">
        <f t="shared" si="4720"/>
        <v>-0.0906133828996283</v>
      </c>
      <c r="FA935" s="1080">
        <f t="shared" si="4720"/>
        <v>-0.00167926112510497</v>
      </c>
      <c r="FB935" s="1080">
        <f t="shared" si="4720"/>
        <v>-0.0589291055937781</v>
      </c>
      <c r="FC935" s="1080"/>
      <c r="FD935" s="1080"/>
      <c r="FE935" s="1081"/>
      <c r="FF935" s="1217"/>
      <c r="FG935" s="1217"/>
      <c r="FH935" s="1217"/>
      <c r="FI935" s="1217"/>
      <c r="FJ935" s="1217"/>
      <c r="FK935" s="1217"/>
      <c r="FL935" s="1217"/>
      <c r="FM935" s="1216"/>
      <c r="FN935" s="1217"/>
      <c r="FO935" s="1217"/>
      <c r="FP935" s="1217"/>
      <c r="FQ935" s="1217"/>
      <c r="FR935" s="1217"/>
      <c r="FS935" s="1217"/>
      <c r="FT935" s="1217"/>
      <c r="FU935" s="1217"/>
      <c r="FV935" s="1615"/>
      <c r="FW935" s="1217"/>
      <c r="FX935" s="1217"/>
      <c r="FY935" s="1217"/>
      <c r="FZ935" s="1217"/>
      <c r="GA935" s="1217"/>
      <c r="GB935" s="1217"/>
      <c r="GC935" s="1216"/>
      <c r="GD935" s="1217"/>
      <c r="GE935" s="1217"/>
      <c r="GF935" s="1217"/>
      <c r="GG935" s="1217"/>
      <c r="GH935" s="1217"/>
      <c r="GI935" s="1217"/>
      <c r="GJ935" s="1217"/>
      <c r="GK935" s="1216"/>
      <c r="GL935" s="1217"/>
      <c r="GM935" s="1217"/>
      <c r="GN935" s="1217"/>
      <c r="GO935" s="1217"/>
      <c r="GP935" s="1217"/>
      <c r="GQ935" s="1217"/>
      <c r="GR935" s="1217"/>
      <c r="GS935" s="1216"/>
      <c r="GT935" s="1217"/>
      <c r="GU935" s="1217"/>
      <c r="GV935" s="1217"/>
      <c r="GW935" s="1217"/>
      <c r="GX935" s="1217"/>
      <c r="GY935" s="1217"/>
      <c r="GZ935" s="1217"/>
      <c r="HA935" s="1216"/>
      <c r="HB935" s="1217"/>
      <c r="HC935" s="1217"/>
      <c r="HD935" s="1217"/>
      <c r="HE935" s="1217"/>
      <c r="HF935" s="1217"/>
      <c r="HG935" s="1217"/>
      <c r="HH935" s="1217"/>
      <c r="HI935" s="1216"/>
      <c r="HJ935" s="1217"/>
      <c r="HK935" s="1217"/>
      <c r="HL935" s="1217"/>
      <c r="HM935" s="1217"/>
      <c r="HN935" s="1217"/>
      <c r="HO935" s="1217"/>
      <c r="HP935" s="1217"/>
      <c r="HQ935" s="1216"/>
      <c r="HR935" s="1217"/>
      <c r="HS935" s="1217"/>
      <c r="HT935" s="1217"/>
      <c r="HU935" s="1217"/>
      <c r="HV935" s="1217"/>
      <c r="HW935" s="1217"/>
      <c r="HX935" s="1217"/>
      <c r="HY935" s="1217"/>
      <c r="HZ935" s="1217"/>
      <c r="IA935" s="1217"/>
      <c r="IB935" s="1217"/>
      <c r="IC935" s="1217"/>
      <c r="ID935" s="1217"/>
      <c r="IE935" s="1217"/>
      <c r="IF935" s="1217"/>
      <c r="IG935" s="1216"/>
      <c r="IH935" s="1217"/>
      <c r="II935" s="1217"/>
      <c r="IJ935" s="1217"/>
      <c r="IK935" s="1217"/>
      <c r="IL935" s="1217"/>
      <c r="IM935" s="1217"/>
      <c r="IN935" s="1217"/>
      <c r="IO935" s="1216"/>
      <c r="IP935" s="1217"/>
      <c r="IQ935" s="1217"/>
      <c r="IR935" s="1217"/>
      <c r="IS935" s="1217"/>
      <c r="IT935" s="1217"/>
      <c r="IU935" s="1217"/>
      <c r="IV935" s="1217"/>
      <c r="IW935" s="1217"/>
      <c r="IX935" s="1049"/>
      <c r="IY935" s="1049"/>
      <c r="IZ935" s="1049"/>
      <c r="JA935" s="1049"/>
      <c r="JB935" s="1049"/>
      <c r="JC935" s="1049"/>
      <c r="JD935" s="1041"/>
      <c r="JE935" s="1037"/>
      <c r="JF935" s="1037"/>
      <c r="JG935" s="1037"/>
      <c r="JH935" s="1037"/>
      <c r="JI935" s="1035"/>
      <c r="JJ935" s="1035"/>
      <c r="JK935" s="1035"/>
      <c r="JL935" s="1035"/>
      <c r="JM935" s="1035"/>
      <c r="JN935" s="1035"/>
      <c r="JO935" s="1035"/>
      <c r="JP935" s="1035"/>
      <c r="JQ935" s="1035"/>
      <c r="JR935" s="1035"/>
      <c r="JS935" s="1035"/>
      <c r="JT935" s="1035"/>
      <c r="JU935" s="1035"/>
      <c r="JV935" s="1035"/>
      <c r="JW935" s="1035"/>
      <c r="JX935" s="1035"/>
      <c r="JY935" s="1035"/>
      <c r="LV935" s="1110"/>
    </row>
    <row r="936" outlineLevel="1" spans="1:334">
      <c r="A936" s="1113" t="s">
        <v>680</v>
      </c>
      <c r="AX936" s="1059"/>
      <c r="BE936" s="1060"/>
      <c r="BN936" s="1059"/>
      <c r="BU936" s="1060"/>
      <c r="BV936" s="1059"/>
      <c r="CC936" s="1060"/>
      <c r="CD936" s="1059"/>
      <c r="CJ936" s="1061"/>
      <c r="CK936" s="1060"/>
      <c r="CL936" s="1059"/>
      <c r="CS936" s="1060"/>
      <c r="CT936" s="1117"/>
      <c r="CU936" s="1117"/>
      <c r="CV936" s="1117"/>
      <c r="CW936" s="1117"/>
      <c r="CX936" s="1117"/>
      <c r="CY936" s="1117"/>
      <c r="CZ936" s="1117"/>
      <c r="DA936" s="1117"/>
      <c r="DB936" s="1082">
        <f t="shared" ref="DB936:EG936" si="4721">DB934/DB26</f>
        <v>0.329889016456181</v>
      </c>
      <c r="DC936" s="1082">
        <f t="shared" si="4721"/>
        <v>0.304295942720764</v>
      </c>
      <c r="DD936" s="1082">
        <f t="shared" si="4721"/>
        <v>0.317339574800078</v>
      </c>
      <c r="DE936" s="1082">
        <f t="shared" si="4721"/>
        <v>0.334524196167587</v>
      </c>
      <c r="DF936" s="1082">
        <f t="shared" si="4721"/>
        <v>0.323787472581038</v>
      </c>
      <c r="DG936" s="1082">
        <f t="shared" si="4721"/>
        <v>0.270962732919255</v>
      </c>
      <c r="DH936" s="1082">
        <f t="shared" si="4721"/>
        <v>0.305570291777188</v>
      </c>
      <c r="DI936" s="1085" t="e">
        <f t="shared" si="4721"/>
        <v>#REF!</v>
      </c>
      <c r="DJ936" s="1082">
        <f t="shared" si="4721"/>
        <v>0.261156383391541</v>
      </c>
      <c r="DK936" s="1082">
        <f t="shared" si="4721"/>
        <v>0.268213268213268</v>
      </c>
      <c r="DL936" s="1082">
        <f t="shared" si="4721"/>
        <v>0.264600715137068</v>
      </c>
      <c r="DM936" s="1082">
        <f t="shared" si="4721"/>
        <v>0.304362880886427</v>
      </c>
      <c r="DN936" s="1082">
        <f t="shared" si="4721"/>
        <v>0.27906096175691</v>
      </c>
      <c r="DO936" s="1082">
        <f t="shared" si="4721"/>
        <v>0.276240846216436</v>
      </c>
      <c r="DP936" s="1082">
        <f t="shared" si="4721"/>
        <v>0.291705673094926</v>
      </c>
      <c r="DQ936" s="1085" t="e">
        <f t="shared" si="4721"/>
        <v>#REF!</v>
      </c>
      <c r="DR936" s="1083">
        <f t="shared" si="4721"/>
        <v>0.287958115183246</v>
      </c>
      <c r="DS936" s="1083">
        <f t="shared" si="4721"/>
        <v>0.294480630785053</v>
      </c>
      <c r="DT936" s="1083">
        <f t="shared" si="4721"/>
        <v>0.291413237924866</v>
      </c>
      <c r="DU936" s="1083">
        <f t="shared" si="4721"/>
        <v>0.309428200692042</v>
      </c>
      <c r="DV936" s="1083">
        <f t="shared" si="4721"/>
        <v>0.298310554206227</v>
      </c>
      <c r="DW936" s="1083">
        <f t="shared" si="4721"/>
        <v>0.243988403819918</v>
      </c>
      <c r="DX936" s="1083">
        <f t="shared" si="4721"/>
        <v>0.27944859375</v>
      </c>
      <c r="DY936" s="1085">
        <f t="shared" si="4721"/>
        <v>0.285026772310259</v>
      </c>
      <c r="DZ936" s="1083">
        <f t="shared" si="4721"/>
        <v>0.304613504430186</v>
      </c>
      <c r="EA936" s="1083">
        <f t="shared" si="4721"/>
        <v>0.284595300261097</v>
      </c>
      <c r="EB936" s="1083">
        <f t="shared" si="4721"/>
        <v>0.294934511598548</v>
      </c>
      <c r="EC936" s="1083">
        <f t="shared" si="4721"/>
        <v>0.295405982905983</v>
      </c>
      <c r="ED936" s="1083">
        <f t="shared" si="4721"/>
        <v>0.295109612141653</v>
      </c>
      <c r="EE936" s="1083">
        <f t="shared" si="4721"/>
        <v>0.226781857451404</v>
      </c>
      <c r="EF936" s="1083">
        <f t="shared" si="4721"/>
        <v>0.263564781675018</v>
      </c>
      <c r="EG936" s="1084">
        <f t="shared" si="4721"/>
        <v>0.278465811003528</v>
      </c>
      <c r="EH936" s="1083">
        <f t="shared" ref="EH936:FB936" si="4722">EH934/EH26</f>
        <v>0.291317991631799</v>
      </c>
      <c r="EI936" s="1083">
        <f t="shared" si="4722"/>
        <v>0.289451236849588</v>
      </c>
      <c r="EJ936" s="1083">
        <f t="shared" si="4722"/>
        <v>0.290423648004359</v>
      </c>
      <c r="EK936" s="1083">
        <f t="shared" si="4722"/>
        <v>0.296908698777858</v>
      </c>
      <c r="EL936" s="1083">
        <f t="shared" si="4722"/>
        <v>0.29277401424353</v>
      </c>
      <c r="EM936" s="1083">
        <f t="shared" si="4722"/>
        <v>0.254971801721579</v>
      </c>
      <c r="EN936" s="1083">
        <f t="shared" si="4722"/>
        <v>0.278175550251923</v>
      </c>
      <c r="EO936" s="1084">
        <f t="shared" si="4722"/>
        <v>0.284216891755694</v>
      </c>
      <c r="EP936" s="1083">
        <f t="shared" si="4722"/>
        <v>0.310850439882698</v>
      </c>
      <c r="EQ936" s="1083">
        <f t="shared" si="4722"/>
        <v>0.291457286432161</v>
      </c>
      <c r="ER936" s="1083">
        <f t="shared" si="4722"/>
        <v>0.301654051023269</v>
      </c>
      <c r="ES936" s="1083">
        <f t="shared" si="4722"/>
        <v>0.307037896365043</v>
      </c>
      <c r="ET936" s="1083">
        <f t="shared" si="4722"/>
        <v>0.303550349586852</v>
      </c>
      <c r="EU936" s="1083">
        <f t="shared" si="4722"/>
        <v>0.265881000287439</v>
      </c>
      <c r="EV936" s="1083">
        <f t="shared" si="4722"/>
        <v>0.28757814623539</v>
      </c>
      <c r="EW936" s="1084">
        <f t="shared" si="4722"/>
        <v>0.294507314380348</v>
      </c>
      <c r="EX936" s="1083">
        <f t="shared" si="4722"/>
        <v>0.288140390602887</v>
      </c>
      <c r="EY936" s="1083">
        <f t="shared" si="4722"/>
        <v>0.275205158264947</v>
      </c>
      <c r="EZ936" s="1083">
        <f t="shared" si="4722"/>
        <v>0.283952408589669</v>
      </c>
      <c r="FA936" s="1083">
        <f t="shared" si="4722"/>
        <v>0.29249692496925</v>
      </c>
      <c r="FB936" s="1083">
        <f t="shared" si="4722"/>
        <v>0.287122387514831</v>
      </c>
      <c r="FC936" s="1083"/>
      <c r="FD936" s="1083"/>
      <c r="FE936" s="1084"/>
      <c r="FF936" s="1168"/>
      <c r="FG936" s="1168"/>
      <c r="FH936" s="1168"/>
      <c r="FI936" s="1168"/>
      <c r="FJ936" s="1168"/>
      <c r="FK936" s="1168"/>
      <c r="FL936" s="1168"/>
      <c r="FM936" s="1169"/>
      <c r="FN936" s="1168"/>
      <c r="FO936" s="1168"/>
      <c r="FP936" s="1168"/>
      <c r="FQ936" s="1168"/>
      <c r="FR936" s="1168"/>
      <c r="FS936" s="1168"/>
      <c r="FT936" s="1168"/>
      <c r="FU936" s="1168"/>
      <c r="FV936" s="1616"/>
      <c r="FW936" s="1168"/>
      <c r="FX936" s="1168"/>
      <c r="FY936" s="1168"/>
      <c r="FZ936" s="1168"/>
      <c r="GA936" s="1168"/>
      <c r="GB936" s="1168"/>
      <c r="GC936" s="1169"/>
      <c r="GD936" s="1168"/>
      <c r="GE936" s="1168"/>
      <c r="GF936" s="1168"/>
      <c r="GG936" s="1168"/>
      <c r="GH936" s="1168"/>
      <c r="GI936" s="1168"/>
      <c r="GJ936" s="1168"/>
      <c r="GK936" s="1169"/>
      <c r="GL936" s="1168"/>
      <c r="GM936" s="1168"/>
      <c r="GN936" s="1168"/>
      <c r="GO936" s="1168"/>
      <c r="GP936" s="1168"/>
      <c r="GQ936" s="1168"/>
      <c r="GR936" s="1168"/>
      <c r="GS936" s="1169"/>
      <c r="GT936" s="1168"/>
      <c r="GU936" s="1168"/>
      <c r="GV936" s="1168"/>
      <c r="GW936" s="1168"/>
      <c r="GX936" s="1168"/>
      <c r="GY936" s="1168"/>
      <c r="GZ936" s="1168"/>
      <c r="HA936" s="1169"/>
      <c r="HB936" s="1168"/>
      <c r="HC936" s="1168"/>
      <c r="HD936" s="1168"/>
      <c r="HE936" s="1168"/>
      <c r="HF936" s="1168"/>
      <c r="HG936" s="1168"/>
      <c r="HH936" s="1168"/>
      <c r="HI936" s="1169"/>
      <c r="HJ936" s="1168"/>
      <c r="HK936" s="1168"/>
      <c r="HL936" s="1168"/>
      <c r="HM936" s="1168"/>
      <c r="HN936" s="1168"/>
      <c r="HO936" s="1168"/>
      <c r="HP936" s="1168"/>
      <c r="HQ936" s="1169"/>
      <c r="HR936" s="1168"/>
      <c r="HS936" s="1168"/>
      <c r="HT936" s="1168"/>
      <c r="HU936" s="1168"/>
      <c r="HV936" s="1168"/>
      <c r="HW936" s="1168"/>
      <c r="HX936" s="1168"/>
      <c r="HY936" s="1168"/>
      <c r="HZ936" s="1168"/>
      <c r="IA936" s="1168"/>
      <c r="IB936" s="1168"/>
      <c r="IC936" s="1168"/>
      <c r="ID936" s="1168"/>
      <c r="IE936" s="1168"/>
      <c r="IF936" s="1168"/>
      <c r="IG936" s="1169"/>
      <c r="IH936" s="1168"/>
      <c r="II936" s="1168"/>
      <c r="IJ936" s="1168"/>
      <c r="IK936" s="1168"/>
      <c r="IL936" s="1168"/>
      <c r="IM936" s="1168"/>
      <c r="IN936" s="1168"/>
      <c r="IO936" s="1169"/>
      <c r="IP936" s="1168"/>
      <c r="IQ936" s="1168"/>
      <c r="IR936" s="1168"/>
      <c r="IS936" s="1168"/>
      <c r="IT936" s="1168"/>
      <c r="IU936" s="1168"/>
      <c r="IV936" s="1168"/>
      <c r="IW936" s="1168"/>
      <c r="IX936" s="1049"/>
      <c r="IY936" s="1049"/>
      <c r="IZ936" s="1049"/>
      <c r="JA936" s="1049"/>
      <c r="JB936" s="1049"/>
      <c r="JC936" s="1049"/>
      <c r="JD936" s="1041"/>
      <c r="JE936" s="1037"/>
      <c r="JF936" s="1037"/>
      <c r="JG936" s="1037"/>
      <c r="JH936" s="1037"/>
      <c r="JI936" s="1035"/>
      <c r="JJ936" s="1035"/>
      <c r="JK936" s="1035"/>
      <c r="JL936" s="1035"/>
      <c r="JM936" s="1035"/>
      <c r="JN936" s="1035"/>
      <c r="JO936" s="1035"/>
      <c r="JP936" s="1035"/>
      <c r="JQ936" s="1035"/>
      <c r="JR936" s="1035"/>
      <c r="JS936" s="1035"/>
      <c r="JT936" s="1035"/>
      <c r="JU936" s="1035"/>
      <c r="JV936" s="1035"/>
      <c r="JW936" s="1035"/>
      <c r="JX936" s="1035"/>
      <c r="JY936" s="1035"/>
      <c r="LV936" s="967"/>
    </row>
    <row r="937" spans="1:334">
      <c r="A937" s="1117"/>
      <c r="AX937" s="1059"/>
      <c r="BE937" s="1060"/>
      <c r="BN937" s="1059"/>
      <c r="BU937" s="1060"/>
      <c r="BV937" s="1059"/>
      <c r="CC937" s="1060"/>
      <c r="CD937" s="1059"/>
      <c r="CJ937" s="1061"/>
      <c r="CK937" s="1060"/>
      <c r="CL937" s="1059"/>
      <c r="CS937" s="1060"/>
      <c r="CT937" s="1117"/>
      <c r="CU937" s="1117"/>
      <c r="CV937" s="1117"/>
      <c r="CW937" s="1117"/>
      <c r="CX937" s="1117"/>
      <c r="CY937" s="1117"/>
      <c r="CZ937" s="1117"/>
      <c r="DA937" s="1117"/>
      <c r="DB937" s="1148"/>
      <c r="DC937" s="1148"/>
      <c r="DD937" s="1148"/>
      <c r="DE937" s="1148"/>
      <c r="DF937" s="1148"/>
      <c r="DG937" s="1148"/>
      <c r="DH937" s="1148"/>
      <c r="DI937" s="1149"/>
      <c r="DJ937" s="1148"/>
      <c r="DK937" s="1148"/>
      <c r="DL937" s="1148"/>
      <c r="DM937" s="1148"/>
      <c r="DN937" s="1148"/>
      <c r="DO937" s="1148"/>
      <c r="DP937" s="1148"/>
      <c r="DQ937" s="1149"/>
      <c r="DR937" s="1148"/>
      <c r="DS937" s="1148"/>
      <c r="DT937" s="1148"/>
      <c r="DU937" s="1148"/>
      <c r="DV937" s="1148"/>
      <c r="DW937" s="1148"/>
      <c r="DX937" s="1148"/>
      <c r="DY937" s="1149"/>
      <c r="DZ937" s="1148"/>
      <c r="EA937" s="1148"/>
      <c r="EB937" s="1148"/>
      <c r="EC937" s="1148"/>
      <c r="ED937" s="1148"/>
      <c r="EE937" s="1148"/>
      <c r="EF937" s="1148"/>
      <c r="EG937" s="1149"/>
      <c r="EH937" s="1148"/>
      <c r="EI937" s="1148"/>
      <c r="EJ937" s="1148"/>
      <c r="EK937" s="1148"/>
      <c r="EL937" s="1148"/>
      <c r="EM937" s="1148"/>
      <c r="EN937" s="1148"/>
      <c r="EO937" s="1149"/>
      <c r="EP937" s="1148"/>
      <c r="EQ937" s="1148"/>
      <c r="ER937" s="1148"/>
      <c r="ES937" s="1148"/>
      <c r="ET937" s="1148"/>
      <c r="EU937" s="1148"/>
      <c r="EV937" s="1148"/>
      <c r="EW937" s="1149"/>
      <c r="EX937" s="1148"/>
      <c r="EY937" s="1148"/>
      <c r="EZ937" s="1148"/>
      <c r="FA937" s="1148"/>
      <c r="FB937" s="1148"/>
      <c r="FC937" s="1148"/>
      <c r="FD937" s="1148"/>
      <c r="FE937" s="1149"/>
      <c r="FF937" s="1148"/>
      <c r="FG937" s="1148"/>
      <c r="FH937" s="1148"/>
      <c r="FI937" s="1148"/>
      <c r="FJ937" s="1148"/>
      <c r="FK937" s="1148"/>
      <c r="FL937" s="1148"/>
      <c r="FM937" s="1149"/>
      <c r="FN937" s="1148"/>
      <c r="FO937" s="1148"/>
      <c r="FP937" s="1148"/>
      <c r="FQ937" s="1148"/>
      <c r="FR937" s="1148"/>
      <c r="FS937" s="1148"/>
      <c r="FT937" s="1148"/>
      <c r="FU937" s="1148"/>
      <c r="FV937" s="1151"/>
      <c r="FW937" s="1148"/>
      <c r="FX937" s="1148"/>
      <c r="FY937" s="1148"/>
      <c r="FZ937" s="1148"/>
      <c r="GA937" s="1148"/>
      <c r="GB937" s="1148"/>
      <c r="GC937" s="1149"/>
      <c r="GD937" s="1148"/>
      <c r="GE937" s="1148"/>
      <c r="GF937" s="1148"/>
      <c r="GG937" s="1148"/>
      <c r="GH937" s="1148"/>
      <c r="GI937" s="1148"/>
      <c r="GJ937" s="1148"/>
      <c r="GK937" s="1149"/>
      <c r="GL937" s="1148"/>
      <c r="GM937" s="1148"/>
      <c r="GN937" s="1148"/>
      <c r="GO937" s="1148"/>
      <c r="GP937" s="1148"/>
      <c r="GQ937" s="1148"/>
      <c r="GR937" s="1148"/>
      <c r="GS937" s="1149"/>
      <c r="GT937" s="1148"/>
      <c r="GU937" s="1148"/>
      <c r="GV937" s="1148"/>
      <c r="GW937" s="1148"/>
      <c r="GX937" s="1148"/>
      <c r="GY937" s="1148"/>
      <c r="GZ937" s="1148"/>
      <c r="HA937" s="1149"/>
      <c r="HB937" s="1148"/>
      <c r="HC937" s="1148"/>
      <c r="HD937" s="1148"/>
      <c r="HE937" s="1148"/>
      <c r="HF937" s="1148"/>
      <c r="HG937" s="1148"/>
      <c r="HH937" s="1148"/>
      <c r="HI937" s="1149"/>
      <c r="HJ937" s="1148"/>
      <c r="HK937" s="1148"/>
      <c r="HL937" s="1148"/>
      <c r="HM937" s="1148"/>
      <c r="HN937" s="1148"/>
      <c r="HO937" s="1148"/>
      <c r="HP937" s="1148"/>
      <c r="HQ937" s="1149"/>
      <c r="HR937" s="1148"/>
      <c r="HS937" s="1148"/>
      <c r="HT937" s="1148"/>
      <c r="HU937" s="1148"/>
      <c r="HV937" s="1148"/>
      <c r="HW937" s="1148"/>
      <c r="HX937" s="1148"/>
      <c r="HY937" s="1148"/>
      <c r="HZ937" s="1148"/>
      <c r="IA937" s="1148"/>
      <c r="IB937" s="1148"/>
      <c r="IC937" s="1148"/>
      <c r="ID937" s="1148"/>
      <c r="IE937" s="1148"/>
      <c r="IF937" s="1148"/>
      <c r="IG937" s="1149"/>
      <c r="IH937" s="1148"/>
      <c r="II937" s="1148"/>
      <c r="IJ937" s="1148"/>
      <c r="IK937" s="1148"/>
      <c r="IL937" s="1148"/>
      <c r="IM937" s="1148"/>
      <c r="IN937" s="1148"/>
      <c r="IO937" s="1149"/>
      <c r="IP937" s="1148"/>
      <c r="IQ937" s="1148"/>
      <c r="IR937" s="1148"/>
      <c r="IS937" s="1148"/>
      <c r="IT937" s="1148"/>
      <c r="IU937" s="1148"/>
      <c r="IV937" s="1148"/>
      <c r="IW937" s="1148"/>
      <c r="IX937" s="1049"/>
      <c r="IY937" s="1049"/>
      <c r="IZ937" s="1049"/>
      <c r="JA937" s="1049"/>
      <c r="JB937" s="1049"/>
      <c r="JC937" s="1049"/>
      <c r="JD937" s="1041"/>
      <c r="JE937" s="1037"/>
      <c r="JF937" s="1037"/>
      <c r="JG937" s="1037"/>
      <c r="JH937" s="1037"/>
      <c r="JI937" s="1035"/>
      <c r="JJ937" s="1035"/>
      <c r="JK937" s="1035"/>
      <c r="JL937" s="1035"/>
      <c r="JM937" s="1035"/>
      <c r="JN937" s="1035"/>
      <c r="JO937" s="1035"/>
      <c r="JP937" s="1035"/>
      <c r="JQ937" s="1035"/>
      <c r="JR937" s="1035"/>
      <c r="JS937" s="1035"/>
      <c r="JT937" s="1035"/>
      <c r="JU937" s="1035"/>
      <c r="JV937" s="1035"/>
      <c r="JW937" s="1035"/>
      <c r="JX937" s="1035"/>
      <c r="JY937" s="1035"/>
      <c r="LV937" s="1117"/>
    </row>
    <row r="938" s="1032" customFormat="1" spans="1:334">
      <c r="A938" s="1617" t="s">
        <v>681</v>
      </c>
      <c r="B938" s="1618"/>
      <c r="C938" s="1618"/>
      <c r="D938" s="1618"/>
      <c r="E938" s="1618"/>
      <c r="F938" s="1618"/>
      <c r="G938" s="1618"/>
      <c r="H938" s="1618"/>
      <c r="I938" s="1618"/>
      <c r="J938" s="1618"/>
      <c r="K938" s="1618"/>
      <c r="L938" s="1618"/>
      <c r="M938" s="1618"/>
      <c r="N938" s="1618"/>
      <c r="O938" s="1618"/>
      <c r="P938" s="1618"/>
      <c r="Q938" s="1618"/>
      <c r="R938" s="1618"/>
      <c r="S938" s="1618"/>
      <c r="T938" s="1618"/>
      <c r="U938" s="1618"/>
      <c r="V938" s="1618"/>
      <c r="W938" s="1618"/>
      <c r="X938" s="1618"/>
      <c r="Y938" s="1618"/>
      <c r="Z938" s="1618"/>
      <c r="AA938" s="1618"/>
      <c r="AB938" s="1618"/>
      <c r="AC938" s="1618"/>
      <c r="AD938" s="1618"/>
      <c r="AE938" s="1618"/>
      <c r="AF938" s="1618"/>
      <c r="AG938" s="1618"/>
      <c r="AH938" s="1618"/>
      <c r="AI938" s="1618"/>
      <c r="AJ938" s="1618"/>
      <c r="AK938" s="1618"/>
      <c r="AL938" s="1618"/>
      <c r="AM938" s="1618"/>
      <c r="AN938" s="1618"/>
      <c r="AO938" s="1618"/>
      <c r="AP938" s="1618"/>
      <c r="AQ938" s="1618"/>
      <c r="AR938" s="1618"/>
      <c r="AS938" s="1618"/>
      <c r="AT938" s="1618"/>
      <c r="AU938" s="1618"/>
      <c r="AV938" s="1618"/>
      <c r="AW938" s="1618"/>
      <c r="AX938" s="1618"/>
      <c r="AY938" s="1618"/>
      <c r="AZ938" s="1618"/>
      <c r="BA938" s="1618"/>
      <c r="BB938" s="1618"/>
      <c r="BC938" s="1618"/>
      <c r="BD938" s="1618"/>
      <c r="BE938" s="1618"/>
      <c r="BF938" s="1618"/>
      <c r="BG938" s="1618"/>
      <c r="BH938" s="1618"/>
      <c r="BI938" s="1618"/>
      <c r="BJ938" s="1618"/>
      <c r="BK938" s="1618"/>
      <c r="BL938" s="1618"/>
      <c r="BM938" s="1618"/>
      <c r="BN938" s="1618"/>
      <c r="BO938" s="1618"/>
      <c r="BP938" s="1618"/>
      <c r="BQ938" s="1618"/>
      <c r="BR938" s="1618"/>
      <c r="BS938" s="1618"/>
      <c r="BT938" s="1618"/>
      <c r="BU938" s="1618"/>
      <c r="BV938" s="1618"/>
      <c r="BW938" s="1618"/>
      <c r="BX938" s="1618"/>
      <c r="BY938" s="1618"/>
      <c r="BZ938" s="1618"/>
      <c r="CA938" s="1618"/>
      <c r="CB938" s="1618"/>
      <c r="CC938" s="1618"/>
      <c r="CD938" s="1618"/>
      <c r="CE938" s="1618"/>
      <c r="CF938" s="1618"/>
      <c r="CG938" s="1618"/>
      <c r="CH938" s="1618"/>
      <c r="CI938" s="1618"/>
      <c r="CJ938" s="1619"/>
      <c r="CK938" s="1618"/>
      <c r="CL938" s="1618"/>
      <c r="CM938" s="1618"/>
      <c r="CN938" s="1618"/>
      <c r="CO938" s="1618"/>
      <c r="CP938" s="1618"/>
      <c r="CQ938" s="1618"/>
      <c r="CR938" s="1618"/>
      <c r="CS938" s="1618"/>
      <c r="CT938" s="1618"/>
      <c r="CU938" s="1618"/>
      <c r="CV938" s="1618"/>
      <c r="CW938" s="1620"/>
      <c r="CX938" s="1620"/>
      <c r="CY938" s="1618"/>
      <c r="CZ938" s="1618"/>
      <c r="DA938" s="1618"/>
      <c r="DB938" s="1621"/>
      <c r="DC938" s="1621"/>
      <c r="DD938" s="1621"/>
      <c r="DE938" s="1621"/>
      <c r="DF938" s="1621"/>
      <c r="DG938" s="1621"/>
      <c r="DH938" s="1621"/>
      <c r="DI938" s="1622"/>
      <c r="DJ938" s="1621"/>
      <c r="DK938" s="1621"/>
      <c r="DL938" s="1621"/>
      <c r="DM938" s="1621"/>
      <c r="DN938" s="1621"/>
      <c r="DO938" s="1621"/>
      <c r="DP938" s="1621"/>
      <c r="DQ938" s="1622"/>
      <c r="DR938" s="1621"/>
      <c r="DS938" s="1621"/>
      <c r="DT938" s="1621"/>
      <c r="DU938" s="1621"/>
      <c r="DV938" s="1621"/>
      <c r="DW938" s="1621"/>
      <c r="DX938" s="1621"/>
      <c r="DY938" s="1622"/>
      <c r="DZ938" s="1621"/>
      <c r="EA938" s="1621"/>
      <c r="EB938" s="1621"/>
      <c r="EC938" s="1621"/>
      <c r="ED938" s="1621"/>
      <c r="EE938" s="1621"/>
      <c r="EF938" s="1621"/>
      <c r="EG938" s="1622"/>
      <c r="EH938" s="1621"/>
      <c r="EI938" s="1621"/>
      <c r="EJ938" s="1621"/>
      <c r="EK938" s="1621"/>
      <c r="EL938" s="1621"/>
      <c r="EM938" s="1621"/>
      <c r="EN938" s="1621"/>
      <c r="EO938" s="1622"/>
      <c r="EP938" s="1621"/>
      <c r="EQ938" s="1621"/>
      <c r="ER938" s="1621"/>
      <c r="ES938" s="1621"/>
      <c r="ET938" s="1621"/>
      <c r="EU938" s="1621"/>
      <c r="EV938" s="1621"/>
      <c r="EW938" s="1622"/>
      <c r="EX938" s="1621"/>
      <c r="EY938" s="1621"/>
      <c r="EZ938" s="1621"/>
      <c r="FA938" s="1621"/>
      <c r="FB938" s="1621"/>
      <c r="FC938" s="1621"/>
      <c r="FD938" s="1621"/>
      <c r="FE938" s="1622"/>
      <c r="FF938" s="1621"/>
      <c r="FG938" s="1621"/>
      <c r="FH938" s="1621"/>
      <c r="FI938" s="1621"/>
      <c r="FJ938" s="1621"/>
      <c r="FK938" s="1621"/>
      <c r="FL938" s="1621"/>
      <c r="FM938" s="1622"/>
      <c r="FN938" s="1621"/>
      <c r="FO938" s="1621"/>
      <c r="FP938" s="1621"/>
      <c r="FQ938" s="1621"/>
      <c r="FR938" s="1621"/>
      <c r="FS938" s="1621"/>
      <c r="FT938" s="1621"/>
      <c r="FU938" s="1621"/>
      <c r="FV938" s="1623"/>
      <c r="FW938" s="1621"/>
      <c r="FX938" s="1621"/>
      <c r="FY938" s="1621"/>
      <c r="FZ938" s="1621"/>
      <c r="GA938" s="1621"/>
      <c r="GB938" s="1621"/>
      <c r="GC938" s="1622"/>
      <c r="GD938" s="1621"/>
      <c r="GE938" s="1621"/>
      <c r="GF938" s="1621"/>
      <c r="GG938" s="1621"/>
      <c r="GH938" s="1621"/>
      <c r="GI938" s="1621"/>
      <c r="GJ938" s="1621"/>
      <c r="GK938" s="1622"/>
      <c r="GL938" s="1621"/>
      <c r="GM938" s="1621"/>
      <c r="GN938" s="1621"/>
      <c r="GO938" s="1621"/>
      <c r="GP938" s="1621"/>
      <c r="GQ938" s="1621"/>
      <c r="GR938" s="1621"/>
      <c r="GS938" s="1622"/>
      <c r="GT938" s="1621"/>
      <c r="GU938" s="1621"/>
      <c r="GV938" s="1621"/>
      <c r="GW938" s="1621"/>
      <c r="GX938" s="1621"/>
      <c r="GY938" s="1621"/>
      <c r="GZ938" s="1621"/>
      <c r="HA938" s="1622"/>
      <c r="HB938" s="1621"/>
      <c r="HC938" s="1621"/>
      <c r="HD938" s="1621"/>
      <c r="HE938" s="1621"/>
      <c r="HF938" s="1621"/>
      <c r="HG938" s="1621"/>
      <c r="HH938" s="1621"/>
      <c r="HI938" s="1622"/>
      <c r="HJ938" s="1621"/>
      <c r="HK938" s="1621"/>
      <c r="HL938" s="1621"/>
      <c r="HM938" s="1621"/>
      <c r="HN938" s="1621"/>
      <c r="HO938" s="1621"/>
      <c r="HP938" s="1621"/>
      <c r="HQ938" s="1622"/>
      <c r="HR938" s="1621"/>
      <c r="HS938" s="1621"/>
      <c r="HT938" s="1621"/>
      <c r="HU938" s="1621"/>
      <c r="HV938" s="1621"/>
      <c r="HW938" s="1621"/>
      <c r="HX938" s="1621"/>
      <c r="HY938" s="1621"/>
      <c r="HZ938" s="1621"/>
      <c r="IA938" s="1621"/>
      <c r="IB938" s="1621"/>
      <c r="IC938" s="1621"/>
      <c r="ID938" s="1621"/>
      <c r="IE938" s="1621"/>
      <c r="IF938" s="1621"/>
      <c r="IG938" s="1622"/>
      <c r="IH938" s="1621"/>
      <c r="II938" s="1621"/>
      <c r="IJ938" s="1621"/>
      <c r="IK938" s="1621"/>
      <c r="IL938" s="1621"/>
      <c r="IM938" s="1621"/>
      <c r="IN938" s="1621"/>
      <c r="IO938" s="1622"/>
      <c r="IP938" s="1621"/>
      <c r="IQ938" s="1621"/>
      <c r="IR938" s="1621"/>
      <c r="IS938" s="1621"/>
      <c r="IT938" s="1621"/>
      <c r="IU938" s="1621"/>
      <c r="IV938" s="1621"/>
      <c r="IW938" s="1621"/>
      <c r="IX938" s="1624"/>
      <c r="IY938" s="1624"/>
      <c r="IZ938" s="1624"/>
      <c r="JA938" s="1624"/>
      <c r="JB938" s="1624"/>
      <c r="JC938" s="1624"/>
      <c r="JD938" s="1625"/>
      <c r="JE938" s="1626"/>
      <c r="JF938" s="1626"/>
      <c r="JG938" s="1626"/>
      <c r="JH938" s="1626"/>
      <c r="KP938" s="1627"/>
      <c r="LV938" s="1628"/>
    </row>
    <row r="939" s="1032" customFormat="1" spans="1:334">
      <c r="A939" s="1629" t="s">
        <v>682</v>
      </c>
      <c r="B939" s="1630"/>
      <c r="C939" s="1630"/>
      <c r="D939" s="1630"/>
      <c r="E939" s="1630"/>
      <c r="F939" s="1630"/>
      <c r="G939" s="1630"/>
      <c r="H939" s="1630"/>
      <c r="I939" s="1630"/>
      <c r="J939" s="1630"/>
      <c r="K939" s="1630"/>
      <c r="L939" s="1630"/>
      <c r="M939" s="1630"/>
      <c r="N939" s="1630"/>
      <c r="O939" s="1630"/>
      <c r="P939" s="1630"/>
      <c r="Q939" s="1630"/>
      <c r="R939" s="1630"/>
      <c r="S939" s="1630"/>
      <c r="T939" s="1630"/>
      <c r="U939" s="1630"/>
      <c r="V939" s="1630"/>
      <c r="W939" s="1630"/>
      <c r="X939" s="1630"/>
      <c r="Y939" s="1630"/>
      <c r="Z939" s="1630"/>
      <c r="AA939" s="1630"/>
      <c r="AB939" s="1630"/>
      <c r="AC939" s="1630"/>
      <c r="AD939" s="1630"/>
      <c r="AE939" s="1630"/>
      <c r="AF939" s="1630"/>
      <c r="AG939" s="1630"/>
      <c r="AH939" s="1630"/>
      <c r="AI939" s="1630"/>
      <c r="AJ939" s="1630"/>
      <c r="AK939" s="1630"/>
      <c r="AL939" s="1630"/>
      <c r="AM939" s="1630"/>
      <c r="AN939" s="1630"/>
      <c r="AO939" s="1630"/>
      <c r="AP939" s="1630"/>
      <c r="AQ939" s="1630"/>
      <c r="AR939" s="1630"/>
      <c r="AS939" s="1630"/>
      <c r="AT939" s="1630"/>
      <c r="AU939" s="1630"/>
      <c r="AV939" s="1630"/>
      <c r="AW939" s="1630"/>
      <c r="AX939" s="1630"/>
      <c r="AY939" s="1630"/>
      <c r="AZ939" s="1630"/>
      <c r="BA939" s="1630"/>
      <c r="BB939" s="1630"/>
      <c r="BC939" s="1630"/>
      <c r="BD939" s="1630"/>
      <c r="BE939" s="1630"/>
      <c r="BF939" s="1630"/>
      <c r="BG939" s="1630"/>
      <c r="BH939" s="1630"/>
      <c r="BI939" s="1630"/>
      <c r="BJ939" s="1630"/>
      <c r="BK939" s="1630"/>
      <c r="BL939" s="1630"/>
      <c r="BM939" s="1630"/>
      <c r="BN939" s="1630"/>
      <c r="BO939" s="1630"/>
      <c r="BP939" s="1630"/>
      <c r="BQ939" s="1630"/>
      <c r="BR939" s="1630"/>
      <c r="BS939" s="1630"/>
      <c r="BT939" s="1630"/>
      <c r="BU939" s="1630"/>
      <c r="BV939" s="1630"/>
      <c r="BW939" s="1630"/>
      <c r="BX939" s="1630"/>
      <c r="BY939" s="1630"/>
      <c r="BZ939" s="1630"/>
      <c r="CA939" s="1630"/>
      <c r="CB939" s="1630"/>
      <c r="CC939" s="1630"/>
      <c r="CD939" s="1630"/>
      <c r="CE939" s="1630"/>
      <c r="CF939" s="1630"/>
      <c r="CG939" s="1630"/>
      <c r="CH939" s="1630"/>
      <c r="CI939" s="1630"/>
      <c r="CJ939" s="1631"/>
      <c r="CK939" s="1630"/>
      <c r="CL939" s="1630"/>
      <c r="CM939" s="1630"/>
      <c r="CN939" s="1630"/>
      <c r="CO939" s="1630"/>
      <c r="CP939" s="1630"/>
      <c r="CQ939" s="1630"/>
      <c r="CR939" s="1630"/>
      <c r="CS939" s="1630"/>
      <c r="CT939" s="1630"/>
      <c r="CU939" s="1630"/>
      <c r="CV939" s="1630"/>
      <c r="CW939" s="1632"/>
      <c r="CX939" s="1632"/>
      <c r="CY939" s="1630"/>
      <c r="CZ939" s="1630"/>
      <c r="DA939" s="1630"/>
      <c r="DB939" s="1633"/>
      <c r="DC939" s="1633"/>
      <c r="DD939" s="1633"/>
      <c r="DE939" s="1633"/>
      <c r="DF939" s="1633"/>
      <c r="DG939" s="1633"/>
      <c r="DH939" s="1633"/>
      <c r="DI939" s="1634"/>
      <c r="DJ939" s="1633"/>
      <c r="DK939" s="1633"/>
      <c r="DL939" s="1633"/>
      <c r="DM939" s="1633"/>
      <c r="DN939" s="1633"/>
      <c r="DO939" s="1633"/>
      <c r="DP939" s="1633"/>
      <c r="DQ939" s="1634"/>
      <c r="DR939" s="1633"/>
      <c r="DS939" s="1633"/>
      <c r="DT939" s="1633"/>
      <c r="DU939" s="1633"/>
      <c r="DV939" s="1633"/>
      <c r="DW939" s="1633"/>
      <c r="DX939" s="1633"/>
      <c r="DY939" s="1634"/>
      <c r="DZ939" s="1633"/>
      <c r="EA939" s="1633"/>
      <c r="EB939" s="1633"/>
      <c r="EC939" s="1633"/>
      <c r="ED939" s="1633"/>
      <c r="EE939" s="1633"/>
      <c r="EF939" s="1633"/>
      <c r="EG939" s="1634"/>
      <c r="EH939" s="1633"/>
      <c r="EI939" s="1633"/>
      <c r="EJ939" s="1633"/>
      <c r="EK939" s="1633"/>
      <c r="EL939" s="1633"/>
      <c r="EM939" s="1633"/>
      <c r="EN939" s="1633"/>
      <c r="EO939" s="1634"/>
      <c r="EP939" s="1633"/>
      <c r="EQ939" s="1633"/>
      <c r="ER939" s="1633"/>
      <c r="ES939" s="1633"/>
      <c r="ET939" s="1633"/>
      <c r="EU939" s="1633"/>
      <c r="EV939" s="1633"/>
      <c r="EW939" s="1634"/>
      <c r="EX939" s="1633"/>
      <c r="EY939" s="1633"/>
      <c r="EZ939" s="1633"/>
      <c r="FA939" s="1633"/>
      <c r="FB939" s="1633"/>
      <c r="FC939" s="1633"/>
      <c r="FD939" s="1633"/>
      <c r="FE939" s="1634"/>
      <c r="FF939" s="1633"/>
      <c r="FG939" s="1633"/>
      <c r="FH939" s="1633"/>
      <c r="FI939" s="1633"/>
      <c r="FJ939" s="1633"/>
      <c r="FK939" s="1633"/>
      <c r="FL939" s="1633"/>
      <c r="FM939" s="1634"/>
      <c r="FN939" s="1635"/>
      <c r="FO939" s="1635"/>
      <c r="FP939" s="1635"/>
      <c r="FQ939" s="1635"/>
      <c r="FR939" s="1635"/>
      <c r="FS939" s="1635"/>
      <c r="FT939" s="1635"/>
      <c r="FU939" s="1635"/>
      <c r="FV939" s="1636"/>
      <c r="FW939" s="1635"/>
      <c r="FX939" s="1635"/>
      <c r="FY939" s="1635"/>
      <c r="FZ939" s="1635"/>
      <c r="GA939" s="1635"/>
      <c r="GB939" s="1633"/>
      <c r="GC939" s="1634"/>
      <c r="GD939" s="1633"/>
      <c r="GE939" s="1633"/>
      <c r="GF939" s="1633"/>
      <c r="GG939" s="1633"/>
      <c r="GH939" s="1633"/>
      <c r="GI939" s="1633"/>
      <c r="GJ939" s="1633"/>
      <c r="GK939" s="1634"/>
      <c r="GL939" s="1633"/>
      <c r="GM939" s="1633"/>
      <c r="GN939" s="1633"/>
      <c r="GO939" s="1633"/>
      <c r="GP939" s="1633"/>
      <c r="GQ939" s="1633"/>
      <c r="GR939" s="1633"/>
      <c r="GS939" s="1634"/>
      <c r="GT939" s="1633"/>
      <c r="GU939" s="1633"/>
      <c r="GV939" s="1633"/>
      <c r="GW939" s="1633"/>
      <c r="GX939" s="1633"/>
      <c r="GY939" s="1633"/>
      <c r="GZ939" s="1633"/>
      <c r="HA939" s="1634"/>
      <c r="HB939" s="1633"/>
      <c r="HC939" s="1633"/>
      <c r="HD939" s="1633"/>
      <c r="HE939" s="1633"/>
      <c r="HF939" s="1633"/>
      <c r="HG939" s="1633"/>
      <c r="HH939" s="1633"/>
      <c r="HI939" s="1634"/>
      <c r="HJ939" s="1633"/>
      <c r="HK939" s="1633"/>
      <c r="HL939" s="1633"/>
      <c r="HM939" s="1633"/>
      <c r="HN939" s="1633"/>
      <c r="HO939" s="1633"/>
      <c r="HP939" s="1633"/>
      <c r="HQ939" s="1634"/>
      <c r="HR939" s="1633"/>
      <c r="HS939" s="1633"/>
      <c r="HT939" s="1633"/>
      <c r="HU939" s="1633"/>
      <c r="HV939" s="1633"/>
      <c r="HW939" s="1633"/>
      <c r="HX939" s="1633"/>
      <c r="HY939" s="1633"/>
      <c r="HZ939" s="1633"/>
      <c r="IA939" s="1633"/>
      <c r="IB939" s="1633"/>
      <c r="IC939" s="1633"/>
      <c r="ID939" s="1633"/>
      <c r="IE939" s="1633"/>
      <c r="IF939" s="1633"/>
      <c r="IG939" s="1634"/>
      <c r="IH939" s="1633"/>
      <c r="II939" s="1633"/>
      <c r="IJ939" s="1633"/>
      <c r="IK939" s="1633"/>
      <c r="IL939" s="1633"/>
      <c r="IM939" s="1633"/>
      <c r="IN939" s="1633"/>
      <c r="IO939" s="1634"/>
      <c r="IP939" s="1633"/>
      <c r="IQ939" s="1621"/>
      <c r="IR939" s="1621"/>
      <c r="IS939" s="1621"/>
      <c r="IT939" s="1621"/>
      <c r="IU939" s="1621"/>
      <c r="IV939" s="1621"/>
      <c r="IW939" s="1621"/>
      <c r="IX939" s="1624"/>
      <c r="IY939" s="1624"/>
      <c r="IZ939" s="1624"/>
      <c r="JA939" s="1624"/>
      <c r="JB939" s="1624"/>
      <c r="JC939" s="1624"/>
      <c r="JD939" s="1625"/>
      <c r="JE939" s="1626"/>
      <c r="JF939" s="1626"/>
      <c r="JG939" s="1626"/>
      <c r="JH939" s="1626"/>
      <c r="KP939" s="1627"/>
      <c r="LV939" s="1628"/>
    </row>
    <row r="940" s="1032" customFormat="1" spans="1:334">
      <c r="A940" s="1637" t="s">
        <v>230</v>
      </c>
      <c r="B940" s="1630"/>
      <c r="C940" s="1630"/>
      <c r="D940" s="1630"/>
      <c r="E940" s="1630"/>
      <c r="F940" s="1630"/>
      <c r="G940" s="1630"/>
      <c r="H940" s="1630"/>
      <c r="I940" s="1630"/>
      <c r="J940" s="1630"/>
      <c r="K940" s="1630"/>
      <c r="L940" s="1630"/>
      <c r="M940" s="1630"/>
      <c r="N940" s="1630"/>
      <c r="O940" s="1630"/>
      <c r="P940" s="1630"/>
      <c r="Q940" s="1630"/>
      <c r="R940" s="1630"/>
      <c r="S940" s="1630"/>
      <c r="T940" s="1630"/>
      <c r="U940" s="1630"/>
      <c r="V940" s="1630"/>
      <c r="W940" s="1630"/>
      <c r="X940" s="1630"/>
      <c r="Y940" s="1630"/>
      <c r="Z940" s="1630"/>
      <c r="AA940" s="1630"/>
      <c r="AB940" s="1630"/>
      <c r="AC940" s="1630"/>
      <c r="AD940" s="1630"/>
      <c r="AE940" s="1630"/>
      <c r="AF940" s="1630"/>
      <c r="AG940" s="1630"/>
      <c r="AH940" s="1630"/>
      <c r="AI940" s="1630"/>
      <c r="AJ940" s="1630"/>
      <c r="AK940" s="1630"/>
      <c r="AL940" s="1630"/>
      <c r="AM940" s="1630"/>
      <c r="AN940" s="1630"/>
      <c r="AO940" s="1630"/>
      <c r="AP940" s="1630"/>
      <c r="AQ940" s="1630"/>
      <c r="AR940" s="1630"/>
      <c r="AS940" s="1630"/>
      <c r="AT940" s="1630"/>
      <c r="AU940" s="1630"/>
      <c r="AV940" s="1630"/>
      <c r="AW940" s="1630"/>
      <c r="AX940" s="1630"/>
      <c r="AY940" s="1630"/>
      <c r="AZ940" s="1630"/>
      <c r="BA940" s="1630"/>
      <c r="BB940" s="1630"/>
      <c r="BC940" s="1630"/>
      <c r="BD940" s="1630"/>
      <c r="BE940" s="1630"/>
      <c r="BF940" s="1630"/>
      <c r="BG940" s="1630"/>
      <c r="BH940" s="1630"/>
      <c r="BI940" s="1630"/>
      <c r="BJ940" s="1630"/>
      <c r="BK940" s="1630"/>
      <c r="BL940" s="1630"/>
      <c r="BM940" s="1630"/>
      <c r="BN940" s="1630"/>
      <c r="BO940" s="1630"/>
      <c r="BP940" s="1630"/>
      <c r="BQ940" s="1630"/>
      <c r="BR940" s="1630"/>
      <c r="BS940" s="1630"/>
      <c r="BT940" s="1630"/>
      <c r="BU940" s="1630"/>
      <c r="BV940" s="1630"/>
      <c r="BW940" s="1630"/>
      <c r="BX940" s="1630"/>
      <c r="BY940" s="1630"/>
      <c r="BZ940" s="1630"/>
      <c r="CA940" s="1630"/>
      <c r="CB940" s="1630"/>
      <c r="CC940" s="1630"/>
      <c r="CD940" s="1630"/>
      <c r="CE940" s="1630"/>
      <c r="CF940" s="1630"/>
      <c r="CG940" s="1630"/>
      <c r="CH940" s="1630"/>
      <c r="CI940" s="1630"/>
      <c r="CJ940" s="1631"/>
      <c r="CK940" s="1630"/>
      <c r="CL940" s="1630"/>
      <c r="CM940" s="1630"/>
      <c r="CN940" s="1630"/>
      <c r="CO940" s="1630"/>
      <c r="CP940" s="1630"/>
      <c r="CQ940" s="1630"/>
      <c r="CR940" s="1630"/>
      <c r="CS940" s="1630"/>
      <c r="CT940" s="1630"/>
      <c r="CU940" s="1630"/>
      <c r="CV940" s="1630"/>
      <c r="CW940" s="1632"/>
      <c r="CX940" s="1632"/>
      <c r="CY940" s="1630"/>
      <c r="CZ940" s="1630"/>
      <c r="DA940" s="1630"/>
      <c r="DB940" s="1633"/>
      <c r="DC940" s="1633"/>
      <c r="DD940" s="1633"/>
      <c r="DE940" s="1633"/>
      <c r="DF940" s="1633"/>
      <c r="DG940" s="1633"/>
      <c r="DH940" s="1633"/>
      <c r="DI940" s="1634"/>
      <c r="DJ940" s="1633"/>
      <c r="DK940" s="1633"/>
      <c r="DL940" s="1633"/>
      <c r="DM940" s="1633"/>
      <c r="DN940" s="1633"/>
      <c r="DO940" s="1633"/>
      <c r="DP940" s="1633"/>
      <c r="DQ940" s="1634"/>
      <c r="DR940" s="1633"/>
      <c r="DS940" s="1633"/>
      <c r="DT940" s="1633"/>
      <c r="DU940" s="1633"/>
      <c r="DV940" s="1633"/>
      <c r="DW940" s="1633"/>
      <c r="DX940" s="1633"/>
      <c r="DY940" s="1634"/>
      <c r="DZ940" s="1633"/>
      <c r="EA940" s="1633"/>
      <c r="EB940" s="1633"/>
      <c r="EC940" s="1633"/>
      <c r="ED940" s="1633"/>
      <c r="EE940" s="1633"/>
      <c r="EF940" s="1633"/>
      <c r="EG940" s="1634"/>
      <c r="EH940" s="1633"/>
      <c r="EI940" s="1633"/>
      <c r="EJ940" s="1633"/>
      <c r="EK940" s="1633"/>
      <c r="EL940" s="1633"/>
      <c r="EM940" s="1633"/>
      <c r="EN940" s="1633"/>
      <c r="EO940" s="1634"/>
      <c r="EP940" s="1633"/>
      <c r="EQ940" s="1633"/>
      <c r="ER940" s="1633"/>
      <c r="ES940" s="1633"/>
      <c r="ET940" s="1633"/>
      <c r="EU940" s="1633"/>
      <c r="EV940" s="1633"/>
      <c r="EW940" s="1634"/>
      <c r="EX940" s="1635">
        <f>EX388</f>
        <v>3481</v>
      </c>
      <c r="EY940" s="1635">
        <f>EY388</f>
        <v>3398</v>
      </c>
      <c r="EZ940" s="1635">
        <f>EZ388</f>
        <v>6879</v>
      </c>
      <c r="FA940" s="1635">
        <f t="shared" ref="FA940:FG940" si="4723">FA388</f>
        <v>4044</v>
      </c>
      <c r="FB940" s="1635">
        <f t="shared" si="4723"/>
        <v>10923</v>
      </c>
      <c r="FC940" s="1635">
        <f t="shared" si="4723"/>
        <v>3610</v>
      </c>
      <c r="FD940" s="1635">
        <f t="shared" si="4723"/>
        <v>7654</v>
      </c>
      <c r="FE940" s="1635">
        <f t="shared" si="4723"/>
        <v>14533</v>
      </c>
      <c r="FF940" s="1635">
        <f t="shared" si="4723"/>
        <v>4083</v>
      </c>
      <c r="FG940" s="1635">
        <f t="shared" si="4723"/>
        <v>3907</v>
      </c>
      <c r="FH940" s="1635"/>
      <c r="FI940" s="1635">
        <f>FI388</f>
        <v>4757</v>
      </c>
      <c r="FJ940" s="1635"/>
      <c r="FK940" s="1635">
        <f>FK388</f>
        <v>4168</v>
      </c>
      <c r="FL940" s="1635"/>
      <c r="FM940" s="1638">
        <f>FF940+FG940+FI940+FK940</f>
        <v>16915</v>
      </c>
      <c r="FN940" s="1635">
        <f>FN388</f>
        <v>4769</v>
      </c>
      <c r="FO940" s="1635">
        <f>FO388</f>
        <v>4423</v>
      </c>
      <c r="FP940" s="1635"/>
      <c r="FQ940" s="1635">
        <f>FQ388</f>
        <v>5412</v>
      </c>
      <c r="FR940" s="1635"/>
      <c r="FS940" s="1635">
        <f>FS388</f>
        <v>4686</v>
      </c>
      <c r="FT940" s="1635"/>
      <c r="FU940" s="1635">
        <f>FN940+FO940+FQ940+FS940</f>
        <v>19290</v>
      </c>
      <c r="FV940" s="1636">
        <f>FV388</f>
        <v>5446</v>
      </c>
      <c r="FW940" s="1635">
        <f>FW949+FW962</f>
        <v>5237.56025</v>
      </c>
      <c r="FX940" s="1635"/>
      <c r="FY940" s="1635">
        <f>FY949+FY962</f>
        <v>5908.1095</v>
      </c>
      <c r="FZ940" s="1635"/>
      <c r="GA940" s="1635">
        <f>GA949+GA962</f>
        <v>5160.95325</v>
      </c>
      <c r="GB940" s="1633"/>
      <c r="GC940" s="1634"/>
      <c r="GD940" s="1633"/>
      <c r="GE940" s="1633"/>
      <c r="GF940" s="1633"/>
      <c r="GG940" s="1633"/>
      <c r="GH940" s="1633"/>
      <c r="GI940" s="1633"/>
      <c r="GJ940" s="1633"/>
      <c r="GK940" s="1634"/>
      <c r="GL940" s="1633"/>
      <c r="GM940" s="1633"/>
      <c r="GN940" s="1633"/>
      <c r="GO940" s="1633"/>
      <c r="GP940" s="1633"/>
      <c r="GQ940" s="1633"/>
      <c r="GR940" s="1633"/>
      <c r="GS940" s="1634"/>
      <c r="GT940" s="1633"/>
      <c r="GU940" s="1633"/>
      <c r="GV940" s="1633"/>
      <c r="GW940" s="1633"/>
      <c r="GX940" s="1633"/>
      <c r="GY940" s="1633"/>
      <c r="GZ940" s="1633"/>
      <c r="HA940" s="1634"/>
      <c r="HB940" s="1633"/>
      <c r="HC940" s="1633"/>
      <c r="HD940" s="1633"/>
      <c r="HE940" s="1633"/>
      <c r="HF940" s="1633"/>
      <c r="HG940" s="1633"/>
      <c r="HH940" s="1633"/>
      <c r="HI940" s="1634"/>
      <c r="HJ940" s="1633"/>
      <c r="HK940" s="1633"/>
      <c r="HL940" s="1633"/>
      <c r="HM940" s="1633"/>
      <c r="HN940" s="1633"/>
      <c r="HO940" s="1633"/>
      <c r="HP940" s="1633"/>
      <c r="HQ940" s="1634"/>
      <c r="HR940" s="1633"/>
      <c r="HS940" s="1633"/>
      <c r="HT940" s="1633"/>
      <c r="HU940" s="1633"/>
      <c r="HV940" s="1633"/>
      <c r="HW940" s="1633"/>
      <c r="HX940" s="1633"/>
      <c r="HY940" s="1633"/>
      <c r="HZ940" s="1633"/>
      <c r="IA940" s="1633"/>
      <c r="IB940" s="1633"/>
      <c r="IC940" s="1633"/>
      <c r="ID940" s="1633"/>
      <c r="IE940" s="1633"/>
      <c r="IF940" s="1633"/>
      <c r="IG940" s="1634"/>
      <c r="IH940" s="1633"/>
      <c r="II940" s="1633"/>
      <c r="IJ940" s="1633"/>
      <c r="IK940" s="1633"/>
      <c r="IL940" s="1633"/>
      <c r="IM940" s="1633"/>
      <c r="IN940" s="1633"/>
      <c r="IO940" s="1634"/>
      <c r="IP940" s="1633"/>
      <c r="IQ940" s="1639">
        <f>FU940*1.12</f>
        <v>21604.8</v>
      </c>
      <c r="IR940" s="1639">
        <f>IQ940-IQ949</f>
        <v>719.010000000006</v>
      </c>
      <c r="IS940" s="1621"/>
      <c r="IT940" s="1621"/>
      <c r="IU940" s="1621"/>
      <c r="IV940" s="1621"/>
      <c r="IW940" s="1621"/>
      <c r="IX940" s="1624"/>
      <c r="IY940" s="1624"/>
      <c r="IZ940" s="1624"/>
      <c r="JA940" s="1624"/>
      <c r="JB940" s="1624"/>
      <c r="JC940" s="1624"/>
      <c r="JD940" s="1625"/>
      <c r="JE940" s="1626"/>
      <c r="JF940" s="1626"/>
      <c r="JG940" s="1626"/>
      <c r="JH940" s="1626"/>
      <c r="KP940" s="1627"/>
      <c r="LV940" s="1628"/>
    </row>
    <row r="941" s="1032" customFormat="1" spans="1:334">
      <c r="A941" s="1629"/>
      <c r="B941" s="1630"/>
      <c r="C941" s="1630"/>
      <c r="D941" s="1630"/>
      <c r="E941" s="1630"/>
      <c r="F941" s="1630"/>
      <c r="G941" s="1630"/>
      <c r="H941" s="1630"/>
      <c r="I941" s="1630"/>
      <c r="J941" s="1630"/>
      <c r="K941" s="1630"/>
      <c r="L941" s="1630"/>
      <c r="M941" s="1630"/>
      <c r="N941" s="1630"/>
      <c r="O941" s="1630"/>
      <c r="P941" s="1630"/>
      <c r="Q941" s="1630"/>
      <c r="R941" s="1630"/>
      <c r="S941" s="1630"/>
      <c r="T941" s="1630"/>
      <c r="U941" s="1630"/>
      <c r="V941" s="1630"/>
      <c r="W941" s="1630"/>
      <c r="X941" s="1630"/>
      <c r="Y941" s="1630"/>
      <c r="Z941" s="1630"/>
      <c r="AA941" s="1630"/>
      <c r="AB941" s="1630"/>
      <c r="AC941" s="1630"/>
      <c r="AD941" s="1630"/>
      <c r="AE941" s="1630"/>
      <c r="AF941" s="1630"/>
      <c r="AG941" s="1630"/>
      <c r="AH941" s="1630"/>
      <c r="AI941" s="1630"/>
      <c r="AJ941" s="1630"/>
      <c r="AK941" s="1630"/>
      <c r="AL941" s="1630"/>
      <c r="AM941" s="1630"/>
      <c r="AN941" s="1630"/>
      <c r="AO941" s="1630"/>
      <c r="AP941" s="1630"/>
      <c r="AQ941" s="1630"/>
      <c r="AR941" s="1630"/>
      <c r="AS941" s="1630"/>
      <c r="AT941" s="1630"/>
      <c r="AU941" s="1630"/>
      <c r="AV941" s="1630"/>
      <c r="AW941" s="1630"/>
      <c r="AX941" s="1630"/>
      <c r="AY941" s="1630"/>
      <c r="AZ941" s="1630"/>
      <c r="BA941" s="1630"/>
      <c r="BB941" s="1630"/>
      <c r="BC941" s="1630"/>
      <c r="BD941" s="1630"/>
      <c r="BE941" s="1630"/>
      <c r="BF941" s="1630"/>
      <c r="BG941" s="1630"/>
      <c r="BH941" s="1630"/>
      <c r="BI941" s="1630"/>
      <c r="BJ941" s="1630"/>
      <c r="BK941" s="1630"/>
      <c r="BL941" s="1630"/>
      <c r="BM941" s="1630"/>
      <c r="BN941" s="1630"/>
      <c r="BO941" s="1630"/>
      <c r="BP941" s="1630"/>
      <c r="BQ941" s="1630"/>
      <c r="BR941" s="1630"/>
      <c r="BS941" s="1630"/>
      <c r="BT941" s="1630"/>
      <c r="BU941" s="1630"/>
      <c r="BV941" s="1630"/>
      <c r="BW941" s="1630"/>
      <c r="BX941" s="1630"/>
      <c r="BY941" s="1630"/>
      <c r="BZ941" s="1630"/>
      <c r="CA941" s="1630"/>
      <c r="CB941" s="1630"/>
      <c r="CC941" s="1630"/>
      <c r="CD941" s="1630"/>
      <c r="CE941" s="1630"/>
      <c r="CF941" s="1630"/>
      <c r="CG941" s="1630"/>
      <c r="CH941" s="1630"/>
      <c r="CI941" s="1630"/>
      <c r="CJ941" s="1631"/>
      <c r="CK941" s="1630"/>
      <c r="CL941" s="1630"/>
      <c r="CM941" s="1630"/>
      <c r="CN941" s="1630"/>
      <c r="CO941" s="1630"/>
      <c r="CP941" s="1630"/>
      <c r="CQ941" s="1630"/>
      <c r="CR941" s="1630"/>
      <c r="CS941" s="1630"/>
      <c r="CT941" s="1630"/>
      <c r="CU941" s="1630"/>
      <c r="CV941" s="1630"/>
      <c r="CW941" s="1632"/>
      <c r="CX941" s="1632"/>
      <c r="CY941" s="1630"/>
      <c r="CZ941" s="1630"/>
      <c r="DA941" s="1630"/>
      <c r="DB941" s="1633"/>
      <c r="DC941" s="1633"/>
      <c r="DD941" s="1633"/>
      <c r="DE941" s="1633"/>
      <c r="DF941" s="1633"/>
      <c r="DG941" s="1633"/>
      <c r="DH941" s="1633"/>
      <c r="DI941" s="1634"/>
      <c r="DJ941" s="1633"/>
      <c r="DK941" s="1633"/>
      <c r="DL941" s="1633"/>
      <c r="DM941" s="1633"/>
      <c r="DN941" s="1633"/>
      <c r="DO941" s="1633"/>
      <c r="DP941" s="1633"/>
      <c r="DQ941" s="1634"/>
      <c r="DR941" s="1633"/>
      <c r="DS941" s="1633"/>
      <c r="DT941" s="1633"/>
      <c r="DU941" s="1633"/>
      <c r="DV941" s="1633"/>
      <c r="DW941" s="1633"/>
      <c r="DX941" s="1633"/>
      <c r="DY941" s="1634"/>
      <c r="DZ941" s="1633"/>
      <c r="EA941" s="1633"/>
      <c r="EB941" s="1633"/>
      <c r="EC941" s="1633"/>
      <c r="ED941" s="1633"/>
      <c r="EE941" s="1633"/>
      <c r="EF941" s="1633"/>
      <c r="EG941" s="1634"/>
      <c r="EH941" s="1633"/>
      <c r="EI941" s="1633"/>
      <c r="EJ941" s="1633"/>
      <c r="EK941" s="1633"/>
      <c r="EL941" s="1633"/>
      <c r="EM941" s="1633"/>
      <c r="EN941" s="1633"/>
      <c r="EO941" s="1634"/>
      <c r="EP941" s="1633"/>
      <c r="EQ941" s="1633"/>
      <c r="ER941" s="1633"/>
      <c r="ES941" s="1633"/>
      <c r="ET941" s="1633"/>
      <c r="EU941" s="1633"/>
      <c r="EV941" s="1633"/>
      <c r="EW941" s="1634"/>
      <c r="EX941" s="1633"/>
      <c r="EY941" s="1633"/>
      <c r="EZ941" s="1633"/>
      <c r="FA941" s="1633"/>
      <c r="FB941" s="1633"/>
      <c r="FC941" s="1633"/>
      <c r="FD941" s="1633"/>
      <c r="FE941" s="1633"/>
      <c r="FF941" s="1633"/>
      <c r="FG941" s="1633"/>
      <c r="FH941" s="1633"/>
      <c r="FI941" s="1633"/>
      <c r="FJ941" s="1633"/>
      <c r="FK941" s="1633"/>
      <c r="FL941" s="1633"/>
      <c r="FM941" s="1634"/>
      <c r="FN941" s="1633"/>
      <c r="FO941" s="1633"/>
      <c r="FP941" s="1633"/>
      <c r="FQ941" s="1633"/>
      <c r="FR941" s="1633"/>
      <c r="FS941" s="1633"/>
      <c r="FT941" s="1633"/>
      <c r="FU941" s="1633"/>
      <c r="FV941" s="1640"/>
      <c r="FW941" s="1633"/>
      <c r="FX941" s="1633"/>
      <c r="FY941" s="1633"/>
      <c r="FZ941" s="1633"/>
      <c r="GA941" s="1633"/>
      <c r="GB941" s="1633"/>
      <c r="GC941" s="1634"/>
      <c r="GD941" s="1633"/>
      <c r="GE941" s="1633"/>
      <c r="GF941" s="1633"/>
      <c r="GG941" s="1633"/>
      <c r="GH941" s="1633"/>
      <c r="GI941" s="1633"/>
      <c r="GJ941" s="1633"/>
      <c r="GK941" s="1634"/>
      <c r="GL941" s="1633"/>
      <c r="GM941" s="1633"/>
      <c r="GN941" s="1633"/>
      <c r="GO941" s="1633"/>
      <c r="GP941" s="1633"/>
      <c r="GQ941" s="1633"/>
      <c r="GR941" s="1633"/>
      <c r="GS941" s="1634"/>
      <c r="GT941" s="1633"/>
      <c r="GU941" s="1633"/>
      <c r="GV941" s="1633"/>
      <c r="GW941" s="1633"/>
      <c r="GX941" s="1633"/>
      <c r="GY941" s="1633"/>
      <c r="GZ941" s="1633"/>
      <c r="HA941" s="1634"/>
      <c r="HB941" s="1633"/>
      <c r="HC941" s="1633"/>
      <c r="HD941" s="1633"/>
      <c r="HE941" s="1633"/>
      <c r="HF941" s="1633"/>
      <c r="HG941" s="1633"/>
      <c r="HH941" s="1633"/>
      <c r="HI941" s="1634"/>
      <c r="HJ941" s="1633"/>
      <c r="HK941" s="1633"/>
      <c r="HL941" s="1633"/>
      <c r="HM941" s="1633"/>
      <c r="HN941" s="1633"/>
      <c r="HO941" s="1633"/>
      <c r="HP941" s="1633"/>
      <c r="HQ941" s="1634"/>
      <c r="HR941" s="1633"/>
      <c r="HS941" s="1633"/>
      <c r="HT941" s="1633"/>
      <c r="HU941" s="1633"/>
      <c r="HV941" s="1633"/>
      <c r="HW941" s="1633"/>
      <c r="HX941" s="1633"/>
      <c r="HY941" s="1633"/>
      <c r="HZ941" s="1633"/>
      <c r="IA941" s="1633"/>
      <c r="IB941" s="1633"/>
      <c r="IC941" s="1633"/>
      <c r="ID941" s="1633"/>
      <c r="IE941" s="1633"/>
      <c r="IF941" s="1633"/>
      <c r="IG941" s="1634"/>
      <c r="IH941" s="1633"/>
      <c r="II941" s="1633"/>
      <c r="IJ941" s="1633"/>
      <c r="IK941" s="1633"/>
      <c r="IL941" s="1633"/>
      <c r="IM941" s="1633"/>
      <c r="IN941" s="1633"/>
      <c r="IO941" s="1634"/>
      <c r="IP941" s="1633"/>
      <c r="IQ941" s="1639">
        <f>IQ940*8.4%</f>
        <v>1814.8032</v>
      </c>
      <c r="IR941" s="1639">
        <f>IQ941-IQ950</f>
        <v>-2.26052999999933</v>
      </c>
      <c r="IS941" s="1621"/>
      <c r="IT941" s="1621"/>
      <c r="IU941" s="1621"/>
      <c r="IV941" s="1621"/>
      <c r="IW941" s="1621"/>
      <c r="IX941" s="1624"/>
      <c r="IY941" s="1624"/>
      <c r="IZ941" s="1624"/>
      <c r="JA941" s="1624"/>
      <c r="JB941" s="1624"/>
      <c r="JC941" s="1624"/>
      <c r="JD941" s="1625"/>
      <c r="JE941" s="1626"/>
      <c r="JF941" s="1626"/>
      <c r="JG941" s="1626"/>
      <c r="JH941" s="1626"/>
      <c r="KP941" s="1627"/>
      <c r="LV941" s="1628"/>
    </row>
    <row r="942" s="1032" customFormat="1" spans="1:334">
      <c r="A942" s="1637" t="s">
        <v>127</v>
      </c>
      <c r="B942" s="1630"/>
      <c r="C942" s="1630"/>
      <c r="D942" s="1630"/>
      <c r="E942" s="1630"/>
      <c r="F942" s="1630"/>
      <c r="G942" s="1630"/>
      <c r="H942" s="1630"/>
      <c r="I942" s="1630"/>
      <c r="J942" s="1630"/>
      <c r="K942" s="1630"/>
      <c r="L942" s="1630"/>
      <c r="M942" s="1630"/>
      <c r="N942" s="1630"/>
      <c r="O942" s="1630"/>
      <c r="P942" s="1630"/>
      <c r="Q942" s="1630"/>
      <c r="R942" s="1630"/>
      <c r="S942" s="1630"/>
      <c r="T942" s="1630"/>
      <c r="U942" s="1630"/>
      <c r="V942" s="1630"/>
      <c r="W942" s="1630"/>
      <c r="X942" s="1630"/>
      <c r="Y942" s="1630"/>
      <c r="Z942" s="1630"/>
      <c r="AA942" s="1630"/>
      <c r="AB942" s="1630"/>
      <c r="AC942" s="1630"/>
      <c r="AD942" s="1630"/>
      <c r="AE942" s="1630"/>
      <c r="AF942" s="1630"/>
      <c r="AG942" s="1630"/>
      <c r="AH942" s="1630"/>
      <c r="AI942" s="1630"/>
      <c r="AJ942" s="1630"/>
      <c r="AK942" s="1630"/>
      <c r="AL942" s="1630"/>
      <c r="AM942" s="1630"/>
      <c r="AN942" s="1630"/>
      <c r="AO942" s="1630"/>
      <c r="AP942" s="1630"/>
      <c r="AQ942" s="1630"/>
      <c r="AR942" s="1630"/>
      <c r="AS942" s="1630"/>
      <c r="AT942" s="1630"/>
      <c r="AU942" s="1630"/>
      <c r="AV942" s="1630"/>
      <c r="AW942" s="1630"/>
      <c r="AX942" s="1630"/>
      <c r="AY942" s="1630"/>
      <c r="AZ942" s="1630"/>
      <c r="BA942" s="1630"/>
      <c r="BB942" s="1630"/>
      <c r="BC942" s="1630"/>
      <c r="BD942" s="1630"/>
      <c r="BE942" s="1630"/>
      <c r="BF942" s="1630"/>
      <c r="BG942" s="1630"/>
      <c r="BH942" s="1630"/>
      <c r="BI942" s="1630"/>
      <c r="BJ942" s="1630"/>
      <c r="BK942" s="1630"/>
      <c r="BL942" s="1630"/>
      <c r="BM942" s="1630"/>
      <c r="BN942" s="1630"/>
      <c r="BO942" s="1630"/>
      <c r="BP942" s="1630"/>
      <c r="BQ942" s="1630"/>
      <c r="BR942" s="1630"/>
      <c r="BS942" s="1630"/>
      <c r="BT942" s="1630"/>
      <c r="BU942" s="1630"/>
      <c r="BV942" s="1630"/>
      <c r="BW942" s="1630"/>
      <c r="BX942" s="1630"/>
      <c r="BY942" s="1630"/>
      <c r="BZ942" s="1630"/>
      <c r="CA942" s="1630"/>
      <c r="CB942" s="1630"/>
      <c r="CC942" s="1630"/>
      <c r="CD942" s="1630"/>
      <c r="CE942" s="1630"/>
      <c r="CF942" s="1630"/>
      <c r="CG942" s="1630"/>
      <c r="CH942" s="1630"/>
      <c r="CI942" s="1630"/>
      <c r="CJ942" s="1631"/>
      <c r="CK942" s="1630"/>
      <c r="CL942" s="1630"/>
      <c r="CM942" s="1630"/>
      <c r="CN942" s="1630"/>
      <c r="CO942" s="1630"/>
      <c r="CP942" s="1630"/>
      <c r="CQ942" s="1630"/>
      <c r="CR942" s="1630"/>
      <c r="CS942" s="1630"/>
      <c r="CT942" s="1630"/>
      <c r="CU942" s="1630"/>
      <c r="CV942" s="1630"/>
      <c r="CW942" s="1632"/>
      <c r="CX942" s="1632"/>
      <c r="CY942" s="1630"/>
      <c r="CZ942" s="1630"/>
      <c r="DA942" s="1630"/>
      <c r="DB942" s="1633"/>
      <c r="DC942" s="1633"/>
      <c r="DD942" s="1633"/>
      <c r="DE942" s="1633"/>
      <c r="DF942" s="1633"/>
      <c r="DG942" s="1633"/>
      <c r="DH942" s="1633"/>
      <c r="DI942" s="1634"/>
      <c r="DJ942" s="1633"/>
      <c r="DK942" s="1633"/>
      <c r="DL942" s="1633"/>
      <c r="DM942" s="1633"/>
      <c r="DN942" s="1633"/>
      <c r="DO942" s="1633"/>
      <c r="DP942" s="1633"/>
      <c r="DQ942" s="1634"/>
      <c r="DR942" s="1633"/>
      <c r="DS942" s="1633"/>
      <c r="DT942" s="1633"/>
      <c r="DU942" s="1633"/>
      <c r="DV942" s="1633"/>
      <c r="DW942" s="1633"/>
      <c r="DX942" s="1633"/>
      <c r="DY942" s="1634"/>
      <c r="DZ942" s="1633"/>
      <c r="EA942" s="1633"/>
      <c r="EB942" s="1633"/>
      <c r="EC942" s="1633"/>
      <c r="ED942" s="1633"/>
      <c r="EE942" s="1633"/>
      <c r="EF942" s="1633"/>
      <c r="EG942" s="1634"/>
      <c r="EH942" s="1633"/>
      <c r="EI942" s="1633"/>
      <c r="EJ942" s="1633"/>
      <c r="EK942" s="1633"/>
      <c r="EL942" s="1633"/>
      <c r="EM942" s="1633"/>
      <c r="EN942" s="1633"/>
      <c r="EO942" s="1634"/>
      <c r="EP942" s="1633"/>
      <c r="EQ942" s="1633"/>
      <c r="ER942" s="1633"/>
      <c r="ES942" s="1633"/>
      <c r="ET942" s="1633"/>
      <c r="EU942" s="1633"/>
      <c r="EV942" s="1633"/>
      <c r="EW942" s="1634"/>
      <c r="EX942" s="1635">
        <f>EX940*EX943</f>
        <v>1712</v>
      </c>
      <c r="EY942" s="1635">
        <f>EY940*EY943</f>
        <v>1673</v>
      </c>
      <c r="EZ942" s="1635">
        <f>EZ940*EZ943</f>
        <v>3385</v>
      </c>
      <c r="FA942" s="1635">
        <f t="shared" ref="FA942:FG942" si="4724">FA940*FA943</f>
        <v>1918</v>
      </c>
      <c r="FB942" s="1635">
        <f t="shared" si="4724"/>
        <v>5303</v>
      </c>
      <c r="FC942" s="1635">
        <f t="shared" si="4724"/>
        <v>1621</v>
      </c>
      <c r="FD942" s="1635">
        <f t="shared" si="4724"/>
        <v>3539</v>
      </c>
      <c r="FE942" s="1635">
        <f t="shared" si="4724"/>
        <v>6924</v>
      </c>
      <c r="FF942" s="1635">
        <f t="shared" si="4724"/>
        <v>2008</v>
      </c>
      <c r="FG942" s="1635">
        <f t="shared" si="4724"/>
        <v>1889</v>
      </c>
      <c r="FH942" s="1635"/>
      <c r="FI942" s="1635">
        <f>FI940*FI943</f>
        <v>2304</v>
      </c>
      <c r="FJ942" s="1635"/>
      <c r="FK942" s="1635">
        <f>FK940*FK943</f>
        <v>1967</v>
      </c>
      <c r="FL942" s="1635"/>
      <c r="FM942" s="1638">
        <f>FF942+FG942+FI942+FK942</f>
        <v>8168</v>
      </c>
      <c r="FN942" s="1635">
        <f>FN940*FN943</f>
        <v>2358</v>
      </c>
      <c r="FO942" s="1635">
        <f>FO940*FO943</f>
        <v>2159</v>
      </c>
      <c r="FP942" s="1635"/>
      <c r="FQ942" s="1635">
        <f>FQ940*FQ943</f>
        <v>2574</v>
      </c>
      <c r="FR942" s="1635"/>
      <c r="FS942" s="1635">
        <f>FS940*FS943</f>
        <v>2288</v>
      </c>
      <c r="FT942" s="1635"/>
      <c r="FU942" s="1635">
        <f>FN942+FO942+FQ942+FS942</f>
        <v>9379</v>
      </c>
      <c r="FV942" s="1636">
        <f>FV940*FV943</f>
        <v>2702</v>
      </c>
      <c r="FW942" s="1635">
        <f>FW943*FW940</f>
        <v>2540.21672125</v>
      </c>
      <c r="FX942" s="1635"/>
      <c r="FY942" s="1635">
        <f>FY943*FY940</f>
        <v>2883.157436</v>
      </c>
      <c r="FZ942" s="1635"/>
      <c r="GA942" s="1635">
        <f>GA943*GA940</f>
        <v>2590.7985315</v>
      </c>
      <c r="GB942" s="1633"/>
      <c r="GC942" s="1634"/>
      <c r="GD942" s="1633"/>
      <c r="GE942" s="1633"/>
      <c r="GF942" s="1633"/>
      <c r="GG942" s="1633"/>
      <c r="GH942" s="1633"/>
      <c r="GI942" s="1633"/>
      <c r="GJ942" s="1633"/>
      <c r="GK942" s="1634"/>
      <c r="GL942" s="1633"/>
      <c r="GM942" s="1633"/>
      <c r="GN942" s="1633"/>
      <c r="GO942" s="1633"/>
      <c r="GP942" s="1633"/>
      <c r="GQ942" s="1633"/>
      <c r="GR942" s="1633"/>
      <c r="GS942" s="1634"/>
      <c r="GT942" s="1633"/>
      <c r="GU942" s="1633"/>
      <c r="GV942" s="1633"/>
      <c r="GW942" s="1633"/>
      <c r="GX942" s="1633"/>
      <c r="GY942" s="1633"/>
      <c r="GZ942" s="1633"/>
      <c r="HA942" s="1634"/>
      <c r="HB942" s="1633"/>
      <c r="HC942" s="1633"/>
      <c r="HD942" s="1633"/>
      <c r="HE942" s="1633"/>
      <c r="HF942" s="1633"/>
      <c r="HG942" s="1633"/>
      <c r="HH942" s="1633"/>
      <c r="HI942" s="1634"/>
      <c r="HJ942" s="1633"/>
      <c r="HK942" s="1633"/>
      <c r="HL942" s="1633"/>
      <c r="HM942" s="1633"/>
      <c r="HN942" s="1633"/>
      <c r="HO942" s="1633"/>
      <c r="HP942" s="1633"/>
      <c r="HQ942" s="1634"/>
      <c r="HR942" s="1633"/>
      <c r="HS942" s="1633"/>
      <c r="HT942" s="1633"/>
      <c r="HU942" s="1633"/>
      <c r="HV942" s="1633"/>
      <c r="HW942" s="1633"/>
      <c r="HX942" s="1633"/>
      <c r="HY942" s="1633"/>
      <c r="HZ942" s="1633"/>
      <c r="IA942" s="1633"/>
      <c r="IB942" s="1633"/>
      <c r="IC942" s="1633"/>
      <c r="ID942" s="1633"/>
      <c r="IE942" s="1633"/>
      <c r="IF942" s="1633"/>
      <c r="IG942" s="1634"/>
      <c r="IH942" s="1633"/>
      <c r="II942" s="1633"/>
      <c r="IJ942" s="1633"/>
      <c r="IK942" s="1633"/>
      <c r="IL942" s="1633"/>
      <c r="IM942" s="1633"/>
      <c r="IN942" s="1633"/>
      <c r="IO942" s="1634"/>
      <c r="IP942" s="1633"/>
      <c r="IQ942" s="1621"/>
      <c r="IR942" s="1621"/>
      <c r="IS942" s="1621"/>
      <c r="IT942" s="1621"/>
      <c r="IU942" s="1621"/>
      <c r="IV942" s="1621"/>
      <c r="IW942" s="1621"/>
      <c r="IX942" s="1624"/>
      <c r="IY942" s="1624"/>
      <c r="IZ942" s="1624"/>
      <c r="JA942" s="1624"/>
      <c r="JB942" s="1624"/>
      <c r="JC942" s="1624"/>
      <c r="JD942" s="1625"/>
      <c r="JE942" s="1626"/>
      <c r="JF942" s="1626"/>
      <c r="JG942" s="1626"/>
      <c r="JH942" s="1626"/>
      <c r="KP942" s="1627"/>
      <c r="LV942" s="1628"/>
    </row>
    <row r="943" s="1024" customFormat="1" spans="1:334">
      <c r="A943" s="1641" t="s">
        <v>683</v>
      </c>
      <c r="B943" s="1121"/>
      <c r="C943" s="1121"/>
      <c r="D943" s="1121"/>
      <c r="E943" s="1121"/>
      <c r="F943" s="1121"/>
      <c r="G943" s="1121"/>
      <c r="H943" s="1121"/>
      <c r="I943" s="1121"/>
      <c r="J943" s="1121"/>
      <c r="K943" s="1121"/>
      <c r="L943" s="1121"/>
      <c r="M943" s="1121"/>
      <c r="N943" s="1121"/>
      <c r="O943" s="1121"/>
      <c r="P943" s="1121"/>
      <c r="Q943" s="1121"/>
      <c r="R943" s="1121"/>
      <c r="S943" s="1121"/>
      <c r="T943" s="1121"/>
      <c r="U943" s="1121"/>
      <c r="V943" s="1121"/>
      <c r="W943" s="1121"/>
      <c r="X943" s="1121"/>
      <c r="Y943" s="1121"/>
      <c r="Z943" s="1121"/>
      <c r="AA943" s="1121"/>
      <c r="AB943" s="1121"/>
      <c r="AC943" s="1121"/>
      <c r="AD943" s="1121"/>
      <c r="AE943" s="1121"/>
      <c r="AF943" s="1121"/>
      <c r="AG943" s="1121"/>
      <c r="AH943" s="1121"/>
      <c r="AI943" s="1121"/>
      <c r="AJ943" s="1121"/>
      <c r="AK943" s="1121"/>
      <c r="AL943" s="1121"/>
      <c r="AM943" s="1121"/>
      <c r="AN943" s="1121"/>
      <c r="AO943" s="1121"/>
      <c r="AP943" s="1121"/>
      <c r="AQ943" s="1121"/>
      <c r="AR943" s="1121"/>
      <c r="AS943" s="1121"/>
      <c r="AT943" s="1121"/>
      <c r="AU943" s="1121"/>
      <c r="AV943" s="1121"/>
      <c r="AW943" s="1121"/>
      <c r="AX943" s="1121"/>
      <c r="AY943" s="1121"/>
      <c r="AZ943" s="1121"/>
      <c r="BA943" s="1121"/>
      <c r="BB943" s="1121"/>
      <c r="BC943" s="1121"/>
      <c r="BD943" s="1121"/>
      <c r="BE943" s="1121"/>
      <c r="BF943" s="1121"/>
      <c r="BG943" s="1121"/>
      <c r="BH943" s="1121"/>
      <c r="BI943" s="1121"/>
      <c r="BJ943" s="1121"/>
      <c r="BK943" s="1121"/>
      <c r="BL943" s="1121"/>
      <c r="BM943" s="1121"/>
      <c r="BN943" s="1121"/>
      <c r="BO943" s="1121"/>
      <c r="BP943" s="1121"/>
      <c r="BQ943" s="1121"/>
      <c r="BR943" s="1121"/>
      <c r="BS943" s="1121"/>
      <c r="BT943" s="1121"/>
      <c r="BU943" s="1121"/>
      <c r="BV943" s="1121"/>
      <c r="BW943" s="1121"/>
      <c r="BX943" s="1121"/>
      <c r="BY943" s="1121"/>
      <c r="BZ943" s="1121"/>
      <c r="CA943" s="1121"/>
      <c r="CB943" s="1121"/>
      <c r="CC943" s="1121"/>
      <c r="CD943" s="1121"/>
      <c r="CE943" s="1121"/>
      <c r="CF943" s="1121"/>
      <c r="CG943" s="1121"/>
      <c r="CH943" s="1121"/>
      <c r="CI943" s="1121"/>
      <c r="CJ943" s="917"/>
      <c r="CK943" s="1121"/>
      <c r="CL943" s="1121"/>
      <c r="CM943" s="1121"/>
      <c r="CN943" s="1121"/>
      <c r="CO943" s="1121"/>
      <c r="CP943" s="1121"/>
      <c r="CQ943" s="1121"/>
      <c r="CR943" s="1121"/>
      <c r="CS943" s="1121"/>
      <c r="CT943" s="1121"/>
      <c r="CU943" s="1121"/>
      <c r="CV943" s="1121"/>
      <c r="CW943" s="1205"/>
      <c r="CX943" s="1205"/>
      <c r="CY943" s="1121"/>
      <c r="CZ943" s="1121"/>
      <c r="DA943" s="1121"/>
      <c r="DB943" s="1114"/>
      <c r="DC943" s="1114"/>
      <c r="DD943" s="1114"/>
      <c r="DE943" s="1206"/>
      <c r="DF943" s="1206"/>
      <c r="DG943" s="1114"/>
      <c r="DH943" s="1114"/>
      <c r="DI943" s="1207"/>
      <c r="DJ943" s="1114"/>
      <c r="DK943" s="1114"/>
      <c r="DL943" s="1114"/>
      <c r="DM943" s="1114"/>
      <c r="DN943" s="1114"/>
      <c r="DO943" s="1114"/>
      <c r="DP943" s="1114"/>
      <c r="DQ943" s="1207"/>
      <c r="DR943" s="1114"/>
      <c r="DS943" s="1114"/>
      <c r="DT943" s="1114"/>
      <c r="DU943" s="1114"/>
      <c r="DV943" s="1114"/>
      <c r="DW943" s="1114"/>
      <c r="DX943" s="1114"/>
      <c r="DY943" s="1207"/>
      <c r="DZ943" s="1114"/>
      <c r="EA943" s="1114"/>
      <c r="EB943" s="1114"/>
      <c r="EC943" s="1114"/>
      <c r="ED943" s="1114"/>
      <c r="EE943" s="1114"/>
      <c r="EF943" s="1114"/>
      <c r="EG943" s="1207"/>
      <c r="EH943" s="1114"/>
      <c r="EI943" s="1114"/>
      <c r="EJ943" s="1114"/>
      <c r="EK943" s="1114"/>
      <c r="EL943" s="1114"/>
      <c r="EM943" s="1114"/>
      <c r="EN943" s="1114"/>
      <c r="EO943" s="1207"/>
      <c r="EP943" s="1114"/>
      <c r="EQ943" s="1114"/>
      <c r="ER943" s="1114"/>
      <c r="ES943" s="1114"/>
      <c r="ET943" s="1114"/>
      <c r="EU943" s="1114"/>
      <c r="EV943" s="1114"/>
      <c r="EW943" s="1207"/>
      <c r="EX943" s="1158">
        <f>EX397</f>
        <v>0.491812697500718</v>
      </c>
      <c r="EY943" s="1158">
        <f>EY397</f>
        <v>0.492348440258976</v>
      </c>
      <c r="EZ943" s="1158">
        <f>EZ397</f>
        <v>0.492077336822213</v>
      </c>
      <c r="FA943" s="1158">
        <f t="shared" ref="FA943:FG943" si="4725">FA397</f>
        <v>0.474282888229476</v>
      </c>
      <c r="FB943" s="1158">
        <f t="shared" si="4725"/>
        <v>0.485489334431933</v>
      </c>
      <c r="FC943" s="1158">
        <f t="shared" si="4725"/>
        <v>0.449030470914127</v>
      </c>
      <c r="FD943" s="1158">
        <f t="shared" si="4725"/>
        <v>0.462372615625817</v>
      </c>
      <c r="FE943" s="1158">
        <f t="shared" si="4725"/>
        <v>0.476432945709764</v>
      </c>
      <c r="FF943" s="1158">
        <f t="shared" si="4725"/>
        <v>0.491795248591722</v>
      </c>
      <c r="FG943" s="1158">
        <f t="shared" si="4725"/>
        <v>0.483491169695418</v>
      </c>
      <c r="FH943" s="1158"/>
      <c r="FI943" s="1158">
        <f>FI397</f>
        <v>0.484338869035106</v>
      </c>
      <c r="FJ943" s="1158"/>
      <c r="FK943" s="1158">
        <f>FK397</f>
        <v>0.471928982725528</v>
      </c>
      <c r="FL943" s="1158"/>
      <c r="FM943" s="1642">
        <f>FM942/FM940</f>
        <v>0.482885013301803</v>
      </c>
      <c r="FN943" s="1158">
        <f>FN397</f>
        <v>0.494443279513525</v>
      </c>
      <c r="FO943" s="1158">
        <f>FO397</f>
        <v>0.488130228351797</v>
      </c>
      <c r="FP943" s="1158"/>
      <c r="FQ943" s="1158">
        <f>FQ397</f>
        <v>0.475609756097561</v>
      </c>
      <c r="FR943" s="1158"/>
      <c r="FS943" s="1158">
        <f>FS397</f>
        <v>0.488262910798122</v>
      </c>
      <c r="FT943" s="1158"/>
      <c r="FU943" s="1158">
        <f>FU942/FU940</f>
        <v>0.486210471747019</v>
      </c>
      <c r="FV943" s="1643">
        <f>FV397</f>
        <v>0.496143958868895</v>
      </c>
      <c r="FW943" s="1158">
        <v>0.485</v>
      </c>
      <c r="FX943" s="1114"/>
      <c r="FY943" s="1158">
        <v>0.488</v>
      </c>
      <c r="FZ943" s="1114"/>
      <c r="GA943" s="1158">
        <v>0.502</v>
      </c>
      <c r="GB943" s="1114"/>
      <c r="GC943" s="1207"/>
      <c r="GD943" s="1114"/>
      <c r="GE943" s="1114"/>
      <c r="GF943" s="1114"/>
      <c r="GG943" s="1114"/>
      <c r="GH943" s="1114"/>
      <c r="GI943" s="1114"/>
      <c r="GJ943" s="1114"/>
      <c r="GK943" s="1207"/>
      <c r="GL943" s="1114"/>
      <c r="GM943" s="1114"/>
      <c r="GN943" s="1114"/>
      <c r="GO943" s="1114"/>
      <c r="GP943" s="1114"/>
      <c r="GQ943" s="1114"/>
      <c r="GR943" s="1114"/>
      <c r="GS943" s="1207"/>
      <c r="GT943" s="1114"/>
      <c r="GU943" s="1114"/>
      <c r="GV943" s="1114"/>
      <c r="GW943" s="1114"/>
      <c r="GX943" s="1114"/>
      <c r="GY943" s="1114"/>
      <c r="GZ943" s="1114"/>
      <c r="HA943" s="1207"/>
      <c r="HB943" s="1114"/>
      <c r="HC943" s="1114"/>
      <c r="HD943" s="1114"/>
      <c r="HE943" s="1114"/>
      <c r="HF943" s="1114"/>
      <c r="HG943" s="1114"/>
      <c r="HH943" s="1114"/>
      <c r="HI943" s="1207"/>
      <c r="HJ943" s="1114"/>
      <c r="HK943" s="1114"/>
      <c r="HL943" s="1114"/>
      <c r="HM943" s="1114"/>
      <c r="HN943" s="1114"/>
      <c r="HO943" s="1114"/>
      <c r="HP943" s="1114"/>
      <c r="HQ943" s="1207"/>
      <c r="HR943" s="1114"/>
      <c r="HS943" s="1114"/>
      <c r="HT943" s="1114"/>
      <c r="HU943" s="1114"/>
      <c r="HV943" s="1114"/>
      <c r="HW943" s="1114"/>
      <c r="HX943" s="1114"/>
      <c r="HY943" s="1114"/>
      <c r="HZ943" s="1114"/>
      <c r="IA943" s="1114"/>
      <c r="IB943" s="1114"/>
      <c r="IC943" s="1114"/>
      <c r="ID943" s="1114"/>
      <c r="IE943" s="1114"/>
      <c r="IF943" s="1114"/>
      <c r="IG943" s="1207"/>
      <c r="IH943" s="1114"/>
      <c r="II943" s="1114"/>
      <c r="IJ943" s="1114"/>
      <c r="IK943" s="1114"/>
      <c r="IL943" s="1114"/>
      <c r="IM943" s="1114"/>
      <c r="IN943" s="1114"/>
      <c r="IO943" s="1207"/>
      <c r="IP943" s="1114"/>
      <c r="IQ943" s="1114"/>
      <c r="IR943" s="1114"/>
      <c r="IS943" s="1114"/>
      <c r="IT943" s="1114"/>
      <c r="IU943" s="1114"/>
      <c r="IV943" s="1114"/>
      <c r="IW943" s="1114"/>
      <c r="IX943" s="1178"/>
      <c r="IY943" s="1178"/>
      <c r="IZ943" s="1178"/>
      <c r="JA943" s="1178"/>
      <c r="JB943" s="1178"/>
      <c r="JC943" s="1178"/>
      <c r="JD943" s="1125"/>
      <c r="JE943" s="1126"/>
      <c r="JF943" s="1126"/>
      <c r="JG943" s="1126"/>
      <c r="JH943" s="1126"/>
      <c r="KP943" s="1203"/>
      <c r="LV943" s="1127"/>
    </row>
    <row r="944" s="1024" customFormat="1" spans="1:334">
      <c r="A944" s="1641"/>
      <c r="B944" s="1121"/>
      <c r="C944" s="1121"/>
      <c r="D944" s="1121"/>
      <c r="E944" s="1121"/>
      <c r="F944" s="1121"/>
      <c r="G944" s="1121"/>
      <c r="H944" s="1121"/>
      <c r="I944" s="1121"/>
      <c r="J944" s="1121"/>
      <c r="K944" s="1121"/>
      <c r="L944" s="1121"/>
      <c r="M944" s="1121"/>
      <c r="N944" s="1121"/>
      <c r="O944" s="1121"/>
      <c r="P944" s="1121"/>
      <c r="Q944" s="1121"/>
      <c r="R944" s="1121"/>
      <c r="S944" s="1121"/>
      <c r="T944" s="1121"/>
      <c r="U944" s="1121"/>
      <c r="V944" s="1121"/>
      <c r="W944" s="1121"/>
      <c r="X944" s="1121"/>
      <c r="Y944" s="1121"/>
      <c r="Z944" s="1121"/>
      <c r="AA944" s="1121"/>
      <c r="AB944" s="1121"/>
      <c r="AC944" s="1121"/>
      <c r="AD944" s="1121"/>
      <c r="AE944" s="1121"/>
      <c r="AF944" s="1121"/>
      <c r="AG944" s="1121"/>
      <c r="AH944" s="1121"/>
      <c r="AI944" s="1121"/>
      <c r="AJ944" s="1121"/>
      <c r="AK944" s="1121"/>
      <c r="AL944" s="1121"/>
      <c r="AM944" s="1121"/>
      <c r="AN944" s="1121"/>
      <c r="AO944" s="1121"/>
      <c r="AP944" s="1121"/>
      <c r="AQ944" s="1121"/>
      <c r="AR944" s="1121"/>
      <c r="AS944" s="1121"/>
      <c r="AT944" s="1121"/>
      <c r="AU944" s="1121"/>
      <c r="AV944" s="1121"/>
      <c r="AW944" s="1121"/>
      <c r="AX944" s="1121"/>
      <c r="AY944" s="1121"/>
      <c r="AZ944" s="1121"/>
      <c r="BA944" s="1121"/>
      <c r="BB944" s="1121"/>
      <c r="BC944" s="1121"/>
      <c r="BD944" s="1121"/>
      <c r="BE944" s="1121"/>
      <c r="BF944" s="1121"/>
      <c r="BG944" s="1121"/>
      <c r="BH944" s="1121"/>
      <c r="BI944" s="1121"/>
      <c r="BJ944" s="1121"/>
      <c r="BK944" s="1121"/>
      <c r="BL944" s="1121"/>
      <c r="BM944" s="1121"/>
      <c r="BN944" s="1121"/>
      <c r="BO944" s="1121"/>
      <c r="BP944" s="1121"/>
      <c r="BQ944" s="1121"/>
      <c r="BR944" s="1121"/>
      <c r="BS944" s="1121"/>
      <c r="BT944" s="1121"/>
      <c r="BU944" s="1121"/>
      <c r="BV944" s="1121"/>
      <c r="BW944" s="1121"/>
      <c r="BX944" s="1121"/>
      <c r="BY944" s="1121"/>
      <c r="BZ944" s="1121"/>
      <c r="CA944" s="1121"/>
      <c r="CB944" s="1121"/>
      <c r="CC944" s="1121"/>
      <c r="CD944" s="1121"/>
      <c r="CE944" s="1121"/>
      <c r="CF944" s="1121"/>
      <c r="CG944" s="1121"/>
      <c r="CH944" s="1121"/>
      <c r="CI944" s="1121"/>
      <c r="CJ944" s="917"/>
      <c r="CK944" s="1121"/>
      <c r="CL944" s="1121"/>
      <c r="CM944" s="1121"/>
      <c r="CN944" s="1121"/>
      <c r="CO944" s="1121"/>
      <c r="CP944" s="1121"/>
      <c r="CQ944" s="1121"/>
      <c r="CR944" s="1121"/>
      <c r="CS944" s="1121"/>
      <c r="CT944" s="1121"/>
      <c r="CU944" s="1121"/>
      <c r="CV944" s="1121"/>
      <c r="CW944" s="1205"/>
      <c r="CX944" s="1205"/>
      <c r="CY944" s="1121"/>
      <c r="CZ944" s="1121"/>
      <c r="DA944" s="1121"/>
      <c r="DB944" s="1114"/>
      <c r="DC944" s="1114"/>
      <c r="DD944" s="1114"/>
      <c r="DE944" s="1206"/>
      <c r="DF944" s="1206"/>
      <c r="DG944" s="1114"/>
      <c r="DH944" s="1114"/>
      <c r="DI944" s="1207"/>
      <c r="DJ944" s="1114"/>
      <c r="DK944" s="1114"/>
      <c r="DL944" s="1114"/>
      <c r="DM944" s="1114"/>
      <c r="DN944" s="1114"/>
      <c r="DO944" s="1114"/>
      <c r="DP944" s="1114"/>
      <c r="DQ944" s="1207"/>
      <c r="DR944" s="1114"/>
      <c r="DS944" s="1114"/>
      <c r="DT944" s="1114"/>
      <c r="DU944" s="1114"/>
      <c r="DV944" s="1114"/>
      <c r="DW944" s="1114"/>
      <c r="DX944" s="1114"/>
      <c r="DY944" s="1207"/>
      <c r="DZ944" s="1114"/>
      <c r="EA944" s="1114"/>
      <c r="EB944" s="1114"/>
      <c r="EC944" s="1114"/>
      <c r="ED944" s="1114"/>
      <c r="EE944" s="1114"/>
      <c r="EF944" s="1114"/>
      <c r="EG944" s="1207"/>
      <c r="EH944" s="1114"/>
      <c r="EI944" s="1114"/>
      <c r="EJ944" s="1114"/>
      <c r="EK944" s="1114"/>
      <c r="EL944" s="1114"/>
      <c r="EM944" s="1114"/>
      <c r="EN944" s="1114"/>
      <c r="EO944" s="1207"/>
      <c r="EP944" s="1114"/>
      <c r="EQ944" s="1114"/>
      <c r="ER944" s="1114"/>
      <c r="ES944" s="1114"/>
      <c r="ET944" s="1114"/>
      <c r="EU944" s="1114"/>
      <c r="EV944" s="1114"/>
      <c r="EW944" s="1207"/>
      <c r="EX944" s="1114"/>
      <c r="EY944" s="1114"/>
      <c r="EZ944" s="1114"/>
      <c r="FA944" s="1114"/>
      <c r="FB944" s="1114"/>
      <c r="FC944" s="1114"/>
      <c r="FD944" s="1114"/>
      <c r="FE944" s="1207"/>
      <c r="FF944" s="1158"/>
      <c r="FG944" s="1158"/>
      <c r="FH944" s="1158"/>
      <c r="FI944" s="1158"/>
      <c r="FJ944" s="1158"/>
      <c r="FK944" s="1158"/>
      <c r="FL944" s="1158"/>
      <c r="FM944" s="1642"/>
      <c r="FN944" s="1158"/>
      <c r="FO944" s="1158"/>
      <c r="FP944" s="1158"/>
      <c r="FQ944" s="1158"/>
      <c r="FR944" s="1158"/>
      <c r="FS944" s="1158"/>
      <c r="FT944" s="1158"/>
      <c r="FU944" s="1158"/>
      <c r="FV944" s="1643"/>
      <c r="FW944" s="1158"/>
      <c r="FX944" s="1114"/>
      <c r="FY944" s="1158"/>
      <c r="FZ944" s="1114"/>
      <c r="GA944" s="1158"/>
      <c r="GB944" s="1114"/>
      <c r="GC944" s="1207"/>
      <c r="GD944" s="1114"/>
      <c r="GE944" s="1114"/>
      <c r="GF944" s="1114"/>
      <c r="GG944" s="1114"/>
      <c r="GH944" s="1114"/>
      <c r="GI944" s="1114"/>
      <c r="GJ944" s="1114"/>
      <c r="GK944" s="1207"/>
      <c r="GL944" s="1114"/>
      <c r="GM944" s="1114"/>
      <c r="GN944" s="1114"/>
      <c r="GO944" s="1114"/>
      <c r="GP944" s="1114"/>
      <c r="GQ944" s="1114"/>
      <c r="GR944" s="1114"/>
      <c r="GS944" s="1207"/>
      <c r="GT944" s="1114"/>
      <c r="GU944" s="1114"/>
      <c r="GV944" s="1114"/>
      <c r="GW944" s="1114"/>
      <c r="GX944" s="1114"/>
      <c r="GY944" s="1114"/>
      <c r="GZ944" s="1114"/>
      <c r="HA944" s="1207"/>
      <c r="HB944" s="1114"/>
      <c r="HC944" s="1114"/>
      <c r="HD944" s="1114"/>
      <c r="HE944" s="1114"/>
      <c r="HF944" s="1114"/>
      <c r="HG944" s="1114"/>
      <c r="HH944" s="1114"/>
      <c r="HI944" s="1207"/>
      <c r="HJ944" s="1114"/>
      <c r="HK944" s="1114"/>
      <c r="HL944" s="1114"/>
      <c r="HM944" s="1114"/>
      <c r="HN944" s="1114"/>
      <c r="HO944" s="1114"/>
      <c r="HP944" s="1114"/>
      <c r="HQ944" s="1207"/>
      <c r="HR944" s="1114"/>
      <c r="HS944" s="1114"/>
      <c r="HT944" s="1114"/>
      <c r="HU944" s="1114"/>
      <c r="HV944" s="1114"/>
      <c r="HW944" s="1114"/>
      <c r="HX944" s="1114"/>
      <c r="HY944" s="1114"/>
      <c r="HZ944" s="1114"/>
      <c r="IA944" s="1114"/>
      <c r="IB944" s="1114"/>
      <c r="IC944" s="1114"/>
      <c r="ID944" s="1114"/>
      <c r="IE944" s="1114"/>
      <c r="IF944" s="1114"/>
      <c r="IG944" s="1207"/>
      <c r="IH944" s="1114"/>
      <c r="II944" s="1114"/>
      <c r="IJ944" s="1114"/>
      <c r="IK944" s="1114"/>
      <c r="IL944" s="1114"/>
      <c r="IM944" s="1114"/>
      <c r="IN944" s="1114"/>
      <c r="IO944" s="1207"/>
      <c r="IP944" s="1114"/>
      <c r="IQ944" s="1114"/>
      <c r="IR944" s="1114"/>
      <c r="IS944" s="1114"/>
      <c r="IT944" s="1114"/>
      <c r="IU944" s="1114"/>
      <c r="IV944" s="1114"/>
      <c r="IW944" s="1114"/>
      <c r="IX944" s="1178"/>
      <c r="IY944" s="1178"/>
      <c r="IZ944" s="1178"/>
      <c r="JA944" s="1178"/>
      <c r="JB944" s="1178"/>
      <c r="JC944" s="1178"/>
      <c r="JD944" s="1125"/>
      <c r="JE944" s="1126"/>
      <c r="JF944" s="1126"/>
      <c r="JG944" s="1126"/>
      <c r="JH944" s="1126"/>
      <c r="KP944" s="1203"/>
      <c r="LV944" s="1127"/>
    </row>
    <row r="945" s="1024" customFormat="1" spans="1:381">
      <c r="A945" s="1641" t="s">
        <v>131</v>
      </c>
      <c r="B945" s="1121"/>
      <c r="C945" s="1121"/>
      <c r="D945" s="1121"/>
      <c r="E945" s="1121"/>
      <c r="F945" s="1121"/>
      <c r="G945" s="1121"/>
      <c r="H945" s="1121"/>
      <c r="I945" s="1121"/>
      <c r="J945" s="1121"/>
      <c r="K945" s="1121"/>
      <c r="L945" s="1121"/>
      <c r="M945" s="1121"/>
      <c r="N945" s="1121"/>
      <c r="O945" s="1121"/>
      <c r="P945" s="1121"/>
      <c r="Q945" s="1121"/>
      <c r="R945" s="1121"/>
      <c r="S945" s="1121"/>
      <c r="T945" s="1121"/>
      <c r="U945" s="1121"/>
      <c r="V945" s="1121"/>
      <c r="W945" s="1121"/>
      <c r="X945" s="1121"/>
      <c r="Y945" s="1121"/>
      <c r="Z945" s="1121"/>
      <c r="AA945" s="1121"/>
      <c r="AB945" s="1121"/>
      <c r="AC945" s="1121"/>
      <c r="AD945" s="1121"/>
      <c r="AE945" s="1121"/>
      <c r="AF945" s="1121"/>
      <c r="AG945" s="1121"/>
      <c r="AH945" s="1121"/>
      <c r="AI945" s="1121"/>
      <c r="AJ945" s="1121"/>
      <c r="AK945" s="1121"/>
      <c r="AL945" s="1121"/>
      <c r="AM945" s="1121"/>
      <c r="AN945" s="1121"/>
      <c r="AO945" s="1121"/>
      <c r="AP945" s="1121"/>
      <c r="AQ945" s="1121"/>
      <c r="AR945" s="1121"/>
      <c r="AS945" s="1121"/>
      <c r="AT945" s="1121"/>
      <c r="AU945" s="1121"/>
      <c r="AV945" s="1121"/>
      <c r="AW945" s="1121"/>
      <c r="AX945" s="1121"/>
      <c r="AY945" s="1121"/>
      <c r="AZ945" s="1121"/>
      <c r="BA945" s="1121"/>
      <c r="BB945" s="1121"/>
      <c r="BC945" s="1121"/>
      <c r="BD945" s="1121"/>
      <c r="BE945" s="1121"/>
      <c r="BF945" s="1121"/>
      <c r="BG945" s="1121"/>
      <c r="BH945" s="1121"/>
      <c r="BI945" s="1121"/>
      <c r="BJ945" s="1121"/>
      <c r="BK945" s="1121"/>
      <c r="BL945" s="1121"/>
      <c r="BM945" s="1121"/>
      <c r="BN945" s="1121"/>
      <c r="BO945" s="1121"/>
      <c r="BP945" s="1121"/>
      <c r="BQ945" s="1121"/>
      <c r="BR945" s="1121"/>
      <c r="BS945" s="1121"/>
      <c r="BT945" s="1121"/>
      <c r="BU945" s="1121"/>
      <c r="BV945" s="1121"/>
      <c r="BW945" s="1121"/>
      <c r="BX945" s="1121"/>
      <c r="BY945" s="1121"/>
      <c r="BZ945" s="1121"/>
      <c r="CA945" s="1121"/>
      <c r="CB945" s="1121"/>
      <c r="CC945" s="1121"/>
      <c r="CD945" s="1121"/>
      <c r="CE945" s="1121"/>
      <c r="CF945" s="1121"/>
      <c r="CG945" s="1121"/>
      <c r="CH945" s="1121"/>
      <c r="CI945" s="1121"/>
      <c r="CJ945" s="917"/>
      <c r="CK945" s="1121"/>
      <c r="CL945" s="1121"/>
      <c r="CM945" s="1121"/>
      <c r="CN945" s="1121"/>
      <c r="CO945" s="1121"/>
      <c r="CP945" s="1121"/>
      <c r="CQ945" s="1121"/>
      <c r="CR945" s="1121"/>
      <c r="CS945" s="1121"/>
      <c r="CT945" s="1121"/>
      <c r="CU945" s="1121"/>
      <c r="CV945" s="1121"/>
      <c r="CW945" s="1205"/>
      <c r="CX945" s="1205"/>
      <c r="CY945" s="1121"/>
      <c r="CZ945" s="1121"/>
      <c r="DA945" s="1121"/>
      <c r="DB945" s="1114"/>
      <c r="DC945" s="1114"/>
      <c r="DD945" s="1114"/>
      <c r="DE945" s="1206"/>
      <c r="DF945" s="1206"/>
      <c r="DG945" s="1114"/>
      <c r="DH945" s="1114"/>
      <c r="DI945" s="1207"/>
      <c r="DJ945" s="1114"/>
      <c r="DK945" s="1114"/>
      <c r="DL945" s="1114"/>
      <c r="DM945" s="1114"/>
      <c r="DN945" s="1114"/>
      <c r="DO945" s="1114"/>
      <c r="DP945" s="1114"/>
      <c r="DQ945" s="1207"/>
      <c r="DR945" s="1114"/>
      <c r="DS945" s="1114"/>
      <c r="DT945" s="1114"/>
      <c r="DU945" s="1114"/>
      <c r="DV945" s="1114"/>
      <c r="DW945" s="1114"/>
      <c r="DX945" s="1114"/>
      <c r="DY945" s="1207"/>
      <c r="DZ945" s="1114"/>
      <c r="EA945" s="1114"/>
      <c r="EB945" s="1114"/>
      <c r="EC945" s="1114"/>
      <c r="ED945" s="1114"/>
      <c r="EE945" s="1114"/>
      <c r="EF945" s="1114"/>
      <c r="EG945" s="1207"/>
      <c r="EH945" s="1114"/>
      <c r="EI945" s="1114"/>
      <c r="EJ945" s="1114"/>
      <c r="EK945" s="1114"/>
      <c r="EL945" s="1114"/>
      <c r="EM945" s="1114"/>
      <c r="EN945" s="1114"/>
      <c r="EO945" s="1207"/>
      <c r="EP945" s="1114"/>
      <c r="EQ945" s="1114"/>
      <c r="ER945" s="1114"/>
      <c r="ES945" s="1114"/>
      <c r="ET945" s="1114"/>
      <c r="EU945" s="1114"/>
      <c r="EV945" s="1114"/>
      <c r="EW945" s="1207"/>
      <c r="EX945" s="1635">
        <f>EX946*EX940</f>
        <v>307</v>
      </c>
      <c r="EY945" s="1635">
        <f t="shared" ref="EY945:FG945" si="4726">EY946*EY940</f>
        <v>217</v>
      </c>
      <c r="EZ945" s="1635">
        <f t="shared" si="4726"/>
        <v>525</v>
      </c>
      <c r="FA945" s="1635">
        <f t="shared" si="4726"/>
        <v>409</v>
      </c>
      <c r="FB945" s="1635">
        <f t="shared" si="4726"/>
        <v>934</v>
      </c>
      <c r="FC945" s="1635">
        <f t="shared" si="4726"/>
        <v>38</v>
      </c>
      <c r="FD945" s="1635">
        <f t="shared" si="4726"/>
        <v>358</v>
      </c>
      <c r="FE945" s="1635">
        <f t="shared" si="4726"/>
        <v>961</v>
      </c>
      <c r="FF945" s="1635">
        <f t="shared" si="4726"/>
        <v>363</v>
      </c>
      <c r="FG945" s="1635">
        <f t="shared" si="4726"/>
        <v>234</v>
      </c>
      <c r="FH945" s="1635"/>
      <c r="FI945" s="1635">
        <f>FI946*FI940</f>
        <v>505</v>
      </c>
      <c r="FJ945" s="1635"/>
      <c r="FK945" s="1635">
        <f>FK946*FK940</f>
        <v>-9</v>
      </c>
      <c r="FL945" s="1158"/>
      <c r="FM945" s="1638">
        <f>FF945+FG945+FI945+FK945</f>
        <v>1093</v>
      </c>
      <c r="FN945" s="1635">
        <f>FN946*FN940</f>
        <v>490</v>
      </c>
      <c r="FO945" s="1635">
        <f>FO946*FO940</f>
        <v>331.5</v>
      </c>
      <c r="FP945" s="1635"/>
      <c r="FQ945" s="1635">
        <f>FQ946*FQ940</f>
        <v>583</v>
      </c>
      <c r="FR945" s="1635"/>
      <c r="FS945" s="1635">
        <f>FS946*FS940</f>
        <v>85.5</v>
      </c>
      <c r="FT945" s="1158"/>
      <c r="FU945" s="1635">
        <f>FN945+FO945+FQ945+FS945</f>
        <v>1490</v>
      </c>
      <c r="FV945" s="1636">
        <f>FV946*FV940</f>
        <v>637</v>
      </c>
      <c r="FW945" s="1635">
        <f>FW946*FW940</f>
        <v>460.905302</v>
      </c>
      <c r="FX945" s="1635"/>
      <c r="FY945" s="1635">
        <f>FY946*FY940</f>
        <v>697.156921</v>
      </c>
      <c r="FZ945" s="1635"/>
      <c r="GA945" s="1635">
        <f>GA946*GA940</f>
        <v>61.931439</v>
      </c>
      <c r="GB945" s="1114"/>
      <c r="GC945" s="1207"/>
      <c r="GD945" s="1114"/>
      <c r="GE945" s="1114"/>
      <c r="GF945" s="1114"/>
      <c r="GG945" s="1114"/>
      <c r="GH945" s="1114"/>
      <c r="GI945" s="1114"/>
      <c r="GJ945" s="1114"/>
      <c r="GK945" s="1207"/>
      <c r="GL945" s="1114"/>
      <c r="GM945" s="1114"/>
      <c r="GN945" s="1114"/>
      <c r="GO945" s="1114"/>
      <c r="GP945" s="1114"/>
      <c r="GQ945" s="1114"/>
      <c r="GR945" s="1114"/>
      <c r="GS945" s="1207"/>
      <c r="GT945" s="1114"/>
      <c r="GU945" s="1114"/>
      <c r="GV945" s="1114"/>
      <c r="GW945" s="1114"/>
      <c r="GX945" s="1114"/>
      <c r="GY945" s="1114"/>
      <c r="GZ945" s="1114"/>
      <c r="HA945" s="1207"/>
      <c r="HB945" s="1114"/>
      <c r="HC945" s="1114"/>
      <c r="HD945" s="1114"/>
      <c r="HE945" s="1114"/>
      <c r="HF945" s="1114"/>
      <c r="HG945" s="1114"/>
      <c r="HH945" s="1114"/>
      <c r="HI945" s="1207"/>
      <c r="HJ945" s="1114"/>
      <c r="HK945" s="1114"/>
      <c r="HL945" s="1114"/>
      <c r="HM945" s="1114"/>
      <c r="HN945" s="1114"/>
      <c r="HO945" s="1114"/>
      <c r="HP945" s="1114"/>
      <c r="HQ945" s="1207"/>
      <c r="HR945" s="1114"/>
      <c r="HS945" s="1114"/>
      <c r="HT945" s="1114"/>
      <c r="HU945" s="1114"/>
      <c r="HV945" s="1114"/>
      <c r="HW945" s="1114"/>
      <c r="HX945" s="1114"/>
      <c r="HY945" s="1114"/>
      <c r="HZ945" s="1114"/>
      <c r="IA945" s="1114"/>
      <c r="IB945" s="1114"/>
      <c r="IC945" s="1114"/>
      <c r="ID945" s="1114"/>
      <c r="IE945" s="1114"/>
      <c r="IF945" s="1114"/>
      <c r="IG945" s="1207"/>
      <c r="IH945" s="1114"/>
      <c r="II945" s="1114"/>
      <c r="IJ945" s="1114"/>
      <c r="IK945" s="1114"/>
      <c r="IL945" s="1114"/>
      <c r="IM945" s="1114"/>
      <c r="IN945" s="1114"/>
      <c r="IO945" s="1207"/>
      <c r="IP945" s="1114"/>
      <c r="IQ945" s="1114"/>
      <c r="IR945" s="1114"/>
      <c r="IS945" s="1114"/>
      <c r="IT945" s="1114"/>
      <c r="IU945" s="1114"/>
      <c r="IV945" s="1114"/>
      <c r="IW945" s="1114"/>
      <c r="IX945" s="1178"/>
      <c r="IY945" s="1178"/>
      <c r="IZ945" s="1178"/>
      <c r="JA945" s="1178"/>
      <c r="JB945" s="1178"/>
      <c r="JC945" s="1178"/>
      <c r="JD945" s="1125"/>
      <c r="JE945" s="1126"/>
      <c r="JF945" s="1126"/>
      <c r="JG945" s="1126"/>
      <c r="JH945" s="1126"/>
      <c r="KP945" s="1203"/>
      <c r="LV945" s="1127"/>
    </row>
    <row r="946" s="1024" customFormat="1" spans="1:381">
      <c r="A946" s="1641" t="s">
        <v>132</v>
      </c>
      <c r="B946" s="1121"/>
      <c r="C946" s="1121"/>
      <c r="D946" s="1121"/>
      <c r="E946" s="1121"/>
      <c r="F946" s="1121"/>
      <c r="G946" s="1121"/>
      <c r="H946" s="1121"/>
      <c r="I946" s="1121"/>
      <c r="J946" s="1121"/>
      <c r="K946" s="1121"/>
      <c r="L946" s="1121"/>
      <c r="M946" s="1121"/>
      <c r="N946" s="1121"/>
      <c r="O946" s="1121"/>
      <c r="P946" s="1121"/>
      <c r="Q946" s="1121"/>
      <c r="R946" s="1121"/>
      <c r="S946" s="1121"/>
      <c r="T946" s="1121"/>
      <c r="U946" s="1121"/>
      <c r="V946" s="1121"/>
      <c r="W946" s="1121"/>
      <c r="X946" s="1121"/>
      <c r="Y946" s="1121"/>
      <c r="Z946" s="1121"/>
      <c r="AA946" s="1121"/>
      <c r="AB946" s="1121"/>
      <c r="AC946" s="1121"/>
      <c r="AD946" s="1121"/>
      <c r="AE946" s="1121"/>
      <c r="AF946" s="1121"/>
      <c r="AG946" s="1121"/>
      <c r="AH946" s="1121"/>
      <c r="AI946" s="1121"/>
      <c r="AJ946" s="1121"/>
      <c r="AK946" s="1121"/>
      <c r="AL946" s="1121"/>
      <c r="AM946" s="1121"/>
      <c r="AN946" s="1121"/>
      <c r="AO946" s="1121"/>
      <c r="AP946" s="1121"/>
      <c r="AQ946" s="1121"/>
      <c r="AR946" s="1121"/>
      <c r="AS946" s="1121"/>
      <c r="AT946" s="1121"/>
      <c r="AU946" s="1121"/>
      <c r="AV946" s="1121"/>
      <c r="AW946" s="1121"/>
      <c r="AX946" s="1121"/>
      <c r="AY946" s="1121"/>
      <c r="AZ946" s="1121"/>
      <c r="BA946" s="1121"/>
      <c r="BB946" s="1121"/>
      <c r="BC946" s="1121"/>
      <c r="BD946" s="1121"/>
      <c r="BE946" s="1121"/>
      <c r="BF946" s="1121"/>
      <c r="BG946" s="1121"/>
      <c r="BH946" s="1121"/>
      <c r="BI946" s="1121"/>
      <c r="BJ946" s="1121"/>
      <c r="BK946" s="1121"/>
      <c r="BL946" s="1121"/>
      <c r="BM946" s="1121"/>
      <c r="BN946" s="1121"/>
      <c r="BO946" s="1121"/>
      <c r="BP946" s="1121"/>
      <c r="BQ946" s="1121"/>
      <c r="BR946" s="1121"/>
      <c r="BS946" s="1121"/>
      <c r="BT946" s="1121"/>
      <c r="BU946" s="1121"/>
      <c r="BV946" s="1121"/>
      <c r="BW946" s="1121"/>
      <c r="BX946" s="1121"/>
      <c r="BY946" s="1121"/>
      <c r="BZ946" s="1121"/>
      <c r="CA946" s="1121"/>
      <c r="CB946" s="1121"/>
      <c r="CC946" s="1121"/>
      <c r="CD946" s="1121"/>
      <c r="CE946" s="1121"/>
      <c r="CF946" s="1121"/>
      <c r="CG946" s="1121"/>
      <c r="CH946" s="1121"/>
      <c r="CI946" s="1121"/>
      <c r="CJ946" s="917"/>
      <c r="CK946" s="1121"/>
      <c r="CL946" s="1121"/>
      <c r="CM946" s="1121"/>
      <c r="CN946" s="1121"/>
      <c r="CO946" s="1121"/>
      <c r="CP946" s="1121"/>
      <c r="CQ946" s="1121"/>
      <c r="CR946" s="1121"/>
      <c r="CS946" s="1121"/>
      <c r="CT946" s="1121"/>
      <c r="CU946" s="1121"/>
      <c r="CV946" s="1121"/>
      <c r="CW946" s="1205"/>
      <c r="CX946" s="1205"/>
      <c r="CY946" s="1121"/>
      <c r="CZ946" s="1121"/>
      <c r="DA946" s="1121"/>
      <c r="DB946" s="1114"/>
      <c r="DC946" s="1114"/>
      <c r="DD946" s="1114"/>
      <c r="DE946" s="1206"/>
      <c r="DF946" s="1206"/>
      <c r="DG946" s="1114"/>
      <c r="DH946" s="1114"/>
      <c r="DI946" s="1207"/>
      <c r="DJ946" s="1114"/>
      <c r="DK946" s="1114"/>
      <c r="DL946" s="1114"/>
      <c r="DM946" s="1114"/>
      <c r="DN946" s="1114"/>
      <c r="DO946" s="1114"/>
      <c r="DP946" s="1114"/>
      <c r="DQ946" s="1207"/>
      <c r="DR946" s="1114"/>
      <c r="DS946" s="1114"/>
      <c r="DT946" s="1114"/>
      <c r="DU946" s="1114"/>
      <c r="DV946" s="1114"/>
      <c r="DW946" s="1114"/>
      <c r="DX946" s="1114"/>
      <c r="DY946" s="1207"/>
      <c r="DZ946" s="1114"/>
      <c r="EA946" s="1114"/>
      <c r="EB946" s="1114"/>
      <c r="EC946" s="1114"/>
      <c r="ED946" s="1114"/>
      <c r="EE946" s="1114"/>
      <c r="EF946" s="1114"/>
      <c r="EG946" s="1207"/>
      <c r="EH946" s="1114"/>
      <c r="EI946" s="1114"/>
      <c r="EJ946" s="1114"/>
      <c r="EK946" s="1114"/>
      <c r="EL946" s="1114"/>
      <c r="EM946" s="1114"/>
      <c r="EN946" s="1114"/>
      <c r="EO946" s="1207"/>
      <c r="EP946" s="1114"/>
      <c r="EQ946" s="1114"/>
      <c r="ER946" s="1114"/>
      <c r="ES946" s="1114"/>
      <c r="ET946" s="1114"/>
      <c r="EU946" s="1114"/>
      <c r="EV946" s="1114"/>
      <c r="EW946" s="1207"/>
      <c r="EX946" s="1158">
        <f>EX424</f>
        <v>0.0881930479747199</v>
      </c>
      <c r="EY946" s="1158">
        <f t="shared" ref="EY946:FG946" si="4727">EY424</f>
        <v>0.0638610947616245</v>
      </c>
      <c r="EZ946" s="1158">
        <f t="shared" si="4727"/>
        <v>0.0763192324465765</v>
      </c>
      <c r="FA946" s="1158">
        <f t="shared" si="4727"/>
        <v>0.101137487636004</v>
      </c>
      <c r="FB946" s="1158">
        <f t="shared" si="4727"/>
        <v>0.0855076444200311</v>
      </c>
      <c r="FC946" s="1158">
        <f t="shared" si="4727"/>
        <v>0.0105263157894737</v>
      </c>
      <c r="FD946" s="1158">
        <f t="shared" si="4727"/>
        <v>0.046772929187353</v>
      </c>
      <c r="FE946" s="1158">
        <f t="shared" si="4727"/>
        <v>0.0661253698479323</v>
      </c>
      <c r="FF946" s="1158">
        <f t="shared" si="4727"/>
        <v>0.088905216752388</v>
      </c>
      <c r="FG946" s="1158">
        <f t="shared" si="4727"/>
        <v>0.0598925006398771</v>
      </c>
      <c r="FH946" s="1158"/>
      <c r="FI946" s="1158">
        <f>FI424</f>
        <v>0.106159344124448</v>
      </c>
      <c r="FJ946" s="1158"/>
      <c r="FK946" s="1158">
        <f>FK424</f>
        <v>-0.00215930902111324</v>
      </c>
      <c r="FL946" s="1158"/>
      <c r="FM946" s="1642">
        <f>FM945/FM940</f>
        <v>0.0646172036653858</v>
      </c>
      <c r="FN946" s="1158">
        <f>FN424</f>
        <v>0.102746907108408</v>
      </c>
      <c r="FO946" s="1158">
        <f>FO424</f>
        <v>0.0749491295500791</v>
      </c>
      <c r="FP946" s="1158"/>
      <c r="FQ946" s="1158">
        <f>FQ424</f>
        <v>0.107723577235772</v>
      </c>
      <c r="FR946" s="1158"/>
      <c r="FS946" s="1158">
        <f>FS424</f>
        <v>0.0182458386683739</v>
      </c>
      <c r="FT946" s="1158"/>
      <c r="FU946" s="1158">
        <f>FU945/FU940</f>
        <v>0.0772420943494038</v>
      </c>
      <c r="FV946" s="1643">
        <f>FV424</f>
        <v>0.116966580976864</v>
      </c>
      <c r="FW946" s="1158">
        <v>0.088</v>
      </c>
      <c r="FX946" s="1114"/>
      <c r="FY946" s="1158">
        <v>0.118</v>
      </c>
      <c r="FZ946" s="1114"/>
      <c r="GA946" s="1158">
        <v>0.012</v>
      </c>
      <c r="GB946" s="1114"/>
      <c r="GC946" s="1207"/>
      <c r="GD946" s="1114"/>
      <c r="GE946" s="1114"/>
      <c r="GF946" s="1114"/>
      <c r="GG946" s="1114"/>
      <c r="GH946" s="1114"/>
      <c r="GI946" s="1114"/>
      <c r="GJ946" s="1114"/>
      <c r="GK946" s="1207"/>
      <c r="GL946" s="1114"/>
      <c r="GM946" s="1114"/>
      <c r="GN946" s="1114"/>
      <c r="GO946" s="1114"/>
      <c r="GP946" s="1114"/>
      <c r="GQ946" s="1114"/>
      <c r="GR946" s="1114"/>
      <c r="GS946" s="1207"/>
      <c r="GT946" s="1114"/>
      <c r="GU946" s="1114"/>
      <c r="GV946" s="1114"/>
      <c r="GW946" s="1114"/>
      <c r="GX946" s="1114"/>
      <c r="GY946" s="1114"/>
      <c r="GZ946" s="1114"/>
      <c r="HA946" s="1207"/>
      <c r="HB946" s="1114"/>
      <c r="HC946" s="1114"/>
      <c r="HD946" s="1114"/>
      <c r="HE946" s="1114"/>
      <c r="HF946" s="1114"/>
      <c r="HG946" s="1114"/>
      <c r="HH946" s="1114"/>
      <c r="HI946" s="1207"/>
      <c r="HJ946" s="1114"/>
      <c r="HK946" s="1114"/>
      <c r="HL946" s="1114"/>
      <c r="HM946" s="1114"/>
      <c r="HN946" s="1114"/>
      <c r="HO946" s="1114"/>
      <c r="HP946" s="1114"/>
      <c r="HQ946" s="1207"/>
      <c r="HR946" s="1114"/>
      <c r="HS946" s="1114"/>
      <c r="HT946" s="1114"/>
      <c r="HU946" s="1114"/>
      <c r="HV946" s="1114"/>
      <c r="HW946" s="1114"/>
      <c r="HX946" s="1114"/>
      <c r="HY946" s="1114"/>
      <c r="HZ946" s="1114"/>
      <c r="IA946" s="1114"/>
      <c r="IB946" s="1114"/>
      <c r="IC946" s="1114"/>
      <c r="ID946" s="1114"/>
      <c r="IE946" s="1114"/>
      <c r="IF946" s="1114"/>
      <c r="IG946" s="1207"/>
      <c r="IH946" s="1114"/>
      <c r="II946" s="1114"/>
      <c r="IJ946" s="1114"/>
      <c r="IK946" s="1114"/>
      <c r="IL946" s="1114"/>
      <c r="IM946" s="1114"/>
      <c r="IN946" s="1114"/>
      <c r="IO946" s="1207"/>
      <c r="IP946" s="1114"/>
      <c r="IQ946" s="1114"/>
      <c r="IR946" s="1114"/>
      <c r="IS946" s="1114"/>
      <c r="IT946" s="1114"/>
      <c r="IU946" s="1114"/>
      <c r="IV946" s="1114"/>
      <c r="IW946" s="1114"/>
      <c r="IX946" s="1178"/>
      <c r="IY946" s="1178"/>
      <c r="IZ946" s="1178"/>
      <c r="JA946" s="1178"/>
      <c r="JB946" s="1178"/>
      <c r="JC946" s="1178"/>
      <c r="JD946" s="1125"/>
      <c r="JE946" s="1126"/>
      <c r="JF946" s="1126"/>
      <c r="JG946" s="1126"/>
      <c r="JH946" s="1126"/>
      <c r="KP946" s="1203"/>
      <c r="LV946" s="1127"/>
    </row>
    <row r="947" spans="1:381">
      <c r="FF947" s="1320"/>
      <c r="FG947" s="1320"/>
      <c r="FH947" s="1320"/>
      <c r="FI947" s="1320"/>
      <c r="FJ947" s="1320"/>
      <c r="FK947" s="1320"/>
      <c r="FL947" s="1320"/>
      <c r="FM947" s="1644"/>
      <c r="FN947" s="1320"/>
      <c r="FO947" s="1320"/>
      <c r="FP947" s="1320"/>
      <c r="FQ947" s="1320"/>
      <c r="FR947" s="1320"/>
      <c r="FS947" s="1320"/>
      <c r="FT947" s="1320"/>
      <c r="FU947" s="1320"/>
      <c r="FV947" s="1645"/>
      <c r="FW947" s="1320"/>
      <c r="FX947" s="1320"/>
      <c r="FY947" s="1320"/>
      <c r="FZ947" s="1320"/>
      <c r="GA947" s="1320"/>
      <c r="GB947" s="1320"/>
      <c r="GC947" s="1644"/>
      <c r="GD947" s="1320"/>
      <c r="GE947" s="1320"/>
      <c r="GF947" s="1320"/>
      <c r="GG947" s="1320"/>
      <c r="GH947" s="1320"/>
      <c r="GI947" s="1320"/>
      <c r="GJ947" s="1320"/>
      <c r="GK947" s="1644"/>
      <c r="GL947" s="1320"/>
      <c r="GM947" s="1320"/>
      <c r="GN947" s="1320"/>
      <c r="GO947" s="1320"/>
      <c r="GP947" s="1320"/>
      <c r="GQ947" s="1320"/>
      <c r="GR947" s="1320"/>
      <c r="GS947" s="1644"/>
      <c r="GT947" s="1320"/>
      <c r="GU947" s="1320"/>
      <c r="GV947" s="1320"/>
      <c r="GW947" s="1320"/>
      <c r="GX947" s="1320"/>
      <c r="GY947" s="1320"/>
      <c r="GZ947" s="1320"/>
      <c r="HA947" s="1644"/>
      <c r="HB947" s="1320"/>
      <c r="HC947" s="1320"/>
      <c r="HD947" s="1320"/>
      <c r="HE947" s="1320"/>
      <c r="HF947" s="1320"/>
      <c r="HG947" s="1320"/>
      <c r="HH947" s="1320"/>
      <c r="HI947" s="1644"/>
      <c r="HJ947" s="1320"/>
      <c r="HK947" s="1320"/>
      <c r="HL947" s="1320"/>
      <c r="HM947" s="1320"/>
      <c r="HN947" s="1320"/>
      <c r="HO947" s="1320"/>
      <c r="HP947" s="1320"/>
      <c r="HQ947" s="1644"/>
      <c r="HR947" s="1320"/>
      <c r="HS947" s="1320"/>
      <c r="HT947" s="1320"/>
      <c r="HU947" s="1320"/>
      <c r="HV947" s="1320"/>
      <c r="HW947" s="1320"/>
      <c r="HX947" s="1320"/>
      <c r="HY947" s="1320"/>
      <c r="HZ947" s="1320"/>
      <c r="IA947" s="1320"/>
      <c r="IB947" s="1320"/>
      <c r="IC947" s="1320"/>
      <c r="ID947" s="1320"/>
      <c r="IE947" s="1320"/>
      <c r="IF947" s="1320"/>
      <c r="IG947" s="1644"/>
      <c r="IH947" s="1320"/>
      <c r="II947" s="1320"/>
      <c r="IJ947" s="1320"/>
      <c r="IK947" s="1320"/>
      <c r="IL947" s="1320"/>
      <c r="IM947" s="1320"/>
      <c r="IN947" s="1320"/>
      <c r="IO947" s="1644"/>
      <c r="IP947" s="1320"/>
      <c r="IX947" s="1126"/>
      <c r="IY947" s="1126"/>
      <c r="IZ947" s="1114"/>
      <c r="JA947" s="1126"/>
      <c r="JB947" s="1126"/>
      <c r="JC947" s="1126"/>
      <c r="JD947" s="1125"/>
      <c r="JE947" s="1126"/>
      <c r="JF947" s="1037"/>
      <c r="JG947" s="1037"/>
      <c r="JH947" s="1037"/>
      <c r="JI947" s="1035"/>
      <c r="JJ947" s="1035"/>
      <c r="JK947" s="1035"/>
      <c r="JL947" s="1035"/>
      <c r="JM947" s="1035"/>
      <c r="JN947" s="1035"/>
      <c r="JO947" s="1035"/>
      <c r="JP947" s="1035"/>
      <c r="JQ947" s="1035"/>
      <c r="JR947" s="1035"/>
      <c r="JS947" s="1035"/>
      <c r="JT947" s="1035"/>
      <c r="JU947" s="1035"/>
      <c r="JV947" s="1035"/>
      <c r="JW947" s="1035"/>
      <c r="JX947" s="1035"/>
      <c r="JY947" s="1035"/>
    </row>
    <row r="948" spans="1:381">
      <c r="A948" s="969" t="s">
        <v>684</v>
      </c>
      <c r="FF948" s="1320"/>
      <c r="FG948" s="1320"/>
      <c r="FH948" s="1320"/>
      <c r="FI948" s="1320"/>
      <c r="FJ948" s="1320"/>
      <c r="FK948" s="1320"/>
      <c r="FL948" s="1320"/>
      <c r="FM948" s="1644"/>
      <c r="FN948" s="1320"/>
      <c r="FO948" s="1320"/>
      <c r="FP948" s="1320"/>
      <c r="FQ948" s="1320"/>
      <c r="FR948" s="1320"/>
      <c r="FS948" s="1320"/>
      <c r="FT948" s="1320"/>
      <c r="FU948" s="1635"/>
      <c r="FV948" s="1645"/>
      <c r="FW948" s="1320"/>
      <c r="FX948" s="1320"/>
      <c r="FY948" s="1320"/>
      <c r="FZ948" s="1320"/>
      <c r="GA948" s="1320"/>
      <c r="GB948" s="1320"/>
      <c r="GC948" s="1644"/>
      <c r="GD948" s="1320"/>
      <c r="GE948" s="1320"/>
      <c r="GF948" s="1320"/>
      <c r="GG948" s="1320"/>
      <c r="GH948" s="1320"/>
      <c r="GI948" s="1320"/>
      <c r="GJ948" s="1320"/>
      <c r="GK948" s="1644"/>
      <c r="GL948" s="1320"/>
      <c r="GM948" s="1320"/>
      <c r="GN948" s="1320"/>
      <c r="GO948" s="1320"/>
      <c r="GP948" s="1320"/>
      <c r="GQ948" s="1320"/>
      <c r="GR948" s="1320"/>
      <c r="GS948" s="1644"/>
      <c r="GT948" s="1320"/>
      <c r="GU948" s="1320"/>
      <c r="GV948" s="1320"/>
      <c r="GW948" s="1320"/>
      <c r="GX948" s="1320"/>
      <c r="GY948" s="1320"/>
      <c r="GZ948" s="1320"/>
      <c r="HA948" s="1644"/>
      <c r="HB948" s="1320"/>
      <c r="HC948" s="1320"/>
      <c r="HD948" s="1320"/>
      <c r="HE948" s="1320"/>
      <c r="HF948" s="1320"/>
      <c r="HG948" s="1320"/>
      <c r="HH948" s="1320"/>
      <c r="HI948" s="1644"/>
      <c r="HJ948" s="1320"/>
      <c r="HK948" s="1320"/>
      <c r="HL948" s="1320"/>
      <c r="HM948" s="1320"/>
      <c r="HN948" s="1320"/>
      <c r="HO948" s="1320"/>
      <c r="HP948" s="1320"/>
      <c r="HQ948" s="1644"/>
      <c r="HR948" s="1320"/>
      <c r="HS948" s="1320"/>
      <c r="HT948" s="1320"/>
      <c r="HU948" s="1320"/>
      <c r="HV948" s="1320"/>
      <c r="HW948" s="1320"/>
      <c r="HX948" s="1320"/>
      <c r="HY948" s="1320"/>
      <c r="HZ948" s="1320"/>
      <c r="IA948" s="1320"/>
      <c r="IB948" s="1320"/>
      <c r="IC948" s="1320"/>
      <c r="ID948" s="1320"/>
      <c r="IE948" s="1320"/>
      <c r="IF948" s="1320"/>
      <c r="IG948" s="1644"/>
      <c r="IH948" s="1320"/>
      <c r="II948" s="1320"/>
      <c r="IJ948" s="1320"/>
      <c r="IK948" s="1320"/>
      <c r="IL948" s="1320"/>
      <c r="IM948" s="1320"/>
      <c r="IN948" s="1320"/>
      <c r="IO948" s="1644"/>
      <c r="IP948" s="1320"/>
      <c r="IX948" s="1126"/>
      <c r="IY948" s="1126"/>
      <c r="IZ948" s="1126"/>
      <c r="JA948" s="1126"/>
      <c r="JB948" s="1126"/>
      <c r="JC948" s="1126"/>
      <c r="JD948" s="1125"/>
      <c r="JE948" s="1126"/>
      <c r="JF948" s="1037"/>
      <c r="JG948" s="1037"/>
      <c r="JH948" s="1037"/>
      <c r="JI948" s="1035"/>
      <c r="JJ948" s="1035"/>
      <c r="JK948" s="1035"/>
      <c r="JL948" s="1035"/>
      <c r="JM948" s="1035"/>
      <c r="JN948" s="1035"/>
      <c r="JO948" s="1035"/>
      <c r="JP948" s="1035"/>
      <c r="JQ948" s="1035"/>
      <c r="JR948" s="1035"/>
      <c r="JS948" s="1035"/>
      <c r="JT948" s="1035"/>
      <c r="JU948" s="1035"/>
      <c r="JV948" s="1035"/>
      <c r="JW948" s="1035"/>
      <c r="JX948" s="1035"/>
      <c r="JY948" s="1035"/>
    </row>
    <row r="949" spans="1:381">
      <c r="A949" s="1035" t="s">
        <v>230</v>
      </c>
      <c r="FF949" s="1635">
        <f>FF940-FF962</f>
        <v>3874.61616161616</v>
      </c>
      <c r="FG949" s="1635">
        <f>FG940-FG962</f>
        <v>3696.22906440753</v>
      </c>
      <c r="FH949" s="1635"/>
      <c r="FI949" s="1635">
        <f>FI940-FI962</f>
        <v>4514.23004694836</v>
      </c>
      <c r="FJ949" s="1635"/>
      <c r="FK949" s="1635">
        <f>FK940-FK962</f>
        <v>4032.28688861488</v>
      </c>
      <c r="FL949" s="1635"/>
      <c r="FM949" s="1638">
        <f>FF949+FG949+FI949+FK949</f>
        <v>16117.3621615869</v>
      </c>
      <c r="FN949" s="1635">
        <f>FN940-FN962</f>
        <v>4562.7</v>
      </c>
      <c r="FO949" s="1635">
        <f>FO940-FO962</f>
        <v>4198.775</v>
      </c>
      <c r="FP949" s="1635"/>
      <c r="FQ949" s="1635">
        <f>FQ940-FQ962</f>
        <v>5153.45</v>
      </c>
      <c r="FR949" s="1635"/>
      <c r="FS949" s="1635">
        <f>FS940-FS962</f>
        <v>4568.075</v>
      </c>
      <c r="FT949" s="1635"/>
      <c r="FU949" s="1635">
        <f>FN949+FO949+FQ949+FS949</f>
        <v>18483</v>
      </c>
      <c r="FV949" s="1636">
        <f>FV216-FV962</f>
        <v>5262.393</v>
      </c>
      <c r="FW949" s="1635">
        <f>FW216</f>
        <v>5038</v>
      </c>
      <c r="FX949" s="1635"/>
      <c r="FY949" s="1635">
        <f>FY216</f>
        <v>5678</v>
      </c>
      <c r="FZ949" s="1635"/>
      <c r="GA949" s="1635">
        <f>GA216</f>
        <v>5056</v>
      </c>
      <c r="GB949" s="1320"/>
      <c r="GC949" s="1638">
        <f>FV949+FW949+FY949+GA949</f>
        <v>21034.393</v>
      </c>
      <c r="GD949" s="1635"/>
      <c r="GE949" s="1635"/>
      <c r="GF949" s="1635"/>
      <c r="GG949" s="1635"/>
      <c r="GH949" s="1635"/>
      <c r="GI949" s="1635"/>
      <c r="GJ949" s="1635"/>
      <c r="GK949" s="1638"/>
      <c r="GL949" s="1635"/>
      <c r="GM949" s="1635"/>
      <c r="GN949" s="1635"/>
      <c r="GO949" s="1635"/>
      <c r="GP949" s="1635"/>
      <c r="GQ949" s="1635"/>
      <c r="GR949" s="1635"/>
      <c r="GS949" s="1638"/>
      <c r="GT949" s="1635"/>
      <c r="GU949" s="1635"/>
      <c r="GV949" s="1635"/>
      <c r="GW949" s="1635"/>
      <c r="GX949" s="1635"/>
      <c r="GY949" s="1635"/>
      <c r="GZ949" s="1635"/>
      <c r="HA949" s="1638"/>
      <c r="HB949" s="1635"/>
      <c r="HC949" s="1635"/>
      <c r="HD949" s="1635"/>
      <c r="HE949" s="1635"/>
      <c r="HF949" s="1635"/>
      <c r="HG949" s="1635"/>
      <c r="HH949" s="1635"/>
      <c r="HI949" s="1638"/>
      <c r="HJ949" s="1635"/>
      <c r="HK949" s="1635"/>
      <c r="HL949" s="1635"/>
      <c r="HM949" s="1635"/>
      <c r="HN949" s="1635"/>
      <c r="HO949" s="1635"/>
      <c r="HP949" s="1635"/>
      <c r="HQ949" s="1638"/>
      <c r="HR949" s="1635"/>
      <c r="HS949" s="1635"/>
      <c r="HT949" s="1635"/>
      <c r="HU949" s="1635"/>
      <c r="HV949" s="1635"/>
      <c r="HW949" s="1635"/>
      <c r="HX949" s="1635"/>
      <c r="HY949" s="1635"/>
      <c r="HZ949" s="1635"/>
      <c r="IA949" s="1635"/>
      <c r="IB949" s="1635"/>
      <c r="IC949" s="1635"/>
      <c r="ID949" s="1635"/>
      <c r="IE949" s="1635"/>
      <c r="IF949" s="1635"/>
      <c r="IG949" s="1638"/>
      <c r="IH949" s="1635"/>
      <c r="II949" s="1635"/>
      <c r="IJ949" s="1635"/>
      <c r="IK949" s="1635"/>
      <c r="IL949" s="1635"/>
      <c r="IM949" s="1635"/>
      <c r="IN949" s="1635"/>
      <c r="IO949" s="1638"/>
      <c r="IP949" s="1635"/>
      <c r="IQ949" s="1646">
        <f>FU949*1.13</f>
        <v>20885.79</v>
      </c>
      <c r="IX949" s="1126"/>
      <c r="IY949" s="1126"/>
      <c r="IZ949" s="1126"/>
      <c r="JA949" s="1126"/>
      <c r="JB949" s="1126"/>
      <c r="JC949" s="1126"/>
      <c r="JD949" s="1125"/>
      <c r="JE949" s="1126"/>
      <c r="JF949" s="1037"/>
      <c r="JG949" s="1037"/>
      <c r="JH949" s="1037"/>
      <c r="JI949" s="1035"/>
      <c r="JJ949" s="1035"/>
      <c r="JK949" s="1035"/>
      <c r="JL949" s="1035"/>
      <c r="JM949" s="1035"/>
      <c r="JN949" s="1035"/>
      <c r="JO949" s="1035"/>
      <c r="JP949" s="1035"/>
      <c r="JQ949" s="1035"/>
      <c r="JR949" s="1035"/>
      <c r="JS949" s="1035"/>
      <c r="JT949" s="1035"/>
      <c r="JU949" s="1035"/>
      <c r="JV949" s="1035"/>
      <c r="JW949" s="1035"/>
      <c r="JX949" s="1035"/>
      <c r="JY949" s="1035"/>
    </row>
    <row r="950" spans="1:381">
      <c r="FF950" s="1320"/>
      <c r="FG950" s="1320"/>
      <c r="FH950" s="1320"/>
      <c r="FI950" s="1320"/>
      <c r="FJ950" s="1320"/>
      <c r="FK950" s="1320"/>
      <c r="FL950" s="1320"/>
      <c r="FM950" s="1644"/>
      <c r="FN950" s="1320"/>
      <c r="FO950" s="1320"/>
      <c r="FP950" s="1320"/>
      <c r="FQ950" s="1320"/>
      <c r="FR950" s="1320"/>
      <c r="FS950" s="1320"/>
      <c r="FT950" s="1320"/>
      <c r="FU950" s="1320"/>
      <c r="FV950" s="1645"/>
      <c r="FW950" s="1320">
        <f>FW949/FO949-1</f>
        <v>0.199873772707516</v>
      </c>
      <c r="FX950" s="1320"/>
      <c r="FY950" s="1228">
        <f>FY949/FQ949-1</f>
        <v>0.101786182072204</v>
      </c>
      <c r="FZ950" s="1320"/>
      <c r="GA950" s="1320"/>
      <c r="GB950" s="1320"/>
      <c r="GC950" s="1085">
        <f>GC949/FU949-1</f>
        <v>0.138039982686793</v>
      </c>
      <c r="GD950" s="1228"/>
      <c r="GE950" s="1228"/>
      <c r="GF950" s="1228"/>
      <c r="GG950" s="1228"/>
      <c r="GH950" s="1228"/>
      <c r="GI950" s="1228"/>
      <c r="GJ950" s="1228"/>
      <c r="GK950" s="1085"/>
      <c r="GL950" s="1082"/>
      <c r="GM950" s="1082"/>
      <c r="GN950" s="1082"/>
      <c r="GO950" s="1082"/>
      <c r="GP950" s="1082"/>
      <c r="GQ950" s="1082"/>
      <c r="GR950" s="1082"/>
      <c r="GS950" s="1085"/>
      <c r="GT950" s="1082"/>
      <c r="GU950" s="1082"/>
      <c r="GV950" s="1082"/>
      <c r="GW950" s="1082"/>
      <c r="GX950" s="1082"/>
      <c r="GY950" s="1082"/>
      <c r="GZ950" s="1082"/>
      <c r="HA950" s="1085"/>
      <c r="HB950" s="1228"/>
      <c r="HC950" s="1228"/>
      <c r="HD950" s="1228"/>
      <c r="HE950" s="1228"/>
      <c r="HF950" s="1228"/>
      <c r="HG950" s="1228"/>
      <c r="HH950" s="1228"/>
      <c r="HI950" s="1085"/>
      <c r="HJ950" s="1082"/>
      <c r="HK950" s="1082"/>
      <c r="HL950" s="1082"/>
      <c r="HM950" s="1082"/>
      <c r="HN950" s="1082"/>
      <c r="HO950" s="1082"/>
      <c r="HP950" s="1082"/>
      <c r="HQ950" s="1085"/>
      <c r="HR950" s="1082"/>
      <c r="HS950" s="1082"/>
      <c r="HT950" s="1082"/>
      <c r="HU950" s="1082"/>
      <c r="HV950" s="1082"/>
      <c r="HW950" s="1082"/>
      <c r="HX950" s="1082"/>
      <c r="HY950" s="1082"/>
      <c r="HZ950" s="1082"/>
      <c r="IA950" s="1082"/>
      <c r="IB950" s="1082"/>
      <c r="IC950" s="1082"/>
      <c r="ID950" s="1082"/>
      <c r="IE950" s="1082"/>
      <c r="IF950" s="1082"/>
      <c r="IG950" s="1085"/>
      <c r="IH950" s="1082"/>
      <c r="II950" s="1082"/>
      <c r="IJ950" s="1082"/>
      <c r="IK950" s="1082"/>
      <c r="IL950" s="1082"/>
      <c r="IM950" s="1082"/>
      <c r="IN950" s="1082"/>
      <c r="IO950" s="1085"/>
      <c r="IP950" s="1082"/>
      <c r="IQ950" s="1639">
        <f>IQ949*8.7%</f>
        <v>1817.06373</v>
      </c>
      <c r="IX950" s="1126"/>
      <c r="IY950" s="1126"/>
      <c r="IZ950" s="1126"/>
      <c r="JA950" s="1126"/>
      <c r="JB950" s="1126"/>
      <c r="JC950" s="1126"/>
      <c r="JD950" s="1125"/>
      <c r="JE950" s="1126"/>
      <c r="JF950" s="1037"/>
      <c r="JG950" s="1037"/>
      <c r="JH950" s="1037"/>
      <c r="JI950" s="1035"/>
      <c r="JJ950" s="1035"/>
      <c r="JK950" s="1035"/>
      <c r="JL950" s="1035"/>
      <c r="JM950" s="1035"/>
      <c r="JN950" s="1035"/>
      <c r="JO950" s="1035"/>
      <c r="JP950" s="1035"/>
      <c r="JQ950" s="1035"/>
      <c r="JR950" s="1035"/>
      <c r="JS950" s="1035"/>
      <c r="JT950" s="1035"/>
      <c r="JU950" s="1035"/>
      <c r="JV950" s="1035"/>
      <c r="JW950" s="1035"/>
      <c r="JX950" s="1035"/>
      <c r="JY950" s="1035"/>
    </row>
    <row r="951" spans="1:381">
      <c r="A951" s="1035" t="s">
        <v>127</v>
      </c>
      <c r="FF951" s="1635">
        <f>FF942-FF964</f>
        <v>1930.06333895989</v>
      </c>
      <c r="FG951" s="1635">
        <f>FG942-FG964</f>
        <v>1823.74762815904</v>
      </c>
      <c r="FH951" s="1635"/>
      <c r="FI951" s="1635">
        <f>FI942-FI964</f>
        <v>2220.23726766054</v>
      </c>
      <c r="FJ951" s="1635"/>
      <c r="FK951" s="1635">
        <f>FK942-FK964</f>
        <v>1922.70720907796</v>
      </c>
      <c r="FL951" s="1635"/>
      <c r="FM951" s="1638">
        <f>FF951+FG951+FI951+FK951</f>
        <v>7896.75544385744</v>
      </c>
      <c r="FN951" s="1635">
        <f>FN942-FN964</f>
        <v>2281.9398989899</v>
      </c>
      <c r="FO951" s="1635">
        <f>FO942-FO964</f>
        <v>2073.74394529178</v>
      </c>
      <c r="FP951" s="1635"/>
      <c r="FQ951" s="1635">
        <f>FQ942-FQ964</f>
        <v>2476.51393442623</v>
      </c>
      <c r="FR951" s="1635"/>
      <c r="FS951" s="1635">
        <f>FS942-FS964</f>
        <v>2245.88392857143</v>
      </c>
      <c r="FT951" s="1635"/>
      <c r="FU951" s="1635">
        <f>FN951+FO951+FQ951+FS951</f>
        <v>9078.08170727933</v>
      </c>
      <c r="FV951" s="1636">
        <f>FV942-FV964</f>
        <v>2626.96223010101</v>
      </c>
      <c r="FW951" s="1635">
        <f>FW952*FW949</f>
        <v>2525</v>
      </c>
      <c r="FX951" s="1320"/>
      <c r="FY951" s="1635">
        <f>FY952*FY949</f>
        <v>2864</v>
      </c>
      <c r="FZ951" s="1320"/>
      <c r="GA951" s="1635">
        <f>GA952*GA949</f>
        <v>2612</v>
      </c>
      <c r="GB951" s="1320"/>
      <c r="GC951" s="1638">
        <f>FV951+FW951+FY951+GA951</f>
        <v>10627.962230101</v>
      </c>
      <c r="GD951" s="1635"/>
      <c r="GE951" s="1635"/>
      <c r="GF951" s="1635"/>
      <c r="GG951" s="1635"/>
      <c r="GH951" s="1635"/>
      <c r="GI951" s="1635"/>
      <c r="GJ951" s="1635"/>
      <c r="GK951" s="1638"/>
      <c r="GL951" s="1635"/>
      <c r="GM951" s="1635"/>
      <c r="GN951" s="1635"/>
      <c r="GO951" s="1635"/>
      <c r="GP951" s="1635"/>
      <c r="GQ951" s="1635"/>
      <c r="GR951" s="1635"/>
      <c r="GS951" s="1638"/>
      <c r="GT951" s="1635"/>
      <c r="GU951" s="1635"/>
      <c r="GV951" s="1635"/>
      <c r="GW951" s="1635"/>
      <c r="GX951" s="1635"/>
      <c r="GY951" s="1635"/>
      <c r="GZ951" s="1635"/>
      <c r="HA951" s="1638"/>
      <c r="HB951" s="1635"/>
      <c r="HC951" s="1635"/>
      <c r="HD951" s="1635"/>
      <c r="HE951" s="1635"/>
      <c r="HF951" s="1635"/>
      <c r="HG951" s="1635"/>
      <c r="HH951" s="1635"/>
      <c r="HI951" s="1638"/>
      <c r="HJ951" s="1635"/>
      <c r="HK951" s="1635"/>
      <c r="HL951" s="1635"/>
      <c r="HM951" s="1635"/>
      <c r="HN951" s="1635"/>
      <c r="HO951" s="1635"/>
      <c r="HP951" s="1635"/>
      <c r="HQ951" s="1638"/>
      <c r="HR951" s="1635"/>
      <c r="HS951" s="1635"/>
      <c r="HT951" s="1635"/>
      <c r="HU951" s="1635"/>
      <c r="HV951" s="1635"/>
      <c r="HW951" s="1635"/>
      <c r="HX951" s="1635"/>
      <c r="HY951" s="1635"/>
      <c r="HZ951" s="1635"/>
      <c r="IA951" s="1635"/>
      <c r="IB951" s="1635"/>
      <c r="IC951" s="1635"/>
      <c r="ID951" s="1635"/>
      <c r="IE951" s="1635"/>
      <c r="IF951" s="1635"/>
      <c r="IG951" s="1638"/>
      <c r="IH951" s="1635"/>
      <c r="II951" s="1635"/>
      <c r="IJ951" s="1635"/>
      <c r="IK951" s="1635"/>
      <c r="IL951" s="1635"/>
      <c r="IM951" s="1635"/>
      <c r="IN951" s="1635"/>
      <c r="IO951" s="1638"/>
      <c r="IP951" s="1635"/>
      <c r="IX951" s="1126"/>
      <c r="IY951" s="1126"/>
      <c r="IZ951" s="1126"/>
      <c r="JA951" s="1126"/>
      <c r="JB951" s="1126"/>
      <c r="JC951" s="1126"/>
      <c r="JD951" s="1125"/>
      <c r="JE951" s="1126"/>
      <c r="JF951" s="1037"/>
      <c r="JG951" s="1037"/>
      <c r="JH951" s="1037"/>
      <c r="JI951" s="1035"/>
      <c r="JJ951" s="1035"/>
      <c r="JK951" s="1035"/>
      <c r="JL951" s="1035"/>
      <c r="JM951" s="1035"/>
      <c r="JN951" s="1035"/>
      <c r="JO951" s="1035"/>
      <c r="JP951" s="1035"/>
      <c r="JQ951" s="1035"/>
      <c r="JR951" s="1035"/>
      <c r="JS951" s="1035"/>
      <c r="JT951" s="1035"/>
      <c r="JU951" s="1035"/>
      <c r="JV951" s="1035"/>
      <c r="JW951" s="1035"/>
      <c r="JX951" s="1035"/>
      <c r="JY951" s="1035"/>
    </row>
    <row r="952" s="1033" customFormat="1" spans="1:381">
      <c r="A952" s="1035" t="s">
        <v>128</v>
      </c>
      <c r="B952" s="1036"/>
      <c r="C952" s="1036"/>
      <c r="D952" s="1036"/>
      <c r="E952" s="1036"/>
      <c r="F952" s="1036"/>
      <c r="G952" s="1036"/>
      <c r="H952" s="1036"/>
      <c r="I952" s="1036"/>
      <c r="J952" s="1036"/>
      <c r="K952" s="1036"/>
      <c r="L952" s="1036"/>
      <c r="M952" s="1036"/>
      <c r="N952" s="1036"/>
      <c r="O952" s="1036"/>
      <c r="P952" s="1036"/>
      <c r="Q952" s="1036"/>
      <c r="R952" s="1036"/>
      <c r="S952" s="1036"/>
      <c r="T952" s="1036"/>
      <c r="U952" s="1036"/>
      <c r="V952" s="1036"/>
      <c r="W952" s="1036"/>
      <c r="X952" s="1036"/>
      <c r="Y952" s="1036"/>
      <c r="Z952" s="1036"/>
      <c r="AA952" s="1036"/>
      <c r="AB952" s="1036"/>
      <c r="AC952" s="1036"/>
      <c r="AD952" s="1036"/>
      <c r="AE952" s="1036"/>
      <c r="AF952" s="1036"/>
      <c r="AG952" s="1036"/>
      <c r="AH952" s="1036"/>
      <c r="AI952" s="1036"/>
      <c r="AJ952" s="1036"/>
      <c r="AK952" s="1036"/>
      <c r="AL952" s="1036"/>
      <c r="AM952" s="1036"/>
      <c r="AN952" s="1036"/>
      <c r="AO952" s="1036"/>
      <c r="AP952" s="1036"/>
      <c r="AQ952" s="1036"/>
      <c r="AR952" s="1036"/>
      <c r="AS952" s="1036"/>
      <c r="AT952" s="1036"/>
      <c r="AU952" s="1036"/>
      <c r="AV952" s="1036"/>
      <c r="AW952" s="1036"/>
      <c r="AX952" s="1036"/>
      <c r="AY952" s="1036"/>
      <c r="AZ952" s="1036"/>
      <c r="BA952" s="1036"/>
      <c r="BB952" s="1036"/>
      <c r="BC952" s="1036"/>
      <c r="BD952" s="1036"/>
      <c r="BE952" s="1036"/>
      <c r="BF952" s="1036"/>
      <c r="BG952" s="1036"/>
      <c r="BH952" s="1036"/>
      <c r="BI952" s="1036"/>
      <c r="BJ952" s="1036"/>
      <c r="BK952" s="1036"/>
      <c r="BL952" s="1036"/>
      <c r="BM952" s="1036"/>
      <c r="BN952" s="1036"/>
      <c r="BO952" s="1036"/>
      <c r="BP952" s="1036"/>
      <c r="BQ952" s="1036"/>
      <c r="BR952" s="1036"/>
      <c r="BS952" s="1036"/>
      <c r="BT952" s="1036"/>
      <c r="BU952" s="1036"/>
      <c r="BV952" s="1036"/>
      <c r="BW952" s="1036"/>
      <c r="BX952" s="1036"/>
      <c r="BY952" s="1036"/>
      <c r="BZ952" s="1036"/>
      <c r="CA952" s="1036"/>
      <c r="CB952" s="1036"/>
      <c r="CC952" s="1036"/>
      <c r="CD952" s="1036"/>
      <c r="CE952" s="1036"/>
      <c r="CF952" s="1036"/>
      <c r="CG952" s="1036"/>
      <c r="CH952" s="1036"/>
      <c r="CI952" s="1036"/>
      <c r="CJ952" s="1036"/>
      <c r="CK952" s="1036"/>
      <c r="CL952" s="1036"/>
      <c r="CM952" s="1036"/>
      <c r="CN952" s="1036"/>
      <c r="CO952" s="1036"/>
      <c r="CP952" s="1036"/>
      <c r="CQ952" s="1036"/>
      <c r="CR952" s="1036"/>
      <c r="CS952" s="1036"/>
      <c r="CT952" s="1036"/>
      <c r="CU952" s="1036"/>
      <c r="CV952" s="1036"/>
      <c r="CW952" s="1036"/>
      <c r="CX952" s="1036"/>
      <c r="CY952" s="1036"/>
      <c r="CZ952" s="1036"/>
      <c r="DA952" s="1036"/>
      <c r="DB952" s="1037"/>
      <c r="DC952" s="1037"/>
      <c r="DD952" s="1037"/>
      <c r="DE952" s="1037"/>
      <c r="DF952" s="1037"/>
      <c r="DG952" s="1037"/>
      <c r="DH952" s="1037"/>
      <c r="DI952" s="1038"/>
      <c r="DJ952" s="1037"/>
      <c r="DK952" s="1037"/>
      <c r="DL952" s="1037"/>
      <c r="DM952" s="1037"/>
      <c r="DN952" s="1037"/>
      <c r="DO952" s="1037"/>
      <c r="DP952" s="1037"/>
      <c r="DQ952" s="1038"/>
      <c r="DR952" s="1037"/>
      <c r="DS952" s="1037"/>
      <c r="DT952" s="1037"/>
      <c r="DU952" s="1037"/>
      <c r="DV952" s="1037"/>
      <c r="DW952" s="1037"/>
      <c r="DX952" s="1037"/>
      <c r="DY952" s="1038"/>
      <c r="DZ952" s="1037"/>
      <c r="EA952" s="1037"/>
      <c r="EB952" s="1037"/>
      <c r="EC952" s="1037"/>
      <c r="ED952" s="1037"/>
      <c r="EE952" s="1037"/>
      <c r="EF952" s="1037"/>
      <c r="EG952" s="1038"/>
      <c r="EH952" s="1037"/>
      <c r="EI952" s="1037"/>
      <c r="EJ952" s="1037"/>
      <c r="EK952" s="1037"/>
      <c r="EL952" s="1037"/>
      <c r="EM952" s="1037"/>
      <c r="EN952" s="1037"/>
      <c r="EO952" s="1038"/>
      <c r="EP952" s="1037"/>
      <c r="EQ952" s="1037"/>
      <c r="ER952" s="1037"/>
      <c r="ES952" s="1037"/>
      <c r="ET952" s="1037"/>
      <c r="EU952" s="1037"/>
      <c r="EV952" s="1037"/>
      <c r="EW952" s="1039"/>
      <c r="EX952" s="891"/>
      <c r="EY952" s="891"/>
      <c r="EZ952" s="891"/>
      <c r="FA952" s="891"/>
      <c r="FB952" s="891"/>
      <c r="FC952" s="891"/>
      <c r="FD952" s="891"/>
      <c r="FE952" s="1039"/>
      <c r="FF952" s="1228">
        <f>FF951/FF949</f>
        <v>0.498130203987698</v>
      </c>
      <c r="FG952" s="1228">
        <f>FG951/FG949</f>
        <v>0.493407631502236</v>
      </c>
      <c r="FH952" s="1320"/>
      <c r="FI952" s="1228">
        <f>FI951/FI949</f>
        <v>0.491830776138987</v>
      </c>
      <c r="FJ952" s="1320"/>
      <c r="FK952" s="1228">
        <f>FK951/FK949</f>
        <v>0.476827979305418</v>
      </c>
      <c r="FL952" s="1320"/>
      <c r="FM952" s="1085">
        <f>FM951/FM$949</f>
        <v>0.489953341290429</v>
      </c>
      <c r="FN952" s="1228">
        <f>FN951/FN949</f>
        <v>0.500129287261906</v>
      </c>
      <c r="FO952" s="1228">
        <f>FO951/FO949</f>
        <v>0.493892610414175</v>
      </c>
      <c r="FP952" s="1320"/>
      <c r="FQ952" s="1228">
        <f>FQ951/FQ949</f>
        <v>0.480554567217346</v>
      </c>
      <c r="FR952" s="1320"/>
      <c r="FS952" s="1228">
        <f>FS951/FS949</f>
        <v>0.491647779112959</v>
      </c>
      <c r="FT952" s="1320"/>
      <c r="FU952" s="1082">
        <f>FU951/FU$949</f>
        <v>0.491158454108063</v>
      </c>
      <c r="FV952" s="1109">
        <f>FV951/FV949</f>
        <v>0.499195371782573</v>
      </c>
      <c r="FW952" s="1228">
        <f>FW397</f>
        <v>0.501190948789202</v>
      </c>
      <c r="FX952" s="1320"/>
      <c r="FY952" s="1228">
        <f>FY397</f>
        <v>0.504402958788306</v>
      </c>
      <c r="FZ952" s="1320"/>
      <c r="GA952" s="1228">
        <f>GA397</f>
        <v>0.516613924050633</v>
      </c>
      <c r="GB952" s="1320"/>
      <c r="GC952" s="1085">
        <f>GC951/GC$949</f>
        <v>0.505265934229764</v>
      </c>
      <c r="GD952" s="1228"/>
      <c r="GE952" s="1228"/>
      <c r="GF952" s="1228"/>
      <c r="GG952" s="1228"/>
      <c r="GH952" s="1228"/>
      <c r="GI952" s="1228"/>
      <c r="GJ952" s="1228"/>
      <c r="GK952" s="1085"/>
      <c r="GL952" s="1082"/>
      <c r="GM952" s="1082"/>
      <c r="GN952" s="1082"/>
      <c r="GO952" s="1082"/>
      <c r="GP952" s="1082"/>
      <c r="GQ952" s="1082"/>
      <c r="GR952" s="1082"/>
      <c r="GS952" s="1085"/>
      <c r="GT952" s="1082"/>
      <c r="GU952" s="1082"/>
      <c r="GV952" s="1082"/>
      <c r="GW952" s="1082"/>
      <c r="GX952" s="1082"/>
      <c r="GY952" s="1082"/>
      <c r="GZ952" s="1082"/>
      <c r="HA952" s="1085"/>
      <c r="HB952" s="1228"/>
      <c r="HC952" s="1228"/>
      <c r="HD952" s="1228"/>
      <c r="HE952" s="1228"/>
      <c r="HF952" s="1228"/>
      <c r="HG952" s="1228"/>
      <c r="HH952" s="1228"/>
      <c r="HI952" s="1085"/>
      <c r="HJ952" s="1082"/>
      <c r="HK952" s="1082"/>
      <c r="HL952" s="1082"/>
      <c r="HM952" s="1082"/>
      <c r="HN952" s="1082"/>
      <c r="HO952" s="1082"/>
      <c r="HP952" s="1082"/>
      <c r="HQ952" s="1085"/>
      <c r="HR952" s="1082"/>
      <c r="HS952" s="1082"/>
      <c r="HT952" s="1082"/>
      <c r="HU952" s="1082"/>
      <c r="HV952" s="1082"/>
      <c r="HW952" s="1082"/>
      <c r="HX952" s="1082"/>
      <c r="HY952" s="1082"/>
      <c r="HZ952" s="1082"/>
      <c r="IA952" s="1082"/>
      <c r="IB952" s="1082"/>
      <c r="IC952" s="1082"/>
      <c r="ID952" s="1082"/>
      <c r="IE952" s="1082"/>
      <c r="IF952" s="1082"/>
      <c r="IG952" s="1085"/>
      <c r="IH952" s="1082"/>
      <c r="II952" s="1082"/>
      <c r="IJ952" s="1082"/>
      <c r="IK952" s="1082"/>
      <c r="IL952" s="1082"/>
      <c r="IM952" s="1082"/>
      <c r="IN952" s="1082"/>
      <c r="IO952" s="1085"/>
      <c r="IP952" s="1082"/>
      <c r="IQ952" s="891" t="s">
        <v>685</v>
      </c>
      <c r="IR952" s="891"/>
      <c r="IS952" s="891"/>
      <c r="IT952" s="891"/>
      <c r="IU952" s="891"/>
      <c r="IV952" s="891"/>
      <c r="IW952" s="891"/>
      <c r="IX952" s="1126"/>
      <c r="IY952" s="1126"/>
      <c r="IZ952" s="1126"/>
      <c r="JA952" s="1126"/>
      <c r="JB952" s="1126"/>
      <c r="JC952" s="1126"/>
      <c r="JD952" s="1125"/>
      <c r="JE952" s="1126"/>
      <c r="JF952" s="1037"/>
      <c r="JG952" s="1037"/>
      <c r="JH952" s="1037"/>
      <c r="JI952" s="1035"/>
      <c r="JJ952" s="1035"/>
      <c r="JK952" s="1035"/>
      <c r="JL952" s="1035"/>
      <c r="JM952" s="1035"/>
      <c r="JN952" s="1035"/>
      <c r="JO952" s="1035"/>
      <c r="JP952" s="1035"/>
      <c r="JQ952" s="1035"/>
      <c r="JR952" s="1035"/>
      <c r="JS952" s="1035"/>
      <c r="JT952" s="1035"/>
      <c r="JU952" s="1035"/>
      <c r="JV952" s="1035"/>
      <c r="JW952" s="1035"/>
      <c r="JX952" s="1035"/>
      <c r="JY952" s="1035"/>
      <c r="JZ952" s="1035"/>
      <c r="KA952" s="1035"/>
      <c r="KB952" s="1035"/>
      <c r="KC952" s="1035"/>
      <c r="KD952" s="1035"/>
      <c r="KE952" s="1035"/>
      <c r="KF952" s="1035"/>
      <c r="KG952" s="1035"/>
      <c r="KH952" s="1035"/>
      <c r="KI952" s="1035"/>
      <c r="KJ952" s="1035"/>
      <c r="KK952" s="1035"/>
      <c r="KL952" s="1035"/>
      <c r="KM952" s="1035"/>
      <c r="KN952" s="1035"/>
      <c r="KO952" s="1035"/>
      <c r="KP952" s="1035"/>
      <c r="KQ952" s="1035"/>
      <c r="KR952" s="1035"/>
      <c r="KS952" s="1035"/>
      <c r="KT952" s="1035"/>
      <c r="KU952" s="1035"/>
      <c r="KV952" s="1035"/>
      <c r="KW952" s="1035"/>
      <c r="LO952" s="1035"/>
      <c r="LP952" s="1035"/>
      <c r="LQ952" s="1035"/>
      <c r="LR952" s="1035"/>
      <c r="LS952" s="1035"/>
      <c r="LT952" s="1035"/>
      <c r="LU952" s="1035"/>
      <c r="LV952" s="1035"/>
      <c r="LW952" s="1035"/>
      <c r="LX952" s="1035"/>
      <c r="LY952" s="1035"/>
      <c r="LZ952" s="1035"/>
      <c r="MA952" s="1035"/>
      <c r="MB952" s="1035"/>
      <c r="MC952" s="1035"/>
      <c r="MD952" s="1035"/>
      <c r="ME952" s="1035"/>
      <c r="MF952" s="1035"/>
      <c r="MG952" s="1035"/>
      <c r="MH952" s="1035"/>
      <c r="MI952" s="1035"/>
      <c r="MJ952" s="1035"/>
      <c r="MK952" s="1035"/>
      <c r="ML952" s="1035"/>
      <c r="MM952" s="1035"/>
      <c r="MN952" s="1035"/>
      <c r="MO952" s="1035"/>
      <c r="MP952" s="1035"/>
      <c r="MQ952" s="1035"/>
      <c r="MR952" s="1035"/>
      <c r="MS952" s="1035"/>
      <c r="MT952" s="1035"/>
      <c r="MU952" s="1035"/>
      <c r="MV952" s="1035"/>
      <c r="MW952" s="1035"/>
      <c r="MX952" s="1035"/>
      <c r="MY952" s="1035"/>
      <c r="MZ952" s="1035"/>
      <c r="NA952" s="1035"/>
      <c r="NB952" s="1035"/>
      <c r="NC952" s="1035"/>
      <c r="ND952" s="1035"/>
      <c r="NE952" s="1035"/>
      <c r="NF952" s="1035"/>
      <c r="NG952" s="1035"/>
      <c r="NH952" s="1035"/>
      <c r="NI952" s="1035"/>
      <c r="NJ952" s="1035"/>
      <c r="NK952" s="1035"/>
      <c r="NL952" s="1035"/>
      <c r="NM952" s="1035"/>
      <c r="NN952" s="1035"/>
      <c r="NO952" s="1035"/>
      <c r="NP952" s="1035"/>
      <c r="NQ952" s="1035"/>
    </row>
    <row r="953" s="1033" customFormat="1" spans="1:381">
      <c r="A953" s="1035"/>
      <c r="B953" s="1036"/>
      <c r="C953" s="1036"/>
      <c r="D953" s="1036"/>
      <c r="E953" s="1036"/>
      <c r="F953" s="1036"/>
      <c r="G953" s="1036"/>
      <c r="H953" s="1036"/>
      <c r="I953" s="1036"/>
      <c r="J953" s="1036"/>
      <c r="K953" s="1036"/>
      <c r="L953" s="1036"/>
      <c r="M953" s="1036"/>
      <c r="N953" s="1036"/>
      <c r="O953" s="1036"/>
      <c r="P953" s="1036"/>
      <c r="Q953" s="1036"/>
      <c r="R953" s="1036"/>
      <c r="S953" s="1036"/>
      <c r="T953" s="1036"/>
      <c r="U953" s="1036"/>
      <c r="V953" s="1036"/>
      <c r="W953" s="1036"/>
      <c r="X953" s="1036"/>
      <c r="Y953" s="1036"/>
      <c r="Z953" s="1036"/>
      <c r="AA953" s="1036"/>
      <c r="AB953" s="1036"/>
      <c r="AC953" s="1036"/>
      <c r="AD953" s="1036"/>
      <c r="AE953" s="1036"/>
      <c r="AF953" s="1036"/>
      <c r="AG953" s="1036"/>
      <c r="AH953" s="1036"/>
      <c r="AI953" s="1036"/>
      <c r="AJ953" s="1036"/>
      <c r="AK953" s="1036"/>
      <c r="AL953" s="1036"/>
      <c r="AM953" s="1036"/>
      <c r="AN953" s="1036"/>
      <c r="AO953" s="1036"/>
      <c r="AP953" s="1036"/>
      <c r="AQ953" s="1036"/>
      <c r="AR953" s="1036"/>
      <c r="AS953" s="1036"/>
      <c r="AT953" s="1036"/>
      <c r="AU953" s="1036"/>
      <c r="AV953" s="1036"/>
      <c r="AW953" s="1036"/>
      <c r="AX953" s="1036"/>
      <c r="AY953" s="1036"/>
      <c r="AZ953" s="1036"/>
      <c r="BA953" s="1036"/>
      <c r="BB953" s="1036"/>
      <c r="BC953" s="1036"/>
      <c r="BD953" s="1036"/>
      <c r="BE953" s="1036"/>
      <c r="BF953" s="1036"/>
      <c r="BG953" s="1036"/>
      <c r="BH953" s="1036"/>
      <c r="BI953" s="1036"/>
      <c r="BJ953" s="1036"/>
      <c r="BK953" s="1036"/>
      <c r="BL953" s="1036"/>
      <c r="BM953" s="1036"/>
      <c r="BN953" s="1036"/>
      <c r="BO953" s="1036"/>
      <c r="BP953" s="1036"/>
      <c r="BQ953" s="1036"/>
      <c r="BR953" s="1036"/>
      <c r="BS953" s="1036"/>
      <c r="BT953" s="1036"/>
      <c r="BU953" s="1036"/>
      <c r="BV953" s="1036"/>
      <c r="BW953" s="1036"/>
      <c r="BX953" s="1036"/>
      <c r="BY953" s="1036"/>
      <c r="BZ953" s="1036"/>
      <c r="CA953" s="1036"/>
      <c r="CB953" s="1036"/>
      <c r="CC953" s="1036"/>
      <c r="CD953" s="1036"/>
      <c r="CE953" s="1036"/>
      <c r="CF953" s="1036"/>
      <c r="CG953" s="1036"/>
      <c r="CH953" s="1036"/>
      <c r="CI953" s="1036"/>
      <c r="CJ953" s="1036"/>
      <c r="CK953" s="1036"/>
      <c r="CL953" s="1036"/>
      <c r="CM953" s="1036"/>
      <c r="CN953" s="1036"/>
      <c r="CO953" s="1036"/>
      <c r="CP953" s="1036"/>
      <c r="CQ953" s="1036"/>
      <c r="CR953" s="1036"/>
      <c r="CS953" s="1036"/>
      <c r="CT953" s="1036"/>
      <c r="CU953" s="1036"/>
      <c r="CV953" s="1036"/>
      <c r="CW953" s="1036"/>
      <c r="CX953" s="1036"/>
      <c r="CY953" s="1036"/>
      <c r="CZ953" s="1036"/>
      <c r="DA953" s="1036"/>
      <c r="DB953" s="1037"/>
      <c r="DC953" s="1037"/>
      <c r="DD953" s="1037"/>
      <c r="DE953" s="1037"/>
      <c r="DF953" s="1037"/>
      <c r="DG953" s="1037"/>
      <c r="DH953" s="1037"/>
      <c r="DI953" s="1038"/>
      <c r="DJ953" s="1037"/>
      <c r="DK953" s="1037"/>
      <c r="DL953" s="1037"/>
      <c r="DM953" s="1037"/>
      <c r="DN953" s="1037"/>
      <c r="DO953" s="1037"/>
      <c r="DP953" s="1037"/>
      <c r="DQ953" s="1038"/>
      <c r="DR953" s="1037"/>
      <c r="DS953" s="1037"/>
      <c r="DT953" s="1037"/>
      <c r="DU953" s="1037"/>
      <c r="DV953" s="1037"/>
      <c r="DW953" s="1037"/>
      <c r="DX953" s="1037"/>
      <c r="DY953" s="1038"/>
      <c r="DZ953" s="1037"/>
      <c r="EA953" s="1037"/>
      <c r="EB953" s="1037"/>
      <c r="EC953" s="1037"/>
      <c r="ED953" s="1037"/>
      <c r="EE953" s="1037"/>
      <c r="EF953" s="1037"/>
      <c r="EG953" s="1038"/>
      <c r="EH953" s="1037"/>
      <c r="EI953" s="1037"/>
      <c r="EJ953" s="1037"/>
      <c r="EK953" s="1037"/>
      <c r="EL953" s="1037"/>
      <c r="EM953" s="1037"/>
      <c r="EN953" s="1037"/>
      <c r="EO953" s="1038"/>
      <c r="EP953" s="1037"/>
      <c r="EQ953" s="1037"/>
      <c r="ER953" s="1037"/>
      <c r="ES953" s="1037"/>
      <c r="ET953" s="1037"/>
      <c r="EU953" s="1037"/>
      <c r="EV953" s="1037"/>
      <c r="EW953" s="1039"/>
      <c r="EX953" s="891"/>
      <c r="EY953" s="891"/>
      <c r="EZ953" s="891"/>
      <c r="FA953" s="891"/>
      <c r="FB953" s="891"/>
      <c r="FC953" s="891"/>
      <c r="FD953" s="891"/>
      <c r="FE953" s="1039"/>
      <c r="FF953" s="1228"/>
      <c r="FG953" s="1228"/>
      <c r="FH953" s="1320"/>
      <c r="FI953" s="1228"/>
      <c r="FJ953" s="1320"/>
      <c r="FK953" s="1228"/>
      <c r="FL953" s="1320"/>
      <c r="FM953" s="1085"/>
      <c r="FN953" s="1228"/>
      <c r="FO953" s="1228"/>
      <c r="FP953" s="1320"/>
      <c r="FQ953" s="1228"/>
      <c r="FR953" s="1320"/>
      <c r="FS953" s="1228"/>
      <c r="FT953" s="1320"/>
      <c r="FU953" s="1082"/>
      <c r="FV953" s="1109"/>
      <c r="FW953" s="1228"/>
      <c r="FX953" s="1320"/>
      <c r="FY953" s="1228"/>
      <c r="FZ953" s="1320"/>
      <c r="GA953" s="1228"/>
      <c r="GB953" s="1320"/>
      <c r="GC953" s="1085"/>
      <c r="GD953" s="1228"/>
      <c r="GE953" s="1228"/>
      <c r="GF953" s="1228"/>
      <c r="GG953" s="1228"/>
      <c r="GH953" s="1228"/>
      <c r="GI953" s="1228"/>
      <c r="GJ953" s="1228"/>
      <c r="GK953" s="1085"/>
      <c r="GL953" s="1082"/>
      <c r="GM953" s="1082"/>
      <c r="GN953" s="1082"/>
      <c r="GO953" s="1082"/>
      <c r="GP953" s="1082"/>
      <c r="GQ953" s="1082"/>
      <c r="GR953" s="1082"/>
      <c r="GS953" s="1085"/>
      <c r="GT953" s="1082"/>
      <c r="GU953" s="1082"/>
      <c r="GV953" s="1082"/>
      <c r="GW953" s="1082"/>
      <c r="GX953" s="1082"/>
      <c r="GY953" s="1082"/>
      <c r="GZ953" s="1082"/>
      <c r="HA953" s="1085"/>
      <c r="HB953" s="1228"/>
      <c r="HC953" s="1228"/>
      <c r="HD953" s="1228"/>
      <c r="HE953" s="1228"/>
      <c r="HF953" s="1228"/>
      <c r="HG953" s="1228"/>
      <c r="HH953" s="1228"/>
      <c r="HI953" s="1085"/>
      <c r="HJ953" s="1082"/>
      <c r="HK953" s="1082"/>
      <c r="HL953" s="1082"/>
      <c r="HM953" s="1082"/>
      <c r="HN953" s="1082"/>
      <c r="HO953" s="1082"/>
      <c r="HP953" s="1082"/>
      <c r="HQ953" s="1085"/>
      <c r="HR953" s="1082"/>
      <c r="HS953" s="1082"/>
      <c r="HT953" s="1082"/>
      <c r="HU953" s="1082"/>
      <c r="HV953" s="1082"/>
      <c r="HW953" s="1082"/>
      <c r="HX953" s="1082"/>
      <c r="HY953" s="1082"/>
      <c r="HZ953" s="1082"/>
      <c r="IA953" s="1082"/>
      <c r="IB953" s="1082"/>
      <c r="IC953" s="1082"/>
      <c r="ID953" s="1082"/>
      <c r="IE953" s="1082"/>
      <c r="IF953" s="1082"/>
      <c r="IG953" s="1085"/>
      <c r="IH953" s="1082"/>
      <c r="II953" s="1082"/>
      <c r="IJ953" s="1082"/>
      <c r="IK953" s="1082"/>
      <c r="IL953" s="1082"/>
      <c r="IM953" s="1082"/>
      <c r="IN953" s="1082"/>
      <c r="IO953" s="1085"/>
      <c r="IP953" s="1082"/>
      <c r="IQ953" s="891"/>
      <c r="IR953" s="891"/>
      <c r="IS953" s="891"/>
      <c r="IT953" s="891"/>
      <c r="IU953" s="891"/>
      <c r="IV953" s="891"/>
      <c r="IW953" s="891"/>
      <c r="IX953" s="1126"/>
      <c r="IY953" s="1126"/>
      <c r="IZ953" s="1126"/>
      <c r="JA953" s="1126"/>
      <c r="JB953" s="1126"/>
      <c r="JC953" s="1126"/>
      <c r="JD953" s="1125"/>
      <c r="JE953" s="1126"/>
      <c r="JF953" s="1037"/>
      <c r="JG953" s="1037"/>
      <c r="JH953" s="1037"/>
      <c r="JI953" s="1035"/>
      <c r="JJ953" s="1035"/>
      <c r="JK953" s="1035"/>
      <c r="JL953" s="1035"/>
      <c r="JM953" s="1035"/>
      <c r="JN953" s="1035"/>
      <c r="JO953" s="1035"/>
      <c r="JP953" s="1035"/>
      <c r="JQ953" s="1035"/>
      <c r="JR953" s="1035"/>
      <c r="JS953" s="1035"/>
      <c r="JT953" s="1035"/>
      <c r="JU953" s="1035"/>
      <c r="JV953" s="1035"/>
      <c r="JW953" s="1035"/>
      <c r="JX953" s="1035"/>
      <c r="JY953" s="1035"/>
      <c r="JZ953" s="1035"/>
      <c r="KA953" s="1035"/>
      <c r="KB953" s="1035"/>
      <c r="KC953" s="1035"/>
      <c r="KD953" s="1035"/>
      <c r="KE953" s="1035"/>
      <c r="KF953" s="1035"/>
      <c r="KG953" s="1035"/>
      <c r="KH953" s="1035"/>
      <c r="KI953" s="1035"/>
      <c r="KJ953" s="1035"/>
      <c r="KK953" s="1035"/>
      <c r="KL953" s="1035"/>
      <c r="KM953" s="1035"/>
      <c r="KN953" s="1035"/>
      <c r="KO953" s="1035"/>
      <c r="KP953" s="1035"/>
      <c r="KQ953" s="1035"/>
      <c r="KR953" s="1035"/>
      <c r="KS953" s="1035"/>
      <c r="KT953" s="1035"/>
      <c r="KU953" s="1035"/>
      <c r="KV953" s="1035"/>
      <c r="KW953" s="1035"/>
      <c r="LO953" s="1035"/>
      <c r="LP953" s="1035"/>
      <c r="LQ953" s="1035"/>
      <c r="LR953" s="1035"/>
      <c r="LS953" s="1035"/>
      <c r="LT953" s="1035"/>
      <c r="LU953" s="1035"/>
      <c r="LV953" s="1035"/>
      <c r="LW953" s="1035"/>
      <c r="LX953" s="1035"/>
      <c r="LY953" s="1035"/>
      <c r="LZ953" s="1035"/>
      <c r="MA953" s="1035"/>
      <c r="MB953" s="1035"/>
      <c r="MC953" s="1035"/>
      <c r="MD953" s="1035"/>
      <c r="ME953" s="1035"/>
      <c r="MF953" s="1035"/>
      <c r="MG953" s="1035"/>
      <c r="MH953" s="1035"/>
      <c r="MI953" s="1035"/>
      <c r="MJ953" s="1035"/>
      <c r="MK953" s="1035"/>
      <c r="ML953" s="1035"/>
      <c r="MM953" s="1035"/>
      <c r="MN953" s="1035"/>
      <c r="MO953" s="1035"/>
      <c r="MP953" s="1035"/>
      <c r="MQ953" s="1035"/>
      <c r="MR953" s="1035"/>
      <c r="MS953" s="1035"/>
      <c r="MT953" s="1035"/>
      <c r="MU953" s="1035"/>
      <c r="MV953" s="1035"/>
      <c r="MW953" s="1035"/>
      <c r="MX953" s="1035"/>
      <c r="MY953" s="1035"/>
      <c r="MZ953" s="1035"/>
      <c r="NA953" s="1035"/>
      <c r="NB953" s="1035"/>
      <c r="NC953" s="1035"/>
      <c r="ND953" s="1035"/>
      <c r="NE953" s="1035"/>
      <c r="NF953" s="1035"/>
      <c r="NG953" s="1035"/>
      <c r="NH953" s="1035"/>
      <c r="NI953" s="1035"/>
      <c r="NJ953" s="1035"/>
      <c r="NK953" s="1035"/>
      <c r="NL953" s="1035"/>
      <c r="NM953" s="1035"/>
      <c r="NN953" s="1035"/>
      <c r="NO953" s="1035"/>
      <c r="NP953" s="1035"/>
      <c r="NQ953" s="1035"/>
    </row>
    <row r="954" s="1033" customFormat="1" spans="1:381">
      <c r="A954" s="1035" t="s">
        <v>686</v>
      </c>
      <c r="B954" s="1036"/>
      <c r="C954" s="1036"/>
      <c r="D954" s="1036"/>
      <c r="E954" s="1036"/>
      <c r="F954" s="1036"/>
      <c r="G954" s="1036"/>
      <c r="H954" s="1036"/>
      <c r="I954" s="1036"/>
      <c r="J954" s="1036"/>
      <c r="K954" s="1036"/>
      <c r="L954" s="1036"/>
      <c r="M954" s="1036"/>
      <c r="N954" s="1036"/>
      <c r="O954" s="1036"/>
      <c r="P954" s="1036"/>
      <c r="Q954" s="1036"/>
      <c r="R954" s="1036"/>
      <c r="S954" s="1036"/>
      <c r="T954" s="1036"/>
      <c r="U954" s="1036"/>
      <c r="V954" s="1036"/>
      <c r="W954" s="1036"/>
      <c r="X954" s="1036"/>
      <c r="Y954" s="1036"/>
      <c r="Z954" s="1036"/>
      <c r="AA954" s="1036"/>
      <c r="AB954" s="1036"/>
      <c r="AC954" s="1036"/>
      <c r="AD954" s="1036"/>
      <c r="AE954" s="1036"/>
      <c r="AF954" s="1036"/>
      <c r="AG954" s="1036"/>
      <c r="AH954" s="1036"/>
      <c r="AI954" s="1036"/>
      <c r="AJ954" s="1036"/>
      <c r="AK954" s="1036"/>
      <c r="AL954" s="1036"/>
      <c r="AM954" s="1036"/>
      <c r="AN954" s="1036"/>
      <c r="AO954" s="1036"/>
      <c r="AP954" s="1036"/>
      <c r="AQ954" s="1036"/>
      <c r="AR954" s="1036"/>
      <c r="AS954" s="1036"/>
      <c r="AT954" s="1036"/>
      <c r="AU954" s="1036"/>
      <c r="AV954" s="1036"/>
      <c r="AW954" s="1036"/>
      <c r="AX954" s="1036"/>
      <c r="AY954" s="1036"/>
      <c r="AZ954" s="1036"/>
      <c r="BA954" s="1036"/>
      <c r="BB954" s="1036"/>
      <c r="BC954" s="1036"/>
      <c r="BD954" s="1036"/>
      <c r="BE954" s="1036"/>
      <c r="BF954" s="1036"/>
      <c r="BG954" s="1036"/>
      <c r="BH954" s="1036"/>
      <c r="BI954" s="1036"/>
      <c r="BJ954" s="1036"/>
      <c r="BK954" s="1036"/>
      <c r="BL954" s="1036"/>
      <c r="BM954" s="1036"/>
      <c r="BN954" s="1036"/>
      <c r="BO954" s="1036"/>
      <c r="BP954" s="1036"/>
      <c r="BQ954" s="1036"/>
      <c r="BR954" s="1036"/>
      <c r="BS954" s="1036"/>
      <c r="BT954" s="1036"/>
      <c r="BU954" s="1036"/>
      <c r="BV954" s="1036"/>
      <c r="BW954" s="1036"/>
      <c r="BX954" s="1036"/>
      <c r="BY954" s="1036"/>
      <c r="BZ954" s="1036"/>
      <c r="CA954" s="1036"/>
      <c r="CB954" s="1036"/>
      <c r="CC954" s="1036"/>
      <c r="CD954" s="1036"/>
      <c r="CE954" s="1036"/>
      <c r="CF954" s="1036"/>
      <c r="CG954" s="1036"/>
      <c r="CH954" s="1036"/>
      <c r="CI954" s="1036"/>
      <c r="CJ954" s="1036"/>
      <c r="CK954" s="1036"/>
      <c r="CL954" s="1036"/>
      <c r="CM954" s="1036"/>
      <c r="CN954" s="1036"/>
      <c r="CO954" s="1036"/>
      <c r="CP954" s="1036"/>
      <c r="CQ954" s="1036"/>
      <c r="CR954" s="1036"/>
      <c r="CS954" s="1036"/>
      <c r="CT954" s="1036"/>
      <c r="CU954" s="1036"/>
      <c r="CV954" s="1036"/>
      <c r="CW954" s="1036"/>
      <c r="CX954" s="1036"/>
      <c r="CY954" s="1036"/>
      <c r="CZ954" s="1036"/>
      <c r="DA954" s="1036"/>
      <c r="DB954" s="1037"/>
      <c r="DC954" s="1037"/>
      <c r="DD954" s="1037"/>
      <c r="DE954" s="1037"/>
      <c r="DF954" s="1037"/>
      <c r="DG954" s="1037"/>
      <c r="DH954" s="1037"/>
      <c r="DI954" s="1038"/>
      <c r="DJ954" s="1037"/>
      <c r="DK954" s="1037"/>
      <c r="DL954" s="1037"/>
      <c r="DM954" s="1037"/>
      <c r="DN954" s="1037"/>
      <c r="DO954" s="1037"/>
      <c r="DP954" s="1037"/>
      <c r="DQ954" s="1038"/>
      <c r="DR954" s="1037"/>
      <c r="DS954" s="1037"/>
      <c r="DT954" s="1037"/>
      <c r="DU954" s="1037"/>
      <c r="DV954" s="1037"/>
      <c r="DW954" s="1037"/>
      <c r="DX954" s="1037"/>
      <c r="DY954" s="1038"/>
      <c r="DZ954" s="1037"/>
      <c r="EA954" s="1037"/>
      <c r="EB954" s="1037"/>
      <c r="EC954" s="1037"/>
      <c r="ED954" s="1037"/>
      <c r="EE954" s="1037"/>
      <c r="EF954" s="1037"/>
      <c r="EG954" s="1038"/>
      <c r="EH954" s="1037"/>
      <c r="EI954" s="1037"/>
      <c r="EJ954" s="1037"/>
      <c r="EK954" s="1037"/>
      <c r="EL954" s="1037"/>
      <c r="EM954" s="1037"/>
      <c r="EN954" s="1037"/>
      <c r="EO954" s="1038"/>
      <c r="EP954" s="1037"/>
      <c r="EQ954" s="1037"/>
      <c r="ER954" s="1037"/>
      <c r="ES954" s="1037"/>
      <c r="ET954" s="1037"/>
      <c r="EU954" s="1037"/>
      <c r="EV954" s="1037"/>
      <c r="EW954" s="1039"/>
      <c r="EX954" s="1635">
        <f>EX942-EX945</f>
        <v>1405</v>
      </c>
      <c r="EY954" s="1635">
        <f t="shared" ref="EY954:FE954" si="4728">EY942-EY945</f>
        <v>1456</v>
      </c>
      <c r="EZ954" s="1635">
        <f t="shared" si="4728"/>
        <v>2860</v>
      </c>
      <c r="FA954" s="1635">
        <f t="shared" si="4728"/>
        <v>1509</v>
      </c>
      <c r="FB954" s="1635">
        <f t="shared" si="4728"/>
        <v>4369</v>
      </c>
      <c r="FC954" s="1635">
        <f t="shared" si="4728"/>
        <v>1583</v>
      </c>
      <c r="FD954" s="1635">
        <f t="shared" si="4728"/>
        <v>3181</v>
      </c>
      <c r="FE954" s="1635">
        <f t="shared" si="4728"/>
        <v>5963</v>
      </c>
      <c r="FF954" s="1635">
        <f>FF951-FF958</f>
        <v>1542.06333895989</v>
      </c>
      <c r="FG954" s="1635">
        <f>FG951-FG958</f>
        <v>1564.74762815904</v>
      </c>
      <c r="FH954" s="1635"/>
      <c r="FI954" s="1635">
        <f>FI951-FI958</f>
        <v>1690.23726766054</v>
      </c>
      <c r="FJ954" s="1635"/>
      <c r="FK954" s="1635">
        <f>FK951-FK958</f>
        <v>1906.70720907796</v>
      </c>
      <c r="FL954" s="1635"/>
      <c r="FM954" s="1638">
        <f>FM951-FM958</f>
        <v>6703.75544385744</v>
      </c>
      <c r="FN954" s="1635">
        <f>FN951-FN958</f>
        <v>1771.9398989899</v>
      </c>
      <c r="FO954" s="1635">
        <f>FO951-FO958</f>
        <v>1715.24394529178</v>
      </c>
      <c r="FP954" s="1635"/>
      <c r="FQ954" s="1635">
        <f>FQ951-FQ958</f>
        <v>1908.51393442623</v>
      </c>
      <c r="FR954" s="1635"/>
      <c r="FS954" s="1635">
        <f>FS951-FS958</f>
        <v>2131.38392857143</v>
      </c>
      <c r="FT954" s="1635"/>
      <c r="FU954" s="1635">
        <f>FU951-FU958</f>
        <v>7527.08170727933</v>
      </c>
      <c r="FV954" s="1636">
        <f>FV951-FV958</f>
        <v>1999.96223010101</v>
      </c>
      <c r="FW954" s="1635">
        <f>FW951-FW958</f>
        <v>2020</v>
      </c>
      <c r="FX954" s="1635"/>
      <c r="FY954" s="1635">
        <f>FY951-FY958</f>
        <v>2069</v>
      </c>
      <c r="FZ954" s="1635"/>
      <c r="GA954" s="1635">
        <f>GA951-GA958</f>
        <v>2479</v>
      </c>
      <c r="GB954" s="1635"/>
      <c r="GC954" s="1638">
        <f>GC951-GC958</f>
        <v>8567.96223010101</v>
      </c>
      <c r="GD954" s="1635"/>
      <c r="GE954" s="1635"/>
      <c r="GF954" s="1635"/>
      <c r="GG954" s="1635"/>
      <c r="GH954" s="1635"/>
      <c r="GI954" s="1635"/>
      <c r="GJ954" s="1635"/>
      <c r="GK954" s="1638"/>
      <c r="GL954" s="1635"/>
      <c r="GM954" s="1635"/>
      <c r="GN954" s="1635"/>
      <c r="GO954" s="1635"/>
      <c r="GP954" s="1635"/>
      <c r="GQ954" s="1635"/>
      <c r="GR954" s="1635"/>
      <c r="GS954" s="1638"/>
      <c r="GT954" s="1635"/>
      <c r="GU954" s="1635"/>
      <c r="GV954" s="1635"/>
      <c r="GW954" s="1635"/>
      <c r="GX954" s="1635"/>
      <c r="GY954" s="1635"/>
      <c r="GZ954" s="1635"/>
      <c r="HA954" s="1638"/>
      <c r="HB954" s="1635"/>
      <c r="HC954" s="1635"/>
      <c r="HD954" s="1635"/>
      <c r="HE954" s="1635"/>
      <c r="HF954" s="1635"/>
      <c r="HG954" s="1635"/>
      <c r="HH954" s="1635"/>
      <c r="HI954" s="1638"/>
      <c r="HJ954" s="1635"/>
      <c r="HK954" s="1635"/>
      <c r="HL954" s="1635"/>
      <c r="HM954" s="1635"/>
      <c r="HN954" s="1635"/>
      <c r="HO954" s="1635"/>
      <c r="HP954" s="1635"/>
      <c r="HQ954" s="1638"/>
      <c r="HR954" s="1635"/>
      <c r="HS954" s="1635"/>
      <c r="HT954" s="1635"/>
      <c r="HU954" s="1635"/>
      <c r="HV954" s="1635"/>
      <c r="HW954" s="1635"/>
      <c r="HX954" s="1635"/>
      <c r="HY954" s="1635"/>
      <c r="HZ954" s="1635"/>
      <c r="IA954" s="1635"/>
      <c r="IB954" s="1635"/>
      <c r="IC954" s="1635"/>
      <c r="ID954" s="1635"/>
      <c r="IE954" s="1635"/>
      <c r="IF954" s="1635"/>
      <c r="IG954" s="1638"/>
      <c r="IH954" s="1635"/>
      <c r="II954" s="1635"/>
      <c r="IJ954" s="1635"/>
      <c r="IK954" s="1635"/>
      <c r="IL954" s="1635"/>
      <c r="IM954" s="1635"/>
      <c r="IN954" s="1635"/>
      <c r="IO954" s="1638"/>
      <c r="IP954" s="1635"/>
      <c r="IQ954" s="891"/>
      <c r="IR954" s="891"/>
      <c r="IS954" s="891"/>
      <c r="IT954" s="891"/>
      <c r="IU954" s="891"/>
      <c r="IV954" s="891"/>
      <c r="IW954" s="891"/>
      <c r="IX954" s="1126"/>
      <c r="IY954" s="1126"/>
      <c r="IZ954" s="1126"/>
      <c r="JA954" s="1126"/>
      <c r="JB954" s="1126"/>
      <c r="JC954" s="1126"/>
      <c r="JD954" s="1125"/>
      <c r="JE954" s="1126"/>
      <c r="JF954" s="1037"/>
      <c r="JG954" s="1037"/>
      <c r="JH954" s="1037"/>
      <c r="JI954" s="1035"/>
      <c r="JJ954" s="1035"/>
      <c r="JK954" s="1035"/>
      <c r="JL954" s="1035"/>
      <c r="JM954" s="1035"/>
      <c r="JN954" s="1035"/>
      <c r="JO954" s="1035"/>
      <c r="JP954" s="1035"/>
      <c r="JQ954" s="1035"/>
      <c r="JR954" s="1035"/>
      <c r="JS954" s="1035"/>
      <c r="JT954" s="1035"/>
      <c r="JU954" s="1035"/>
      <c r="JV954" s="1035"/>
      <c r="JW954" s="1035"/>
      <c r="JX954" s="1035"/>
      <c r="JY954" s="1035"/>
      <c r="JZ954" s="1035"/>
      <c r="KA954" s="1035"/>
      <c r="KB954" s="1035"/>
      <c r="KC954" s="1035"/>
      <c r="KD954" s="1035"/>
      <c r="KE954" s="1035"/>
      <c r="KF954" s="1035"/>
      <c r="KG954" s="1035"/>
      <c r="KH954" s="1035"/>
      <c r="KI954" s="1035"/>
      <c r="KJ954" s="1035"/>
      <c r="KK954" s="1035"/>
      <c r="KL954" s="1035"/>
      <c r="KM954" s="1035"/>
      <c r="KN954" s="1035"/>
      <c r="KO954" s="1035"/>
      <c r="KP954" s="1035"/>
      <c r="KQ954" s="1035"/>
      <c r="KR954" s="1035"/>
      <c r="KS954" s="1035"/>
      <c r="KT954" s="1035"/>
      <c r="KU954" s="1035"/>
      <c r="KV954" s="1035"/>
      <c r="KW954" s="1035"/>
      <c r="LO954" s="1035"/>
      <c r="LP954" s="1035"/>
      <c r="LQ954" s="1035"/>
      <c r="LR954" s="1035"/>
      <c r="LS954" s="1035"/>
      <c r="LT954" s="1035"/>
      <c r="LU954" s="1035"/>
      <c r="LV954" s="1035"/>
      <c r="LW954" s="1035"/>
      <c r="LX954" s="1035"/>
      <c r="LY954" s="1035"/>
      <c r="LZ954" s="1035"/>
      <c r="MA954" s="1035"/>
      <c r="MB954" s="1035"/>
      <c r="MC954" s="1035"/>
      <c r="MD954" s="1035"/>
      <c r="ME954" s="1035"/>
      <c r="MF954" s="1035"/>
      <c r="MG954" s="1035"/>
      <c r="MH954" s="1035"/>
      <c r="MI954" s="1035"/>
      <c r="MJ954" s="1035"/>
      <c r="MK954" s="1035"/>
      <c r="ML954" s="1035"/>
      <c r="MM954" s="1035"/>
      <c r="MN954" s="1035"/>
      <c r="MO954" s="1035"/>
      <c r="MP954" s="1035"/>
      <c r="MQ954" s="1035"/>
      <c r="MR954" s="1035"/>
      <c r="MS954" s="1035"/>
      <c r="MT954" s="1035"/>
      <c r="MU954" s="1035"/>
      <c r="MV954" s="1035"/>
      <c r="MW954" s="1035"/>
      <c r="MX954" s="1035"/>
      <c r="MY954" s="1035"/>
      <c r="MZ954" s="1035"/>
      <c r="NA954" s="1035"/>
      <c r="NB954" s="1035"/>
      <c r="NC954" s="1035"/>
      <c r="ND954" s="1035"/>
      <c r="NE954" s="1035"/>
      <c r="NF954" s="1035"/>
      <c r="NG954" s="1035"/>
      <c r="NH954" s="1035"/>
      <c r="NI954" s="1035"/>
      <c r="NJ954" s="1035"/>
      <c r="NK954" s="1035"/>
      <c r="NL954" s="1035"/>
      <c r="NM954" s="1035"/>
      <c r="NN954" s="1035"/>
      <c r="NO954" s="1035"/>
      <c r="NP954" s="1035"/>
      <c r="NQ954" s="1035"/>
    </row>
    <row r="955" s="1033" customFormat="1" spans="1:381">
      <c r="A955" s="1035" t="s">
        <v>687</v>
      </c>
      <c r="B955" s="1036"/>
      <c r="C955" s="1036"/>
      <c r="D955" s="1036"/>
      <c r="E955" s="1036"/>
      <c r="F955" s="1036"/>
      <c r="G955" s="1036"/>
      <c r="H955" s="1036"/>
      <c r="I955" s="1036"/>
      <c r="J955" s="1036"/>
      <c r="K955" s="1036"/>
      <c r="L955" s="1036"/>
      <c r="M955" s="1036"/>
      <c r="N955" s="1036"/>
      <c r="O955" s="1036"/>
      <c r="P955" s="1036"/>
      <c r="Q955" s="1036"/>
      <c r="R955" s="1036"/>
      <c r="S955" s="1036"/>
      <c r="T955" s="1036"/>
      <c r="U955" s="1036"/>
      <c r="V955" s="1036"/>
      <c r="W955" s="1036"/>
      <c r="X955" s="1036"/>
      <c r="Y955" s="1036"/>
      <c r="Z955" s="1036"/>
      <c r="AA955" s="1036"/>
      <c r="AB955" s="1036"/>
      <c r="AC955" s="1036"/>
      <c r="AD955" s="1036"/>
      <c r="AE955" s="1036"/>
      <c r="AF955" s="1036"/>
      <c r="AG955" s="1036"/>
      <c r="AH955" s="1036"/>
      <c r="AI955" s="1036"/>
      <c r="AJ955" s="1036"/>
      <c r="AK955" s="1036"/>
      <c r="AL955" s="1036"/>
      <c r="AM955" s="1036"/>
      <c r="AN955" s="1036"/>
      <c r="AO955" s="1036"/>
      <c r="AP955" s="1036"/>
      <c r="AQ955" s="1036"/>
      <c r="AR955" s="1036"/>
      <c r="AS955" s="1036"/>
      <c r="AT955" s="1036"/>
      <c r="AU955" s="1036"/>
      <c r="AV955" s="1036"/>
      <c r="AW955" s="1036"/>
      <c r="AX955" s="1036"/>
      <c r="AY955" s="1036"/>
      <c r="AZ955" s="1036"/>
      <c r="BA955" s="1036"/>
      <c r="BB955" s="1036"/>
      <c r="BC955" s="1036"/>
      <c r="BD955" s="1036"/>
      <c r="BE955" s="1036"/>
      <c r="BF955" s="1036"/>
      <c r="BG955" s="1036"/>
      <c r="BH955" s="1036"/>
      <c r="BI955" s="1036"/>
      <c r="BJ955" s="1036"/>
      <c r="BK955" s="1036"/>
      <c r="BL955" s="1036"/>
      <c r="BM955" s="1036"/>
      <c r="BN955" s="1036"/>
      <c r="BO955" s="1036"/>
      <c r="BP955" s="1036"/>
      <c r="BQ955" s="1036"/>
      <c r="BR955" s="1036"/>
      <c r="BS955" s="1036"/>
      <c r="BT955" s="1036"/>
      <c r="BU955" s="1036"/>
      <c r="BV955" s="1036"/>
      <c r="BW955" s="1036"/>
      <c r="BX955" s="1036"/>
      <c r="BY955" s="1036"/>
      <c r="BZ955" s="1036"/>
      <c r="CA955" s="1036"/>
      <c r="CB955" s="1036"/>
      <c r="CC955" s="1036"/>
      <c r="CD955" s="1036"/>
      <c r="CE955" s="1036"/>
      <c r="CF955" s="1036"/>
      <c r="CG955" s="1036"/>
      <c r="CH955" s="1036"/>
      <c r="CI955" s="1036"/>
      <c r="CJ955" s="1036"/>
      <c r="CK955" s="1036"/>
      <c r="CL955" s="1036"/>
      <c r="CM955" s="1036"/>
      <c r="CN955" s="1036"/>
      <c r="CO955" s="1036"/>
      <c r="CP955" s="1036"/>
      <c r="CQ955" s="1036"/>
      <c r="CR955" s="1036"/>
      <c r="CS955" s="1036"/>
      <c r="CT955" s="1036"/>
      <c r="CU955" s="1036"/>
      <c r="CV955" s="1036"/>
      <c r="CW955" s="1036"/>
      <c r="CX955" s="1036"/>
      <c r="CY955" s="1036"/>
      <c r="CZ955" s="1036"/>
      <c r="DA955" s="1036"/>
      <c r="DB955" s="1037"/>
      <c r="DC955" s="1037"/>
      <c r="DD955" s="1037"/>
      <c r="DE955" s="1037"/>
      <c r="DF955" s="1037"/>
      <c r="DG955" s="1037"/>
      <c r="DH955" s="1037"/>
      <c r="DI955" s="1038"/>
      <c r="DJ955" s="1037"/>
      <c r="DK955" s="1037"/>
      <c r="DL955" s="1037"/>
      <c r="DM955" s="1037"/>
      <c r="DN955" s="1037"/>
      <c r="DO955" s="1037"/>
      <c r="DP955" s="1037"/>
      <c r="DQ955" s="1038"/>
      <c r="DR955" s="1037"/>
      <c r="DS955" s="1037"/>
      <c r="DT955" s="1037"/>
      <c r="DU955" s="1037"/>
      <c r="DV955" s="1037"/>
      <c r="DW955" s="1037"/>
      <c r="DX955" s="1037"/>
      <c r="DY955" s="1038"/>
      <c r="DZ955" s="1037"/>
      <c r="EA955" s="1037"/>
      <c r="EB955" s="1037"/>
      <c r="EC955" s="1037"/>
      <c r="ED955" s="1037"/>
      <c r="EE955" s="1037"/>
      <c r="EF955" s="1037"/>
      <c r="EG955" s="1038"/>
      <c r="EH955" s="1037"/>
      <c r="EI955" s="1037"/>
      <c r="EJ955" s="1037"/>
      <c r="EK955" s="1037"/>
      <c r="EL955" s="1037"/>
      <c r="EM955" s="1037"/>
      <c r="EN955" s="1037"/>
      <c r="EO955" s="1038"/>
      <c r="EP955" s="1037"/>
      <c r="EQ955" s="1037"/>
      <c r="ER955" s="1037"/>
      <c r="ES955" s="1037"/>
      <c r="ET955" s="1037"/>
      <c r="EU955" s="1037"/>
      <c r="EV955" s="1037"/>
      <c r="EW955" s="1039"/>
      <c r="EX955" s="891"/>
      <c r="EY955" s="891"/>
      <c r="EZ955" s="891"/>
      <c r="FA955" s="891"/>
      <c r="FB955" s="891"/>
      <c r="FC955" s="891"/>
      <c r="FD955" s="891"/>
      <c r="FE955" s="1039"/>
      <c r="FF955" s="1228">
        <f>FF954/EX954-1</f>
        <v>0.0975539779073955</v>
      </c>
      <c r="FG955" s="1228">
        <f>FG954/EY954-1</f>
        <v>0.0746893050542872</v>
      </c>
      <c r="FH955" s="1320"/>
      <c r="FI955" s="1228">
        <f>FI954/FA954-1</f>
        <v>0.1201042197883</v>
      </c>
      <c r="FJ955" s="1320"/>
      <c r="FK955" s="1228">
        <f>FK954/FC954-1</f>
        <v>0.204489708830046</v>
      </c>
      <c r="FL955" s="1320"/>
      <c r="FM955" s="1085">
        <f>FM954/FE954-1</f>
        <v>0.124225296638846</v>
      </c>
      <c r="FN955" s="1228">
        <f>FN954/FF954-1</f>
        <v>0.149070763970732</v>
      </c>
      <c r="FO955" s="1228">
        <f>FO954/FG954-1</f>
        <v>0.0961792907842889</v>
      </c>
      <c r="FP955" s="1320"/>
      <c r="FQ955" s="1228">
        <f>FQ954/FI954-1</f>
        <v>0.129139660414542</v>
      </c>
      <c r="FR955" s="1320"/>
      <c r="FS955" s="1228">
        <f>FS954/FK954-1</f>
        <v>0.117834934710355</v>
      </c>
      <c r="FT955" s="1320"/>
      <c r="FU955" s="1082">
        <f>FU954/FM954-1</f>
        <v>0.122815677021198</v>
      </c>
      <c r="FV955" s="1109">
        <f>FV954/FN954-1</f>
        <v>0.128685138384827</v>
      </c>
      <c r="FW955" s="1228">
        <f>FW954/FO954-1</f>
        <v>0.177675050563366</v>
      </c>
      <c r="FX955" s="1320"/>
      <c r="FY955" s="1228">
        <f>FY954/FQ954-1</f>
        <v>0.0840895435337852</v>
      </c>
      <c r="FZ955" s="1320"/>
      <c r="GA955" s="1228">
        <f>GA954/FS954-1</f>
        <v>0.163094066145823</v>
      </c>
      <c r="GB955" s="1320"/>
      <c r="GC955" s="1085">
        <f>GC954/FU954-1</f>
        <v>0.138284738136303</v>
      </c>
      <c r="GD955" s="1228"/>
      <c r="GE955" s="1228"/>
      <c r="GF955" s="1228"/>
      <c r="GG955" s="1228"/>
      <c r="GH955" s="1228"/>
      <c r="GI955" s="1228"/>
      <c r="GJ955" s="1228"/>
      <c r="GK955" s="1085"/>
      <c r="GL955" s="1082"/>
      <c r="GM955" s="1082"/>
      <c r="GN955" s="1082"/>
      <c r="GO955" s="1082"/>
      <c r="GP955" s="1082"/>
      <c r="GQ955" s="1082"/>
      <c r="GR955" s="1082"/>
      <c r="GS955" s="1085"/>
      <c r="GT955" s="1082"/>
      <c r="GU955" s="1082"/>
      <c r="GV955" s="1082"/>
      <c r="GW955" s="1082"/>
      <c r="GX955" s="1082"/>
      <c r="GY955" s="1082"/>
      <c r="GZ955" s="1082"/>
      <c r="HA955" s="1085"/>
      <c r="HB955" s="1228"/>
      <c r="HC955" s="1228"/>
      <c r="HD955" s="1228"/>
      <c r="HE955" s="1228"/>
      <c r="HF955" s="1228"/>
      <c r="HG955" s="1228"/>
      <c r="HH955" s="1228"/>
      <c r="HI955" s="1085"/>
      <c r="HJ955" s="1082"/>
      <c r="HK955" s="1082"/>
      <c r="HL955" s="1082"/>
      <c r="HM955" s="1082"/>
      <c r="HN955" s="1082"/>
      <c r="HO955" s="1082"/>
      <c r="HP955" s="1082"/>
      <c r="HQ955" s="1085"/>
      <c r="HR955" s="1082"/>
      <c r="HS955" s="1082"/>
      <c r="HT955" s="1082"/>
      <c r="HU955" s="1082"/>
      <c r="HV955" s="1082"/>
      <c r="HW955" s="1082"/>
      <c r="HX955" s="1082"/>
      <c r="HY955" s="1082"/>
      <c r="HZ955" s="1082"/>
      <c r="IA955" s="1082"/>
      <c r="IB955" s="1082"/>
      <c r="IC955" s="1082"/>
      <c r="ID955" s="1082"/>
      <c r="IE955" s="1082"/>
      <c r="IF955" s="1082"/>
      <c r="IG955" s="1085"/>
      <c r="IH955" s="1082"/>
      <c r="II955" s="1082"/>
      <c r="IJ955" s="1082"/>
      <c r="IK955" s="1082"/>
      <c r="IL955" s="1082"/>
      <c r="IM955" s="1082"/>
      <c r="IN955" s="1082"/>
      <c r="IO955" s="1085"/>
      <c r="IP955" s="1082"/>
      <c r="IQ955" s="891"/>
      <c r="IR955" s="891"/>
      <c r="IS955" s="891"/>
      <c r="IT955" s="891"/>
      <c r="IU955" s="891"/>
      <c r="IV955" s="891"/>
      <c r="IW955" s="891"/>
      <c r="IX955" s="1126"/>
      <c r="IY955" s="1126"/>
      <c r="IZ955" s="1126"/>
      <c r="JA955" s="1126"/>
      <c r="JB955" s="1126"/>
      <c r="JC955" s="1126"/>
      <c r="JD955" s="1125"/>
      <c r="JE955" s="1126"/>
      <c r="JF955" s="1037"/>
      <c r="JG955" s="1037"/>
      <c r="JH955" s="1037"/>
      <c r="JI955" s="1035"/>
      <c r="JJ955" s="1035"/>
      <c r="JK955" s="1035"/>
      <c r="JL955" s="1035"/>
      <c r="JM955" s="1035"/>
      <c r="JN955" s="1035"/>
      <c r="JO955" s="1035"/>
      <c r="JP955" s="1035"/>
      <c r="JQ955" s="1035"/>
      <c r="JR955" s="1035"/>
      <c r="JS955" s="1035"/>
      <c r="JT955" s="1035"/>
      <c r="JU955" s="1035"/>
      <c r="JV955" s="1035"/>
      <c r="JW955" s="1035"/>
      <c r="JX955" s="1035"/>
      <c r="JY955" s="1035"/>
      <c r="JZ955" s="1035"/>
      <c r="KA955" s="1035"/>
      <c r="KB955" s="1035"/>
      <c r="KC955" s="1035"/>
      <c r="KD955" s="1035"/>
      <c r="KE955" s="1035"/>
      <c r="KF955" s="1035"/>
      <c r="KG955" s="1035"/>
      <c r="KH955" s="1035"/>
      <c r="KI955" s="1035"/>
      <c r="KJ955" s="1035"/>
      <c r="KK955" s="1035"/>
      <c r="KL955" s="1035"/>
      <c r="KM955" s="1035"/>
      <c r="KN955" s="1035"/>
      <c r="KO955" s="1035"/>
      <c r="KP955" s="1035"/>
      <c r="KQ955" s="1035"/>
      <c r="KR955" s="1035"/>
      <c r="KS955" s="1035"/>
      <c r="KT955" s="1035"/>
      <c r="KU955" s="1035"/>
      <c r="KV955" s="1035"/>
      <c r="KW955" s="1035"/>
      <c r="LO955" s="1035"/>
      <c r="LP955" s="1035"/>
      <c r="LQ955" s="1035"/>
      <c r="LR955" s="1035"/>
      <c r="LS955" s="1035"/>
      <c r="LT955" s="1035"/>
      <c r="LU955" s="1035"/>
      <c r="LV955" s="1035"/>
      <c r="LW955" s="1035"/>
      <c r="LX955" s="1035"/>
      <c r="LY955" s="1035"/>
      <c r="LZ955" s="1035"/>
      <c r="MA955" s="1035"/>
      <c r="MB955" s="1035"/>
      <c r="MC955" s="1035"/>
      <c r="MD955" s="1035"/>
      <c r="ME955" s="1035"/>
      <c r="MF955" s="1035"/>
      <c r="MG955" s="1035"/>
      <c r="MH955" s="1035"/>
      <c r="MI955" s="1035"/>
      <c r="MJ955" s="1035"/>
      <c r="MK955" s="1035"/>
      <c r="ML955" s="1035"/>
      <c r="MM955" s="1035"/>
      <c r="MN955" s="1035"/>
      <c r="MO955" s="1035"/>
      <c r="MP955" s="1035"/>
      <c r="MQ955" s="1035"/>
      <c r="MR955" s="1035"/>
      <c r="MS955" s="1035"/>
      <c r="MT955" s="1035"/>
      <c r="MU955" s="1035"/>
      <c r="MV955" s="1035"/>
      <c r="MW955" s="1035"/>
      <c r="MX955" s="1035"/>
      <c r="MY955" s="1035"/>
      <c r="MZ955" s="1035"/>
      <c r="NA955" s="1035"/>
      <c r="NB955" s="1035"/>
      <c r="NC955" s="1035"/>
      <c r="ND955" s="1035"/>
      <c r="NE955" s="1035"/>
      <c r="NF955" s="1035"/>
      <c r="NG955" s="1035"/>
      <c r="NH955" s="1035"/>
      <c r="NI955" s="1035"/>
      <c r="NJ955" s="1035"/>
      <c r="NK955" s="1035"/>
      <c r="NL955" s="1035"/>
      <c r="NM955" s="1035"/>
      <c r="NN955" s="1035"/>
      <c r="NO955" s="1035"/>
      <c r="NP955" s="1035"/>
      <c r="NQ955" s="1035"/>
    </row>
    <row r="956" s="1033" customFormat="1" spans="1:381">
      <c r="A956" s="1035" t="s">
        <v>123</v>
      </c>
      <c r="B956" s="1036"/>
      <c r="C956" s="1036"/>
      <c r="D956" s="1036"/>
      <c r="E956" s="1036"/>
      <c r="F956" s="1036"/>
      <c r="G956" s="1036"/>
      <c r="H956" s="1036"/>
      <c r="I956" s="1036"/>
      <c r="J956" s="1036"/>
      <c r="K956" s="1036"/>
      <c r="L956" s="1036"/>
      <c r="M956" s="1036"/>
      <c r="N956" s="1036"/>
      <c r="O956" s="1036"/>
      <c r="P956" s="1036"/>
      <c r="Q956" s="1036"/>
      <c r="R956" s="1036"/>
      <c r="S956" s="1036"/>
      <c r="T956" s="1036"/>
      <c r="U956" s="1036"/>
      <c r="V956" s="1036"/>
      <c r="W956" s="1036"/>
      <c r="X956" s="1036"/>
      <c r="Y956" s="1036"/>
      <c r="Z956" s="1036"/>
      <c r="AA956" s="1036"/>
      <c r="AB956" s="1036"/>
      <c r="AC956" s="1036"/>
      <c r="AD956" s="1036"/>
      <c r="AE956" s="1036"/>
      <c r="AF956" s="1036"/>
      <c r="AG956" s="1036"/>
      <c r="AH956" s="1036"/>
      <c r="AI956" s="1036"/>
      <c r="AJ956" s="1036"/>
      <c r="AK956" s="1036"/>
      <c r="AL956" s="1036"/>
      <c r="AM956" s="1036"/>
      <c r="AN956" s="1036"/>
      <c r="AO956" s="1036"/>
      <c r="AP956" s="1036"/>
      <c r="AQ956" s="1036"/>
      <c r="AR956" s="1036"/>
      <c r="AS956" s="1036"/>
      <c r="AT956" s="1036"/>
      <c r="AU956" s="1036"/>
      <c r="AV956" s="1036"/>
      <c r="AW956" s="1036"/>
      <c r="AX956" s="1036"/>
      <c r="AY956" s="1036"/>
      <c r="AZ956" s="1036"/>
      <c r="BA956" s="1036"/>
      <c r="BB956" s="1036"/>
      <c r="BC956" s="1036"/>
      <c r="BD956" s="1036"/>
      <c r="BE956" s="1036"/>
      <c r="BF956" s="1036"/>
      <c r="BG956" s="1036"/>
      <c r="BH956" s="1036"/>
      <c r="BI956" s="1036"/>
      <c r="BJ956" s="1036"/>
      <c r="BK956" s="1036"/>
      <c r="BL956" s="1036"/>
      <c r="BM956" s="1036"/>
      <c r="BN956" s="1036"/>
      <c r="BO956" s="1036"/>
      <c r="BP956" s="1036"/>
      <c r="BQ956" s="1036"/>
      <c r="BR956" s="1036"/>
      <c r="BS956" s="1036"/>
      <c r="BT956" s="1036"/>
      <c r="BU956" s="1036"/>
      <c r="BV956" s="1036"/>
      <c r="BW956" s="1036"/>
      <c r="BX956" s="1036"/>
      <c r="BY956" s="1036"/>
      <c r="BZ956" s="1036"/>
      <c r="CA956" s="1036"/>
      <c r="CB956" s="1036"/>
      <c r="CC956" s="1036"/>
      <c r="CD956" s="1036"/>
      <c r="CE956" s="1036"/>
      <c r="CF956" s="1036"/>
      <c r="CG956" s="1036"/>
      <c r="CH956" s="1036"/>
      <c r="CI956" s="1036"/>
      <c r="CJ956" s="1036"/>
      <c r="CK956" s="1036"/>
      <c r="CL956" s="1036"/>
      <c r="CM956" s="1036"/>
      <c r="CN956" s="1036"/>
      <c r="CO956" s="1036"/>
      <c r="CP956" s="1036"/>
      <c r="CQ956" s="1036"/>
      <c r="CR956" s="1036"/>
      <c r="CS956" s="1036"/>
      <c r="CT956" s="1036"/>
      <c r="CU956" s="1036"/>
      <c r="CV956" s="1036"/>
      <c r="CW956" s="1036"/>
      <c r="CX956" s="1036"/>
      <c r="CY956" s="1036"/>
      <c r="CZ956" s="1036"/>
      <c r="DA956" s="1036"/>
      <c r="DB956" s="1037"/>
      <c r="DC956" s="1037"/>
      <c r="DD956" s="1037"/>
      <c r="DE956" s="1037"/>
      <c r="DF956" s="1037"/>
      <c r="DG956" s="1037"/>
      <c r="DH956" s="1037"/>
      <c r="DI956" s="1038"/>
      <c r="DJ956" s="1037"/>
      <c r="DK956" s="1037"/>
      <c r="DL956" s="1037"/>
      <c r="DM956" s="1037"/>
      <c r="DN956" s="1037"/>
      <c r="DO956" s="1037"/>
      <c r="DP956" s="1037"/>
      <c r="DQ956" s="1038"/>
      <c r="DR956" s="1037"/>
      <c r="DS956" s="1037"/>
      <c r="DT956" s="1037"/>
      <c r="DU956" s="1037"/>
      <c r="DV956" s="1037"/>
      <c r="DW956" s="1037"/>
      <c r="DX956" s="1037"/>
      <c r="DY956" s="1038"/>
      <c r="DZ956" s="1037"/>
      <c r="EA956" s="1037"/>
      <c r="EB956" s="1037"/>
      <c r="EC956" s="1037"/>
      <c r="ED956" s="1037"/>
      <c r="EE956" s="1037"/>
      <c r="EF956" s="1037"/>
      <c r="EG956" s="1038"/>
      <c r="EH956" s="1037"/>
      <c r="EI956" s="1037"/>
      <c r="EJ956" s="1037"/>
      <c r="EK956" s="1037"/>
      <c r="EL956" s="1037"/>
      <c r="EM956" s="1037"/>
      <c r="EN956" s="1037"/>
      <c r="EO956" s="1038"/>
      <c r="EP956" s="1037"/>
      <c r="EQ956" s="1037"/>
      <c r="ER956" s="1037"/>
      <c r="ES956" s="1037"/>
      <c r="ET956" s="1037"/>
      <c r="EU956" s="1037"/>
      <c r="EV956" s="1037"/>
      <c r="EW956" s="1039"/>
      <c r="EX956" s="891"/>
      <c r="EY956" s="891"/>
      <c r="EZ956" s="891"/>
      <c r="FA956" s="891"/>
      <c r="FB956" s="891"/>
      <c r="FC956" s="891"/>
      <c r="FD956" s="891"/>
      <c r="FE956" s="1039"/>
      <c r="FF956" s="1228">
        <f>FF954/FF$949</f>
        <v>0.397991252459101</v>
      </c>
      <c r="FG956" s="1228">
        <f>FG954/FG$949</f>
        <v>0.423336216693555</v>
      </c>
      <c r="FH956" s="1320"/>
      <c r="FI956" s="1228">
        <f>FI954/FI$949</f>
        <v>0.374424265064461</v>
      </c>
      <c r="FJ956" s="1320"/>
      <c r="FK956" s="1228">
        <f>FK954/FK$949</f>
        <v>0.472860007669973</v>
      </c>
      <c r="FL956" s="1320"/>
      <c r="FM956" s="1085">
        <f>FM954/FM$949</f>
        <v>0.415933784737724</v>
      </c>
      <c r="FN956" s="1228">
        <f>FN954/FN$949</f>
        <v>0.388353365110548</v>
      </c>
      <c r="FO956" s="1228">
        <f>FO954/FO$949</f>
        <v>0.408510564460295</v>
      </c>
      <c r="FP956" s="1320"/>
      <c r="FQ956" s="1228">
        <f>FQ954/FQ$949</f>
        <v>0.3703371400569</v>
      </c>
      <c r="FR956" s="1320"/>
      <c r="FS956" s="1228">
        <f>FS954/FS$949</f>
        <v>0.466582516392885</v>
      </c>
      <c r="FT956" s="1320"/>
      <c r="FU956" s="1082">
        <f>FU954/FU$949</f>
        <v>0.407243505236127</v>
      </c>
      <c r="FV956" s="1109">
        <f>FV954/FV$949</f>
        <v>0.380048056103185</v>
      </c>
      <c r="FW956" s="1228">
        <f>FW954/FW$949</f>
        <v>0.400952759031362</v>
      </c>
      <c r="FX956" s="1320"/>
      <c r="FY956" s="1228">
        <f>FY954/FY$949</f>
        <v>0.364388869320183</v>
      </c>
      <c r="FZ956" s="1320"/>
      <c r="GA956" s="1228">
        <f>GA954/GA$949</f>
        <v>0.490308544303798</v>
      </c>
      <c r="GB956" s="1320"/>
      <c r="GC956" s="1085">
        <f>GC954/GC$949</f>
        <v>0.407331090091405</v>
      </c>
      <c r="GD956" s="1082"/>
      <c r="GE956" s="1082"/>
      <c r="GF956" s="1082"/>
      <c r="GG956" s="1082"/>
      <c r="GH956" s="1082"/>
      <c r="GI956" s="1082"/>
      <c r="GJ956" s="1082"/>
      <c r="GK956" s="1085"/>
      <c r="GL956" s="1082"/>
      <c r="GM956" s="1082"/>
      <c r="GN956" s="1082"/>
      <c r="GO956" s="1082"/>
      <c r="GP956" s="1082"/>
      <c r="GQ956" s="1082"/>
      <c r="GR956" s="1082"/>
      <c r="GS956" s="1085"/>
      <c r="GT956" s="1082"/>
      <c r="GU956" s="1082"/>
      <c r="GV956" s="1082"/>
      <c r="GW956" s="1082"/>
      <c r="GX956" s="1082"/>
      <c r="GY956" s="1082"/>
      <c r="GZ956" s="1082"/>
      <c r="HA956" s="1085"/>
      <c r="HB956" s="1082"/>
      <c r="HC956" s="1082"/>
      <c r="HD956" s="1082"/>
      <c r="HE956" s="1082"/>
      <c r="HF956" s="1082"/>
      <c r="HG956" s="1082"/>
      <c r="HH956" s="1082"/>
      <c r="HI956" s="1085"/>
      <c r="HJ956" s="1082"/>
      <c r="HK956" s="1082"/>
      <c r="HL956" s="1082"/>
      <c r="HM956" s="1082"/>
      <c r="HN956" s="1082"/>
      <c r="HO956" s="1082"/>
      <c r="HP956" s="1082"/>
      <c r="HQ956" s="1085"/>
      <c r="HR956" s="1082"/>
      <c r="HS956" s="1082"/>
      <c r="HT956" s="1082"/>
      <c r="HU956" s="1082"/>
      <c r="HV956" s="1082"/>
      <c r="HW956" s="1082"/>
      <c r="HX956" s="1082"/>
      <c r="HY956" s="1082"/>
      <c r="HZ956" s="1082"/>
      <c r="IA956" s="1082"/>
      <c r="IB956" s="1082"/>
      <c r="IC956" s="1082"/>
      <c r="ID956" s="1082"/>
      <c r="IE956" s="1082"/>
      <c r="IF956" s="1082"/>
      <c r="IG956" s="1085"/>
      <c r="IH956" s="1082"/>
      <c r="II956" s="1082"/>
      <c r="IJ956" s="1082"/>
      <c r="IK956" s="1082"/>
      <c r="IL956" s="1082"/>
      <c r="IM956" s="1082"/>
      <c r="IN956" s="1082"/>
      <c r="IO956" s="1085"/>
      <c r="IP956" s="1082"/>
      <c r="IQ956" s="891"/>
      <c r="IR956" s="891"/>
      <c r="IS956" s="891"/>
      <c r="IT956" s="891"/>
      <c r="IU956" s="891"/>
      <c r="IV956" s="891"/>
      <c r="IW956" s="891"/>
      <c r="IX956" s="1126"/>
      <c r="IY956" s="1126"/>
      <c r="IZ956" s="1126"/>
      <c r="JA956" s="1126"/>
      <c r="JB956" s="1126"/>
      <c r="JC956" s="1126"/>
      <c r="JD956" s="1125"/>
      <c r="JE956" s="1126"/>
      <c r="JF956" s="1037"/>
      <c r="JG956" s="1037"/>
      <c r="JH956" s="1037"/>
      <c r="JI956" s="1035"/>
      <c r="JJ956" s="1035"/>
      <c r="JK956" s="1035"/>
      <c r="JL956" s="1035"/>
      <c r="JM956" s="1035"/>
      <c r="JN956" s="1035"/>
      <c r="JO956" s="1035"/>
      <c r="JP956" s="1035"/>
      <c r="JQ956" s="1035"/>
      <c r="JR956" s="1035"/>
      <c r="JS956" s="1035"/>
      <c r="JT956" s="1035"/>
      <c r="JU956" s="1035"/>
      <c r="JV956" s="1035"/>
      <c r="JW956" s="1035"/>
      <c r="JX956" s="1035"/>
      <c r="JY956" s="1035"/>
      <c r="JZ956" s="1035"/>
      <c r="KA956" s="1035"/>
      <c r="KB956" s="1035"/>
      <c r="KC956" s="1035"/>
      <c r="KD956" s="1035"/>
      <c r="KE956" s="1035"/>
      <c r="KF956" s="1035"/>
      <c r="KG956" s="1035"/>
      <c r="KH956" s="1035"/>
      <c r="KI956" s="1035"/>
      <c r="KJ956" s="1035"/>
      <c r="KK956" s="1035"/>
      <c r="KL956" s="1035"/>
      <c r="KM956" s="1035"/>
      <c r="KN956" s="1035"/>
      <c r="KO956" s="1035"/>
      <c r="KP956" s="1035"/>
      <c r="KQ956" s="1035"/>
      <c r="KR956" s="1035"/>
      <c r="KS956" s="1035"/>
      <c r="KT956" s="1035"/>
      <c r="KU956" s="1035"/>
      <c r="KV956" s="1035"/>
      <c r="KW956" s="1035"/>
      <c r="LO956" s="1035"/>
      <c r="LP956" s="1035"/>
      <c r="LQ956" s="1035"/>
      <c r="LR956" s="1035"/>
      <c r="LS956" s="1035"/>
      <c r="LT956" s="1035"/>
      <c r="LU956" s="1035"/>
      <c r="LV956" s="1035"/>
      <c r="LW956" s="1035"/>
      <c r="LX956" s="1035"/>
      <c r="LY956" s="1035"/>
      <c r="LZ956" s="1035"/>
      <c r="MA956" s="1035"/>
      <c r="MB956" s="1035"/>
      <c r="MC956" s="1035"/>
      <c r="MD956" s="1035"/>
      <c r="ME956" s="1035"/>
      <c r="MF956" s="1035"/>
      <c r="MG956" s="1035"/>
      <c r="MH956" s="1035"/>
      <c r="MI956" s="1035"/>
      <c r="MJ956" s="1035"/>
      <c r="MK956" s="1035"/>
      <c r="ML956" s="1035"/>
      <c r="MM956" s="1035"/>
      <c r="MN956" s="1035"/>
      <c r="MO956" s="1035"/>
      <c r="MP956" s="1035"/>
      <c r="MQ956" s="1035"/>
      <c r="MR956" s="1035"/>
      <c r="MS956" s="1035"/>
      <c r="MT956" s="1035"/>
      <c r="MU956" s="1035"/>
      <c r="MV956" s="1035"/>
      <c r="MW956" s="1035"/>
      <c r="MX956" s="1035"/>
      <c r="MY956" s="1035"/>
      <c r="MZ956" s="1035"/>
      <c r="NA956" s="1035"/>
      <c r="NB956" s="1035"/>
      <c r="NC956" s="1035"/>
      <c r="ND956" s="1035"/>
      <c r="NE956" s="1035"/>
      <c r="NF956" s="1035"/>
      <c r="NG956" s="1035"/>
      <c r="NH956" s="1035"/>
      <c r="NI956" s="1035"/>
      <c r="NJ956" s="1035"/>
      <c r="NK956" s="1035"/>
      <c r="NL956" s="1035"/>
      <c r="NM956" s="1035"/>
      <c r="NN956" s="1035"/>
      <c r="NO956" s="1035"/>
      <c r="NP956" s="1035"/>
      <c r="NQ956" s="1035"/>
    </row>
    <row r="957" spans="1:381">
      <c r="FF957" s="1320"/>
      <c r="FG957" s="1320"/>
      <c r="FH957" s="1320"/>
      <c r="FI957" s="1320"/>
      <c r="FJ957" s="1320"/>
      <c r="FK957" s="1320"/>
      <c r="FL957" s="1320"/>
      <c r="FM957" s="1644"/>
      <c r="FN957" s="1320"/>
      <c r="FO957" s="1635">
        <f>429-70</f>
        <v>359</v>
      </c>
      <c r="FP957" s="1320"/>
      <c r="FQ957" s="1320"/>
      <c r="FR957" s="1320"/>
      <c r="FS957" s="1320"/>
      <c r="FT957" s="1320"/>
      <c r="FU957" s="1320"/>
      <c r="FV957" s="1645"/>
      <c r="FW957" s="1320"/>
      <c r="FX957" s="1320"/>
      <c r="FY957" s="1320"/>
      <c r="FZ957" s="1320"/>
      <c r="GA957" s="1320"/>
      <c r="GB957" s="1320"/>
      <c r="GC957" s="1644"/>
      <c r="GD957" s="1320"/>
      <c r="GE957" s="1320"/>
      <c r="GF957" s="1320"/>
      <c r="GG957" s="1320"/>
      <c r="GH957" s="1320"/>
      <c r="GI957" s="1320"/>
      <c r="GJ957" s="1320"/>
      <c r="GK957" s="1644"/>
      <c r="GL957" s="1320"/>
      <c r="GM957" s="1320"/>
      <c r="GN957" s="1320"/>
      <c r="GO957" s="1320"/>
      <c r="GP957" s="1320"/>
      <c r="GQ957" s="1320"/>
      <c r="GR957" s="1320"/>
      <c r="GS957" s="1644"/>
      <c r="GT957" s="1320"/>
      <c r="GU957" s="1320"/>
      <c r="GV957" s="1320"/>
      <c r="GW957" s="1320"/>
      <c r="GX957" s="1320"/>
      <c r="GY957" s="1320"/>
      <c r="GZ957" s="1320"/>
      <c r="HA957" s="1644"/>
      <c r="HB957" s="1320"/>
      <c r="HC957" s="1320"/>
      <c r="HD957" s="1320"/>
      <c r="HE957" s="1320"/>
      <c r="HF957" s="1320"/>
      <c r="HG957" s="1320"/>
      <c r="HH957" s="1320"/>
      <c r="HI957" s="1644"/>
      <c r="HJ957" s="1320"/>
      <c r="HK957" s="1320"/>
      <c r="HL957" s="1320"/>
      <c r="HM957" s="1320"/>
      <c r="HN957" s="1320"/>
      <c r="HO957" s="1320"/>
      <c r="HP957" s="1320"/>
      <c r="HQ957" s="1644"/>
      <c r="HR957" s="1320"/>
      <c r="HS957" s="1320"/>
      <c r="HT957" s="1320"/>
      <c r="HU957" s="1320"/>
      <c r="HV957" s="1320"/>
      <c r="HW957" s="1320"/>
      <c r="HX957" s="1320"/>
      <c r="HY957" s="1320"/>
      <c r="HZ957" s="1320"/>
      <c r="IA957" s="1320"/>
      <c r="IB957" s="1320"/>
      <c r="IC957" s="1320"/>
      <c r="ID957" s="1320"/>
      <c r="IE957" s="1320"/>
      <c r="IF957" s="1320"/>
      <c r="IG957" s="1644"/>
      <c r="IH957" s="1320"/>
      <c r="II957" s="1320"/>
      <c r="IJ957" s="1320"/>
      <c r="IK957" s="1320"/>
      <c r="IL957" s="1320"/>
      <c r="IM957" s="1320"/>
      <c r="IN957" s="1320"/>
      <c r="IO957" s="1644"/>
      <c r="IP957" s="1320"/>
      <c r="IX957" s="1126"/>
      <c r="IY957" s="1126"/>
      <c r="IZ957" s="1126"/>
      <c r="JA957" s="1126"/>
      <c r="JB957" s="1126"/>
      <c r="JC957" s="1126"/>
      <c r="JD957" s="1125"/>
      <c r="JE957" s="1126"/>
      <c r="JF957" s="1037"/>
      <c r="JG957" s="1037"/>
      <c r="JH957" s="1037"/>
      <c r="JI957" s="1035"/>
      <c r="JJ957" s="1035"/>
      <c r="JK957" s="1035"/>
      <c r="JL957" s="1035"/>
      <c r="JM957" s="1035"/>
      <c r="JN957" s="1035"/>
      <c r="JO957" s="1035"/>
      <c r="JP957" s="1035"/>
      <c r="JQ957" s="1035"/>
      <c r="JR957" s="1035"/>
      <c r="JS957" s="1035"/>
      <c r="JT957" s="1035"/>
      <c r="JU957" s="1035"/>
      <c r="JV957" s="1035"/>
      <c r="JW957" s="1035"/>
      <c r="JX957" s="1035"/>
      <c r="JY957" s="1035"/>
    </row>
    <row r="958" spans="1:381">
      <c r="A958" s="1035" t="s">
        <v>131</v>
      </c>
      <c r="FF958" s="1635">
        <f>FF945-FF967</f>
        <v>388</v>
      </c>
      <c r="FG958" s="1635">
        <f>FG945-FG967</f>
        <v>259</v>
      </c>
      <c r="FH958" s="1320"/>
      <c r="FI958" s="1635">
        <f>FI945-FI967</f>
        <v>530</v>
      </c>
      <c r="FJ958" s="1320"/>
      <c r="FK958" s="1635">
        <f>FK945-FK967</f>
        <v>16</v>
      </c>
      <c r="FL958" s="1320"/>
      <c r="FM958" s="1638">
        <f>FF958+FG958+FI958+FK958</f>
        <v>1193</v>
      </c>
      <c r="FN958" s="1635">
        <f>FN945-FN967</f>
        <v>510</v>
      </c>
      <c r="FO958" s="1635">
        <f>FO945-FO967</f>
        <v>358.5</v>
      </c>
      <c r="FP958" s="1320"/>
      <c r="FQ958" s="1635">
        <f>FQ945-FQ967</f>
        <v>568</v>
      </c>
      <c r="FR958" s="1320"/>
      <c r="FS958" s="1635">
        <f>FS945-FS967</f>
        <v>114.5</v>
      </c>
      <c r="FT958" s="1320"/>
      <c r="FU958" s="1635">
        <f>FN958+FO958+FQ958+FS958</f>
        <v>1551</v>
      </c>
      <c r="FV958" s="1636">
        <f>FV945-FV967</f>
        <v>627</v>
      </c>
      <c r="FW958" s="1635">
        <f>FW959*FW949</f>
        <v>505</v>
      </c>
      <c r="FX958" s="1320"/>
      <c r="FY958" s="1635">
        <f>FY959*FY949</f>
        <v>795</v>
      </c>
      <c r="FZ958" s="1320"/>
      <c r="GA958" s="1635">
        <f>GA959*GA949</f>
        <v>133</v>
      </c>
      <c r="GB958" s="1320"/>
      <c r="GC958" s="1638">
        <f>FV958+FW958+FY958+GA958</f>
        <v>2060</v>
      </c>
      <c r="GD958" s="1635"/>
      <c r="GE958" s="1635"/>
      <c r="GF958" s="1635"/>
      <c r="GG958" s="1635"/>
      <c r="GH958" s="1635"/>
      <c r="GI958" s="1635"/>
      <c r="GJ958" s="1635"/>
      <c r="GK958" s="1638"/>
      <c r="GL958" s="1635"/>
      <c r="GM958" s="1635"/>
      <c r="GN958" s="1635"/>
      <c r="GO958" s="1635"/>
      <c r="GP958" s="1635"/>
      <c r="GQ958" s="1635"/>
      <c r="GR958" s="1635"/>
      <c r="GS958" s="1638"/>
      <c r="GT958" s="1635"/>
      <c r="GU958" s="1635"/>
      <c r="GV958" s="1635"/>
      <c r="GW958" s="1635"/>
      <c r="GX958" s="1635"/>
      <c r="GY958" s="1635"/>
      <c r="GZ958" s="1635"/>
      <c r="HA958" s="1638"/>
      <c r="HB958" s="1635"/>
      <c r="HC958" s="1635"/>
      <c r="HD958" s="1635"/>
      <c r="HE958" s="1635"/>
      <c r="HF958" s="1635"/>
      <c r="HG958" s="1635"/>
      <c r="HH958" s="1635"/>
      <c r="HI958" s="1638"/>
      <c r="HJ958" s="1635"/>
      <c r="HK958" s="1635"/>
      <c r="HL958" s="1635"/>
      <c r="HM958" s="1635"/>
      <c r="HN958" s="1635"/>
      <c r="HO958" s="1635"/>
      <c r="HP958" s="1635"/>
      <c r="HQ958" s="1638"/>
      <c r="HR958" s="1635"/>
      <c r="HS958" s="1635"/>
      <c r="HT958" s="1635"/>
      <c r="HU958" s="1635"/>
      <c r="HV958" s="1635"/>
      <c r="HW958" s="1635"/>
      <c r="HX958" s="1635"/>
      <c r="HY958" s="1635"/>
      <c r="HZ958" s="1635"/>
      <c r="IA958" s="1635"/>
      <c r="IB958" s="1635"/>
      <c r="IC958" s="1635"/>
      <c r="ID958" s="1635"/>
      <c r="IE958" s="1635"/>
      <c r="IF958" s="1635"/>
      <c r="IG958" s="1638"/>
      <c r="IH958" s="1635"/>
      <c r="II958" s="1635"/>
      <c r="IJ958" s="1635"/>
      <c r="IK958" s="1635"/>
      <c r="IL958" s="1635"/>
      <c r="IM958" s="1635"/>
      <c r="IN958" s="1635"/>
      <c r="IO958" s="1638"/>
      <c r="IP958" s="1635"/>
      <c r="IQ958" s="1647">
        <f>GC958-GC429</f>
        <v>2013</v>
      </c>
      <c r="IX958" s="1126"/>
      <c r="IY958" s="1126"/>
      <c r="IZ958" s="1126"/>
      <c r="JA958" s="1126"/>
      <c r="JB958" s="1126"/>
      <c r="JC958" s="1126"/>
      <c r="JD958" s="1125"/>
      <c r="JE958" s="1126"/>
      <c r="JF958" s="1037"/>
      <c r="JG958" s="1037"/>
      <c r="JH958" s="1037"/>
      <c r="JI958" s="1035"/>
      <c r="JJ958" s="1035"/>
      <c r="JK958" s="1035"/>
      <c r="JL958" s="1035"/>
      <c r="JM958" s="1035"/>
      <c r="JN958" s="1035"/>
      <c r="JO958" s="1035"/>
      <c r="JP958" s="1035"/>
      <c r="JQ958" s="1035"/>
      <c r="JR958" s="1035"/>
      <c r="JS958" s="1035"/>
      <c r="JT958" s="1035"/>
      <c r="JU958" s="1035"/>
      <c r="JV958" s="1035"/>
      <c r="JW958" s="1035"/>
      <c r="JX958" s="1035"/>
      <c r="JY958" s="1035"/>
    </row>
    <row r="959" spans="1:381">
      <c r="A959" s="1035" t="s">
        <v>132</v>
      </c>
      <c r="FF959" s="1228">
        <f>FF958/FF949</f>
        <v>0.100138951528597</v>
      </c>
      <c r="FG959" s="1228">
        <f>FG958/FG949</f>
        <v>0.0700714148086803</v>
      </c>
      <c r="FH959" s="1320"/>
      <c r="FI959" s="1228">
        <f>FI958/FI949</f>
        <v>0.117406511074526</v>
      </c>
      <c r="FJ959" s="1320"/>
      <c r="FK959" s="1228">
        <f>FK958/FK949</f>
        <v>0.00396797163544485</v>
      </c>
      <c r="FL959" s="1320"/>
      <c r="FM959" s="1085">
        <f>FM958/FM$949</f>
        <v>0.0740195565527043</v>
      </c>
      <c r="FN959" s="1228">
        <f>FN958/FN949</f>
        <v>0.111775922151358</v>
      </c>
      <c r="FO959" s="1228">
        <f>FO958/FO949</f>
        <v>0.0853820459538794</v>
      </c>
      <c r="FP959" s="1320"/>
      <c r="FQ959" s="1228">
        <f>FQ958/FQ949</f>
        <v>0.110217427160446</v>
      </c>
      <c r="FR959" s="1320"/>
      <c r="FS959" s="1228">
        <f>FS958/FS949</f>
        <v>0.0250652627200736</v>
      </c>
      <c r="FT959" s="1320"/>
      <c r="FU959" s="1082">
        <f>FU958/FU$949</f>
        <v>0.0839149488719364</v>
      </c>
      <c r="FV959" s="1109">
        <f>FV958/FV949</f>
        <v>0.119147315679388</v>
      </c>
      <c r="FW959" s="1228">
        <f>FW428</f>
        <v>0.10023818975784</v>
      </c>
      <c r="FX959" s="1228"/>
      <c r="FY959" s="1228">
        <f>FY428</f>
        <v>0.140014089468123</v>
      </c>
      <c r="FZ959" s="1228"/>
      <c r="GA959" s="1228">
        <f>GA428</f>
        <v>0.0263053797468354</v>
      </c>
      <c r="GB959" s="1320"/>
      <c r="GC959" s="1085">
        <f>GC958/GC$949</f>
        <v>0.0979348441383595</v>
      </c>
      <c r="GD959" s="1228"/>
      <c r="GE959" s="1228"/>
      <c r="GF959" s="1228"/>
      <c r="GG959" s="1228"/>
      <c r="GH959" s="1228"/>
      <c r="GI959" s="1228"/>
      <c r="GJ959" s="1228"/>
      <c r="GK959" s="1085"/>
      <c r="GL959" s="1082"/>
      <c r="GM959" s="1082"/>
      <c r="GN959" s="1082"/>
      <c r="GO959" s="1082"/>
      <c r="GP959" s="1082"/>
      <c r="GQ959" s="1082"/>
      <c r="GR959" s="1082"/>
      <c r="GS959" s="1085"/>
      <c r="GT959" s="1082"/>
      <c r="GU959" s="1082"/>
      <c r="GV959" s="1082"/>
      <c r="GW959" s="1082"/>
      <c r="GX959" s="1082"/>
      <c r="GY959" s="1082"/>
      <c r="GZ959" s="1082"/>
      <c r="HA959" s="1085"/>
      <c r="HB959" s="1228"/>
      <c r="HC959" s="1228"/>
      <c r="HD959" s="1228"/>
      <c r="HE959" s="1228"/>
      <c r="HF959" s="1228"/>
      <c r="HG959" s="1228"/>
      <c r="HH959" s="1228"/>
      <c r="HI959" s="1085"/>
      <c r="HJ959" s="1082"/>
      <c r="HK959" s="1082"/>
      <c r="HL959" s="1082"/>
      <c r="HM959" s="1082"/>
      <c r="HN959" s="1082"/>
      <c r="HO959" s="1082"/>
      <c r="HP959" s="1082"/>
      <c r="HQ959" s="1085"/>
      <c r="HR959" s="1082"/>
      <c r="HS959" s="1082"/>
      <c r="HT959" s="1082"/>
      <c r="HU959" s="1082"/>
      <c r="HV959" s="1082"/>
      <c r="HW959" s="1082"/>
      <c r="HX959" s="1082"/>
      <c r="HY959" s="1082"/>
      <c r="HZ959" s="1082"/>
      <c r="IA959" s="1082"/>
      <c r="IB959" s="1082"/>
      <c r="IC959" s="1082"/>
      <c r="ID959" s="1082"/>
      <c r="IE959" s="1082"/>
      <c r="IF959" s="1082"/>
      <c r="IG959" s="1085"/>
      <c r="IH959" s="1082"/>
      <c r="II959" s="1082"/>
      <c r="IJ959" s="1082"/>
      <c r="IK959" s="1082"/>
      <c r="IL959" s="1082"/>
      <c r="IM959" s="1082"/>
      <c r="IN959" s="1082"/>
      <c r="IO959" s="1085"/>
      <c r="IP959" s="1082"/>
      <c r="IQ959" s="891" t="s">
        <v>688</v>
      </c>
      <c r="IX959" s="1126"/>
      <c r="IY959" s="1126"/>
      <c r="IZ959" s="1126"/>
      <c r="JA959" s="1126"/>
      <c r="JB959" s="1126"/>
      <c r="JC959" s="1126"/>
      <c r="JD959" s="1125"/>
      <c r="JE959" s="1126"/>
      <c r="JF959" s="1037"/>
      <c r="JG959" s="1037"/>
      <c r="JH959" s="1037"/>
      <c r="JI959" s="1035"/>
      <c r="JJ959" s="1035"/>
      <c r="JK959" s="1035"/>
      <c r="JL959" s="1035"/>
      <c r="JM959" s="1035"/>
      <c r="JN959" s="1035"/>
      <c r="JO959" s="1035"/>
      <c r="JP959" s="1035"/>
      <c r="JQ959" s="1035"/>
      <c r="JR959" s="1035"/>
      <c r="JS959" s="1035"/>
      <c r="JT959" s="1035"/>
      <c r="JU959" s="1035"/>
      <c r="JV959" s="1035"/>
      <c r="JW959" s="1035"/>
      <c r="JX959" s="1035"/>
      <c r="JY959" s="1035"/>
    </row>
    <row r="960" spans="1:381">
      <c r="FF960" s="1320"/>
      <c r="FG960" s="1320"/>
      <c r="FH960" s="1320"/>
      <c r="FI960" s="1320"/>
      <c r="FJ960" s="1320"/>
      <c r="FK960" s="1320"/>
      <c r="FL960" s="1320"/>
      <c r="FM960" s="1644"/>
      <c r="FN960" s="1320"/>
      <c r="FO960" s="1320"/>
      <c r="FP960" s="1320"/>
      <c r="FQ960" s="1320"/>
      <c r="FR960" s="1320"/>
      <c r="FS960" s="1320"/>
      <c r="FT960" s="1320"/>
      <c r="FU960" s="1320"/>
      <c r="FV960" s="1645"/>
      <c r="FW960" s="1320"/>
      <c r="FX960" s="1320"/>
      <c r="FY960" s="1320"/>
      <c r="FZ960" s="1320"/>
      <c r="GA960" s="1320"/>
      <c r="GB960" s="1320"/>
      <c r="GC960" s="1644"/>
      <c r="GD960" s="1320"/>
      <c r="GE960" s="1320"/>
      <c r="GF960" s="1320"/>
      <c r="GG960" s="1320"/>
      <c r="GH960" s="1320"/>
      <c r="GI960" s="1320"/>
      <c r="GJ960" s="1320"/>
      <c r="GK960" s="1644"/>
      <c r="GL960" s="1320"/>
      <c r="GM960" s="1320"/>
      <c r="GN960" s="1320"/>
      <c r="GO960" s="1320"/>
      <c r="GP960" s="1320"/>
      <c r="GQ960" s="1320"/>
      <c r="GR960" s="1320"/>
      <c r="GS960" s="1644"/>
      <c r="GT960" s="1320"/>
      <c r="GU960" s="1320"/>
      <c r="GV960" s="1320"/>
      <c r="GW960" s="1320"/>
      <c r="GX960" s="1320"/>
      <c r="GY960" s="1320"/>
      <c r="GZ960" s="1320"/>
      <c r="HA960" s="1644"/>
      <c r="HB960" s="1320"/>
      <c r="HC960" s="1320"/>
      <c r="HD960" s="1320"/>
      <c r="HE960" s="1320"/>
      <c r="HF960" s="1320"/>
      <c r="HG960" s="1320"/>
      <c r="HH960" s="1320"/>
      <c r="HI960" s="1644"/>
      <c r="HJ960" s="1320"/>
      <c r="HK960" s="1320"/>
      <c r="HL960" s="1320"/>
      <c r="HM960" s="1320"/>
      <c r="HN960" s="1320"/>
      <c r="HO960" s="1320"/>
      <c r="HP960" s="1320"/>
      <c r="HQ960" s="1644"/>
      <c r="HR960" s="1320"/>
      <c r="HS960" s="1320"/>
      <c r="HT960" s="1320"/>
      <c r="HU960" s="1320"/>
      <c r="HV960" s="1320"/>
      <c r="HW960" s="1320"/>
      <c r="HX960" s="1320"/>
      <c r="HY960" s="1320"/>
      <c r="HZ960" s="1320"/>
      <c r="IA960" s="1320"/>
      <c r="IB960" s="1320"/>
      <c r="IC960" s="1320"/>
      <c r="ID960" s="1320"/>
      <c r="IE960" s="1320"/>
      <c r="IF960" s="1320"/>
      <c r="IG960" s="1644"/>
      <c r="IH960" s="1320"/>
      <c r="II960" s="1320"/>
      <c r="IJ960" s="1320"/>
      <c r="IK960" s="1320"/>
      <c r="IL960" s="1320"/>
      <c r="IM960" s="1320"/>
      <c r="IN960" s="1320"/>
      <c r="IO960" s="1644"/>
      <c r="IP960" s="1320"/>
      <c r="IX960" s="1126"/>
      <c r="IY960" s="1126"/>
      <c r="IZ960" s="1126"/>
      <c r="JA960" s="1126"/>
      <c r="JB960" s="1126"/>
      <c r="JC960" s="1126"/>
      <c r="JD960" s="1125"/>
      <c r="JE960" s="1126"/>
      <c r="JF960" s="1037"/>
      <c r="JG960" s="1037"/>
      <c r="JH960" s="1037"/>
      <c r="JI960" s="1035"/>
      <c r="JJ960" s="1035"/>
      <c r="JK960" s="1035"/>
      <c r="JL960" s="1035"/>
      <c r="JM960" s="1035"/>
      <c r="JN960" s="1035"/>
      <c r="JO960" s="1035"/>
      <c r="JP960" s="1035"/>
      <c r="JQ960" s="1035"/>
      <c r="JR960" s="1035"/>
      <c r="JS960" s="1035"/>
      <c r="JT960" s="1035"/>
      <c r="JU960" s="1035"/>
      <c r="JV960" s="1035"/>
      <c r="JW960" s="1035"/>
      <c r="JX960" s="1035"/>
      <c r="JY960" s="1035"/>
    </row>
    <row r="961" spans="1:285">
      <c r="A961" s="969" t="s">
        <v>689</v>
      </c>
      <c r="FF961" s="1320"/>
      <c r="FG961" s="1320"/>
      <c r="FH961" s="1320"/>
      <c r="FI961" s="1320"/>
      <c r="FJ961" s="1320"/>
      <c r="FK961" s="1320"/>
      <c r="FL961" s="1320"/>
      <c r="FM961" s="1644"/>
      <c r="FN961" s="1320"/>
      <c r="FO961" s="1320"/>
      <c r="FP961" s="1320"/>
      <c r="FQ961" s="1320"/>
      <c r="FR961" s="1320"/>
      <c r="FS961" s="1320"/>
      <c r="FT961" s="1320"/>
      <c r="FU961" s="1320"/>
      <c r="FV961" s="1645"/>
      <c r="FW961" s="1320"/>
      <c r="FX961" s="1320"/>
      <c r="FY961" s="1320"/>
      <c r="FZ961" s="1320"/>
      <c r="GA961" s="1320"/>
      <c r="GB961" s="1320"/>
      <c r="GC961" s="1644"/>
      <c r="GD961" s="1320"/>
      <c r="GE961" s="1320"/>
      <c r="GF961" s="1320"/>
      <c r="GG961" s="1320"/>
      <c r="GH961" s="1320"/>
      <c r="GI961" s="1320"/>
      <c r="GJ961" s="1320"/>
      <c r="GK961" s="1644"/>
      <c r="GL961" s="1320"/>
      <c r="GM961" s="1320"/>
      <c r="GN961" s="1320"/>
      <c r="GO961" s="1320"/>
      <c r="GP961" s="1320"/>
      <c r="GQ961" s="1320"/>
      <c r="GR961" s="1320"/>
      <c r="GS961" s="1644"/>
      <c r="GT961" s="1320"/>
      <c r="GU961" s="1320"/>
      <c r="GV961" s="1320"/>
      <c r="GW961" s="1320"/>
      <c r="GX961" s="1320"/>
      <c r="GY961" s="1320"/>
      <c r="GZ961" s="1320"/>
      <c r="HA961" s="1644"/>
      <c r="HB961" s="1320"/>
      <c r="HC961" s="1320"/>
      <c r="HD961" s="1320"/>
      <c r="HE961" s="1320"/>
      <c r="HF961" s="1320"/>
      <c r="HG961" s="1320"/>
      <c r="HH961" s="1320"/>
      <c r="HI961" s="1644"/>
      <c r="HJ961" s="1320"/>
      <c r="HK961" s="1320"/>
      <c r="HL961" s="1320"/>
      <c r="HM961" s="1320"/>
      <c r="HN961" s="1320"/>
      <c r="HO961" s="1320"/>
      <c r="HP961" s="1320"/>
      <c r="HQ961" s="1644"/>
      <c r="HR961" s="1320"/>
      <c r="HS961" s="1320"/>
      <c r="HT961" s="1320"/>
      <c r="HU961" s="1320"/>
      <c r="HV961" s="1320"/>
      <c r="HW961" s="1320"/>
      <c r="HX961" s="1320"/>
      <c r="HY961" s="1320"/>
      <c r="HZ961" s="1320"/>
      <c r="IA961" s="1320"/>
      <c r="IB961" s="1320"/>
      <c r="IC961" s="1320"/>
      <c r="ID961" s="1320"/>
      <c r="IE961" s="1320"/>
      <c r="IF961" s="1320"/>
      <c r="IG961" s="1644"/>
      <c r="IH961" s="1320"/>
      <c r="II961" s="1320"/>
      <c r="IJ961" s="1320"/>
      <c r="IK961" s="1320"/>
      <c r="IL961" s="1320"/>
      <c r="IM961" s="1320"/>
      <c r="IN961" s="1320"/>
      <c r="IO961" s="1644"/>
      <c r="IP961" s="1320"/>
      <c r="IQ961" s="1035"/>
      <c r="IX961" s="1126"/>
      <c r="IY961" s="1126"/>
      <c r="IZ961" s="1126"/>
      <c r="JA961" s="1126"/>
      <c r="JB961" s="1126"/>
      <c r="JC961" s="1126"/>
      <c r="JD961" s="1125"/>
      <c r="JE961" s="1126"/>
      <c r="JF961" s="1037"/>
      <c r="JG961" s="1037"/>
      <c r="JH961" s="1037"/>
      <c r="JI961" s="1035"/>
      <c r="JJ961" s="1035"/>
      <c r="JK961" s="1035"/>
      <c r="JL961" s="1035"/>
      <c r="JM961" s="1035"/>
      <c r="JN961" s="1035"/>
      <c r="JO961" s="1035"/>
      <c r="JP961" s="1035"/>
      <c r="JQ961" s="1035"/>
      <c r="JR961" s="1035"/>
      <c r="JS961" s="1035"/>
      <c r="JT961" s="1035"/>
      <c r="JU961" s="1035"/>
      <c r="JV961" s="1035"/>
      <c r="JW961" s="1035"/>
      <c r="JX961" s="1035"/>
      <c r="JY961" s="1035"/>
    </row>
    <row r="962" spans="1:285">
      <c r="A962" s="1035" t="s">
        <v>230</v>
      </c>
      <c r="FF962" s="1635">
        <f>FN962/(1+FN282)</f>
        <v>208.383838383838</v>
      </c>
      <c r="FG962" s="1635">
        <f>FO962/(1+FO282)</f>
        <v>210.770935592474</v>
      </c>
      <c r="FH962" s="1635"/>
      <c r="FI962" s="1635">
        <f>FQ962/(1+FQ282)</f>
        <v>242.769953051643</v>
      </c>
      <c r="FJ962" s="1635"/>
      <c r="FK962" s="1635">
        <f>FS962/(1+FS282)</f>
        <v>135.713111385121</v>
      </c>
      <c r="FL962" s="1320"/>
      <c r="FM962" s="1638">
        <f>FF962+FG962+FI962+FK962</f>
        <v>797.637838413076</v>
      </c>
      <c r="FN962" s="1635">
        <f>FN279*42.5%+FN284</f>
        <v>206.3</v>
      </c>
      <c r="FO962" s="1635">
        <f>FO279*42.5%+FO284</f>
        <v>224.225</v>
      </c>
      <c r="FP962" s="1635"/>
      <c r="FQ962" s="1635">
        <f>FQ279*42.5%+FQ284</f>
        <v>258.55</v>
      </c>
      <c r="FR962" s="1635"/>
      <c r="FS962" s="1635">
        <f>FU962-FQ962-FO962-FN962</f>
        <v>117.925</v>
      </c>
      <c r="FT962" s="1320"/>
      <c r="FU962" s="1320">
        <v>807</v>
      </c>
      <c r="FV962" s="1636">
        <f>FN962*(1-11%)</f>
        <v>183.607</v>
      </c>
      <c r="FW962" s="1635">
        <f>FO962*(1-11%)</f>
        <v>199.56025</v>
      </c>
      <c r="FX962" s="1635"/>
      <c r="FY962" s="1635">
        <f>FQ962*(1-11%)</f>
        <v>230.1095</v>
      </c>
      <c r="FZ962" s="1635"/>
      <c r="GA962" s="1635">
        <f>FS962*(1-11%)</f>
        <v>104.95325</v>
      </c>
      <c r="GB962" s="1320"/>
      <c r="GC962" s="1638">
        <f>FV962+FW962+FY962+GA962</f>
        <v>718.23</v>
      </c>
      <c r="GD962" s="1635"/>
      <c r="GE962" s="1635"/>
      <c r="GF962" s="1635"/>
      <c r="GG962" s="1635"/>
      <c r="GH962" s="1635"/>
      <c r="GI962" s="1635"/>
      <c r="GJ962" s="1635"/>
      <c r="GK962" s="1638"/>
      <c r="GL962" s="1635"/>
      <c r="GM962" s="1635"/>
      <c r="GN962" s="1635"/>
      <c r="GO962" s="1635"/>
      <c r="GP962" s="1635"/>
      <c r="GQ962" s="1635"/>
      <c r="GR962" s="1635"/>
      <c r="GS962" s="1638"/>
      <c r="GT962" s="1635"/>
      <c r="GU962" s="1635"/>
      <c r="GV962" s="1635"/>
      <c r="GW962" s="1635"/>
      <c r="GX962" s="1635"/>
      <c r="GY962" s="1635"/>
      <c r="GZ962" s="1635"/>
      <c r="HA962" s="1638"/>
      <c r="HB962" s="1635"/>
      <c r="HC962" s="1635"/>
      <c r="HD962" s="1635"/>
      <c r="HE962" s="1635"/>
      <c r="HF962" s="1635"/>
      <c r="HG962" s="1635"/>
      <c r="HH962" s="1635"/>
      <c r="HI962" s="1638"/>
      <c r="HJ962" s="1635"/>
      <c r="HK962" s="1635"/>
      <c r="HL962" s="1635"/>
      <c r="HM962" s="1635"/>
      <c r="HN962" s="1635"/>
      <c r="HO962" s="1635"/>
      <c r="HP962" s="1635"/>
      <c r="HQ962" s="1638"/>
      <c r="HR962" s="1635"/>
      <c r="HS962" s="1635"/>
      <c r="HT962" s="1635"/>
      <c r="HU962" s="1635"/>
      <c r="HV962" s="1635"/>
      <c r="HW962" s="1635"/>
      <c r="HX962" s="1635"/>
      <c r="HY962" s="1635"/>
      <c r="HZ962" s="1635"/>
      <c r="IA962" s="1635"/>
      <c r="IB962" s="1635"/>
      <c r="IC962" s="1635"/>
      <c r="ID962" s="1635"/>
      <c r="IE962" s="1635"/>
      <c r="IF962" s="1635"/>
      <c r="IG962" s="1638"/>
      <c r="IH962" s="1635"/>
      <c r="II962" s="1635"/>
      <c r="IJ962" s="1635"/>
      <c r="IK962" s="1635"/>
      <c r="IL962" s="1635"/>
      <c r="IM962" s="1635"/>
      <c r="IN962" s="1635"/>
      <c r="IO962" s="1638"/>
      <c r="IP962" s="1635"/>
      <c r="IQ962" s="883">
        <f>GC962/650-1</f>
        <v>0.104969230769231</v>
      </c>
      <c r="IX962" s="1126"/>
      <c r="IY962" s="1126"/>
      <c r="IZ962" s="1126"/>
      <c r="JA962" s="1126"/>
      <c r="JB962" s="1126"/>
      <c r="JC962" s="1126"/>
      <c r="JD962" s="1125"/>
      <c r="JE962" s="1126"/>
      <c r="JF962" s="1037"/>
      <c r="JG962" s="1037"/>
      <c r="JH962" s="1037"/>
      <c r="JI962" s="1035"/>
      <c r="JJ962" s="1035"/>
      <c r="JK962" s="1035"/>
      <c r="JL962" s="1035"/>
      <c r="JM962" s="1035"/>
      <c r="JN962" s="1035"/>
      <c r="JO962" s="1035"/>
      <c r="JP962" s="1035"/>
      <c r="JQ962" s="1035"/>
      <c r="JR962" s="1035"/>
      <c r="JS962" s="1035"/>
      <c r="JT962" s="1035"/>
      <c r="JU962" s="1035"/>
      <c r="JV962" s="1035"/>
      <c r="JW962" s="1035"/>
      <c r="JX962" s="1035"/>
      <c r="JY962" s="1035"/>
    </row>
    <row r="963" spans="1:285">
      <c r="A963" s="1035" t="s">
        <v>690</v>
      </c>
      <c r="FF963" s="1228"/>
      <c r="FG963" s="1228"/>
      <c r="FH963" s="1320"/>
      <c r="FI963" s="1228"/>
      <c r="FJ963" s="1320"/>
      <c r="FK963" s="1228"/>
      <c r="FL963" s="1320"/>
      <c r="FM963" s="1085"/>
      <c r="FN963" s="1228"/>
      <c r="FO963" s="1228"/>
      <c r="FP963" s="1320"/>
      <c r="FQ963" s="1228"/>
      <c r="FR963" s="1320"/>
      <c r="FS963" s="1228"/>
      <c r="FT963" s="1320"/>
      <c r="FU963" s="1082"/>
      <c r="FV963" s="1109"/>
      <c r="FW963" s="1635"/>
      <c r="FX963" s="1635"/>
      <c r="FY963" s="1635"/>
      <c r="FZ963" s="1635"/>
      <c r="GA963" s="1635"/>
      <c r="GB963" s="1320"/>
      <c r="GC963" s="1644"/>
      <c r="GD963" s="1320"/>
      <c r="GE963" s="1320"/>
      <c r="GF963" s="1320"/>
      <c r="GG963" s="1320"/>
      <c r="GH963" s="1320"/>
      <c r="GI963" s="1320"/>
      <c r="GJ963" s="1320"/>
      <c r="GK963" s="1644"/>
      <c r="GL963" s="1320"/>
      <c r="GM963" s="1320"/>
      <c r="GN963" s="1320"/>
      <c r="GO963" s="1320"/>
      <c r="GP963" s="1320"/>
      <c r="GQ963" s="1320"/>
      <c r="GR963" s="1320"/>
      <c r="GS963" s="1644"/>
      <c r="GT963" s="1320"/>
      <c r="GU963" s="1320"/>
      <c r="GV963" s="1320"/>
      <c r="GW963" s="1320"/>
      <c r="GX963" s="1320"/>
      <c r="GY963" s="1320"/>
      <c r="GZ963" s="1320"/>
      <c r="HA963" s="1644"/>
      <c r="HB963" s="1320"/>
      <c r="HC963" s="1320"/>
      <c r="HD963" s="1320"/>
      <c r="HE963" s="1320"/>
      <c r="HF963" s="1320"/>
      <c r="HG963" s="1320"/>
      <c r="HH963" s="1320"/>
      <c r="HI963" s="1644"/>
      <c r="HJ963" s="1320"/>
      <c r="HK963" s="1320"/>
      <c r="HL963" s="1320"/>
      <c r="HM963" s="1320"/>
      <c r="HN963" s="1320"/>
      <c r="HO963" s="1320"/>
      <c r="HP963" s="1320"/>
      <c r="HQ963" s="1644"/>
      <c r="HR963" s="1320"/>
      <c r="HS963" s="1320"/>
      <c r="HT963" s="1320"/>
      <c r="HU963" s="1320"/>
      <c r="HV963" s="1320"/>
      <c r="HW963" s="1320"/>
      <c r="HX963" s="1320"/>
      <c r="HY963" s="1320"/>
      <c r="HZ963" s="1320"/>
      <c r="IA963" s="1320"/>
      <c r="IB963" s="1320"/>
      <c r="IC963" s="1320"/>
      <c r="ID963" s="1320"/>
      <c r="IE963" s="1320"/>
      <c r="IF963" s="1320"/>
      <c r="IG963" s="1644"/>
      <c r="IH963" s="1320"/>
      <c r="II963" s="1320"/>
      <c r="IJ963" s="1320"/>
      <c r="IK963" s="1320"/>
      <c r="IL963" s="1320"/>
      <c r="IM963" s="1320"/>
      <c r="IN963" s="1320"/>
      <c r="IO963" s="1644"/>
      <c r="IP963" s="1320"/>
      <c r="IX963" s="1126"/>
      <c r="IY963" s="1126"/>
      <c r="IZ963" s="1126"/>
      <c r="JA963" s="1126"/>
      <c r="JB963" s="1126"/>
      <c r="JC963" s="1126"/>
      <c r="JD963" s="1125"/>
      <c r="JE963" s="1126"/>
      <c r="JF963" s="1037"/>
      <c r="JG963" s="1037"/>
      <c r="JH963" s="1037"/>
      <c r="JI963" s="1035"/>
      <c r="JJ963" s="1035"/>
      <c r="JK963" s="1035"/>
      <c r="JL963" s="1035"/>
      <c r="JM963" s="1035"/>
      <c r="JN963" s="1035"/>
      <c r="JO963" s="1035"/>
      <c r="JP963" s="1035"/>
      <c r="JQ963" s="1035"/>
      <c r="JR963" s="1035"/>
      <c r="JS963" s="1035"/>
      <c r="JT963" s="1035"/>
      <c r="JU963" s="1035"/>
      <c r="JV963" s="1035"/>
      <c r="JW963" s="1035"/>
      <c r="JX963" s="1035"/>
      <c r="JY963" s="1035"/>
    </row>
    <row r="964" spans="1:285">
      <c r="A964" s="1035" t="s">
        <v>127</v>
      </c>
      <c r="FF964" s="1635">
        <f>FF965*FF962</f>
        <v>77.9366610401093</v>
      </c>
      <c r="FG964" s="1635">
        <f>FG965*FG962</f>
        <v>65.2523718409576</v>
      </c>
      <c r="FH964" s="1635"/>
      <c r="FI964" s="1635">
        <f>FI965*FI962</f>
        <v>83.7627323394558</v>
      </c>
      <c r="FJ964" s="1635"/>
      <c r="FK964" s="1635">
        <f>FK965*FK962</f>
        <v>44.292790922037</v>
      </c>
      <c r="FL964" s="1320"/>
      <c r="FM964" s="1638">
        <f>FF964+FG964+FI964+FK964</f>
        <v>271.24455614256</v>
      </c>
      <c r="FN964" s="1635">
        <f>FN965*FN962</f>
        <v>76.060101010101</v>
      </c>
      <c r="FO964" s="1635">
        <f>FO965*FO962</f>
        <v>85.2560547082228</v>
      </c>
      <c r="FP964" s="1635"/>
      <c r="FQ964" s="1635">
        <f>FQ965*FQ962</f>
        <v>97.4860655737705</v>
      </c>
      <c r="FR964" s="1635"/>
      <c r="FS964" s="1635">
        <f>FS965*FS962</f>
        <v>42.1160714285714</v>
      </c>
      <c r="FT964" s="1320"/>
      <c r="FU964" s="1635">
        <f>FN964+FO964+FQ964+FS964</f>
        <v>300.918292720666</v>
      </c>
      <c r="FV964" s="1636">
        <f>FV962*FV965</f>
        <v>75.0377698989899</v>
      </c>
      <c r="FW964" s="1635">
        <f>FW962*FW965</f>
        <v>84.4589794403183</v>
      </c>
      <c r="FX964" s="1635"/>
      <c r="FY964" s="1635">
        <f>FY962*FY965</f>
        <v>93.2056643606557</v>
      </c>
      <c r="FZ964" s="1635"/>
      <c r="GA964" s="1635">
        <f>GA962*GA965</f>
        <v>40.4219945714286</v>
      </c>
      <c r="GB964" s="1320"/>
      <c r="GC964" s="1638">
        <f>FV964+FW964+FY964+GA964</f>
        <v>293.124408271392</v>
      </c>
      <c r="GD964" s="1635"/>
      <c r="GE964" s="1635"/>
      <c r="GF964" s="1635"/>
      <c r="GG964" s="1635"/>
      <c r="GH964" s="1635"/>
      <c r="GI964" s="1635"/>
      <c r="GJ964" s="1635"/>
      <c r="GK964" s="1638"/>
      <c r="GL964" s="1635"/>
      <c r="GM964" s="1635"/>
      <c r="GN964" s="1635"/>
      <c r="GO964" s="1635"/>
      <c r="GP964" s="1635"/>
      <c r="GQ964" s="1635"/>
      <c r="GR964" s="1635"/>
      <c r="GS964" s="1638"/>
      <c r="GT964" s="1635"/>
      <c r="GU964" s="1635"/>
      <c r="GV964" s="1635"/>
      <c r="GW964" s="1635"/>
      <c r="GX964" s="1635"/>
      <c r="GY964" s="1635"/>
      <c r="GZ964" s="1635"/>
      <c r="HA964" s="1638"/>
      <c r="HB964" s="1635"/>
      <c r="HC964" s="1635"/>
      <c r="HD964" s="1635"/>
      <c r="HE964" s="1635"/>
      <c r="HF964" s="1635"/>
      <c r="HG964" s="1635"/>
      <c r="HH964" s="1635"/>
      <c r="HI964" s="1638"/>
      <c r="HJ964" s="1635"/>
      <c r="HK964" s="1635"/>
      <c r="HL964" s="1635"/>
      <c r="HM964" s="1635"/>
      <c r="HN964" s="1635"/>
      <c r="HO964" s="1635"/>
      <c r="HP964" s="1635"/>
      <c r="HQ964" s="1638"/>
      <c r="HR964" s="1635"/>
      <c r="HS964" s="1635"/>
      <c r="HT964" s="1635"/>
      <c r="HU964" s="1635"/>
      <c r="HV964" s="1635"/>
      <c r="HW964" s="1635"/>
      <c r="HX964" s="1635"/>
      <c r="HY964" s="1635"/>
      <c r="HZ964" s="1635"/>
      <c r="IA964" s="1635"/>
      <c r="IB964" s="1635"/>
      <c r="IC964" s="1635"/>
      <c r="ID964" s="1635"/>
      <c r="IE964" s="1635"/>
      <c r="IF964" s="1635"/>
      <c r="IG964" s="1638"/>
      <c r="IH964" s="1635"/>
      <c r="II964" s="1635"/>
      <c r="IJ964" s="1635"/>
      <c r="IK964" s="1635"/>
      <c r="IL964" s="1635"/>
      <c r="IM964" s="1635"/>
      <c r="IN964" s="1635"/>
      <c r="IO964" s="1638"/>
      <c r="IP964" s="1635"/>
      <c r="IX964" s="1126"/>
      <c r="IY964" s="1126"/>
      <c r="IZ964" s="1126"/>
      <c r="JA964" s="1126"/>
      <c r="JB964" s="1126"/>
      <c r="JC964" s="1126"/>
      <c r="JD964" s="1125"/>
      <c r="JE964" s="1126"/>
      <c r="JF964" s="1037"/>
      <c r="JG964" s="1037"/>
      <c r="JH964" s="1037"/>
      <c r="JI964" s="1035"/>
      <c r="JJ964" s="1035"/>
      <c r="JK964" s="1035"/>
      <c r="JL964" s="1035"/>
      <c r="JM964" s="1035"/>
      <c r="JN964" s="1035"/>
      <c r="JO964" s="1035"/>
      <c r="JP964" s="1035"/>
      <c r="JQ964" s="1035"/>
      <c r="JR964" s="1035"/>
      <c r="JS964" s="1035"/>
      <c r="JT964" s="1035"/>
      <c r="JU964" s="1035"/>
      <c r="JV964" s="1035"/>
      <c r="JW964" s="1035"/>
      <c r="JX964" s="1035"/>
      <c r="JY964" s="1035"/>
    </row>
    <row r="965" spans="1:285">
      <c r="A965" s="1035" t="s">
        <v>128</v>
      </c>
      <c r="FF965" s="1338">
        <f>FF379</f>
        <v>0.374005305039788</v>
      </c>
      <c r="FG965" s="1338">
        <f>FG379</f>
        <v>0.30958904109589</v>
      </c>
      <c r="FH965" s="1320"/>
      <c r="FI965" s="1338">
        <f>FI379</f>
        <v>0.345029239766082</v>
      </c>
      <c r="FJ965" s="1320"/>
      <c r="FK965" s="1338">
        <f>FK379</f>
        <v>0.326370757180157</v>
      </c>
      <c r="FL965" s="1320"/>
      <c r="FM965" s="1085">
        <f>FM964/FM$962</f>
        <v>0.340059790395863</v>
      </c>
      <c r="FN965" s="1338">
        <f>FN379</f>
        <v>0.368686868686869</v>
      </c>
      <c r="FO965" s="1228">
        <f>FO379-1.5%</f>
        <v>0.380225464190981</v>
      </c>
      <c r="FP965" s="1320"/>
      <c r="FQ965" s="1338">
        <f>FQ379</f>
        <v>0.377049180327869</v>
      </c>
      <c r="FR965" s="1320"/>
      <c r="FS965" s="1338">
        <f>FS379</f>
        <v>0.357142857142857</v>
      </c>
      <c r="FT965" s="1320"/>
      <c r="FU965" s="1082">
        <f>FU964/FU$962</f>
        <v>0.372885121091283</v>
      </c>
      <c r="FV965" s="1109">
        <f>FN379+4%</f>
        <v>0.408686868686869</v>
      </c>
      <c r="FW965" s="1228">
        <f>FO379+2.8%</f>
        <v>0.423225464190981</v>
      </c>
      <c r="FX965" s="1320"/>
      <c r="FY965" s="1228">
        <f>FQ379+2.8%</f>
        <v>0.405049180327869</v>
      </c>
      <c r="FZ965" s="1320"/>
      <c r="GA965" s="1228">
        <f>FS379+2.8%</f>
        <v>0.385142857142857</v>
      </c>
      <c r="GB965" s="1320"/>
      <c r="GC965" s="1085">
        <f>GC964/GC$962</f>
        <v>0.408120530013217</v>
      </c>
      <c r="GD965" s="1082"/>
      <c r="GE965" s="1082"/>
      <c r="GF965" s="1082"/>
      <c r="GG965" s="1082"/>
      <c r="GH965" s="1082"/>
      <c r="GI965" s="1082"/>
      <c r="GJ965" s="1082"/>
      <c r="GK965" s="1085"/>
      <c r="GL965" s="1082"/>
      <c r="GM965" s="1082"/>
      <c r="GN965" s="1082"/>
      <c r="GO965" s="1082"/>
      <c r="GP965" s="1082"/>
      <c r="GQ965" s="1082"/>
      <c r="GR965" s="1082"/>
      <c r="GS965" s="1085"/>
      <c r="GT965" s="1082"/>
      <c r="GU965" s="1082"/>
      <c r="GV965" s="1082"/>
      <c r="GW965" s="1082"/>
      <c r="GX965" s="1082"/>
      <c r="GY965" s="1082"/>
      <c r="GZ965" s="1082"/>
      <c r="HA965" s="1085"/>
      <c r="HB965" s="1082"/>
      <c r="HC965" s="1082"/>
      <c r="HD965" s="1082"/>
      <c r="HE965" s="1082"/>
      <c r="HF965" s="1082"/>
      <c r="HG965" s="1082"/>
      <c r="HH965" s="1082"/>
      <c r="HI965" s="1085"/>
      <c r="HJ965" s="1082"/>
      <c r="HK965" s="1082"/>
      <c r="HL965" s="1082"/>
      <c r="HM965" s="1082"/>
      <c r="HN965" s="1082"/>
      <c r="HO965" s="1082"/>
      <c r="HP965" s="1082"/>
      <c r="HQ965" s="1085"/>
      <c r="HR965" s="1082"/>
      <c r="HS965" s="1082"/>
      <c r="HT965" s="1082"/>
      <c r="HU965" s="1082"/>
      <c r="HV965" s="1082"/>
      <c r="HW965" s="1082"/>
      <c r="HX965" s="1082"/>
      <c r="HY965" s="1082"/>
      <c r="HZ965" s="1082"/>
      <c r="IA965" s="1082"/>
      <c r="IB965" s="1082"/>
      <c r="IC965" s="1082"/>
      <c r="ID965" s="1082"/>
      <c r="IE965" s="1082"/>
      <c r="IF965" s="1082"/>
      <c r="IG965" s="1085"/>
      <c r="IH965" s="1082"/>
      <c r="II965" s="1082"/>
      <c r="IJ965" s="1082"/>
      <c r="IK965" s="1082"/>
      <c r="IL965" s="1082"/>
      <c r="IM965" s="1082"/>
      <c r="IN965" s="1082"/>
      <c r="IO965" s="1085"/>
      <c r="IP965" s="1082"/>
      <c r="IX965" s="1126"/>
      <c r="IY965" s="1126"/>
      <c r="IZ965" s="1126"/>
      <c r="JA965" s="1126"/>
      <c r="JB965" s="1126"/>
      <c r="JC965" s="1126"/>
      <c r="JD965" s="1125"/>
      <c r="JE965" s="1126"/>
      <c r="JF965" s="1037"/>
      <c r="JG965" s="1037"/>
      <c r="JH965" s="1037"/>
      <c r="JI965" s="1035"/>
      <c r="JJ965" s="1035"/>
      <c r="JK965" s="1035"/>
      <c r="JL965" s="1035"/>
      <c r="JM965" s="1035"/>
      <c r="JN965" s="1035"/>
      <c r="JO965" s="1035"/>
      <c r="JP965" s="1035"/>
      <c r="JQ965" s="1035"/>
      <c r="JR965" s="1035"/>
      <c r="JS965" s="1035"/>
      <c r="JT965" s="1035"/>
      <c r="JU965" s="1035"/>
      <c r="JV965" s="1035"/>
      <c r="JW965" s="1035"/>
      <c r="JX965" s="1035"/>
      <c r="JY965" s="1035"/>
    </row>
    <row r="966" spans="1:285">
      <c r="B966" s="1648"/>
      <c r="C966" s="1648"/>
      <c r="D966" s="1648"/>
      <c r="E966" s="1648"/>
      <c r="F966" s="1648"/>
      <c r="G966" s="1648"/>
      <c r="H966" s="1648"/>
      <c r="I966" s="1648"/>
      <c r="J966" s="1648"/>
      <c r="K966" s="1648"/>
      <c r="L966" s="1648"/>
      <c r="M966" s="1648"/>
      <c r="N966" s="1648"/>
      <c r="O966" s="1648"/>
      <c r="P966" s="1648"/>
      <c r="Q966" s="1648"/>
      <c r="R966" s="1648"/>
      <c r="S966" s="1648"/>
      <c r="T966" s="1648"/>
      <c r="U966" s="1648"/>
      <c r="V966" s="1648"/>
      <c r="W966" s="1648"/>
      <c r="X966" s="1648"/>
      <c r="Y966" s="1648"/>
      <c r="Z966" s="1648"/>
      <c r="AA966" s="1648"/>
      <c r="AB966" s="1648"/>
      <c r="AC966" s="1648"/>
      <c r="AD966" s="1648"/>
      <c r="AE966" s="1648"/>
      <c r="AF966" s="1648"/>
      <c r="AG966" s="1648"/>
      <c r="AH966" s="1648"/>
      <c r="AI966" s="1648"/>
      <c r="AJ966" s="1648"/>
      <c r="AK966" s="1648"/>
      <c r="AL966" s="1648"/>
      <c r="AM966" s="1648"/>
      <c r="AN966" s="1648"/>
      <c r="AO966" s="1648"/>
      <c r="AP966" s="1648"/>
      <c r="AQ966" s="1648"/>
      <c r="AR966" s="1648"/>
      <c r="AS966" s="1648"/>
      <c r="AT966" s="1648"/>
      <c r="AU966" s="1648"/>
      <c r="AV966" s="1648"/>
      <c r="AW966" s="1648"/>
      <c r="AX966" s="1648"/>
      <c r="AY966" s="1648"/>
      <c r="AZ966" s="1648"/>
      <c r="BA966" s="1648"/>
      <c r="BB966" s="1648"/>
      <c r="BC966" s="1648"/>
      <c r="BD966" s="1648"/>
      <c r="BE966" s="1648"/>
      <c r="BF966" s="1648"/>
      <c r="BG966" s="1648"/>
      <c r="BH966" s="1648"/>
      <c r="BI966" s="1648"/>
      <c r="BJ966" s="1648"/>
      <c r="BK966" s="1648"/>
      <c r="BL966" s="1648"/>
      <c r="BM966" s="1648"/>
      <c r="BN966" s="1648"/>
      <c r="BO966" s="1648"/>
      <c r="BP966" s="1648"/>
      <c r="BQ966" s="1648"/>
      <c r="BR966" s="1648"/>
      <c r="BS966" s="1648"/>
      <c r="BT966" s="1648"/>
      <c r="BU966" s="1648"/>
      <c r="BV966" s="1648"/>
      <c r="BW966" s="1648"/>
      <c r="BX966" s="1648"/>
      <c r="BY966" s="1648"/>
      <c r="BZ966" s="1648"/>
      <c r="CA966" s="1648"/>
      <c r="CB966" s="1648"/>
      <c r="CC966" s="1648"/>
      <c r="CD966" s="1648"/>
      <c r="CE966" s="1648"/>
      <c r="CF966" s="1648"/>
      <c r="CG966" s="1648"/>
      <c r="CH966" s="1648"/>
      <c r="CI966" s="1648"/>
      <c r="CJ966" s="1648"/>
      <c r="CK966" s="1648"/>
      <c r="CL966" s="1648"/>
      <c r="CM966" s="1648"/>
      <c r="CN966" s="1648"/>
      <c r="CO966" s="1648"/>
      <c r="CP966" s="1648"/>
      <c r="CQ966" s="1648"/>
      <c r="CR966" s="1648"/>
      <c r="CS966" s="1648"/>
      <c r="CT966" s="1648"/>
      <c r="CU966" s="1648"/>
      <c r="CV966" s="1648"/>
      <c r="CW966" s="1648"/>
      <c r="CX966" s="1648"/>
      <c r="CY966" s="1648"/>
      <c r="CZ966" s="1648"/>
      <c r="DA966" s="1648"/>
      <c r="DB966" s="1649"/>
      <c r="DC966" s="1649"/>
      <c r="DD966" s="1649"/>
      <c r="DE966" s="1649"/>
      <c r="DF966" s="1649"/>
      <c r="DG966" s="1649"/>
      <c r="DH966" s="1649"/>
      <c r="DI966" s="1650"/>
      <c r="DJ966" s="1649"/>
      <c r="DK966" s="1649"/>
      <c r="DL966" s="1649"/>
      <c r="DM966" s="1649"/>
      <c r="DN966" s="1649"/>
      <c r="DO966" s="1649"/>
      <c r="DP966" s="1649"/>
      <c r="DQ966" s="1650"/>
      <c r="DR966" s="1649"/>
      <c r="DS966" s="1649"/>
      <c r="DT966" s="1649"/>
      <c r="DU966" s="1649"/>
      <c r="DV966" s="1649"/>
      <c r="DW966" s="1649"/>
      <c r="DX966" s="1649"/>
      <c r="DY966" s="1650"/>
      <c r="DZ966" s="1649"/>
      <c r="EA966" s="1649"/>
      <c r="EB966" s="1649"/>
      <c r="EC966" s="1649"/>
      <c r="ED966" s="1649"/>
      <c r="EE966" s="1649"/>
      <c r="EF966" s="1649"/>
      <c r="EG966" s="1650"/>
      <c r="EH966" s="1649"/>
      <c r="EI966" s="1649"/>
      <c r="EJ966" s="1649"/>
      <c r="EK966" s="1649"/>
      <c r="EL966" s="1649"/>
      <c r="EM966" s="1649"/>
      <c r="EN966" s="1649"/>
      <c r="EO966" s="1650"/>
      <c r="EP966" s="1649"/>
      <c r="EQ966" s="1649"/>
      <c r="ER966" s="1649"/>
      <c r="ES966" s="1649"/>
      <c r="ET966" s="1649"/>
      <c r="EU966" s="1649"/>
      <c r="EV966" s="1649"/>
      <c r="FW966" s="765"/>
      <c r="FX966" s="765"/>
      <c r="JE966" s="1126"/>
      <c r="JF966" s="1037"/>
      <c r="JG966" s="1037"/>
      <c r="JH966" s="1037"/>
      <c r="JI966" s="1035"/>
      <c r="JJ966" s="1035"/>
      <c r="JK966" s="1035"/>
      <c r="JL966" s="1035"/>
      <c r="JM966" s="1035"/>
      <c r="JN966" s="1035"/>
      <c r="JO966" s="1035"/>
      <c r="JP966" s="1035"/>
      <c r="JQ966" s="1035"/>
      <c r="JR966" s="1035"/>
      <c r="JS966" s="1035"/>
      <c r="JT966" s="1035"/>
      <c r="JU966" s="1035"/>
      <c r="JV966" s="1035"/>
      <c r="JW966" s="1035"/>
      <c r="JX966" s="1035"/>
      <c r="JY966" s="1035"/>
    </row>
    <row r="967" spans="1:285">
      <c r="A967" s="1035" t="s">
        <v>131</v>
      </c>
      <c r="FF967" s="1635">
        <v>-25</v>
      </c>
      <c r="FG967" s="1635">
        <v>-25</v>
      </c>
      <c r="FH967" s="1635"/>
      <c r="FI967" s="1635">
        <v>-25</v>
      </c>
      <c r="FJ967" s="1635"/>
      <c r="FK967" s="1635">
        <v>-25</v>
      </c>
      <c r="FL967" s="1320"/>
      <c r="FM967" s="1638">
        <v>-100</v>
      </c>
      <c r="FN967" s="1635">
        <v>-20</v>
      </c>
      <c r="FO967" s="1635">
        <v>-27</v>
      </c>
      <c r="FP967" s="1635"/>
      <c r="FQ967" s="1635">
        <v>15</v>
      </c>
      <c r="FR967" s="1635"/>
      <c r="FS967" s="1635">
        <f>FU967-FQ967-FO967-FN967</f>
        <v>-29</v>
      </c>
      <c r="FT967" s="1320"/>
      <c r="FU967" s="1635">
        <v>-61</v>
      </c>
      <c r="FV967" s="1636">
        <v>10</v>
      </c>
      <c r="FW967" s="1635">
        <v>-10</v>
      </c>
      <c r="FX967" s="1635"/>
      <c r="FY967" s="1635">
        <v>20</v>
      </c>
      <c r="FZ967" s="1635"/>
      <c r="GA967" s="1635">
        <v>-20</v>
      </c>
      <c r="GC967" s="1638">
        <f>FV967+FW967+FY967+GA967</f>
        <v>0</v>
      </c>
      <c r="GD967" s="1635"/>
      <c r="GE967" s="1635"/>
      <c r="GF967" s="1635"/>
      <c r="GG967" s="1635"/>
      <c r="GH967" s="1635"/>
      <c r="GI967" s="1635"/>
      <c r="GJ967" s="1635"/>
      <c r="GK967" s="1638"/>
      <c r="GL967" s="1635"/>
      <c r="GM967" s="1635"/>
      <c r="GN967" s="1635"/>
      <c r="GO967" s="1635"/>
      <c r="GP967" s="1635"/>
      <c r="GQ967" s="1635"/>
      <c r="GR967" s="1635"/>
      <c r="GS967" s="1638"/>
      <c r="GT967" s="1635"/>
      <c r="GU967" s="1635"/>
      <c r="GV967" s="1635"/>
      <c r="GW967" s="1635"/>
      <c r="GX967" s="1635"/>
      <c r="GY967" s="1635"/>
      <c r="GZ967" s="1635"/>
      <c r="HA967" s="1638"/>
      <c r="HB967" s="1635"/>
      <c r="HC967" s="1635"/>
      <c r="HD967" s="1635"/>
      <c r="HE967" s="1635"/>
      <c r="HF967" s="1635"/>
      <c r="HG967" s="1635"/>
      <c r="HH967" s="1635"/>
      <c r="HI967" s="1638"/>
      <c r="HJ967" s="1635"/>
      <c r="HK967" s="1635"/>
      <c r="HL967" s="1635"/>
      <c r="HM967" s="1635"/>
      <c r="HN967" s="1635"/>
      <c r="HO967" s="1635"/>
      <c r="HP967" s="1635"/>
      <c r="HQ967" s="1638"/>
      <c r="HR967" s="1635"/>
      <c r="HS967" s="1635"/>
      <c r="HT967" s="1635"/>
      <c r="HU967" s="1635"/>
      <c r="HV967" s="1635"/>
      <c r="HW967" s="1635"/>
      <c r="HX967" s="1635"/>
      <c r="HY967" s="1635"/>
      <c r="HZ967" s="1635"/>
      <c r="IA967" s="1635"/>
      <c r="IB967" s="1635"/>
      <c r="IC967" s="1635"/>
      <c r="ID967" s="1635"/>
      <c r="IE967" s="1635"/>
      <c r="IF967" s="1635"/>
      <c r="IG967" s="1638"/>
      <c r="IH967" s="1635"/>
      <c r="II967" s="1635"/>
      <c r="IJ967" s="1635"/>
      <c r="IK967" s="1635"/>
      <c r="IL967" s="1635"/>
      <c r="IM967" s="1635"/>
      <c r="IN967" s="1635"/>
      <c r="IO967" s="1638"/>
      <c r="IP967" s="1635"/>
      <c r="IS967" s="1646">
        <f>-60</f>
        <v>-60</v>
      </c>
      <c r="IT967" s="1646">
        <f>IT968*GC962</f>
        <v>-16.9062</v>
      </c>
      <c r="IX967" s="1126"/>
      <c r="IY967" s="1126"/>
      <c r="IZ967" s="1126"/>
      <c r="JA967" s="1126"/>
      <c r="JB967" s="1126"/>
      <c r="JC967" s="1126"/>
      <c r="JD967" s="1125"/>
      <c r="JE967" s="1126"/>
      <c r="JF967" s="1037"/>
      <c r="JG967" s="1037"/>
      <c r="JH967" s="1037"/>
      <c r="JI967" s="1035"/>
      <c r="JJ967" s="1035"/>
      <c r="JK967" s="1035"/>
      <c r="JL967" s="1035"/>
      <c r="JM967" s="1035"/>
      <c r="JN967" s="1035"/>
      <c r="JO967" s="1035"/>
      <c r="JP967" s="1035"/>
      <c r="JQ967" s="1035"/>
      <c r="JR967" s="1035"/>
      <c r="JS967" s="1035"/>
      <c r="JT967" s="1035"/>
      <c r="JU967" s="1035"/>
      <c r="JV967" s="1035"/>
      <c r="JW967" s="1035"/>
      <c r="JX967" s="1035"/>
      <c r="JY967" s="1035"/>
    </row>
    <row r="968" spans="1:285">
      <c r="A968" s="1035" t="s">
        <v>132</v>
      </c>
      <c r="B968" s="1651"/>
      <c r="C968" s="1651"/>
      <c r="D968" s="1651"/>
      <c r="E968" s="1651"/>
      <c r="F968" s="1651"/>
      <c r="G968" s="1651"/>
      <c r="H968" s="1651"/>
      <c r="I968" s="1651"/>
      <c r="J968" s="1651"/>
      <c r="K968" s="1651"/>
      <c r="L968" s="1651"/>
      <c r="M968" s="1651"/>
      <c r="N968" s="1651"/>
      <c r="O968" s="1651"/>
      <c r="P968" s="1651"/>
      <c r="Q968" s="1651"/>
      <c r="R968" s="1651"/>
      <c r="S968" s="1651"/>
      <c r="T968" s="1651"/>
      <c r="U968" s="1651"/>
      <c r="V968" s="1651"/>
      <c r="W968" s="1651"/>
      <c r="X968" s="1651"/>
      <c r="Y968" s="1651"/>
      <c r="Z968" s="1651"/>
      <c r="AA968" s="1651"/>
      <c r="AB968" s="1651"/>
      <c r="AC968" s="1651"/>
      <c r="AD968" s="1651"/>
      <c r="AE968" s="1651"/>
      <c r="AF968" s="1651"/>
      <c r="AG968" s="1651"/>
      <c r="AH968" s="1651"/>
      <c r="AI968" s="1651"/>
      <c r="AJ968" s="1651"/>
      <c r="AK968" s="1651"/>
      <c r="AL968" s="1651"/>
      <c r="AM968" s="1651"/>
      <c r="AN968" s="1651"/>
      <c r="AO968" s="1651"/>
      <c r="AP968" s="1651"/>
      <c r="AQ968" s="1651"/>
      <c r="AR968" s="1651"/>
      <c r="AS968" s="1651"/>
      <c r="AT968" s="1651"/>
      <c r="AU968" s="1651"/>
      <c r="AV968" s="1651"/>
      <c r="AW968" s="1651"/>
      <c r="AX968" s="1651"/>
      <c r="AY968" s="1651"/>
      <c r="AZ968" s="1651"/>
      <c r="BA968" s="1651"/>
      <c r="BB968" s="1651"/>
      <c r="BC968" s="1651"/>
      <c r="BD968" s="1651"/>
      <c r="BE968" s="1651"/>
      <c r="BF968" s="1651"/>
      <c r="BG968" s="1651"/>
      <c r="BH968" s="1651"/>
      <c r="BI968" s="1651"/>
      <c r="BJ968" s="1651"/>
      <c r="BK968" s="1651"/>
      <c r="BL968" s="1651"/>
      <c r="BM968" s="1651"/>
      <c r="BN968" s="1651"/>
      <c r="BO968" s="1651"/>
      <c r="BP968" s="1651"/>
      <c r="BQ968" s="1651"/>
      <c r="BR968" s="1651"/>
      <c r="BS968" s="1651"/>
      <c r="BT968" s="1651"/>
      <c r="BU968" s="1651"/>
      <c r="BV968" s="1651"/>
      <c r="BW968" s="1651"/>
      <c r="BX968" s="1651"/>
      <c r="BY968" s="1651"/>
      <c r="BZ968" s="1651"/>
      <c r="CA968" s="1651"/>
      <c r="CB968" s="1651"/>
      <c r="CC968" s="1651"/>
      <c r="CD968" s="1651"/>
      <c r="CE968" s="1651"/>
      <c r="CF968" s="1651"/>
      <c r="CG968" s="1651"/>
      <c r="CH968" s="1651"/>
      <c r="CI968" s="1651"/>
      <c r="CJ968" s="1651"/>
      <c r="CK968" s="1651"/>
      <c r="CL968" s="1651"/>
      <c r="CM968" s="1651"/>
      <c r="CN968" s="1651"/>
      <c r="CO968" s="1651"/>
      <c r="CP968" s="1651"/>
      <c r="CQ968" s="1651"/>
      <c r="CR968" s="1651"/>
      <c r="CS968" s="1651"/>
      <c r="CT968" s="1651"/>
      <c r="CU968" s="1651"/>
      <c r="CV968" s="1651"/>
      <c r="CW968" s="1651"/>
      <c r="CX968" s="1651"/>
      <c r="CY968" s="1651"/>
      <c r="CZ968" s="1651"/>
      <c r="DA968" s="1651"/>
      <c r="DB968" s="1652"/>
      <c r="DC968" s="1652"/>
      <c r="DD968" s="1652"/>
      <c r="DE968" s="1652"/>
      <c r="DF968" s="1652"/>
      <c r="DG968" s="1652"/>
      <c r="DH968" s="1652"/>
      <c r="DI968" s="1653"/>
      <c r="DJ968" s="1652"/>
      <c r="DK968" s="1652"/>
      <c r="DL968" s="1652"/>
      <c r="DM968" s="1652"/>
      <c r="DN968" s="1652"/>
      <c r="DO968" s="1652"/>
      <c r="DP968" s="1652"/>
      <c r="DQ968" s="1653"/>
      <c r="DR968" s="1652"/>
      <c r="DS968" s="1652"/>
      <c r="DT968" s="1652"/>
      <c r="DU968" s="1652"/>
      <c r="DV968" s="1652"/>
      <c r="DW968" s="1652"/>
      <c r="DX968" s="1652"/>
      <c r="DY968" s="1653"/>
      <c r="DZ968" s="1652"/>
      <c r="EA968" s="1652"/>
      <c r="EB968" s="1652"/>
      <c r="EC968" s="1652"/>
      <c r="ED968" s="1652"/>
      <c r="EE968" s="1652"/>
      <c r="EF968" s="1652"/>
      <c r="EG968" s="1653"/>
      <c r="EH968" s="1652"/>
      <c r="EI968" s="1652"/>
      <c r="EJ968" s="1652"/>
      <c r="EK968" s="1652"/>
      <c r="EL968" s="1652"/>
      <c r="EM968" s="1652"/>
      <c r="EN968" s="1652"/>
      <c r="EO968" s="1653"/>
      <c r="EP968" s="1652"/>
      <c r="EQ968" s="1652"/>
      <c r="ER968" s="1652"/>
      <c r="ES968" s="1652"/>
      <c r="ET968" s="1652"/>
      <c r="EU968" s="1652"/>
      <c r="EV968" s="1652"/>
      <c r="FF968" s="1338">
        <f>FF967/FF$962</f>
        <v>-0.119970916141541</v>
      </c>
      <c r="FG968" s="1338">
        <f>FG967/FG$962</f>
        <v>-0.118612179282335</v>
      </c>
      <c r="FH968" s="1320"/>
      <c r="FI968" s="1338">
        <f>FI967/FI$962</f>
        <v>-0.102978147360278</v>
      </c>
      <c r="FJ968" s="1320"/>
      <c r="FK968" s="1338">
        <f>FK967/FK$962</f>
        <v>-0.184212120294376</v>
      </c>
      <c r="FL968" s="1320"/>
      <c r="FM968" s="1085">
        <f>FM967/FM$962</f>
        <v>-0.125370180781485</v>
      </c>
      <c r="FN968" s="1338">
        <f>FN967/FN$962</f>
        <v>-0.0969461948618517</v>
      </c>
      <c r="FO968" s="1338">
        <f>FO967/FO$962</f>
        <v>-0.120414761957855</v>
      </c>
      <c r="FP968" s="1320"/>
      <c r="FQ968" s="1338">
        <f>FQ967/FQ$962</f>
        <v>0.0580158576677625</v>
      </c>
      <c r="FR968" s="1320"/>
      <c r="FS968" s="1338">
        <f>FS967/FS$962</f>
        <v>-0.245919016323935</v>
      </c>
      <c r="FT968" s="1320"/>
      <c r="FU968" s="1082">
        <f>FU967/FU$962</f>
        <v>-0.0755885997521685</v>
      </c>
      <c r="FV968" s="1109">
        <f>FV967/FV962</f>
        <v>0.0544641544167706</v>
      </c>
      <c r="FW968" s="1228">
        <f>FW967/FW962</f>
        <v>-0.0501101797577423</v>
      </c>
      <c r="FX968" s="1320"/>
      <c r="FY968" s="1228">
        <f>FY967/FY962</f>
        <v>0.086915142573427</v>
      </c>
      <c r="FZ968" s="1320"/>
      <c r="GA968" s="1228">
        <f>GA967/GA962</f>
        <v>-0.190561035508667</v>
      </c>
      <c r="GC968" s="1085">
        <f>GC967/GC$962</f>
        <v>0</v>
      </c>
      <c r="GD968" s="1082"/>
      <c r="GE968" s="1082"/>
      <c r="GF968" s="1082"/>
      <c r="GG968" s="1082"/>
      <c r="GH968" s="1082"/>
      <c r="GI968" s="1082"/>
      <c r="GJ968" s="1082"/>
      <c r="GK968" s="1085"/>
      <c r="GL968" s="1082"/>
      <c r="GM968" s="1082"/>
      <c r="GN968" s="1082"/>
      <c r="GO968" s="1082"/>
      <c r="GP968" s="1082"/>
      <c r="GQ968" s="1082"/>
      <c r="GR968" s="1082"/>
      <c r="GS968" s="1085"/>
      <c r="GT968" s="1082"/>
      <c r="GU968" s="1082"/>
      <c r="GV968" s="1082"/>
      <c r="GW968" s="1082"/>
      <c r="GX968" s="1082"/>
      <c r="GY968" s="1082"/>
      <c r="GZ968" s="1082"/>
      <c r="HA968" s="1085"/>
      <c r="HB968" s="1082"/>
      <c r="HC968" s="1082"/>
      <c r="HD968" s="1082"/>
      <c r="HE968" s="1082"/>
      <c r="HF968" s="1082"/>
      <c r="HG968" s="1082"/>
      <c r="HH968" s="1082"/>
      <c r="HI968" s="1085"/>
      <c r="HJ968" s="1082"/>
      <c r="HK968" s="1082"/>
      <c r="HL968" s="1082"/>
      <c r="HM968" s="1082"/>
      <c r="HN968" s="1082"/>
      <c r="HO968" s="1082"/>
      <c r="HP968" s="1082"/>
      <c r="HQ968" s="1085"/>
      <c r="HR968" s="1082"/>
      <c r="HS968" s="1082"/>
      <c r="HT968" s="1082"/>
      <c r="HU968" s="1082"/>
      <c r="HV968" s="1082"/>
      <c r="HW968" s="1082"/>
      <c r="HX968" s="1082"/>
      <c r="HY968" s="1082"/>
      <c r="HZ968" s="1082"/>
      <c r="IA968" s="1082"/>
      <c r="IB968" s="1082"/>
      <c r="IC968" s="1082"/>
      <c r="ID968" s="1082"/>
      <c r="IE968" s="1082"/>
      <c r="IF968" s="1082"/>
      <c r="IG968" s="1085"/>
      <c r="IH968" s="1082"/>
      <c r="II968" s="1082"/>
      <c r="IJ968" s="1082"/>
      <c r="IK968" s="1082"/>
      <c r="IL968" s="1082"/>
      <c r="IM968" s="1082"/>
      <c r="IN968" s="1082"/>
      <c r="IO968" s="1085"/>
      <c r="IP968" s="1082"/>
      <c r="IQ968" s="2127" t="s">
        <v>688</v>
      </c>
      <c r="IS968" s="765">
        <f>IS967/GC962</f>
        <v>-0.0835386993024519</v>
      </c>
      <c r="IT968" s="765">
        <f>IS968+6%</f>
        <v>-0.0235386993024519</v>
      </c>
      <c r="JE968" s="1126"/>
      <c r="JF968" s="1037"/>
      <c r="JG968" s="1037"/>
      <c r="JH968" s="1037"/>
      <c r="JI968" s="1035"/>
      <c r="JJ968" s="1035"/>
      <c r="JK968" s="1035"/>
      <c r="JL968" s="1035"/>
      <c r="JM968" s="1035"/>
      <c r="JN968" s="1035"/>
      <c r="JO968" s="1035"/>
      <c r="JP968" s="1035"/>
      <c r="JQ968" s="1035"/>
      <c r="JR968" s="1035"/>
      <c r="JS968" s="1035"/>
      <c r="JT968" s="1035"/>
      <c r="JU968" s="1035"/>
      <c r="JV968" s="1035"/>
      <c r="JW968" s="1035"/>
      <c r="JX968" s="1035"/>
      <c r="JY968" s="1035"/>
    </row>
    <row r="969" spans="1:285">
      <c r="B969" s="1654"/>
      <c r="C969" s="1654"/>
      <c r="D969" s="1654"/>
      <c r="E969" s="1654"/>
      <c r="F969" s="1654"/>
      <c r="G969" s="1654"/>
      <c r="H969" s="1654"/>
      <c r="I969" s="1654"/>
      <c r="J969" s="1654"/>
      <c r="K969" s="1654"/>
      <c r="L969" s="1654"/>
      <c r="M969" s="1654"/>
      <c r="N969" s="1654"/>
      <c r="O969" s="1654"/>
      <c r="P969" s="1654"/>
      <c r="Q969" s="1654"/>
      <c r="R969" s="1654"/>
      <c r="S969" s="1654"/>
      <c r="T969" s="1654"/>
      <c r="U969" s="1654"/>
      <c r="V969" s="1654"/>
      <c r="W969" s="1654"/>
      <c r="X969" s="1654"/>
      <c r="Y969" s="1654"/>
      <c r="Z969" s="1654"/>
      <c r="AA969" s="1654"/>
      <c r="AB969" s="1654"/>
      <c r="AC969" s="1654"/>
      <c r="AD969" s="1654"/>
      <c r="AE969" s="1654"/>
      <c r="AF969" s="1654"/>
      <c r="AG969" s="1654"/>
      <c r="AH969" s="1654"/>
      <c r="AI969" s="1654"/>
      <c r="AJ969" s="1654"/>
      <c r="AK969" s="1654"/>
      <c r="AL969" s="1654"/>
      <c r="AM969" s="1654"/>
      <c r="AN969" s="1654"/>
      <c r="AO969" s="1654"/>
      <c r="AP969" s="1654"/>
      <c r="AQ969" s="1654"/>
      <c r="AR969" s="1654"/>
      <c r="AS969" s="1654"/>
      <c r="AT969" s="1654"/>
      <c r="AU969" s="1654"/>
      <c r="AV969" s="1654"/>
      <c r="AW969" s="1654"/>
      <c r="AX969" s="1654"/>
      <c r="AY969" s="1654"/>
      <c r="AZ969" s="1654"/>
      <c r="BA969" s="1654"/>
      <c r="BB969" s="1654"/>
      <c r="BC969" s="1654"/>
      <c r="BD969" s="1654"/>
      <c r="BE969" s="1654"/>
      <c r="BF969" s="1654"/>
      <c r="BG969" s="1654"/>
      <c r="BH969" s="1654"/>
      <c r="BI969" s="1654"/>
      <c r="BJ969" s="1654"/>
      <c r="BK969" s="1654"/>
      <c r="BL969" s="1654"/>
      <c r="BM969" s="1654"/>
      <c r="BN969" s="1654"/>
      <c r="BO969" s="1654"/>
      <c r="BP969" s="1654"/>
      <c r="BQ969" s="1654"/>
      <c r="BR969" s="1654"/>
      <c r="BS969" s="1654"/>
      <c r="BT969" s="1654"/>
      <c r="BU969" s="1654"/>
      <c r="BV969" s="1654"/>
      <c r="BW969" s="1654"/>
      <c r="BX969" s="1654"/>
      <c r="BY969" s="1654"/>
      <c r="BZ969" s="1654"/>
      <c r="CA969" s="1654"/>
      <c r="CB969" s="1654"/>
      <c r="CC969" s="1654"/>
      <c r="CD969" s="1654"/>
      <c r="CE969" s="1654"/>
      <c r="CF969" s="1654"/>
      <c r="CG969" s="1654"/>
      <c r="CH969" s="1654"/>
      <c r="CI969" s="1654"/>
      <c r="CJ969" s="1654"/>
      <c r="CK969" s="1654"/>
      <c r="CL969" s="1654"/>
      <c r="CM969" s="1654"/>
      <c r="CN969" s="1654"/>
      <c r="CO969" s="1654"/>
      <c r="CP969" s="1654"/>
      <c r="CQ969" s="1654"/>
      <c r="CR969" s="1654"/>
      <c r="CS969" s="1654"/>
      <c r="CT969" s="1654"/>
      <c r="CU969" s="1654"/>
      <c r="CV969" s="1654"/>
      <c r="CW969" s="1654"/>
      <c r="CX969" s="1654"/>
      <c r="CY969" s="1654"/>
      <c r="CZ969" s="1654"/>
      <c r="DA969" s="1654"/>
      <c r="DB969" s="1655"/>
      <c r="DC969" s="1655"/>
      <c r="DD969" s="1655"/>
      <c r="DE969" s="1655"/>
      <c r="DF969" s="1655"/>
      <c r="DG969" s="1655"/>
      <c r="DH969" s="1655"/>
      <c r="DI969" s="1656"/>
      <c r="DJ969" s="1655"/>
      <c r="DK969" s="1655"/>
      <c r="DL969" s="1655"/>
      <c r="DM969" s="1655"/>
      <c r="DN969" s="1655"/>
      <c r="DO969" s="1655"/>
      <c r="DP969" s="1655"/>
      <c r="DQ969" s="1656"/>
      <c r="DR969" s="1655"/>
      <c r="DS969" s="1655"/>
      <c r="DT969" s="1655"/>
      <c r="DU969" s="1655"/>
      <c r="DV969" s="1655"/>
      <c r="DW969" s="1655"/>
      <c r="DX969" s="1655"/>
      <c r="DY969" s="1656"/>
      <c r="DZ969" s="1655"/>
      <c r="EA969" s="1655"/>
      <c r="EB969" s="1655"/>
      <c r="EC969" s="1655"/>
      <c r="ED969" s="1655"/>
      <c r="EE969" s="1655"/>
      <c r="EF969" s="1655"/>
      <c r="EG969" s="1656"/>
      <c r="EH969" s="1655"/>
      <c r="EI969" s="1655"/>
      <c r="EJ969" s="1655"/>
      <c r="EK969" s="1655"/>
      <c r="EL969" s="1655"/>
      <c r="EM969" s="1655"/>
      <c r="EN969" s="1655"/>
      <c r="EO969" s="1656"/>
      <c r="EP969" s="1655"/>
      <c r="EQ969" s="1655"/>
      <c r="ER969" s="1655"/>
      <c r="ES969" s="1655"/>
      <c r="ET969" s="1655"/>
      <c r="EU969" s="1655"/>
      <c r="EV969" s="1655"/>
      <c r="FN969" s="1635"/>
      <c r="FO969" s="1635"/>
      <c r="FP969" s="1635"/>
      <c r="FQ969" s="1635"/>
      <c r="FR969" s="1635"/>
      <c r="FS969" s="1635"/>
      <c r="JE969" s="1126"/>
      <c r="JF969" s="1037"/>
      <c r="JG969" s="1037"/>
      <c r="JH969" s="1037"/>
      <c r="JI969" s="1035"/>
      <c r="JJ969" s="1035"/>
      <c r="JK969" s="1035"/>
      <c r="JL969" s="1035"/>
      <c r="JM969" s="1035"/>
      <c r="JN969" s="1035"/>
      <c r="JO969" s="1035"/>
      <c r="JP969" s="1035"/>
      <c r="JQ969" s="1035"/>
      <c r="JR969" s="1035"/>
      <c r="JS969" s="1035"/>
      <c r="JT969" s="1035"/>
      <c r="JU969" s="1035"/>
      <c r="JV969" s="1035"/>
      <c r="JW969" s="1035"/>
      <c r="JX969" s="1035"/>
      <c r="JY969" s="1035"/>
    </row>
    <row r="970" spans="1:285">
      <c r="FN970" s="1635">
        <f>FN383</f>
        <v>-1</v>
      </c>
      <c r="FO970" s="1635">
        <f>FO383</f>
        <v>-19</v>
      </c>
      <c r="FP970" s="1635"/>
      <c r="FQ970" s="1635">
        <f>FQ383</f>
        <v>8</v>
      </c>
      <c r="FR970" s="1635"/>
      <c r="FS970" s="1635">
        <f>FS383</f>
        <v>-2</v>
      </c>
      <c r="FV970" s="1636">
        <f>FV383</f>
        <v>32</v>
      </c>
      <c r="IX970" s="1126"/>
      <c r="IY970" s="1126"/>
      <c r="IZ970" s="1126"/>
      <c r="JA970" s="1126"/>
      <c r="JB970" s="1126"/>
      <c r="JC970" s="1126"/>
      <c r="JD970" s="1125"/>
      <c r="JE970" s="1126"/>
      <c r="JF970" s="1037"/>
      <c r="JG970" s="1037"/>
      <c r="JH970" s="1037"/>
      <c r="JI970" s="1035"/>
      <c r="JJ970" s="1035"/>
      <c r="JK970" s="1035"/>
      <c r="JL970" s="1035"/>
      <c r="JM970" s="1035"/>
      <c r="JN970" s="1035"/>
      <c r="JO970" s="1035"/>
      <c r="JP970" s="1035"/>
      <c r="JQ970" s="1035"/>
      <c r="JR970" s="1035"/>
      <c r="JS970" s="1035"/>
      <c r="JT970" s="1035"/>
      <c r="JU970" s="1035"/>
      <c r="JV970" s="1035"/>
      <c r="JW970" s="1035"/>
      <c r="JX970" s="1035"/>
      <c r="JY970" s="1035"/>
    </row>
    <row r="971" spans="1:285">
      <c r="FN971" s="1635"/>
      <c r="FO971" s="1635"/>
      <c r="FP971" s="1635"/>
      <c r="FQ971" s="1635"/>
      <c r="FR971" s="1635"/>
      <c r="FS971" s="1635"/>
      <c r="FV971" s="1636"/>
      <c r="IX971" s="1126"/>
      <c r="IY971" s="1126"/>
      <c r="IZ971" s="1126"/>
      <c r="JA971" s="1126"/>
      <c r="JB971" s="1126"/>
      <c r="JC971" s="1126"/>
      <c r="JD971" s="1125"/>
      <c r="JE971" s="1126"/>
      <c r="JF971" s="1037"/>
      <c r="JG971" s="1037"/>
      <c r="JH971" s="1037"/>
      <c r="JI971" s="1035"/>
      <c r="JJ971" s="1035"/>
      <c r="JK971" s="1035"/>
      <c r="JL971" s="1035"/>
      <c r="JM971" s="1035"/>
      <c r="JN971" s="1035"/>
      <c r="JO971" s="1035"/>
      <c r="JP971" s="1035"/>
      <c r="JQ971" s="1035"/>
      <c r="JR971" s="1035"/>
      <c r="JS971" s="1035"/>
      <c r="JT971" s="1035"/>
      <c r="JU971" s="1035"/>
      <c r="JV971" s="1035"/>
      <c r="JW971" s="1035"/>
      <c r="JX971" s="1035"/>
      <c r="JY971" s="1035"/>
    </row>
    <row r="972" spans="1:285">
      <c r="A972" s="969" t="s">
        <v>691</v>
      </c>
      <c r="FN972" s="1635"/>
      <c r="FO972" s="1635"/>
      <c r="FP972" s="1635"/>
      <c r="FQ972" s="1635"/>
      <c r="FR972" s="1635"/>
      <c r="FS972" s="1635"/>
      <c r="FV972" s="1636"/>
      <c r="IX972" s="1126"/>
      <c r="IY972" s="1126"/>
      <c r="IZ972" s="1126"/>
      <c r="JA972" s="1126"/>
      <c r="JB972" s="1126"/>
      <c r="JC972" s="1126"/>
      <c r="JD972" s="1125"/>
      <c r="JE972" s="1126"/>
      <c r="JF972" s="1037"/>
      <c r="JG972" s="1037"/>
      <c r="JH972" s="1037"/>
      <c r="JI972" s="1035"/>
      <c r="JJ972" s="1035"/>
      <c r="JK972" s="1035"/>
      <c r="JL972" s="1035"/>
      <c r="JM972" s="1035"/>
      <c r="JN972" s="1035"/>
      <c r="JO972" s="1035"/>
      <c r="JP972" s="1035"/>
      <c r="JQ972" s="1035"/>
      <c r="JR972" s="1035"/>
      <c r="JS972" s="1035"/>
      <c r="JT972" s="1035"/>
      <c r="JU972" s="1035"/>
      <c r="JV972" s="1035"/>
      <c r="JW972" s="1035"/>
      <c r="JX972" s="1035"/>
      <c r="JY972" s="1035"/>
    </row>
    <row r="973" spans="1:285">
      <c r="FN973" s="1635"/>
      <c r="FO973" s="1635"/>
      <c r="FP973" s="1635"/>
      <c r="FQ973" s="1635"/>
      <c r="FR973" s="1635"/>
      <c r="FS973" s="1635"/>
      <c r="FV973" s="1636"/>
      <c r="IX973" s="1126"/>
      <c r="IY973" s="1126"/>
      <c r="IZ973" s="1126"/>
      <c r="JA973" s="1126"/>
      <c r="JB973" s="1126"/>
      <c r="JC973" s="1126"/>
      <c r="JD973" s="1125"/>
      <c r="JE973" s="1126"/>
      <c r="JF973" s="1037"/>
      <c r="JG973" s="1037"/>
      <c r="JH973" s="1037"/>
      <c r="JI973" s="1035"/>
      <c r="JJ973" s="1035"/>
      <c r="JK973" s="1035"/>
      <c r="JL973" s="1035"/>
      <c r="JM973" s="1035"/>
      <c r="JN973" s="1035"/>
      <c r="JO973" s="1035"/>
      <c r="JP973" s="1035"/>
      <c r="JQ973" s="1035"/>
      <c r="JR973" s="1035"/>
      <c r="JS973" s="1035"/>
      <c r="JT973" s="1035"/>
      <c r="JU973" s="1035"/>
      <c r="JV973" s="1035"/>
      <c r="JW973" s="1035"/>
      <c r="JX973" s="1035"/>
      <c r="JY973" s="1035"/>
    </row>
    <row r="974" spans="1:285">
      <c r="A974" s="1035" t="s">
        <v>230</v>
      </c>
      <c r="EX974" s="1635">
        <f t="shared" ref="EX974:FM974" si="4729">EX388</f>
        <v>3481</v>
      </c>
      <c r="EY974" s="1635">
        <f t="shared" si="4729"/>
        <v>3398</v>
      </c>
      <c r="EZ974" s="1635">
        <f t="shared" si="4729"/>
        <v>6879</v>
      </c>
      <c r="FA974" s="1635">
        <f t="shared" si="4729"/>
        <v>4044</v>
      </c>
      <c r="FB974" s="1635">
        <f t="shared" si="4729"/>
        <v>10923</v>
      </c>
      <c r="FC974" s="1635">
        <f t="shared" si="4729"/>
        <v>3610</v>
      </c>
      <c r="FD974" s="1635">
        <f t="shared" si="4729"/>
        <v>7654</v>
      </c>
      <c r="FE974" s="1635">
        <f t="shared" si="4729"/>
        <v>14533</v>
      </c>
      <c r="FF974" s="1635">
        <f t="shared" si="4729"/>
        <v>4083</v>
      </c>
      <c r="FG974" s="1635">
        <f t="shared" si="4729"/>
        <v>3907</v>
      </c>
      <c r="FH974" s="1635">
        <f t="shared" si="4729"/>
        <v>7990</v>
      </c>
      <c r="FI974" s="1635">
        <f t="shared" si="4729"/>
        <v>4757</v>
      </c>
      <c r="FJ974" s="1635">
        <f t="shared" si="4729"/>
        <v>12747</v>
      </c>
      <c r="FK974" s="1635">
        <f t="shared" si="4729"/>
        <v>4168</v>
      </c>
      <c r="FL974" s="1635">
        <f t="shared" si="4729"/>
        <v>8925</v>
      </c>
      <c r="FM974" s="1635">
        <f t="shared" si="4729"/>
        <v>16915</v>
      </c>
      <c r="FN974" s="1635">
        <f t="shared" ref="FN974:FS974" si="4730">FN388</f>
        <v>4769</v>
      </c>
      <c r="FO974" s="1635">
        <f t="shared" si="4730"/>
        <v>4423</v>
      </c>
      <c r="FP974" s="1635">
        <f t="shared" si="4730"/>
        <v>9192</v>
      </c>
      <c r="FQ974" s="1635">
        <f t="shared" si="4730"/>
        <v>5412</v>
      </c>
      <c r="FR974" s="1635">
        <f t="shared" si="4730"/>
        <v>14604</v>
      </c>
      <c r="FS974" s="1635">
        <f t="shared" si="4730"/>
        <v>4686</v>
      </c>
      <c r="FT974" s="1320"/>
      <c r="FU974" s="1320"/>
      <c r="FV974" s="1636"/>
      <c r="FW974" s="1320"/>
      <c r="IX974" s="1126"/>
      <c r="IY974" s="1126"/>
      <c r="IZ974" s="1126"/>
      <c r="JA974" s="1126"/>
      <c r="JB974" s="1126"/>
      <c r="JC974" s="1126"/>
      <c r="JD974" s="1125"/>
      <c r="JE974" s="1126"/>
      <c r="JF974" s="1037"/>
      <c r="JG974" s="1037"/>
      <c r="JH974" s="1037"/>
      <c r="JI974" s="1035"/>
      <c r="JJ974" s="1035"/>
      <c r="JK974" s="1035"/>
      <c r="JL974" s="1035"/>
      <c r="JM974" s="1035"/>
      <c r="JN974" s="1035"/>
      <c r="JO974" s="1035"/>
      <c r="JP974" s="1035"/>
      <c r="JQ974" s="1035"/>
      <c r="JR974" s="1035"/>
      <c r="JS974" s="1035"/>
      <c r="JT974" s="1035"/>
      <c r="JU974" s="1035"/>
      <c r="JV974" s="1035"/>
      <c r="JW974" s="1035"/>
      <c r="JX974" s="1035"/>
      <c r="JY974" s="1035"/>
    </row>
    <row r="975" spans="1:285">
      <c r="A975" s="1035" t="s">
        <v>692</v>
      </c>
      <c r="EX975" s="1320"/>
      <c r="EY975" s="1320"/>
      <c r="EZ975" s="1320"/>
      <c r="FA975" s="1320"/>
      <c r="FB975" s="1320"/>
      <c r="FC975" s="1320"/>
      <c r="FD975" s="1320"/>
      <c r="FE975" s="1644"/>
      <c r="FF975" s="1320"/>
      <c r="FG975" s="1320"/>
      <c r="FH975" s="1320"/>
      <c r="FI975" s="1320"/>
      <c r="FJ975" s="1320"/>
      <c r="FK975" s="1320"/>
      <c r="FL975" s="1320"/>
      <c r="FM975" s="1644"/>
      <c r="FN975" s="1635">
        <v>4562</v>
      </c>
      <c r="FO975" s="1635">
        <v>4199</v>
      </c>
      <c r="FP975" s="1635"/>
      <c r="FQ975" s="1635">
        <v>5222</v>
      </c>
      <c r="FR975" s="1635"/>
      <c r="FS975" s="1635">
        <v>4500</v>
      </c>
      <c r="FT975" s="1320"/>
      <c r="FU975" s="1320"/>
      <c r="FV975" s="1636">
        <v>5447</v>
      </c>
      <c r="FW975" s="1320">
        <v>5038</v>
      </c>
      <c r="IX975" s="1126"/>
      <c r="IY975" s="1126"/>
      <c r="IZ975" s="1126"/>
      <c r="JA975" s="1126"/>
      <c r="JB975" s="1126"/>
      <c r="JC975" s="1126"/>
      <c r="JD975" s="1125"/>
      <c r="JE975" s="1126"/>
      <c r="JF975" s="1037"/>
      <c r="JG975" s="1037"/>
      <c r="JH975" s="1037"/>
      <c r="JI975" s="1035"/>
      <c r="JJ975" s="1035"/>
      <c r="JK975" s="1035"/>
      <c r="JL975" s="1035"/>
      <c r="JM975" s="1035"/>
      <c r="JN975" s="1035"/>
      <c r="JO975" s="1035"/>
      <c r="JP975" s="1035"/>
      <c r="JQ975" s="1035"/>
      <c r="JR975" s="1035"/>
      <c r="JS975" s="1035"/>
      <c r="JT975" s="1035"/>
      <c r="JU975" s="1035"/>
      <c r="JV975" s="1035"/>
      <c r="JW975" s="1035"/>
      <c r="JX975" s="1035"/>
      <c r="JY975" s="1035"/>
    </row>
    <row r="976" spans="1:285">
      <c r="EX976" s="1320"/>
      <c r="EY976" s="1320"/>
      <c r="EZ976" s="1320"/>
      <c r="FA976" s="1320"/>
      <c r="FB976" s="1320"/>
      <c r="FC976" s="1320"/>
      <c r="FD976" s="1320"/>
      <c r="FE976" s="1644"/>
      <c r="FF976" s="1320"/>
      <c r="FG976" s="1320"/>
      <c r="FH976" s="1320"/>
      <c r="FI976" s="1320"/>
      <c r="FJ976" s="1320"/>
      <c r="FK976" s="1320"/>
      <c r="FL976" s="1320"/>
      <c r="FM976" s="1644"/>
      <c r="FN976" s="1635"/>
      <c r="FO976" s="1635"/>
      <c r="FP976" s="1635"/>
      <c r="FQ976" s="1635"/>
      <c r="FR976" s="1635"/>
      <c r="FS976" s="1635"/>
      <c r="FT976" s="1320"/>
      <c r="FU976" s="1320"/>
      <c r="FV976" s="1636"/>
      <c r="FW976" s="1320"/>
      <c r="IX976" s="1126"/>
      <c r="IY976" s="1126"/>
      <c r="IZ976" s="1126"/>
      <c r="JA976" s="1126"/>
      <c r="JB976" s="1126"/>
      <c r="JC976" s="1126"/>
      <c r="JD976" s="1125"/>
      <c r="JE976" s="1126"/>
      <c r="JF976" s="1037"/>
      <c r="JG976" s="1037"/>
      <c r="JH976" s="1037"/>
      <c r="JI976" s="1035"/>
      <c r="JJ976" s="1035"/>
      <c r="JK976" s="1035"/>
      <c r="JL976" s="1035"/>
      <c r="JM976" s="1035"/>
      <c r="JN976" s="1035"/>
      <c r="JO976" s="1035"/>
      <c r="JP976" s="1035"/>
      <c r="JQ976" s="1035"/>
      <c r="JR976" s="1035"/>
      <c r="JS976" s="1035"/>
      <c r="JT976" s="1035"/>
      <c r="JU976" s="1035"/>
      <c r="JV976" s="1035"/>
      <c r="JW976" s="1035"/>
      <c r="JX976" s="1035"/>
      <c r="JY976" s="1035"/>
    </row>
    <row r="977" spans="1:285">
      <c r="A977" s="1035" t="s">
        <v>127</v>
      </c>
      <c r="EX977" s="1635">
        <f t="shared" ref="EX977:FS977" si="4731">EX395</f>
        <v>1712</v>
      </c>
      <c r="EY977" s="1635">
        <f t="shared" si="4731"/>
        <v>1673</v>
      </c>
      <c r="EZ977" s="1635">
        <f t="shared" si="4731"/>
        <v>3385</v>
      </c>
      <c r="FA977" s="1635">
        <f t="shared" si="4731"/>
        <v>1918</v>
      </c>
      <c r="FB977" s="1635">
        <f t="shared" si="4731"/>
        <v>5303</v>
      </c>
      <c r="FC977" s="1635">
        <f t="shared" si="4731"/>
        <v>1621</v>
      </c>
      <c r="FD977" s="1635">
        <f t="shared" si="4731"/>
        <v>3539</v>
      </c>
      <c r="FE977" s="1635">
        <f t="shared" si="4731"/>
        <v>6924</v>
      </c>
      <c r="FF977" s="1635">
        <f t="shared" si="4731"/>
        <v>2008</v>
      </c>
      <c r="FG977" s="1635">
        <f t="shared" si="4731"/>
        <v>1889</v>
      </c>
      <c r="FH977" s="1635">
        <f t="shared" si="4731"/>
        <v>3897</v>
      </c>
      <c r="FI977" s="1635">
        <f t="shared" si="4731"/>
        <v>2304</v>
      </c>
      <c r="FJ977" s="1635">
        <f t="shared" si="4731"/>
        <v>6201</v>
      </c>
      <c r="FK977" s="1635">
        <f t="shared" si="4731"/>
        <v>1967</v>
      </c>
      <c r="FL977" s="1635">
        <f t="shared" si="4731"/>
        <v>4271</v>
      </c>
      <c r="FM977" s="1635">
        <f t="shared" si="4731"/>
        <v>8168</v>
      </c>
      <c r="FN977" s="1635">
        <f t="shared" si="4731"/>
        <v>2358</v>
      </c>
      <c r="FO977" s="1635">
        <f t="shared" si="4731"/>
        <v>2159</v>
      </c>
      <c r="FP977" s="1635">
        <f t="shared" si="4731"/>
        <v>4517</v>
      </c>
      <c r="FQ977" s="1635">
        <f t="shared" si="4731"/>
        <v>2574</v>
      </c>
      <c r="FR977" s="1635">
        <f t="shared" si="4731"/>
        <v>7091</v>
      </c>
      <c r="FS977" s="1635">
        <f t="shared" si="4731"/>
        <v>2288</v>
      </c>
      <c r="FT977" s="1320"/>
      <c r="FU977" s="1320"/>
      <c r="FV977" s="1636"/>
      <c r="FW977" s="1320"/>
      <c r="IX977" s="1126"/>
      <c r="IY977" s="1126"/>
      <c r="IZ977" s="1126"/>
      <c r="JA977" s="1126"/>
      <c r="JB977" s="1126"/>
      <c r="JC977" s="1126"/>
      <c r="JD977" s="1125"/>
      <c r="JE977" s="1126"/>
      <c r="JF977" s="1037"/>
      <c r="JG977" s="1037"/>
      <c r="JH977" s="1037"/>
      <c r="JI977" s="1035"/>
      <c r="JJ977" s="1035"/>
      <c r="JK977" s="1035"/>
      <c r="JL977" s="1035"/>
      <c r="JM977" s="1035"/>
      <c r="JN977" s="1035"/>
      <c r="JO977" s="1035"/>
      <c r="JP977" s="1035"/>
      <c r="JQ977" s="1035"/>
      <c r="JR977" s="1035"/>
      <c r="JS977" s="1035"/>
      <c r="JT977" s="1035"/>
      <c r="JU977" s="1035"/>
      <c r="JV977" s="1035"/>
      <c r="JW977" s="1035"/>
      <c r="JX977" s="1035"/>
      <c r="JY977" s="1035"/>
    </row>
    <row r="978" spans="1:285">
      <c r="A978" s="1035" t="s">
        <v>693</v>
      </c>
      <c r="EX978" s="1320"/>
      <c r="EY978" s="1320"/>
      <c r="EZ978" s="1320"/>
      <c r="FA978" s="1320"/>
      <c r="FB978" s="1320"/>
      <c r="FC978" s="1320"/>
      <c r="FD978" s="1320"/>
      <c r="FE978" s="1644"/>
      <c r="FF978" s="1320"/>
      <c r="FG978" s="1320"/>
      <c r="FH978" s="1320"/>
      <c r="FI978" s="1320"/>
      <c r="FJ978" s="1320"/>
      <c r="FK978" s="1320"/>
      <c r="FL978" s="1320"/>
      <c r="FM978" s="1644"/>
      <c r="FN978" s="1635">
        <v>2290</v>
      </c>
      <c r="FO978" s="1635">
        <v>2074</v>
      </c>
      <c r="FP978" s="1635"/>
      <c r="FQ978" s="1635">
        <v>2510</v>
      </c>
      <c r="FR978" s="1635"/>
      <c r="FS978" s="1635">
        <v>2226</v>
      </c>
      <c r="FT978" s="1320"/>
      <c r="FU978" s="1320"/>
      <c r="FV978" s="1636">
        <v>2702</v>
      </c>
      <c r="FW978" s="1320">
        <v>2525</v>
      </c>
      <c r="IX978" s="1126"/>
      <c r="IY978" s="1126"/>
      <c r="IZ978" s="1126"/>
      <c r="JA978" s="1126"/>
      <c r="JB978" s="1126"/>
      <c r="JC978" s="1126"/>
      <c r="JD978" s="1125"/>
      <c r="JE978" s="1126"/>
      <c r="JF978" s="1037"/>
      <c r="JG978" s="1037"/>
      <c r="JH978" s="1037"/>
      <c r="JI978" s="1035"/>
      <c r="JJ978" s="1035"/>
      <c r="JK978" s="1035"/>
      <c r="JL978" s="1035"/>
      <c r="JM978" s="1035"/>
      <c r="JN978" s="1035"/>
      <c r="JO978" s="1035"/>
      <c r="JP978" s="1035"/>
      <c r="JQ978" s="1035"/>
      <c r="JR978" s="1035"/>
      <c r="JS978" s="1035"/>
      <c r="JT978" s="1035"/>
      <c r="JU978" s="1035"/>
      <c r="JV978" s="1035"/>
      <c r="JW978" s="1035"/>
      <c r="JX978" s="1035"/>
      <c r="JY978" s="1035"/>
    </row>
    <row r="979" spans="1:285">
      <c r="EX979" s="1320"/>
      <c r="EY979" s="1320"/>
      <c r="EZ979" s="1320"/>
      <c r="FA979" s="1320"/>
      <c r="FB979" s="1320"/>
      <c r="FC979" s="1320"/>
      <c r="FD979" s="1320"/>
      <c r="FE979" s="1644"/>
      <c r="FF979" s="1320"/>
      <c r="FG979" s="1320"/>
      <c r="FH979" s="1320"/>
      <c r="FI979" s="1320"/>
      <c r="FJ979" s="1320"/>
      <c r="FK979" s="1320"/>
      <c r="FL979" s="1320"/>
      <c r="FM979" s="1644"/>
      <c r="FN979" s="1635"/>
      <c r="FO979" s="1635"/>
      <c r="FP979" s="1635"/>
      <c r="FQ979" s="1635"/>
      <c r="FR979" s="1635"/>
      <c r="FS979" s="1635"/>
      <c r="FT979" s="1320"/>
      <c r="FU979" s="1320"/>
      <c r="FV979" s="1636"/>
      <c r="FW979" s="1320"/>
      <c r="IX979" s="1126"/>
      <c r="IY979" s="1126"/>
      <c r="IZ979" s="1126"/>
      <c r="JA979" s="1126"/>
      <c r="JB979" s="1126"/>
      <c r="JC979" s="1126"/>
      <c r="JD979" s="1125"/>
      <c r="JE979" s="1126"/>
      <c r="JF979" s="1037"/>
      <c r="JG979" s="1037"/>
      <c r="JH979" s="1037"/>
      <c r="JI979" s="1035"/>
      <c r="JJ979" s="1035"/>
      <c r="JK979" s="1035"/>
      <c r="JL979" s="1035"/>
      <c r="JM979" s="1035"/>
      <c r="JN979" s="1035"/>
      <c r="JO979" s="1035"/>
      <c r="JP979" s="1035"/>
      <c r="JQ979" s="1035"/>
      <c r="JR979" s="1035"/>
      <c r="JS979" s="1035"/>
      <c r="JT979" s="1035"/>
      <c r="JU979" s="1035"/>
      <c r="JV979" s="1035"/>
      <c r="JW979" s="1035"/>
      <c r="JX979" s="1035"/>
      <c r="JY979" s="1035"/>
    </row>
    <row r="980" spans="1:285">
      <c r="A980" s="1035" t="s">
        <v>128</v>
      </c>
      <c r="EX980" s="1228">
        <f>EX977/EX$974</f>
        <v>0.491812697500718</v>
      </c>
      <c r="EY980" s="1228">
        <f t="shared" ref="EY980:FS980" si="4732">EY977/EY$974</f>
        <v>0.492348440258976</v>
      </c>
      <c r="EZ980" s="1228">
        <f t="shared" si="4732"/>
        <v>0.492077336822213</v>
      </c>
      <c r="FA980" s="1228">
        <f t="shared" si="4732"/>
        <v>0.474282888229476</v>
      </c>
      <c r="FB980" s="1228">
        <f t="shared" si="4732"/>
        <v>0.485489334431933</v>
      </c>
      <c r="FC980" s="1228">
        <f t="shared" si="4732"/>
        <v>0.449030470914127</v>
      </c>
      <c r="FD980" s="1228">
        <f t="shared" si="4732"/>
        <v>0.462372615625817</v>
      </c>
      <c r="FE980" s="1228">
        <f t="shared" si="4732"/>
        <v>0.476432945709764</v>
      </c>
      <c r="FF980" s="1228">
        <f t="shared" si="4732"/>
        <v>0.491795248591722</v>
      </c>
      <c r="FG980" s="1228">
        <f t="shared" si="4732"/>
        <v>0.483491169695418</v>
      </c>
      <c r="FH980" s="1228">
        <f t="shared" si="4732"/>
        <v>0.487734668335419</v>
      </c>
      <c r="FI980" s="1228">
        <f t="shared" si="4732"/>
        <v>0.484338869035106</v>
      </c>
      <c r="FJ980" s="1228">
        <f t="shared" si="4732"/>
        <v>0.486467404095081</v>
      </c>
      <c r="FK980" s="1228">
        <f t="shared" si="4732"/>
        <v>0.471928982725528</v>
      </c>
      <c r="FL980" s="1228">
        <f t="shared" si="4732"/>
        <v>0.478543417366947</v>
      </c>
      <c r="FM980" s="1228">
        <f t="shared" si="4732"/>
        <v>0.482885013301803</v>
      </c>
      <c r="FN980" s="1228">
        <f t="shared" si="4732"/>
        <v>0.494443279513525</v>
      </c>
      <c r="FO980" s="1228">
        <f t="shared" si="4732"/>
        <v>0.488130228351797</v>
      </c>
      <c r="FP980" s="1228">
        <f t="shared" si="4732"/>
        <v>0.491405570060923</v>
      </c>
      <c r="FQ980" s="1228">
        <f t="shared" si="4732"/>
        <v>0.475609756097561</v>
      </c>
      <c r="FR980" s="1228">
        <f t="shared" si="4732"/>
        <v>0.485551903588058</v>
      </c>
      <c r="FS980" s="1228">
        <f t="shared" si="4732"/>
        <v>0.488262910798122</v>
      </c>
      <c r="FT980" s="1320"/>
      <c r="FU980" s="1320"/>
      <c r="FV980" s="1636"/>
      <c r="FW980" s="1320"/>
      <c r="IX980" s="1126"/>
      <c r="IY980" s="1126"/>
      <c r="IZ980" s="1126"/>
      <c r="JA980" s="1126"/>
      <c r="JB980" s="1126"/>
      <c r="JC980" s="1126"/>
      <c r="JD980" s="1125"/>
      <c r="JE980" s="1126"/>
      <c r="JF980" s="1037"/>
      <c r="JG980" s="1037"/>
      <c r="JH980" s="1037"/>
      <c r="JI980" s="1035"/>
      <c r="JJ980" s="1035"/>
      <c r="JK980" s="1035"/>
      <c r="JL980" s="1035"/>
      <c r="JM980" s="1035"/>
      <c r="JN980" s="1035"/>
      <c r="JO980" s="1035"/>
      <c r="JP980" s="1035"/>
      <c r="JQ980" s="1035"/>
      <c r="JR980" s="1035"/>
      <c r="JS980" s="1035"/>
      <c r="JT980" s="1035"/>
      <c r="JU980" s="1035"/>
      <c r="JV980" s="1035"/>
      <c r="JW980" s="1035"/>
      <c r="JX980" s="1035"/>
      <c r="JY980" s="1035"/>
    </row>
    <row r="981" spans="1:285">
      <c r="A981" s="1035" t="s">
        <v>694</v>
      </c>
      <c r="EX981" s="1320"/>
      <c r="EY981" s="1320"/>
      <c r="EZ981" s="1320"/>
      <c r="FA981" s="1320"/>
      <c r="FB981" s="1320"/>
      <c r="FC981" s="1320"/>
      <c r="FD981" s="1320"/>
      <c r="FE981" s="1644"/>
      <c r="FF981" s="1320"/>
      <c r="FG981" s="1320"/>
      <c r="FH981" s="1320"/>
      <c r="FI981" s="1320"/>
      <c r="FJ981" s="1320"/>
      <c r="FK981" s="1320"/>
      <c r="FL981" s="1320"/>
      <c r="FM981" s="1644"/>
      <c r="FN981" s="1228">
        <f>FN978/FN$975</f>
        <v>0.501972818939062</v>
      </c>
      <c r="FO981" s="1228">
        <f t="shared" ref="FO981:FW981" si="4733">FO978/FO$975</f>
        <v>0.493927125506073</v>
      </c>
      <c r="FP981" s="1228" t="e">
        <f t="shared" si="4733"/>
        <v>#DIV/0!</v>
      </c>
      <c r="FQ981" s="1228">
        <f t="shared" si="4733"/>
        <v>0.480658751436231</v>
      </c>
      <c r="FR981" s="1228" t="e">
        <f t="shared" si="4733"/>
        <v>#DIV/0!</v>
      </c>
      <c r="FS981" s="1228">
        <f t="shared" si="4733"/>
        <v>0.494666666666667</v>
      </c>
      <c r="FT981" s="1228" t="e">
        <f t="shared" si="4733"/>
        <v>#DIV/0!</v>
      </c>
      <c r="FU981" s="1228" t="e">
        <f t="shared" si="4733"/>
        <v>#DIV/0!</v>
      </c>
      <c r="FV981" s="1109">
        <f t="shared" si="4733"/>
        <v>0.496052873141179</v>
      </c>
      <c r="FW981" s="1228">
        <f t="shared" si="4733"/>
        <v>0.501190948789202</v>
      </c>
      <c r="IX981" s="1126"/>
      <c r="IY981" s="1126"/>
      <c r="IZ981" s="1126"/>
      <c r="JA981" s="1126"/>
      <c r="JB981" s="1126"/>
      <c r="JC981" s="1126"/>
      <c r="JD981" s="1125"/>
      <c r="JE981" s="1126"/>
      <c r="JF981" s="1037"/>
      <c r="JG981" s="1037"/>
      <c r="JH981" s="1037"/>
      <c r="JI981" s="1035"/>
      <c r="JJ981" s="1035"/>
      <c r="JK981" s="1035"/>
      <c r="JL981" s="1035"/>
      <c r="JM981" s="1035"/>
      <c r="JN981" s="1035"/>
      <c r="JO981" s="1035"/>
      <c r="JP981" s="1035"/>
      <c r="JQ981" s="1035"/>
      <c r="JR981" s="1035"/>
      <c r="JS981" s="1035"/>
      <c r="JT981" s="1035"/>
      <c r="JU981" s="1035"/>
      <c r="JV981" s="1035"/>
      <c r="JW981" s="1035"/>
      <c r="JX981" s="1035"/>
      <c r="JY981" s="1035"/>
    </row>
    <row r="982" spans="1:285">
      <c r="A982" s="1035" t="s">
        <v>695</v>
      </c>
      <c r="EX982" s="1320"/>
      <c r="EY982" s="1320"/>
      <c r="EZ982" s="1320"/>
      <c r="FA982" s="1320"/>
      <c r="FB982" s="1320"/>
      <c r="FC982" s="1320"/>
      <c r="FD982" s="1320"/>
      <c r="FE982" s="1644"/>
      <c r="FF982" s="1635">
        <f t="shared" ref="FF982:FS982" si="4734">(FF980-EX980)*10000</f>
        <v>-0.174489089964092</v>
      </c>
      <c r="FG982" s="1635">
        <f t="shared" si="4734"/>
        <v>-88.572705635574</v>
      </c>
      <c r="FH982" s="1635">
        <f t="shared" si="4734"/>
        <v>-43.4266848679327</v>
      </c>
      <c r="FI982" s="1635">
        <f t="shared" si="4734"/>
        <v>100.559808056304</v>
      </c>
      <c r="FJ982" s="1635">
        <f t="shared" si="4734"/>
        <v>9.78069663148617</v>
      </c>
      <c r="FK982" s="1635">
        <f t="shared" si="4734"/>
        <v>228.985118114005</v>
      </c>
      <c r="FL982" s="1635">
        <f t="shared" si="4734"/>
        <v>161.708017411302</v>
      </c>
      <c r="FM982" s="1635">
        <f t="shared" si="4734"/>
        <v>64.5206759203915</v>
      </c>
      <c r="FN982" s="1635">
        <f t="shared" si="4734"/>
        <v>26.4803092180305</v>
      </c>
      <c r="FO982" s="1635">
        <f t="shared" si="4734"/>
        <v>46.3905865637892</v>
      </c>
      <c r="FP982" s="1635">
        <f t="shared" si="4734"/>
        <v>36.7090172550327</v>
      </c>
      <c r="FQ982" s="1635">
        <f t="shared" si="4734"/>
        <v>-87.2911293754519</v>
      </c>
      <c r="FR982" s="1635">
        <f t="shared" si="4734"/>
        <v>-9.15500507023159</v>
      </c>
      <c r="FS982" s="1635">
        <f t="shared" si="4734"/>
        <v>163.339280725942</v>
      </c>
      <c r="FT982" s="1320"/>
      <c r="FU982" s="1320"/>
      <c r="FV982" s="1636">
        <f>(FV981-FN981)*10000</f>
        <v>-59.1994579788313</v>
      </c>
      <c r="FW982" s="1635">
        <f>(FW981-FO981)*10000</f>
        <v>72.6382328312924</v>
      </c>
      <c r="IX982" s="1126"/>
      <c r="IY982" s="1126"/>
      <c r="IZ982" s="1126"/>
      <c r="JA982" s="1126"/>
      <c r="JB982" s="1126"/>
      <c r="JC982" s="1126"/>
      <c r="JD982" s="1125"/>
      <c r="JE982" s="1126"/>
      <c r="JF982" s="1037"/>
      <c r="JG982" s="1037"/>
      <c r="JH982" s="1037"/>
      <c r="JI982" s="1035"/>
      <c r="JJ982" s="1035"/>
      <c r="JK982" s="1035"/>
      <c r="JL982" s="1035"/>
      <c r="JM982" s="1035"/>
      <c r="JN982" s="1035"/>
      <c r="JO982" s="1035"/>
      <c r="JP982" s="1035"/>
      <c r="JQ982" s="1035"/>
      <c r="JR982" s="1035"/>
      <c r="JS982" s="1035"/>
      <c r="JT982" s="1035"/>
      <c r="JU982" s="1035"/>
      <c r="JV982" s="1035"/>
      <c r="JW982" s="1035"/>
      <c r="JX982" s="1035"/>
      <c r="JY982" s="1035"/>
    </row>
    <row r="983" spans="1:285">
      <c r="EX983" s="1320"/>
      <c r="EY983" s="1320"/>
      <c r="EZ983" s="1320"/>
      <c r="FA983" s="1320"/>
      <c r="FB983" s="1320"/>
      <c r="FC983" s="1320"/>
      <c r="FD983" s="1320"/>
      <c r="FE983" s="1644"/>
      <c r="FF983" s="1320"/>
      <c r="FG983" s="1320"/>
      <c r="FH983" s="1320"/>
      <c r="FI983" s="1320"/>
      <c r="FJ983" s="1320"/>
      <c r="FK983" s="1320"/>
      <c r="FL983" s="1320"/>
      <c r="FM983" s="1644"/>
      <c r="FN983" s="1635"/>
      <c r="FO983" s="1635"/>
      <c r="FP983" s="1635"/>
      <c r="FQ983" s="1635"/>
      <c r="FR983" s="1635"/>
      <c r="FS983" s="1635"/>
      <c r="FT983" s="1320"/>
      <c r="FU983" s="1320"/>
      <c r="FV983" s="1636"/>
      <c r="FW983" s="1320"/>
      <c r="IX983" s="1126"/>
      <c r="IY983" s="1126"/>
      <c r="IZ983" s="1126"/>
      <c r="JA983" s="1126"/>
      <c r="JB983" s="1126"/>
      <c r="JC983" s="1126"/>
      <c r="JD983" s="1125"/>
      <c r="JE983" s="1126"/>
      <c r="JF983" s="1037"/>
      <c r="JG983" s="1037"/>
      <c r="JH983" s="1037"/>
      <c r="JI983" s="1035"/>
      <c r="JJ983" s="1035"/>
      <c r="JK983" s="1035"/>
      <c r="JL983" s="1035"/>
      <c r="JM983" s="1035"/>
      <c r="JN983" s="1035"/>
      <c r="JO983" s="1035"/>
      <c r="JP983" s="1035"/>
      <c r="JQ983" s="1035"/>
      <c r="JR983" s="1035"/>
      <c r="JS983" s="1035"/>
      <c r="JT983" s="1035"/>
      <c r="JU983" s="1035"/>
      <c r="JV983" s="1035"/>
      <c r="JW983" s="1035"/>
      <c r="JX983" s="1035"/>
      <c r="JY983" s="1035"/>
    </row>
    <row r="984" spans="1:285">
      <c r="A984" s="1035" t="s">
        <v>131</v>
      </c>
      <c r="EX984" s="1635">
        <f t="shared" ref="EX984:FS984" si="4735">EX426</f>
        <v>307</v>
      </c>
      <c r="EY984" s="1635">
        <f t="shared" si="4735"/>
        <v>217</v>
      </c>
      <c r="EZ984" s="1635">
        <f t="shared" si="4735"/>
        <v>524</v>
      </c>
      <c r="FA984" s="1635">
        <f t="shared" si="4735"/>
        <v>399</v>
      </c>
      <c r="FB984" s="1635">
        <f t="shared" si="4735"/>
        <v>923</v>
      </c>
      <c r="FC984" s="1635">
        <f t="shared" si="4735"/>
        <v>-40</v>
      </c>
      <c r="FD984" s="1635">
        <f t="shared" si="4735"/>
        <v>270</v>
      </c>
      <c r="FE984" s="1635">
        <f t="shared" si="4735"/>
        <v>883</v>
      </c>
      <c r="FF984" s="1635">
        <f t="shared" si="4735"/>
        <v>345</v>
      </c>
      <c r="FG984" s="1635">
        <f t="shared" si="4735"/>
        <v>234</v>
      </c>
      <c r="FH984" s="1635">
        <f t="shared" si="4735"/>
        <v>579</v>
      </c>
      <c r="FI984" s="1635">
        <f t="shared" si="4735"/>
        <v>505</v>
      </c>
      <c r="FJ984" s="1635">
        <f t="shared" si="4735"/>
        <v>1084</v>
      </c>
      <c r="FK984" s="1635">
        <f t="shared" si="4735"/>
        <v>-25</v>
      </c>
      <c r="FL984" s="1635">
        <f t="shared" si="4735"/>
        <v>480</v>
      </c>
      <c r="FM984" s="1635">
        <f t="shared" si="4735"/>
        <v>1059</v>
      </c>
      <c r="FN984" s="1635">
        <f t="shared" si="4735"/>
        <v>490</v>
      </c>
      <c r="FO984" s="1635">
        <f t="shared" si="4735"/>
        <v>414</v>
      </c>
      <c r="FP984" s="1635">
        <f t="shared" si="4735"/>
        <v>904</v>
      </c>
      <c r="FQ984" s="1635">
        <f t="shared" si="4735"/>
        <v>563</v>
      </c>
      <c r="FR984" s="1635">
        <f t="shared" si="4735"/>
        <v>1468</v>
      </c>
      <c r="FS984" s="1635">
        <f t="shared" si="4735"/>
        <v>23</v>
      </c>
      <c r="FT984" s="1320"/>
      <c r="FU984" s="1320"/>
      <c r="FV984" s="1636"/>
      <c r="FW984" s="1320"/>
      <c r="IX984" s="1126"/>
      <c r="IY984" s="1126"/>
      <c r="IZ984" s="1126"/>
      <c r="JA984" s="1126"/>
      <c r="JB984" s="1126"/>
      <c r="JC984" s="1126"/>
      <c r="JD984" s="1125"/>
      <c r="JE984" s="1126"/>
      <c r="JF984" s="1037"/>
      <c r="JG984" s="1037"/>
      <c r="JH984" s="1037"/>
      <c r="JI984" s="1035"/>
      <c r="JJ984" s="1035"/>
      <c r="JK984" s="1035"/>
      <c r="JL984" s="1035"/>
      <c r="JM984" s="1035"/>
      <c r="JN984" s="1035"/>
      <c r="JO984" s="1035"/>
      <c r="JP984" s="1035"/>
      <c r="JQ984" s="1035"/>
      <c r="JR984" s="1035"/>
      <c r="JS984" s="1035"/>
      <c r="JT984" s="1035"/>
      <c r="JU984" s="1035"/>
      <c r="JV984" s="1035"/>
      <c r="JW984" s="1035"/>
      <c r="JX984" s="1035"/>
      <c r="JY984" s="1035"/>
    </row>
    <row r="985" spans="1:285">
      <c r="A985" s="1035" t="s">
        <v>696</v>
      </c>
      <c r="EX985" s="1320"/>
      <c r="EY985" s="1320"/>
      <c r="EZ985" s="1320"/>
      <c r="FA985" s="1320"/>
      <c r="FB985" s="1320"/>
      <c r="FC985" s="1320"/>
      <c r="FD985" s="1320"/>
      <c r="FE985" s="1644"/>
      <c r="FF985" s="1320"/>
      <c r="FG985" s="1320"/>
      <c r="FH985" s="1320"/>
      <c r="FI985" s="1320"/>
      <c r="FJ985" s="1320"/>
      <c r="FK985" s="1320"/>
      <c r="FL985" s="1320"/>
      <c r="FM985" s="1644"/>
      <c r="FN985" s="1635">
        <v>521</v>
      </c>
      <c r="FO985" s="1635">
        <v>429</v>
      </c>
      <c r="FP985" s="1635"/>
      <c r="FQ985" s="1635">
        <v>591</v>
      </c>
      <c r="FR985" s="1635"/>
      <c r="FS985" s="1635">
        <v>41</v>
      </c>
      <c r="FT985" s="1320"/>
      <c r="FU985" s="1320"/>
      <c r="FV985" s="1636">
        <v>637</v>
      </c>
      <c r="FW985" s="1320">
        <v>505</v>
      </c>
      <c r="IX985" s="1126"/>
      <c r="IY985" s="1126"/>
      <c r="IZ985" s="1126"/>
      <c r="JA985" s="1126"/>
      <c r="JB985" s="1126"/>
      <c r="JC985" s="1126"/>
      <c r="JD985" s="1125"/>
      <c r="JE985" s="1126"/>
      <c r="JF985" s="1037"/>
      <c r="JG985" s="1037"/>
      <c r="JH985" s="1037"/>
      <c r="JI985" s="1035"/>
      <c r="JJ985" s="1035"/>
      <c r="JK985" s="1035"/>
      <c r="JL985" s="1035"/>
      <c r="JM985" s="1035"/>
      <c r="JN985" s="1035"/>
      <c r="JO985" s="1035"/>
      <c r="JP985" s="1035"/>
      <c r="JQ985" s="1035"/>
      <c r="JR985" s="1035"/>
      <c r="JS985" s="1035"/>
      <c r="JT985" s="1035"/>
      <c r="JU985" s="1035"/>
      <c r="JV985" s="1035"/>
      <c r="JW985" s="1035"/>
      <c r="JX985" s="1035"/>
      <c r="JY985" s="1035"/>
    </row>
    <row r="986" spans="1:285">
      <c r="EX986" s="1320"/>
      <c r="EY986" s="1320"/>
      <c r="EZ986" s="1320"/>
      <c r="FA986" s="1320"/>
      <c r="FB986" s="1320"/>
      <c r="FC986" s="1320"/>
      <c r="FD986" s="1320"/>
      <c r="FE986" s="1644"/>
      <c r="FF986" s="1320"/>
      <c r="FG986" s="1320"/>
      <c r="FH986" s="1320"/>
      <c r="FI986" s="1320"/>
      <c r="FJ986" s="1320"/>
      <c r="FK986" s="1320"/>
      <c r="FL986" s="1320"/>
      <c r="FM986" s="1644"/>
      <c r="FN986" s="1635"/>
      <c r="FO986" s="1635"/>
      <c r="FP986" s="1635"/>
      <c r="FQ986" s="1635"/>
      <c r="FR986" s="1635"/>
      <c r="FS986" s="1635"/>
      <c r="FT986" s="1320"/>
      <c r="FU986" s="1320"/>
      <c r="FV986" s="1636"/>
      <c r="FW986" s="1320"/>
      <c r="IX986" s="1126"/>
      <c r="IY986" s="1126"/>
      <c r="IZ986" s="1126"/>
      <c r="JA986" s="1126"/>
      <c r="JB986" s="1126"/>
      <c r="JC986" s="1126"/>
      <c r="JD986" s="1125"/>
      <c r="JE986" s="1126"/>
      <c r="JF986" s="1037"/>
      <c r="JG986" s="1037"/>
      <c r="JH986" s="1037"/>
      <c r="JI986" s="1035"/>
      <c r="JJ986" s="1035"/>
      <c r="JK986" s="1035"/>
      <c r="JL986" s="1035"/>
      <c r="JM986" s="1035"/>
      <c r="JN986" s="1035"/>
      <c r="JO986" s="1035"/>
      <c r="JP986" s="1035"/>
      <c r="JQ986" s="1035"/>
      <c r="JR986" s="1035"/>
      <c r="JS986" s="1035"/>
      <c r="JT986" s="1035"/>
      <c r="JU986" s="1035"/>
      <c r="JV986" s="1035"/>
      <c r="JW986" s="1035"/>
      <c r="JX986" s="1035"/>
      <c r="JY986" s="1035"/>
    </row>
    <row r="987" spans="1:285">
      <c r="A987" s="1035" t="s">
        <v>132</v>
      </c>
      <c r="EX987" s="1228">
        <f>EX984/EX$974</f>
        <v>0.0881930479747199</v>
      </c>
      <c r="EY987" s="1228">
        <f t="shared" ref="EY987:FS987" si="4736">EY984/EY$974</f>
        <v>0.0638610947616245</v>
      </c>
      <c r="EZ987" s="1228">
        <f t="shared" si="4736"/>
        <v>0.0761738624800116</v>
      </c>
      <c r="FA987" s="1228">
        <f t="shared" si="4736"/>
        <v>0.0986646884272997</v>
      </c>
      <c r="FB987" s="1228">
        <f t="shared" si="4736"/>
        <v>0.0845005950746132</v>
      </c>
      <c r="FC987" s="1228">
        <f t="shared" si="4736"/>
        <v>-0.0110803324099723</v>
      </c>
      <c r="FD987" s="1228">
        <f t="shared" si="4736"/>
        <v>0.035275672850797</v>
      </c>
      <c r="FE987" s="1228">
        <f t="shared" si="4736"/>
        <v>0.0607582742723457</v>
      </c>
      <c r="FF987" s="1228">
        <f t="shared" si="4736"/>
        <v>0.0844966936076414</v>
      </c>
      <c r="FG987" s="1228">
        <f t="shared" si="4736"/>
        <v>0.0598925006398771</v>
      </c>
      <c r="FH987" s="1228">
        <f t="shared" si="4736"/>
        <v>0.0724655819774718</v>
      </c>
      <c r="FI987" s="1228">
        <f t="shared" si="4736"/>
        <v>0.106159344124448</v>
      </c>
      <c r="FJ987" s="1228">
        <f t="shared" si="4736"/>
        <v>0.0850396171648231</v>
      </c>
      <c r="FK987" s="1228">
        <f t="shared" si="4736"/>
        <v>-0.00599808061420345</v>
      </c>
      <c r="FL987" s="1228">
        <f t="shared" si="4736"/>
        <v>0.053781512605042</v>
      </c>
      <c r="FM987" s="1228">
        <f t="shared" si="4736"/>
        <v>0.0626071534141295</v>
      </c>
      <c r="FN987" s="1228">
        <f t="shared" si="4736"/>
        <v>0.102746907108408</v>
      </c>
      <c r="FO987" s="1228">
        <f t="shared" si="4736"/>
        <v>0.0936016278543975</v>
      </c>
      <c r="FP987" s="1228">
        <f t="shared" si="4736"/>
        <v>0.0983463881636205</v>
      </c>
      <c r="FQ987" s="1228">
        <f t="shared" si="4736"/>
        <v>0.104028085735403</v>
      </c>
      <c r="FR987" s="1228">
        <f t="shared" si="4736"/>
        <v>0.100520405368392</v>
      </c>
      <c r="FS987" s="1228">
        <f t="shared" si="4736"/>
        <v>0.0049082373026035</v>
      </c>
      <c r="FT987" s="1320"/>
      <c r="FU987" s="1320"/>
      <c r="FV987" s="1636"/>
      <c r="FW987" s="1320"/>
      <c r="IX987" s="1126"/>
      <c r="IY987" s="1126"/>
      <c r="IZ987" s="1126"/>
      <c r="JA987" s="1126"/>
      <c r="JB987" s="1126"/>
      <c r="JC987" s="1126"/>
      <c r="JD987" s="1125"/>
      <c r="JE987" s="1126"/>
      <c r="JF987" s="1037"/>
      <c r="JG987" s="1037"/>
      <c r="JH987" s="1037"/>
      <c r="JI987" s="1035"/>
      <c r="JJ987" s="1035"/>
      <c r="JK987" s="1035"/>
      <c r="JL987" s="1035"/>
      <c r="JM987" s="1035"/>
      <c r="JN987" s="1035"/>
      <c r="JO987" s="1035"/>
      <c r="JP987" s="1035"/>
      <c r="JQ987" s="1035"/>
      <c r="JR987" s="1035"/>
      <c r="JS987" s="1035"/>
      <c r="JT987" s="1035"/>
      <c r="JU987" s="1035"/>
      <c r="JV987" s="1035"/>
      <c r="JW987" s="1035"/>
      <c r="JX987" s="1035"/>
      <c r="JY987" s="1035"/>
    </row>
    <row r="988" spans="1:285">
      <c r="A988" s="1035" t="s">
        <v>697</v>
      </c>
      <c r="EX988" s="1320"/>
      <c r="EY988" s="1320"/>
      <c r="EZ988" s="1320"/>
      <c r="FA988" s="1320"/>
      <c r="FB988" s="1320"/>
      <c r="FC988" s="1320"/>
      <c r="FD988" s="1320"/>
      <c r="FE988" s="1644"/>
      <c r="FF988" s="1320"/>
      <c r="FG988" s="1320"/>
      <c r="FH988" s="1320"/>
      <c r="FI988" s="1320"/>
      <c r="FJ988" s="1320"/>
      <c r="FK988" s="1320"/>
      <c r="FL988" s="1320"/>
      <c r="FM988" s="1644"/>
      <c r="FN988" s="1228">
        <f>FN985/FN$975</f>
        <v>0.114204296361245</v>
      </c>
      <c r="FO988" s="1228">
        <f t="shared" ref="FO988:FW988" si="4737">FO985/FO$975</f>
        <v>0.102167182662539</v>
      </c>
      <c r="FP988" s="1228" t="e">
        <f t="shared" si="4737"/>
        <v>#DIV/0!</v>
      </c>
      <c r="FQ988" s="1228">
        <f t="shared" si="4737"/>
        <v>0.113175028724627</v>
      </c>
      <c r="FR988" s="1228" t="e">
        <f t="shared" si="4737"/>
        <v>#DIV/0!</v>
      </c>
      <c r="FS988" s="1228">
        <f t="shared" si="4737"/>
        <v>0.00911111111111111</v>
      </c>
      <c r="FT988" s="1228" t="e">
        <f t="shared" si="4737"/>
        <v>#DIV/0!</v>
      </c>
      <c r="FU988" s="1228" t="e">
        <f t="shared" si="4737"/>
        <v>#DIV/0!</v>
      </c>
      <c r="FV988" s="1109">
        <f t="shared" si="4737"/>
        <v>0.116945107398568</v>
      </c>
      <c r="FW988" s="1228">
        <f t="shared" si="4737"/>
        <v>0.10023818975784</v>
      </c>
      <c r="IX988" s="1126"/>
      <c r="IY988" s="1126"/>
      <c r="IZ988" s="1126"/>
      <c r="JA988" s="1126"/>
      <c r="JB988" s="1126"/>
      <c r="JC988" s="1126"/>
      <c r="JD988" s="1125"/>
      <c r="JE988" s="1126"/>
      <c r="JF988" s="1037"/>
      <c r="JG988" s="1037"/>
      <c r="JH988" s="1037"/>
      <c r="JI988" s="1035"/>
      <c r="JJ988" s="1035"/>
      <c r="JK988" s="1035"/>
      <c r="JL988" s="1035"/>
      <c r="JM988" s="1035"/>
      <c r="JN988" s="1035"/>
      <c r="JO988" s="1035"/>
      <c r="JP988" s="1035"/>
      <c r="JQ988" s="1035"/>
      <c r="JR988" s="1035"/>
      <c r="JS988" s="1035"/>
      <c r="JT988" s="1035"/>
      <c r="JU988" s="1035"/>
      <c r="JV988" s="1035"/>
      <c r="JW988" s="1035"/>
      <c r="JX988" s="1035"/>
      <c r="JY988" s="1035"/>
    </row>
    <row r="989" spans="1:285">
      <c r="A989" s="1035" t="s">
        <v>698</v>
      </c>
      <c r="EX989" s="1320"/>
      <c r="EY989" s="1320"/>
      <c r="EZ989" s="1320"/>
      <c r="FA989" s="1320"/>
      <c r="FB989" s="1320"/>
      <c r="FC989" s="1320"/>
      <c r="FD989" s="1320"/>
      <c r="FE989" s="1644"/>
      <c r="FF989" s="1635">
        <f t="shared" ref="FF989:FS989" si="4738">(FF987-EX987)*10000</f>
        <v>-36.9635436707848</v>
      </c>
      <c r="FG989" s="1635">
        <f t="shared" si="4738"/>
        <v>-39.6859412174733</v>
      </c>
      <c r="FH989" s="1635">
        <f t="shared" si="4738"/>
        <v>-37.082805025398</v>
      </c>
      <c r="FI989" s="1635">
        <f t="shared" si="4738"/>
        <v>74.9465569714847</v>
      </c>
      <c r="FJ989" s="1635">
        <f t="shared" si="4738"/>
        <v>5.39022090209895</v>
      </c>
      <c r="FK989" s="1635">
        <f t="shared" si="4738"/>
        <v>50.8225179576884</v>
      </c>
      <c r="FL989" s="1635">
        <f t="shared" si="4738"/>
        <v>185.058397542451</v>
      </c>
      <c r="FM989" s="1635">
        <f t="shared" si="4738"/>
        <v>18.4887914178377</v>
      </c>
      <c r="FN989" s="1635">
        <f t="shared" si="4738"/>
        <v>182.50213500767</v>
      </c>
      <c r="FO989" s="1635">
        <f t="shared" si="4738"/>
        <v>337.091272145203</v>
      </c>
      <c r="FP989" s="1635">
        <f t="shared" si="4738"/>
        <v>258.808061861487</v>
      </c>
      <c r="FQ989" s="1635">
        <f t="shared" si="4738"/>
        <v>-21.3125838904536</v>
      </c>
      <c r="FR989" s="1635">
        <f t="shared" si="4738"/>
        <v>154.807882035691</v>
      </c>
      <c r="FS989" s="1635">
        <f t="shared" si="4738"/>
        <v>109.06317916807</v>
      </c>
      <c r="FT989" s="1320"/>
      <c r="FU989" s="1320"/>
      <c r="FV989" s="1636">
        <f>(FV988-FN988)*10000</f>
        <v>27.4081103732295</v>
      </c>
      <c r="FW989" s="1635">
        <f>(FW988-FO988)*10000</f>
        <v>-19.2899290469829</v>
      </c>
      <c r="IX989" s="1126"/>
      <c r="IY989" s="1126"/>
      <c r="IZ989" s="1126"/>
      <c r="JA989" s="1126"/>
      <c r="JB989" s="1126"/>
      <c r="JC989" s="1126"/>
      <c r="JD989" s="1125"/>
      <c r="JE989" s="1126"/>
      <c r="JF989" s="1037"/>
      <c r="JG989" s="1037"/>
      <c r="JH989" s="1037"/>
      <c r="JI989" s="1035"/>
      <c r="JJ989" s="1035"/>
      <c r="JK989" s="1035"/>
      <c r="JL989" s="1035"/>
      <c r="JM989" s="1035"/>
      <c r="JN989" s="1035"/>
      <c r="JO989" s="1035"/>
      <c r="JP989" s="1035"/>
      <c r="JQ989" s="1035"/>
      <c r="JR989" s="1035"/>
      <c r="JS989" s="1035"/>
      <c r="JT989" s="1035"/>
      <c r="JU989" s="1035"/>
      <c r="JV989" s="1035"/>
      <c r="JW989" s="1035"/>
      <c r="JX989" s="1035"/>
      <c r="JY989" s="1035"/>
    </row>
    <row r="990" spans="1:285">
      <c r="FN990" s="1635"/>
      <c r="FO990" s="1635"/>
      <c r="FP990" s="1635"/>
      <c r="FQ990" s="1635"/>
      <c r="FR990" s="1635"/>
      <c r="FS990" s="1635"/>
      <c r="FV990" s="1636"/>
      <c r="IX990" s="1126"/>
      <c r="IY990" s="1126"/>
      <c r="IZ990" s="1126"/>
      <c r="JA990" s="1126"/>
      <c r="JB990" s="1126"/>
      <c r="JC990" s="1126"/>
      <c r="JD990" s="1125"/>
      <c r="JE990" s="1126"/>
      <c r="JF990" s="1037"/>
      <c r="JG990" s="1037"/>
      <c r="JH990" s="1037"/>
      <c r="JI990" s="1035"/>
      <c r="JJ990" s="1035"/>
      <c r="JK990" s="1035"/>
      <c r="JL990" s="1035"/>
      <c r="JM990" s="1035"/>
      <c r="JN990" s="1035"/>
      <c r="JO990" s="1035"/>
      <c r="JP990" s="1035"/>
      <c r="JQ990" s="1035"/>
      <c r="JR990" s="1035"/>
      <c r="JS990" s="1035"/>
      <c r="JT990" s="1035"/>
      <c r="JU990" s="1035"/>
      <c r="JV990" s="1035"/>
      <c r="JW990" s="1035"/>
      <c r="JX990" s="1035"/>
      <c r="JY990" s="1035"/>
    </row>
    <row r="991" spans="1:285">
      <c r="FN991" s="1635"/>
      <c r="FO991" s="1635"/>
      <c r="FP991" s="1635"/>
      <c r="FQ991" s="1635"/>
      <c r="FR991" s="1635"/>
      <c r="FS991" s="1635"/>
      <c r="FV991" s="1636"/>
      <c r="IX991" s="1126"/>
      <c r="IY991" s="1126"/>
      <c r="IZ991" s="1126"/>
      <c r="JA991" s="1126"/>
      <c r="JB991" s="1126"/>
      <c r="JC991" s="1126"/>
      <c r="JD991" s="1125"/>
      <c r="JE991" s="1126"/>
      <c r="JF991" s="1037"/>
      <c r="JG991" s="1037"/>
      <c r="JH991" s="1037"/>
      <c r="JI991" s="1035"/>
      <c r="JJ991" s="1035"/>
      <c r="JK991" s="1035"/>
      <c r="JL991" s="1035"/>
      <c r="JM991" s="1035"/>
      <c r="JN991" s="1035"/>
      <c r="JO991" s="1035"/>
      <c r="JP991" s="1035"/>
      <c r="JQ991" s="1035"/>
      <c r="JR991" s="1035"/>
      <c r="JS991" s="1035"/>
      <c r="JT991" s="1035"/>
      <c r="JU991" s="1035"/>
      <c r="JV991" s="1035"/>
      <c r="JW991" s="1035"/>
      <c r="JX991" s="1035"/>
      <c r="JY991" s="1035"/>
    </row>
    <row r="992" spans="1:285">
      <c r="FN992" s="1635"/>
      <c r="FO992" s="1635"/>
      <c r="FP992" s="1635"/>
      <c r="FQ992" s="1635"/>
      <c r="FR992" s="1635"/>
      <c r="FS992" s="1635"/>
      <c r="FV992" s="1636"/>
      <c r="IX992" s="1126"/>
      <c r="IY992" s="1126"/>
      <c r="IZ992" s="1126"/>
      <c r="JA992" s="1126"/>
      <c r="JB992" s="1126"/>
      <c r="JC992" s="1126"/>
      <c r="JD992" s="1125"/>
      <c r="JE992" s="1126"/>
      <c r="JF992" s="1037"/>
      <c r="JG992" s="1037"/>
      <c r="JH992" s="1037"/>
      <c r="JI992" s="1035"/>
      <c r="JJ992" s="1035"/>
      <c r="JK992" s="1035"/>
      <c r="JL992" s="1035"/>
      <c r="JM992" s="1035"/>
      <c r="JN992" s="1035"/>
      <c r="JO992" s="1035"/>
      <c r="JP992" s="1035"/>
      <c r="JQ992" s="1035"/>
      <c r="JR992" s="1035"/>
      <c r="JS992" s="1035"/>
      <c r="JT992" s="1035"/>
      <c r="JU992" s="1035"/>
      <c r="JV992" s="1035"/>
      <c r="JW992" s="1035"/>
      <c r="JX992" s="1035"/>
      <c r="JY992" s="1035"/>
    </row>
    <row r="993" spans="2:285">
      <c r="FN993" s="1635"/>
      <c r="FO993" s="1635"/>
      <c r="FP993" s="1635"/>
      <c r="FQ993" s="1635"/>
      <c r="FR993" s="1635"/>
      <c r="FS993" s="1635"/>
      <c r="FV993" s="1636"/>
      <c r="IX993" s="1126"/>
      <c r="IY993" s="1126"/>
      <c r="IZ993" s="1126"/>
      <c r="JA993" s="1126"/>
      <c r="JB993" s="1126"/>
      <c r="JC993" s="1126"/>
      <c r="JD993" s="1125"/>
      <c r="JE993" s="1126"/>
      <c r="JF993" s="1037"/>
      <c r="JG993" s="1037"/>
      <c r="JH993" s="1037"/>
      <c r="JI993" s="1035"/>
      <c r="JJ993" s="1035"/>
      <c r="JK993" s="1035"/>
      <c r="JL993" s="1035"/>
      <c r="JM993" s="1035"/>
      <c r="JN993" s="1035"/>
      <c r="JO993" s="1035"/>
      <c r="JP993" s="1035"/>
      <c r="JQ993" s="1035"/>
      <c r="JR993" s="1035"/>
      <c r="JS993" s="1035"/>
      <c r="JT993" s="1035"/>
      <c r="JU993" s="1035"/>
      <c r="JV993" s="1035"/>
      <c r="JW993" s="1035"/>
      <c r="JX993" s="1035"/>
      <c r="JY993" s="1035"/>
    </row>
    <row r="994" spans="2:285">
      <c r="FN994" s="1635"/>
      <c r="FO994" s="1635"/>
      <c r="FP994" s="1635"/>
      <c r="FQ994" s="1635"/>
      <c r="FR994" s="1635"/>
      <c r="FS994" s="1635"/>
      <c r="FV994" s="1636"/>
      <c r="IX994" s="1126"/>
      <c r="IY994" s="1126"/>
      <c r="IZ994" s="1126"/>
      <c r="JA994" s="1126"/>
      <c r="JB994" s="1126"/>
      <c r="JC994" s="1126"/>
      <c r="JD994" s="1125"/>
      <c r="JE994" s="1126"/>
      <c r="JF994" s="1037"/>
      <c r="JG994" s="1037"/>
      <c r="JH994" s="1037"/>
      <c r="JI994" s="1035"/>
      <c r="JJ994" s="1035"/>
      <c r="JK994" s="1035"/>
      <c r="JL994" s="1035"/>
      <c r="JM994" s="1035"/>
      <c r="JN994" s="1035"/>
      <c r="JO994" s="1035"/>
      <c r="JP994" s="1035"/>
      <c r="JQ994" s="1035"/>
      <c r="JR994" s="1035"/>
      <c r="JS994" s="1035"/>
      <c r="JT994" s="1035"/>
      <c r="JU994" s="1035"/>
      <c r="JV994" s="1035"/>
      <c r="JW994" s="1035"/>
      <c r="JX994" s="1035"/>
      <c r="JY994" s="1035"/>
    </row>
    <row r="995" spans="2:285">
      <c r="FN995" s="1635"/>
      <c r="FO995" s="1635"/>
      <c r="FP995" s="1635"/>
      <c r="FQ995" s="1635"/>
      <c r="FR995" s="1635"/>
      <c r="FS995" s="1635"/>
      <c r="FV995" s="1636"/>
      <c r="IX995" s="1126"/>
      <c r="IY995" s="1126"/>
      <c r="IZ995" s="1126"/>
      <c r="JA995" s="1126"/>
      <c r="JB995" s="1126"/>
      <c r="JC995" s="1126"/>
      <c r="JD995" s="1125"/>
      <c r="JE995" s="1126"/>
      <c r="JF995" s="1037"/>
      <c r="JG995" s="1037"/>
      <c r="JH995" s="1037"/>
      <c r="JI995" s="1035"/>
      <c r="JJ995" s="1035"/>
      <c r="JK995" s="1035"/>
      <c r="JL995" s="1035"/>
      <c r="JM995" s="1035"/>
      <c r="JN995" s="1035"/>
      <c r="JO995" s="1035"/>
      <c r="JP995" s="1035"/>
      <c r="JQ995" s="1035"/>
      <c r="JR995" s="1035"/>
      <c r="JS995" s="1035"/>
      <c r="JT995" s="1035"/>
      <c r="JU995" s="1035"/>
      <c r="JV995" s="1035"/>
      <c r="JW995" s="1035"/>
      <c r="JX995" s="1035"/>
      <c r="JY995" s="1035"/>
    </row>
    <row r="996" spans="2:285">
      <c r="FN996" s="1635"/>
      <c r="FO996" s="1635"/>
      <c r="FP996" s="1635"/>
      <c r="FQ996" s="1635"/>
      <c r="FR996" s="1635"/>
      <c r="FS996" s="1635"/>
      <c r="FV996" s="1636"/>
      <c r="IX996" s="1126"/>
      <c r="IY996" s="1126"/>
      <c r="IZ996" s="1126"/>
      <c r="JA996" s="1126"/>
      <c r="JB996" s="1126"/>
      <c r="JC996" s="1126"/>
      <c r="JD996" s="1125"/>
      <c r="JE996" s="1126"/>
      <c r="JF996" s="1037"/>
      <c r="JG996" s="1037"/>
      <c r="JH996" s="1037"/>
      <c r="JI996" s="1035"/>
      <c r="JJ996" s="1035"/>
      <c r="JK996" s="1035"/>
      <c r="JL996" s="1035"/>
      <c r="JM996" s="1035"/>
      <c r="JN996" s="1035"/>
      <c r="JO996" s="1035"/>
      <c r="JP996" s="1035"/>
      <c r="JQ996" s="1035"/>
      <c r="JR996" s="1035"/>
      <c r="JS996" s="1035"/>
      <c r="JT996" s="1035"/>
      <c r="JU996" s="1035"/>
      <c r="JV996" s="1035"/>
      <c r="JW996" s="1035"/>
      <c r="JX996" s="1035"/>
      <c r="JY996" s="1035"/>
    </row>
    <row r="997" spans="2:285">
      <c r="IX997" s="1126"/>
      <c r="IY997" s="1126"/>
      <c r="IZ997" s="1126"/>
      <c r="JA997" s="1126"/>
      <c r="JB997" s="1126"/>
      <c r="JC997" s="1126"/>
      <c r="JD997" s="1125"/>
      <c r="JE997" s="1126"/>
      <c r="JF997" s="1037"/>
      <c r="JG997" s="1037"/>
      <c r="JH997" s="1037"/>
      <c r="JI997" s="1035"/>
      <c r="JJ997" s="1035"/>
      <c r="JK997" s="1035"/>
      <c r="JL997" s="1035"/>
      <c r="JM997" s="1035"/>
      <c r="JN997" s="1035"/>
      <c r="JO997" s="1035"/>
      <c r="JP997" s="1035"/>
      <c r="JQ997" s="1035"/>
      <c r="JR997" s="1035"/>
      <c r="JS997" s="1035"/>
      <c r="JT997" s="1035"/>
      <c r="JU997" s="1035"/>
      <c r="JV997" s="1035"/>
      <c r="JW997" s="1035"/>
      <c r="JX997" s="1035"/>
      <c r="JY997" s="1035"/>
    </row>
    <row r="998" spans="2:285">
      <c r="B998" s="1657"/>
      <c r="C998" s="1657"/>
      <c r="D998" s="1657"/>
      <c r="E998" s="1657"/>
      <c r="F998" s="1657"/>
      <c r="G998" s="1657"/>
      <c r="H998" s="1657"/>
      <c r="I998" s="1657"/>
      <c r="J998" s="1657"/>
      <c r="K998" s="1657"/>
      <c r="L998" s="1657"/>
      <c r="M998" s="1657"/>
      <c r="N998" s="1657"/>
      <c r="O998" s="1657"/>
      <c r="P998" s="1657"/>
      <c r="Q998" s="1657"/>
      <c r="R998" s="1657"/>
      <c r="S998" s="1657"/>
      <c r="T998" s="1657"/>
      <c r="U998" s="1657"/>
      <c r="V998" s="1657"/>
      <c r="W998" s="1657"/>
      <c r="X998" s="1657"/>
      <c r="Y998" s="1657"/>
      <c r="Z998" s="1657"/>
      <c r="AA998" s="1657"/>
      <c r="AB998" s="1657"/>
      <c r="AC998" s="1657"/>
      <c r="AD998" s="1657"/>
      <c r="AE998" s="1657"/>
      <c r="AF998" s="1657"/>
      <c r="AG998" s="1657"/>
      <c r="AH998" s="1657"/>
      <c r="AI998" s="1657"/>
      <c r="AJ998" s="1657"/>
      <c r="AK998" s="1657"/>
      <c r="AL998" s="1657"/>
      <c r="AM998" s="1657"/>
      <c r="AN998" s="1657"/>
      <c r="AO998" s="1657"/>
      <c r="AP998" s="1657"/>
      <c r="AQ998" s="1657"/>
      <c r="AR998" s="1657"/>
      <c r="AS998" s="1657"/>
      <c r="AT998" s="1657"/>
      <c r="AU998" s="1657"/>
      <c r="AV998" s="1657"/>
      <c r="AW998" s="1657"/>
      <c r="AX998" s="1657"/>
      <c r="AY998" s="1657"/>
      <c r="AZ998" s="1657"/>
      <c r="BA998" s="1657"/>
      <c r="BB998" s="1657"/>
      <c r="BC998" s="1657"/>
      <c r="BD998" s="1657"/>
      <c r="BE998" s="1657"/>
      <c r="BF998" s="1657"/>
      <c r="BG998" s="1657"/>
      <c r="BH998" s="1657"/>
      <c r="BI998" s="1657"/>
      <c r="BJ998" s="1657"/>
      <c r="BK998" s="1657"/>
      <c r="BL998" s="1657"/>
      <c r="BM998" s="1657"/>
      <c r="BN998" s="1657"/>
      <c r="BO998" s="1657"/>
      <c r="BP998" s="1657"/>
      <c r="BQ998" s="1657"/>
      <c r="BR998" s="1657"/>
      <c r="BS998" s="1657"/>
      <c r="BT998" s="1657"/>
      <c r="BU998" s="1657"/>
      <c r="BV998" s="1657"/>
      <c r="BW998" s="1657"/>
      <c r="BX998" s="1657"/>
      <c r="BY998" s="1657"/>
      <c r="BZ998" s="1657"/>
      <c r="CA998" s="1657"/>
      <c r="CB998" s="1657"/>
      <c r="CC998" s="1657"/>
      <c r="CD998" s="1657"/>
      <c r="CE998" s="1657"/>
      <c r="CF998" s="1657"/>
      <c r="CG998" s="1657"/>
      <c r="CH998" s="1657"/>
      <c r="CI998" s="1657"/>
      <c r="CJ998" s="1657"/>
      <c r="CK998" s="1657"/>
      <c r="CL998" s="1657"/>
      <c r="CM998" s="1657"/>
      <c r="CN998" s="1657"/>
      <c r="CO998" s="1657"/>
      <c r="CP998" s="1657"/>
      <c r="CQ998" s="1657"/>
      <c r="CR998" s="1657"/>
      <c r="CS998" s="1657"/>
      <c r="CT998" s="1657"/>
      <c r="CU998" s="1657"/>
      <c r="CV998" s="1657"/>
      <c r="CW998" s="1657"/>
      <c r="CX998" s="1657"/>
      <c r="CY998" s="1657"/>
      <c r="CZ998" s="1657"/>
      <c r="DA998" s="1657"/>
      <c r="DB998" s="1658"/>
      <c r="DC998" s="1658"/>
      <c r="DD998" s="1658"/>
      <c r="DE998" s="1658"/>
      <c r="DF998" s="1658"/>
      <c r="DG998" s="1658"/>
      <c r="DH998" s="1658"/>
      <c r="DI998" s="1659"/>
      <c r="DJ998" s="1658"/>
      <c r="DK998" s="1658"/>
      <c r="DL998" s="1658"/>
      <c r="DM998" s="1658"/>
      <c r="DN998" s="1658"/>
      <c r="DO998" s="1658"/>
      <c r="DP998" s="1658"/>
      <c r="DQ998" s="1659"/>
      <c r="DR998" s="1658"/>
      <c r="DS998" s="1658"/>
      <c r="DT998" s="1658"/>
      <c r="DU998" s="1658"/>
      <c r="DV998" s="1658"/>
      <c r="DW998" s="1658"/>
      <c r="DX998" s="1658"/>
      <c r="DY998" s="1659"/>
      <c r="DZ998" s="1658"/>
      <c r="EA998" s="1658"/>
      <c r="EB998" s="1658"/>
      <c r="EC998" s="1658"/>
      <c r="ED998" s="1658"/>
      <c r="EE998" s="1658"/>
      <c r="EF998" s="1658"/>
      <c r="EG998" s="1659"/>
      <c r="EH998" s="1658"/>
      <c r="EI998" s="1658"/>
      <c r="EJ998" s="1658"/>
      <c r="EK998" s="1658"/>
      <c r="EL998" s="1658"/>
      <c r="EM998" s="1658"/>
      <c r="EN998" s="1658"/>
      <c r="EO998" s="1659"/>
      <c r="EP998" s="1658"/>
      <c r="EQ998" s="1658"/>
      <c r="ER998" s="1658"/>
      <c r="ES998" s="1658"/>
      <c r="ET998" s="1658"/>
      <c r="EU998" s="1658"/>
      <c r="EV998" s="1658"/>
      <c r="JE998" s="1126"/>
      <c r="JF998" s="1037"/>
      <c r="JG998" s="1037"/>
      <c r="JH998" s="1037"/>
      <c r="JI998" s="1035"/>
      <c r="JJ998" s="1035"/>
      <c r="JK998" s="1035"/>
      <c r="JL998" s="1035"/>
      <c r="JM998" s="1035"/>
      <c r="JN998" s="1035"/>
      <c r="JO998" s="1035"/>
      <c r="JP998" s="1035"/>
      <c r="JQ998" s="1035"/>
      <c r="JR998" s="1035"/>
      <c r="JS998" s="1035"/>
      <c r="JT998" s="1035"/>
      <c r="JU998" s="1035"/>
      <c r="JV998" s="1035"/>
      <c r="JW998" s="1035"/>
      <c r="JX998" s="1035"/>
      <c r="JY998" s="1035"/>
    </row>
    <row r="999" spans="2:285">
      <c r="IX999" s="1037"/>
      <c r="IY999" s="1037"/>
      <c r="IZ999" s="1037"/>
      <c r="JA999" s="1037"/>
      <c r="JB999" s="1037"/>
      <c r="JC999" s="1037"/>
      <c r="JD999" s="1041"/>
      <c r="JE999" s="1037"/>
      <c r="JF999" s="1037"/>
      <c r="JG999" s="1037"/>
      <c r="JH999" s="1037"/>
      <c r="JI999" s="1035"/>
      <c r="JJ999" s="1035"/>
      <c r="JK999" s="1035"/>
      <c r="JL999" s="1035"/>
      <c r="JM999" s="1035"/>
      <c r="JN999" s="1035"/>
      <c r="JO999" s="1035"/>
      <c r="JP999" s="1035"/>
      <c r="JQ999" s="1035"/>
      <c r="JR999" s="1035"/>
      <c r="JS999" s="1035"/>
      <c r="JT999" s="1035"/>
      <c r="JU999" s="1035"/>
      <c r="JV999" s="1035"/>
      <c r="JW999" s="1035"/>
      <c r="JX999" s="1035"/>
      <c r="JY999" s="1035"/>
    </row>
    <row r="1000" spans="2:285">
      <c r="IX1000" s="1037"/>
      <c r="IY1000" s="1037"/>
      <c r="IZ1000" s="1037"/>
      <c r="JA1000" s="1037"/>
      <c r="JB1000" s="1037"/>
      <c r="JC1000" s="1037"/>
      <c r="JD1000" s="1041"/>
      <c r="JE1000" s="1037"/>
      <c r="JF1000" s="1037"/>
      <c r="JG1000" s="1037"/>
      <c r="JH1000" s="1037"/>
      <c r="JI1000" s="1035"/>
      <c r="JJ1000" s="1035"/>
      <c r="JK1000" s="1035"/>
      <c r="JL1000" s="1035"/>
      <c r="JM1000" s="1035"/>
      <c r="JN1000" s="1035"/>
      <c r="JO1000" s="1035"/>
      <c r="JP1000" s="1035"/>
      <c r="JQ1000" s="1035"/>
      <c r="JR1000" s="1035"/>
      <c r="JS1000" s="1035"/>
      <c r="JT1000" s="1035"/>
      <c r="JU1000" s="1035"/>
      <c r="JV1000" s="1035"/>
      <c r="JW1000" s="1035"/>
      <c r="JX1000" s="1035"/>
      <c r="JY1000" s="1035"/>
    </row>
    <row r="1001" spans="2:285">
      <c r="IX1001" s="1037"/>
      <c r="IY1001" s="1037"/>
      <c r="IZ1001" s="1037"/>
      <c r="JA1001" s="1037"/>
      <c r="JB1001" s="1037"/>
      <c r="JC1001" s="1037"/>
      <c r="JD1001" s="1041"/>
      <c r="JE1001" s="1037"/>
      <c r="JF1001" s="1037"/>
      <c r="JG1001" s="1037"/>
      <c r="JH1001" s="1037"/>
      <c r="JI1001" s="1035"/>
      <c r="JJ1001" s="1035"/>
      <c r="JK1001" s="1035"/>
      <c r="JL1001" s="1035"/>
      <c r="JM1001" s="1035"/>
      <c r="JN1001" s="1035"/>
      <c r="JO1001" s="1035"/>
      <c r="JP1001" s="1035"/>
      <c r="JQ1001" s="1035"/>
      <c r="JR1001" s="1035"/>
      <c r="JS1001" s="1035"/>
      <c r="JT1001" s="1035"/>
      <c r="JU1001" s="1035"/>
      <c r="JV1001" s="1035"/>
      <c r="JW1001" s="1035"/>
      <c r="JX1001" s="1035"/>
      <c r="JY1001" s="1035"/>
    </row>
    <row r="1002" spans="2:285">
      <c r="IX1002" s="1037"/>
      <c r="IY1002" s="1037"/>
      <c r="IZ1002" s="1037"/>
      <c r="JA1002" s="1037"/>
      <c r="JB1002" s="1037"/>
      <c r="JC1002" s="1037"/>
      <c r="JD1002" s="1041"/>
      <c r="JE1002" s="1037"/>
      <c r="JF1002" s="1037"/>
      <c r="JG1002" s="1037"/>
      <c r="JH1002" s="1037"/>
      <c r="JI1002" s="1035"/>
      <c r="JJ1002" s="1035"/>
      <c r="JK1002" s="1035"/>
      <c r="JL1002" s="1035"/>
      <c r="JM1002" s="1035"/>
      <c r="JN1002" s="1035"/>
      <c r="JO1002" s="1035"/>
      <c r="JP1002" s="1035"/>
      <c r="JQ1002" s="1035"/>
      <c r="JR1002" s="1035"/>
      <c r="JS1002" s="1035"/>
      <c r="JT1002" s="1035"/>
      <c r="JU1002" s="1035"/>
      <c r="JV1002" s="1035"/>
      <c r="JW1002" s="1035"/>
      <c r="JX1002" s="1035"/>
      <c r="JY1002" s="1035"/>
    </row>
    <row r="1003" spans="2:285">
      <c r="B1003" s="1648"/>
      <c r="C1003" s="1648"/>
      <c r="D1003" s="1648"/>
      <c r="E1003" s="1648"/>
      <c r="F1003" s="1648"/>
      <c r="G1003" s="1648"/>
      <c r="H1003" s="1648"/>
      <c r="I1003" s="1648"/>
      <c r="J1003" s="1648"/>
      <c r="K1003" s="1648"/>
      <c r="L1003" s="1648"/>
      <c r="M1003" s="1648"/>
      <c r="N1003" s="1648"/>
      <c r="O1003" s="1648"/>
      <c r="P1003" s="1648"/>
      <c r="Q1003" s="1648"/>
      <c r="R1003" s="1648"/>
      <c r="S1003" s="1648"/>
      <c r="T1003" s="1648"/>
      <c r="U1003" s="1648"/>
      <c r="V1003" s="1648"/>
      <c r="W1003" s="1648"/>
      <c r="X1003" s="1648"/>
      <c r="Y1003" s="1648"/>
      <c r="Z1003" s="1648"/>
      <c r="AA1003" s="1648"/>
      <c r="AB1003" s="1648"/>
      <c r="AC1003" s="1648"/>
      <c r="AD1003" s="1648"/>
      <c r="AE1003" s="1648"/>
      <c r="AF1003" s="1648"/>
      <c r="AG1003" s="1648"/>
      <c r="AH1003" s="1648"/>
      <c r="AI1003" s="1648"/>
      <c r="AJ1003" s="1648"/>
      <c r="AK1003" s="1648"/>
      <c r="AL1003" s="1648"/>
      <c r="AM1003" s="1648"/>
      <c r="AN1003" s="1648"/>
      <c r="AO1003" s="1648"/>
      <c r="AP1003" s="1648"/>
      <c r="AQ1003" s="1648"/>
      <c r="AR1003" s="1648"/>
      <c r="AS1003" s="1648"/>
      <c r="AT1003" s="1648"/>
      <c r="AU1003" s="1648"/>
      <c r="AV1003" s="1648"/>
      <c r="AW1003" s="1648"/>
      <c r="AX1003" s="1648"/>
      <c r="AY1003" s="1648"/>
      <c r="AZ1003" s="1648"/>
      <c r="BA1003" s="1648"/>
      <c r="BB1003" s="1648"/>
      <c r="BC1003" s="1648"/>
      <c r="BD1003" s="1648"/>
      <c r="BE1003" s="1648"/>
      <c r="BF1003" s="1648"/>
      <c r="BG1003" s="1648"/>
      <c r="BH1003" s="1648"/>
      <c r="BI1003" s="1648"/>
      <c r="BJ1003" s="1648"/>
      <c r="BK1003" s="1648"/>
      <c r="BL1003" s="1648"/>
      <c r="BM1003" s="1648"/>
      <c r="BN1003" s="1648"/>
      <c r="BO1003" s="1648"/>
      <c r="BP1003" s="1648"/>
      <c r="BQ1003" s="1648"/>
      <c r="BR1003" s="1648"/>
      <c r="BS1003" s="1648"/>
      <c r="BT1003" s="1648"/>
      <c r="BU1003" s="1648"/>
      <c r="BV1003" s="1648"/>
      <c r="BW1003" s="1648"/>
      <c r="BX1003" s="1648"/>
      <c r="BY1003" s="1648"/>
      <c r="BZ1003" s="1648"/>
      <c r="CA1003" s="1648"/>
      <c r="CB1003" s="1648"/>
      <c r="CC1003" s="1648"/>
      <c r="CD1003" s="1648"/>
      <c r="CE1003" s="1648"/>
      <c r="CF1003" s="1648"/>
      <c r="CG1003" s="1648"/>
      <c r="CH1003" s="1648"/>
      <c r="CI1003" s="1648"/>
      <c r="CJ1003" s="1648"/>
      <c r="CK1003" s="1648"/>
      <c r="CL1003" s="1648"/>
      <c r="CM1003" s="1648"/>
      <c r="CN1003" s="1648"/>
      <c r="CO1003" s="1648"/>
      <c r="CP1003" s="1648"/>
      <c r="CQ1003" s="1648"/>
      <c r="CR1003" s="1648"/>
      <c r="CS1003" s="1648"/>
      <c r="CT1003" s="1648"/>
      <c r="CU1003" s="1648"/>
      <c r="CV1003" s="1648"/>
      <c r="CW1003" s="1648"/>
      <c r="CX1003" s="1648"/>
      <c r="CY1003" s="1648"/>
      <c r="CZ1003" s="1648"/>
      <c r="DA1003" s="1648"/>
      <c r="DB1003" s="1649"/>
      <c r="DC1003" s="1649"/>
      <c r="DD1003" s="1649"/>
      <c r="DE1003" s="1649"/>
      <c r="DF1003" s="1649"/>
      <c r="DG1003" s="1649"/>
      <c r="DH1003" s="1649"/>
      <c r="DI1003" s="1650"/>
      <c r="DJ1003" s="1649"/>
      <c r="DK1003" s="1649"/>
      <c r="DL1003" s="1649"/>
      <c r="DM1003" s="1649"/>
      <c r="DN1003" s="1649"/>
      <c r="DO1003" s="1649"/>
      <c r="DP1003" s="1649"/>
      <c r="DQ1003" s="1650"/>
      <c r="DR1003" s="1649"/>
      <c r="DS1003" s="1649"/>
      <c r="DT1003" s="1649"/>
      <c r="DU1003" s="1649"/>
      <c r="DV1003" s="1649"/>
      <c r="DW1003" s="1649"/>
      <c r="DX1003" s="1649"/>
      <c r="DY1003" s="1650"/>
      <c r="DZ1003" s="1649"/>
      <c r="EA1003" s="1649"/>
      <c r="EB1003" s="1649"/>
      <c r="EC1003" s="1649"/>
      <c r="ED1003" s="1649"/>
      <c r="EE1003" s="1649"/>
      <c r="EF1003" s="1649"/>
      <c r="EG1003" s="1650"/>
      <c r="EH1003" s="1649"/>
      <c r="EI1003" s="1649"/>
      <c r="EJ1003" s="1649"/>
      <c r="EK1003" s="1649"/>
      <c r="EL1003" s="1649"/>
      <c r="EM1003" s="1649"/>
      <c r="EN1003" s="1649"/>
      <c r="EO1003" s="1650"/>
      <c r="EP1003" s="1649"/>
      <c r="EQ1003" s="1649"/>
      <c r="ER1003" s="1649"/>
      <c r="ES1003" s="1649"/>
      <c r="ET1003" s="1649"/>
      <c r="EU1003" s="1649"/>
      <c r="EV1003" s="1649"/>
      <c r="IX1003" s="1649"/>
      <c r="IY1003" s="1649"/>
      <c r="IZ1003" s="1649"/>
      <c r="JA1003" s="1649"/>
      <c r="JB1003" s="1649"/>
      <c r="JC1003" s="1649"/>
      <c r="JD1003" s="1473"/>
      <c r="JE1003" s="1037"/>
      <c r="JF1003" s="1037"/>
      <c r="JG1003" s="1037"/>
      <c r="JH1003" s="1037"/>
      <c r="JI1003" s="1035"/>
      <c r="JJ1003" s="1035"/>
      <c r="JK1003" s="1035"/>
      <c r="JL1003" s="1035"/>
      <c r="JM1003" s="1035"/>
      <c r="JN1003" s="1035"/>
      <c r="JO1003" s="1035"/>
      <c r="JP1003" s="1035"/>
      <c r="JQ1003" s="1035"/>
      <c r="JR1003" s="1035"/>
      <c r="JS1003" s="1035"/>
      <c r="JT1003" s="1035"/>
      <c r="JU1003" s="1035"/>
      <c r="JV1003" s="1035"/>
      <c r="JW1003" s="1035"/>
      <c r="JX1003" s="1035"/>
      <c r="JY1003" s="1035"/>
    </row>
    <row r="1004" spans="2:285">
      <c r="B1004" s="1648"/>
      <c r="C1004" s="1648"/>
      <c r="D1004" s="1648"/>
      <c r="E1004" s="1648"/>
      <c r="F1004" s="1648"/>
      <c r="G1004" s="1648"/>
      <c r="H1004" s="1648"/>
      <c r="I1004" s="1648"/>
      <c r="J1004" s="1648"/>
      <c r="K1004" s="1648"/>
      <c r="L1004" s="1648"/>
      <c r="M1004" s="1648"/>
      <c r="N1004" s="1648"/>
      <c r="O1004" s="1648"/>
      <c r="P1004" s="1648"/>
      <c r="Q1004" s="1648"/>
      <c r="R1004" s="1648"/>
      <c r="S1004" s="1648"/>
      <c r="T1004" s="1648"/>
      <c r="U1004" s="1648"/>
      <c r="V1004" s="1648"/>
      <c r="W1004" s="1648"/>
      <c r="X1004" s="1648"/>
      <c r="Y1004" s="1648"/>
      <c r="Z1004" s="1648"/>
      <c r="AA1004" s="1648"/>
      <c r="AB1004" s="1648"/>
      <c r="AC1004" s="1648"/>
      <c r="AD1004" s="1648"/>
      <c r="AE1004" s="1648"/>
      <c r="AF1004" s="1648"/>
      <c r="AG1004" s="1648"/>
      <c r="AH1004" s="1648"/>
      <c r="AI1004" s="1648"/>
      <c r="AJ1004" s="1648"/>
      <c r="AK1004" s="1648"/>
      <c r="AL1004" s="1648"/>
      <c r="AM1004" s="1648"/>
      <c r="AN1004" s="1648"/>
      <c r="AO1004" s="1648"/>
      <c r="AP1004" s="1648"/>
      <c r="AQ1004" s="1648"/>
      <c r="AR1004" s="1648"/>
      <c r="AS1004" s="1648"/>
      <c r="AT1004" s="1648"/>
      <c r="AU1004" s="1648"/>
      <c r="AV1004" s="1648"/>
      <c r="AW1004" s="1648"/>
      <c r="AX1004" s="1648"/>
      <c r="AY1004" s="1648"/>
      <c r="AZ1004" s="1648"/>
      <c r="BA1004" s="1648"/>
      <c r="BB1004" s="1648"/>
      <c r="BC1004" s="1648"/>
      <c r="BD1004" s="1648"/>
      <c r="BE1004" s="1648"/>
      <c r="BF1004" s="1648"/>
      <c r="BG1004" s="1648"/>
      <c r="BH1004" s="1648"/>
      <c r="BI1004" s="1648"/>
      <c r="BJ1004" s="1648"/>
      <c r="BK1004" s="1648"/>
      <c r="BL1004" s="1648"/>
      <c r="BM1004" s="1648"/>
      <c r="BN1004" s="1648"/>
      <c r="BO1004" s="1648"/>
      <c r="BP1004" s="1648"/>
      <c r="BQ1004" s="1648"/>
      <c r="BR1004" s="1648"/>
      <c r="BS1004" s="1648"/>
      <c r="BT1004" s="1648"/>
      <c r="BU1004" s="1648"/>
      <c r="BV1004" s="1648"/>
      <c r="BW1004" s="1648"/>
      <c r="BX1004" s="1648"/>
      <c r="BY1004" s="1648"/>
      <c r="BZ1004" s="1648"/>
      <c r="CA1004" s="1648"/>
      <c r="CB1004" s="1648"/>
      <c r="CC1004" s="1648"/>
      <c r="CD1004" s="1648"/>
      <c r="CE1004" s="1648"/>
      <c r="CF1004" s="1648"/>
      <c r="CG1004" s="1648"/>
      <c r="CH1004" s="1648"/>
      <c r="CI1004" s="1648"/>
      <c r="CJ1004" s="1648"/>
      <c r="CK1004" s="1648"/>
      <c r="CL1004" s="1648"/>
      <c r="CM1004" s="1648"/>
      <c r="CN1004" s="1648"/>
      <c r="CO1004" s="1648"/>
      <c r="CP1004" s="1648"/>
      <c r="CQ1004" s="1648"/>
      <c r="CR1004" s="1648"/>
      <c r="CS1004" s="1648"/>
      <c r="CT1004" s="1648"/>
      <c r="CU1004" s="1648"/>
      <c r="CV1004" s="1648"/>
      <c r="CW1004" s="1648"/>
      <c r="CX1004" s="1648"/>
      <c r="CY1004" s="1648"/>
      <c r="CZ1004" s="1648"/>
      <c r="DA1004" s="1648"/>
      <c r="DB1004" s="1649"/>
      <c r="DC1004" s="1649"/>
      <c r="DD1004" s="1649"/>
      <c r="DE1004" s="1649"/>
      <c r="DF1004" s="1649"/>
      <c r="DG1004" s="1649"/>
      <c r="DH1004" s="1649"/>
      <c r="DI1004" s="1650"/>
      <c r="DJ1004" s="1649"/>
      <c r="DK1004" s="1649"/>
      <c r="DL1004" s="1649"/>
      <c r="DM1004" s="1649"/>
      <c r="DN1004" s="1649"/>
      <c r="DO1004" s="1649"/>
      <c r="DP1004" s="1649"/>
      <c r="DQ1004" s="1650"/>
      <c r="DR1004" s="1649"/>
      <c r="DS1004" s="1649"/>
      <c r="DT1004" s="1649"/>
      <c r="DU1004" s="1649"/>
      <c r="DV1004" s="1649"/>
      <c r="DW1004" s="1649"/>
      <c r="DX1004" s="1649"/>
      <c r="DY1004" s="1650"/>
      <c r="DZ1004" s="1649"/>
      <c r="EA1004" s="1649"/>
      <c r="EB1004" s="1649"/>
      <c r="EC1004" s="1649"/>
      <c r="ED1004" s="1649"/>
      <c r="EE1004" s="1649"/>
      <c r="EF1004" s="1649"/>
      <c r="EG1004" s="1650"/>
      <c r="EH1004" s="1649"/>
      <c r="EI1004" s="1649"/>
      <c r="EJ1004" s="1649"/>
      <c r="EK1004" s="1649"/>
      <c r="EL1004" s="1649"/>
      <c r="EM1004" s="1649"/>
      <c r="EN1004" s="1649"/>
      <c r="EO1004" s="1650"/>
      <c r="EP1004" s="1649"/>
      <c r="EQ1004" s="1649"/>
      <c r="ER1004" s="1649"/>
      <c r="ES1004" s="1649"/>
      <c r="ET1004" s="1649"/>
      <c r="EU1004" s="1649"/>
      <c r="EV1004" s="1649"/>
      <c r="IX1004" s="1649"/>
      <c r="IY1004" s="1649"/>
      <c r="IZ1004" s="1649"/>
      <c r="JA1004" s="1649"/>
      <c r="JB1004" s="1649"/>
      <c r="JC1004" s="1649"/>
      <c r="JD1004" s="1473"/>
      <c r="JE1004" s="1037"/>
      <c r="JF1004" s="1037"/>
      <c r="JG1004" s="1037"/>
      <c r="JH1004" s="1037"/>
      <c r="JI1004" s="1035"/>
      <c r="JJ1004" s="1035"/>
      <c r="JK1004" s="1035"/>
      <c r="JL1004" s="1035"/>
      <c r="JM1004" s="1035"/>
      <c r="JN1004" s="1035"/>
      <c r="JO1004" s="1035"/>
      <c r="JP1004" s="1035"/>
      <c r="JQ1004" s="1035"/>
      <c r="JR1004" s="1035"/>
      <c r="JS1004" s="1035"/>
      <c r="JT1004" s="1035"/>
      <c r="JU1004" s="1035"/>
      <c r="JV1004" s="1035"/>
      <c r="JW1004" s="1035"/>
      <c r="JX1004" s="1035"/>
      <c r="JY1004" s="1035"/>
    </row>
    <row r="1005" spans="2:285">
      <c r="IX1005" s="1037"/>
      <c r="IY1005" s="1037"/>
      <c r="IZ1005" s="1037"/>
      <c r="JA1005" s="1037"/>
      <c r="JB1005" s="1037"/>
      <c r="JC1005" s="1037"/>
      <c r="JD1005" s="1041"/>
      <c r="JE1005" s="1037"/>
      <c r="JF1005" s="1037"/>
      <c r="JG1005" s="1037"/>
      <c r="JH1005" s="1037"/>
      <c r="JI1005" s="1035"/>
      <c r="JJ1005" s="1035"/>
      <c r="JK1005" s="1035"/>
      <c r="JL1005" s="1035"/>
      <c r="JM1005" s="1035"/>
      <c r="JN1005" s="1035"/>
      <c r="JO1005" s="1035"/>
      <c r="JP1005" s="1035"/>
      <c r="JQ1005" s="1035"/>
      <c r="JR1005" s="1035"/>
      <c r="JS1005" s="1035"/>
      <c r="JT1005" s="1035"/>
      <c r="JU1005" s="1035"/>
      <c r="JV1005" s="1035"/>
      <c r="JW1005" s="1035"/>
      <c r="JX1005" s="1035"/>
      <c r="JY1005" s="1035"/>
    </row>
    <row r="1006" spans="2:285">
      <c r="IX1006" s="1037"/>
      <c r="IY1006" s="1037"/>
      <c r="IZ1006" s="1037"/>
      <c r="JA1006" s="1037"/>
      <c r="JB1006" s="1037"/>
      <c r="JC1006" s="1037"/>
      <c r="JD1006" s="1041"/>
      <c r="JE1006" s="1037"/>
      <c r="JF1006" s="1037"/>
      <c r="JG1006" s="1037"/>
      <c r="JH1006" s="1037"/>
      <c r="JI1006" s="1035"/>
      <c r="JJ1006" s="1035"/>
      <c r="JK1006" s="1035"/>
      <c r="JL1006" s="1035"/>
      <c r="JM1006" s="1035"/>
      <c r="JN1006" s="1035"/>
      <c r="JO1006" s="1035"/>
      <c r="JP1006" s="1035"/>
      <c r="JQ1006" s="1035"/>
      <c r="JR1006" s="1035"/>
      <c r="JS1006" s="1035"/>
      <c r="JT1006" s="1035"/>
      <c r="JU1006" s="1035"/>
      <c r="JV1006" s="1035"/>
      <c r="JW1006" s="1035"/>
      <c r="JX1006" s="1035"/>
      <c r="JY1006" s="1035"/>
    </row>
    <row r="1007" spans="2:285">
      <c r="IX1007" s="1037"/>
      <c r="IY1007" s="1037"/>
      <c r="IZ1007" s="1037"/>
      <c r="JA1007" s="1037"/>
      <c r="JB1007" s="1037"/>
      <c r="JC1007" s="1037"/>
      <c r="JD1007" s="1041"/>
      <c r="JE1007" s="1037"/>
      <c r="JF1007" s="1037"/>
      <c r="JG1007" s="1037"/>
      <c r="JH1007" s="1037"/>
      <c r="JI1007" s="1035"/>
      <c r="JJ1007" s="1035"/>
      <c r="JK1007" s="1035"/>
      <c r="JL1007" s="1035"/>
      <c r="JM1007" s="1035"/>
      <c r="JN1007" s="1035"/>
      <c r="JO1007" s="1035"/>
      <c r="JP1007" s="1035"/>
      <c r="JQ1007" s="1035"/>
      <c r="JR1007" s="1035"/>
      <c r="JS1007" s="1035"/>
      <c r="JT1007" s="1035"/>
      <c r="JU1007" s="1035"/>
      <c r="JV1007" s="1035"/>
      <c r="JW1007" s="1035"/>
      <c r="JX1007" s="1035"/>
      <c r="JY1007" s="1035"/>
    </row>
    <row r="1008" spans="2:285">
      <c r="IX1008" s="1037"/>
      <c r="IY1008" s="1037"/>
      <c r="IZ1008" s="1037"/>
      <c r="JA1008" s="1037"/>
      <c r="JB1008" s="1037"/>
      <c r="JC1008" s="1037"/>
      <c r="JD1008" s="1041"/>
      <c r="JE1008" s="1037"/>
      <c r="JF1008" s="1037"/>
      <c r="JG1008" s="1037"/>
      <c r="JH1008" s="1037"/>
      <c r="JI1008" s="1035"/>
      <c r="JJ1008" s="1035"/>
      <c r="JK1008" s="1035"/>
      <c r="JL1008" s="1035"/>
      <c r="JM1008" s="1035"/>
      <c r="JN1008" s="1035"/>
      <c r="JO1008" s="1035"/>
      <c r="JP1008" s="1035"/>
      <c r="JQ1008" s="1035"/>
      <c r="JR1008" s="1035"/>
      <c r="JS1008" s="1035"/>
      <c r="JT1008" s="1035"/>
      <c r="JU1008" s="1035"/>
      <c r="JV1008" s="1035"/>
      <c r="JW1008" s="1035"/>
      <c r="JX1008" s="1035"/>
      <c r="JY1008" s="1035"/>
    </row>
    <row r="1009" spans="1:381">
      <c r="IX1009" s="1037"/>
      <c r="IY1009" s="1037"/>
      <c r="IZ1009" s="1037"/>
      <c r="JA1009" s="1037"/>
      <c r="JB1009" s="1037"/>
      <c r="JC1009" s="1037"/>
      <c r="JD1009" s="1041"/>
      <c r="JE1009" s="1037"/>
      <c r="JF1009" s="1037"/>
      <c r="JG1009" s="1037"/>
      <c r="JH1009" s="1037"/>
      <c r="JI1009" s="1035"/>
      <c r="JJ1009" s="1035"/>
      <c r="JK1009" s="1035"/>
      <c r="JL1009" s="1035"/>
      <c r="JM1009" s="1035"/>
      <c r="JN1009" s="1035"/>
      <c r="JO1009" s="1035"/>
      <c r="JP1009" s="1035"/>
      <c r="JQ1009" s="1035"/>
      <c r="JR1009" s="1035"/>
      <c r="JS1009" s="1035"/>
      <c r="JT1009" s="1035"/>
      <c r="JU1009" s="1035"/>
      <c r="JV1009" s="1035"/>
      <c r="JW1009" s="1035"/>
      <c r="JX1009" s="1035"/>
      <c r="JY1009" s="1035"/>
    </row>
    <row r="1010" spans="1:381">
      <c r="IX1010" s="1037"/>
      <c r="IY1010" s="1037"/>
      <c r="IZ1010" s="1037"/>
      <c r="JA1010" s="1037"/>
      <c r="JB1010" s="1037"/>
      <c r="JC1010" s="1037"/>
      <c r="JD1010" s="1041"/>
      <c r="JE1010" s="1037"/>
      <c r="JF1010" s="1037"/>
      <c r="JG1010" s="1037"/>
      <c r="JH1010" s="1037"/>
      <c r="JI1010" s="1035"/>
      <c r="JJ1010" s="1035"/>
      <c r="JK1010" s="1035"/>
      <c r="JL1010" s="1035"/>
      <c r="JM1010" s="1035"/>
      <c r="JN1010" s="1035"/>
      <c r="JO1010" s="1035"/>
      <c r="JP1010" s="1035"/>
      <c r="JQ1010" s="1035"/>
      <c r="JR1010" s="1035"/>
      <c r="JS1010" s="1035"/>
      <c r="JT1010" s="1035"/>
      <c r="JU1010" s="1035"/>
      <c r="JV1010" s="1035"/>
      <c r="JW1010" s="1035"/>
      <c r="JX1010" s="1035"/>
      <c r="JY1010" s="1035"/>
    </row>
    <row r="1011" spans="1:381">
      <c r="IX1011" s="1037"/>
      <c r="IY1011" s="1037"/>
      <c r="IZ1011" s="1037"/>
      <c r="JA1011" s="1037"/>
      <c r="JB1011" s="1037"/>
      <c r="JC1011" s="1037"/>
      <c r="JD1011" s="1041"/>
      <c r="JE1011" s="1037"/>
      <c r="JF1011" s="1037"/>
      <c r="JG1011" s="1037"/>
      <c r="JH1011" s="1037"/>
      <c r="JI1011" s="1035"/>
      <c r="JJ1011" s="1035"/>
      <c r="JK1011" s="1035"/>
      <c r="JL1011" s="1035"/>
      <c r="JM1011" s="1035"/>
      <c r="JN1011" s="1035"/>
      <c r="JO1011" s="1035"/>
      <c r="JP1011" s="1035"/>
      <c r="JQ1011" s="1035"/>
      <c r="JR1011" s="1035"/>
      <c r="JS1011" s="1035"/>
      <c r="JT1011" s="1035"/>
      <c r="JU1011" s="1035"/>
      <c r="JV1011" s="1035"/>
      <c r="JW1011" s="1035"/>
      <c r="JX1011" s="1035"/>
      <c r="JY1011" s="1035"/>
    </row>
    <row r="1012" spans="1:381">
      <c r="B1012" s="1358"/>
      <c r="C1012" s="1358"/>
      <c r="D1012" s="1358"/>
      <c r="E1012" s="1358"/>
      <c r="F1012" s="1358"/>
      <c r="G1012" s="1358"/>
      <c r="H1012" s="1358"/>
      <c r="I1012" s="1358"/>
      <c r="J1012" s="1358"/>
      <c r="K1012" s="1358"/>
      <c r="L1012" s="1358"/>
      <c r="M1012" s="1358"/>
      <c r="N1012" s="1358"/>
      <c r="O1012" s="1358"/>
      <c r="P1012" s="1358"/>
      <c r="Q1012" s="1358"/>
      <c r="R1012" s="1358"/>
      <c r="S1012" s="1358"/>
      <c r="T1012" s="1358"/>
      <c r="U1012" s="1358"/>
      <c r="V1012" s="1358"/>
      <c r="W1012" s="1358"/>
      <c r="X1012" s="1358"/>
      <c r="Y1012" s="1358"/>
      <c r="Z1012" s="1358"/>
      <c r="AA1012" s="1358"/>
      <c r="AB1012" s="1358"/>
      <c r="AC1012" s="1358"/>
      <c r="AD1012" s="1358"/>
      <c r="AE1012" s="1358"/>
      <c r="AF1012" s="1358"/>
      <c r="AG1012" s="1358"/>
      <c r="AH1012" s="1358"/>
      <c r="AI1012" s="1358"/>
      <c r="AJ1012" s="1358"/>
      <c r="AK1012" s="1358"/>
      <c r="AL1012" s="1358"/>
      <c r="AM1012" s="1358"/>
      <c r="AN1012" s="1358"/>
      <c r="AO1012" s="1358"/>
      <c r="AP1012" s="1358"/>
      <c r="AQ1012" s="1358"/>
      <c r="AR1012" s="1358"/>
      <c r="AS1012" s="1358"/>
      <c r="AT1012" s="1358"/>
      <c r="AU1012" s="1358"/>
      <c r="AV1012" s="1358"/>
      <c r="AW1012" s="1358"/>
      <c r="AX1012" s="1358"/>
      <c r="AY1012" s="1358"/>
      <c r="AZ1012" s="1358"/>
      <c r="BA1012" s="1358"/>
      <c r="BB1012" s="1358"/>
      <c r="BC1012" s="1358"/>
      <c r="BD1012" s="1358"/>
      <c r="BE1012" s="1358"/>
      <c r="BF1012" s="1358"/>
      <c r="BG1012" s="1358"/>
      <c r="BH1012" s="1358"/>
      <c r="BI1012" s="1358"/>
      <c r="BJ1012" s="1358"/>
      <c r="BK1012" s="1358"/>
      <c r="BL1012" s="1358"/>
      <c r="BM1012" s="1358"/>
      <c r="BN1012" s="1358"/>
      <c r="BO1012" s="1358"/>
      <c r="BP1012" s="1358"/>
      <c r="BQ1012" s="1358"/>
      <c r="BR1012" s="1358"/>
      <c r="BS1012" s="1358"/>
      <c r="BT1012" s="1358"/>
      <c r="BU1012" s="1358"/>
      <c r="BV1012" s="1358"/>
      <c r="BW1012" s="1358"/>
      <c r="BX1012" s="1358"/>
      <c r="BY1012" s="1358"/>
      <c r="BZ1012" s="1358"/>
      <c r="CA1012" s="1358"/>
      <c r="CB1012" s="1358"/>
      <c r="CC1012" s="1358"/>
      <c r="CD1012" s="1358"/>
      <c r="CE1012" s="1358"/>
      <c r="CF1012" s="1358"/>
      <c r="CG1012" s="1358"/>
      <c r="CH1012" s="1358"/>
      <c r="CI1012" s="1358"/>
      <c r="CJ1012" s="1358"/>
      <c r="CK1012" s="1358"/>
      <c r="CL1012" s="1358"/>
      <c r="CM1012" s="1358"/>
      <c r="CN1012" s="1358"/>
      <c r="CO1012" s="1358"/>
      <c r="CP1012" s="1358"/>
      <c r="CQ1012" s="1358"/>
      <c r="CR1012" s="1358"/>
      <c r="CS1012" s="1358"/>
      <c r="CT1012" s="1358"/>
      <c r="CU1012" s="1358"/>
      <c r="CV1012" s="1358"/>
      <c r="CW1012" s="1358"/>
      <c r="CX1012" s="1358"/>
      <c r="CY1012" s="1358"/>
      <c r="CZ1012" s="1358"/>
      <c r="DA1012" s="1358"/>
      <c r="DB1012" s="1362"/>
      <c r="DC1012" s="1362"/>
      <c r="DD1012" s="1362"/>
      <c r="DE1012" s="1362"/>
      <c r="DF1012" s="1362"/>
      <c r="DG1012" s="1362"/>
      <c r="DH1012" s="1362"/>
      <c r="DI1012" s="1363"/>
      <c r="DJ1012" s="1362"/>
      <c r="DK1012" s="1362"/>
      <c r="DL1012" s="1362"/>
      <c r="DM1012" s="1362"/>
      <c r="DN1012" s="1362"/>
      <c r="DO1012" s="1362"/>
      <c r="DP1012" s="1362"/>
      <c r="DQ1012" s="1363"/>
      <c r="DR1012" s="1362"/>
      <c r="DS1012" s="1362"/>
      <c r="DT1012" s="1362"/>
      <c r="DU1012" s="1362"/>
      <c r="DV1012" s="1362"/>
      <c r="DW1012" s="1362"/>
      <c r="DX1012" s="1362"/>
      <c r="DY1012" s="1363"/>
      <c r="DZ1012" s="1362"/>
      <c r="EA1012" s="1362"/>
      <c r="EB1012" s="1362"/>
      <c r="EC1012" s="1362"/>
      <c r="ED1012" s="1362"/>
      <c r="EE1012" s="1362"/>
      <c r="EF1012" s="1362"/>
      <c r="EG1012" s="1363"/>
      <c r="EH1012" s="1362"/>
      <c r="EI1012" s="1362"/>
      <c r="EJ1012" s="1362"/>
      <c r="EK1012" s="1362"/>
      <c r="EL1012" s="1362"/>
      <c r="EM1012" s="1362"/>
      <c r="EN1012" s="1362"/>
      <c r="EO1012" s="1363"/>
      <c r="EP1012" s="1362"/>
      <c r="EQ1012" s="1362"/>
      <c r="ER1012" s="1362"/>
      <c r="ES1012" s="1362"/>
      <c r="ET1012" s="1362"/>
      <c r="EU1012" s="1362"/>
      <c r="EV1012" s="1362"/>
      <c r="IX1012" s="1362"/>
      <c r="IY1012" s="1362"/>
      <c r="IZ1012" s="1362"/>
      <c r="JA1012" s="1362"/>
      <c r="JB1012" s="1362"/>
      <c r="JC1012" s="1362"/>
      <c r="JD1012" s="1660"/>
      <c r="JE1012" s="1037"/>
      <c r="JF1012" s="1037"/>
      <c r="JG1012" s="1037"/>
      <c r="JH1012" s="1037"/>
      <c r="JI1012" s="1035"/>
      <c r="JJ1012" s="1035"/>
      <c r="JK1012" s="1035"/>
      <c r="JL1012" s="1035"/>
      <c r="JM1012" s="1035"/>
      <c r="JN1012" s="1035"/>
      <c r="JO1012" s="1035"/>
      <c r="JP1012" s="1035"/>
      <c r="JQ1012" s="1035"/>
      <c r="JR1012" s="1035"/>
      <c r="JS1012" s="1035"/>
      <c r="JT1012" s="1035"/>
      <c r="JU1012" s="1035"/>
      <c r="JV1012" s="1035"/>
      <c r="JW1012" s="1035"/>
      <c r="JX1012" s="1035"/>
      <c r="JY1012" s="1035"/>
    </row>
    <row r="1013" spans="1:381">
      <c r="IX1013" s="1037"/>
      <c r="IY1013" s="1037"/>
      <c r="IZ1013" s="1037"/>
      <c r="JA1013" s="1037"/>
      <c r="JB1013" s="1037"/>
      <c r="JC1013" s="1037"/>
      <c r="JD1013" s="1041"/>
      <c r="JE1013" s="1037"/>
      <c r="JF1013" s="1037"/>
      <c r="JG1013" s="1037"/>
      <c r="JH1013" s="1037"/>
      <c r="JI1013" s="1035"/>
      <c r="JJ1013" s="1035"/>
      <c r="JK1013" s="1035"/>
      <c r="JL1013" s="1035"/>
      <c r="JM1013" s="1035"/>
      <c r="JN1013" s="1035"/>
      <c r="JO1013" s="1035"/>
      <c r="JP1013" s="1035"/>
      <c r="JQ1013" s="1035"/>
      <c r="JR1013" s="1035"/>
      <c r="JS1013" s="1035"/>
      <c r="JT1013" s="1035"/>
      <c r="JU1013" s="1035"/>
      <c r="JV1013" s="1035"/>
      <c r="JW1013" s="1035"/>
      <c r="JX1013" s="1035"/>
      <c r="JY1013" s="1035"/>
    </row>
    <row r="1014" spans="1:381">
      <c r="IX1014" s="1037"/>
      <c r="IY1014" s="1037"/>
      <c r="IZ1014" s="1037"/>
      <c r="JA1014" s="1037"/>
      <c r="JB1014" s="1037"/>
      <c r="JC1014" s="1037"/>
      <c r="JD1014" s="1041"/>
      <c r="JE1014" s="1037"/>
      <c r="JF1014" s="1037"/>
      <c r="JG1014" s="1037"/>
      <c r="JH1014" s="1037"/>
      <c r="JI1014" s="1035"/>
      <c r="JJ1014" s="1035"/>
      <c r="JK1014" s="1035"/>
      <c r="JL1014" s="1035"/>
      <c r="JM1014" s="1035"/>
      <c r="JN1014" s="1035"/>
      <c r="JO1014" s="1035"/>
      <c r="JP1014" s="1035"/>
      <c r="JQ1014" s="1035"/>
      <c r="JR1014" s="1035"/>
      <c r="JS1014" s="1035"/>
      <c r="JT1014" s="1035"/>
      <c r="JU1014" s="1035"/>
      <c r="JV1014" s="1035"/>
      <c r="JW1014" s="1035"/>
      <c r="JX1014" s="1035"/>
      <c r="JY1014" s="1035"/>
    </row>
    <row r="1015" s="1034" customFormat="1" spans="1:381">
      <c r="A1015" s="1035"/>
      <c r="B1015" s="1657"/>
      <c r="C1015" s="1657"/>
      <c r="D1015" s="1657"/>
      <c r="E1015" s="1657"/>
      <c r="F1015" s="1657"/>
      <c r="G1015" s="1657"/>
      <c r="H1015" s="1657"/>
      <c r="I1015" s="1657"/>
      <c r="J1015" s="1657"/>
      <c r="K1015" s="1657"/>
      <c r="L1015" s="1657"/>
      <c r="M1015" s="1657"/>
      <c r="N1015" s="1657"/>
      <c r="O1015" s="1657"/>
      <c r="P1015" s="1657"/>
      <c r="Q1015" s="1657"/>
      <c r="R1015" s="1657"/>
      <c r="S1015" s="1657"/>
      <c r="T1015" s="1657"/>
      <c r="U1015" s="1657"/>
      <c r="V1015" s="1657"/>
      <c r="W1015" s="1657"/>
      <c r="X1015" s="1657"/>
      <c r="Y1015" s="1657"/>
      <c r="Z1015" s="1657"/>
      <c r="AA1015" s="1657"/>
      <c r="AB1015" s="1657"/>
      <c r="AC1015" s="1657"/>
      <c r="AD1015" s="1657"/>
      <c r="AE1015" s="1657"/>
      <c r="AF1015" s="1657"/>
      <c r="AG1015" s="1657"/>
      <c r="AH1015" s="1657"/>
      <c r="AI1015" s="1657"/>
      <c r="AJ1015" s="1657"/>
      <c r="AK1015" s="1657"/>
      <c r="AL1015" s="1657"/>
      <c r="AM1015" s="1657"/>
      <c r="AN1015" s="1657"/>
      <c r="AO1015" s="1657"/>
      <c r="AP1015" s="1657"/>
      <c r="AQ1015" s="1657"/>
      <c r="AR1015" s="1657"/>
      <c r="AS1015" s="1657"/>
      <c r="AT1015" s="1657"/>
      <c r="AU1015" s="1657"/>
      <c r="AV1015" s="1657"/>
      <c r="AW1015" s="1657"/>
      <c r="AX1015" s="1657"/>
      <c r="AY1015" s="1657"/>
      <c r="AZ1015" s="1657"/>
      <c r="BA1015" s="1657"/>
      <c r="BB1015" s="1657"/>
      <c r="BC1015" s="1657"/>
      <c r="BD1015" s="1657"/>
      <c r="BE1015" s="1657"/>
      <c r="BF1015" s="1657"/>
      <c r="BG1015" s="1657"/>
      <c r="BH1015" s="1657"/>
      <c r="BI1015" s="1657"/>
      <c r="BJ1015" s="1657"/>
      <c r="BK1015" s="1657"/>
      <c r="BL1015" s="1657"/>
      <c r="BM1015" s="1657"/>
      <c r="BN1015" s="1657"/>
      <c r="BO1015" s="1657"/>
      <c r="BP1015" s="1657"/>
      <c r="BQ1015" s="1657"/>
      <c r="BR1015" s="1657"/>
      <c r="BS1015" s="1657"/>
      <c r="BT1015" s="1657"/>
      <c r="BU1015" s="1657"/>
      <c r="BV1015" s="1657"/>
      <c r="BW1015" s="1657"/>
      <c r="BX1015" s="1657"/>
      <c r="BY1015" s="1657"/>
      <c r="BZ1015" s="1657"/>
      <c r="CA1015" s="1657"/>
      <c r="CB1015" s="1657"/>
      <c r="CC1015" s="1657"/>
      <c r="CD1015" s="1657"/>
      <c r="CE1015" s="1657"/>
      <c r="CF1015" s="1657"/>
      <c r="CG1015" s="1657"/>
      <c r="CH1015" s="1657"/>
      <c r="CI1015" s="1657"/>
      <c r="CJ1015" s="1657"/>
      <c r="CK1015" s="1657"/>
      <c r="CL1015" s="1657"/>
      <c r="CM1015" s="1657"/>
      <c r="CN1015" s="1657"/>
      <c r="CO1015" s="1657"/>
      <c r="CP1015" s="1657"/>
      <c r="CQ1015" s="1657"/>
      <c r="CR1015" s="1657"/>
      <c r="CS1015" s="1657"/>
      <c r="CT1015" s="1657"/>
      <c r="CU1015" s="1657"/>
      <c r="CV1015" s="1657"/>
      <c r="CW1015" s="1657"/>
      <c r="CX1015" s="1657"/>
      <c r="CY1015" s="1657"/>
      <c r="CZ1015" s="1657"/>
      <c r="DA1015" s="1657"/>
      <c r="DB1015" s="1658"/>
      <c r="DC1015" s="1658"/>
      <c r="DD1015" s="1658"/>
      <c r="DE1015" s="1658"/>
      <c r="DF1015" s="1658"/>
      <c r="DG1015" s="1658"/>
      <c r="DH1015" s="1658"/>
      <c r="DI1015" s="1659"/>
      <c r="DJ1015" s="1658"/>
      <c r="DK1015" s="1658"/>
      <c r="DL1015" s="1658"/>
      <c r="DM1015" s="1658"/>
      <c r="DN1015" s="1658"/>
      <c r="DO1015" s="1658"/>
      <c r="DP1015" s="1658"/>
      <c r="DQ1015" s="1659"/>
      <c r="DR1015" s="1658"/>
      <c r="DS1015" s="1658"/>
      <c r="DT1015" s="1658"/>
      <c r="DU1015" s="1658"/>
      <c r="DV1015" s="1658"/>
      <c r="DW1015" s="1658"/>
      <c r="DX1015" s="1658"/>
      <c r="DY1015" s="1659"/>
      <c r="DZ1015" s="1658"/>
      <c r="EA1015" s="1658"/>
      <c r="EB1015" s="1658"/>
      <c r="EC1015" s="1658"/>
      <c r="ED1015" s="1658"/>
      <c r="EE1015" s="1658"/>
      <c r="EF1015" s="1658"/>
      <c r="EG1015" s="1659"/>
      <c r="EH1015" s="1658"/>
      <c r="EI1015" s="1658"/>
      <c r="EJ1015" s="1658"/>
      <c r="EK1015" s="1658"/>
      <c r="EL1015" s="1658"/>
      <c r="EM1015" s="1658"/>
      <c r="EN1015" s="1658"/>
      <c r="EO1015" s="1659"/>
      <c r="EP1015" s="1658"/>
      <c r="EQ1015" s="1658"/>
      <c r="ER1015" s="1658"/>
      <c r="ES1015" s="1658"/>
      <c r="ET1015" s="1658"/>
      <c r="EU1015" s="1658"/>
      <c r="EV1015" s="1658"/>
      <c r="EW1015" s="1039"/>
      <c r="EX1015" s="891"/>
      <c r="EY1015" s="891"/>
      <c r="EZ1015" s="891"/>
      <c r="FA1015" s="891"/>
      <c r="FB1015" s="891"/>
      <c r="FC1015" s="891"/>
      <c r="FD1015" s="891"/>
      <c r="FE1015" s="1039"/>
      <c r="FF1015" s="891"/>
      <c r="FG1015" s="891"/>
      <c r="FH1015" s="891"/>
      <c r="FI1015" s="891"/>
      <c r="FJ1015" s="891"/>
      <c r="FK1015" s="891"/>
      <c r="FL1015" s="891"/>
      <c r="FM1015" s="1039"/>
      <c r="FN1015" s="891"/>
      <c r="FO1015" s="891"/>
      <c r="FP1015" s="891"/>
      <c r="FQ1015" s="891"/>
      <c r="FR1015" s="891"/>
      <c r="FS1015" s="891"/>
      <c r="FT1015" s="891"/>
      <c r="FU1015" s="891"/>
      <c r="FV1015" s="1040"/>
      <c r="FW1015" s="891"/>
      <c r="FX1015" s="891"/>
      <c r="FY1015" s="891"/>
      <c r="FZ1015" s="891"/>
      <c r="GA1015" s="891"/>
      <c r="GB1015" s="891"/>
      <c r="GC1015" s="1039"/>
      <c r="GD1015" s="891"/>
      <c r="GE1015" s="891"/>
      <c r="GF1015" s="891"/>
      <c r="GG1015" s="891"/>
      <c r="GH1015" s="891"/>
      <c r="GI1015" s="891"/>
      <c r="GJ1015" s="891"/>
      <c r="GK1015" s="1039"/>
      <c r="GL1015" s="891"/>
      <c r="GM1015" s="891"/>
      <c r="GN1015" s="891"/>
      <c r="GO1015" s="891"/>
      <c r="GP1015" s="891"/>
      <c r="GQ1015" s="891"/>
      <c r="GR1015" s="891"/>
      <c r="GS1015" s="1039"/>
      <c r="GT1015" s="891"/>
      <c r="GU1015" s="891"/>
      <c r="GV1015" s="891"/>
      <c r="GW1015" s="891"/>
      <c r="GX1015" s="891"/>
      <c r="GY1015" s="891"/>
      <c r="GZ1015" s="891"/>
      <c r="HA1015" s="1039"/>
      <c r="HB1015" s="891"/>
      <c r="HC1015" s="891"/>
      <c r="HD1015" s="891"/>
      <c r="HE1015" s="891"/>
      <c r="HF1015" s="891"/>
      <c r="HG1015" s="891"/>
      <c r="HH1015" s="891"/>
      <c r="HI1015" s="1039"/>
      <c r="HJ1015" s="891"/>
      <c r="HK1015" s="891"/>
      <c r="HL1015" s="891"/>
      <c r="HM1015" s="891"/>
      <c r="HN1015" s="891"/>
      <c r="HO1015" s="891"/>
      <c r="HP1015" s="891"/>
      <c r="HQ1015" s="1039"/>
      <c r="HR1015" s="891"/>
      <c r="HS1015" s="891"/>
      <c r="HT1015" s="891"/>
      <c r="HU1015" s="891"/>
      <c r="HV1015" s="891"/>
      <c r="HW1015" s="891"/>
      <c r="HX1015" s="891"/>
      <c r="HY1015" s="891"/>
      <c r="HZ1015" s="891"/>
      <c r="IA1015" s="891"/>
      <c r="IB1015" s="891"/>
      <c r="IC1015" s="891"/>
      <c r="ID1015" s="891"/>
      <c r="IE1015" s="891"/>
      <c r="IF1015" s="891"/>
      <c r="IG1015" s="1039"/>
      <c r="IH1015" s="891"/>
      <c r="II1015" s="891"/>
      <c r="IJ1015" s="891"/>
      <c r="IK1015" s="891"/>
      <c r="IL1015" s="891"/>
      <c r="IM1015" s="891"/>
      <c r="IN1015" s="891"/>
      <c r="IO1015" s="1039"/>
      <c r="IP1015" s="891"/>
      <c r="IQ1015" s="891"/>
      <c r="IR1015" s="891"/>
      <c r="IS1015" s="891"/>
      <c r="IT1015" s="891"/>
      <c r="IU1015" s="891"/>
      <c r="IV1015" s="891"/>
      <c r="IW1015" s="891"/>
      <c r="IX1015" s="1658"/>
      <c r="IY1015" s="1658"/>
      <c r="IZ1015" s="1658"/>
      <c r="JA1015" s="1658"/>
      <c r="JB1015" s="1658"/>
      <c r="JC1015" s="1658"/>
      <c r="JD1015" s="1661"/>
      <c r="JE1015" s="1037"/>
      <c r="JF1015" s="1037"/>
      <c r="JG1015" s="1037"/>
      <c r="JH1015" s="1037"/>
      <c r="JI1015" s="1035"/>
      <c r="JJ1015" s="1035"/>
      <c r="JK1015" s="1035"/>
      <c r="JL1015" s="1035"/>
      <c r="JM1015" s="1035"/>
      <c r="JN1015" s="1035"/>
      <c r="JO1015" s="1035"/>
      <c r="JP1015" s="1035"/>
      <c r="JQ1015" s="1035"/>
      <c r="JR1015" s="1035"/>
      <c r="JS1015" s="1035"/>
      <c r="JT1015" s="1035"/>
      <c r="JU1015" s="1035"/>
      <c r="JV1015" s="1035"/>
      <c r="JW1015" s="1035"/>
      <c r="JX1015" s="1035"/>
      <c r="JY1015" s="1035"/>
      <c r="JZ1015" s="1035"/>
      <c r="KA1015" s="1035"/>
      <c r="KB1015" s="1035"/>
      <c r="KC1015" s="1035"/>
      <c r="KD1015" s="1035"/>
      <c r="KE1015" s="1035"/>
      <c r="KF1015" s="1035"/>
      <c r="KG1015" s="1035"/>
      <c r="KH1015" s="1035"/>
      <c r="KI1015" s="1035"/>
      <c r="KJ1015" s="1035"/>
      <c r="KK1015" s="1035"/>
      <c r="KL1015" s="1035"/>
      <c r="KM1015" s="1035"/>
      <c r="KN1015" s="1035"/>
      <c r="KO1015" s="1035"/>
      <c r="KP1015" s="1035"/>
      <c r="KQ1015" s="1035"/>
      <c r="KR1015" s="1035"/>
      <c r="KS1015" s="1035"/>
      <c r="KT1015" s="1035"/>
      <c r="KU1015" s="1035"/>
      <c r="KV1015" s="1035"/>
      <c r="KW1015" s="1035"/>
      <c r="LO1015" s="1035"/>
      <c r="LP1015" s="1035"/>
      <c r="LQ1015" s="1035"/>
      <c r="LR1015" s="1035"/>
      <c r="LS1015" s="1035"/>
      <c r="LT1015" s="1035"/>
      <c r="LU1015" s="1035"/>
      <c r="LV1015" s="1035"/>
      <c r="LW1015" s="1035"/>
      <c r="LX1015" s="1035"/>
      <c r="LY1015" s="1035"/>
      <c r="LZ1015" s="1035"/>
      <c r="MA1015" s="1035"/>
      <c r="MB1015" s="1035"/>
      <c r="MC1015" s="1035"/>
      <c r="MD1015" s="1035"/>
      <c r="ME1015" s="1035"/>
      <c r="MF1015" s="1035"/>
      <c r="MG1015" s="1035"/>
      <c r="MH1015" s="1035"/>
      <c r="MI1015" s="1035"/>
      <c r="MJ1015" s="1035"/>
      <c r="MK1015" s="1035"/>
      <c r="ML1015" s="1035"/>
      <c r="MM1015" s="1035"/>
      <c r="MN1015" s="1035"/>
      <c r="MO1015" s="1035"/>
      <c r="MP1015" s="1035"/>
      <c r="MQ1015" s="1035"/>
      <c r="MR1015" s="1035"/>
      <c r="MS1015" s="1035"/>
      <c r="MT1015" s="1035"/>
      <c r="MU1015" s="1035"/>
      <c r="MV1015" s="1035"/>
      <c r="MW1015" s="1035"/>
      <c r="MX1015" s="1035"/>
      <c r="MY1015" s="1035"/>
      <c r="MZ1015" s="1035"/>
      <c r="NA1015" s="1035"/>
      <c r="NB1015" s="1035"/>
      <c r="NC1015" s="1035"/>
      <c r="ND1015" s="1035"/>
      <c r="NE1015" s="1035"/>
      <c r="NF1015" s="1035"/>
      <c r="NG1015" s="1035"/>
      <c r="NH1015" s="1035"/>
      <c r="NI1015" s="1035"/>
      <c r="NJ1015" s="1035"/>
      <c r="NK1015" s="1035"/>
      <c r="NL1015" s="1035"/>
      <c r="NM1015" s="1035"/>
      <c r="NN1015" s="1035"/>
      <c r="NO1015" s="1035"/>
      <c r="NP1015" s="1035"/>
      <c r="NQ1015" s="1035"/>
    </row>
    <row r="1016" s="1034" customFormat="1" spans="1:381">
      <c r="A1016" s="1035"/>
      <c r="B1016" s="1036"/>
      <c r="C1016" s="1036"/>
      <c r="D1016" s="1036"/>
      <c r="E1016" s="1036"/>
      <c r="F1016" s="1036"/>
      <c r="G1016" s="1036"/>
      <c r="H1016" s="1036"/>
      <c r="I1016" s="1036"/>
      <c r="J1016" s="1036"/>
      <c r="K1016" s="1036"/>
      <c r="L1016" s="1036"/>
      <c r="M1016" s="1036"/>
      <c r="N1016" s="1036"/>
      <c r="O1016" s="1036"/>
      <c r="P1016" s="1036"/>
      <c r="Q1016" s="1036"/>
      <c r="R1016" s="1036"/>
      <c r="S1016" s="1036"/>
      <c r="T1016" s="1036"/>
      <c r="U1016" s="1036"/>
      <c r="V1016" s="1036"/>
      <c r="W1016" s="1036"/>
      <c r="X1016" s="1036"/>
      <c r="Y1016" s="1036"/>
      <c r="Z1016" s="1036"/>
      <c r="AA1016" s="1036"/>
      <c r="AB1016" s="1036"/>
      <c r="AC1016" s="1036"/>
      <c r="AD1016" s="1036"/>
      <c r="AE1016" s="1036"/>
      <c r="AF1016" s="1036"/>
      <c r="AG1016" s="1036"/>
      <c r="AH1016" s="1036"/>
      <c r="AI1016" s="1036"/>
      <c r="AJ1016" s="1036"/>
      <c r="AK1016" s="1036"/>
      <c r="AL1016" s="1036"/>
      <c r="AM1016" s="1036"/>
      <c r="AN1016" s="1036"/>
      <c r="AO1016" s="1036"/>
      <c r="AP1016" s="1036"/>
      <c r="AQ1016" s="1036"/>
      <c r="AR1016" s="1036"/>
      <c r="AS1016" s="1036"/>
      <c r="AT1016" s="1036"/>
      <c r="AU1016" s="1036"/>
      <c r="AV1016" s="1036"/>
      <c r="AW1016" s="1036"/>
      <c r="AX1016" s="1036"/>
      <c r="AY1016" s="1036"/>
      <c r="AZ1016" s="1036"/>
      <c r="BA1016" s="1036"/>
      <c r="BB1016" s="1036"/>
      <c r="BC1016" s="1036"/>
      <c r="BD1016" s="1036"/>
      <c r="BE1016" s="1036"/>
      <c r="BF1016" s="1036"/>
      <c r="BG1016" s="1036"/>
      <c r="BH1016" s="1036"/>
      <c r="BI1016" s="1036"/>
      <c r="BJ1016" s="1036"/>
      <c r="BK1016" s="1036"/>
      <c r="BL1016" s="1036"/>
      <c r="BM1016" s="1036"/>
      <c r="BN1016" s="1036"/>
      <c r="BO1016" s="1036"/>
      <c r="BP1016" s="1036"/>
      <c r="BQ1016" s="1036"/>
      <c r="BR1016" s="1036"/>
      <c r="BS1016" s="1036"/>
      <c r="BT1016" s="1036"/>
      <c r="BU1016" s="1036"/>
      <c r="BV1016" s="1036"/>
      <c r="BW1016" s="1036"/>
      <c r="BX1016" s="1036"/>
      <c r="BY1016" s="1036"/>
      <c r="BZ1016" s="1036"/>
      <c r="CA1016" s="1036"/>
      <c r="CB1016" s="1036"/>
      <c r="CC1016" s="1036"/>
      <c r="CD1016" s="1036"/>
      <c r="CE1016" s="1036"/>
      <c r="CF1016" s="1036"/>
      <c r="CG1016" s="1036"/>
      <c r="CH1016" s="1036"/>
      <c r="CI1016" s="1036"/>
      <c r="CJ1016" s="1036"/>
      <c r="CK1016" s="1036"/>
      <c r="CL1016" s="1036"/>
      <c r="CM1016" s="1036"/>
      <c r="CN1016" s="1036"/>
      <c r="CO1016" s="1036"/>
      <c r="CP1016" s="1036"/>
      <c r="CQ1016" s="1036"/>
      <c r="CR1016" s="1036"/>
      <c r="CS1016" s="1036"/>
      <c r="CT1016" s="1036"/>
      <c r="CU1016" s="1036"/>
      <c r="CV1016" s="1036"/>
      <c r="CW1016" s="1036"/>
      <c r="CX1016" s="1036"/>
      <c r="CY1016" s="1036"/>
      <c r="CZ1016" s="1036"/>
      <c r="DA1016" s="1036"/>
      <c r="DB1016" s="1037"/>
      <c r="DC1016" s="1037"/>
      <c r="DD1016" s="1037"/>
      <c r="DE1016" s="1037"/>
      <c r="DF1016" s="1037"/>
      <c r="DG1016" s="1037"/>
      <c r="DH1016" s="1037"/>
      <c r="DI1016" s="1038"/>
      <c r="DJ1016" s="1037"/>
      <c r="DK1016" s="1037"/>
      <c r="DL1016" s="1037"/>
      <c r="DM1016" s="1037"/>
      <c r="DN1016" s="1037"/>
      <c r="DO1016" s="1037"/>
      <c r="DP1016" s="1037"/>
      <c r="DQ1016" s="1038"/>
      <c r="DR1016" s="1037"/>
      <c r="DS1016" s="1037"/>
      <c r="DT1016" s="1037"/>
      <c r="DU1016" s="1037"/>
      <c r="DV1016" s="1037"/>
      <c r="DW1016" s="1037"/>
      <c r="DX1016" s="1037"/>
      <c r="DY1016" s="1038"/>
      <c r="DZ1016" s="1037"/>
      <c r="EA1016" s="1037"/>
      <c r="EB1016" s="1037"/>
      <c r="EC1016" s="1037"/>
      <c r="ED1016" s="1037"/>
      <c r="EE1016" s="1037"/>
      <c r="EF1016" s="1037"/>
      <c r="EG1016" s="1038"/>
      <c r="EH1016" s="1037"/>
      <c r="EI1016" s="1037"/>
      <c r="EJ1016" s="1037"/>
      <c r="EK1016" s="1037"/>
      <c r="EL1016" s="1037"/>
      <c r="EM1016" s="1037"/>
      <c r="EN1016" s="1037"/>
      <c r="EO1016" s="1038"/>
      <c r="EP1016" s="1037"/>
      <c r="EQ1016" s="1037"/>
      <c r="ER1016" s="1037"/>
      <c r="ES1016" s="1037"/>
      <c r="ET1016" s="1037"/>
      <c r="EU1016" s="1037"/>
      <c r="EV1016" s="1037"/>
      <c r="EW1016" s="1039"/>
      <c r="EX1016" s="891"/>
      <c r="EY1016" s="891"/>
      <c r="EZ1016" s="891"/>
      <c r="FA1016" s="891"/>
      <c r="FB1016" s="891"/>
      <c r="FC1016" s="891"/>
      <c r="FD1016" s="891"/>
      <c r="FE1016" s="1039"/>
      <c r="FF1016" s="891"/>
      <c r="FG1016" s="891"/>
      <c r="FH1016" s="891"/>
      <c r="FI1016" s="891"/>
      <c r="FJ1016" s="891"/>
      <c r="FK1016" s="891"/>
      <c r="FL1016" s="891"/>
      <c r="FM1016" s="1039"/>
      <c r="FN1016" s="891"/>
      <c r="FO1016" s="891"/>
      <c r="FP1016" s="891"/>
      <c r="FQ1016" s="891"/>
      <c r="FR1016" s="891"/>
      <c r="FS1016" s="891"/>
      <c r="FT1016" s="891"/>
      <c r="FU1016" s="891"/>
      <c r="FV1016" s="1040"/>
      <c r="FW1016" s="891"/>
      <c r="FX1016" s="891"/>
      <c r="FY1016" s="891"/>
      <c r="FZ1016" s="891"/>
      <c r="GA1016" s="891"/>
      <c r="GB1016" s="891"/>
      <c r="GC1016" s="1039"/>
      <c r="GD1016" s="891"/>
      <c r="GE1016" s="891"/>
      <c r="GF1016" s="891"/>
      <c r="GG1016" s="891"/>
      <c r="GH1016" s="891"/>
      <c r="GI1016" s="891"/>
      <c r="GJ1016" s="891"/>
      <c r="GK1016" s="1039"/>
      <c r="GL1016" s="891"/>
      <c r="GM1016" s="891"/>
      <c r="GN1016" s="891"/>
      <c r="GO1016" s="891"/>
      <c r="GP1016" s="891"/>
      <c r="GQ1016" s="891"/>
      <c r="GR1016" s="891"/>
      <c r="GS1016" s="1039"/>
      <c r="GT1016" s="891"/>
      <c r="GU1016" s="891"/>
      <c r="GV1016" s="891"/>
      <c r="GW1016" s="891"/>
      <c r="GX1016" s="891"/>
      <c r="GY1016" s="891"/>
      <c r="GZ1016" s="891"/>
      <c r="HA1016" s="1039"/>
      <c r="HB1016" s="891"/>
      <c r="HC1016" s="891"/>
      <c r="HD1016" s="891"/>
      <c r="HE1016" s="891"/>
      <c r="HF1016" s="891"/>
      <c r="HG1016" s="891"/>
      <c r="HH1016" s="891"/>
      <c r="HI1016" s="1039"/>
      <c r="HJ1016" s="891"/>
      <c r="HK1016" s="891"/>
      <c r="HL1016" s="891"/>
      <c r="HM1016" s="891"/>
      <c r="HN1016" s="891"/>
      <c r="HO1016" s="891"/>
      <c r="HP1016" s="891"/>
      <c r="HQ1016" s="1039"/>
      <c r="HR1016" s="891"/>
      <c r="HS1016" s="891"/>
      <c r="HT1016" s="891"/>
      <c r="HU1016" s="891"/>
      <c r="HV1016" s="891"/>
      <c r="HW1016" s="891"/>
      <c r="HX1016" s="891"/>
      <c r="HY1016" s="891"/>
      <c r="HZ1016" s="891"/>
      <c r="IA1016" s="891"/>
      <c r="IB1016" s="891"/>
      <c r="IC1016" s="891"/>
      <c r="ID1016" s="891"/>
      <c r="IE1016" s="891"/>
      <c r="IF1016" s="891"/>
      <c r="IG1016" s="1039"/>
      <c r="IH1016" s="891"/>
      <c r="II1016" s="891"/>
      <c r="IJ1016" s="891"/>
      <c r="IK1016" s="891"/>
      <c r="IL1016" s="891"/>
      <c r="IM1016" s="891"/>
      <c r="IN1016" s="891"/>
      <c r="IO1016" s="1039"/>
      <c r="IP1016" s="891"/>
      <c r="IQ1016" s="891"/>
      <c r="IR1016" s="891"/>
      <c r="IS1016" s="891"/>
      <c r="IT1016" s="891"/>
      <c r="IU1016" s="891"/>
      <c r="IV1016" s="891"/>
      <c r="IW1016" s="891"/>
      <c r="IX1016" s="1037"/>
      <c r="IY1016" s="1037"/>
      <c r="IZ1016" s="1037"/>
      <c r="JA1016" s="1037"/>
      <c r="JB1016" s="1037"/>
      <c r="JC1016" s="1037"/>
      <c r="JD1016" s="1041"/>
      <c r="JE1016" s="1037"/>
      <c r="JF1016" s="1037"/>
      <c r="JG1016" s="1037"/>
      <c r="JH1016" s="1037"/>
      <c r="JI1016" s="1035"/>
      <c r="JJ1016" s="1035"/>
      <c r="JK1016" s="1035"/>
      <c r="JL1016" s="1035"/>
      <c r="JM1016" s="1035"/>
      <c r="JN1016" s="1035"/>
      <c r="JO1016" s="1035"/>
      <c r="JP1016" s="1035"/>
      <c r="JQ1016" s="1035"/>
      <c r="JR1016" s="1035"/>
      <c r="JS1016" s="1035"/>
      <c r="JT1016" s="1035"/>
      <c r="JU1016" s="1035"/>
      <c r="JV1016" s="1035"/>
      <c r="JW1016" s="1035"/>
      <c r="JX1016" s="1035"/>
      <c r="JY1016" s="1035"/>
      <c r="JZ1016" s="1035"/>
      <c r="KA1016" s="1035"/>
      <c r="KB1016" s="1035"/>
      <c r="KC1016" s="1035"/>
      <c r="KD1016" s="1035"/>
      <c r="KE1016" s="1035"/>
      <c r="KF1016" s="1035"/>
      <c r="KG1016" s="1035"/>
      <c r="KH1016" s="1035"/>
      <c r="KI1016" s="1035"/>
      <c r="KJ1016" s="1035"/>
      <c r="KK1016" s="1035"/>
      <c r="KL1016" s="1035"/>
      <c r="KM1016" s="1035"/>
      <c r="KN1016" s="1035"/>
      <c r="KO1016" s="1035"/>
      <c r="KP1016" s="1035"/>
      <c r="KQ1016" s="1035"/>
      <c r="KR1016" s="1035"/>
      <c r="KS1016" s="1035"/>
      <c r="KT1016" s="1035"/>
      <c r="KU1016" s="1035"/>
      <c r="KV1016" s="1035"/>
      <c r="KW1016" s="1035"/>
      <c r="LO1016" s="1035"/>
      <c r="LP1016" s="1035"/>
      <c r="LQ1016" s="1035"/>
      <c r="LR1016" s="1035"/>
      <c r="LS1016" s="1035"/>
      <c r="LT1016" s="1035"/>
      <c r="LU1016" s="1035"/>
      <c r="LV1016" s="1035"/>
      <c r="LW1016" s="1035"/>
      <c r="LX1016" s="1035"/>
      <c r="LY1016" s="1035"/>
      <c r="LZ1016" s="1035"/>
      <c r="MA1016" s="1035"/>
      <c r="MB1016" s="1035"/>
      <c r="MC1016" s="1035"/>
      <c r="MD1016" s="1035"/>
      <c r="ME1016" s="1035"/>
      <c r="MF1016" s="1035"/>
      <c r="MG1016" s="1035"/>
      <c r="MH1016" s="1035"/>
      <c r="MI1016" s="1035"/>
      <c r="MJ1016" s="1035"/>
      <c r="MK1016" s="1035"/>
      <c r="ML1016" s="1035"/>
      <c r="MM1016" s="1035"/>
      <c r="MN1016" s="1035"/>
      <c r="MO1016" s="1035"/>
      <c r="MP1016" s="1035"/>
      <c r="MQ1016" s="1035"/>
      <c r="MR1016" s="1035"/>
      <c r="MS1016" s="1035"/>
      <c r="MT1016" s="1035"/>
      <c r="MU1016" s="1035"/>
      <c r="MV1016" s="1035"/>
      <c r="MW1016" s="1035"/>
      <c r="MX1016" s="1035"/>
      <c r="MY1016" s="1035"/>
      <c r="MZ1016" s="1035"/>
      <c r="NA1016" s="1035"/>
      <c r="NB1016" s="1035"/>
      <c r="NC1016" s="1035"/>
      <c r="ND1016" s="1035"/>
      <c r="NE1016" s="1035"/>
      <c r="NF1016" s="1035"/>
      <c r="NG1016" s="1035"/>
      <c r="NH1016" s="1035"/>
      <c r="NI1016" s="1035"/>
      <c r="NJ1016" s="1035"/>
      <c r="NK1016" s="1035"/>
      <c r="NL1016" s="1035"/>
      <c r="NM1016" s="1035"/>
      <c r="NN1016" s="1035"/>
      <c r="NO1016" s="1035"/>
      <c r="NP1016" s="1035"/>
      <c r="NQ1016" s="1035"/>
    </row>
    <row r="1017" spans="1:381">
      <c r="IX1017" s="1037"/>
      <c r="IY1017" s="1037"/>
      <c r="IZ1017" s="1037"/>
      <c r="JA1017" s="1037"/>
      <c r="JB1017" s="1037"/>
      <c r="JC1017" s="1037"/>
      <c r="JD1017" s="1041"/>
      <c r="JE1017" s="1037"/>
      <c r="JF1017" s="1037"/>
      <c r="JG1017" s="1037"/>
      <c r="JH1017" s="1037"/>
      <c r="JI1017" s="1035"/>
      <c r="JJ1017" s="1035"/>
      <c r="JK1017" s="1035"/>
      <c r="JL1017" s="1035"/>
      <c r="JM1017" s="1035"/>
      <c r="JN1017" s="1035"/>
      <c r="JO1017" s="1035"/>
      <c r="JP1017" s="1035"/>
      <c r="JQ1017" s="1035"/>
      <c r="JR1017" s="1035"/>
      <c r="JS1017" s="1035"/>
      <c r="JT1017" s="1035"/>
      <c r="JU1017" s="1035"/>
      <c r="JV1017" s="1035"/>
      <c r="JW1017" s="1035"/>
      <c r="JX1017" s="1035"/>
      <c r="JY1017" s="1035"/>
    </row>
    <row r="1018" spans="1:381">
      <c r="B1018" s="1651"/>
      <c r="C1018" s="1651"/>
      <c r="D1018" s="1651"/>
      <c r="E1018" s="1651"/>
      <c r="F1018" s="1651"/>
      <c r="G1018" s="1651"/>
      <c r="H1018" s="1651"/>
      <c r="I1018" s="1651"/>
      <c r="J1018" s="1651"/>
      <c r="K1018" s="1651"/>
      <c r="L1018" s="1651"/>
      <c r="M1018" s="1651"/>
      <c r="N1018" s="1651"/>
      <c r="O1018" s="1651"/>
      <c r="P1018" s="1651"/>
      <c r="Q1018" s="1651"/>
      <c r="R1018" s="1651"/>
      <c r="S1018" s="1651"/>
      <c r="T1018" s="1651"/>
      <c r="U1018" s="1651"/>
      <c r="V1018" s="1651"/>
      <c r="W1018" s="1651"/>
      <c r="X1018" s="1651"/>
      <c r="Y1018" s="1651"/>
      <c r="Z1018" s="1651"/>
      <c r="AA1018" s="1651"/>
      <c r="AB1018" s="1651"/>
      <c r="AC1018" s="1651"/>
      <c r="AD1018" s="1651"/>
      <c r="AE1018" s="1651"/>
      <c r="AF1018" s="1651"/>
      <c r="AG1018" s="1651"/>
      <c r="AH1018" s="1651"/>
      <c r="AI1018" s="1651"/>
      <c r="AJ1018" s="1651"/>
      <c r="AK1018" s="1651"/>
      <c r="AL1018" s="1651"/>
      <c r="AM1018" s="1651"/>
      <c r="AN1018" s="1651"/>
      <c r="AO1018" s="1651"/>
      <c r="AP1018" s="1651"/>
      <c r="AQ1018" s="1651"/>
      <c r="AR1018" s="1651"/>
      <c r="AS1018" s="1651"/>
      <c r="AT1018" s="1651"/>
      <c r="AU1018" s="1651"/>
      <c r="AV1018" s="1651"/>
      <c r="AW1018" s="1651"/>
      <c r="AX1018" s="1651"/>
      <c r="AY1018" s="1651"/>
      <c r="AZ1018" s="1651"/>
      <c r="BA1018" s="1651"/>
      <c r="BB1018" s="1651"/>
      <c r="BC1018" s="1651"/>
      <c r="BD1018" s="1651"/>
      <c r="BE1018" s="1651"/>
      <c r="BF1018" s="1651"/>
      <c r="BG1018" s="1651"/>
      <c r="BH1018" s="1651"/>
      <c r="BI1018" s="1651"/>
      <c r="BJ1018" s="1651"/>
      <c r="BK1018" s="1651"/>
      <c r="BL1018" s="1651"/>
      <c r="BM1018" s="1651"/>
      <c r="BN1018" s="1651"/>
      <c r="BO1018" s="1651"/>
      <c r="BP1018" s="1651"/>
      <c r="BQ1018" s="1651"/>
      <c r="BR1018" s="1651"/>
      <c r="BS1018" s="1651"/>
      <c r="BT1018" s="1651"/>
      <c r="BU1018" s="1651"/>
      <c r="BV1018" s="1651"/>
      <c r="BW1018" s="1651"/>
      <c r="BX1018" s="1651"/>
      <c r="BY1018" s="1651"/>
      <c r="BZ1018" s="1651"/>
      <c r="CA1018" s="1651"/>
      <c r="CB1018" s="1651"/>
      <c r="CC1018" s="1651"/>
      <c r="CD1018" s="1651"/>
      <c r="CE1018" s="1651"/>
      <c r="CF1018" s="1651"/>
      <c r="CG1018" s="1651"/>
      <c r="CH1018" s="1651"/>
      <c r="CI1018" s="1651"/>
      <c r="CJ1018" s="1651"/>
      <c r="CK1018" s="1651"/>
      <c r="CL1018" s="1651"/>
      <c r="CM1018" s="1651"/>
      <c r="CN1018" s="1651"/>
      <c r="CO1018" s="1651"/>
      <c r="CP1018" s="1651"/>
      <c r="CQ1018" s="1651"/>
      <c r="CR1018" s="1651"/>
      <c r="CS1018" s="1651"/>
      <c r="CT1018" s="1651"/>
      <c r="CU1018" s="1651"/>
      <c r="CV1018" s="1651"/>
      <c r="CW1018" s="1651"/>
      <c r="CX1018" s="1651"/>
      <c r="CY1018" s="1651"/>
      <c r="CZ1018" s="1651"/>
      <c r="DA1018" s="1651"/>
      <c r="DB1018" s="1652"/>
      <c r="DC1018" s="1652"/>
      <c r="DD1018" s="1652"/>
      <c r="DE1018" s="1652"/>
      <c r="DF1018" s="1652"/>
      <c r="DG1018" s="1652"/>
      <c r="DH1018" s="1652"/>
      <c r="DI1018" s="1653"/>
      <c r="DJ1018" s="1652"/>
      <c r="DK1018" s="1652"/>
      <c r="DL1018" s="1652"/>
      <c r="DM1018" s="1652"/>
      <c r="DN1018" s="1652"/>
      <c r="DO1018" s="1652"/>
      <c r="DP1018" s="1652"/>
      <c r="DQ1018" s="1653"/>
      <c r="DR1018" s="1652"/>
      <c r="DS1018" s="1652"/>
      <c r="DT1018" s="1652"/>
      <c r="DU1018" s="1652"/>
      <c r="DV1018" s="1652"/>
      <c r="DW1018" s="1652"/>
      <c r="DX1018" s="1652"/>
      <c r="DY1018" s="1653"/>
      <c r="DZ1018" s="1652"/>
      <c r="EA1018" s="1652"/>
      <c r="EB1018" s="1652"/>
      <c r="EC1018" s="1652"/>
      <c r="ED1018" s="1652"/>
      <c r="EE1018" s="1652"/>
      <c r="EF1018" s="1652"/>
      <c r="EG1018" s="1653"/>
      <c r="EH1018" s="1652"/>
      <c r="EI1018" s="1652"/>
      <c r="EJ1018" s="1652"/>
      <c r="EK1018" s="1652"/>
      <c r="EL1018" s="1652"/>
      <c r="EM1018" s="1652"/>
      <c r="EN1018" s="1652"/>
      <c r="EO1018" s="1653"/>
      <c r="EP1018" s="1652"/>
      <c r="EQ1018" s="1652"/>
      <c r="ER1018" s="1652"/>
      <c r="ES1018" s="1652"/>
      <c r="ET1018" s="1652"/>
      <c r="EU1018" s="1652"/>
      <c r="EV1018" s="1652"/>
      <c r="IX1018" s="1652"/>
      <c r="IY1018" s="1652"/>
      <c r="IZ1018" s="1652"/>
      <c r="JA1018" s="1652"/>
      <c r="JB1018" s="1652"/>
      <c r="JC1018" s="1652"/>
      <c r="JD1018" s="1662"/>
      <c r="JE1018" s="1037"/>
      <c r="JF1018" s="1037"/>
      <c r="JG1018" s="1037"/>
      <c r="JH1018" s="1037"/>
      <c r="JI1018" s="1035"/>
      <c r="JJ1018" s="1035"/>
      <c r="JK1018" s="1035"/>
      <c r="JL1018" s="1035"/>
      <c r="JM1018" s="1035"/>
      <c r="JN1018" s="1035"/>
      <c r="JO1018" s="1035"/>
      <c r="JP1018" s="1035"/>
      <c r="JQ1018" s="1035"/>
      <c r="JR1018" s="1035"/>
      <c r="JS1018" s="1035"/>
      <c r="JT1018" s="1035"/>
      <c r="JU1018" s="1035"/>
      <c r="JV1018" s="1035"/>
      <c r="JW1018" s="1035"/>
      <c r="JX1018" s="1035"/>
      <c r="JY1018" s="1035"/>
    </row>
    <row r="1019" spans="1:381">
      <c r="IX1019" s="1037"/>
      <c r="IY1019" s="1037"/>
      <c r="IZ1019" s="1037"/>
      <c r="JA1019" s="1037"/>
      <c r="JB1019" s="1037"/>
      <c r="JC1019" s="1037"/>
      <c r="JD1019" s="1041"/>
      <c r="JE1019" s="1037"/>
      <c r="JF1019" s="1037"/>
      <c r="JG1019" s="1037"/>
      <c r="JH1019" s="1037"/>
      <c r="JI1019" s="1035"/>
      <c r="JJ1019" s="1035"/>
      <c r="JK1019" s="1035"/>
      <c r="JL1019" s="1035"/>
      <c r="JM1019" s="1035"/>
      <c r="JN1019" s="1035"/>
      <c r="JO1019" s="1035"/>
      <c r="JP1019" s="1035"/>
      <c r="JQ1019" s="1035"/>
      <c r="JR1019" s="1035"/>
      <c r="JS1019" s="1035"/>
      <c r="JT1019" s="1035"/>
      <c r="JU1019" s="1035"/>
      <c r="JV1019" s="1035"/>
      <c r="JW1019" s="1035"/>
      <c r="JX1019" s="1035"/>
      <c r="JY1019" s="1035"/>
    </row>
    <row r="1020" spans="1:381">
      <c r="IX1020" s="1037"/>
      <c r="IY1020" s="1037"/>
      <c r="IZ1020" s="1037"/>
      <c r="JA1020" s="1037"/>
      <c r="JB1020" s="1037"/>
      <c r="JC1020" s="1037"/>
      <c r="JD1020" s="1041"/>
      <c r="JE1020" s="1037"/>
      <c r="JF1020" s="1037"/>
      <c r="JG1020" s="1037"/>
      <c r="JH1020" s="1037"/>
      <c r="JI1020" s="1035"/>
      <c r="JJ1020" s="1035"/>
      <c r="JK1020" s="1035"/>
      <c r="JL1020" s="1035"/>
      <c r="JM1020" s="1035"/>
      <c r="JN1020" s="1035"/>
      <c r="JO1020" s="1035"/>
      <c r="JP1020" s="1035"/>
      <c r="JQ1020" s="1035"/>
      <c r="JR1020" s="1035"/>
      <c r="JS1020" s="1035"/>
      <c r="JT1020" s="1035"/>
      <c r="JU1020" s="1035"/>
      <c r="JV1020" s="1035"/>
      <c r="JW1020" s="1035"/>
      <c r="JX1020" s="1035"/>
      <c r="JY1020" s="1035"/>
    </row>
    <row r="1021" spans="1:381">
      <c r="IX1021" s="1037"/>
      <c r="IY1021" s="1037"/>
      <c r="IZ1021" s="1037"/>
      <c r="JA1021" s="1037"/>
      <c r="JB1021" s="1037"/>
      <c r="JC1021" s="1037"/>
      <c r="JD1021" s="1041"/>
      <c r="JE1021" s="1037"/>
      <c r="JF1021" s="1037"/>
      <c r="JG1021" s="1037"/>
      <c r="JH1021" s="1037"/>
      <c r="JI1021" s="1035"/>
      <c r="JJ1021" s="1035"/>
      <c r="JK1021" s="1035"/>
      <c r="JL1021" s="1035"/>
      <c r="JM1021" s="1035"/>
      <c r="JN1021" s="1035"/>
      <c r="JO1021" s="1035"/>
      <c r="JP1021" s="1035"/>
      <c r="JQ1021" s="1035"/>
      <c r="JR1021" s="1035"/>
      <c r="JS1021" s="1035"/>
      <c r="JT1021" s="1035"/>
      <c r="JU1021" s="1035"/>
      <c r="JV1021" s="1035"/>
      <c r="JW1021" s="1035"/>
      <c r="JX1021" s="1035"/>
      <c r="JY1021" s="1035"/>
    </row>
    <row r="1022" spans="1:381">
      <c r="B1022" s="1651"/>
      <c r="C1022" s="1651"/>
      <c r="D1022" s="1651"/>
      <c r="E1022" s="1651"/>
      <c r="F1022" s="1651"/>
      <c r="G1022" s="1651"/>
      <c r="H1022" s="1651"/>
      <c r="I1022" s="1651"/>
      <c r="J1022" s="1651"/>
      <c r="K1022" s="1651"/>
      <c r="L1022" s="1651"/>
      <c r="M1022" s="1651"/>
      <c r="N1022" s="1651"/>
      <c r="O1022" s="1651"/>
      <c r="P1022" s="1651"/>
      <c r="Q1022" s="1651"/>
      <c r="R1022" s="1651"/>
      <c r="S1022" s="1651"/>
      <c r="T1022" s="1651"/>
      <c r="U1022" s="1651"/>
      <c r="V1022" s="1651"/>
      <c r="W1022" s="1651"/>
      <c r="X1022" s="1651"/>
      <c r="Y1022" s="1651"/>
      <c r="Z1022" s="1651"/>
      <c r="AA1022" s="1651"/>
      <c r="AB1022" s="1651"/>
      <c r="AC1022" s="1651"/>
      <c r="AD1022" s="1651"/>
      <c r="AE1022" s="1651"/>
      <c r="AF1022" s="1651"/>
      <c r="AG1022" s="1651"/>
      <c r="AH1022" s="1651"/>
      <c r="AI1022" s="1651"/>
      <c r="AJ1022" s="1651"/>
      <c r="AK1022" s="1651"/>
      <c r="AL1022" s="1651"/>
      <c r="AM1022" s="1651"/>
      <c r="AN1022" s="1651"/>
      <c r="AO1022" s="1651"/>
      <c r="AP1022" s="1651"/>
      <c r="AQ1022" s="1651"/>
      <c r="AR1022" s="1651"/>
      <c r="AS1022" s="1651"/>
      <c r="AT1022" s="1651"/>
      <c r="AU1022" s="1651"/>
      <c r="AV1022" s="1651"/>
      <c r="AW1022" s="1651"/>
      <c r="AX1022" s="1651"/>
      <c r="AY1022" s="1651"/>
      <c r="AZ1022" s="1651"/>
      <c r="BA1022" s="1651"/>
      <c r="BB1022" s="1651"/>
      <c r="BC1022" s="1651"/>
      <c r="BD1022" s="1651"/>
      <c r="BE1022" s="1651"/>
      <c r="BF1022" s="1651"/>
      <c r="BG1022" s="1651"/>
      <c r="BH1022" s="1651"/>
      <c r="BI1022" s="1651"/>
      <c r="BJ1022" s="1651"/>
      <c r="BK1022" s="1651"/>
      <c r="BL1022" s="1651"/>
      <c r="BM1022" s="1651"/>
      <c r="BN1022" s="1651"/>
      <c r="BO1022" s="1651"/>
      <c r="BP1022" s="1651"/>
      <c r="BQ1022" s="1651"/>
      <c r="BR1022" s="1651"/>
      <c r="BS1022" s="1651"/>
      <c r="BT1022" s="1651"/>
      <c r="BU1022" s="1651"/>
      <c r="BV1022" s="1651"/>
      <c r="BW1022" s="1651"/>
      <c r="BX1022" s="1651"/>
      <c r="BY1022" s="1651"/>
      <c r="BZ1022" s="1651"/>
      <c r="CA1022" s="1651"/>
      <c r="CB1022" s="1651"/>
      <c r="CC1022" s="1651"/>
      <c r="CD1022" s="1651"/>
      <c r="CE1022" s="1651"/>
      <c r="CF1022" s="1651"/>
      <c r="CG1022" s="1651"/>
      <c r="CH1022" s="1651"/>
      <c r="CI1022" s="1651"/>
      <c r="CJ1022" s="1651"/>
      <c r="CK1022" s="1651"/>
      <c r="CL1022" s="1651"/>
      <c r="CM1022" s="1651"/>
      <c r="CN1022" s="1651"/>
      <c r="CO1022" s="1651"/>
      <c r="CP1022" s="1651"/>
      <c r="CQ1022" s="1651"/>
      <c r="CR1022" s="1651"/>
      <c r="CS1022" s="1651"/>
      <c r="CT1022" s="1651"/>
      <c r="CU1022" s="1651"/>
      <c r="CV1022" s="1651"/>
      <c r="CW1022" s="1651"/>
      <c r="CX1022" s="1651"/>
      <c r="CY1022" s="1651"/>
      <c r="CZ1022" s="1651"/>
      <c r="DA1022" s="1651"/>
      <c r="DB1022" s="1652"/>
      <c r="DC1022" s="1652"/>
      <c r="DD1022" s="1652"/>
      <c r="DE1022" s="1652"/>
      <c r="DF1022" s="1652"/>
      <c r="DG1022" s="1652"/>
      <c r="DH1022" s="1652"/>
      <c r="DI1022" s="1653"/>
      <c r="DJ1022" s="1652"/>
      <c r="DK1022" s="1652"/>
      <c r="DL1022" s="1652"/>
      <c r="DM1022" s="1652"/>
      <c r="DN1022" s="1652"/>
      <c r="DO1022" s="1652"/>
      <c r="DP1022" s="1652"/>
      <c r="DQ1022" s="1653"/>
      <c r="DR1022" s="1652"/>
      <c r="DS1022" s="1652"/>
      <c r="DT1022" s="1652"/>
      <c r="DU1022" s="1652"/>
      <c r="DV1022" s="1652"/>
      <c r="DW1022" s="1652"/>
      <c r="DX1022" s="1652"/>
      <c r="DY1022" s="1653"/>
      <c r="DZ1022" s="1652"/>
      <c r="EA1022" s="1652"/>
      <c r="EB1022" s="1652"/>
      <c r="EC1022" s="1652"/>
      <c r="ED1022" s="1652"/>
      <c r="EE1022" s="1652"/>
      <c r="EF1022" s="1652"/>
      <c r="EG1022" s="1653"/>
      <c r="EH1022" s="1652"/>
      <c r="EI1022" s="1652"/>
      <c r="EJ1022" s="1652"/>
      <c r="EK1022" s="1652"/>
      <c r="EL1022" s="1652"/>
      <c r="EM1022" s="1652"/>
      <c r="EN1022" s="1652"/>
      <c r="EO1022" s="1653"/>
      <c r="EP1022" s="1652"/>
      <c r="EQ1022" s="1652"/>
      <c r="ER1022" s="1652"/>
      <c r="ES1022" s="1652"/>
      <c r="ET1022" s="1652"/>
      <c r="EU1022" s="1652"/>
      <c r="EV1022" s="1652"/>
      <c r="IX1022" s="1652"/>
      <c r="IY1022" s="1652"/>
      <c r="IZ1022" s="1652"/>
      <c r="JA1022" s="1652"/>
      <c r="JB1022" s="1652"/>
      <c r="JC1022" s="1652"/>
      <c r="JD1022" s="1662"/>
      <c r="JE1022" s="1037"/>
      <c r="JF1022" s="1037"/>
      <c r="JG1022" s="1037"/>
      <c r="JH1022" s="1037"/>
      <c r="JI1022" s="1035"/>
      <c r="JJ1022" s="1035"/>
      <c r="JK1022" s="1035"/>
      <c r="JL1022" s="1035"/>
      <c r="JM1022" s="1035"/>
      <c r="JN1022" s="1035"/>
      <c r="JO1022" s="1035"/>
      <c r="JP1022" s="1035"/>
      <c r="JQ1022" s="1035"/>
      <c r="JR1022" s="1035"/>
      <c r="JS1022" s="1035"/>
      <c r="JT1022" s="1035"/>
      <c r="JU1022" s="1035"/>
      <c r="JV1022" s="1035"/>
      <c r="JW1022" s="1035"/>
      <c r="JX1022" s="1035"/>
      <c r="JY1022" s="1035"/>
    </row>
    <row r="1023" spans="1:381">
      <c r="IX1023" s="1037"/>
      <c r="IY1023" s="1037"/>
      <c r="IZ1023" s="1037"/>
      <c r="JA1023" s="1037"/>
      <c r="JB1023" s="1037"/>
      <c r="JC1023" s="1037"/>
      <c r="JD1023" s="1041"/>
      <c r="JE1023" s="1037"/>
      <c r="JF1023" s="1037"/>
      <c r="JG1023" s="1037"/>
      <c r="JH1023" s="1037"/>
      <c r="JI1023" s="1035"/>
      <c r="JJ1023" s="1035"/>
      <c r="JK1023" s="1035"/>
      <c r="JL1023" s="1035"/>
      <c r="JM1023" s="1035"/>
      <c r="JN1023" s="1035"/>
      <c r="JO1023" s="1035"/>
      <c r="JP1023" s="1035"/>
      <c r="JQ1023" s="1035"/>
      <c r="JR1023" s="1035"/>
      <c r="JS1023" s="1035"/>
      <c r="JT1023" s="1035"/>
      <c r="JU1023" s="1035"/>
      <c r="JV1023" s="1035"/>
      <c r="JW1023" s="1035"/>
      <c r="JX1023" s="1035"/>
      <c r="JY1023" s="1035"/>
    </row>
    <row r="1024" spans="1:381">
      <c r="IX1024" s="1037"/>
      <c r="IY1024" s="1037"/>
      <c r="IZ1024" s="1037"/>
      <c r="JA1024" s="1037"/>
      <c r="JB1024" s="1037"/>
      <c r="JC1024" s="1037"/>
      <c r="JD1024" s="1041"/>
      <c r="JE1024" s="1037"/>
      <c r="JF1024" s="1037"/>
      <c r="JG1024" s="1037"/>
      <c r="JH1024" s="1037"/>
      <c r="JI1024" s="1035"/>
      <c r="JJ1024" s="1035"/>
      <c r="JK1024" s="1035"/>
      <c r="JL1024" s="1035"/>
      <c r="JM1024" s="1035"/>
      <c r="JN1024" s="1035"/>
      <c r="JO1024" s="1035"/>
      <c r="JP1024" s="1035"/>
      <c r="JQ1024" s="1035"/>
      <c r="JR1024" s="1035"/>
      <c r="JS1024" s="1035"/>
      <c r="JT1024" s="1035"/>
      <c r="JU1024" s="1035"/>
      <c r="JV1024" s="1035"/>
      <c r="JW1024" s="1035"/>
      <c r="JX1024" s="1035"/>
      <c r="JY1024" s="1035"/>
    </row>
    <row r="1025" spans="2:285">
      <c r="IX1025" s="1037"/>
      <c r="IY1025" s="1037"/>
      <c r="IZ1025" s="1037"/>
      <c r="JA1025" s="1037"/>
      <c r="JB1025" s="1037"/>
      <c r="JC1025" s="1037"/>
      <c r="JD1025" s="1041"/>
      <c r="JE1025" s="1037"/>
      <c r="JF1025" s="1037"/>
      <c r="JG1025" s="1037"/>
      <c r="JH1025" s="1037"/>
      <c r="JI1025" s="1035"/>
      <c r="JJ1025" s="1035"/>
      <c r="JK1025" s="1035"/>
      <c r="JL1025" s="1035"/>
      <c r="JM1025" s="1035"/>
      <c r="JN1025" s="1035"/>
      <c r="JO1025" s="1035"/>
      <c r="JP1025" s="1035"/>
      <c r="JQ1025" s="1035"/>
      <c r="JR1025" s="1035"/>
      <c r="JS1025" s="1035"/>
      <c r="JT1025" s="1035"/>
      <c r="JU1025" s="1035"/>
      <c r="JV1025" s="1035"/>
      <c r="JW1025" s="1035"/>
      <c r="JX1025" s="1035"/>
      <c r="JY1025" s="1035"/>
    </row>
    <row r="1026" spans="2:285">
      <c r="IX1026" s="1037"/>
      <c r="IY1026" s="1037"/>
      <c r="IZ1026" s="1037"/>
      <c r="JA1026" s="1037"/>
      <c r="JB1026" s="1037"/>
      <c r="JC1026" s="1037"/>
      <c r="JD1026" s="1041"/>
      <c r="JE1026" s="1037"/>
      <c r="JF1026" s="1037"/>
      <c r="JG1026" s="1037"/>
      <c r="JH1026" s="1037"/>
      <c r="JI1026" s="1035"/>
      <c r="JJ1026" s="1035"/>
      <c r="JK1026" s="1035"/>
      <c r="JL1026" s="1035"/>
      <c r="JM1026" s="1035"/>
      <c r="JN1026" s="1035"/>
      <c r="JO1026" s="1035"/>
      <c r="JP1026" s="1035"/>
      <c r="JQ1026" s="1035"/>
      <c r="JR1026" s="1035"/>
      <c r="JS1026" s="1035"/>
      <c r="JT1026" s="1035"/>
      <c r="JU1026" s="1035"/>
      <c r="JV1026" s="1035"/>
      <c r="JW1026" s="1035"/>
      <c r="JX1026" s="1035"/>
      <c r="JY1026" s="1035"/>
    </row>
    <row r="1027" spans="2:285">
      <c r="B1027" s="1358"/>
      <c r="C1027" s="1358"/>
      <c r="D1027" s="1358"/>
      <c r="E1027" s="1358"/>
      <c r="F1027" s="1358"/>
      <c r="G1027" s="1358"/>
      <c r="H1027" s="1358"/>
      <c r="I1027" s="1358"/>
      <c r="J1027" s="1358"/>
      <c r="K1027" s="1358"/>
      <c r="L1027" s="1358"/>
      <c r="M1027" s="1358"/>
      <c r="N1027" s="1358"/>
      <c r="O1027" s="1358"/>
      <c r="P1027" s="1358"/>
      <c r="Q1027" s="1358"/>
      <c r="R1027" s="1358"/>
      <c r="S1027" s="1358"/>
      <c r="T1027" s="1358"/>
      <c r="U1027" s="1358"/>
      <c r="V1027" s="1358"/>
      <c r="W1027" s="1358"/>
      <c r="X1027" s="1358"/>
      <c r="Y1027" s="1358"/>
      <c r="Z1027" s="1358"/>
      <c r="AA1027" s="1358"/>
      <c r="AB1027" s="1358"/>
      <c r="AC1027" s="1358"/>
      <c r="AD1027" s="1358"/>
      <c r="AE1027" s="1358"/>
      <c r="AF1027" s="1358"/>
      <c r="AG1027" s="1358"/>
      <c r="AH1027" s="1358"/>
      <c r="AI1027" s="1358"/>
      <c r="AJ1027" s="1358"/>
      <c r="AK1027" s="1358"/>
      <c r="AL1027" s="1358"/>
      <c r="AM1027" s="1358"/>
      <c r="AN1027" s="1358"/>
      <c r="AO1027" s="1358"/>
      <c r="AP1027" s="1358"/>
      <c r="AQ1027" s="1358"/>
      <c r="AR1027" s="1358"/>
      <c r="AS1027" s="1358"/>
      <c r="AT1027" s="1358"/>
      <c r="AU1027" s="1358"/>
      <c r="AV1027" s="1358"/>
      <c r="AW1027" s="1358"/>
      <c r="AX1027" s="1358"/>
      <c r="AY1027" s="1358"/>
      <c r="AZ1027" s="1358"/>
      <c r="BA1027" s="1358"/>
      <c r="BB1027" s="1358"/>
      <c r="BC1027" s="1358"/>
      <c r="BD1027" s="1358"/>
      <c r="BE1027" s="1358"/>
      <c r="BF1027" s="1358"/>
      <c r="BG1027" s="1358"/>
      <c r="BH1027" s="1358"/>
      <c r="BI1027" s="1358"/>
      <c r="BJ1027" s="1358"/>
      <c r="BK1027" s="1358"/>
      <c r="BL1027" s="1358"/>
      <c r="BM1027" s="1358"/>
      <c r="BN1027" s="1358"/>
      <c r="BO1027" s="1358"/>
      <c r="BP1027" s="1358"/>
      <c r="BQ1027" s="1358"/>
      <c r="BR1027" s="1358"/>
      <c r="BS1027" s="1358"/>
      <c r="BT1027" s="1358"/>
      <c r="BU1027" s="1358"/>
      <c r="BV1027" s="1358"/>
      <c r="BW1027" s="1358"/>
      <c r="BX1027" s="1358"/>
      <c r="BY1027" s="1358"/>
      <c r="BZ1027" s="1358"/>
      <c r="CA1027" s="1358"/>
      <c r="CB1027" s="1358"/>
      <c r="CC1027" s="1358"/>
      <c r="CD1027" s="1358"/>
      <c r="CE1027" s="1358"/>
      <c r="CF1027" s="1358"/>
      <c r="CG1027" s="1358"/>
      <c r="CH1027" s="1358"/>
      <c r="CI1027" s="1358"/>
      <c r="CJ1027" s="1358"/>
      <c r="CK1027" s="1358"/>
      <c r="CL1027" s="1358"/>
      <c r="CM1027" s="1358"/>
      <c r="CN1027" s="1358"/>
      <c r="CO1027" s="1358"/>
      <c r="CP1027" s="1358"/>
      <c r="CQ1027" s="1358"/>
      <c r="CR1027" s="1358"/>
      <c r="CS1027" s="1358"/>
      <c r="CT1027" s="1358"/>
      <c r="CU1027" s="1358"/>
      <c r="CV1027" s="1358"/>
      <c r="CW1027" s="1358"/>
      <c r="CX1027" s="1358"/>
      <c r="CY1027" s="1358"/>
      <c r="CZ1027" s="1358"/>
      <c r="DA1027" s="1358"/>
      <c r="DB1027" s="1362"/>
      <c r="DC1027" s="1362"/>
      <c r="DD1027" s="1362"/>
      <c r="DE1027" s="1362"/>
      <c r="DF1027" s="1362"/>
      <c r="DG1027" s="1362"/>
      <c r="DH1027" s="1362"/>
      <c r="DI1027" s="1363"/>
      <c r="DJ1027" s="1362"/>
      <c r="DK1027" s="1362"/>
      <c r="DL1027" s="1362"/>
      <c r="DM1027" s="1362"/>
      <c r="DN1027" s="1362"/>
      <c r="DO1027" s="1362"/>
      <c r="DP1027" s="1362"/>
      <c r="DQ1027" s="1363"/>
      <c r="DR1027" s="1362"/>
      <c r="DS1027" s="1362"/>
      <c r="DT1027" s="1362"/>
      <c r="DU1027" s="1362"/>
      <c r="DV1027" s="1362"/>
      <c r="DW1027" s="1362"/>
      <c r="DX1027" s="1362"/>
      <c r="DY1027" s="1363"/>
      <c r="DZ1027" s="1362"/>
      <c r="EA1027" s="1362"/>
      <c r="EB1027" s="1362"/>
      <c r="EC1027" s="1362"/>
      <c r="ED1027" s="1362"/>
      <c r="EE1027" s="1362"/>
      <c r="EF1027" s="1362"/>
      <c r="EG1027" s="1363"/>
      <c r="EH1027" s="1362"/>
      <c r="EI1027" s="1362"/>
      <c r="EJ1027" s="1362"/>
      <c r="EK1027" s="1362"/>
      <c r="EL1027" s="1362"/>
      <c r="EM1027" s="1362"/>
      <c r="EN1027" s="1362"/>
      <c r="EO1027" s="1363"/>
      <c r="EP1027" s="1362"/>
      <c r="EQ1027" s="1362"/>
      <c r="ER1027" s="1362"/>
      <c r="ES1027" s="1362"/>
      <c r="ET1027" s="1362"/>
      <c r="EU1027" s="1362"/>
      <c r="EV1027" s="1362"/>
      <c r="IX1027" s="1362"/>
      <c r="IY1027" s="1362"/>
      <c r="IZ1027" s="1362"/>
      <c r="JA1027" s="1362"/>
      <c r="JB1027" s="1362"/>
      <c r="JC1027" s="1362"/>
      <c r="JD1027" s="1660"/>
      <c r="JE1027" s="1037"/>
      <c r="JF1027" s="1037"/>
      <c r="JG1027" s="1037"/>
      <c r="JH1027" s="1037"/>
      <c r="JI1027" s="1035"/>
      <c r="JJ1027" s="1035"/>
      <c r="JK1027" s="1035"/>
      <c r="JL1027" s="1035"/>
      <c r="JM1027" s="1035"/>
      <c r="JN1027" s="1035"/>
      <c r="JO1027" s="1035"/>
      <c r="JP1027" s="1035"/>
      <c r="JQ1027" s="1035"/>
      <c r="JR1027" s="1035"/>
      <c r="JS1027" s="1035"/>
      <c r="JT1027" s="1035"/>
      <c r="JU1027" s="1035"/>
      <c r="JV1027" s="1035"/>
      <c r="JW1027" s="1035"/>
      <c r="JX1027" s="1035"/>
      <c r="JY1027" s="1035"/>
    </row>
    <row r="1028" spans="2:285">
      <c r="IX1028" s="1037"/>
      <c r="IY1028" s="1037"/>
      <c r="IZ1028" s="1037"/>
      <c r="JA1028" s="1037"/>
      <c r="JB1028" s="1037"/>
      <c r="JC1028" s="1037"/>
      <c r="JD1028" s="1041"/>
      <c r="JE1028" s="1037"/>
      <c r="JF1028" s="1037"/>
      <c r="JG1028" s="1037"/>
      <c r="JH1028" s="1037"/>
      <c r="JI1028" s="1035"/>
      <c r="JJ1028" s="1035"/>
      <c r="JK1028" s="1035"/>
      <c r="JL1028" s="1035"/>
      <c r="JM1028" s="1035"/>
      <c r="JN1028" s="1035"/>
      <c r="JO1028" s="1035"/>
      <c r="JP1028" s="1035"/>
      <c r="JQ1028" s="1035"/>
      <c r="JR1028" s="1035"/>
      <c r="JS1028" s="1035"/>
      <c r="JT1028" s="1035"/>
      <c r="JU1028" s="1035"/>
      <c r="JV1028" s="1035"/>
      <c r="JW1028" s="1035"/>
      <c r="JX1028" s="1035"/>
      <c r="JY1028" s="1035"/>
    </row>
    <row r="1029" spans="2:285">
      <c r="IX1029" s="1037"/>
      <c r="IY1029" s="1037"/>
      <c r="IZ1029" s="1037"/>
      <c r="JA1029" s="1037"/>
      <c r="JB1029" s="1037"/>
      <c r="JC1029" s="1037"/>
      <c r="JD1029" s="1041"/>
      <c r="JE1029" s="1037"/>
      <c r="JF1029" s="1037"/>
      <c r="JG1029" s="1037"/>
      <c r="JH1029" s="1037"/>
      <c r="JI1029" s="1035"/>
      <c r="JJ1029" s="1035"/>
      <c r="JK1029" s="1035"/>
      <c r="JL1029" s="1035"/>
      <c r="JM1029" s="1035"/>
      <c r="JN1029" s="1035"/>
      <c r="JO1029" s="1035"/>
      <c r="JP1029" s="1035"/>
      <c r="JQ1029" s="1035"/>
      <c r="JR1029" s="1035"/>
      <c r="JS1029" s="1035"/>
      <c r="JT1029" s="1035"/>
      <c r="JU1029" s="1035"/>
      <c r="JV1029" s="1035"/>
      <c r="JW1029" s="1035"/>
      <c r="JX1029" s="1035"/>
      <c r="JY1029" s="1035"/>
    </row>
    <row r="1030" spans="2:285">
      <c r="IX1030" s="1037"/>
      <c r="IY1030" s="1037"/>
      <c r="IZ1030" s="1037"/>
      <c r="JA1030" s="1037"/>
      <c r="JB1030" s="1037"/>
      <c r="JC1030" s="1037"/>
      <c r="JD1030" s="1041"/>
      <c r="JE1030" s="1037"/>
      <c r="JF1030" s="1037"/>
      <c r="JG1030" s="1037"/>
      <c r="JH1030" s="1037"/>
      <c r="JI1030" s="1035"/>
      <c r="JJ1030" s="1035"/>
      <c r="JK1030" s="1035"/>
      <c r="JL1030" s="1035"/>
      <c r="JM1030" s="1035"/>
      <c r="JN1030" s="1035"/>
      <c r="JO1030" s="1035"/>
      <c r="JP1030" s="1035"/>
      <c r="JQ1030" s="1035"/>
      <c r="JR1030" s="1035"/>
      <c r="JS1030" s="1035"/>
      <c r="JT1030" s="1035"/>
      <c r="JU1030" s="1035"/>
      <c r="JV1030" s="1035"/>
      <c r="JW1030" s="1035"/>
      <c r="JX1030" s="1035"/>
      <c r="JY1030" s="1035"/>
    </row>
    <row r="1031" spans="2:285">
      <c r="IX1031" s="1037"/>
      <c r="IY1031" s="1037"/>
      <c r="IZ1031" s="1037"/>
      <c r="JA1031" s="1037"/>
      <c r="JB1031" s="1037"/>
      <c r="JC1031" s="1037"/>
      <c r="JD1031" s="1041"/>
      <c r="JE1031" s="1037"/>
      <c r="JF1031" s="1037"/>
      <c r="JG1031" s="1037"/>
      <c r="JH1031" s="1037"/>
      <c r="JI1031" s="1035"/>
      <c r="JJ1031" s="1035"/>
      <c r="JK1031" s="1035"/>
      <c r="JL1031" s="1035"/>
      <c r="JM1031" s="1035"/>
      <c r="JN1031" s="1035"/>
      <c r="JO1031" s="1035"/>
      <c r="JP1031" s="1035"/>
      <c r="JQ1031" s="1035"/>
      <c r="JR1031" s="1035"/>
      <c r="JS1031" s="1035"/>
      <c r="JT1031" s="1035"/>
      <c r="JU1031" s="1035"/>
      <c r="JV1031" s="1035"/>
      <c r="JW1031" s="1035"/>
      <c r="JX1031" s="1035"/>
      <c r="JY1031" s="1035"/>
    </row>
    <row r="1032" spans="2:285">
      <c r="IX1032" s="1037"/>
      <c r="IY1032" s="1037"/>
      <c r="IZ1032" s="1037"/>
      <c r="JA1032" s="1037"/>
      <c r="JB1032" s="1037"/>
      <c r="JC1032" s="1037"/>
      <c r="JD1032" s="1041"/>
      <c r="JE1032" s="1037"/>
      <c r="JF1032" s="1037"/>
      <c r="JG1032" s="1037"/>
      <c r="JH1032" s="1037"/>
      <c r="JI1032" s="1035"/>
      <c r="JJ1032" s="1035"/>
      <c r="JK1032" s="1035"/>
      <c r="JL1032" s="1035"/>
      <c r="JM1032" s="1035"/>
      <c r="JN1032" s="1035"/>
      <c r="JO1032" s="1035"/>
      <c r="JP1032" s="1035"/>
      <c r="JQ1032" s="1035"/>
      <c r="JR1032" s="1035"/>
      <c r="JS1032" s="1035"/>
      <c r="JT1032" s="1035"/>
      <c r="JU1032" s="1035"/>
      <c r="JV1032" s="1035"/>
      <c r="JW1032" s="1035"/>
      <c r="JX1032" s="1035"/>
      <c r="JY1032" s="1035"/>
    </row>
    <row r="1033" spans="2:285">
      <c r="IX1033" s="1037"/>
      <c r="IY1033" s="1037"/>
      <c r="IZ1033" s="1037"/>
      <c r="JA1033" s="1037"/>
      <c r="JB1033" s="1037"/>
      <c r="JC1033" s="1037"/>
      <c r="JD1033" s="1041"/>
      <c r="JE1033" s="1037"/>
      <c r="JF1033" s="1037"/>
      <c r="JG1033" s="1037"/>
      <c r="JH1033" s="1037"/>
      <c r="JI1033" s="1035"/>
      <c r="JJ1033" s="1035"/>
      <c r="JK1033" s="1035"/>
      <c r="JL1033" s="1035"/>
      <c r="JM1033" s="1035"/>
      <c r="JN1033" s="1035"/>
      <c r="JO1033" s="1035"/>
      <c r="JP1033" s="1035"/>
      <c r="JQ1033" s="1035"/>
      <c r="JR1033" s="1035"/>
      <c r="JS1033" s="1035"/>
      <c r="JT1033" s="1035"/>
      <c r="JU1033" s="1035"/>
      <c r="JV1033" s="1035"/>
      <c r="JW1033" s="1035"/>
      <c r="JX1033" s="1035"/>
      <c r="JY1033" s="1035"/>
    </row>
    <row r="1034" spans="2:285">
      <c r="B1034" s="1358"/>
      <c r="C1034" s="1358"/>
      <c r="D1034" s="1358"/>
      <c r="E1034" s="1358"/>
      <c r="F1034" s="1358"/>
      <c r="G1034" s="1358"/>
      <c r="H1034" s="1358"/>
      <c r="I1034" s="1358"/>
      <c r="J1034" s="1358"/>
      <c r="K1034" s="1358"/>
      <c r="L1034" s="1358"/>
      <c r="M1034" s="1358"/>
      <c r="N1034" s="1358"/>
      <c r="O1034" s="1358"/>
      <c r="P1034" s="1358"/>
      <c r="Q1034" s="1358"/>
      <c r="R1034" s="1358"/>
      <c r="S1034" s="1358"/>
      <c r="T1034" s="1358"/>
      <c r="U1034" s="1358"/>
      <c r="V1034" s="1358"/>
      <c r="W1034" s="1358"/>
      <c r="X1034" s="1358"/>
      <c r="Y1034" s="1358"/>
      <c r="Z1034" s="1358"/>
      <c r="AA1034" s="1358"/>
      <c r="AB1034" s="1358"/>
      <c r="AC1034" s="1358"/>
      <c r="AD1034" s="1358"/>
      <c r="AE1034" s="1358"/>
      <c r="AF1034" s="1358"/>
      <c r="AG1034" s="1358"/>
      <c r="AH1034" s="1358"/>
      <c r="AI1034" s="1358"/>
      <c r="AJ1034" s="1358"/>
      <c r="AK1034" s="1358"/>
      <c r="AL1034" s="1358"/>
      <c r="AM1034" s="1358"/>
      <c r="AN1034" s="1358"/>
      <c r="AO1034" s="1358"/>
      <c r="AP1034" s="1358"/>
      <c r="AQ1034" s="1358"/>
      <c r="AR1034" s="1358"/>
      <c r="AS1034" s="1358"/>
      <c r="AT1034" s="1358"/>
      <c r="AU1034" s="1358"/>
      <c r="AV1034" s="1358"/>
      <c r="AW1034" s="1358"/>
      <c r="AX1034" s="1358"/>
      <c r="AY1034" s="1358"/>
      <c r="AZ1034" s="1358"/>
      <c r="BA1034" s="1358"/>
      <c r="BB1034" s="1358"/>
      <c r="BC1034" s="1358"/>
      <c r="BD1034" s="1358"/>
      <c r="BE1034" s="1358"/>
      <c r="BF1034" s="1358"/>
      <c r="BG1034" s="1358"/>
      <c r="BH1034" s="1358"/>
      <c r="BI1034" s="1358"/>
      <c r="BJ1034" s="1358"/>
      <c r="BK1034" s="1358"/>
      <c r="BL1034" s="1358"/>
      <c r="BM1034" s="1358"/>
      <c r="BN1034" s="1358"/>
      <c r="BO1034" s="1358"/>
      <c r="BP1034" s="1358"/>
      <c r="BQ1034" s="1358"/>
      <c r="BR1034" s="1358"/>
      <c r="BS1034" s="1358"/>
      <c r="BT1034" s="1358"/>
      <c r="BU1034" s="1358"/>
      <c r="BV1034" s="1358"/>
      <c r="BW1034" s="1358"/>
      <c r="BX1034" s="1358"/>
      <c r="BY1034" s="1358"/>
      <c r="BZ1034" s="1358"/>
      <c r="CA1034" s="1358"/>
      <c r="CB1034" s="1358"/>
      <c r="CC1034" s="1358"/>
      <c r="CD1034" s="1358"/>
      <c r="CE1034" s="1358"/>
      <c r="CF1034" s="1358"/>
      <c r="CG1034" s="1358"/>
      <c r="CH1034" s="1358"/>
      <c r="CI1034" s="1358"/>
      <c r="CJ1034" s="1358"/>
      <c r="CK1034" s="1358"/>
      <c r="CL1034" s="1358"/>
      <c r="CM1034" s="1358"/>
      <c r="CN1034" s="1358"/>
      <c r="CO1034" s="1358"/>
      <c r="CP1034" s="1358"/>
      <c r="CQ1034" s="1358"/>
      <c r="CR1034" s="1358"/>
      <c r="CS1034" s="1358"/>
      <c r="CT1034" s="1358"/>
      <c r="CU1034" s="1358"/>
      <c r="CV1034" s="1358"/>
      <c r="CW1034" s="1358"/>
      <c r="CX1034" s="1358"/>
      <c r="CY1034" s="1358"/>
      <c r="CZ1034" s="1358"/>
      <c r="DA1034" s="1358"/>
      <c r="DB1034" s="1362"/>
      <c r="DC1034" s="1362"/>
      <c r="DD1034" s="1362"/>
      <c r="DE1034" s="1362"/>
      <c r="DF1034" s="1362"/>
      <c r="DG1034" s="1362"/>
      <c r="DH1034" s="1362"/>
      <c r="DI1034" s="1363"/>
      <c r="DJ1034" s="1362"/>
      <c r="DK1034" s="1362"/>
      <c r="DL1034" s="1362"/>
      <c r="DM1034" s="1362"/>
      <c r="DN1034" s="1362"/>
      <c r="DO1034" s="1362"/>
      <c r="DP1034" s="1362"/>
      <c r="DQ1034" s="1363"/>
      <c r="DR1034" s="1362"/>
      <c r="DS1034" s="1362"/>
      <c r="DT1034" s="1362"/>
      <c r="DU1034" s="1362"/>
      <c r="DV1034" s="1362"/>
      <c r="DW1034" s="1362"/>
      <c r="DX1034" s="1362"/>
      <c r="DY1034" s="1363"/>
      <c r="DZ1034" s="1362"/>
      <c r="EA1034" s="1362"/>
      <c r="EB1034" s="1362"/>
      <c r="EC1034" s="1362"/>
      <c r="ED1034" s="1362"/>
      <c r="EE1034" s="1362"/>
      <c r="EF1034" s="1362"/>
      <c r="EG1034" s="1363"/>
      <c r="EH1034" s="1362"/>
      <c r="EI1034" s="1362"/>
      <c r="EJ1034" s="1362"/>
      <c r="EK1034" s="1362"/>
      <c r="EL1034" s="1362"/>
      <c r="EM1034" s="1362"/>
      <c r="EN1034" s="1362"/>
      <c r="EO1034" s="1363"/>
      <c r="EP1034" s="1362"/>
      <c r="EQ1034" s="1362"/>
      <c r="ER1034" s="1362"/>
      <c r="ES1034" s="1362"/>
      <c r="ET1034" s="1362"/>
      <c r="EU1034" s="1362"/>
      <c r="EV1034" s="1362"/>
      <c r="IX1034" s="1362"/>
      <c r="IY1034" s="1362"/>
      <c r="IZ1034" s="1362"/>
      <c r="JA1034" s="1362"/>
      <c r="JB1034" s="1362"/>
      <c r="JC1034" s="1362"/>
      <c r="JD1034" s="1660"/>
      <c r="JE1034" s="1037"/>
      <c r="JF1034" s="1037"/>
      <c r="JG1034" s="1037"/>
      <c r="JH1034" s="1037"/>
      <c r="JI1034" s="1035"/>
      <c r="JJ1034" s="1035"/>
      <c r="JK1034" s="1035"/>
      <c r="JL1034" s="1035"/>
      <c r="JM1034" s="1035"/>
      <c r="JN1034" s="1035"/>
      <c r="JO1034" s="1035"/>
      <c r="JP1034" s="1035"/>
      <c r="JQ1034" s="1035"/>
      <c r="JR1034" s="1035"/>
      <c r="JS1034" s="1035"/>
      <c r="JT1034" s="1035"/>
      <c r="JU1034" s="1035"/>
      <c r="JV1034" s="1035"/>
      <c r="JW1034" s="1035"/>
      <c r="JX1034" s="1035"/>
      <c r="JY1034" s="1035"/>
    </row>
    <row r="1035" spans="2:285">
      <c r="B1035" s="1358"/>
      <c r="C1035" s="1358"/>
      <c r="D1035" s="1358"/>
      <c r="E1035" s="1358"/>
      <c r="F1035" s="1358"/>
      <c r="G1035" s="1358"/>
      <c r="H1035" s="1358"/>
      <c r="I1035" s="1358"/>
      <c r="J1035" s="1358"/>
      <c r="K1035" s="1358"/>
      <c r="L1035" s="1358"/>
      <c r="M1035" s="1358"/>
      <c r="N1035" s="1358"/>
      <c r="O1035" s="1358"/>
      <c r="P1035" s="1358"/>
      <c r="Q1035" s="1358"/>
      <c r="R1035" s="1358"/>
      <c r="S1035" s="1358"/>
      <c r="T1035" s="1358"/>
      <c r="U1035" s="1358"/>
      <c r="V1035" s="1358"/>
      <c r="W1035" s="1358"/>
      <c r="X1035" s="1358"/>
      <c r="Y1035" s="1358"/>
      <c r="Z1035" s="1358"/>
      <c r="AA1035" s="1358"/>
      <c r="AB1035" s="1358"/>
      <c r="AC1035" s="1358"/>
      <c r="AD1035" s="1358"/>
      <c r="AE1035" s="1358"/>
      <c r="AF1035" s="1358"/>
      <c r="AG1035" s="1358"/>
      <c r="AH1035" s="1358"/>
      <c r="AI1035" s="1358"/>
      <c r="AJ1035" s="1358"/>
      <c r="AK1035" s="1358"/>
      <c r="AL1035" s="1358"/>
      <c r="AM1035" s="1358"/>
      <c r="AN1035" s="1358"/>
      <c r="AO1035" s="1358"/>
      <c r="AP1035" s="1358"/>
      <c r="AQ1035" s="1358"/>
      <c r="AR1035" s="1358"/>
      <c r="AS1035" s="1358"/>
      <c r="AT1035" s="1358"/>
      <c r="AU1035" s="1358"/>
      <c r="AV1035" s="1358"/>
      <c r="AW1035" s="1358"/>
      <c r="AX1035" s="1358"/>
      <c r="AY1035" s="1358"/>
      <c r="AZ1035" s="1358"/>
      <c r="BA1035" s="1358"/>
      <c r="BB1035" s="1358"/>
      <c r="BC1035" s="1358"/>
      <c r="BD1035" s="1358"/>
      <c r="BE1035" s="1358"/>
      <c r="BF1035" s="1358"/>
      <c r="BG1035" s="1358"/>
      <c r="BH1035" s="1358"/>
      <c r="BI1035" s="1358"/>
      <c r="BJ1035" s="1358"/>
      <c r="BK1035" s="1358"/>
      <c r="BL1035" s="1358"/>
      <c r="BM1035" s="1358"/>
      <c r="BN1035" s="1358"/>
      <c r="BO1035" s="1358"/>
      <c r="BP1035" s="1358"/>
      <c r="BQ1035" s="1358"/>
      <c r="BR1035" s="1358"/>
      <c r="BS1035" s="1358"/>
      <c r="BT1035" s="1358"/>
      <c r="BU1035" s="1358"/>
      <c r="BV1035" s="1358"/>
      <c r="BW1035" s="1358"/>
      <c r="BX1035" s="1358"/>
      <c r="BY1035" s="1358"/>
      <c r="BZ1035" s="1358"/>
      <c r="CA1035" s="1358"/>
      <c r="CB1035" s="1358"/>
      <c r="CC1035" s="1358"/>
      <c r="CD1035" s="1358"/>
      <c r="CE1035" s="1358"/>
      <c r="CF1035" s="1358"/>
      <c r="CG1035" s="1358"/>
      <c r="CH1035" s="1358"/>
      <c r="CI1035" s="1358"/>
      <c r="CJ1035" s="1358"/>
      <c r="CK1035" s="1358"/>
      <c r="CL1035" s="1358"/>
      <c r="CM1035" s="1358"/>
      <c r="CN1035" s="1358"/>
      <c r="CO1035" s="1358"/>
      <c r="CP1035" s="1358"/>
      <c r="CQ1035" s="1358"/>
      <c r="CR1035" s="1358"/>
      <c r="CS1035" s="1358"/>
      <c r="CT1035" s="1358"/>
      <c r="CU1035" s="1358"/>
      <c r="CV1035" s="1358"/>
      <c r="CW1035" s="1358"/>
      <c r="CX1035" s="1358"/>
      <c r="CY1035" s="1358"/>
      <c r="CZ1035" s="1358"/>
      <c r="DA1035" s="1358"/>
      <c r="DB1035" s="1362"/>
      <c r="DC1035" s="1362"/>
      <c r="DD1035" s="1362"/>
      <c r="DE1035" s="1362"/>
      <c r="DF1035" s="1362"/>
      <c r="DG1035" s="1362"/>
      <c r="DH1035" s="1362"/>
      <c r="DI1035" s="1363"/>
      <c r="DJ1035" s="1362"/>
      <c r="DK1035" s="1362"/>
      <c r="DL1035" s="1362"/>
      <c r="DM1035" s="1362"/>
      <c r="DN1035" s="1362"/>
      <c r="DO1035" s="1362"/>
      <c r="DP1035" s="1362"/>
      <c r="DQ1035" s="1363"/>
      <c r="DR1035" s="1362"/>
      <c r="DS1035" s="1362"/>
      <c r="DT1035" s="1362"/>
      <c r="DU1035" s="1362"/>
      <c r="DV1035" s="1362"/>
      <c r="DW1035" s="1362"/>
      <c r="DX1035" s="1362"/>
      <c r="DY1035" s="1363"/>
      <c r="DZ1035" s="1362"/>
      <c r="EA1035" s="1362"/>
      <c r="EB1035" s="1362"/>
      <c r="EC1035" s="1362"/>
      <c r="ED1035" s="1362"/>
      <c r="EE1035" s="1362"/>
      <c r="EF1035" s="1362"/>
      <c r="EG1035" s="1363"/>
      <c r="EH1035" s="1362"/>
      <c r="EI1035" s="1362"/>
      <c r="EJ1035" s="1362"/>
      <c r="EK1035" s="1362"/>
      <c r="EL1035" s="1362"/>
      <c r="EM1035" s="1362"/>
      <c r="EN1035" s="1362"/>
      <c r="EO1035" s="1363"/>
      <c r="EP1035" s="1362"/>
      <c r="EQ1035" s="1362"/>
      <c r="ER1035" s="1362"/>
      <c r="ES1035" s="1362"/>
      <c r="ET1035" s="1362"/>
      <c r="EU1035" s="1362"/>
      <c r="EV1035" s="1362"/>
      <c r="IX1035" s="1362"/>
      <c r="IY1035" s="1362"/>
      <c r="IZ1035" s="1362"/>
      <c r="JA1035" s="1362"/>
      <c r="JB1035" s="1362"/>
      <c r="JC1035" s="1362"/>
      <c r="JD1035" s="1660"/>
      <c r="JE1035" s="1037"/>
      <c r="JF1035" s="1037"/>
      <c r="JG1035" s="1037"/>
      <c r="JH1035" s="1037"/>
      <c r="JI1035" s="1035"/>
      <c r="JJ1035" s="1035"/>
      <c r="JK1035" s="1035"/>
      <c r="JL1035" s="1035"/>
      <c r="JM1035" s="1035"/>
      <c r="JN1035" s="1035"/>
      <c r="JO1035" s="1035"/>
      <c r="JP1035" s="1035"/>
      <c r="JQ1035" s="1035"/>
      <c r="JR1035" s="1035"/>
      <c r="JS1035" s="1035"/>
      <c r="JT1035" s="1035"/>
      <c r="JU1035" s="1035"/>
      <c r="JV1035" s="1035"/>
      <c r="JW1035" s="1035"/>
      <c r="JX1035" s="1035"/>
      <c r="JY1035" s="1035"/>
    </row>
    <row r="1036" spans="2:285">
      <c r="B1036" s="1663"/>
      <c r="C1036" s="1663"/>
      <c r="D1036" s="1663"/>
      <c r="E1036" s="1663"/>
      <c r="F1036" s="1663"/>
      <c r="G1036" s="1663"/>
      <c r="H1036" s="1663"/>
      <c r="I1036" s="1663"/>
      <c r="J1036" s="1663"/>
      <c r="K1036" s="1663"/>
      <c r="L1036" s="1663"/>
      <c r="M1036" s="1663"/>
      <c r="N1036" s="1663"/>
      <c r="O1036" s="1663"/>
      <c r="P1036" s="1663"/>
      <c r="Q1036" s="1663"/>
      <c r="R1036" s="1663"/>
      <c r="S1036" s="1663"/>
      <c r="T1036" s="1663"/>
      <c r="U1036" s="1663"/>
      <c r="V1036" s="1663"/>
      <c r="W1036" s="1663"/>
      <c r="X1036" s="1663"/>
      <c r="Y1036" s="1663"/>
      <c r="Z1036" s="1663"/>
      <c r="AA1036" s="1663"/>
      <c r="AB1036" s="1663"/>
      <c r="AC1036" s="1663"/>
      <c r="AD1036" s="1663"/>
      <c r="AE1036" s="1663"/>
      <c r="AF1036" s="1663"/>
      <c r="AG1036" s="1663"/>
      <c r="AH1036" s="1663"/>
      <c r="AI1036" s="1663"/>
      <c r="AJ1036" s="1663"/>
      <c r="AK1036" s="1663"/>
      <c r="AL1036" s="1663"/>
      <c r="AM1036" s="1663"/>
      <c r="AN1036" s="1663"/>
      <c r="AO1036" s="1663"/>
      <c r="AP1036" s="1663"/>
      <c r="AQ1036" s="1663"/>
      <c r="AR1036" s="1663"/>
      <c r="AS1036" s="1663"/>
      <c r="AT1036" s="1663"/>
      <c r="AU1036" s="1663"/>
      <c r="AV1036" s="1663"/>
      <c r="AW1036" s="1663"/>
      <c r="AX1036" s="1663"/>
      <c r="AY1036" s="1663"/>
      <c r="AZ1036" s="1663"/>
      <c r="BA1036" s="1663"/>
      <c r="BB1036" s="1663"/>
      <c r="BC1036" s="1663"/>
      <c r="BD1036" s="1663"/>
      <c r="BE1036" s="1663"/>
      <c r="BF1036" s="1663"/>
      <c r="BG1036" s="1663"/>
      <c r="BH1036" s="1663"/>
      <c r="BI1036" s="1663"/>
      <c r="BJ1036" s="1663"/>
      <c r="BK1036" s="1663"/>
      <c r="BL1036" s="1663"/>
      <c r="BM1036" s="1663"/>
      <c r="BN1036" s="1663"/>
      <c r="BO1036" s="1663"/>
      <c r="BP1036" s="1663"/>
      <c r="BQ1036" s="1663"/>
      <c r="BR1036" s="1663"/>
      <c r="BS1036" s="1663"/>
      <c r="BT1036" s="1663"/>
      <c r="BU1036" s="1663"/>
      <c r="BV1036" s="1663"/>
      <c r="BW1036" s="1663"/>
      <c r="BX1036" s="1663"/>
      <c r="BY1036" s="1663"/>
      <c r="BZ1036" s="1663"/>
      <c r="CA1036" s="1663"/>
      <c r="CB1036" s="1663"/>
      <c r="CC1036" s="1663"/>
      <c r="CD1036" s="1663"/>
      <c r="CE1036" s="1663"/>
      <c r="CF1036" s="1663"/>
      <c r="CG1036" s="1663"/>
      <c r="CH1036" s="1663"/>
      <c r="CI1036" s="1663"/>
      <c r="CJ1036" s="1663"/>
      <c r="CK1036" s="1663"/>
      <c r="CL1036" s="1663"/>
      <c r="CM1036" s="1663"/>
      <c r="CN1036" s="1663"/>
      <c r="CO1036" s="1663"/>
      <c r="CP1036" s="1663"/>
      <c r="CQ1036" s="1663"/>
      <c r="CR1036" s="1663"/>
      <c r="CS1036" s="1663"/>
      <c r="CT1036" s="1663"/>
      <c r="CU1036" s="1663"/>
      <c r="CV1036" s="1663"/>
      <c r="CW1036" s="1663"/>
      <c r="CX1036" s="1663"/>
      <c r="CY1036" s="1663"/>
      <c r="CZ1036" s="1663"/>
      <c r="DA1036" s="1663"/>
      <c r="DB1036" s="1664"/>
      <c r="DC1036" s="1664"/>
      <c r="DD1036" s="1664"/>
      <c r="DE1036" s="1664"/>
      <c r="DF1036" s="1664"/>
      <c r="DG1036" s="1664"/>
      <c r="DH1036" s="1664"/>
      <c r="DI1036" s="1665"/>
      <c r="DJ1036" s="1664"/>
      <c r="DK1036" s="1664"/>
      <c r="DL1036" s="1664"/>
      <c r="DM1036" s="1664"/>
      <c r="DN1036" s="1664"/>
      <c r="DO1036" s="1664"/>
      <c r="DP1036" s="1664"/>
      <c r="DQ1036" s="1665"/>
      <c r="DR1036" s="1664"/>
      <c r="DS1036" s="1664"/>
      <c r="DT1036" s="1664"/>
      <c r="DU1036" s="1664"/>
      <c r="DV1036" s="1664"/>
      <c r="DW1036" s="1664"/>
      <c r="DX1036" s="1664"/>
      <c r="DY1036" s="1665"/>
      <c r="DZ1036" s="1664"/>
      <c r="EA1036" s="1664"/>
      <c r="EB1036" s="1664"/>
      <c r="EC1036" s="1664"/>
      <c r="ED1036" s="1664"/>
      <c r="EE1036" s="1664"/>
      <c r="EF1036" s="1664"/>
      <c r="EG1036" s="1665"/>
      <c r="EH1036" s="1664"/>
      <c r="EI1036" s="1664"/>
      <c r="EJ1036" s="1664"/>
      <c r="EK1036" s="1664"/>
      <c r="EL1036" s="1664"/>
      <c r="EM1036" s="1664"/>
      <c r="EN1036" s="1664"/>
      <c r="EO1036" s="1665"/>
      <c r="EP1036" s="1664"/>
      <c r="EQ1036" s="1664"/>
      <c r="ER1036" s="1664"/>
      <c r="ES1036" s="1664"/>
      <c r="ET1036" s="1664"/>
      <c r="EU1036" s="1664"/>
      <c r="EV1036" s="1664"/>
      <c r="IX1036" s="1664"/>
      <c r="IY1036" s="1664"/>
      <c r="IZ1036" s="1664"/>
      <c r="JA1036" s="1664"/>
      <c r="JB1036" s="1664"/>
      <c r="JC1036" s="1664"/>
      <c r="JD1036" s="1666"/>
      <c r="JE1036" s="1037"/>
      <c r="JF1036" s="1037"/>
      <c r="JG1036" s="1037"/>
      <c r="JH1036" s="1037"/>
      <c r="JI1036" s="1035"/>
      <c r="JJ1036" s="1035"/>
      <c r="JK1036" s="1035"/>
      <c r="JL1036" s="1035"/>
      <c r="JM1036" s="1035"/>
      <c r="JN1036" s="1035"/>
      <c r="JO1036" s="1035"/>
      <c r="JP1036" s="1035"/>
      <c r="JQ1036" s="1035"/>
      <c r="JR1036" s="1035"/>
      <c r="JS1036" s="1035"/>
      <c r="JT1036" s="1035"/>
      <c r="JU1036" s="1035"/>
      <c r="JV1036" s="1035"/>
      <c r="JW1036" s="1035"/>
      <c r="JX1036" s="1035"/>
      <c r="JY1036" s="1035"/>
    </row>
    <row r="1037" spans="2:285">
      <c r="B1037" s="1358"/>
      <c r="C1037" s="1358"/>
      <c r="D1037" s="1358"/>
      <c r="E1037" s="1358"/>
      <c r="F1037" s="1358"/>
      <c r="G1037" s="1358"/>
      <c r="H1037" s="1358"/>
      <c r="I1037" s="1358"/>
      <c r="J1037" s="1358"/>
      <c r="K1037" s="1358"/>
      <c r="L1037" s="1358"/>
      <c r="M1037" s="1358"/>
      <c r="N1037" s="1358"/>
      <c r="O1037" s="1358"/>
      <c r="P1037" s="1358"/>
      <c r="Q1037" s="1358"/>
      <c r="R1037" s="1358"/>
      <c r="S1037" s="1358"/>
      <c r="T1037" s="1358"/>
      <c r="U1037" s="1358"/>
      <c r="V1037" s="1358"/>
      <c r="W1037" s="1358"/>
      <c r="X1037" s="1358"/>
      <c r="Y1037" s="1358"/>
      <c r="Z1037" s="1358"/>
      <c r="AA1037" s="1358"/>
      <c r="AB1037" s="1358"/>
      <c r="AC1037" s="1358"/>
      <c r="AD1037" s="1358"/>
      <c r="AE1037" s="1358"/>
      <c r="AF1037" s="1358"/>
      <c r="AG1037" s="1358"/>
      <c r="AH1037" s="1358"/>
      <c r="AI1037" s="1358"/>
      <c r="AJ1037" s="1358"/>
      <c r="AK1037" s="1358"/>
      <c r="AL1037" s="1358"/>
      <c r="AM1037" s="1358"/>
      <c r="AN1037" s="1358"/>
      <c r="AO1037" s="1358"/>
      <c r="AP1037" s="1358"/>
      <c r="AQ1037" s="1358"/>
      <c r="AR1037" s="1358"/>
      <c r="AS1037" s="1358"/>
      <c r="AT1037" s="1358"/>
      <c r="AU1037" s="1358"/>
      <c r="AV1037" s="1358"/>
      <c r="AW1037" s="1358"/>
      <c r="AX1037" s="1358"/>
      <c r="AY1037" s="1358"/>
      <c r="AZ1037" s="1358"/>
      <c r="BA1037" s="1358"/>
      <c r="BB1037" s="1358"/>
      <c r="BC1037" s="1358"/>
      <c r="BD1037" s="1358"/>
      <c r="BE1037" s="1358"/>
      <c r="BF1037" s="1358"/>
      <c r="BG1037" s="1358"/>
      <c r="BH1037" s="1358"/>
      <c r="BI1037" s="1358"/>
      <c r="BJ1037" s="1358"/>
      <c r="BK1037" s="1358"/>
      <c r="BL1037" s="1358"/>
      <c r="BM1037" s="1358"/>
      <c r="BN1037" s="1358"/>
      <c r="BO1037" s="1358"/>
      <c r="BP1037" s="1358"/>
      <c r="BQ1037" s="1358"/>
      <c r="BR1037" s="1358"/>
      <c r="BS1037" s="1358"/>
      <c r="BT1037" s="1358"/>
      <c r="BU1037" s="1358"/>
      <c r="BV1037" s="1358"/>
      <c r="BW1037" s="1358"/>
      <c r="BX1037" s="1358"/>
      <c r="BY1037" s="1358"/>
      <c r="BZ1037" s="1358"/>
      <c r="CA1037" s="1358"/>
      <c r="CB1037" s="1358"/>
      <c r="CC1037" s="1358"/>
      <c r="CD1037" s="1358"/>
      <c r="CE1037" s="1358"/>
      <c r="CF1037" s="1358"/>
      <c r="CG1037" s="1358"/>
      <c r="CH1037" s="1358"/>
      <c r="CI1037" s="1358"/>
      <c r="CJ1037" s="1358"/>
      <c r="CK1037" s="1358"/>
      <c r="CL1037" s="1358"/>
      <c r="CM1037" s="1358"/>
      <c r="CN1037" s="1358"/>
      <c r="CO1037" s="1358"/>
      <c r="CP1037" s="1358"/>
      <c r="CQ1037" s="1358"/>
      <c r="CR1037" s="1358"/>
      <c r="CS1037" s="1358"/>
      <c r="CT1037" s="1358"/>
      <c r="CU1037" s="1358"/>
      <c r="CV1037" s="1358"/>
      <c r="CW1037" s="1358"/>
      <c r="CX1037" s="1358"/>
      <c r="CY1037" s="1358"/>
      <c r="CZ1037" s="1358"/>
      <c r="DA1037" s="1358"/>
      <c r="DB1037" s="1362"/>
      <c r="DC1037" s="1362"/>
      <c r="DD1037" s="1362"/>
      <c r="DE1037" s="1362"/>
      <c r="DF1037" s="1362"/>
      <c r="DG1037" s="1362"/>
      <c r="DH1037" s="1362"/>
      <c r="DI1037" s="1363"/>
      <c r="DJ1037" s="1362"/>
      <c r="DK1037" s="1362"/>
      <c r="DL1037" s="1362"/>
      <c r="DM1037" s="1362"/>
      <c r="DN1037" s="1362"/>
      <c r="DO1037" s="1362"/>
      <c r="DP1037" s="1362"/>
      <c r="DQ1037" s="1363"/>
      <c r="DR1037" s="1362"/>
      <c r="DS1037" s="1362"/>
      <c r="DT1037" s="1362"/>
      <c r="DU1037" s="1362"/>
      <c r="DV1037" s="1362"/>
      <c r="DW1037" s="1362"/>
      <c r="DX1037" s="1362"/>
      <c r="DY1037" s="1363"/>
      <c r="DZ1037" s="1362"/>
      <c r="EA1037" s="1362"/>
      <c r="EB1037" s="1362"/>
      <c r="EC1037" s="1362"/>
      <c r="ED1037" s="1362"/>
      <c r="EE1037" s="1362"/>
      <c r="EF1037" s="1362"/>
      <c r="EG1037" s="1363"/>
      <c r="EH1037" s="1362"/>
      <c r="EI1037" s="1362"/>
      <c r="EJ1037" s="1362"/>
      <c r="EK1037" s="1362"/>
      <c r="EL1037" s="1362"/>
      <c r="EM1037" s="1362"/>
      <c r="EN1037" s="1362"/>
      <c r="EO1037" s="1363"/>
      <c r="EP1037" s="1362"/>
      <c r="EQ1037" s="1362"/>
      <c r="ER1037" s="1362"/>
      <c r="ES1037" s="1362"/>
      <c r="ET1037" s="1362"/>
      <c r="EU1037" s="1362"/>
      <c r="EV1037" s="1362"/>
      <c r="JO1037" s="1362"/>
      <c r="JP1037" s="1362"/>
      <c r="JQ1037" s="1362"/>
      <c r="JR1037" s="1362"/>
      <c r="JS1037" s="1362"/>
      <c r="JT1037" s="1362"/>
      <c r="JU1037" s="1660"/>
    </row>
    <row r="1038" spans="2:285">
      <c r="B1038" s="1358"/>
      <c r="C1038" s="1358"/>
      <c r="D1038" s="1358"/>
      <c r="E1038" s="1358"/>
      <c r="F1038" s="1358"/>
      <c r="G1038" s="1358"/>
      <c r="H1038" s="1358"/>
      <c r="I1038" s="1358"/>
      <c r="J1038" s="1358"/>
      <c r="K1038" s="1358"/>
      <c r="L1038" s="1358"/>
      <c r="M1038" s="1358"/>
      <c r="N1038" s="1358"/>
      <c r="O1038" s="1358"/>
      <c r="P1038" s="1358"/>
      <c r="Q1038" s="1358"/>
      <c r="R1038" s="1358"/>
      <c r="S1038" s="1358"/>
      <c r="T1038" s="1358"/>
      <c r="U1038" s="1358"/>
      <c r="V1038" s="1358"/>
      <c r="W1038" s="1358"/>
      <c r="X1038" s="1358"/>
      <c r="Y1038" s="1358"/>
      <c r="Z1038" s="1358"/>
      <c r="AA1038" s="1358"/>
      <c r="AB1038" s="1358"/>
      <c r="AC1038" s="1358"/>
      <c r="AD1038" s="1358"/>
      <c r="AE1038" s="1358"/>
      <c r="AF1038" s="1358"/>
      <c r="AG1038" s="1358"/>
      <c r="AH1038" s="1358"/>
      <c r="AI1038" s="1358"/>
      <c r="AJ1038" s="1358"/>
      <c r="AK1038" s="1358"/>
      <c r="AL1038" s="1358"/>
      <c r="AM1038" s="1358"/>
      <c r="AN1038" s="1358"/>
      <c r="AO1038" s="1358"/>
      <c r="AP1038" s="1358"/>
      <c r="AQ1038" s="1358"/>
      <c r="AR1038" s="1358"/>
      <c r="AS1038" s="1358"/>
      <c r="AT1038" s="1358"/>
      <c r="AU1038" s="1358"/>
      <c r="AV1038" s="1358"/>
      <c r="AW1038" s="1358"/>
      <c r="AX1038" s="1358"/>
      <c r="AY1038" s="1358"/>
      <c r="AZ1038" s="1358"/>
      <c r="BA1038" s="1358"/>
      <c r="BB1038" s="1358"/>
      <c r="BC1038" s="1358"/>
      <c r="BD1038" s="1358"/>
      <c r="BE1038" s="1358"/>
      <c r="BF1038" s="1358"/>
      <c r="BG1038" s="1358"/>
      <c r="BH1038" s="1358"/>
      <c r="BI1038" s="1358"/>
      <c r="BJ1038" s="1358"/>
      <c r="BK1038" s="1358"/>
      <c r="BL1038" s="1358"/>
      <c r="BM1038" s="1358"/>
      <c r="BN1038" s="1358"/>
      <c r="BO1038" s="1358"/>
      <c r="BP1038" s="1358"/>
      <c r="BQ1038" s="1358"/>
      <c r="BR1038" s="1358"/>
      <c r="BS1038" s="1358"/>
      <c r="BT1038" s="1358"/>
      <c r="BU1038" s="1358"/>
      <c r="BV1038" s="1358"/>
      <c r="BW1038" s="1358"/>
      <c r="BX1038" s="1358"/>
      <c r="BY1038" s="1358"/>
      <c r="BZ1038" s="1358"/>
      <c r="CA1038" s="1358"/>
      <c r="CB1038" s="1358"/>
      <c r="CC1038" s="1358"/>
      <c r="CD1038" s="1358"/>
      <c r="CE1038" s="1358"/>
      <c r="CF1038" s="1358"/>
      <c r="CG1038" s="1358"/>
      <c r="CH1038" s="1358"/>
      <c r="CI1038" s="1358"/>
      <c r="CJ1038" s="1358"/>
      <c r="CK1038" s="1358"/>
      <c r="CL1038" s="1358"/>
      <c r="CM1038" s="1358"/>
      <c r="CN1038" s="1358"/>
      <c r="CO1038" s="1358"/>
      <c r="CP1038" s="1358"/>
      <c r="CQ1038" s="1358"/>
      <c r="CR1038" s="1358"/>
      <c r="CS1038" s="1358"/>
      <c r="CT1038" s="1358"/>
      <c r="CU1038" s="1358"/>
      <c r="CV1038" s="1358"/>
      <c r="CW1038" s="1358"/>
      <c r="CX1038" s="1358"/>
      <c r="CY1038" s="1358"/>
      <c r="CZ1038" s="1358"/>
      <c r="DA1038" s="1358"/>
      <c r="DB1038" s="1362"/>
      <c r="DC1038" s="1362"/>
      <c r="DD1038" s="1362"/>
      <c r="DE1038" s="1362"/>
      <c r="DF1038" s="1362"/>
      <c r="DG1038" s="1362"/>
      <c r="DH1038" s="1362"/>
      <c r="DI1038" s="1363"/>
      <c r="DJ1038" s="1362"/>
      <c r="DK1038" s="1362"/>
      <c r="DL1038" s="1362"/>
      <c r="DM1038" s="1362"/>
      <c r="DN1038" s="1362"/>
      <c r="DO1038" s="1362"/>
      <c r="DP1038" s="1362"/>
      <c r="DQ1038" s="1363"/>
      <c r="DR1038" s="1362"/>
      <c r="DS1038" s="1362"/>
      <c r="DT1038" s="1362"/>
      <c r="DU1038" s="1362"/>
      <c r="DV1038" s="1362"/>
      <c r="DW1038" s="1362"/>
      <c r="DX1038" s="1362"/>
      <c r="DY1038" s="1363"/>
      <c r="DZ1038" s="1362"/>
      <c r="EA1038" s="1362"/>
      <c r="EB1038" s="1362"/>
      <c r="EC1038" s="1362"/>
      <c r="ED1038" s="1362"/>
      <c r="EE1038" s="1362"/>
      <c r="EF1038" s="1362"/>
      <c r="EG1038" s="1363"/>
      <c r="EH1038" s="1362"/>
      <c r="EI1038" s="1362"/>
      <c r="EJ1038" s="1362"/>
      <c r="EK1038" s="1362"/>
      <c r="EL1038" s="1362"/>
      <c r="EM1038" s="1362"/>
      <c r="EN1038" s="1362"/>
      <c r="EO1038" s="1363"/>
      <c r="EP1038" s="1362"/>
      <c r="EQ1038" s="1362"/>
      <c r="ER1038" s="1362"/>
      <c r="ES1038" s="1362"/>
      <c r="ET1038" s="1362"/>
      <c r="EU1038" s="1362"/>
      <c r="EV1038" s="1362"/>
      <c r="JO1038" s="1362"/>
      <c r="JP1038" s="1362"/>
      <c r="JQ1038" s="1362"/>
      <c r="JR1038" s="1362"/>
      <c r="JS1038" s="1362"/>
      <c r="JT1038" s="1362"/>
      <c r="JU1038" s="1660"/>
    </row>
    <row r="1039" spans="2:285">
      <c r="B1039" s="1358"/>
      <c r="C1039" s="1358"/>
      <c r="D1039" s="1358"/>
      <c r="E1039" s="1358"/>
      <c r="F1039" s="1358"/>
      <c r="G1039" s="1358"/>
      <c r="H1039" s="1358"/>
      <c r="I1039" s="1358"/>
      <c r="J1039" s="1358"/>
      <c r="K1039" s="1358"/>
      <c r="L1039" s="1358"/>
      <c r="M1039" s="1358"/>
      <c r="N1039" s="1358"/>
      <c r="O1039" s="1358"/>
      <c r="P1039" s="1358"/>
      <c r="Q1039" s="1358"/>
      <c r="R1039" s="1358"/>
      <c r="S1039" s="1358"/>
      <c r="T1039" s="1358"/>
      <c r="U1039" s="1358"/>
      <c r="V1039" s="1358"/>
      <c r="W1039" s="1358"/>
      <c r="X1039" s="1358"/>
      <c r="Y1039" s="1358"/>
      <c r="Z1039" s="1358"/>
      <c r="AA1039" s="1358"/>
      <c r="AB1039" s="1358"/>
      <c r="AC1039" s="1358"/>
      <c r="AD1039" s="1358"/>
      <c r="AE1039" s="1358"/>
      <c r="AF1039" s="1358"/>
      <c r="AG1039" s="1358"/>
      <c r="AH1039" s="1358"/>
      <c r="AI1039" s="1358"/>
      <c r="AJ1039" s="1358"/>
      <c r="AK1039" s="1358"/>
      <c r="AL1039" s="1358"/>
      <c r="AM1039" s="1358"/>
      <c r="AN1039" s="1358"/>
      <c r="AO1039" s="1358"/>
      <c r="AP1039" s="1358"/>
      <c r="AQ1039" s="1358"/>
      <c r="AR1039" s="1358"/>
      <c r="AS1039" s="1358"/>
      <c r="AT1039" s="1358"/>
      <c r="AU1039" s="1358"/>
      <c r="AV1039" s="1358"/>
      <c r="AW1039" s="1358"/>
      <c r="AX1039" s="1358"/>
      <c r="AY1039" s="1358"/>
      <c r="AZ1039" s="1358"/>
      <c r="BA1039" s="1358"/>
      <c r="BB1039" s="1358"/>
      <c r="BC1039" s="1358"/>
      <c r="BD1039" s="1358"/>
      <c r="BE1039" s="1358"/>
      <c r="BF1039" s="1358"/>
      <c r="BG1039" s="1358"/>
      <c r="BH1039" s="1358"/>
      <c r="BI1039" s="1358"/>
      <c r="BJ1039" s="1358"/>
      <c r="BK1039" s="1358"/>
      <c r="BL1039" s="1358"/>
      <c r="BM1039" s="1358"/>
      <c r="BN1039" s="1358"/>
      <c r="BO1039" s="1358"/>
      <c r="BP1039" s="1358"/>
      <c r="BQ1039" s="1358"/>
      <c r="BR1039" s="1358"/>
      <c r="BS1039" s="1358"/>
      <c r="BT1039" s="1358"/>
      <c r="BU1039" s="1358"/>
      <c r="BV1039" s="1358"/>
      <c r="BW1039" s="1358"/>
      <c r="BX1039" s="1358"/>
      <c r="BY1039" s="1358"/>
      <c r="BZ1039" s="1358"/>
      <c r="CA1039" s="1358"/>
      <c r="CB1039" s="1358"/>
      <c r="CC1039" s="1358"/>
      <c r="CD1039" s="1358"/>
      <c r="CE1039" s="1358"/>
      <c r="CF1039" s="1358"/>
      <c r="CG1039" s="1358"/>
      <c r="CH1039" s="1358"/>
      <c r="CI1039" s="1358"/>
      <c r="CJ1039" s="1358"/>
      <c r="CK1039" s="1358"/>
      <c r="CL1039" s="1358"/>
      <c r="CM1039" s="1358"/>
      <c r="CN1039" s="1358"/>
      <c r="CO1039" s="1358"/>
      <c r="CP1039" s="1358"/>
      <c r="CQ1039" s="1358"/>
      <c r="CR1039" s="1358"/>
      <c r="CS1039" s="1358"/>
      <c r="CT1039" s="1358"/>
      <c r="CU1039" s="1358"/>
      <c r="CV1039" s="1358"/>
      <c r="CW1039" s="1358"/>
      <c r="CX1039" s="1358"/>
      <c r="CY1039" s="1358"/>
      <c r="CZ1039" s="1358"/>
      <c r="DA1039" s="1358"/>
      <c r="DB1039" s="1362"/>
      <c r="DC1039" s="1362"/>
      <c r="DD1039" s="1362"/>
      <c r="DE1039" s="1362"/>
      <c r="DF1039" s="1362"/>
      <c r="DG1039" s="1362"/>
      <c r="DH1039" s="1362"/>
      <c r="DI1039" s="1363"/>
      <c r="DJ1039" s="1362"/>
      <c r="DK1039" s="1362"/>
      <c r="DL1039" s="1362"/>
      <c r="DM1039" s="1362"/>
      <c r="DN1039" s="1362"/>
      <c r="DO1039" s="1362"/>
      <c r="DP1039" s="1362"/>
      <c r="DQ1039" s="1363"/>
      <c r="DR1039" s="1362"/>
      <c r="DS1039" s="1362"/>
      <c r="DT1039" s="1362"/>
      <c r="DU1039" s="1362"/>
      <c r="DV1039" s="1362"/>
      <c r="DW1039" s="1362"/>
      <c r="DX1039" s="1362"/>
      <c r="DY1039" s="1363"/>
      <c r="DZ1039" s="1362"/>
      <c r="EA1039" s="1362"/>
      <c r="EB1039" s="1362"/>
      <c r="EC1039" s="1362"/>
      <c r="ED1039" s="1362"/>
      <c r="EE1039" s="1362"/>
      <c r="EF1039" s="1362"/>
      <c r="EG1039" s="1363"/>
      <c r="EH1039" s="1362"/>
      <c r="EI1039" s="1362"/>
      <c r="EJ1039" s="1362"/>
      <c r="EK1039" s="1362"/>
      <c r="EL1039" s="1362"/>
      <c r="EM1039" s="1362"/>
      <c r="EN1039" s="1362"/>
      <c r="EO1039" s="1363"/>
      <c r="EP1039" s="1362"/>
      <c r="EQ1039" s="1362"/>
      <c r="ER1039" s="1362"/>
      <c r="ES1039" s="1362"/>
      <c r="ET1039" s="1362"/>
      <c r="EU1039" s="1362"/>
      <c r="EV1039" s="1362"/>
      <c r="JO1039" s="1362"/>
      <c r="JP1039" s="1362"/>
      <c r="JQ1039" s="1362"/>
      <c r="JR1039" s="1362"/>
      <c r="JS1039" s="1362"/>
      <c r="JT1039" s="1362"/>
      <c r="JU1039" s="1660"/>
    </row>
    <row r="1040" spans="2:285">
      <c r="B1040" s="1358"/>
      <c r="C1040" s="1358"/>
      <c r="D1040" s="1358"/>
      <c r="E1040" s="1358"/>
      <c r="F1040" s="1358"/>
      <c r="G1040" s="1358"/>
      <c r="H1040" s="1358"/>
      <c r="I1040" s="1358"/>
      <c r="J1040" s="1358"/>
      <c r="K1040" s="1358"/>
      <c r="L1040" s="1358"/>
      <c r="M1040" s="1358"/>
      <c r="N1040" s="1358"/>
      <c r="O1040" s="1358"/>
      <c r="P1040" s="1358"/>
      <c r="Q1040" s="1358"/>
      <c r="R1040" s="1358"/>
      <c r="S1040" s="1358"/>
      <c r="T1040" s="1358"/>
      <c r="U1040" s="1358"/>
      <c r="V1040" s="1358"/>
      <c r="W1040" s="1358"/>
      <c r="X1040" s="1358"/>
      <c r="Y1040" s="1358"/>
      <c r="Z1040" s="1358"/>
      <c r="AA1040" s="1358"/>
      <c r="AB1040" s="1358"/>
      <c r="AC1040" s="1358"/>
      <c r="AD1040" s="1358"/>
      <c r="AE1040" s="1358"/>
      <c r="AF1040" s="1358"/>
      <c r="AG1040" s="1358"/>
      <c r="AH1040" s="1358"/>
      <c r="AI1040" s="1358"/>
      <c r="AJ1040" s="1358"/>
      <c r="AK1040" s="1358"/>
      <c r="AL1040" s="1358"/>
      <c r="AM1040" s="1358"/>
      <c r="AN1040" s="1358"/>
      <c r="AO1040" s="1358"/>
      <c r="AP1040" s="1358"/>
      <c r="AQ1040" s="1358"/>
      <c r="AR1040" s="1358"/>
      <c r="AS1040" s="1358"/>
      <c r="AT1040" s="1358"/>
      <c r="AU1040" s="1358"/>
      <c r="AV1040" s="1358"/>
      <c r="AW1040" s="1358"/>
      <c r="AX1040" s="1358"/>
      <c r="AY1040" s="1358"/>
      <c r="AZ1040" s="1358"/>
      <c r="BA1040" s="1358"/>
      <c r="BB1040" s="1358"/>
      <c r="BC1040" s="1358"/>
      <c r="BD1040" s="1358"/>
      <c r="BE1040" s="1358"/>
      <c r="BF1040" s="1358"/>
      <c r="BG1040" s="1358"/>
      <c r="BH1040" s="1358"/>
      <c r="BI1040" s="1358"/>
      <c r="BJ1040" s="1358"/>
      <c r="BK1040" s="1358"/>
      <c r="BL1040" s="1358"/>
      <c r="BM1040" s="1358"/>
      <c r="BN1040" s="1358"/>
      <c r="BO1040" s="1358"/>
      <c r="BP1040" s="1358"/>
      <c r="BQ1040" s="1358"/>
      <c r="BR1040" s="1358"/>
      <c r="BS1040" s="1358"/>
      <c r="BT1040" s="1358"/>
      <c r="BU1040" s="1358"/>
      <c r="BV1040" s="1358"/>
      <c r="BW1040" s="1358"/>
      <c r="BX1040" s="1358"/>
      <c r="BY1040" s="1358"/>
      <c r="BZ1040" s="1358"/>
      <c r="CA1040" s="1358"/>
      <c r="CB1040" s="1358"/>
      <c r="CC1040" s="1358"/>
      <c r="CD1040" s="1358"/>
      <c r="CE1040" s="1358"/>
      <c r="CF1040" s="1358"/>
      <c r="CG1040" s="1358"/>
      <c r="CH1040" s="1358"/>
      <c r="CI1040" s="1358"/>
      <c r="CJ1040" s="1358"/>
      <c r="CK1040" s="1358"/>
      <c r="CL1040" s="1358"/>
      <c r="CM1040" s="1358"/>
      <c r="CN1040" s="1358"/>
      <c r="CO1040" s="1358"/>
      <c r="CP1040" s="1358"/>
      <c r="CQ1040" s="1358"/>
      <c r="CR1040" s="1358"/>
      <c r="CS1040" s="1358"/>
      <c r="CT1040" s="1358"/>
      <c r="CU1040" s="1358"/>
      <c r="CV1040" s="1358"/>
      <c r="CW1040" s="1358"/>
      <c r="CX1040" s="1358"/>
      <c r="CY1040" s="1358"/>
      <c r="CZ1040" s="1358"/>
      <c r="DA1040" s="1358"/>
      <c r="DB1040" s="1362"/>
      <c r="DC1040" s="1362"/>
      <c r="DD1040" s="1362"/>
      <c r="DE1040" s="1362"/>
      <c r="DF1040" s="1362"/>
      <c r="DG1040" s="1362"/>
      <c r="DH1040" s="1362"/>
      <c r="DI1040" s="1363"/>
      <c r="DJ1040" s="1362"/>
      <c r="DK1040" s="1362"/>
      <c r="DL1040" s="1362"/>
      <c r="DM1040" s="1362"/>
      <c r="DN1040" s="1362"/>
      <c r="DO1040" s="1362"/>
      <c r="DP1040" s="1362"/>
      <c r="DQ1040" s="1363"/>
      <c r="DR1040" s="1362"/>
      <c r="DS1040" s="1362"/>
      <c r="DT1040" s="1362"/>
      <c r="DU1040" s="1362"/>
      <c r="DV1040" s="1362"/>
      <c r="DW1040" s="1362"/>
      <c r="DX1040" s="1362"/>
      <c r="DY1040" s="1363"/>
      <c r="DZ1040" s="1362"/>
      <c r="EA1040" s="1362"/>
      <c r="EB1040" s="1362"/>
      <c r="EC1040" s="1362"/>
      <c r="ED1040" s="1362"/>
      <c r="EE1040" s="1362"/>
      <c r="EF1040" s="1362"/>
      <c r="EG1040" s="1363"/>
      <c r="EH1040" s="1362"/>
      <c r="EI1040" s="1362"/>
      <c r="EJ1040" s="1362"/>
      <c r="EK1040" s="1362"/>
      <c r="EL1040" s="1362"/>
      <c r="EM1040" s="1362"/>
      <c r="EN1040" s="1362"/>
      <c r="EO1040" s="1363"/>
      <c r="EP1040" s="1362"/>
      <c r="EQ1040" s="1362"/>
      <c r="ER1040" s="1362"/>
      <c r="ES1040" s="1362"/>
      <c r="ET1040" s="1362"/>
      <c r="EU1040" s="1362"/>
      <c r="EV1040" s="1362"/>
      <c r="JO1040" s="1362"/>
      <c r="JP1040" s="1362"/>
      <c r="JQ1040" s="1362"/>
      <c r="JR1040" s="1362"/>
      <c r="JS1040" s="1362"/>
      <c r="JT1040" s="1362"/>
      <c r="JU1040" s="1660"/>
    </row>
    <row r="1041" spans="2:281">
      <c r="B1041" s="1663"/>
      <c r="C1041" s="1663"/>
      <c r="D1041" s="1663"/>
      <c r="E1041" s="1663"/>
      <c r="F1041" s="1663"/>
      <c r="G1041" s="1663"/>
      <c r="H1041" s="1663"/>
      <c r="I1041" s="1663"/>
      <c r="J1041" s="1663"/>
      <c r="K1041" s="1663"/>
      <c r="L1041" s="1663"/>
      <c r="M1041" s="1663"/>
      <c r="N1041" s="1663"/>
      <c r="O1041" s="1663"/>
      <c r="P1041" s="1663"/>
      <c r="Q1041" s="1663"/>
      <c r="R1041" s="1663"/>
      <c r="S1041" s="1663"/>
      <c r="T1041" s="1663"/>
      <c r="U1041" s="1663"/>
      <c r="V1041" s="1663"/>
      <c r="W1041" s="1663"/>
      <c r="X1041" s="1663"/>
      <c r="Y1041" s="1663"/>
      <c r="Z1041" s="1663"/>
      <c r="AA1041" s="1663"/>
      <c r="AB1041" s="1663"/>
      <c r="AC1041" s="1663"/>
      <c r="AD1041" s="1663"/>
      <c r="AE1041" s="1663"/>
      <c r="AF1041" s="1663"/>
      <c r="AG1041" s="1663"/>
      <c r="AH1041" s="1663"/>
      <c r="AI1041" s="1663"/>
      <c r="AJ1041" s="1663"/>
      <c r="AK1041" s="1663"/>
      <c r="AL1041" s="1663"/>
      <c r="AM1041" s="1663"/>
      <c r="AN1041" s="1663"/>
      <c r="AO1041" s="1663"/>
      <c r="AP1041" s="1663"/>
      <c r="AQ1041" s="1663"/>
      <c r="AR1041" s="1663"/>
      <c r="AS1041" s="1663"/>
      <c r="AT1041" s="1663"/>
      <c r="AU1041" s="1663"/>
      <c r="AV1041" s="1663"/>
      <c r="AW1041" s="1663"/>
      <c r="AX1041" s="1663"/>
      <c r="AY1041" s="1663"/>
      <c r="AZ1041" s="1663"/>
      <c r="BA1041" s="1663"/>
      <c r="BB1041" s="1663"/>
      <c r="BC1041" s="1663"/>
      <c r="BD1041" s="1663"/>
      <c r="BE1041" s="1663"/>
      <c r="BF1041" s="1663"/>
      <c r="BG1041" s="1663"/>
      <c r="BH1041" s="1663"/>
      <c r="BI1041" s="1663"/>
      <c r="BJ1041" s="1663"/>
      <c r="BK1041" s="1663"/>
      <c r="BL1041" s="1663"/>
      <c r="BM1041" s="1663"/>
      <c r="BN1041" s="1663"/>
      <c r="BO1041" s="1663"/>
      <c r="BP1041" s="1663"/>
      <c r="BQ1041" s="1663"/>
      <c r="BR1041" s="1663"/>
      <c r="BS1041" s="1663"/>
      <c r="BT1041" s="1663"/>
      <c r="BU1041" s="1663"/>
      <c r="BV1041" s="1663"/>
      <c r="BW1041" s="1663"/>
      <c r="BX1041" s="1663"/>
      <c r="BY1041" s="1663"/>
      <c r="BZ1041" s="1663"/>
      <c r="CA1041" s="1663"/>
      <c r="CB1041" s="1663"/>
      <c r="CC1041" s="1663"/>
      <c r="CD1041" s="1663"/>
      <c r="CE1041" s="1663"/>
      <c r="CF1041" s="1663"/>
      <c r="CG1041" s="1663"/>
      <c r="CH1041" s="1663"/>
      <c r="CI1041" s="1663"/>
      <c r="CJ1041" s="1663"/>
      <c r="CK1041" s="1663"/>
      <c r="CL1041" s="1663"/>
      <c r="CM1041" s="1663"/>
      <c r="CN1041" s="1663"/>
      <c r="CO1041" s="1663"/>
      <c r="CP1041" s="1663"/>
      <c r="CQ1041" s="1663"/>
      <c r="CR1041" s="1663"/>
      <c r="CS1041" s="1663"/>
      <c r="CT1041" s="1663"/>
      <c r="CU1041" s="1663"/>
      <c r="CV1041" s="1663"/>
      <c r="CW1041" s="1663"/>
      <c r="CX1041" s="1663"/>
      <c r="CY1041" s="1663"/>
      <c r="CZ1041" s="1663"/>
      <c r="DA1041" s="1663"/>
      <c r="DB1041" s="1664"/>
      <c r="DC1041" s="1664"/>
      <c r="DD1041" s="1664"/>
      <c r="DE1041" s="1664"/>
      <c r="DF1041" s="1664"/>
      <c r="DG1041" s="1664"/>
      <c r="DH1041" s="1664"/>
      <c r="DI1041" s="1665"/>
      <c r="DJ1041" s="1664"/>
      <c r="DK1041" s="1664"/>
      <c r="DL1041" s="1664"/>
      <c r="DM1041" s="1664"/>
      <c r="DN1041" s="1664"/>
      <c r="DO1041" s="1664"/>
      <c r="DP1041" s="1664"/>
      <c r="DQ1041" s="1665"/>
      <c r="DR1041" s="1664"/>
      <c r="DS1041" s="1664"/>
      <c r="DT1041" s="1664"/>
      <c r="DU1041" s="1664"/>
      <c r="DV1041" s="1664"/>
      <c r="DW1041" s="1664"/>
      <c r="DX1041" s="1664"/>
      <c r="DY1041" s="1665"/>
      <c r="DZ1041" s="1664"/>
      <c r="EA1041" s="1664"/>
      <c r="EB1041" s="1664"/>
      <c r="EC1041" s="1664"/>
      <c r="ED1041" s="1664"/>
      <c r="EE1041" s="1664"/>
      <c r="EF1041" s="1664"/>
      <c r="EG1041" s="1665"/>
      <c r="EH1041" s="1664"/>
      <c r="EI1041" s="1664"/>
      <c r="EJ1041" s="1664"/>
      <c r="EK1041" s="1664"/>
      <c r="EL1041" s="1664"/>
      <c r="EM1041" s="1664"/>
      <c r="EN1041" s="1664"/>
      <c r="EO1041" s="1665"/>
      <c r="EP1041" s="1664"/>
      <c r="EQ1041" s="1664"/>
      <c r="ER1041" s="1664"/>
      <c r="ES1041" s="1664"/>
      <c r="ET1041" s="1664"/>
      <c r="EU1041" s="1664"/>
      <c r="EV1041" s="1664"/>
      <c r="JO1041" s="1664"/>
      <c r="JP1041" s="1664"/>
      <c r="JQ1041" s="1664"/>
      <c r="JR1041" s="1664"/>
      <c r="JS1041" s="1664"/>
      <c r="JT1041" s="1664"/>
      <c r="JU1041" s="1666"/>
    </row>
    <row r="1042" spans="2:281">
      <c r="B1042" s="1358"/>
      <c r="C1042" s="1358"/>
      <c r="D1042" s="1358"/>
      <c r="E1042" s="1358"/>
      <c r="F1042" s="1358"/>
      <c r="G1042" s="1358"/>
      <c r="H1042" s="1358"/>
      <c r="I1042" s="1358"/>
      <c r="J1042" s="1358"/>
      <c r="K1042" s="1358"/>
      <c r="L1042" s="1358"/>
      <c r="M1042" s="1358"/>
      <c r="N1042" s="1358"/>
      <c r="O1042" s="1358"/>
      <c r="P1042" s="1358"/>
      <c r="Q1042" s="1358"/>
      <c r="R1042" s="1358"/>
      <c r="S1042" s="1358"/>
      <c r="T1042" s="1358"/>
      <c r="U1042" s="1358"/>
      <c r="V1042" s="1358"/>
      <c r="W1042" s="1358"/>
      <c r="X1042" s="1358"/>
      <c r="Y1042" s="1358"/>
      <c r="Z1042" s="1358"/>
      <c r="AA1042" s="1358"/>
      <c r="AB1042" s="1358"/>
      <c r="AC1042" s="1358"/>
      <c r="AD1042" s="1358"/>
      <c r="AE1042" s="1358"/>
      <c r="AF1042" s="1358"/>
      <c r="AG1042" s="1358"/>
      <c r="AH1042" s="1358"/>
      <c r="AI1042" s="1358"/>
      <c r="AJ1042" s="1358"/>
      <c r="AK1042" s="1358"/>
      <c r="AL1042" s="1358"/>
      <c r="AM1042" s="1358"/>
      <c r="AN1042" s="1358"/>
      <c r="AO1042" s="1358"/>
      <c r="AP1042" s="1358"/>
      <c r="AQ1042" s="1358"/>
      <c r="AR1042" s="1358"/>
      <c r="AS1042" s="1358"/>
      <c r="AT1042" s="1358"/>
      <c r="AU1042" s="1358"/>
      <c r="AV1042" s="1358"/>
      <c r="AW1042" s="1358"/>
      <c r="AX1042" s="1358"/>
      <c r="AY1042" s="1358"/>
      <c r="AZ1042" s="1358"/>
      <c r="BA1042" s="1358"/>
      <c r="BB1042" s="1358"/>
      <c r="BC1042" s="1358"/>
      <c r="BD1042" s="1358"/>
      <c r="BE1042" s="1358"/>
      <c r="BF1042" s="1358"/>
      <c r="BG1042" s="1358"/>
      <c r="BH1042" s="1358"/>
      <c r="BI1042" s="1358"/>
      <c r="BJ1042" s="1358"/>
      <c r="BK1042" s="1358"/>
      <c r="BL1042" s="1358"/>
      <c r="BM1042" s="1358"/>
      <c r="BN1042" s="1358"/>
      <c r="BO1042" s="1358"/>
      <c r="BP1042" s="1358"/>
      <c r="BQ1042" s="1358"/>
      <c r="BR1042" s="1358"/>
      <c r="BS1042" s="1358"/>
      <c r="BT1042" s="1358"/>
      <c r="BU1042" s="1358"/>
      <c r="BV1042" s="1358"/>
      <c r="BW1042" s="1358"/>
      <c r="BX1042" s="1358"/>
      <c r="BY1042" s="1358"/>
      <c r="BZ1042" s="1358"/>
      <c r="CA1042" s="1358"/>
      <c r="CB1042" s="1358"/>
      <c r="CC1042" s="1358"/>
      <c r="CD1042" s="1358"/>
      <c r="CE1042" s="1358"/>
      <c r="CF1042" s="1358"/>
      <c r="CG1042" s="1358"/>
      <c r="CH1042" s="1358"/>
      <c r="CI1042" s="1358"/>
      <c r="CJ1042" s="1358"/>
      <c r="CK1042" s="1358"/>
      <c r="CL1042" s="1358"/>
      <c r="CM1042" s="1358"/>
      <c r="CN1042" s="1358"/>
      <c r="CO1042" s="1358"/>
      <c r="CP1042" s="1358"/>
      <c r="CQ1042" s="1358"/>
      <c r="CR1042" s="1358"/>
      <c r="CS1042" s="1358"/>
      <c r="CT1042" s="1358"/>
      <c r="CU1042" s="1358"/>
      <c r="CV1042" s="1358"/>
      <c r="CW1042" s="1358"/>
      <c r="CX1042" s="1358"/>
      <c r="CY1042" s="1358"/>
      <c r="CZ1042" s="1358"/>
      <c r="DA1042" s="1358"/>
      <c r="DB1042" s="1362"/>
      <c r="DC1042" s="1362"/>
      <c r="DD1042" s="1362"/>
      <c r="DE1042" s="1362"/>
      <c r="DF1042" s="1362"/>
      <c r="DG1042" s="1362"/>
      <c r="DH1042" s="1362"/>
      <c r="DI1042" s="1363"/>
      <c r="DJ1042" s="1362"/>
      <c r="DK1042" s="1362"/>
      <c r="DL1042" s="1362"/>
      <c r="DM1042" s="1362"/>
      <c r="DN1042" s="1362"/>
      <c r="DO1042" s="1362"/>
      <c r="DP1042" s="1362"/>
      <c r="DQ1042" s="1363"/>
      <c r="DR1042" s="1362"/>
      <c r="DS1042" s="1362"/>
      <c r="DT1042" s="1362"/>
      <c r="DU1042" s="1362"/>
      <c r="DV1042" s="1362"/>
      <c r="DW1042" s="1362"/>
      <c r="DX1042" s="1362"/>
      <c r="DY1042" s="1363"/>
      <c r="DZ1042" s="1362"/>
      <c r="EA1042" s="1362"/>
      <c r="EB1042" s="1362"/>
      <c r="EC1042" s="1362"/>
      <c r="ED1042" s="1362"/>
      <c r="EE1042" s="1362"/>
      <c r="EF1042" s="1362"/>
      <c r="EG1042" s="1363"/>
      <c r="EH1042" s="1362"/>
      <c r="EI1042" s="1362"/>
      <c r="EJ1042" s="1362"/>
      <c r="EK1042" s="1362"/>
      <c r="EL1042" s="1362"/>
      <c r="EM1042" s="1362"/>
      <c r="EN1042" s="1362"/>
      <c r="EO1042" s="1363"/>
      <c r="EP1042" s="1362"/>
      <c r="EQ1042" s="1362"/>
      <c r="ER1042" s="1362"/>
      <c r="ES1042" s="1362"/>
      <c r="ET1042" s="1362"/>
      <c r="EU1042" s="1362"/>
      <c r="EV1042" s="1362"/>
      <c r="JO1042" s="1362"/>
      <c r="JP1042" s="1362"/>
      <c r="JQ1042" s="1362"/>
      <c r="JR1042" s="1362"/>
      <c r="JS1042" s="1362"/>
      <c r="JT1042" s="1362"/>
      <c r="JU1042" s="1660"/>
    </row>
    <row r="1045" spans="2:281">
      <c r="B1045" s="1358"/>
      <c r="C1045" s="1358"/>
      <c r="D1045" s="1358"/>
      <c r="E1045" s="1358"/>
      <c r="F1045" s="1358"/>
      <c r="G1045" s="1358"/>
      <c r="H1045" s="1358"/>
      <c r="I1045" s="1358"/>
      <c r="J1045" s="1358"/>
      <c r="K1045" s="1358"/>
      <c r="L1045" s="1358"/>
      <c r="M1045" s="1358"/>
      <c r="N1045" s="1358"/>
      <c r="O1045" s="1358"/>
      <c r="P1045" s="1358"/>
      <c r="Q1045" s="1358"/>
      <c r="R1045" s="1358"/>
      <c r="S1045" s="1358"/>
      <c r="T1045" s="1358"/>
      <c r="U1045" s="1358"/>
      <c r="V1045" s="1358"/>
      <c r="W1045" s="1358"/>
      <c r="X1045" s="1358"/>
      <c r="Y1045" s="1358"/>
      <c r="Z1045" s="1358"/>
      <c r="AA1045" s="1358"/>
      <c r="AB1045" s="1358"/>
      <c r="AC1045" s="1358"/>
      <c r="AD1045" s="1358"/>
      <c r="AE1045" s="1358"/>
      <c r="AF1045" s="1358"/>
      <c r="AG1045" s="1358"/>
      <c r="AH1045" s="1358"/>
      <c r="AI1045" s="1358"/>
      <c r="AJ1045" s="1358"/>
      <c r="AK1045" s="1358"/>
      <c r="AL1045" s="1358"/>
      <c r="AM1045" s="1358"/>
      <c r="AN1045" s="1358"/>
      <c r="AO1045" s="1358"/>
      <c r="AP1045" s="1358"/>
      <c r="AQ1045" s="1358"/>
      <c r="AR1045" s="1358"/>
      <c r="AS1045" s="1358"/>
      <c r="AT1045" s="1358"/>
      <c r="AU1045" s="1358"/>
      <c r="AV1045" s="1358"/>
      <c r="AW1045" s="1358"/>
      <c r="AX1045" s="1358"/>
      <c r="AY1045" s="1358"/>
      <c r="AZ1045" s="1358"/>
      <c r="BA1045" s="1358"/>
      <c r="BB1045" s="1358"/>
      <c r="BC1045" s="1358"/>
      <c r="BD1045" s="1358"/>
      <c r="BE1045" s="1358"/>
      <c r="BF1045" s="1358"/>
      <c r="BG1045" s="1358"/>
      <c r="BH1045" s="1358"/>
      <c r="BI1045" s="1358"/>
      <c r="BJ1045" s="1358"/>
      <c r="BK1045" s="1358"/>
      <c r="BL1045" s="1358"/>
      <c r="BM1045" s="1358"/>
      <c r="BN1045" s="1358"/>
      <c r="BO1045" s="1358"/>
      <c r="BP1045" s="1358"/>
      <c r="BQ1045" s="1358"/>
      <c r="BR1045" s="1358"/>
      <c r="BS1045" s="1358"/>
      <c r="BT1045" s="1358"/>
      <c r="BU1045" s="1358"/>
      <c r="BV1045" s="1358"/>
      <c r="BW1045" s="1358"/>
      <c r="BX1045" s="1358"/>
      <c r="BY1045" s="1358"/>
      <c r="BZ1045" s="1358"/>
      <c r="CA1045" s="1358"/>
      <c r="CB1045" s="1358"/>
      <c r="CC1045" s="1358"/>
      <c r="CD1045" s="1358"/>
      <c r="CE1045" s="1358"/>
      <c r="CF1045" s="1358"/>
      <c r="CG1045" s="1358"/>
      <c r="CH1045" s="1358"/>
      <c r="CI1045" s="1358"/>
      <c r="CJ1045" s="1358"/>
      <c r="CK1045" s="1358"/>
      <c r="CL1045" s="1358"/>
      <c r="CM1045" s="1358"/>
      <c r="CN1045" s="1358"/>
      <c r="CO1045" s="1358"/>
      <c r="CP1045" s="1358"/>
      <c r="CQ1045" s="1358"/>
      <c r="CR1045" s="1358"/>
      <c r="CS1045" s="1358"/>
      <c r="CT1045" s="1358"/>
      <c r="CU1045" s="1358"/>
      <c r="CV1045" s="1358"/>
      <c r="CW1045" s="1358"/>
      <c r="CX1045" s="1358"/>
      <c r="CY1045" s="1358"/>
      <c r="CZ1045" s="1358"/>
      <c r="DA1045" s="1358"/>
      <c r="DB1045" s="1362"/>
      <c r="DC1045" s="1362"/>
      <c r="DD1045" s="1362"/>
      <c r="DE1045" s="1362"/>
      <c r="DF1045" s="1362"/>
      <c r="DG1045" s="1362"/>
      <c r="DH1045" s="1362"/>
      <c r="DI1045" s="1363"/>
      <c r="DJ1045" s="1362"/>
      <c r="DK1045" s="1362"/>
      <c r="DL1045" s="1362"/>
      <c r="DM1045" s="1362"/>
      <c r="DN1045" s="1362"/>
      <c r="DO1045" s="1362"/>
      <c r="DP1045" s="1362"/>
      <c r="DQ1045" s="1363"/>
      <c r="DR1045" s="1362"/>
      <c r="DS1045" s="1362"/>
      <c r="DT1045" s="1362"/>
      <c r="DU1045" s="1362"/>
      <c r="DV1045" s="1362"/>
      <c r="DW1045" s="1362"/>
      <c r="DX1045" s="1362"/>
      <c r="DY1045" s="1363"/>
      <c r="DZ1045" s="1362"/>
      <c r="EA1045" s="1362"/>
      <c r="EB1045" s="1362"/>
      <c r="EC1045" s="1362"/>
      <c r="ED1045" s="1362"/>
      <c r="EE1045" s="1362"/>
      <c r="EF1045" s="1362"/>
      <c r="EG1045" s="1363"/>
      <c r="EH1045" s="1362"/>
      <c r="EI1045" s="1362"/>
      <c r="EJ1045" s="1362"/>
      <c r="EK1045" s="1362"/>
      <c r="EL1045" s="1362"/>
      <c r="EM1045" s="1362"/>
      <c r="EN1045" s="1362"/>
      <c r="EO1045" s="1363"/>
      <c r="EP1045" s="1362"/>
      <c r="EQ1045" s="1362"/>
      <c r="ER1045" s="1362"/>
      <c r="ES1045" s="1362"/>
      <c r="ET1045" s="1362"/>
      <c r="EU1045" s="1362"/>
      <c r="EV1045" s="1362"/>
      <c r="JO1045" s="1362"/>
      <c r="JP1045" s="1362"/>
      <c r="JQ1045" s="1362"/>
      <c r="JR1045" s="1362"/>
      <c r="JS1045" s="1362"/>
      <c r="JT1045" s="1362"/>
      <c r="JU1045" s="1660"/>
    </row>
    <row r="1059" spans="1:281">
      <c r="C1059" s="1667"/>
      <c r="D1059" s="1667"/>
      <c r="E1059" s="1667"/>
      <c r="F1059" s="1667"/>
      <c r="G1059" s="1667"/>
      <c r="H1059" s="1667"/>
      <c r="I1059" s="1667"/>
      <c r="K1059" s="1667"/>
      <c r="L1059" s="1667"/>
      <c r="M1059" s="1667"/>
      <c r="N1059" s="1667"/>
      <c r="O1059" s="1667"/>
      <c r="P1059" s="1667"/>
      <c r="Q1059" s="1667"/>
      <c r="S1059" s="1667"/>
      <c r="T1059" s="1667"/>
      <c r="U1059" s="1667"/>
      <c r="V1059" s="1667"/>
      <c r="W1059" s="1667"/>
      <c r="X1059" s="1667"/>
      <c r="Y1059" s="1667"/>
      <c r="AA1059" s="1667"/>
      <c r="AB1059" s="1667"/>
      <c r="AC1059" s="1667"/>
      <c r="AD1059" s="1667"/>
      <c r="AE1059" s="1667"/>
      <c r="AF1059" s="1667"/>
      <c r="AG1059" s="1667"/>
      <c r="AI1059" s="1667"/>
      <c r="AJ1059" s="1667"/>
      <c r="AK1059" s="1667"/>
      <c r="AL1059" s="1667"/>
      <c r="AM1059" s="1667"/>
      <c r="AN1059" s="1667"/>
      <c r="AO1059" s="1667"/>
      <c r="AQ1059" s="1667"/>
      <c r="AR1059" s="1667"/>
      <c r="AS1059" s="1667"/>
      <c r="AT1059" s="1667"/>
      <c r="AU1059" s="1667"/>
      <c r="AV1059" s="1667"/>
      <c r="AW1059" s="1667"/>
      <c r="AY1059" s="1667"/>
      <c r="AZ1059" s="1667"/>
      <c r="BA1059" s="1667"/>
      <c r="BB1059" s="1667"/>
      <c r="BC1059" s="1667"/>
      <c r="BD1059" s="1667"/>
      <c r="BE1059" s="1667"/>
      <c r="BG1059" s="1667"/>
      <c r="BH1059" s="1667"/>
      <c r="BI1059" s="1667"/>
      <c r="BJ1059" s="1667"/>
      <c r="BK1059" s="1667"/>
      <c r="BL1059" s="1667"/>
      <c r="BM1059" s="1667"/>
      <c r="BO1059" s="1667"/>
      <c r="BP1059" s="1667"/>
      <c r="BQ1059" s="1667"/>
      <c r="BR1059" s="1667"/>
      <c r="BS1059" s="1667"/>
      <c r="BT1059" s="1667"/>
      <c r="BU1059" s="1667"/>
      <c r="BW1059" s="1667"/>
      <c r="BX1059" s="1667"/>
      <c r="BY1059" s="1667"/>
      <c r="BZ1059" s="1667"/>
      <c r="CA1059" s="1667"/>
      <c r="CB1059" s="1667"/>
      <c r="CC1059" s="1667"/>
      <c r="CE1059" s="1667"/>
      <c r="CF1059" s="1667"/>
      <c r="CG1059" s="1667"/>
      <c r="CH1059" s="1667"/>
      <c r="CI1059" s="1667"/>
      <c r="CJ1059" s="1667"/>
      <c r="CK1059" s="1667"/>
      <c r="CM1059" s="1667"/>
      <c r="CN1059" s="1667"/>
      <c r="CO1059" s="1667"/>
      <c r="CP1059" s="1667"/>
      <c r="CQ1059" s="1667"/>
      <c r="CR1059" s="1667"/>
      <c r="CS1059" s="1667"/>
      <c r="CT1059" s="1667"/>
      <c r="CU1059" s="1667"/>
      <c r="CV1059" s="1667"/>
      <c r="CW1059" s="1667"/>
      <c r="CX1059" s="1667"/>
      <c r="CY1059" s="1667"/>
      <c r="CZ1059" s="1667"/>
      <c r="DA1059" s="1667"/>
      <c r="DB1059" s="1668"/>
      <c r="DC1059" s="1668"/>
      <c r="DD1059" s="1668"/>
      <c r="DE1059" s="1668"/>
      <c r="DF1059" s="1668"/>
      <c r="DG1059" s="1668"/>
      <c r="DH1059" s="1668"/>
      <c r="DI1059" s="1669"/>
      <c r="DJ1059" s="1668"/>
      <c r="DK1059" s="1668"/>
      <c r="DL1059" s="1668"/>
      <c r="DM1059" s="1668"/>
      <c r="DN1059" s="1668"/>
      <c r="DO1059" s="1668"/>
      <c r="DP1059" s="1668"/>
      <c r="DQ1059" s="1669"/>
      <c r="DR1059" s="1668"/>
      <c r="DS1059" s="1668"/>
      <c r="DT1059" s="1668"/>
      <c r="DU1059" s="1668"/>
      <c r="DV1059" s="1668"/>
      <c r="DW1059" s="1668"/>
      <c r="DX1059" s="1668"/>
      <c r="DY1059" s="1669"/>
      <c r="DZ1059" s="1668"/>
      <c r="EA1059" s="1668"/>
      <c r="EB1059" s="1668"/>
      <c r="EC1059" s="1668"/>
      <c r="ED1059" s="1668"/>
      <c r="EE1059" s="1668"/>
      <c r="EF1059" s="1668"/>
      <c r="EG1059" s="1669"/>
      <c r="EH1059" s="1668"/>
      <c r="EI1059" s="1668"/>
      <c r="EJ1059" s="1668"/>
      <c r="EK1059" s="1668"/>
      <c r="EL1059" s="1668"/>
      <c r="EM1059" s="1668"/>
      <c r="EN1059" s="1668"/>
      <c r="EO1059" s="1669"/>
      <c r="EP1059" s="1668"/>
      <c r="EQ1059" s="1668"/>
      <c r="ER1059" s="1668"/>
      <c r="ES1059" s="1668"/>
      <c r="ET1059" s="1668"/>
      <c r="EU1059" s="1668"/>
      <c r="EV1059" s="1668"/>
      <c r="JO1059" s="1668"/>
      <c r="JP1059" s="1668"/>
      <c r="JQ1059" s="1668"/>
      <c r="JR1059" s="1668"/>
      <c r="JS1059" s="1668"/>
      <c r="JT1059" s="1668"/>
      <c r="JU1059" s="1670"/>
    </row>
    <row r="1060" spans="1:281">
      <c r="A1060" s="1671"/>
      <c r="C1060" s="1667"/>
      <c r="D1060" s="1667"/>
      <c r="E1060" s="1667"/>
      <c r="F1060" s="1667"/>
      <c r="G1060" s="1667"/>
      <c r="H1060" s="1667"/>
      <c r="I1060" s="1667"/>
      <c r="K1060" s="1667"/>
      <c r="L1060" s="1667"/>
      <c r="M1060" s="1667"/>
      <c r="N1060" s="1667"/>
      <c r="O1060" s="1667"/>
      <c r="P1060" s="1667"/>
      <c r="Q1060" s="1667"/>
      <c r="S1060" s="1667"/>
      <c r="T1060" s="1667"/>
      <c r="U1060" s="1667"/>
      <c r="V1060" s="1667"/>
      <c r="W1060" s="1667"/>
      <c r="X1060" s="1667"/>
      <c r="Y1060" s="1667"/>
      <c r="AA1060" s="1667"/>
      <c r="AB1060" s="1667"/>
      <c r="AC1060" s="1667"/>
      <c r="AD1060" s="1667"/>
      <c r="AE1060" s="1667"/>
      <c r="AF1060" s="1667"/>
      <c r="AG1060" s="1667"/>
      <c r="AI1060" s="1667"/>
      <c r="AJ1060" s="1667"/>
      <c r="AK1060" s="1667"/>
      <c r="AL1060" s="1667"/>
      <c r="AM1060" s="1667"/>
      <c r="AN1060" s="1667"/>
      <c r="AO1060" s="1667"/>
      <c r="AQ1060" s="1667"/>
      <c r="AR1060" s="1667"/>
      <c r="AS1060" s="1667"/>
      <c r="AT1060" s="1667"/>
      <c r="AU1060" s="1667"/>
      <c r="AV1060" s="1667"/>
      <c r="AW1060" s="1667"/>
      <c r="AY1060" s="1667"/>
      <c r="AZ1060" s="1667"/>
      <c r="BA1060" s="1667"/>
      <c r="BB1060" s="1667"/>
      <c r="BC1060" s="1667"/>
      <c r="BD1060" s="1667"/>
      <c r="BE1060" s="1667"/>
      <c r="BG1060" s="1667"/>
      <c r="BH1060" s="1667"/>
      <c r="BI1060" s="1667"/>
      <c r="BJ1060" s="1667"/>
      <c r="BK1060" s="1667"/>
      <c r="BL1060" s="1667"/>
      <c r="BM1060" s="1667"/>
      <c r="BO1060" s="1667"/>
      <c r="BP1060" s="1667"/>
      <c r="BQ1060" s="1667"/>
      <c r="BR1060" s="1667"/>
      <c r="BS1060" s="1667"/>
      <c r="BT1060" s="1667"/>
      <c r="BU1060" s="1667"/>
      <c r="BW1060" s="1667"/>
      <c r="BX1060" s="1667"/>
      <c r="BY1060" s="1667"/>
      <c r="BZ1060" s="1667"/>
      <c r="CA1060" s="1667"/>
      <c r="CB1060" s="1667"/>
      <c r="CC1060" s="1667"/>
      <c r="CE1060" s="1667"/>
      <c r="CF1060" s="1667"/>
      <c r="CG1060" s="1667"/>
      <c r="CH1060" s="1667"/>
      <c r="CI1060" s="1667"/>
      <c r="CJ1060" s="1667"/>
      <c r="CK1060" s="1667"/>
      <c r="CM1060" s="1667"/>
      <c r="CN1060" s="1667"/>
      <c r="CO1060" s="1667"/>
      <c r="CP1060" s="1667"/>
      <c r="CQ1060" s="1667"/>
      <c r="CR1060" s="1667"/>
      <c r="CS1060" s="1667"/>
      <c r="CT1060" s="1667"/>
      <c r="CU1060" s="1667"/>
      <c r="CV1060" s="1667"/>
      <c r="CW1060" s="1667"/>
      <c r="CX1060" s="1667"/>
      <c r="CY1060" s="1667"/>
      <c r="CZ1060" s="1667"/>
      <c r="DA1060" s="1667"/>
      <c r="DB1060" s="1668"/>
      <c r="DC1060" s="1668"/>
      <c r="DD1060" s="1668"/>
      <c r="DE1060" s="1668"/>
      <c r="DF1060" s="1668"/>
      <c r="DG1060" s="1668"/>
      <c r="DH1060" s="1668"/>
      <c r="DI1060" s="1669"/>
      <c r="DJ1060" s="1668"/>
      <c r="DK1060" s="1668"/>
      <c r="DL1060" s="1668"/>
      <c r="DM1060" s="1668"/>
      <c r="DN1060" s="1668"/>
      <c r="DO1060" s="1668"/>
      <c r="DP1060" s="1668"/>
      <c r="DQ1060" s="1669"/>
      <c r="DR1060" s="1668"/>
      <c r="DS1060" s="1668"/>
      <c r="DT1060" s="1668"/>
      <c r="DU1060" s="1668"/>
      <c r="DV1060" s="1668"/>
      <c r="DW1060" s="1668"/>
      <c r="DX1060" s="1668"/>
      <c r="DY1060" s="1669"/>
      <c r="DZ1060" s="1668"/>
      <c r="EA1060" s="1668"/>
      <c r="EB1060" s="1668"/>
      <c r="EC1060" s="1668"/>
      <c r="ED1060" s="1668"/>
      <c r="EE1060" s="1668"/>
      <c r="EF1060" s="1668"/>
      <c r="EG1060" s="1669"/>
      <c r="EH1060" s="1668"/>
      <c r="EI1060" s="1668"/>
      <c r="EJ1060" s="1668"/>
      <c r="EK1060" s="1668"/>
      <c r="EL1060" s="1668"/>
      <c r="EM1060" s="1668"/>
      <c r="EN1060" s="1668"/>
      <c r="EO1060" s="1669"/>
      <c r="EP1060" s="1668"/>
      <c r="EQ1060" s="1668"/>
      <c r="ER1060" s="1668"/>
      <c r="ES1060" s="1668"/>
      <c r="ET1060" s="1668"/>
      <c r="EU1060" s="1668"/>
      <c r="EV1060" s="1668"/>
      <c r="JO1060" s="1668"/>
      <c r="JP1060" s="1668"/>
      <c r="JQ1060" s="1668"/>
      <c r="JR1060" s="1668"/>
      <c r="JS1060" s="1668"/>
      <c r="JT1060" s="1668"/>
      <c r="JU1060" s="1670"/>
    </row>
    <row r="1061" spans="1:281">
      <c r="A1061" s="1672"/>
      <c r="C1061" s="1667"/>
      <c r="D1061" s="1667"/>
      <c r="E1061" s="1667"/>
      <c r="F1061" s="1667"/>
      <c r="G1061" s="1667"/>
      <c r="H1061" s="1667"/>
      <c r="I1061" s="1667"/>
      <c r="K1061" s="1667"/>
      <c r="L1061" s="1667"/>
      <c r="M1061" s="1667"/>
      <c r="N1061" s="1667"/>
      <c r="O1061" s="1667"/>
      <c r="P1061" s="1667"/>
      <c r="Q1061" s="1667"/>
      <c r="S1061" s="1667"/>
      <c r="T1061" s="1667"/>
      <c r="U1061" s="1667"/>
      <c r="V1061" s="1667"/>
      <c r="W1061" s="1667"/>
      <c r="X1061" s="1667"/>
      <c r="Y1061" s="1667"/>
      <c r="AA1061" s="1667"/>
      <c r="AB1061" s="1667"/>
      <c r="AC1061" s="1667"/>
      <c r="AD1061" s="1667"/>
      <c r="AE1061" s="1667"/>
      <c r="AF1061" s="1667"/>
      <c r="AG1061" s="1667"/>
      <c r="AI1061" s="1667"/>
      <c r="AJ1061" s="1667"/>
      <c r="AK1061" s="1667"/>
      <c r="AL1061" s="1667"/>
      <c r="AM1061" s="1667"/>
      <c r="AN1061" s="1667"/>
      <c r="AO1061" s="1667"/>
      <c r="AQ1061" s="1667"/>
      <c r="AR1061" s="1667"/>
      <c r="AS1061" s="1667"/>
      <c r="AT1061" s="1667"/>
      <c r="AU1061" s="1667"/>
      <c r="AV1061" s="1667"/>
      <c r="AW1061" s="1667"/>
      <c r="AY1061" s="1667"/>
      <c r="AZ1061" s="1667"/>
      <c r="BA1061" s="1667"/>
      <c r="BB1061" s="1667"/>
      <c r="BC1061" s="1667"/>
      <c r="BD1061" s="1667"/>
      <c r="BE1061" s="1667"/>
      <c r="BG1061" s="1667"/>
      <c r="BH1061" s="1667"/>
      <c r="BI1061" s="1667"/>
      <c r="BJ1061" s="1667"/>
      <c r="BK1061" s="1667"/>
      <c r="BL1061" s="1667"/>
      <c r="BM1061" s="1667"/>
      <c r="BO1061" s="1667"/>
      <c r="BP1061" s="1667"/>
      <c r="BQ1061" s="1667"/>
      <c r="BR1061" s="1667"/>
      <c r="BS1061" s="1667"/>
      <c r="BT1061" s="1667"/>
      <c r="BU1061" s="1667"/>
      <c r="BW1061" s="1667"/>
      <c r="BX1061" s="1667"/>
      <c r="BY1061" s="1667"/>
      <c r="BZ1061" s="1667"/>
      <c r="CA1061" s="1667"/>
      <c r="CB1061" s="1667"/>
      <c r="CC1061" s="1667"/>
      <c r="CE1061" s="1667"/>
      <c r="CF1061" s="1667"/>
      <c r="CG1061" s="1667"/>
      <c r="CH1061" s="1667"/>
      <c r="CI1061" s="1667"/>
      <c r="CJ1061" s="1667"/>
      <c r="CK1061" s="1667"/>
      <c r="CM1061" s="1667"/>
      <c r="CN1061" s="1667"/>
      <c r="CO1061" s="1667"/>
      <c r="CP1061" s="1667"/>
      <c r="CQ1061" s="1667"/>
      <c r="CR1061" s="1667"/>
      <c r="CS1061" s="1667"/>
      <c r="CT1061" s="1667"/>
      <c r="CU1061" s="1667"/>
      <c r="CV1061" s="1667"/>
      <c r="CW1061" s="1667"/>
      <c r="CX1061" s="1667"/>
      <c r="CY1061" s="1667"/>
      <c r="CZ1061" s="1667"/>
      <c r="DA1061" s="1667"/>
      <c r="DB1061" s="1668"/>
      <c r="DC1061" s="1668"/>
      <c r="DD1061" s="1668"/>
      <c r="DE1061" s="1668"/>
      <c r="DF1061" s="1668"/>
      <c r="DG1061" s="1668"/>
      <c r="DH1061" s="1668"/>
      <c r="DI1061" s="1669"/>
      <c r="DJ1061" s="1668"/>
      <c r="DK1061" s="1668"/>
      <c r="DL1061" s="1668"/>
      <c r="DM1061" s="1668"/>
      <c r="DN1061" s="1668"/>
      <c r="DO1061" s="1668"/>
      <c r="DP1061" s="1668"/>
      <c r="DQ1061" s="1669"/>
      <c r="DR1061" s="1668"/>
      <c r="DS1061" s="1668"/>
      <c r="DT1061" s="1668"/>
      <c r="DU1061" s="1668"/>
      <c r="DV1061" s="1668"/>
      <c r="DW1061" s="1668"/>
      <c r="DX1061" s="1668"/>
      <c r="DY1061" s="1669"/>
      <c r="DZ1061" s="1668"/>
      <c r="EA1061" s="1668"/>
      <c r="EB1061" s="1668"/>
      <c r="EC1061" s="1668"/>
      <c r="ED1061" s="1668"/>
      <c r="EE1061" s="1668"/>
      <c r="EF1061" s="1668"/>
      <c r="EG1061" s="1669"/>
      <c r="EH1061" s="1668"/>
      <c r="EI1061" s="1668"/>
      <c r="EJ1061" s="1668"/>
      <c r="EK1061" s="1668"/>
      <c r="EL1061" s="1668"/>
      <c r="EM1061" s="1668"/>
      <c r="EN1061" s="1668"/>
      <c r="EO1061" s="1669"/>
      <c r="EP1061" s="1668"/>
      <c r="EQ1061" s="1668"/>
      <c r="ER1061" s="1668"/>
      <c r="ES1061" s="1668"/>
      <c r="ET1061" s="1668"/>
      <c r="EU1061" s="1668"/>
      <c r="EV1061" s="1668"/>
      <c r="JO1061" s="1668"/>
      <c r="JP1061" s="1668"/>
      <c r="JQ1061" s="1668"/>
      <c r="JR1061" s="1668"/>
      <c r="JS1061" s="1668"/>
      <c r="JT1061" s="1668"/>
      <c r="JU1061" s="1670"/>
    </row>
    <row r="1062" spans="1:281">
      <c r="A1062" s="1672"/>
      <c r="C1062" s="1667"/>
      <c r="D1062" s="1667"/>
      <c r="E1062" s="1667"/>
      <c r="F1062" s="1667"/>
      <c r="G1062" s="1667"/>
      <c r="H1062" s="1667"/>
      <c r="I1062" s="1667"/>
      <c r="K1062" s="1667"/>
      <c r="L1062" s="1667"/>
      <c r="M1062" s="1667"/>
      <c r="N1062" s="1667"/>
      <c r="O1062" s="1667"/>
      <c r="P1062" s="1667"/>
      <c r="Q1062" s="1667"/>
      <c r="S1062" s="1667"/>
      <c r="T1062" s="1667"/>
      <c r="U1062" s="1667"/>
      <c r="V1062" s="1667"/>
      <c r="W1062" s="1667"/>
      <c r="X1062" s="1667"/>
      <c r="Y1062" s="1667"/>
      <c r="AA1062" s="1667"/>
      <c r="AB1062" s="1667"/>
      <c r="AC1062" s="1667"/>
      <c r="AD1062" s="1667"/>
      <c r="AE1062" s="1667"/>
      <c r="AF1062" s="1667"/>
      <c r="AG1062" s="1667"/>
      <c r="AI1062" s="1667"/>
      <c r="AJ1062" s="1667"/>
      <c r="AK1062" s="1667"/>
      <c r="AL1062" s="1667"/>
      <c r="AM1062" s="1667"/>
      <c r="AN1062" s="1667"/>
      <c r="AO1062" s="1667"/>
      <c r="AQ1062" s="1667"/>
      <c r="AR1062" s="1667"/>
      <c r="AS1062" s="1667"/>
      <c r="AT1062" s="1667"/>
      <c r="AU1062" s="1667"/>
      <c r="AV1062" s="1667"/>
      <c r="AW1062" s="1667"/>
      <c r="AY1062" s="1667"/>
      <c r="AZ1062" s="1667"/>
      <c r="BA1062" s="1667"/>
      <c r="BB1062" s="1667"/>
      <c r="BC1062" s="1667"/>
      <c r="BD1062" s="1667"/>
      <c r="BE1062" s="1667"/>
      <c r="BG1062" s="1667"/>
      <c r="BH1062" s="1667"/>
      <c r="BI1062" s="1667"/>
      <c r="BJ1062" s="1667"/>
      <c r="BK1062" s="1667"/>
      <c r="BL1062" s="1667"/>
      <c r="BM1062" s="1667"/>
      <c r="BO1062" s="1667"/>
      <c r="BP1062" s="1667"/>
      <c r="BQ1062" s="1667"/>
      <c r="BR1062" s="1667"/>
      <c r="BS1062" s="1667"/>
      <c r="BT1062" s="1667"/>
      <c r="BU1062" s="1667"/>
      <c r="BW1062" s="1667"/>
      <c r="BX1062" s="1667"/>
      <c r="BY1062" s="1667"/>
      <c r="BZ1062" s="1667"/>
      <c r="CA1062" s="1667"/>
      <c r="CB1062" s="1667"/>
      <c r="CC1062" s="1667"/>
      <c r="CE1062" s="1667"/>
      <c r="CF1062" s="1667"/>
      <c r="CG1062" s="1667"/>
      <c r="CH1062" s="1667"/>
      <c r="CI1062" s="1667"/>
      <c r="CJ1062" s="1667"/>
      <c r="CK1062" s="1667"/>
      <c r="CM1062" s="1667"/>
      <c r="CN1062" s="1667"/>
      <c r="CO1062" s="1667"/>
      <c r="CP1062" s="1667"/>
      <c r="CQ1062" s="1667"/>
      <c r="CR1062" s="1667"/>
      <c r="CS1062" s="1667"/>
      <c r="CT1062" s="1667"/>
      <c r="CU1062" s="1667"/>
      <c r="CV1062" s="1667"/>
      <c r="CW1062" s="1667"/>
      <c r="CX1062" s="1667"/>
      <c r="CY1062" s="1667"/>
      <c r="CZ1062" s="1667"/>
      <c r="DA1062" s="1667"/>
      <c r="DB1062" s="1668"/>
      <c r="DC1062" s="1668"/>
      <c r="DD1062" s="1668"/>
      <c r="DE1062" s="1668"/>
      <c r="DF1062" s="1668"/>
      <c r="DG1062" s="1668"/>
      <c r="DH1062" s="1668"/>
      <c r="DI1062" s="1669"/>
      <c r="DJ1062" s="1668"/>
      <c r="DK1062" s="1668"/>
      <c r="DL1062" s="1668"/>
      <c r="DM1062" s="1668"/>
      <c r="DN1062" s="1668"/>
      <c r="DO1062" s="1668"/>
      <c r="DP1062" s="1668"/>
      <c r="DQ1062" s="1669"/>
      <c r="DR1062" s="1668"/>
      <c r="DS1062" s="1668"/>
      <c r="DT1062" s="1668"/>
      <c r="DU1062" s="1668"/>
      <c r="DV1062" s="1668"/>
      <c r="DW1062" s="1668"/>
      <c r="DX1062" s="1668"/>
      <c r="DY1062" s="1669"/>
      <c r="DZ1062" s="1668"/>
      <c r="EA1062" s="1668"/>
      <c r="EB1062" s="1668"/>
      <c r="EC1062" s="1668"/>
      <c r="ED1062" s="1668"/>
      <c r="EE1062" s="1668"/>
      <c r="EF1062" s="1668"/>
      <c r="EG1062" s="1669"/>
      <c r="EH1062" s="1668"/>
      <c r="EI1062" s="1668"/>
      <c r="EJ1062" s="1668"/>
      <c r="EK1062" s="1668"/>
      <c r="EL1062" s="1668"/>
      <c r="EM1062" s="1668"/>
      <c r="EN1062" s="1668"/>
      <c r="EO1062" s="1669"/>
      <c r="EP1062" s="1668"/>
      <c r="EQ1062" s="1668"/>
      <c r="ER1062" s="1668"/>
      <c r="ES1062" s="1668"/>
      <c r="ET1062" s="1668"/>
      <c r="EU1062" s="1668"/>
      <c r="EV1062" s="1668"/>
      <c r="JO1062" s="1668"/>
      <c r="JP1062" s="1668"/>
      <c r="JQ1062" s="1668"/>
      <c r="JR1062" s="1668"/>
      <c r="JS1062" s="1668"/>
      <c r="JT1062" s="1668"/>
      <c r="JU1062" s="1670"/>
    </row>
    <row r="1063" spans="1:281">
      <c r="A1063" s="1672"/>
      <c r="C1063" s="1667"/>
      <c r="D1063" s="1667"/>
      <c r="E1063" s="1667"/>
      <c r="F1063" s="1667"/>
      <c r="G1063" s="1667"/>
      <c r="H1063" s="1667"/>
      <c r="I1063" s="1667"/>
      <c r="K1063" s="1667"/>
      <c r="L1063" s="1667"/>
      <c r="M1063" s="1667"/>
      <c r="N1063" s="1667"/>
      <c r="O1063" s="1667"/>
      <c r="P1063" s="1667"/>
      <c r="Q1063" s="1667"/>
      <c r="S1063" s="1667"/>
      <c r="T1063" s="1667"/>
      <c r="U1063" s="1667"/>
      <c r="V1063" s="1667"/>
      <c r="W1063" s="1667"/>
      <c r="X1063" s="1667"/>
      <c r="Y1063" s="1667"/>
      <c r="AA1063" s="1667"/>
      <c r="AB1063" s="1667"/>
      <c r="AC1063" s="1667"/>
      <c r="AD1063" s="1667"/>
      <c r="AE1063" s="1667"/>
      <c r="AF1063" s="1667"/>
      <c r="AG1063" s="1667"/>
      <c r="AI1063" s="1667"/>
      <c r="AJ1063" s="1667"/>
      <c r="AK1063" s="1667"/>
      <c r="AL1063" s="1667"/>
      <c r="AM1063" s="1667"/>
      <c r="AN1063" s="1667"/>
      <c r="AO1063" s="1667"/>
      <c r="AQ1063" s="1667"/>
      <c r="AR1063" s="1667"/>
      <c r="AS1063" s="1667"/>
      <c r="AT1063" s="1667"/>
      <c r="AU1063" s="1667"/>
      <c r="AV1063" s="1667"/>
      <c r="AW1063" s="1667"/>
      <c r="AY1063" s="1667"/>
      <c r="AZ1063" s="1667"/>
      <c r="BA1063" s="1667"/>
      <c r="BB1063" s="1667"/>
      <c r="BC1063" s="1667"/>
      <c r="BD1063" s="1667"/>
      <c r="BE1063" s="1667"/>
      <c r="BG1063" s="1667"/>
      <c r="BH1063" s="1667"/>
      <c r="BI1063" s="1667"/>
      <c r="BJ1063" s="1667"/>
      <c r="BK1063" s="1667"/>
      <c r="BL1063" s="1667"/>
      <c r="BM1063" s="1667"/>
      <c r="BO1063" s="1667"/>
      <c r="BP1063" s="1667"/>
      <c r="BQ1063" s="1667"/>
      <c r="BR1063" s="1667"/>
      <c r="BS1063" s="1667"/>
      <c r="BT1063" s="1667"/>
      <c r="BU1063" s="1667"/>
      <c r="BW1063" s="1667"/>
      <c r="BX1063" s="1667"/>
      <c r="BY1063" s="1667"/>
      <c r="BZ1063" s="1667"/>
      <c r="CA1063" s="1667"/>
      <c r="CB1063" s="1667"/>
      <c r="CC1063" s="1667"/>
      <c r="CE1063" s="1667"/>
      <c r="CF1063" s="1667"/>
      <c r="CG1063" s="1667"/>
      <c r="CH1063" s="1667"/>
      <c r="CI1063" s="1667"/>
      <c r="CJ1063" s="1667"/>
      <c r="CK1063" s="1667"/>
      <c r="CM1063" s="1667"/>
      <c r="CN1063" s="1667"/>
      <c r="CO1063" s="1667"/>
      <c r="CP1063" s="1667"/>
      <c r="CQ1063" s="1667"/>
      <c r="CR1063" s="1667"/>
      <c r="CS1063" s="1667"/>
      <c r="CT1063" s="1667"/>
      <c r="CU1063" s="1667"/>
      <c r="CV1063" s="1667"/>
      <c r="CW1063" s="1667"/>
      <c r="CX1063" s="1667"/>
      <c r="CY1063" s="1667"/>
      <c r="CZ1063" s="1667"/>
      <c r="DA1063" s="1667"/>
      <c r="DB1063" s="1668"/>
      <c r="DC1063" s="1668"/>
      <c r="DD1063" s="1668"/>
      <c r="DE1063" s="1668"/>
      <c r="DF1063" s="1668"/>
      <c r="DG1063" s="1668"/>
      <c r="DH1063" s="1668"/>
      <c r="DI1063" s="1669"/>
      <c r="DJ1063" s="1668"/>
      <c r="DK1063" s="1668"/>
      <c r="DL1063" s="1668"/>
      <c r="DM1063" s="1668"/>
      <c r="DN1063" s="1668"/>
      <c r="DO1063" s="1668"/>
      <c r="DP1063" s="1668"/>
      <c r="DQ1063" s="1669"/>
      <c r="DR1063" s="1668"/>
      <c r="DS1063" s="1668"/>
      <c r="DT1063" s="1668"/>
      <c r="DU1063" s="1668"/>
      <c r="DV1063" s="1668"/>
      <c r="DW1063" s="1668"/>
      <c r="DX1063" s="1668"/>
      <c r="DY1063" s="1669"/>
      <c r="DZ1063" s="1668"/>
      <c r="EA1063" s="1668"/>
      <c r="EB1063" s="1668"/>
      <c r="EC1063" s="1668"/>
      <c r="ED1063" s="1668"/>
      <c r="EE1063" s="1668"/>
      <c r="EF1063" s="1668"/>
      <c r="EG1063" s="1669"/>
      <c r="EH1063" s="1668"/>
      <c r="EI1063" s="1668"/>
      <c r="EJ1063" s="1668"/>
      <c r="EK1063" s="1668"/>
      <c r="EL1063" s="1668"/>
      <c r="EM1063" s="1668"/>
      <c r="EN1063" s="1668"/>
      <c r="EO1063" s="1669"/>
      <c r="EP1063" s="1668"/>
      <c r="EQ1063" s="1668"/>
      <c r="ER1063" s="1668"/>
      <c r="ES1063" s="1668"/>
      <c r="ET1063" s="1668"/>
      <c r="EU1063" s="1668"/>
      <c r="EV1063" s="1668"/>
      <c r="JO1063" s="1668"/>
      <c r="JP1063" s="1668"/>
      <c r="JQ1063" s="1668"/>
      <c r="JR1063" s="1668"/>
      <c r="JS1063" s="1668"/>
      <c r="JT1063" s="1668"/>
      <c r="JU1063" s="1670"/>
    </row>
    <row r="1064" spans="1:281">
      <c r="A1064" s="1672"/>
      <c r="C1064" s="1667"/>
      <c r="D1064" s="1667"/>
      <c r="E1064" s="1667"/>
      <c r="F1064" s="1667"/>
      <c r="G1064" s="1667"/>
      <c r="H1064" s="1667"/>
      <c r="I1064" s="1667"/>
      <c r="K1064" s="1667"/>
      <c r="L1064" s="1667"/>
      <c r="M1064" s="1667"/>
      <c r="N1064" s="1667"/>
      <c r="O1064" s="1667"/>
      <c r="P1064" s="1667"/>
      <c r="Q1064" s="1667"/>
      <c r="S1064" s="1667"/>
      <c r="T1064" s="1667"/>
      <c r="U1064" s="1667"/>
      <c r="V1064" s="1667"/>
      <c r="W1064" s="1667"/>
      <c r="X1064" s="1667"/>
      <c r="Y1064" s="1667"/>
      <c r="AA1064" s="1667"/>
      <c r="AB1064" s="1667"/>
      <c r="AC1064" s="1667"/>
      <c r="AD1064" s="1667"/>
      <c r="AE1064" s="1667"/>
      <c r="AF1064" s="1667"/>
      <c r="AG1064" s="1667"/>
      <c r="AI1064" s="1667"/>
      <c r="AJ1064" s="1667"/>
      <c r="AK1064" s="1667"/>
      <c r="AL1064" s="1667"/>
      <c r="AM1064" s="1667"/>
      <c r="AN1064" s="1667"/>
      <c r="AO1064" s="1667"/>
      <c r="AQ1064" s="1667"/>
      <c r="AR1064" s="1667"/>
      <c r="AS1064" s="1667"/>
      <c r="AT1064" s="1667"/>
      <c r="AU1064" s="1667"/>
      <c r="AV1064" s="1667"/>
      <c r="AW1064" s="1667"/>
      <c r="AY1064" s="1667"/>
      <c r="AZ1064" s="1667"/>
      <c r="BA1064" s="1667"/>
      <c r="BB1064" s="1667"/>
      <c r="BC1064" s="1667"/>
      <c r="BD1064" s="1667"/>
      <c r="BE1064" s="1667"/>
      <c r="BG1064" s="1667"/>
      <c r="BH1064" s="1667"/>
      <c r="BI1064" s="1667"/>
      <c r="BJ1064" s="1667"/>
      <c r="BK1064" s="1667"/>
      <c r="BL1064" s="1667"/>
      <c r="BM1064" s="1667"/>
      <c r="BO1064" s="1667"/>
      <c r="BP1064" s="1667"/>
      <c r="BQ1064" s="1667"/>
      <c r="BR1064" s="1667"/>
      <c r="BS1064" s="1667"/>
      <c r="BT1064" s="1667"/>
      <c r="BU1064" s="1667"/>
      <c r="BW1064" s="1667"/>
      <c r="BX1064" s="1667"/>
      <c r="BY1064" s="1667"/>
      <c r="BZ1064" s="1667"/>
      <c r="CA1064" s="1667"/>
      <c r="CB1064" s="1667"/>
      <c r="CC1064" s="1667"/>
      <c r="CE1064" s="1667"/>
      <c r="CF1064" s="1667"/>
      <c r="CG1064" s="1667"/>
      <c r="CH1064" s="1667"/>
      <c r="CI1064" s="1667"/>
      <c r="CJ1064" s="1667"/>
      <c r="CK1064" s="1667"/>
      <c r="CM1064" s="1667"/>
      <c r="CN1064" s="1667"/>
      <c r="CO1064" s="1667"/>
      <c r="CP1064" s="1667"/>
      <c r="CQ1064" s="1667"/>
      <c r="CR1064" s="1667"/>
      <c r="CS1064" s="1667"/>
      <c r="CT1064" s="1667"/>
      <c r="CU1064" s="1667"/>
      <c r="CV1064" s="1667"/>
      <c r="CW1064" s="1667"/>
      <c r="CX1064" s="1667"/>
      <c r="CY1064" s="1667"/>
      <c r="CZ1064" s="1667"/>
      <c r="DA1064" s="1667"/>
      <c r="DB1064" s="1668"/>
      <c r="DC1064" s="1668"/>
      <c r="DD1064" s="1668"/>
      <c r="DE1064" s="1668"/>
      <c r="DF1064" s="1668"/>
      <c r="DG1064" s="1668"/>
      <c r="DH1064" s="1668"/>
      <c r="DI1064" s="1669"/>
      <c r="DJ1064" s="1668"/>
      <c r="DK1064" s="1668"/>
      <c r="DL1064" s="1668"/>
      <c r="DM1064" s="1668"/>
      <c r="DN1064" s="1668"/>
      <c r="DO1064" s="1668"/>
      <c r="DP1064" s="1668"/>
      <c r="DQ1064" s="1669"/>
      <c r="DR1064" s="1668"/>
      <c r="DS1064" s="1668"/>
      <c r="DT1064" s="1668"/>
      <c r="DU1064" s="1668"/>
      <c r="DV1064" s="1668"/>
      <c r="DW1064" s="1668"/>
      <c r="DX1064" s="1668"/>
      <c r="DY1064" s="1669"/>
      <c r="DZ1064" s="1668"/>
      <c r="EA1064" s="1668"/>
      <c r="EB1064" s="1668"/>
      <c r="EC1064" s="1668"/>
      <c r="ED1064" s="1668"/>
      <c r="EE1064" s="1668"/>
      <c r="EF1064" s="1668"/>
      <c r="EG1064" s="1669"/>
      <c r="EH1064" s="1668"/>
      <c r="EI1064" s="1668"/>
      <c r="EJ1064" s="1668"/>
      <c r="EK1064" s="1668"/>
      <c r="EL1064" s="1668"/>
      <c r="EM1064" s="1668"/>
      <c r="EN1064" s="1668"/>
      <c r="EO1064" s="1669"/>
      <c r="EP1064" s="1668"/>
      <c r="EQ1064" s="1668"/>
      <c r="ER1064" s="1668"/>
      <c r="ES1064" s="1668"/>
      <c r="ET1064" s="1668"/>
      <c r="EU1064" s="1668"/>
      <c r="EV1064" s="1668"/>
      <c r="JO1064" s="1668"/>
      <c r="JP1064" s="1668"/>
      <c r="JQ1064" s="1668"/>
      <c r="JR1064" s="1668"/>
      <c r="JS1064" s="1668"/>
      <c r="JT1064" s="1668"/>
      <c r="JU1064" s="1670"/>
    </row>
    <row r="1065" spans="1:281">
      <c r="A1065" s="1672"/>
      <c r="C1065" s="1667"/>
      <c r="D1065" s="1667"/>
      <c r="E1065" s="1667"/>
      <c r="F1065" s="1667"/>
      <c r="G1065" s="1667"/>
      <c r="H1065" s="1667"/>
      <c r="I1065" s="1667"/>
      <c r="K1065" s="1667"/>
      <c r="L1065" s="1667"/>
      <c r="M1065" s="1667"/>
      <c r="N1065" s="1667"/>
      <c r="O1065" s="1667"/>
      <c r="P1065" s="1667"/>
      <c r="Q1065" s="1667"/>
      <c r="S1065" s="1667"/>
      <c r="T1065" s="1667"/>
      <c r="U1065" s="1667"/>
      <c r="V1065" s="1667"/>
      <c r="W1065" s="1667"/>
      <c r="X1065" s="1667"/>
      <c r="Y1065" s="1667"/>
      <c r="AA1065" s="1667"/>
      <c r="AB1065" s="1667"/>
      <c r="AC1065" s="1667"/>
      <c r="AD1065" s="1667"/>
      <c r="AE1065" s="1667"/>
      <c r="AF1065" s="1667"/>
      <c r="AG1065" s="1667"/>
      <c r="AI1065" s="1667"/>
      <c r="AJ1065" s="1667"/>
      <c r="AK1065" s="1667"/>
      <c r="AL1065" s="1667"/>
      <c r="AM1065" s="1667"/>
      <c r="AN1065" s="1667"/>
      <c r="AO1065" s="1667"/>
      <c r="AQ1065" s="1667"/>
      <c r="AR1065" s="1667"/>
      <c r="AS1065" s="1667"/>
      <c r="AT1065" s="1667"/>
      <c r="AU1065" s="1667"/>
      <c r="AV1065" s="1667"/>
      <c r="AW1065" s="1667"/>
      <c r="AY1065" s="1667"/>
      <c r="AZ1065" s="1667"/>
      <c r="BA1065" s="1667"/>
      <c r="BB1065" s="1667"/>
      <c r="BC1065" s="1667"/>
      <c r="BD1065" s="1667"/>
      <c r="BE1065" s="1667"/>
      <c r="BG1065" s="1667"/>
      <c r="BH1065" s="1667"/>
      <c r="BI1065" s="1667"/>
      <c r="BJ1065" s="1667"/>
      <c r="BK1065" s="1667"/>
      <c r="BL1065" s="1667"/>
      <c r="BM1065" s="1667"/>
      <c r="BO1065" s="1667"/>
      <c r="BP1065" s="1667"/>
      <c r="BQ1065" s="1667"/>
      <c r="BR1065" s="1667"/>
      <c r="BS1065" s="1667"/>
      <c r="BT1065" s="1667"/>
      <c r="BU1065" s="1667"/>
      <c r="BW1065" s="1667"/>
      <c r="BX1065" s="1667"/>
      <c r="BY1065" s="1667"/>
      <c r="BZ1065" s="1667"/>
      <c r="CA1065" s="1667"/>
      <c r="CB1065" s="1667"/>
      <c r="CC1065" s="1667"/>
      <c r="CE1065" s="1667"/>
      <c r="CF1065" s="1667"/>
      <c r="CG1065" s="1667"/>
      <c r="CH1065" s="1667"/>
      <c r="CI1065" s="1667"/>
      <c r="CJ1065" s="1667"/>
      <c r="CK1065" s="1667"/>
      <c r="CM1065" s="1667"/>
      <c r="CN1065" s="1667"/>
      <c r="CO1065" s="1667"/>
      <c r="CP1065" s="1667"/>
      <c r="CQ1065" s="1667"/>
      <c r="CR1065" s="1667"/>
      <c r="CS1065" s="1667"/>
      <c r="CT1065" s="1667"/>
      <c r="CU1065" s="1667"/>
      <c r="CV1065" s="1667"/>
      <c r="CW1065" s="1667"/>
      <c r="CX1065" s="1667"/>
      <c r="CY1065" s="1667"/>
      <c r="CZ1065" s="1667"/>
      <c r="DA1065" s="1667"/>
      <c r="DB1065" s="1668"/>
      <c r="DC1065" s="1668"/>
      <c r="DD1065" s="1668"/>
      <c r="DE1065" s="1668"/>
      <c r="DF1065" s="1668"/>
      <c r="DG1065" s="1668"/>
      <c r="DH1065" s="1668"/>
      <c r="DI1065" s="1669"/>
      <c r="DJ1065" s="1668"/>
      <c r="DK1065" s="1668"/>
      <c r="DL1065" s="1668"/>
      <c r="DM1065" s="1668"/>
      <c r="DN1065" s="1668"/>
      <c r="DO1065" s="1668"/>
      <c r="DP1065" s="1668"/>
      <c r="DQ1065" s="1669"/>
      <c r="DR1065" s="1668"/>
      <c r="DS1065" s="1668"/>
      <c r="DT1065" s="1668"/>
      <c r="DU1065" s="1668"/>
      <c r="DV1065" s="1668"/>
      <c r="DW1065" s="1668"/>
      <c r="DX1065" s="1668"/>
      <c r="DY1065" s="1669"/>
      <c r="DZ1065" s="1668"/>
      <c r="EA1065" s="1668"/>
      <c r="EB1065" s="1668"/>
      <c r="EC1065" s="1668"/>
      <c r="ED1065" s="1668"/>
      <c r="EE1065" s="1668"/>
      <c r="EF1065" s="1668"/>
      <c r="EG1065" s="1669"/>
      <c r="EH1065" s="1668"/>
      <c r="EI1065" s="1668"/>
      <c r="EJ1065" s="1668"/>
      <c r="EK1065" s="1668"/>
      <c r="EL1065" s="1668"/>
      <c r="EM1065" s="1668"/>
      <c r="EN1065" s="1668"/>
      <c r="EO1065" s="1669"/>
      <c r="EP1065" s="1668"/>
      <c r="EQ1065" s="1668"/>
      <c r="ER1065" s="1668"/>
      <c r="ES1065" s="1668"/>
      <c r="ET1065" s="1668"/>
      <c r="EU1065" s="1668"/>
      <c r="EV1065" s="1668"/>
      <c r="JO1065" s="1668"/>
      <c r="JP1065" s="1668"/>
      <c r="JQ1065" s="1668"/>
      <c r="JR1065" s="1668"/>
      <c r="JS1065" s="1668"/>
      <c r="JT1065" s="1668"/>
      <c r="JU1065" s="1670"/>
    </row>
    <row r="1066" spans="1:281">
      <c r="A1066" s="1672"/>
      <c r="C1066" s="1667"/>
      <c r="D1066" s="1667"/>
      <c r="E1066" s="1667"/>
      <c r="F1066" s="1667"/>
      <c r="G1066" s="1667"/>
      <c r="H1066" s="1667"/>
      <c r="I1066" s="1667"/>
      <c r="K1066" s="1667"/>
      <c r="L1066" s="1667"/>
      <c r="M1066" s="1667"/>
      <c r="N1066" s="1667"/>
      <c r="O1066" s="1667"/>
      <c r="P1066" s="1667"/>
      <c r="Q1066" s="1667"/>
      <c r="S1066" s="1667"/>
      <c r="T1066" s="1667"/>
      <c r="U1066" s="1667"/>
      <c r="V1066" s="1667"/>
      <c r="W1066" s="1667"/>
      <c r="X1066" s="1667"/>
      <c r="Y1066" s="1667"/>
      <c r="AA1066" s="1667"/>
      <c r="AB1066" s="1667"/>
      <c r="AC1066" s="1667"/>
      <c r="AD1066" s="1667"/>
      <c r="AE1066" s="1667"/>
      <c r="AF1066" s="1667"/>
      <c r="AG1066" s="1667"/>
      <c r="AI1066" s="1667"/>
      <c r="AJ1066" s="1667"/>
      <c r="AK1066" s="1667"/>
      <c r="AL1066" s="1667"/>
      <c r="AM1066" s="1667"/>
      <c r="AN1066" s="1667"/>
      <c r="AO1066" s="1667"/>
      <c r="AQ1066" s="1667"/>
      <c r="AR1066" s="1667"/>
      <c r="AS1066" s="1667"/>
      <c r="AT1066" s="1667"/>
      <c r="AU1066" s="1667"/>
      <c r="AV1066" s="1667"/>
      <c r="AW1066" s="1667"/>
      <c r="AY1066" s="1667"/>
      <c r="AZ1066" s="1667"/>
      <c r="BA1066" s="1667"/>
      <c r="BB1066" s="1667"/>
      <c r="BC1066" s="1667"/>
      <c r="BD1066" s="1667"/>
      <c r="BE1066" s="1667"/>
      <c r="BG1066" s="1667"/>
      <c r="BH1066" s="1667"/>
      <c r="BI1066" s="1667"/>
      <c r="BJ1066" s="1667"/>
      <c r="BK1066" s="1667"/>
      <c r="BL1066" s="1667"/>
      <c r="BM1066" s="1667"/>
      <c r="BO1066" s="1667"/>
      <c r="BP1066" s="1667"/>
      <c r="BQ1066" s="1667"/>
      <c r="BR1066" s="1667"/>
      <c r="BS1066" s="1667"/>
      <c r="BT1066" s="1667"/>
      <c r="BU1066" s="1667"/>
      <c r="BW1066" s="1667"/>
      <c r="BX1066" s="1667"/>
      <c r="BY1066" s="1667"/>
      <c r="BZ1066" s="1667"/>
      <c r="CA1066" s="1667"/>
      <c r="CB1066" s="1667"/>
      <c r="CC1066" s="1667"/>
      <c r="CE1066" s="1667"/>
      <c r="CF1066" s="1667"/>
      <c r="CG1066" s="1667"/>
      <c r="CH1066" s="1667"/>
      <c r="CI1066" s="1667"/>
      <c r="CJ1066" s="1667"/>
      <c r="CK1066" s="1667"/>
      <c r="CM1066" s="1667"/>
      <c r="CN1066" s="1667"/>
      <c r="CO1066" s="1667"/>
      <c r="CP1066" s="1667"/>
      <c r="CQ1066" s="1667"/>
      <c r="CR1066" s="1667"/>
      <c r="CS1066" s="1667"/>
      <c r="CT1066" s="1667"/>
      <c r="CU1066" s="1667"/>
      <c r="CV1066" s="1667"/>
      <c r="CW1066" s="1667"/>
      <c r="CX1066" s="1667"/>
      <c r="CY1066" s="1667"/>
      <c r="CZ1066" s="1667"/>
      <c r="DA1066" s="1667"/>
      <c r="DB1066" s="1668"/>
      <c r="DC1066" s="1668"/>
      <c r="DD1066" s="1668"/>
      <c r="DE1066" s="1668"/>
      <c r="DF1066" s="1668"/>
      <c r="DG1066" s="1668"/>
      <c r="DH1066" s="1668"/>
      <c r="DI1066" s="1669"/>
      <c r="DJ1066" s="1668"/>
      <c r="DK1066" s="1668"/>
      <c r="DL1066" s="1668"/>
      <c r="DM1066" s="1668"/>
      <c r="DN1066" s="1668"/>
      <c r="DO1066" s="1668"/>
      <c r="DP1066" s="1668"/>
      <c r="DQ1066" s="1669"/>
      <c r="DR1066" s="1668"/>
      <c r="DS1066" s="1668"/>
      <c r="DT1066" s="1668"/>
      <c r="DU1066" s="1668"/>
      <c r="DV1066" s="1668"/>
      <c r="DW1066" s="1668"/>
      <c r="DX1066" s="1668"/>
      <c r="DY1066" s="1669"/>
      <c r="DZ1066" s="1668"/>
      <c r="EA1066" s="1668"/>
      <c r="EB1066" s="1668"/>
      <c r="EC1066" s="1668"/>
      <c r="ED1066" s="1668"/>
      <c r="EE1066" s="1668"/>
      <c r="EF1066" s="1668"/>
      <c r="EG1066" s="1669"/>
      <c r="EH1066" s="1668"/>
      <c r="EI1066" s="1668"/>
      <c r="EJ1066" s="1668"/>
      <c r="EK1066" s="1668"/>
      <c r="EL1066" s="1668"/>
      <c r="EM1066" s="1668"/>
      <c r="EN1066" s="1668"/>
      <c r="EO1066" s="1669"/>
      <c r="EP1066" s="1668"/>
      <c r="EQ1066" s="1668"/>
      <c r="ER1066" s="1668"/>
      <c r="ES1066" s="1668"/>
      <c r="ET1066" s="1668"/>
      <c r="EU1066" s="1668"/>
      <c r="EV1066" s="1668"/>
      <c r="JO1066" s="1668"/>
      <c r="JP1066" s="1668"/>
      <c r="JQ1066" s="1668"/>
      <c r="JR1066" s="1668"/>
      <c r="JS1066" s="1668"/>
      <c r="JT1066" s="1668"/>
      <c r="JU1066" s="1670"/>
    </row>
  </sheetData>
  <mergeCells count="20">
    <mergeCell ref="AX1:BE1"/>
    <mergeCell ref="BF1:BM1"/>
    <mergeCell ref="BN1:BU1"/>
    <mergeCell ref="BV1:CC1"/>
    <mergeCell ref="CD1:CK1"/>
    <mergeCell ref="CL1:CS1"/>
    <mergeCell ref="CT1:DA1"/>
    <mergeCell ref="DB1:DI1"/>
    <mergeCell ref="DJ1:DQ1"/>
    <mergeCell ref="DR1:DY1"/>
    <mergeCell ref="DZ1:EG1"/>
    <mergeCell ref="EH1:EO1"/>
    <mergeCell ref="EP1:EW1"/>
    <mergeCell ref="EX1:FE1"/>
    <mergeCell ref="FF1:FM1"/>
    <mergeCell ref="FN1:FU1"/>
    <mergeCell ref="FV1:GC1"/>
    <mergeCell ref="GD1:GK1"/>
    <mergeCell ref="FV167:GC167"/>
    <mergeCell ref="GD167:GK167"/>
  </mergeCells>
  <printOptions horizontalCentered="1" verticalCentered="1"/>
  <pageMargins left="0.12" right="0.23" top="0.24" bottom="0.196850393700787" header="0.19" footer="0.196850393700787"/>
  <pageSetup paperSize="1" scale="10" orientation="landscape" horizontalDpi="200" verticalDpi="200"/>
  <headerFooter alignWithMargins="0"/>
  <customProperties>
    <customPr name="Qube.Worksheet.Visibility" r:id="rId4"/>
  </customPropertie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2:CQ1128"/>
  <sheetViews>
    <sheetView zoomScale="90" zoomScaleNormal="90" topLeftCell="A1102" workbookViewId="0">
      <pane xSplit="2" topLeftCell="C1" activePane="topRight" state="frozen"/>
      <selection/>
      <selection pane="topRight" activeCell="D1123" sqref="D1123"/>
    </sheetView>
  </sheetViews>
  <sheetFormatPr defaultColWidth="9.14285714285714" defaultRowHeight="15.2"/>
  <cols>
    <col min="1" max="1" width="12.7142857142857" style="137" customWidth="1"/>
    <col min="2" max="2" width="19.2857142857143" style="137" customWidth="1"/>
    <col min="3" max="4" width="12.7142857142857" style="137" customWidth="1"/>
    <col min="5" max="5" width="10.1428571428571" style="137" customWidth="1"/>
    <col min="6" max="6" width="12.7142857142857" style="137" customWidth="1"/>
    <col min="7" max="7" width="10" style="137" customWidth="1"/>
    <col min="8" max="8" width="12.7142857142857" style="137" customWidth="1"/>
    <col min="9" max="10" width="6.42857142857143" style="137" customWidth="1"/>
    <col min="11" max="20" width="12.7142857142857" style="137" customWidth="1"/>
    <col min="21" max="21" width="12.4285714285714" style="137" customWidth="1"/>
    <col min="22" max="22" width="12.7142857142857" style="137" customWidth="1"/>
    <col min="23" max="23" width="16.7142857142857" style="137" customWidth="1"/>
    <col min="24" max="32" width="12.7142857142857" style="137" customWidth="1"/>
    <col min="33" max="34" width="12.7142857142857" style="137" hidden="1" customWidth="1"/>
    <col min="35" max="36" width="12.7142857142857" style="137" customWidth="1"/>
    <col min="37" max="37" width="12.7142857142857" style="137" hidden="1" customWidth="1"/>
    <col min="38" max="38" width="12.7142857142857" style="137" customWidth="1"/>
    <col min="39" max="39" width="12.7142857142857" style="137" hidden="1" customWidth="1"/>
    <col min="40" max="40" width="12.7142857142857" style="137" customWidth="1"/>
    <col min="41" max="42" width="12.7142857142857" style="137" hidden="1" customWidth="1"/>
    <col min="43" max="44" width="12.7142857142857" style="137" customWidth="1"/>
    <col min="45" max="45" width="12.7142857142857" style="137" hidden="1" customWidth="1"/>
    <col min="46" max="46" width="12.7142857142857" style="137" customWidth="1"/>
    <col min="47" max="47" width="12.7142857142857" style="137" hidden="1" customWidth="1"/>
    <col min="48" max="48" width="12.7142857142857" style="137" customWidth="1"/>
    <col min="49" max="50" width="12.7142857142857" style="137" hidden="1" customWidth="1"/>
    <col min="51" max="52" width="12.7142857142857" style="137" customWidth="1"/>
    <col min="53" max="53" width="12.7142857142857" style="137" hidden="1" customWidth="1"/>
    <col min="54" max="54" width="12.7142857142857" style="137" customWidth="1"/>
    <col min="55" max="55" width="12.7142857142857" style="137" hidden="1" customWidth="1"/>
    <col min="56" max="56" width="12.7142857142857" style="137" customWidth="1"/>
    <col min="57" max="58" width="12.7142857142857" style="137" hidden="1" customWidth="1"/>
    <col min="59" max="60" width="12.7142857142857" style="137" customWidth="1"/>
    <col min="61" max="61" width="12.7142857142857" style="137" hidden="1" customWidth="1"/>
    <col min="62" max="62" width="12.7142857142857" style="137" customWidth="1"/>
    <col min="63" max="63" width="12.7142857142857" style="137" hidden="1" customWidth="1"/>
    <col min="64" max="64" width="12.7142857142857" style="137" customWidth="1"/>
    <col min="65" max="66" width="12.7142857142857" style="137" hidden="1" customWidth="1"/>
    <col min="67" max="68" width="12.7142857142857" style="137" customWidth="1"/>
    <col min="69" max="69" width="12.7142857142857" style="137" hidden="1" customWidth="1"/>
    <col min="70" max="70" width="12.7142857142857" style="137" customWidth="1"/>
    <col min="71" max="71" width="5.57142857142857" style="137" hidden="1" customWidth="1"/>
    <col min="72" max="72" width="12.7142857142857" style="137" customWidth="1"/>
    <col min="73" max="73" width="6" style="137" hidden="1" customWidth="1"/>
    <col min="74" max="74" width="5.57142857142857" style="137" hidden="1" customWidth="1"/>
    <col min="75" max="76" width="32" style="137" customWidth="1"/>
    <col min="77" max="77" width="32" style="137" hidden="1" customWidth="1"/>
    <col min="78" max="78" width="32" style="137" customWidth="1"/>
    <col min="79" max="79" width="32" style="137" hidden="1" customWidth="1"/>
    <col min="80" max="80" width="32" style="137" customWidth="1"/>
    <col min="81" max="82" width="32" style="137" hidden="1" customWidth="1"/>
    <col min="83" max="84" width="32" style="137" customWidth="1"/>
    <col min="85" max="85" width="9.14285714285714" style="137" hidden="1" customWidth="1"/>
    <col min="86" max="16384" width="9.14285714285714" style="137"/>
  </cols>
  <sheetData>
    <row r="2" spans="2:95">
      <c r="B2" s="718"/>
      <c r="C2" s="716" t="s">
        <v>349</v>
      </c>
      <c r="D2" s="716" t="s">
        <v>350</v>
      </c>
      <c r="E2" s="716" t="s">
        <v>351</v>
      </c>
      <c r="F2" s="716" t="s">
        <v>352</v>
      </c>
      <c r="G2" s="716" t="s">
        <v>353</v>
      </c>
      <c r="H2" s="716" t="s">
        <v>354</v>
      </c>
      <c r="I2" s="716" t="s">
        <v>355</v>
      </c>
      <c r="J2" s="958" t="s">
        <v>27</v>
      </c>
      <c r="K2" s="958" t="s">
        <v>356</v>
      </c>
      <c r="L2" s="958" t="s">
        <v>357</v>
      </c>
      <c r="M2" s="958" t="s">
        <v>358</v>
      </c>
      <c r="N2" s="958" t="s">
        <v>359</v>
      </c>
      <c r="O2" s="958" t="s">
        <v>360</v>
      </c>
      <c r="P2" s="958" t="s">
        <v>361</v>
      </c>
      <c r="Q2" s="958" t="s">
        <v>362</v>
      </c>
      <c r="R2" s="958" t="s">
        <v>28</v>
      </c>
      <c r="S2" s="958" t="s">
        <v>363</v>
      </c>
      <c r="T2" s="958" t="s">
        <v>364</v>
      </c>
      <c r="U2" s="958" t="s">
        <v>365</v>
      </c>
      <c r="V2" s="958" t="s">
        <v>366</v>
      </c>
      <c r="W2" s="958" t="s">
        <v>367</v>
      </c>
      <c r="X2" s="958" t="s">
        <v>368</v>
      </c>
      <c r="Y2" s="958" t="s">
        <v>369</v>
      </c>
      <c r="Z2" s="958" t="s">
        <v>29</v>
      </c>
      <c r="AA2" s="958" t="s">
        <v>370</v>
      </c>
      <c r="AB2" s="958" t="s">
        <v>371</v>
      </c>
      <c r="AC2" s="958" t="s">
        <v>372</v>
      </c>
      <c r="AD2" s="958" t="s">
        <v>373</v>
      </c>
      <c r="AE2" s="958" t="s">
        <v>374</v>
      </c>
      <c r="AF2" s="958" t="s">
        <v>375</v>
      </c>
      <c r="AG2" s="958" t="s">
        <v>376</v>
      </c>
      <c r="AH2" s="958" t="s">
        <v>30</v>
      </c>
      <c r="AI2" s="958" t="s">
        <v>377</v>
      </c>
      <c r="AJ2" s="958" t="s">
        <v>378</v>
      </c>
      <c r="AK2" s="958" t="s">
        <v>379</v>
      </c>
      <c r="AL2" s="958" t="s">
        <v>380</v>
      </c>
      <c r="AM2" s="958" t="s">
        <v>381</v>
      </c>
      <c r="AN2" s="958" t="s">
        <v>382</v>
      </c>
      <c r="AO2" s="958" t="s">
        <v>383</v>
      </c>
      <c r="AP2" s="958" t="s">
        <v>31</v>
      </c>
      <c r="AQ2" s="958" t="s">
        <v>384</v>
      </c>
      <c r="AR2" s="958" t="s">
        <v>385</v>
      </c>
      <c r="AS2" s="958" t="s">
        <v>386</v>
      </c>
      <c r="AT2" s="958" t="s">
        <v>387</v>
      </c>
      <c r="AU2" s="958" t="s">
        <v>388</v>
      </c>
      <c r="AV2" s="958" t="s">
        <v>389</v>
      </c>
      <c r="AW2" s="958" t="s">
        <v>390</v>
      </c>
      <c r="AX2" s="958" t="s">
        <v>391</v>
      </c>
      <c r="AY2" s="958" t="s">
        <v>392</v>
      </c>
      <c r="AZ2" s="958" t="s">
        <v>393</v>
      </c>
      <c r="BA2" s="958" t="s">
        <v>394</v>
      </c>
      <c r="BB2" s="958" t="s">
        <v>395</v>
      </c>
      <c r="BC2" s="958" t="s">
        <v>396</v>
      </c>
      <c r="BD2" s="958" t="s">
        <v>397</v>
      </c>
      <c r="BE2" s="958" t="s">
        <v>398</v>
      </c>
      <c r="BF2" s="958" t="s">
        <v>399</v>
      </c>
      <c r="BG2" s="958" t="s">
        <v>400</v>
      </c>
      <c r="BH2" s="958" t="s">
        <v>401</v>
      </c>
      <c r="BI2" s="958" t="s">
        <v>402</v>
      </c>
      <c r="BJ2" s="958" t="s">
        <v>403</v>
      </c>
      <c r="BK2" s="958" t="s">
        <v>404</v>
      </c>
      <c r="BL2" s="958" t="s">
        <v>405</v>
      </c>
      <c r="BM2" s="958" t="s">
        <v>406</v>
      </c>
      <c r="BN2" s="958" t="s">
        <v>407</v>
      </c>
      <c r="BO2" s="958" t="s">
        <v>408</v>
      </c>
      <c r="BP2" s="958" t="s">
        <v>409</v>
      </c>
      <c r="BQ2" s="958" t="s">
        <v>410</v>
      </c>
      <c r="BR2" s="958" t="s">
        <v>411</v>
      </c>
      <c r="BS2" s="958" t="s">
        <v>412</v>
      </c>
      <c r="BT2" s="958" t="s">
        <v>413</v>
      </c>
      <c r="BU2" s="958" t="s">
        <v>414</v>
      </c>
      <c r="BV2" s="958" t="s">
        <v>415</v>
      </c>
      <c r="BW2" s="958" t="s">
        <v>416</v>
      </c>
      <c r="BX2" s="958" t="s">
        <v>417</v>
      </c>
      <c r="BY2" s="958" t="s">
        <v>418</v>
      </c>
      <c r="BZ2" s="958" t="s">
        <v>419</v>
      </c>
      <c r="CA2" s="958" t="s">
        <v>420</v>
      </c>
      <c r="CB2" s="958" t="s">
        <v>421</v>
      </c>
      <c r="CC2" s="958" t="s">
        <v>699</v>
      </c>
      <c r="CD2" s="958" t="s">
        <v>700</v>
      </c>
      <c r="CE2" s="958" t="s">
        <v>424</v>
      </c>
      <c r="CF2" s="958" t="s">
        <v>425</v>
      </c>
      <c r="CG2" s="958" t="s">
        <v>426</v>
      </c>
      <c r="CH2" s="958" t="s">
        <v>427</v>
      </c>
      <c r="CI2" s="958" t="s">
        <v>429</v>
      </c>
      <c r="CJ2" s="958" t="s">
        <v>432</v>
      </c>
      <c r="CK2" s="958" t="s">
        <v>433</v>
      </c>
      <c r="CL2" s="958" t="s">
        <v>435</v>
      </c>
      <c r="CM2" s="958" t="s">
        <v>437</v>
      </c>
      <c r="CN2" s="958" t="s">
        <v>701</v>
      </c>
      <c r="CO2" s="958" t="s">
        <v>702</v>
      </c>
      <c r="CP2" s="958" t="s">
        <v>703</v>
      </c>
      <c r="CQ2" s="958" t="s">
        <v>704</v>
      </c>
    </row>
    <row r="3" spans="2:95">
      <c r="B3" s="137" t="s">
        <v>60</v>
      </c>
      <c r="C3" s="811">
        <f>Interim!DB5</f>
        <v>1968</v>
      </c>
      <c r="D3" s="811">
        <f>Interim!DC5</f>
        <v>1755</v>
      </c>
      <c r="E3" s="811"/>
      <c r="F3" s="811">
        <f>Interim!DE5</f>
        <v>2241</v>
      </c>
      <c r="G3" s="811"/>
      <c r="H3" s="811">
        <f>Interim!DG5</f>
        <v>1794</v>
      </c>
      <c r="I3" s="811"/>
      <c r="J3" s="811"/>
      <c r="K3" s="811">
        <f>Interim!DJ5</f>
        <v>1874</v>
      </c>
      <c r="L3" s="811">
        <f>Interim!DK5</f>
        <v>1605</v>
      </c>
      <c r="M3" s="811"/>
      <c r="N3" s="811">
        <f>Interim!DM5</f>
        <v>2036</v>
      </c>
      <c r="O3" s="811"/>
      <c r="P3" s="811">
        <f>Interim!DO5</f>
        <v>1650</v>
      </c>
      <c r="Q3" s="811"/>
      <c r="R3" s="811"/>
      <c r="S3" s="811">
        <f>Interim!DR5</f>
        <v>1898</v>
      </c>
      <c r="T3" s="811">
        <f>Interim!DS5</f>
        <v>1928</v>
      </c>
      <c r="U3" s="811"/>
      <c r="V3" s="811">
        <f>Interim!DU5</f>
        <v>2421</v>
      </c>
      <c r="W3" s="811"/>
      <c r="X3" s="811">
        <f>Interim!DW5</f>
        <v>1934</v>
      </c>
      <c r="Y3" s="811"/>
      <c r="Z3" s="811"/>
      <c r="AA3" s="811">
        <f>Interim!DZ5</f>
        <v>2320</v>
      </c>
      <c r="AB3" s="811">
        <f>Interim!EA5</f>
        <v>1973</v>
      </c>
      <c r="AC3" s="811"/>
      <c r="AD3" s="811">
        <f>Interim!EC5</f>
        <v>2576</v>
      </c>
      <c r="AE3" s="811"/>
      <c r="AF3" s="811">
        <f>Interim!EE5</f>
        <v>2081</v>
      </c>
      <c r="AG3" s="811"/>
      <c r="AH3" s="811"/>
      <c r="AI3" s="811">
        <f>Interim!EH5</f>
        <v>2614</v>
      </c>
      <c r="AJ3" s="811">
        <f>Interim!EI5</f>
        <v>2113</v>
      </c>
      <c r="AK3" s="811"/>
      <c r="AL3" s="811">
        <f>Interim!EK5</f>
        <v>2743</v>
      </c>
      <c r="AM3" s="811"/>
      <c r="AN3" s="811">
        <f>Interim!EM5</f>
        <v>2063</v>
      </c>
      <c r="AO3" s="811"/>
      <c r="AP3" s="811"/>
      <c r="AQ3" s="811">
        <f>Interim!EP5</f>
        <v>2481</v>
      </c>
      <c r="AR3" s="811">
        <f>Interim!EQ5</f>
        <v>2014</v>
      </c>
      <c r="AS3" s="811"/>
      <c r="AT3" s="811">
        <f>Interim!ES5</f>
        <v>2553</v>
      </c>
      <c r="AU3" s="811"/>
      <c r="AV3" s="811">
        <f>Interim!EU5</f>
        <v>2052</v>
      </c>
      <c r="AW3" s="811"/>
      <c r="AX3" s="811"/>
      <c r="AY3" s="811">
        <f>Interim!EX5</f>
        <v>2357</v>
      </c>
      <c r="AZ3" s="811">
        <f>Interim!EY5</f>
        <v>2085</v>
      </c>
      <c r="BA3" s="811"/>
      <c r="BB3" s="811">
        <f>Interim!FA5</f>
        <v>2717</v>
      </c>
      <c r="BC3" s="811"/>
      <c r="BD3" s="811">
        <f>Interim!FC5</f>
        <v>2038.227403184</v>
      </c>
      <c r="BE3" s="811"/>
      <c r="BF3" s="811"/>
      <c r="BG3" s="811">
        <f>Interim!FF5</f>
        <v>2811</v>
      </c>
      <c r="BH3" s="811">
        <f>Interim!FG5</f>
        <v>2485</v>
      </c>
      <c r="BI3" s="811"/>
      <c r="BJ3" s="811">
        <f>Interim!FI5</f>
        <v>3311</v>
      </c>
      <c r="BK3" s="811"/>
      <c r="BL3" s="811">
        <f>Interim!FK5</f>
        <v>2620</v>
      </c>
      <c r="BM3" s="811"/>
      <c r="BN3" s="811"/>
      <c r="BO3" s="811">
        <f>Interim!FN5</f>
        <v>3339</v>
      </c>
      <c r="BP3" s="811">
        <f>Interim!FO5</f>
        <v>2869</v>
      </c>
      <c r="BQ3" s="811"/>
      <c r="BR3" s="811">
        <f>Interim!FQ5</f>
        <v>3716</v>
      </c>
      <c r="BS3" s="811"/>
      <c r="BT3" s="811">
        <f>Interim!FS5</f>
        <v>2888</v>
      </c>
      <c r="BU3" s="811"/>
      <c r="BV3" s="811"/>
      <c r="BW3" s="811">
        <f>Interim!FV5</f>
        <v>3959</v>
      </c>
      <c r="BX3" s="811">
        <f>Interim!FW5</f>
        <v>3373</v>
      </c>
      <c r="BY3" s="811"/>
      <c r="BZ3" s="811">
        <f>Interim!FY5</f>
        <v>4069</v>
      </c>
      <c r="CA3" s="811"/>
      <c r="CB3" s="811">
        <f>Interim!GA5</f>
        <v>3216</v>
      </c>
      <c r="CC3" s="811"/>
      <c r="CD3" s="811"/>
      <c r="CE3" s="811">
        <f>Interim!GD5</f>
        <v>4027</v>
      </c>
      <c r="CF3" s="811">
        <f>Interim!GE5</f>
        <v>3501</v>
      </c>
      <c r="CG3" s="811"/>
      <c r="CH3" s="811">
        <f>Interim!GG5</f>
        <v>3945</v>
      </c>
      <c r="CI3" s="811">
        <f>Interim!GI5</f>
        <v>3125</v>
      </c>
      <c r="CJ3" s="811">
        <f>Interim!GL5</f>
        <v>4093</v>
      </c>
      <c r="CK3" s="811">
        <f>Interim!GM5</f>
        <v>3512</v>
      </c>
      <c r="CL3" s="811">
        <f>Interim!GO5</f>
        <v>4288</v>
      </c>
      <c r="CM3" s="811">
        <f>Interim!GQ5</f>
        <v>3329</v>
      </c>
    </row>
    <row r="4" spans="2:95">
      <c r="B4" s="137" t="s">
        <v>62</v>
      </c>
      <c r="C4" s="811">
        <f>Interim!DB10</f>
        <v>360</v>
      </c>
      <c r="D4" s="811">
        <f>Interim!DC10</f>
        <v>423</v>
      </c>
      <c r="E4" s="811"/>
      <c r="F4" s="811">
        <f>Interim!DE10</f>
        <v>491</v>
      </c>
      <c r="G4" s="811"/>
      <c r="H4" s="811">
        <f>Interim!DG10</f>
        <v>464</v>
      </c>
      <c r="I4" s="811"/>
      <c r="J4" s="811"/>
      <c r="K4" s="811">
        <f>Interim!DJ10</f>
        <v>400</v>
      </c>
      <c r="L4" s="811">
        <f>Interim!DK10</f>
        <v>486</v>
      </c>
      <c r="M4" s="811"/>
      <c r="N4" s="811">
        <f>Interim!DM10</f>
        <v>524</v>
      </c>
      <c r="O4" s="811"/>
      <c r="P4" s="811">
        <f>Interim!DO10</f>
        <v>497</v>
      </c>
      <c r="Q4" s="811"/>
      <c r="R4" s="811"/>
      <c r="S4" s="811">
        <f>Interim!DR10</f>
        <v>459</v>
      </c>
      <c r="T4" s="811">
        <f>Interim!DS10</f>
        <v>602</v>
      </c>
      <c r="U4" s="811"/>
      <c r="V4" s="811">
        <f>Interim!DU10</f>
        <v>665</v>
      </c>
      <c r="W4" s="811"/>
      <c r="X4" s="811">
        <f>Interim!DW10</f>
        <v>663</v>
      </c>
      <c r="Y4" s="811"/>
      <c r="Z4" s="811"/>
      <c r="AA4" s="811">
        <f>Interim!DZ10</f>
        <v>577</v>
      </c>
      <c r="AB4" s="811">
        <f>Interim!EA10</f>
        <v>681</v>
      </c>
      <c r="AC4" s="811"/>
      <c r="AD4" s="811">
        <f>Interim!EC10</f>
        <v>757</v>
      </c>
      <c r="AE4" s="811"/>
      <c r="AF4" s="811">
        <f>Interim!EE10</f>
        <v>778</v>
      </c>
      <c r="AG4" s="811"/>
      <c r="AH4" s="811"/>
      <c r="AI4" s="811">
        <f>Interim!EH10</f>
        <v>693</v>
      </c>
      <c r="AJ4" s="811">
        <f>Interim!EI10</f>
        <v>854</v>
      </c>
      <c r="AK4" s="811"/>
      <c r="AL4" s="811">
        <f>Interim!EK10</f>
        <v>944</v>
      </c>
      <c r="AM4" s="811"/>
      <c r="AN4" s="811">
        <f>Interim!EM10</f>
        <v>882</v>
      </c>
      <c r="AO4" s="811"/>
      <c r="AP4" s="811"/>
      <c r="AQ4" s="811">
        <f>Interim!EP10</f>
        <v>722</v>
      </c>
      <c r="AR4" s="811">
        <f>Interim!EQ10</f>
        <v>867</v>
      </c>
      <c r="AS4" s="811"/>
      <c r="AT4" s="811">
        <f>Interim!ES10</f>
        <v>923</v>
      </c>
      <c r="AU4" s="811"/>
      <c r="AV4" s="811">
        <f>Interim!EU10</f>
        <v>934</v>
      </c>
      <c r="AW4" s="811"/>
      <c r="AX4" s="811"/>
      <c r="AY4" s="811">
        <f>Interim!EX10</f>
        <v>794</v>
      </c>
      <c r="AZ4" s="811">
        <f>Interim!EY10</f>
        <v>958</v>
      </c>
      <c r="BA4" s="811"/>
      <c r="BB4" s="811">
        <f>Interim!FA10</f>
        <v>1047</v>
      </c>
      <c r="BC4" s="811"/>
      <c r="BD4" s="811">
        <f>Interim!FC10</f>
        <v>1021.56519251861</v>
      </c>
      <c r="BE4" s="811"/>
      <c r="BF4" s="811"/>
      <c r="BG4" s="811">
        <f>Interim!FF10</f>
        <v>895</v>
      </c>
      <c r="BH4" s="811">
        <f>Interim!FG10</f>
        <v>1057</v>
      </c>
      <c r="BI4" s="811"/>
      <c r="BJ4" s="811">
        <f>Interim!FI10</f>
        <v>1104</v>
      </c>
      <c r="BK4" s="811"/>
      <c r="BL4" s="811">
        <f>Interim!FK10</f>
        <v>1165</v>
      </c>
      <c r="BM4" s="811"/>
      <c r="BN4" s="811"/>
      <c r="BO4" s="811">
        <f>Interim!FN10</f>
        <v>1034</v>
      </c>
      <c r="BP4" s="811">
        <f>Interim!FO10</f>
        <v>1177</v>
      </c>
      <c r="BQ4" s="811"/>
      <c r="BR4" s="811">
        <f>Interim!FQ10</f>
        <v>1330</v>
      </c>
      <c r="BS4" s="811"/>
      <c r="BT4" s="811">
        <f>Interim!FS10</f>
        <v>1462</v>
      </c>
      <c r="BU4" s="811"/>
      <c r="BV4" s="811"/>
      <c r="BW4" s="811">
        <f>Interim!FV10</f>
        <v>1290</v>
      </c>
      <c r="BX4" s="811">
        <f>Interim!FW10</f>
        <v>1467</v>
      </c>
      <c r="BY4" s="811"/>
      <c r="BZ4" s="811">
        <f>Interim!FY10</f>
        <v>1417</v>
      </c>
      <c r="CA4" s="811"/>
      <c r="CB4" s="811">
        <f>Interim!GA10</f>
        <v>1686</v>
      </c>
      <c r="CC4" s="811"/>
      <c r="CD4" s="811"/>
      <c r="CE4" s="811">
        <f>Interim!GD10</f>
        <v>1331</v>
      </c>
      <c r="CF4" s="811">
        <f>Interim!GE10</f>
        <v>1571</v>
      </c>
      <c r="CG4" s="811"/>
      <c r="CH4" s="811">
        <f>Interim!GG10</f>
        <v>1698</v>
      </c>
      <c r="CI4" s="811">
        <f>Interim!GI10</f>
        <v>1888</v>
      </c>
      <c r="CJ4" s="811">
        <f>Interim!GL10</f>
        <v>1595</v>
      </c>
      <c r="CK4" s="811">
        <f>Interim!GM10</f>
        <v>1850</v>
      </c>
      <c r="CL4" s="811">
        <f>Interim!GO10</f>
        <v>1960</v>
      </c>
      <c r="CM4" s="811">
        <f>Interim!GQ10</f>
        <v>2409</v>
      </c>
    </row>
    <row r="5" spans="2:95">
      <c r="B5" s="137" t="s">
        <v>64</v>
      </c>
      <c r="C5" s="811">
        <f>Interim!DB21</f>
        <v>285</v>
      </c>
      <c r="D5" s="811">
        <f>Interim!DC21</f>
        <v>336</v>
      </c>
      <c r="E5" s="811"/>
      <c r="F5" s="811">
        <f>Interim!DE21</f>
        <v>347</v>
      </c>
      <c r="G5" s="811"/>
      <c r="H5" s="811">
        <f>Interim!DG21</f>
        <v>318</v>
      </c>
      <c r="I5" s="811"/>
      <c r="J5" s="811"/>
      <c r="K5" s="811">
        <f>Interim!DJ21</f>
        <v>295</v>
      </c>
      <c r="L5" s="811">
        <f>Interim!DK21</f>
        <v>362</v>
      </c>
      <c r="M5" s="811"/>
      <c r="N5" s="811">
        <f>Interim!DM21</f>
        <v>326</v>
      </c>
      <c r="O5" s="811"/>
      <c r="P5" s="811">
        <f>Interim!DO21</f>
        <v>308</v>
      </c>
      <c r="Q5" s="811"/>
      <c r="R5" s="811"/>
      <c r="S5" s="811">
        <f>Interim!DR21</f>
        <v>316</v>
      </c>
      <c r="T5" s="811">
        <f>Interim!DS21</f>
        <v>387</v>
      </c>
      <c r="U5" s="811"/>
      <c r="V5" s="811">
        <f>Interim!DU21</f>
        <v>382</v>
      </c>
      <c r="W5" s="811"/>
      <c r="X5" s="811">
        <f>Interim!DW21</f>
        <v>335</v>
      </c>
      <c r="Y5" s="811"/>
      <c r="Z5" s="811"/>
      <c r="AA5" s="811">
        <f>Interim!DZ21</f>
        <v>376</v>
      </c>
      <c r="AB5" s="811">
        <f>Interim!EA21</f>
        <v>410</v>
      </c>
      <c r="AC5" s="811"/>
      <c r="AD5" s="811">
        <f>Interim!EC21</f>
        <v>411</v>
      </c>
      <c r="AE5" s="811"/>
      <c r="AF5" s="811">
        <f>Interim!EE21</f>
        <v>382</v>
      </c>
      <c r="AG5" s="811"/>
      <c r="AH5" s="811"/>
      <c r="AI5" s="811">
        <f>Interim!EH21</f>
        <v>517</v>
      </c>
      <c r="AJ5" s="811">
        <f>Interim!EI21</f>
        <v>550</v>
      </c>
      <c r="AK5" s="811"/>
      <c r="AL5" s="811">
        <f>Interim!EK21</f>
        <v>486</v>
      </c>
      <c r="AM5" s="811"/>
      <c r="AN5" s="811">
        <f>Interim!EM21</f>
        <v>424</v>
      </c>
      <c r="AO5" s="811"/>
      <c r="AP5" s="811"/>
      <c r="AQ5" s="811">
        <f>Interim!EP21</f>
        <v>548</v>
      </c>
      <c r="AR5" s="811">
        <f>Interim!EQ21</f>
        <v>502</v>
      </c>
      <c r="AS5" s="811"/>
      <c r="AT5" s="811">
        <f>Interim!ES21</f>
        <v>403</v>
      </c>
      <c r="AU5" s="811"/>
      <c r="AV5" s="811">
        <f>Interim!EU21</f>
        <v>493</v>
      </c>
      <c r="AW5" s="811"/>
      <c r="AX5" s="811"/>
      <c r="AY5" s="811">
        <f>Interim!EX21</f>
        <v>382</v>
      </c>
      <c r="AZ5" s="811">
        <f>Interim!EY21</f>
        <v>422</v>
      </c>
      <c r="BA5" s="811"/>
      <c r="BB5" s="811">
        <f>Interim!FA21</f>
        <v>354</v>
      </c>
      <c r="BC5" s="811"/>
      <c r="BD5" s="811">
        <f>Interim!FC21</f>
        <v>366</v>
      </c>
      <c r="BE5" s="811"/>
      <c r="BF5" s="811"/>
      <c r="BG5" s="811">
        <f>Interim!FF21</f>
        <v>377</v>
      </c>
      <c r="BH5" s="811">
        <f>Interim!FG21</f>
        <v>365</v>
      </c>
      <c r="BI5" s="811"/>
      <c r="BJ5" s="811">
        <f>Interim!FI21</f>
        <v>342</v>
      </c>
      <c r="BK5" s="811"/>
      <c r="BL5" s="811">
        <f>Interim!FK21</f>
        <v>383</v>
      </c>
      <c r="BM5" s="811"/>
      <c r="BN5" s="811"/>
      <c r="BO5" s="811">
        <f>Interim!FN21</f>
        <v>396</v>
      </c>
      <c r="BP5" s="811">
        <f>Interim!FO21</f>
        <v>377</v>
      </c>
      <c r="BQ5" s="811"/>
      <c r="BR5" s="811">
        <f>Interim!FQ21</f>
        <v>366</v>
      </c>
      <c r="BS5" s="811"/>
      <c r="BT5" s="811">
        <f>Interim!FS21</f>
        <v>336</v>
      </c>
      <c r="BU5" s="811"/>
      <c r="BV5" s="811"/>
      <c r="BW5" s="811">
        <f>Interim!FV21</f>
        <v>197</v>
      </c>
      <c r="BX5" s="811">
        <f>Interim!FW21</f>
        <v>198</v>
      </c>
      <c r="BY5" s="811"/>
      <c r="BZ5" s="811">
        <f>Interim!FY21</f>
        <v>192</v>
      </c>
      <c r="CA5" s="811"/>
      <c r="CB5" s="811">
        <f>Interim!GA21</f>
        <v>154</v>
      </c>
      <c r="CC5" s="811"/>
      <c r="CD5" s="811"/>
      <c r="CE5" s="811">
        <f>Interim!GD21</f>
        <v>190</v>
      </c>
      <c r="CF5" s="811">
        <f>Interim!GE21</f>
        <v>189</v>
      </c>
      <c r="CG5" s="811"/>
      <c r="CH5" s="811">
        <f>Interim!GG21</f>
        <v>230</v>
      </c>
      <c r="CI5" s="811">
        <f>Interim!GI21</f>
        <v>220</v>
      </c>
      <c r="CJ5" s="811">
        <f>Interim!GL21</f>
        <v>195</v>
      </c>
      <c r="CK5" s="811">
        <f>Interim!GM21</f>
        <v>147</v>
      </c>
      <c r="CL5" s="811">
        <f>Interim!GO21</f>
        <v>162</v>
      </c>
      <c r="CM5" s="811">
        <f>Interim!GQ21</f>
        <v>101</v>
      </c>
    </row>
    <row r="6" spans="2:95">
      <c r="B6" s="137" t="s">
        <v>705</v>
      </c>
      <c r="C6" s="140"/>
      <c r="D6" s="140"/>
      <c r="E6" s="140"/>
      <c r="F6" s="140"/>
      <c r="G6" s="140"/>
      <c r="H6" s="140"/>
      <c r="I6" s="140"/>
      <c r="J6" s="140"/>
      <c r="K6" s="140">
        <f>Interim!DJ8</f>
        <v>-0.08</v>
      </c>
      <c r="L6" s="140">
        <f>Interim!DK8</f>
        <v>-0.13</v>
      </c>
      <c r="M6" s="140"/>
      <c r="N6" s="140">
        <f>Interim!DM8</f>
        <v>-0.09</v>
      </c>
      <c r="O6" s="140"/>
      <c r="P6" s="140">
        <f>Interim!DO8</f>
        <v>-0.04</v>
      </c>
      <c r="Q6" s="140"/>
      <c r="R6" s="140"/>
      <c r="S6" s="140">
        <f>Interim!DR8</f>
        <v>0.01</v>
      </c>
      <c r="T6" s="140">
        <f>Interim!DS8</f>
        <v>0.121</v>
      </c>
      <c r="U6" s="140"/>
      <c r="V6" s="140">
        <f>Interim!DU8</f>
        <v>0.096</v>
      </c>
      <c r="W6" s="140"/>
      <c r="X6" s="140">
        <f>Interim!DW8</f>
        <v>0.076</v>
      </c>
      <c r="Y6" s="140"/>
      <c r="Z6" s="140"/>
      <c r="AA6" s="140">
        <f>Interim!DZ8</f>
        <v>0.18</v>
      </c>
      <c r="AB6" s="140">
        <f>Interim!EA8</f>
        <v>0.06</v>
      </c>
      <c r="AC6" s="140"/>
      <c r="AD6" s="140">
        <f>Interim!EC8</f>
        <v>0.1</v>
      </c>
      <c r="AE6" s="140"/>
      <c r="AF6" s="140">
        <f>Interim!EE8</f>
        <v>0.09</v>
      </c>
      <c r="AG6" s="140"/>
      <c r="AH6" s="140"/>
      <c r="AI6" s="140">
        <f>Interim!EH8</f>
        <v>0.1</v>
      </c>
      <c r="AJ6" s="140">
        <f>Interim!EI8</f>
        <v>0.01</v>
      </c>
      <c r="AK6" s="140"/>
      <c r="AL6" s="140">
        <f>Interim!EK8</f>
        <v>0.004</v>
      </c>
      <c r="AM6" s="140"/>
      <c r="AN6" s="140">
        <f>Interim!EM8</f>
        <v>-0.036</v>
      </c>
      <c r="AO6" s="140"/>
      <c r="AP6" s="140"/>
      <c r="AQ6" s="140">
        <f>Interim!EP8</f>
        <v>-0.032</v>
      </c>
      <c r="AR6" s="140">
        <f>Interim!EQ8</f>
        <v>-0.01</v>
      </c>
      <c r="AS6" s="140"/>
      <c r="AT6" s="140">
        <f>Interim!ES8</f>
        <v>-0.008</v>
      </c>
      <c r="AU6" s="140"/>
      <c r="AV6" s="140">
        <f>Interim!EU8</f>
        <v>0.079</v>
      </c>
      <c r="AW6" s="140"/>
      <c r="AX6" s="140"/>
      <c r="AY6" s="140">
        <f>Interim!EX8</f>
        <v>0.006</v>
      </c>
      <c r="AZ6" s="140">
        <f>Interim!EY8</f>
        <v>0.101</v>
      </c>
      <c r="BA6" s="140"/>
      <c r="BB6" s="140">
        <f>Interim!FA8</f>
        <v>0.085</v>
      </c>
      <c r="BC6" s="140"/>
      <c r="BD6" s="140">
        <f>Interim!FC8</f>
        <v>0.05</v>
      </c>
      <c r="BE6" s="140"/>
      <c r="BF6" s="140"/>
      <c r="BG6" s="140">
        <f>Interim!FF8</f>
        <v>0.0853279587827344</v>
      </c>
      <c r="BH6" s="140">
        <f>Interim!FG8</f>
        <v>0.0700776182350177</v>
      </c>
      <c r="BI6" s="140"/>
      <c r="BJ6" s="140">
        <f>Interim!FI8</f>
        <v>0.140246479196268</v>
      </c>
      <c r="BK6" s="140"/>
      <c r="BL6" s="140">
        <f>Interim!FK8</f>
        <v>0.142284206301323</v>
      </c>
      <c r="BM6" s="140"/>
      <c r="BN6" s="140"/>
      <c r="BO6" s="140">
        <f>Interim!FN8</f>
        <v>0.232453930985414</v>
      </c>
      <c r="BP6" s="140">
        <f>Interim!FO8</f>
        <v>0.227762575452716</v>
      </c>
      <c r="BQ6" s="140"/>
      <c r="BR6" s="140">
        <f>Interim!FQ8</f>
        <v>0.160805496828753</v>
      </c>
      <c r="BS6" s="140"/>
      <c r="BT6" s="140">
        <f>Interim!FS8</f>
        <v>0.12782786259542</v>
      </c>
      <c r="BU6" s="140"/>
      <c r="BV6" s="140"/>
      <c r="BW6" s="140">
        <f>Interim!FV8</f>
        <v>0.174028451632225</v>
      </c>
      <c r="BX6" s="140">
        <f>Interim!FW8</f>
        <v>0.178712443360056</v>
      </c>
      <c r="BY6" s="140"/>
      <c r="BZ6" s="140">
        <f>Interim!FY8</f>
        <v>0.134276032404413</v>
      </c>
      <c r="CA6" s="140"/>
      <c r="CB6" s="140">
        <f>Interim!GA8</f>
        <v>0.154144736842105</v>
      </c>
      <c r="CC6" s="140"/>
      <c r="CD6" s="140"/>
      <c r="CE6" s="140">
        <f>Interim!GD8</f>
        <v>0.102419802980551</v>
      </c>
      <c r="CF6" s="140">
        <f>Interim!GE8</f>
        <v>0.105625259412985</v>
      </c>
      <c r="CG6" s="140"/>
      <c r="CH6" s="140">
        <f>Interim!GG8</f>
        <v>0.0222541164905387</v>
      </c>
      <c r="CI6" s="140">
        <f>Interim!GI8</f>
        <v>-0.0181062215612329</v>
      </c>
      <c r="CJ6" s="140">
        <f>Interim!GL8</f>
        <v>0.00159423888750898</v>
      </c>
      <c r="CK6" s="140">
        <f>Interim!GM8</f>
        <v>-0.00195315624107399</v>
      </c>
      <c r="CL6" s="140">
        <f>Interim!GO8</f>
        <v>0.0592955640050697</v>
      </c>
      <c r="CM6" s="140">
        <f>Interim!GP8</f>
        <v>0.0201665126819488</v>
      </c>
    </row>
    <row r="7" spans="2:95">
      <c r="B7" s="137" t="s">
        <v>706</v>
      </c>
      <c r="C7" s="140"/>
      <c r="D7" s="140"/>
      <c r="E7" s="140"/>
      <c r="F7" s="140"/>
      <c r="G7" s="140"/>
      <c r="H7" s="140"/>
      <c r="I7" s="140"/>
      <c r="J7" s="140"/>
      <c r="K7" s="140">
        <f>Interim!DJ13</f>
        <v>0.04</v>
      </c>
      <c r="L7" s="140">
        <f>Interim!DK13</f>
        <v>0.07</v>
      </c>
      <c r="M7" s="140"/>
      <c r="N7" s="140">
        <f>Interim!DM13</f>
        <v>0.04</v>
      </c>
      <c r="O7" s="140"/>
      <c r="P7" s="140">
        <f>Interim!DO13</f>
        <v>0.14</v>
      </c>
      <c r="Q7" s="140"/>
      <c r="R7" s="140"/>
      <c r="S7" s="140">
        <f>Interim!DR13</f>
        <v>0.16</v>
      </c>
      <c r="T7" s="140">
        <f>Interim!DS13</f>
        <v>0.167</v>
      </c>
      <c r="U7" s="140"/>
      <c r="V7" s="140">
        <f>Interim!DU13</f>
        <v>0.155</v>
      </c>
      <c r="W7" s="140"/>
      <c r="X7" s="140">
        <f>Interim!DW13</f>
        <v>0.226</v>
      </c>
      <c r="Y7" s="140"/>
      <c r="Z7" s="140"/>
      <c r="AA7" s="140">
        <f>Interim!DZ13</f>
        <v>0.22</v>
      </c>
      <c r="AB7" s="140">
        <f>Interim!EA13</f>
        <v>0.2</v>
      </c>
      <c r="AC7" s="140"/>
      <c r="AD7" s="140">
        <f>Interim!EC13</f>
        <v>0.21</v>
      </c>
      <c r="AE7" s="140"/>
      <c r="AF7" s="140">
        <f>Interim!EE13</f>
        <v>0.18</v>
      </c>
      <c r="AG7" s="140"/>
      <c r="AH7" s="140"/>
      <c r="AI7" s="140">
        <f>Interim!EH13</f>
        <v>0.16</v>
      </c>
      <c r="AJ7" s="140">
        <f>Interim!EI13</f>
        <v>0.161</v>
      </c>
      <c r="AK7" s="140"/>
      <c r="AL7" s="140">
        <f>Interim!EK13</f>
        <v>0.146</v>
      </c>
      <c r="AM7" s="140"/>
      <c r="AN7" s="140">
        <f>Interim!EM13</f>
        <v>0.092</v>
      </c>
      <c r="AO7" s="140"/>
      <c r="AP7" s="140"/>
      <c r="AQ7" s="140">
        <f>Interim!EP13</f>
        <v>0.065</v>
      </c>
      <c r="AR7" s="140">
        <f>Interim!EQ13</f>
        <v>0.053</v>
      </c>
      <c r="AS7" s="140"/>
      <c r="AT7" s="140">
        <f>Interim!ES13</f>
        <v>0.056</v>
      </c>
      <c r="AU7" s="140"/>
      <c r="AV7" s="140">
        <f>Interim!EU13</f>
        <v>0.148</v>
      </c>
      <c r="AW7" s="140"/>
      <c r="AX7" s="140"/>
      <c r="AY7" s="140">
        <f>Interim!EX13</f>
        <v>0.216</v>
      </c>
      <c r="AZ7" s="140">
        <f>Interim!EY13</f>
        <v>0.221</v>
      </c>
      <c r="BA7" s="140"/>
      <c r="BB7" s="140">
        <f>Interim!FA13</f>
        <v>0.198</v>
      </c>
      <c r="BC7" s="140"/>
      <c r="BD7" s="140">
        <f>Interim!FC13</f>
        <v>0.125</v>
      </c>
      <c r="BE7" s="140"/>
      <c r="BF7" s="140"/>
      <c r="BG7" s="140">
        <f>Interim!FF13</f>
        <v>0.14</v>
      </c>
      <c r="BH7" s="140">
        <f>Interim!FG13</f>
        <v>0.0851356993736952</v>
      </c>
      <c r="BI7" s="140"/>
      <c r="BJ7" s="140">
        <f>Interim!FI13</f>
        <v>0.09</v>
      </c>
      <c r="BK7" s="140"/>
      <c r="BL7" s="140">
        <f>Interim!FK13</f>
        <v>0.137399132434213</v>
      </c>
      <c r="BM7" s="140"/>
      <c r="BN7" s="140"/>
      <c r="BO7" s="140">
        <f>Interim!FN13</f>
        <v>0.22</v>
      </c>
      <c r="BP7" s="140">
        <f>Interim!FO13</f>
        <v>0.201532639545885</v>
      </c>
      <c r="BQ7" s="140"/>
      <c r="BR7" s="140">
        <f>Interim!FQ13</f>
        <v>0.23768115942029</v>
      </c>
      <c r="BS7" s="140"/>
      <c r="BT7" s="140">
        <f>Interim!FS13</f>
        <v>0.256231759656652</v>
      </c>
      <c r="BU7" s="140"/>
      <c r="BV7" s="140"/>
      <c r="BW7" s="140">
        <f>Interim!FV13</f>
        <v>0.18</v>
      </c>
      <c r="BX7" s="140">
        <f>Interim!FW13</f>
        <v>0.21</v>
      </c>
      <c r="BY7" s="140"/>
      <c r="BZ7" s="140">
        <f>Interim!FY13</f>
        <v>0.0900000000000002</v>
      </c>
      <c r="CA7" s="140"/>
      <c r="CB7" s="140">
        <f>Interim!GA13</f>
        <v>0.21</v>
      </c>
      <c r="CC7" s="140"/>
      <c r="CD7" s="140"/>
      <c r="CE7" s="140">
        <f>Interim!GD13</f>
        <v>0.11</v>
      </c>
      <c r="CF7" s="140">
        <f>Interim!GE13</f>
        <v>0.12</v>
      </c>
      <c r="CG7" s="140"/>
      <c r="CH7" s="140">
        <f>Interim!GG13</f>
        <v>0.24</v>
      </c>
      <c r="CI7" s="140">
        <f>Interim!GI13</f>
        <v>0.13</v>
      </c>
      <c r="CJ7" s="140">
        <f>Interim!GL13</f>
        <v>0.18</v>
      </c>
      <c r="CK7" s="140">
        <f>Interim!GM13</f>
        <v>0.16</v>
      </c>
      <c r="CL7" s="140">
        <f>Interim!GO13</f>
        <v>0.11</v>
      </c>
      <c r="CM7" s="140">
        <f>Interim!GP13</f>
        <v>0.147330434782609</v>
      </c>
    </row>
    <row r="8" spans="2:95"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</row>
    <row r="9" spans="2:95">
      <c r="B9" s="718"/>
      <c r="C9" s="716" t="s">
        <v>349</v>
      </c>
      <c r="D9" s="716" t="s">
        <v>350</v>
      </c>
      <c r="E9" s="716" t="s">
        <v>351</v>
      </c>
      <c r="F9" s="716" t="s">
        <v>352</v>
      </c>
      <c r="G9" s="716" t="s">
        <v>353</v>
      </c>
      <c r="H9" s="716" t="s">
        <v>354</v>
      </c>
      <c r="I9" s="716" t="s">
        <v>355</v>
      </c>
      <c r="J9" s="958" t="s">
        <v>27</v>
      </c>
      <c r="K9" s="958" t="s">
        <v>356</v>
      </c>
      <c r="L9" s="958" t="s">
        <v>357</v>
      </c>
      <c r="M9" s="958" t="s">
        <v>358</v>
      </c>
      <c r="N9" s="958" t="s">
        <v>359</v>
      </c>
      <c r="O9" s="958" t="s">
        <v>360</v>
      </c>
      <c r="P9" s="958" t="s">
        <v>361</v>
      </c>
      <c r="Q9" s="958" t="s">
        <v>362</v>
      </c>
      <c r="R9" s="958" t="s">
        <v>28</v>
      </c>
      <c r="S9" s="958" t="s">
        <v>363</v>
      </c>
      <c r="T9" s="958" t="s">
        <v>364</v>
      </c>
      <c r="U9" s="958" t="s">
        <v>365</v>
      </c>
      <c r="V9" s="958" t="s">
        <v>366</v>
      </c>
      <c r="W9" s="958" t="s">
        <v>367</v>
      </c>
      <c r="X9" s="958" t="s">
        <v>368</v>
      </c>
      <c r="Y9" s="958" t="s">
        <v>369</v>
      </c>
      <c r="Z9" s="958" t="s">
        <v>29</v>
      </c>
      <c r="AA9" s="958" t="s">
        <v>370</v>
      </c>
      <c r="AB9" s="958" t="s">
        <v>371</v>
      </c>
      <c r="AC9" s="958" t="s">
        <v>372</v>
      </c>
      <c r="AD9" s="958" t="s">
        <v>373</v>
      </c>
      <c r="AE9" s="958" t="s">
        <v>374</v>
      </c>
      <c r="AF9" s="958" t="s">
        <v>375</v>
      </c>
      <c r="AG9" s="958" t="s">
        <v>376</v>
      </c>
      <c r="AH9" s="958" t="s">
        <v>30</v>
      </c>
      <c r="AI9" s="958" t="s">
        <v>377</v>
      </c>
      <c r="AJ9" s="958" t="s">
        <v>378</v>
      </c>
      <c r="AK9" s="958" t="s">
        <v>379</v>
      </c>
      <c r="AL9" s="958" t="s">
        <v>380</v>
      </c>
      <c r="AM9" s="958" t="s">
        <v>381</v>
      </c>
      <c r="AN9" s="958" t="s">
        <v>382</v>
      </c>
      <c r="AO9" s="958" t="s">
        <v>383</v>
      </c>
      <c r="AP9" s="958" t="s">
        <v>31</v>
      </c>
      <c r="AQ9" s="958" t="s">
        <v>384</v>
      </c>
      <c r="AR9" s="958" t="s">
        <v>385</v>
      </c>
      <c r="AS9" s="958" t="s">
        <v>386</v>
      </c>
      <c r="AT9" s="958" t="s">
        <v>387</v>
      </c>
      <c r="AU9" s="958" t="s">
        <v>388</v>
      </c>
      <c r="AV9" s="958" t="s">
        <v>389</v>
      </c>
      <c r="AW9" s="958" t="s">
        <v>390</v>
      </c>
      <c r="AX9" s="958" t="s">
        <v>391</v>
      </c>
      <c r="AY9" s="958" t="s">
        <v>392</v>
      </c>
      <c r="AZ9" s="958" t="s">
        <v>393</v>
      </c>
      <c r="BA9" s="958" t="s">
        <v>394</v>
      </c>
      <c r="BB9" s="958" t="s">
        <v>395</v>
      </c>
      <c r="BC9" s="958" t="s">
        <v>396</v>
      </c>
      <c r="BD9" s="958" t="s">
        <v>397</v>
      </c>
      <c r="BE9" s="958" t="s">
        <v>398</v>
      </c>
      <c r="BF9" s="958" t="s">
        <v>399</v>
      </c>
      <c r="BG9" s="958" t="s">
        <v>400</v>
      </c>
      <c r="BH9" s="958" t="s">
        <v>401</v>
      </c>
      <c r="BI9" s="958" t="s">
        <v>402</v>
      </c>
      <c r="BJ9" s="958" t="s">
        <v>403</v>
      </c>
      <c r="BK9" s="958" t="s">
        <v>404</v>
      </c>
      <c r="BL9" s="958" t="s">
        <v>405</v>
      </c>
      <c r="BM9" s="958" t="s">
        <v>406</v>
      </c>
      <c r="BN9" s="958" t="s">
        <v>407</v>
      </c>
      <c r="BO9" s="958" t="s">
        <v>408</v>
      </c>
      <c r="BP9" s="958" t="s">
        <v>409</v>
      </c>
      <c r="BQ9" s="958" t="s">
        <v>410</v>
      </c>
      <c r="BR9" s="958" t="s">
        <v>411</v>
      </c>
      <c r="BS9" s="958" t="s">
        <v>412</v>
      </c>
      <c r="BT9" s="958" t="s">
        <v>413</v>
      </c>
      <c r="BU9" s="958" t="s">
        <v>414</v>
      </c>
      <c r="BV9" s="958" t="s">
        <v>415</v>
      </c>
      <c r="BW9" s="958" t="s">
        <v>416</v>
      </c>
      <c r="BX9" s="958" t="s">
        <v>417</v>
      </c>
      <c r="BY9" s="958" t="s">
        <v>418</v>
      </c>
      <c r="BZ9" s="958" t="s">
        <v>419</v>
      </c>
      <c r="CA9" s="958" t="s">
        <v>420</v>
      </c>
      <c r="CB9" s="958" t="s">
        <v>421</v>
      </c>
      <c r="CC9" s="958" t="s">
        <v>699</v>
      </c>
      <c r="CD9" s="958" t="s">
        <v>700</v>
      </c>
      <c r="CE9" s="958" t="s">
        <v>424</v>
      </c>
      <c r="CF9" s="958" t="s">
        <v>425</v>
      </c>
      <c r="CG9" s="958" t="s">
        <v>426</v>
      </c>
      <c r="CH9" s="958" t="s">
        <v>427</v>
      </c>
      <c r="CI9" s="958" t="s">
        <v>429</v>
      </c>
      <c r="CJ9" s="958" t="s">
        <v>432</v>
      </c>
      <c r="CK9" s="958" t="s">
        <v>433</v>
      </c>
      <c r="CL9" s="958" t="s">
        <v>435</v>
      </c>
      <c r="CM9" s="958" t="s">
        <v>437</v>
      </c>
      <c r="CN9" s="958" t="s">
        <v>701</v>
      </c>
      <c r="CO9" s="958" t="s">
        <v>702</v>
      </c>
      <c r="CP9" s="958" t="s">
        <v>703</v>
      </c>
      <c r="CQ9" s="958" t="s">
        <v>704</v>
      </c>
    </row>
    <row r="10" spans="2:95">
      <c r="B10" s="2128" t="s">
        <v>707</v>
      </c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>
        <f>Interim!EP15</f>
        <v>0.0318529498962348</v>
      </c>
      <c r="AR10" s="140">
        <f>Interim!EQ15</f>
        <v>0.0370056329676846</v>
      </c>
      <c r="AS10" s="140"/>
      <c r="AT10" s="140">
        <f>Interim!ES15</f>
        <v>0.0267002668247851</v>
      </c>
      <c r="AU10" s="140"/>
      <c r="AV10" s="140">
        <f>Interim!EU15</f>
        <v>0.0260103745026027</v>
      </c>
      <c r="AW10" s="140"/>
      <c r="AX10" s="140"/>
      <c r="AY10" s="140">
        <f>Interim!EX15</f>
        <v>0.0522344747533372</v>
      </c>
      <c r="AZ10" s="140">
        <f>Interim!EY15</f>
        <v>0.0428032501450958</v>
      </c>
      <c r="BA10" s="140"/>
      <c r="BB10" s="140">
        <f>Interim!FA15</f>
        <v>0.0725478816018572</v>
      </c>
      <c r="BC10" s="140"/>
      <c r="BD10" s="140">
        <f>Interim!FC15</f>
        <v>0.0449796865931515</v>
      </c>
      <c r="BE10" s="140"/>
      <c r="BF10" s="140"/>
      <c r="BG10" s="140">
        <f>Interim!FF15</f>
        <v>0.061854722558526</v>
      </c>
      <c r="BH10" s="140">
        <f>Interim!FG15</f>
        <v>0.064063819792759</v>
      </c>
      <c r="BI10" s="140"/>
      <c r="BJ10" s="140">
        <f>Interim!FI15</f>
        <v>0.0245722506111541</v>
      </c>
      <c r="BK10" s="140"/>
      <c r="BL10" s="140">
        <f>Interim!FK15</f>
        <v>0.0403383071508138</v>
      </c>
      <c r="BM10" s="140"/>
      <c r="BN10" s="140"/>
      <c r="BO10" s="140">
        <f>Interim!FN15</f>
        <v>0.0698988388262852</v>
      </c>
      <c r="BP10" s="140">
        <f>Interim!FO15</f>
        <v>0.075391805004707</v>
      </c>
      <c r="BQ10" s="140"/>
      <c r="BR10" s="140">
        <f>Interim!FQ15</f>
        <v>0.0811067932480145</v>
      </c>
      <c r="BS10" s="140"/>
      <c r="BT10" s="140">
        <f>Interim!FS15</f>
        <v>0.118955045171212</v>
      </c>
      <c r="BU10" s="140"/>
      <c r="BV10" s="140"/>
      <c r="BW10" s="140">
        <f>Interim!FV15</f>
        <v>0.105991001699711</v>
      </c>
      <c r="BX10" s="140">
        <f>Interim!FW15</f>
        <v>0.131988794569451</v>
      </c>
      <c r="BY10" s="140"/>
      <c r="BZ10" s="140">
        <f>Interim!FY15</f>
        <v>0.0779933786092211</v>
      </c>
      <c r="CA10" s="140"/>
      <c r="CB10" s="140">
        <f>Interim!GA15</f>
        <v>0.13790484498309</v>
      </c>
      <c r="CC10" s="140"/>
      <c r="CD10" s="140"/>
      <c r="CE10" s="140">
        <f>Interim!GD15</f>
        <v>0.0696069255120147</v>
      </c>
      <c r="CF10" s="140">
        <f>Interim!GE15</f>
        <v>0.0670288912337919</v>
      </c>
      <c r="CG10" s="140"/>
      <c r="CH10" s="140">
        <f>Interim!GG15</f>
        <v>0.19593060514493</v>
      </c>
      <c r="CI10" s="140">
        <f>Interim!GI15</f>
        <v>0.0618728226773464</v>
      </c>
      <c r="CJ10" s="140">
        <f>Interim!GL15</f>
        <v>0.121886688410018</v>
      </c>
      <c r="CK10" s="140">
        <f>Interim!GM15</f>
        <v>0.112745186779267</v>
      </c>
      <c r="CL10" s="140">
        <f>Interim!GO15</f>
        <v>0.0426603409435063</v>
      </c>
    </row>
    <row r="11" spans="2:95">
      <c r="B11" s="2128" t="s">
        <v>708</v>
      </c>
      <c r="K11" s="140"/>
      <c r="L11" s="140"/>
      <c r="M11" s="140"/>
      <c r="N11" s="140"/>
      <c r="O11" s="140"/>
      <c r="P11" s="140"/>
      <c r="Q11" s="140"/>
      <c r="R11" s="140"/>
      <c r="S11" s="140">
        <f>Interim!DR16</f>
        <v>0.07</v>
      </c>
      <c r="T11" s="140">
        <f>Interim!DS16</f>
        <v>0.0882304526748971</v>
      </c>
      <c r="U11" s="140"/>
      <c r="V11" s="140">
        <f>Interim!DU16</f>
        <v>0.106908396946565</v>
      </c>
      <c r="W11" s="140"/>
      <c r="X11" s="140">
        <f>Interim!DW16</f>
        <v>0.15</v>
      </c>
      <c r="Y11" s="140"/>
      <c r="Z11" s="140"/>
      <c r="AA11" s="140">
        <f>Interim!DZ16</f>
        <v>0.17</v>
      </c>
      <c r="AB11" s="140">
        <f>Interim!EA16</f>
        <v>0.134750830564784</v>
      </c>
      <c r="AC11" s="140"/>
      <c r="AD11" s="140">
        <f>Interim!EC16</f>
        <v>0.15</v>
      </c>
      <c r="AE11" s="140"/>
      <c r="AF11" s="140">
        <f>Interim!EE16</f>
        <v>0.11</v>
      </c>
      <c r="AG11" s="140"/>
      <c r="AH11" s="140"/>
      <c r="AI11" s="140">
        <f>Interim!EH16</f>
        <v>0.09</v>
      </c>
      <c r="AJ11" s="140">
        <f>Interim!EI16</f>
        <v>0.08</v>
      </c>
      <c r="AK11" s="140"/>
      <c r="AL11" s="140">
        <f>Interim!EK16</f>
        <v>0.09</v>
      </c>
      <c r="AM11" s="140"/>
      <c r="AN11" s="140">
        <f>Interim!EM16</f>
        <v>0.01</v>
      </c>
      <c r="AO11" s="140"/>
      <c r="AP11" s="140"/>
      <c r="AQ11" s="140">
        <f>Interim!EP16</f>
        <v>-0.01</v>
      </c>
      <c r="AR11" s="140">
        <f>Interim!EQ16</f>
        <v>-0.02</v>
      </c>
      <c r="AS11" s="140"/>
      <c r="AT11" s="140">
        <f>Interim!ES16</f>
        <v>-0.03</v>
      </c>
      <c r="AU11" s="140"/>
      <c r="AV11" s="140">
        <f>Interim!EU16</f>
        <v>0.03</v>
      </c>
      <c r="AW11" s="140"/>
      <c r="AX11" s="140"/>
      <c r="AY11" s="140">
        <f>Interim!EX16</f>
        <v>0.08</v>
      </c>
      <c r="AZ11" s="140">
        <f>Interim!EY16</f>
        <v>0.1</v>
      </c>
      <c r="BA11" s="140"/>
      <c r="BB11" s="140">
        <f>Interim!FA16</f>
        <v>0.06</v>
      </c>
      <c r="BC11" s="140"/>
      <c r="BD11" s="140">
        <f>Interim!FC16</f>
        <v>0.09</v>
      </c>
      <c r="BE11" s="140"/>
      <c r="BF11" s="140"/>
      <c r="BG11" s="140">
        <f>Interim!FF16</f>
        <v>0.04</v>
      </c>
      <c r="BH11" s="140">
        <f>Interim!FG16</f>
        <v>-0.02</v>
      </c>
      <c r="BI11" s="140"/>
      <c r="BJ11" s="140">
        <f>Interim!FI16</f>
        <v>0.03</v>
      </c>
      <c r="BK11" s="140"/>
      <c r="BL11" s="140">
        <f>Interim!FK16</f>
        <v>0.05</v>
      </c>
      <c r="BM11" s="140"/>
      <c r="BN11" s="140"/>
      <c r="BO11" s="140">
        <f>Interim!FN16</f>
        <v>0.13</v>
      </c>
      <c r="BP11" s="140">
        <f>Interim!FO16</f>
        <v>0.13</v>
      </c>
      <c r="BQ11" s="140"/>
      <c r="BR11" s="140">
        <f>Interim!FQ16</f>
        <v>0.13</v>
      </c>
      <c r="BS11" s="140"/>
      <c r="BT11" s="140">
        <f>Interim!FS16</f>
        <v>0.0937682403433476</v>
      </c>
      <c r="BU11" s="140"/>
      <c r="BV11" s="140"/>
      <c r="BW11" s="140">
        <f>Interim!FV16</f>
        <v>0.05</v>
      </c>
      <c r="BX11" s="140">
        <f>Interim!FW16</f>
        <v>0.06</v>
      </c>
      <c r="BY11" s="140"/>
      <c r="BZ11" s="140">
        <f>Interim!FY16</f>
        <v>0.02</v>
      </c>
      <c r="CA11" s="140"/>
      <c r="CB11" s="140">
        <f>Interim!GA16</f>
        <v>0.05625</v>
      </c>
      <c r="CC11" s="140"/>
      <c r="CD11" s="140"/>
      <c r="CE11" s="140">
        <f>Interim!GD16</f>
        <v>0.05</v>
      </c>
      <c r="CF11" s="140">
        <f>Interim!GE16</f>
        <v>0.05</v>
      </c>
      <c r="CG11" s="140"/>
      <c r="CH11" s="140">
        <f>Interim!GG16</f>
        <v>0.05</v>
      </c>
      <c r="CI11" s="140">
        <f>Interim!GI16</f>
        <v>0.04</v>
      </c>
      <c r="CJ11" s="140">
        <f>Interim!GL16</f>
        <v>0.06</v>
      </c>
      <c r="CK11" s="140">
        <f>Interim!GM16</f>
        <v>0.05</v>
      </c>
      <c r="CL11" s="140">
        <f>Interim!GO16</f>
        <v>0.06</v>
      </c>
    </row>
    <row r="12" spans="2:95">
      <c r="B12" s="2128" t="s">
        <v>709</v>
      </c>
      <c r="K12" s="140"/>
      <c r="L12" s="140"/>
      <c r="M12" s="140"/>
      <c r="N12" s="140"/>
      <c r="O12" s="140"/>
      <c r="P12" s="140"/>
      <c r="Q12" s="140"/>
      <c r="R12" s="140"/>
      <c r="S12" s="140">
        <f>Interim!DR14</f>
        <v>0.09</v>
      </c>
      <c r="T12" s="140">
        <f>Interim!DS14</f>
        <v>0.0787695473251029</v>
      </c>
      <c r="U12" s="140"/>
      <c r="V12" s="140">
        <f>Interim!DU14</f>
        <v>0.0480916030534351</v>
      </c>
      <c r="W12" s="140"/>
      <c r="X12" s="140">
        <f>Interim!DW14</f>
        <v>0.076</v>
      </c>
      <c r="Y12" s="140"/>
      <c r="Z12" s="140"/>
      <c r="AA12" s="140">
        <f>Interim!DZ14</f>
        <v>0.05</v>
      </c>
      <c r="AB12" s="140">
        <f>Interim!EA14</f>
        <v>0.0652491694352159</v>
      </c>
      <c r="AC12" s="140"/>
      <c r="AD12" s="140">
        <f>Interim!EC14</f>
        <v>0.06</v>
      </c>
      <c r="AE12" s="140"/>
      <c r="AF12" s="140">
        <f>Interim!EE14</f>
        <v>0.07</v>
      </c>
      <c r="AG12" s="140"/>
      <c r="AH12" s="140"/>
      <c r="AI12" s="140">
        <f>Interim!EH14</f>
        <v>0.07</v>
      </c>
      <c r="AJ12" s="140">
        <f>Interim!EI14</f>
        <v>0.081</v>
      </c>
      <c r="AK12" s="140"/>
      <c r="AL12" s="140">
        <f>Interim!EK14</f>
        <v>0.056</v>
      </c>
      <c r="AM12" s="140"/>
      <c r="AN12" s="140">
        <f>Interim!EM14</f>
        <v>0.082</v>
      </c>
      <c r="AO12" s="140"/>
      <c r="AP12" s="140"/>
      <c r="AQ12" s="140">
        <f>Interim!EP14</f>
        <v>0.0431470501037652</v>
      </c>
      <c r="AR12" s="140">
        <f>Interim!EQ14</f>
        <v>0.0359943670323154</v>
      </c>
      <c r="AS12" s="140"/>
      <c r="AT12" s="140">
        <f>Interim!ES14</f>
        <v>0.0592997331752149</v>
      </c>
      <c r="AU12" s="140"/>
      <c r="AV12" s="140">
        <f>Interim!EU14</f>
        <v>0.0919896254973973</v>
      </c>
      <c r="AW12" s="140"/>
      <c r="AX12" s="140"/>
      <c r="AY12" s="140">
        <f>Interim!EX14</f>
        <v>0.0837655252466628</v>
      </c>
      <c r="AZ12" s="140">
        <f>Interim!EY14</f>
        <v>0.0781967498549042</v>
      </c>
      <c r="BA12" s="140"/>
      <c r="BB12" s="140">
        <f>Interim!FA14</f>
        <v>0.0654521183981428</v>
      </c>
      <c r="BC12" s="140"/>
      <c r="BD12" s="140">
        <f>Interim!FC14</f>
        <v>-0.00997968659315147</v>
      </c>
      <c r="BE12" s="140"/>
      <c r="BF12" s="140"/>
      <c r="BG12" s="140">
        <f>Interim!FF14</f>
        <v>0.038145277441474</v>
      </c>
      <c r="BH12" s="140">
        <f>Interim!FG14</f>
        <v>0.0410718795809361</v>
      </c>
      <c r="BI12" s="140"/>
      <c r="BJ12" s="140">
        <f>Interim!FI14</f>
        <v>0.0354277493888459</v>
      </c>
      <c r="BK12" s="140"/>
      <c r="BL12" s="140">
        <f>Interim!FK14</f>
        <v>0.0470608252833994</v>
      </c>
      <c r="BM12" s="140"/>
      <c r="BN12" s="140"/>
      <c r="BO12" s="140">
        <f>Interim!FN14</f>
        <v>0.0201011611737148</v>
      </c>
      <c r="BP12" s="140">
        <f>Interim!FO14</f>
        <v>-0.00385916545882246</v>
      </c>
      <c r="BQ12" s="140"/>
      <c r="BR12" s="140">
        <f>Interim!FQ14</f>
        <v>0.0265743661722754</v>
      </c>
      <c r="BS12" s="140"/>
      <c r="BT12" s="140">
        <f>Interim!FS14</f>
        <v>0.0435084741420925</v>
      </c>
      <c r="BU12" s="140"/>
      <c r="BV12" s="140"/>
      <c r="BW12" s="140">
        <f>Interim!FV14</f>
        <v>0.0240089983002892</v>
      </c>
      <c r="BX12" s="140">
        <f>Interim!FW14</f>
        <v>0.0180112054305488</v>
      </c>
      <c r="BY12" s="140"/>
      <c r="BZ12" s="140">
        <f>Interim!FY14</f>
        <v>-0.00799337860922093</v>
      </c>
      <c r="CA12" s="140"/>
      <c r="CB12" s="140">
        <f>Interim!GA14</f>
        <v>0.0158451550169097</v>
      </c>
      <c r="CC12" s="140"/>
      <c r="CD12" s="140"/>
      <c r="CE12" s="140">
        <f>Interim!GD14</f>
        <v>-0.0096069255120147</v>
      </c>
      <c r="CF12" s="140">
        <f>Interim!GE14</f>
        <v>0.00297110876620807</v>
      </c>
      <c r="CG12" s="140"/>
      <c r="CH12" s="140">
        <f>Interim!GG14</f>
        <v>-0.00593060514493021</v>
      </c>
      <c r="CI12" s="140">
        <f>Interim!GI14</f>
        <v>0.0281271773226536</v>
      </c>
      <c r="CJ12" s="140">
        <f>Interim!GL14</f>
        <v>-0.00188668841001803</v>
      </c>
      <c r="CK12" s="140">
        <f>Interim!GM14</f>
        <v>-0.00274518677926666</v>
      </c>
      <c r="CL12" s="140">
        <f>Interim!GO14</f>
        <v>0.00733965905649369</v>
      </c>
    </row>
    <row r="14" spans="2:95">
      <c r="B14" s="718"/>
      <c r="C14" s="716" t="s">
        <v>349</v>
      </c>
      <c r="D14" s="716" t="s">
        <v>350</v>
      </c>
      <c r="E14" s="716" t="s">
        <v>351</v>
      </c>
      <c r="F14" s="716" t="s">
        <v>352</v>
      </c>
      <c r="G14" s="716" t="s">
        <v>353</v>
      </c>
      <c r="H14" s="716" t="s">
        <v>354</v>
      </c>
      <c r="I14" s="716" t="s">
        <v>355</v>
      </c>
      <c r="J14" s="958" t="s">
        <v>27</v>
      </c>
      <c r="K14" s="958" t="s">
        <v>356</v>
      </c>
      <c r="L14" s="958" t="s">
        <v>357</v>
      </c>
      <c r="M14" s="958" t="s">
        <v>358</v>
      </c>
      <c r="N14" s="958" t="s">
        <v>359</v>
      </c>
      <c r="O14" s="958" t="s">
        <v>360</v>
      </c>
      <c r="P14" s="958" t="s">
        <v>361</v>
      </c>
      <c r="Q14" s="958" t="s">
        <v>362</v>
      </c>
      <c r="R14" s="958" t="s">
        <v>28</v>
      </c>
      <c r="S14" s="958" t="s">
        <v>363</v>
      </c>
      <c r="T14" s="958" t="s">
        <v>364</v>
      </c>
      <c r="U14" s="958" t="s">
        <v>365</v>
      </c>
      <c r="V14" s="958" t="s">
        <v>366</v>
      </c>
      <c r="W14" s="958" t="s">
        <v>367</v>
      </c>
      <c r="X14" s="958" t="s">
        <v>368</v>
      </c>
      <c r="Y14" s="958" t="s">
        <v>369</v>
      </c>
      <c r="Z14" s="958" t="s">
        <v>29</v>
      </c>
      <c r="AA14" s="958" t="s">
        <v>370</v>
      </c>
      <c r="AB14" s="958" t="s">
        <v>371</v>
      </c>
      <c r="AC14" s="958" t="s">
        <v>372</v>
      </c>
      <c r="AD14" s="958" t="s">
        <v>373</v>
      </c>
      <c r="AE14" s="958" t="s">
        <v>374</v>
      </c>
      <c r="AF14" s="958" t="s">
        <v>375</v>
      </c>
      <c r="AG14" s="958" t="s">
        <v>376</v>
      </c>
      <c r="AH14" s="958" t="s">
        <v>30</v>
      </c>
      <c r="AI14" s="958" t="s">
        <v>377</v>
      </c>
      <c r="AJ14" s="958" t="s">
        <v>378</v>
      </c>
      <c r="AK14" s="958" t="s">
        <v>379</v>
      </c>
      <c r="AL14" s="958" t="s">
        <v>380</v>
      </c>
      <c r="AM14" s="958" t="s">
        <v>381</v>
      </c>
      <c r="AN14" s="958" t="s">
        <v>382</v>
      </c>
      <c r="AO14" s="958" t="s">
        <v>383</v>
      </c>
      <c r="AP14" s="958" t="s">
        <v>31</v>
      </c>
      <c r="AQ14" s="958" t="s">
        <v>384</v>
      </c>
      <c r="AR14" s="958" t="s">
        <v>385</v>
      </c>
      <c r="AS14" s="958" t="s">
        <v>386</v>
      </c>
      <c r="AT14" s="958" t="s">
        <v>387</v>
      </c>
      <c r="AU14" s="958" t="s">
        <v>388</v>
      </c>
      <c r="AV14" s="958" t="s">
        <v>389</v>
      </c>
      <c r="AW14" s="958" t="s">
        <v>390</v>
      </c>
      <c r="AX14" s="958" t="s">
        <v>391</v>
      </c>
      <c r="AY14" s="958" t="s">
        <v>392</v>
      </c>
      <c r="AZ14" s="958" t="s">
        <v>393</v>
      </c>
      <c r="BA14" s="958" t="s">
        <v>394</v>
      </c>
      <c r="BB14" s="958" t="s">
        <v>395</v>
      </c>
      <c r="BC14" s="958" t="s">
        <v>396</v>
      </c>
      <c r="BD14" s="958" t="s">
        <v>397</v>
      </c>
      <c r="BE14" s="958" t="s">
        <v>398</v>
      </c>
      <c r="BF14" s="958" t="s">
        <v>399</v>
      </c>
      <c r="BG14" s="958" t="s">
        <v>400</v>
      </c>
      <c r="BH14" s="958" t="s">
        <v>401</v>
      </c>
      <c r="BI14" s="958" t="s">
        <v>402</v>
      </c>
      <c r="BJ14" s="958" t="s">
        <v>403</v>
      </c>
      <c r="BK14" s="958" t="s">
        <v>404</v>
      </c>
      <c r="BL14" s="958" t="s">
        <v>405</v>
      </c>
      <c r="BM14" s="958" t="s">
        <v>406</v>
      </c>
      <c r="BN14" s="958" t="s">
        <v>407</v>
      </c>
      <c r="BO14" s="958" t="s">
        <v>408</v>
      </c>
      <c r="BP14" s="958" t="s">
        <v>409</v>
      </c>
      <c r="BQ14" s="958" t="s">
        <v>410</v>
      </c>
      <c r="BR14" s="958" t="s">
        <v>411</v>
      </c>
      <c r="BS14" s="958" t="s">
        <v>412</v>
      </c>
      <c r="BT14" s="958" t="s">
        <v>413</v>
      </c>
      <c r="BU14" s="958" t="s">
        <v>414</v>
      </c>
      <c r="BV14" s="958" t="s">
        <v>415</v>
      </c>
      <c r="BW14" s="958" t="s">
        <v>416</v>
      </c>
      <c r="BX14" s="958" t="s">
        <v>417</v>
      </c>
      <c r="BY14" s="958" t="s">
        <v>418</v>
      </c>
      <c r="BZ14" s="958" t="s">
        <v>419</v>
      </c>
      <c r="CA14" s="958" t="s">
        <v>420</v>
      </c>
      <c r="CB14" s="958" t="s">
        <v>421</v>
      </c>
      <c r="CC14" s="718"/>
      <c r="CD14" s="718"/>
      <c r="CE14" s="958" t="s">
        <v>424</v>
      </c>
      <c r="CF14" s="958" t="s">
        <v>425</v>
      </c>
      <c r="CG14" s="958" t="s">
        <v>425</v>
      </c>
      <c r="CH14" s="958" t="s">
        <v>427</v>
      </c>
      <c r="CI14" s="958" t="s">
        <v>429</v>
      </c>
      <c r="CJ14" s="958" t="s">
        <v>432</v>
      </c>
      <c r="CK14" s="958" t="s">
        <v>433</v>
      </c>
      <c r="CL14" s="958" t="s">
        <v>435</v>
      </c>
      <c r="CM14" s="958" t="s">
        <v>437</v>
      </c>
      <c r="CN14" s="958" t="s">
        <v>701</v>
      </c>
      <c r="CO14" s="958" t="s">
        <v>702</v>
      </c>
      <c r="CP14" s="958" t="s">
        <v>703</v>
      </c>
      <c r="CQ14" s="958" t="s">
        <v>704</v>
      </c>
    </row>
    <row r="15" spans="2:95">
      <c r="B15" s="137" t="s">
        <v>60</v>
      </c>
      <c r="C15" s="138">
        <f>C3/SUM(C3:C5)</f>
        <v>0.753157290470723</v>
      </c>
      <c r="D15" s="138">
        <f t="shared" ref="D15:BO15" si="0">D3/SUM(D3:D5)</f>
        <v>0.698090692124105</v>
      </c>
      <c r="E15" s="138"/>
      <c r="F15" s="138">
        <f t="shared" si="0"/>
        <v>0.727833712244235</v>
      </c>
      <c r="G15" s="138"/>
      <c r="H15" s="138">
        <f t="shared" si="0"/>
        <v>0.696428571428571</v>
      </c>
      <c r="I15" s="138"/>
      <c r="J15" s="138"/>
      <c r="K15" s="138">
        <f t="shared" si="0"/>
        <v>0.729466718567536</v>
      </c>
      <c r="L15" s="138">
        <f t="shared" si="0"/>
        <v>0.654300856094578</v>
      </c>
      <c r="M15" s="138"/>
      <c r="N15" s="138">
        <f t="shared" si="0"/>
        <v>0.705474705474705</v>
      </c>
      <c r="O15" s="138"/>
      <c r="P15" s="138">
        <f t="shared" si="0"/>
        <v>0.672097759674134</v>
      </c>
      <c r="Q15" s="138"/>
      <c r="R15" s="138"/>
      <c r="S15" s="138">
        <f t="shared" si="0"/>
        <v>0.710063598952488</v>
      </c>
      <c r="T15" s="138">
        <f t="shared" si="0"/>
        <v>0.660953033938978</v>
      </c>
      <c r="U15" s="138"/>
      <c r="V15" s="138">
        <f t="shared" si="0"/>
        <v>0.698096885813149</v>
      </c>
      <c r="W15" s="138"/>
      <c r="X15" s="138">
        <f t="shared" si="0"/>
        <v>0.659618008185539</v>
      </c>
      <c r="Y15" s="138"/>
      <c r="Z15" s="138"/>
      <c r="AA15" s="138">
        <f t="shared" si="0"/>
        <v>0.708829819737244</v>
      </c>
      <c r="AB15" s="138">
        <f t="shared" si="0"/>
        <v>0.643929503916449</v>
      </c>
      <c r="AC15" s="138"/>
      <c r="AD15" s="138">
        <f t="shared" si="0"/>
        <v>0.688034188034188</v>
      </c>
      <c r="AE15" s="138"/>
      <c r="AF15" s="138">
        <f t="shared" si="0"/>
        <v>0.642085775995063</v>
      </c>
      <c r="AG15" s="138"/>
      <c r="AH15" s="138"/>
      <c r="AI15" s="138">
        <f t="shared" si="0"/>
        <v>0.683577405857741</v>
      </c>
      <c r="AJ15" s="138">
        <f t="shared" si="0"/>
        <v>0.600796133067956</v>
      </c>
      <c r="AK15" s="138"/>
      <c r="AL15" s="138">
        <f t="shared" si="0"/>
        <v>0.657320872274143</v>
      </c>
      <c r="AM15" s="138"/>
      <c r="AN15" s="138">
        <f t="shared" si="0"/>
        <v>0.612347877708519</v>
      </c>
      <c r="AO15" s="138"/>
      <c r="AP15" s="138"/>
      <c r="AQ15" s="138">
        <f t="shared" si="0"/>
        <v>0.661423620367902</v>
      </c>
      <c r="AR15" s="138">
        <f t="shared" si="0"/>
        <v>0.595329589122081</v>
      </c>
      <c r="AS15" s="138"/>
      <c r="AT15" s="138">
        <f t="shared" si="0"/>
        <v>0.65815931941222</v>
      </c>
      <c r="AU15" s="138"/>
      <c r="AV15" s="138">
        <f t="shared" si="0"/>
        <v>0.58982466225927</v>
      </c>
      <c r="AW15" s="138"/>
      <c r="AX15" s="138"/>
      <c r="AY15" s="138">
        <f t="shared" si="0"/>
        <v>0.667138409283895</v>
      </c>
      <c r="AZ15" s="138">
        <f t="shared" si="0"/>
        <v>0.601731601731602</v>
      </c>
      <c r="BA15" s="138"/>
      <c r="BB15" s="138">
        <f t="shared" si="0"/>
        <v>0.659786304031083</v>
      </c>
      <c r="BC15" s="138"/>
      <c r="BD15" s="138">
        <f t="shared" si="0"/>
        <v>0.59496520768385</v>
      </c>
      <c r="BE15" s="138"/>
      <c r="BF15" s="138"/>
      <c r="BG15" s="138">
        <f t="shared" si="0"/>
        <v>0.688464364437913</v>
      </c>
      <c r="BH15" s="138">
        <f t="shared" si="0"/>
        <v>0.6360378807269</v>
      </c>
      <c r="BI15" s="138"/>
      <c r="BJ15" s="138">
        <f t="shared" si="0"/>
        <v>0.696026907714946</v>
      </c>
      <c r="BK15" s="138"/>
      <c r="BL15" s="138">
        <f t="shared" si="0"/>
        <v>0.628598848368522</v>
      </c>
      <c r="BM15" s="138"/>
      <c r="BN15" s="138"/>
      <c r="BO15" s="138">
        <f t="shared" si="0"/>
        <v>0.700146781295869</v>
      </c>
      <c r="BP15" s="138">
        <f t="shared" ref="BP15:CB15" si="1">BP3/SUM(BP3:BP5)</f>
        <v>0.648654759213204</v>
      </c>
      <c r="BQ15" s="138"/>
      <c r="BR15" s="138">
        <f t="shared" si="1"/>
        <v>0.686622320768662</v>
      </c>
      <c r="BS15" s="138"/>
      <c r="BT15" s="138">
        <f t="shared" si="1"/>
        <v>0.616303883909518</v>
      </c>
      <c r="BU15" s="138"/>
      <c r="BV15" s="138"/>
      <c r="BW15" s="138">
        <f t="shared" si="1"/>
        <v>0.726955563716489</v>
      </c>
      <c r="BX15" s="138">
        <f t="shared" si="1"/>
        <v>0.669511710996427</v>
      </c>
      <c r="BY15" s="138"/>
      <c r="BZ15" s="138">
        <f t="shared" si="1"/>
        <v>0.716625572384643</v>
      </c>
      <c r="CA15" s="138"/>
      <c r="CB15" s="138">
        <f t="shared" si="1"/>
        <v>0.636075949367089</v>
      </c>
      <c r="CE15" s="138">
        <f t="shared" ref="CE15:CF15" si="2">CE3/SUM(CE3:CE5)</f>
        <v>0.725847152126893</v>
      </c>
      <c r="CF15" s="138">
        <f t="shared" si="2"/>
        <v>0.665462839764303</v>
      </c>
      <c r="CG15" s="138"/>
      <c r="CH15" s="138">
        <f t="shared" ref="CH15" si="3">CH3/SUM(CH3:CH5)</f>
        <v>0.671718031670356</v>
      </c>
      <c r="CI15" s="138">
        <f t="shared" ref="CI15:CK15" si="4">CI3/SUM(CI3:CI5)</f>
        <v>0.597171794381808</v>
      </c>
      <c r="CJ15" s="138">
        <f t="shared" si="4"/>
        <v>0.695733469318375</v>
      </c>
      <c r="CK15" s="138">
        <f t="shared" si="4"/>
        <v>0.63750226901434</v>
      </c>
      <c r="CL15" s="138">
        <f t="shared" ref="CL15" si="5">CL3/SUM(CL3:CL5)</f>
        <v>0.668954758190328</v>
      </c>
    </row>
    <row r="16" spans="2:95">
      <c r="B16" s="137" t="s">
        <v>62</v>
      </c>
      <c r="C16" s="138">
        <f>C4/SUM(C3:C5)</f>
        <v>0.137772675086108</v>
      </c>
      <c r="D16" s="138">
        <f t="shared" ref="D16:BO16" si="6">D4/SUM(D3:D5)</f>
        <v>0.168257756563246</v>
      </c>
      <c r="E16" s="138"/>
      <c r="F16" s="138">
        <f t="shared" si="6"/>
        <v>0.159467359532316</v>
      </c>
      <c r="G16" s="138"/>
      <c r="H16" s="138">
        <f t="shared" si="6"/>
        <v>0.180124223602484</v>
      </c>
      <c r="I16" s="138"/>
      <c r="J16" s="138"/>
      <c r="K16" s="138">
        <f t="shared" si="6"/>
        <v>0.155702608018684</v>
      </c>
      <c r="L16" s="138">
        <f t="shared" si="6"/>
        <v>0.198124745209947</v>
      </c>
      <c r="M16" s="138"/>
      <c r="N16" s="138">
        <f t="shared" si="6"/>
        <v>0.181566181566182</v>
      </c>
      <c r="O16" s="138"/>
      <c r="P16" s="138">
        <f t="shared" si="6"/>
        <v>0.20244399185336</v>
      </c>
      <c r="Q16" s="138"/>
      <c r="R16" s="138"/>
      <c r="S16" s="138">
        <f t="shared" si="6"/>
        <v>0.171717171717172</v>
      </c>
      <c r="T16" s="138">
        <f t="shared" si="6"/>
        <v>0.2063764141241</v>
      </c>
      <c r="U16" s="138"/>
      <c r="V16" s="138">
        <f t="shared" si="6"/>
        <v>0.191753171856978</v>
      </c>
      <c r="W16" s="138"/>
      <c r="X16" s="138">
        <f t="shared" si="6"/>
        <v>0.22612551159618</v>
      </c>
      <c r="Y16" s="138"/>
      <c r="Z16" s="138"/>
      <c r="AA16" s="138">
        <f t="shared" si="6"/>
        <v>0.176290864650168</v>
      </c>
      <c r="AB16" s="138">
        <f t="shared" si="6"/>
        <v>0.222258485639687</v>
      </c>
      <c r="AC16" s="138"/>
      <c r="AD16" s="138">
        <f t="shared" si="6"/>
        <v>0.202190170940171</v>
      </c>
      <c r="AE16" s="138"/>
      <c r="AF16" s="138">
        <f t="shared" si="6"/>
        <v>0.240049367479173</v>
      </c>
      <c r="AG16" s="138"/>
      <c r="AH16" s="138"/>
      <c r="AI16" s="138">
        <f t="shared" si="6"/>
        <v>0.181223849372385</v>
      </c>
      <c r="AJ16" s="138">
        <f t="shared" si="6"/>
        <v>0.242820585726471</v>
      </c>
      <c r="AK16" s="138"/>
      <c r="AL16" s="138">
        <f t="shared" si="6"/>
        <v>0.226216151449796</v>
      </c>
      <c r="AM16" s="138"/>
      <c r="AN16" s="138">
        <f t="shared" si="6"/>
        <v>0.26179875333927</v>
      </c>
      <c r="AO16" s="138"/>
      <c r="AP16" s="138"/>
      <c r="AQ16" s="138">
        <f t="shared" si="6"/>
        <v>0.19248200479872</v>
      </c>
      <c r="AR16" s="138">
        <f t="shared" si="6"/>
        <v>0.256281407035176</v>
      </c>
      <c r="AS16" s="138"/>
      <c r="AT16" s="138">
        <f t="shared" si="6"/>
        <v>0.237947924722867</v>
      </c>
      <c r="AU16" s="138"/>
      <c r="AV16" s="138">
        <f t="shared" si="6"/>
        <v>0.268467950560506</v>
      </c>
      <c r="AW16" s="138"/>
      <c r="AX16" s="138"/>
      <c r="AY16" s="138">
        <f t="shared" si="6"/>
        <v>0.224738182847438</v>
      </c>
      <c r="AZ16" s="138">
        <f t="shared" si="6"/>
        <v>0.276479076479076</v>
      </c>
      <c r="BA16" s="138"/>
      <c r="BB16" s="138">
        <f t="shared" si="6"/>
        <v>0.254249635745508</v>
      </c>
      <c r="BC16" s="138"/>
      <c r="BD16" s="138">
        <f t="shared" si="6"/>
        <v>0.298198202016107</v>
      </c>
      <c r="BE16" s="138"/>
      <c r="BF16" s="138"/>
      <c r="BG16" s="138">
        <f t="shared" si="6"/>
        <v>0.219201567474896</v>
      </c>
      <c r="BH16" s="138">
        <f t="shared" si="6"/>
        <v>0.270540056309189</v>
      </c>
      <c r="BI16" s="138"/>
      <c r="BJ16" s="138">
        <f t="shared" si="6"/>
        <v>0.232079041412655</v>
      </c>
      <c r="BK16" s="138"/>
      <c r="BL16" s="138">
        <f t="shared" si="6"/>
        <v>0.279510556621881</v>
      </c>
      <c r="BM16" s="138"/>
      <c r="BN16" s="138"/>
      <c r="BO16" s="138">
        <f t="shared" si="6"/>
        <v>0.216816942755295</v>
      </c>
      <c r="BP16" s="138">
        <f t="shared" ref="BP16:CB16" si="7">BP4/SUM(BP3:BP5)</f>
        <v>0.266108975808275</v>
      </c>
      <c r="BQ16" s="138"/>
      <c r="BR16" s="138">
        <f t="shared" si="7"/>
        <v>0.245750184774575</v>
      </c>
      <c r="BS16" s="138"/>
      <c r="BT16" s="138">
        <f t="shared" si="7"/>
        <v>0.311993171148101</v>
      </c>
      <c r="BU16" s="138"/>
      <c r="BV16" s="138"/>
      <c r="BW16" s="138">
        <f t="shared" si="7"/>
        <v>0.236871098053617</v>
      </c>
      <c r="BX16" s="138">
        <f t="shared" si="7"/>
        <v>0.291186978959905</v>
      </c>
      <c r="BY16" s="138"/>
      <c r="BZ16" s="138">
        <f t="shared" si="7"/>
        <v>0.249559704121169</v>
      </c>
      <c r="CA16" s="138"/>
      <c r="CB16" s="138">
        <f t="shared" si="7"/>
        <v>0.333465189873418</v>
      </c>
      <c r="CE16" s="138">
        <f t="shared" ref="CE16:CF16" si="8">CE4/SUM(CE3:CE5)</f>
        <v>0.239906272530642</v>
      </c>
      <c r="CF16" s="138">
        <f t="shared" si="8"/>
        <v>0.29861243109675</v>
      </c>
      <c r="CG16" s="138"/>
      <c r="CH16" s="138">
        <f t="shared" ref="CH16" si="9">CH4/SUM(CH3:CH5)</f>
        <v>0.289119700323514</v>
      </c>
      <c r="CI16" s="138">
        <f t="shared" ref="CI16:CK16" si="10">CI4/SUM(CI3:CI5)</f>
        <v>0.360787311293713</v>
      </c>
      <c r="CJ16" s="138">
        <f t="shared" si="10"/>
        <v>0.271120176780554</v>
      </c>
      <c r="CK16" s="138">
        <f t="shared" si="10"/>
        <v>0.335814122345253</v>
      </c>
      <c r="CL16" s="138">
        <f t="shared" ref="CL16" si="11">CL4/SUM(CL3:CL5)</f>
        <v>0.305772230889235</v>
      </c>
    </row>
    <row r="17" spans="2:90">
      <c r="B17" s="137" t="s">
        <v>64</v>
      </c>
      <c r="C17" s="138">
        <f>1-C16-C15</f>
        <v>0.109070034443169</v>
      </c>
      <c r="D17" s="138">
        <f t="shared" ref="D17:BO17" si="12">1-D16-D15</f>
        <v>0.133651551312649</v>
      </c>
      <c r="E17" s="138"/>
      <c r="F17" s="138">
        <f t="shared" si="12"/>
        <v>0.112698928223449</v>
      </c>
      <c r="G17" s="138"/>
      <c r="H17" s="138">
        <f t="shared" si="12"/>
        <v>0.123447204968944</v>
      </c>
      <c r="I17" s="138"/>
      <c r="J17" s="138"/>
      <c r="K17" s="138">
        <f t="shared" si="12"/>
        <v>0.11483067341378</v>
      </c>
      <c r="L17" s="138">
        <f t="shared" si="12"/>
        <v>0.147574398695475</v>
      </c>
      <c r="M17" s="138"/>
      <c r="N17" s="138">
        <f t="shared" si="12"/>
        <v>0.112959112959113</v>
      </c>
      <c r="O17" s="138"/>
      <c r="P17" s="138">
        <f t="shared" si="12"/>
        <v>0.125458248472505</v>
      </c>
      <c r="Q17" s="138"/>
      <c r="R17" s="138"/>
      <c r="S17" s="138">
        <f t="shared" si="12"/>
        <v>0.11821922933034</v>
      </c>
      <c r="T17" s="138">
        <f t="shared" si="12"/>
        <v>0.132670551936921</v>
      </c>
      <c r="U17" s="138"/>
      <c r="V17" s="138">
        <f t="shared" si="12"/>
        <v>0.110149942329873</v>
      </c>
      <c r="W17" s="138"/>
      <c r="X17" s="138">
        <f t="shared" si="12"/>
        <v>0.114256480218281</v>
      </c>
      <c r="Y17" s="138"/>
      <c r="Z17" s="138"/>
      <c r="AA17" s="138">
        <f t="shared" si="12"/>
        <v>0.114879315612588</v>
      </c>
      <c r="AB17" s="138">
        <f t="shared" si="12"/>
        <v>0.133812010443864</v>
      </c>
      <c r="AC17" s="138"/>
      <c r="AD17" s="138">
        <f t="shared" si="12"/>
        <v>0.109775641025641</v>
      </c>
      <c r="AE17" s="138"/>
      <c r="AF17" s="138">
        <f t="shared" si="12"/>
        <v>0.117864856525764</v>
      </c>
      <c r="AG17" s="138"/>
      <c r="AH17" s="138"/>
      <c r="AI17" s="138">
        <f t="shared" si="12"/>
        <v>0.135198744769874</v>
      </c>
      <c r="AJ17" s="138">
        <f t="shared" si="12"/>
        <v>0.156383281205573</v>
      </c>
      <c r="AK17" s="138"/>
      <c r="AL17" s="138">
        <f t="shared" si="12"/>
        <v>0.11646297627606</v>
      </c>
      <c r="AM17" s="138"/>
      <c r="AN17" s="138">
        <f t="shared" si="12"/>
        <v>0.125853368952211</v>
      </c>
      <c r="AO17" s="138"/>
      <c r="AP17" s="138"/>
      <c r="AQ17" s="138">
        <f t="shared" si="12"/>
        <v>0.146094374833378</v>
      </c>
      <c r="AR17" s="138">
        <f t="shared" si="12"/>
        <v>0.148389003842743</v>
      </c>
      <c r="AS17" s="138"/>
      <c r="AT17" s="138">
        <f t="shared" si="12"/>
        <v>0.103892755864914</v>
      </c>
      <c r="AU17" s="138"/>
      <c r="AV17" s="138">
        <f t="shared" si="12"/>
        <v>0.141707387180224</v>
      </c>
      <c r="AW17" s="138"/>
      <c r="AX17" s="138"/>
      <c r="AY17" s="138">
        <f t="shared" si="12"/>
        <v>0.108123407868667</v>
      </c>
      <c r="AZ17" s="138">
        <f t="shared" si="12"/>
        <v>0.121789321789322</v>
      </c>
      <c r="BA17" s="138"/>
      <c r="BB17" s="138">
        <f t="shared" si="12"/>
        <v>0.0859640602234094</v>
      </c>
      <c r="BC17" s="138"/>
      <c r="BD17" s="138">
        <f t="shared" si="12"/>
        <v>0.106836590300043</v>
      </c>
      <c r="BE17" s="138"/>
      <c r="BF17" s="138"/>
      <c r="BG17" s="138">
        <f t="shared" si="12"/>
        <v>0.0923340680871908</v>
      </c>
      <c r="BH17" s="138">
        <f t="shared" si="12"/>
        <v>0.0934220629639109</v>
      </c>
      <c r="BI17" s="138"/>
      <c r="BJ17" s="138">
        <f t="shared" si="12"/>
        <v>0.0718940508723986</v>
      </c>
      <c r="BK17" s="138"/>
      <c r="BL17" s="138">
        <f t="shared" si="12"/>
        <v>0.091890595009597</v>
      </c>
      <c r="BM17" s="138"/>
      <c r="BN17" s="138"/>
      <c r="BO17" s="138">
        <f t="shared" si="12"/>
        <v>0.0830362759488362</v>
      </c>
      <c r="BP17" s="138">
        <f t="shared" ref="BP17:CB17" si="13">1-BP16-BP15</f>
        <v>0.0852362649785214</v>
      </c>
      <c r="BQ17" s="138"/>
      <c r="BR17" s="138">
        <f t="shared" si="13"/>
        <v>0.0676274944567627</v>
      </c>
      <c r="BS17" s="138"/>
      <c r="BT17" s="138">
        <f t="shared" si="13"/>
        <v>0.0717029449423815</v>
      </c>
      <c r="BU17" s="138"/>
      <c r="BV17" s="138"/>
      <c r="BW17" s="138">
        <f t="shared" si="13"/>
        <v>0.0361733382298935</v>
      </c>
      <c r="BX17" s="138">
        <f t="shared" si="13"/>
        <v>0.0393013100436682</v>
      </c>
      <c r="BY17" s="138"/>
      <c r="BZ17" s="138">
        <f t="shared" si="13"/>
        <v>0.033814723494188</v>
      </c>
      <c r="CA17" s="138"/>
      <c r="CB17" s="138">
        <f t="shared" si="13"/>
        <v>0.0304588607594937</v>
      </c>
      <c r="CE17" s="138">
        <f t="shared" ref="CE17:CF17" si="14">1-CE16-CE15</f>
        <v>0.0342465753424658</v>
      </c>
      <c r="CF17" s="138">
        <f t="shared" si="14"/>
        <v>0.035924729138947</v>
      </c>
      <c r="CG17" s="138"/>
      <c r="CH17" s="138">
        <f t="shared" ref="CH17" si="15">1-CH16-CH15</f>
        <v>0.0391622680061298</v>
      </c>
      <c r="CI17" s="138">
        <f t="shared" ref="CI17:CK17" si="16">1-CI16-CI15</f>
        <v>0.0420408943244792</v>
      </c>
      <c r="CJ17" s="138">
        <f t="shared" si="16"/>
        <v>0.0331463539010709</v>
      </c>
      <c r="CK17" s="138">
        <f t="shared" si="16"/>
        <v>0.0266836086404066</v>
      </c>
      <c r="CL17" s="138">
        <f t="shared" ref="CL17" si="17">1-CL16-CL15</f>
        <v>0.0252730109204368</v>
      </c>
    </row>
    <row r="18" spans="2:90">
      <c r="H18" s="140"/>
    </row>
    <row r="54" spans="1:78">
      <c r="A54" s="137" t="s">
        <v>710</v>
      </c>
      <c r="B54" s="718"/>
      <c r="C54" s="958" t="s">
        <v>711</v>
      </c>
      <c r="D54" s="958" t="s">
        <v>712</v>
      </c>
      <c r="E54" s="958" t="s">
        <v>365</v>
      </c>
      <c r="F54" s="958" t="s">
        <v>713</v>
      </c>
      <c r="G54" s="958" t="s">
        <v>367</v>
      </c>
      <c r="H54" s="958" t="s">
        <v>714</v>
      </c>
      <c r="I54" s="958" t="s">
        <v>369</v>
      </c>
      <c r="J54" s="958" t="s">
        <v>29</v>
      </c>
      <c r="K54" s="958" t="s">
        <v>715</v>
      </c>
      <c r="L54" s="958" t="s">
        <v>716</v>
      </c>
      <c r="M54" s="958" t="s">
        <v>372</v>
      </c>
      <c r="N54" s="958" t="s">
        <v>717</v>
      </c>
      <c r="O54" s="958" t="s">
        <v>374</v>
      </c>
      <c r="P54" s="958" t="s">
        <v>718</v>
      </c>
      <c r="Q54" s="958" t="s">
        <v>376</v>
      </c>
      <c r="R54" s="958" t="s">
        <v>30</v>
      </c>
      <c r="S54" s="958" t="s">
        <v>719</v>
      </c>
      <c r="T54" s="958" t="s">
        <v>720</v>
      </c>
      <c r="U54" s="958" t="s">
        <v>379</v>
      </c>
      <c r="V54" s="958" t="s">
        <v>721</v>
      </c>
      <c r="W54" s="958" t="s">
        <v>381</v>
      </c>
      <c r="X54" s="958" t="s">
        <v>722</v>
      </c>
      <c r="Y54" s="958" t="s">
        <v>383</v>
      </c>
      <c r="Z54" s="958" t="s">
        <v>31</v>
      </c>
      <c r="AA54" s="958" t="s">
        <v>384</v>
      </c>
      <c r="AB54" s="958" t="s">
        <v>385</v>
      </c>
      <c r="AC54" s="958" t="s">
        <v>386</v>
      </c>
      <c r="AD54" s="958" t="s">
        <v>387</v>
      </c>
      <c r="AE54" s="958" t="s">
        <v>388</v>
      </c>
      <c r="AF54" s="958" t="s">
        <v>389</v>
      </c>
      <c r="AG54" s="958" t="s">
        <v>390</v>
      </c>
      <c r="AH54" s="958" t="s">
        <v>391</v>
      </c>
      <c r="AI54" s="958" t="s">
        <v>392</v>
      </c>
      <c r="AJ54" s="958" t="s">
        <v>393</v>
      </c>
      <c r="AK54" s="958" t="s">
        <v>394</v>
      </c>
      <c r="AL54" s="958" t="s">
        <v>395</v>
      </c>
      <c r="AM54" s="958" t="s">
        <v>396</v>
      </c>
      <c r="AN54" s="958" t="s">
        <v>397</v>
      </c>
      <c r="AO54" s="958" t="s">
        <v>398</v>
      </c>
      <c r="AP54" s="958" t="s">
        <v>399</v>
      </c>
      <c r="AQ54" s="958" t="s">
        <v>400</v>
      </c>
      <c r="AR54" s="958" t="s">
        <v>401</v>
      </c>
      <c r="AS54" s="958" t="s">
        <v>402</v>
      </c>
      <c r="AT54" s="958" t="s">
        <v>403</v>
      </c>
      <c r="AU54" s="958" t="s">
        <v>404</v>
      </c>
      <c r="AV54" s="958" t="s">
        <v>405</v>
      </c>
      <c r="AW54" s="958" t="s">
        <v>406</v>
      </c>
      <c r="AX54" s="958" t="s">
        <v>407</v>
      </c>
      <c r="AY54" s="958" t="s">
        <v>408</v>
      </c>
      <c r="AZ54" s="958" t="s">
        <v>409</v>
      </c>
      <c r="BA54" s="958" t="s">
        <v>410</v>
      </c>
      <c r="BB54" s="958" t="s">
        <v>411</v>
      </c>
      <c r="BC54" s="958" t="s">
        <v>412</v>
      </c>
      <c r="BD54" s="958" t="s">
        <v>413</v>
      </c>
      <c r="BE54" s="958" t="s">
        <v>414</v>
      </c>
      <c r="BF54" s="958" t="s">
        <v>415</v>
      </c>
      <c r="BG54" s="958" t="s">
        <v>416</v>
      </c>
      <c r="BH54" s="958" t="s">
        <v>417</v>
      </c>
      <c r="BI54" s="958" t="s">
        <v>418</v>
      </c>
      <c r="BJ54" s="958" t="s">
        <v>419</v>
      </c>
      <c r="BK54" s="958" t="s">
        <v>420</v>
      </c>
      <c r="BL54" s="958" t="s">
        <v>421</v>
      </c>
      <c r="BM54" s="718"/>
      <c r="BN54" s="718"/>
      <c r="BO54" s="958" t="s">
        <v>424</v>
      </c>
      <c r="BP54" s="958" t="s">
        <v>425</v>
      </c>
      <c r="BR54" s="958" t="s">
        <v>427</v>
      </c>
      <c r="BT54" s="958" t="s">
        <v>429</v>
      </c>
      <c r="BW54" s="958" t="s">
        <v>432</v>
      </c>
      <c r="BX54" s="958" t="s">
        <v>433</v>
      </c>
      <c r="BZ54" s="958" t="s">
        <v>435</v>
      </c>
    </row>
    <row r="55" spans="1:78">
      <c r="B55" s="137" t="s">
        <v>533</v>
      </c>
      <c r="C55" s="174">
        <f>Interim!DR147</f>
        <v>1272</v>
      </c>
      <c r="D55" s="174">
        <f>Interim!DS147</f>
        <v>1301</v>
      </c>
      <c r="E55" s="174">
        <f>Interim!DT147</f>
        <v>2573</v>
      </c>
      <c r="F55" s="174">
        <f>Interim!DU147</f>
        <v>1604</v>
      </c>
      <c r="G55" s="174">
        <f>Interim!DV147</f>
        <v>4177</v>
      </c>
      <c r="H55" s="174">
        <f>Interim!DW147</f>
        <v>1212</v>
      </c>
      <c r="I55" s="174">
        <f>Interim!DX147</f>
        <v>2816</v>
      </c>
      <c r="J55" s="174">
        <f>Interim!DY147</f>
        <v>5389</v>
      </c>
      <c r="K55" s="174">
        <f>Interim!DZ147</f>
        <v>1619</v>
      </c>
      <c r="L55" s="174">
        <f>Interim!EA147</f>
        <v>1457</v>
      </c>
      <c r="M55" s="174">
        <f>Interim!EB147</f>
        <v>3076</v>
      </c>
      <c r="N55" s="174">
        <f>Interim!EC147</f>
        <v>1773</v>
      </c>
      <c r="O55" s="174">
        <f>Interim!ED147</f>
        <v>4849</v>
      </c>
      <c r="P55" s="174">
        <f>Interim!EE147</f>
        <v>1393</v>
      </c>
      <c r="Q55" s="174">
        <f>Interim!EF147</f>
        <v>3166</v>
      </c>
      <c r="R55" s="174">
        <f>Interim!EG147</f>
        <v>6242</v>
      </c>
      <c r="S55" s="174">
        <f>Interim!EH147</f>
        <v>1848</v>
      </c>
      <c r="T55" s="174">
        <f>Interim!EI147</f>
        <v>1574</v>
      </c>
      <c r="U55" s="174">
        <f>Interim!EJ147</f>
        <v>3422</v>
      </c>
      <c r="V55" s="174">
        <f>Interim!EK147</f>
        <v>2001</v>
      </c>
      <c r="W55" s="174">
        <f>Interim!EL147</f>
        <v>5423</v>
      </c>
      <c r="X55" s="174">
        <f>Interim!EM147</f>
        <v>1499</v>
      </c>
      <c r="Y55" s="174">
        <f>Interim!EN147</f>
        <v>3500</v>
      </c>
      <c r="Z55" s="174">
        <f>Interim!EO147</f>
        <v>6922</v>
      </c>
      <c r="AA55" s="174">
        <f>Interim!EP147</f>
        <v>1874</v>
      </c>
      <c r="AB55" s="174">
        <f>Interim!EQ147</f>
        <v>1629</v>
      </c>
      <c r="AC55" s="174">
        <f>Interim!ER147</f>
        <v>3503</v>
      </c>
      <c r="AD55" s="174">
        <f>Interim!ES147</f>
        <v>1851</v>
      </c>
      <c r="AE55" s="174">
        <f>Interim!ET147</f>
        <v>5354</v>
      </c>
      <c r="AF55" s="174">
        <f>Interim!EU147</f>
        <v>1233</v>
      </c>
      <c r="AG55" s="174">
        <f>Interim!EV147</f>
        <v>3084</v>
      </c>
      <c r="AH55" s="174">
        <f>Interim!EW147</f>
        <v>6587</v>
      </c>
      <c r="AI55" s="174">
        <f>Interim!EX147</f>
        <v>1694</v>
      </c>
      <c r="AJ55" s="174">
        <f>Interim!EY147</f>
        <v>1599</v>
      </c>
      <c r="AK55" s="174">
        <f>Interim!EZ147</f>
        <v>3293</v>
      </c>
      <c r="AL55" s="174">
        <f>Interim!FA147</f>
        <v>1990</v>
      </c>
      <c r="AM55" s="174">
        <f>Interim!FB147</f>
        <v>5283</v>
      </c>
      <c r="AN55" s="174">
        <f>Interim!FC147</f>
        <v>1375</v>
      </c>
      <c r="AO55" s="174">
        <f>Interim!FD147</f>
        <v>3365</v>
      </c>
      <c r="AP55" s="174">
        <f>Interim!FE147</f>
        <v>6658</v>
      </c>
      <c r="AQ55" s="174">
        <f>Interim!FF147</f>
        <v>2087</v>
      </c>
      <c r="AR55" s="174">
        <f>Interim!FG147</f>
        <v>1962</v>
      </c>
      <c r="AS55" s="174">
        <f>Interim!FH147</f>
        <v>4049</v>
      </c>
      <c r="AT55" s="174">
        <f>Interim!FI147</f>
        <v>2356</v>
      </c>
      <c r="AU55" s="174">
        <f>Interim!FJ147</f>
        <v>6405</v>
      </c>
      <c r="AV55" s="174">
        <f>Interim!FK147</f>
        <v>1955</v>
      </c>
      <c r="AW55" s="174">
        <f>Interim!FL147</f>
        <v>4311</v>
      </c>
      <c r="AX55" s="174">
        <f>Interim!FM147</f>
        <v>8360</v>
      </c>
      <c r="AY55" s="174">
        <f>Interim!FN147</f>
        <v>2569</v>
      </c>
      <c r="AZ55" s="174">
        <f>Interim!FO147</f>
        <v>2291</v>
      </c>
      <c r="BA55" s="174">
        <f>Interim!FP147</f>
        <v>4860</v>
      </c>
      <c r="BB55" s="174">
        <f>Interim!FQ147</f>
        <v>2859</v>
      </c>
      <c r="BC55" s="174">
        <f>Interim!FR147</f>
        <v>7719</v>
      </c>
      <c r="BD55" s="174">
        <f>Interim!FS147</f>
        <v>2416</v>
      </c>
      <c r="BE55" s="174">
        <f>Interim!FT147</f>
        <v>5275</v>
      </c>
      <c r="BF55" s="174">
        <f>Interim!FU147</f>
        <v>10135</v>
      </c>
      <c r="BG55" s="174">
        <f>Interim!FV147</f>
        <v>3301</v>
      </c>
      <c r="BH55" s="174">
        <f>Interim!FW147</f>
        <v>3028</v>
      </c>
      <c r="BI55" s="174">
        <f>Interim!FX147</f>
        <v>6329</v>
      </c>
      <c r="BJ55" s="174">
        <f>Interim!FY147</f>
        <v>3266</v>
      </c>
      <c r="BK55" s="174">
        <f>Interim!FZ147</f>
        <v>9595</v>
      </c>
      <c r="BL55" s="174">
        <f>Interim!GA147</f>
        <v>2832</v>
      </c>
      <c r="BO55" s="174">
        <f>Interim!GD147</f>
        <v>3204</v>
      </c>
      <c r="BP55" s="174">
        <f>Interim!GE147</f>
        <v>3102</v>
      </c>
      <c r="BR55" s="174">
        <f>Interim!GG147</f>
        <v>3363</v>
      </c>
      <c r="BT55" s="174">
        <f>Interim!GI147</f>
        <v>3113</v>
      </c>
      <c r="BW55" s="174">
        <f>Interim!GL147</f>
        <v>3456</v>
      </c>
      <c r="BX55" s="174">
        <f>Interim!GM147</f>
        <v>3283</v>
      </c>
      <c r="BZ55" s="174">
        <f>Interim!GO147</f>
        <v>3490</v>
      </c>
    </row>
    <row r="56" spans="1:78">
      <c r="B56" s="137" t="s">
        <v>536</v>
      </c>
      <c r="C56" s="174">
        <f>Interim!DR152</f>
        <v>1130</v>
      </c>
      <c r="D56" s="174">
        <f>Interim!DS152</f>
        <v>1262</v>
      </c>
      <c r="E56" s="174">
        <f>Interim!DT152</f>
        <v>2392</v>
      </c>
      <c r="F56" s="174">
        <f>Interim!DU152</f>
        <v>1545</v>
      </c>
      <c r="G56" s="174">
        <f>Interim!DV152</f>
        <v>3937</v>
      </c>
      <c r="H56" s="174">
        <f>Interim!DW152</f>
        <v>1443</v>
      </c>
      <c r="I56" s="174">
        <f>Interim!DX152</f>
        <v>2988</v>
      </c>
      <c r="J56" s="174">
        <f>Interim!DY152</f>
        <v>5380</v>
      </c>
      <c r="K56" s="174">
        <f>Interim!DZ152</f>
        <v>1323</v>
      </c>
      <c r="L56" s="174">
        <f>Interim!EA152</f>
        <v>1256</v>
      </c>
      <c r="M56" s="174">
        <f>Interim!EB152</f>
        <v>2579</v>
      </c>
      <c r="N56" s="174">
        <f>Interim!EC152</f>
        <v>1620</v>
      </c>
      <c r="O56" s="174">
        <f>Interim!ED152</f>
        <v>4199</v>
      </c>
      <c r="P56" s="174">
        <f>Interim!EE152</f>
        <v>1534</v>
      </c>
      <c r="Q56" s="174">
        <f>Interim!EF152</f>
        <v>3154</v>
      </c>
      <c r="R56" s="174">
        <f>Interim!EG152</f>
        <v>5733</v>
      </c>
      <c r="S56" s="174">
        <f>Interim!EH152</f>
        <v>1527</v>
      </c>
      <c r="T56" s="174">
        <f>Interim!EI152</f>
        <v>1448</v>
      </c>
      <c r="U56" s="174">
        <f>Interim!EJ152</f>
        <v>2975</v>
      </c>
      <c r="V56" s="174">
        <f>Interim!EK152</f>
        <v>1786</v>
      </c>
      <c r="W56" s="174">
        <f>Interim!EL152</f>
        <v>4761</v>
      </c>
      <c r="X56" s="174">
        <f>Interim!EM152</f>
        <v>1529</v>
      </c>
      <c r="Y56" s="174">
        <f>Interim!EN152</f>
        <v>3315</v>
      </c>
      <c r="Z56" s="174">
        <f>Interim!EO152</f>
        <v>6290</v>
      </c>
      <c r="AA56" s="174">
        <f>Interim!EP152</f>
        <v>1382</v>
      </c>
      <c r="AB56" s="174">
        <f>Interim!EQ152</f>
        <v>1270</v>
      </c>
      <c r="AC56" s="174">
        <f>Interim!ER152</f>
        <v>2652</v>
      </c>
      <c r="AD56" s="174">
        <f>Interim!ES152</f>
        <v>1632</v>
      </c>
      <c r="AE56" s="174">
        <f>Interim!ET152</f>
        <v>4284</v>
      </c>
      <c r="AF56" s="174">
        <f>Interim!EU152</f>
        <v>1527</v>
      </c>
      <c r="AG56" s="174">
        <f>Interim!EV152</f>
        <v>3159</v>
      </c>
      <c r="AH56" s="174">
        <f>Interim!EW152</f>
        <v>5811</v>
      </c>
      <c r="AI56" s="174">
        <f>Interim!EX152</f>
        <v>1434</v>
      </c>
      <c r="AJ56" s="174">
        <f>Interim!EY152</f>
        <v>1426</v>
      </c>
      <c r="AK56" s="174">
        <f>Interim!EZ152</f>
        <v>2860</v>
      </c>
      <c r="AL56" s="174">
        <f>Interim!FA152</f>
        <v>1763</v>
      </c>
      <c r="AM56" s="174">
        <f>Interim!FB152</f>
        <v>4623</v>
      </c>
      <c r="AN56" s="174">
        <f>Interim!FC152</f>
        <v>1656</v>
      </c>
      <c r="AO56" s="174">
        <f>Interim!FD152</f>
        <v>3419</v>
      </c>
      <c r="AP56" s="174">
        <f>Interim!FE152</f>
        <v>6279</v>
      </c>
      <c r="AQ56" s="174">
        <f>Interim!FF152</f>
        <v>1595</v>
      </c>
      <c r="AR56" s="174">
        <f>Interim!FG152</f>
        <v>1530</v>
      </c>
      <c r="AS56" s="174">
        <f>Interim!FH152</f>
        <v>3125</v>
      </c>
      <c r="AT56" s="174">
        <f>Interim!FI152</f>
        <v>1986</v>
      </c>
      <c r="AU56" s="174">
        <f>Interim!FJ152</f>
        <v>5111</v>
      </c>
      <c r="AV56" s="174">
        <f>Interim!FK152</f>
        <v>1859</v>
      </c>
      <c r="AW56" s="174">
        <f>Interim!FL152</f>
        <v>3845</v>
      </c>
      <c r="AX56" s="174">
        <f>Interim!FM152</f>
        <v>6970</v>
      </c>
      <c r="AY56" s="174">
        <f>Interim!FN152</f>
        <v>1770</v>
      </c>
      <c r="AZ56" s="174">
        <f>Interim!FO152</f>
        <v>1674</v>
      </c>
      <c r="BA56" s="174">
        <f>Interim!FP152</f>
        <v>3444</v>
      </c>
      <c r="BB56" s="174">
        <f>Interim!FQ152</f>
        <v>2124</v>
      </c>
      <c r="BC56" s="174">
        <f>Interim!FR152</f>
        <v>5568</v>
      </c>
      <c r="BD56" s="174">
        <f>Interim!FS152</f>
        <v>1908</v>
      </c>
      <c r="BE56" s="174">
        <f>Interim!FT152</f>
        <v>4032</v>
      </c>
      <c r="BF56" s="174">
        <f>Interim!FU152</f>
        <v>7476</v>
      </c>
      <c r="BG56" s="174">
        <f>Interim!FV152</f>
        <v>1895</v>
      </c>
      <c r="BH56" s="174">
        <f>Interim!FW152</f>
        <v>1748</v>
      </c>
      <c r="BI56" s="174">
        <f>Interim!FX152</f>
        <v>3643</v>
      </c>
      <c r="BJ56" s="174">
        <f>Interim!FY152</f>
        <v>2144</v>
      </c>
      <c r="BK56" s="174">
        <f>Interim!FZ152</f>
        <v>5787</v>
      </c>
      <c r="BL56" s="174">
        <f>Interim!GA152</f>
        <v>1960</v>
      </c>
      <c r="BO56" s="174">
        <f>Interim!GD152</f>
        <v>2019</v>
      </c>
      <c r="BP56" s="174">
        <f>Interim!GE152</f>
        <v>1895</v>
      </c>
      <c r="BR56" s="174">
        <f>Interim!GG152</f>
        <v>2249</v>
      </c>
      <c r="BT56" s="174">
        <f>Interim!GI152</f>
        <v>2060</v>
      </c>
      <c r="BW56" s="174">
        <f>Interim!GL152</f>
        <v>2170</v>
      </c>
      <c r="BX56" s="174">
        <f>Interim!GM152</f>
        <v>1927</v>
      </c>
      <c r="BZ56" s="174">
        <f>Interim!GO152</f>
        <v>2625</v>
      </c>
    </row>
    <row r="57" spans="1:78">
      <c r="B57" s="137" t="s">
        <v>537</v>
      </c>
      <c r="C57" s="174">
        <f>Interim!DR157</f>
        <v>272</v>
      </c>
      <c r="D57" s="174">
        <f>Interim!DS157</f>
        <v>353</v>
      </c>
      <c r="E57" s="174">
        <f>Interim!DT157</f>
        <v>625</v>
      </c>
      <c r="F57" s="174">
        <f>Interim!DU157</f>
        <v>320</v>
      </c>
      <c r="G57" s="174">
        <f>Interim!DV157</f>
        <v>945</v>
      </c>
      <c r="H57" s="174">
        <f>Interim!DW157</f>
        <v>276</v>
      </c>
      <c r="I57" s="174">
        <f>Interim!DX157</f>
        <v>596</v>
      </c>
      <c r="J57" s="174">
        <f>Interim!DY157</f>
        <v>1221</v>
      </c>
      <c r="K57" s="174">
        <f>Interim!DZ157</f>
        <v>331</v>
      </c>
      <c r="L57" s="174">
        <f>Interim!EA157</f>
        <v>352</v>
      </c>
      <c r="M57" s="174">
        <f>Interim!EB157</f>
        <v>683</v>
      </c>
      <c r="N57" s="174">
        <f>Interim!EC157</f>
        <v>350</v>
      </c>
      <c r="O57" s="174">
        <f>Interim!ED157</f>
        <v>1033</v>
      </c>
      <c r="P57" s="174">
        <f>Interim!EE157</f>
        <v>314</v>
      </c>
      <c r="Q57" s="174">
        <f>Interim!EF157</f>
        <v>664</v>
      </c>
      <c r="R57" s="174">
        <f>Interim!EG157</f>
        <v>1347</v>
      </c>
      <c r="S57" s="174">
        <f>Interim!EH157</f>
        <v>449</v>
      </c>
      <c r="T57" s="174">
        <f>Interim!EI157</f>
        <v>496</v>
      </c>
      <c r="U57" s="174">
        <f>Interim!EJ157</f>
        <v>945</v>
      </c>
      <c r="V57" s="174">
        <f>Interim!EK157</f>
        <v>384</v>
      </c>
      <c r="W57" s="174">
        <f>Interim!EL157</f>
        <v>1329</v>
      </c>
      <c r="X57" s="174">
        <f>Interim!EM157</f>
        <v>342</v>
      </c>
      <c r="Y57" s="174">
        <f>Interim!EN157</f>
        <v>726</v>
      </c>
      <c r="Z57" s="174">
        <f>Interim!EO157</f>
        <v>1671</v>
      </c>
      <c r="AA57" s="174">
        <f>Interim!EP157</f>
        <v>495</v>
      </c>
      <c r="AB57" s="174">
        <f>Interim!EQ157</f>
        <v>484</v>
      </c>
      <c r="AC57" s="174">
        <f>Interim!ER157</f>
        <v>979</v>
      </c>
      <c r="AD57" s="174">
        <f>Interim!ES157</f>
        <v>396</v>
      </c>
      <c r="AE57" s="174">
        <f>Interim!ET157</f>
        <v>1375</v>
      </c>
      <c r="AF57" s="174">
        <f>Interim!EU157</f>
        <v>431</v>
      </c>
      <c r="AG57" s="174">
        <f>Interim!EV157</f>
        <v>827</v>
      </c>
      <c r="AH57" s="174">
        <f>Interim!EW157</f>
        <v>1806</v>
      </c>
      <c r="AI57" s="174">
        <f>Interim!EX157</f>
        <v>405</v>
      </c>
      <c r="AJ57" s="174">
        <f>Interim!EY157</f>
        <v>440</v>
      </c>
      <c r="AK57" s="174">
        <f>Interim!EZ157</f>
        <v>845</v>
      </c>
      <c r="AL57" s="174">
        <f>Interim!FA157</f>
        <v>366</v>
      </c>
      <c r="AM57" s="174">
        <f>Interim!FB157</f>
        <v>1211</v>
      </c>
      <c r="AN57" s="174">
        <f>Interim!FC157</f>
        <v>386</v>
      </c>
      <c r="AO57" s="174">
        <f>Interim!FD157</f>
        <v>752</v>
      </c>
      <c r="AP57" s="174">
        <f>Interim!FE157</f>
        <v>1597</v>
      </c>
      <c r="AQ57" s="174">
        <f>Interim!FF157</f>
        <v>400</v>
      </c>
      <c r="AR57" s="174">
        <f>Interim!FG157</f>
        <v>415</v>
      </c>
      <c r="AS57" s="174">
        <f>Interim!FH157</f>
        <v>815</v>
      </c>
      <c r="AT57" s="174">
        <f>Interim!FI157</f>
        <v>417</v>
      </c>
      <c r="AU57" s="174">
        <f>Interim!FJ157</f>
        <v>1232</v>
      </c>
      <c r="AV57" s="174">
        <f>Interim!FK157</f>
        <v>353</v>
      </c>
      <c r="AW57" s="174">
        <f>Interim!FL157</f>
        <v>770</v>
      </c>
      <c r="AX57" s="174">
        <f>Interim!FM157</f>
        <v>1585</v>
      </c>
      <c r="AY57" s="174">
        <f>Interim!FN157</f>
        <v>430</v>
      </c>
      <c r="AZ57" s="174">
        <f>Interim!FO157</f>
        <v>457</v>
      </c>
      <c r="BA57" s="174">
        <f>Interim!FP157</f>
        <v>887</v>
      </c>
      <c r="BB57" s="174">
        <f>Interim!FQ157</f>
        <v>429</v>
      </c>
      <c r="BC57" s="174">
        <f>Interim!FR157</f>
        <v>1316</v>
      </c>
      <c r="BD57" s="174">
        <f>Interim!FS157</f>
        <v>365</v>
      </c>
      <c r="BE57" s="174">
        <f>Interim!FT157</f>
        <v>794</v>
      </c>
      <c r="BF57" s="174">
        <f>Interim!FU157</f>
        <v>1681</v>
      </c>
      <c r="BG57" s="174">
        <f>Interim!FV157</f>
        <v>251</v>
      </c>
      <c r="BH57" s="174">
        <f>Interim!FW157</f>
        <v>262</v>
      </c>
      <c r="BI57" s="174">
        <f>Interim!FX157</f>
        <v>513</v>
      </c>
      <c r="BJ57" s="174">
        <f>Interim!FY157</f>
        <v>267</v>
      </c>
      <c r="BK57" s="174">
        <f>Interim!FZ157</f>
        <v>780</v>
      </c>
      <c r="BL57" s="174">
        <f>Interim!GA157</f>
        <v>264</v>
      </c>
      <c r="BO57" s="174">
        <f>Interim!GD157</f>
        <v>324</v>
      </c>
      <c r="BP57" s="174">
        <f>Interim!GE157</f>
        <v>264</v>
      </c>
      <c r="BR57" s="174">
        <f>Interim!GG157</f>
        <v>261</v>
      </c>
      <c r="BT57" s="174">
        <f>Interim!GI157</f>
        <v>61</v>
      </c>
      <c r="BW57" s="174">
        <f>Interim!GL157</f>
        <v>258</v>
      </c>
      <c r="BX57" s="174">
        <f>Interim!GM157</f>
        <v>299</v>
      </c>
      <c r="BZ57" s="174">
        <f>Interim!GO157</f>
        <v>295</v>
      </c>
    </row>
    <row r="58" spans="1:78">
      <c r="A58" s="137" t="s">
        <v>723</v>
      </c>
      <c r="B58" s="718"/>
      <c r="C58" s="958" t="s">
        <v>711</v>
      </c>
      <c r="D58" s="958" t="s">
        <v>712</v>
      </c>
      <c r="E58" s="958" t="s">
        <v>365</v>
      </c>
      <c r="F58" s="958" t="s">
        <v>713</v>
      </c>
      <c r="G58" s="958" t="s">
        <v>367</v>
      </c>
      <c r="H58" s="958" t="s">
        <v>714</v>
      </c>
      <c r="I58" s="958" t="s">
        <v>376</v>
      </c>
      <c r="J58" s="958" t="s">
        <v>30</v>
      </c>
      <c r="K58" s="958" t="s">
        <v>715</v>
      </c>
      <c r="L58" s="958" t="s">
        <v>716</v>
      </c>
      <c r="M58" s="958" t="s">
        <v>372</v>
      </c>
      <c r="N58" s="958" t="s">
        <v>717</v>
      </c>
      <c r="O58" s="958" t="s">
        <v>374</v>
      </c>
      <c r="P58" s="958" t="s">
        <v>718</v>
      </c>
      <c r="Q58" s="958" t="s">
        <v>376</v>
      </c>
      <c r="R58" s="958" t="s">
        <v>30</v>
      </c>
      <c r="S58" s="958" t="s">
        <v>719</v>
      </c>
      <c r="T58" s="958" t="s">
        <v>720</v>
      </c>
      <c r="U58" s="958" t="s">
        <v>379</v>
      </c>
      <c r="V58" s="958" t="s">
        <v>721</v>
      </c>
      <c r="W58" s="958" t="s">
        <v>381</v>
      </c>
      <c r="X58" s="958" t="s">
        <v>722</v>
      </c>
      <c r="Y58" s="958" t="s">
        <v>390</v>
      </c>
      <c r="Z58" s="958" t="s">
        <v>391</v>
      </c>
      <c r="AA58" s="958" t="s">
        <v>392</v>
      </c>
      <c r="AB58" s="958" t="s">
        <v>393</v>
      </c>
      <c r="AC58" s="958" t="s">
        <v>394</v>
      </c>
      <c r="AD58" s="958" t="s">
        <v>395</v>
      </c>
      <c r="AE58" s="958" t="s">
        <v>396</v>
      </c>
      <c r="AF58" s="958" t="s">
        <v>397</v>
      </c>
      <c r="AG58" s="958" t="s">
        <v>398</v>
      </c>
      <c r="AH58" s="958" t="s">
        <v>399</v>
      </c>
      <c r="AI58" s="958" t="s">
        <v>400</v>
      </c>
      <c r="AJ58" s="958" t="s">
        <v>401</v>
      </c>
      <c r="AK58" s="958" t="s">
        <v>402</v>
      </c>
      <c r="AL58" s="958" t="s">
        <v>403</v>
      </c>
      <c r="AM58" s="958" t="s">
        <v>404</v>
      </c>
      <c r="AN58" s="958" t="s">
        <v>405</v>
      </c>
      <c r="AO58" s="958" t="s">
        <v>406</v>
      </c>
      <c r="AP58" s="958" t="s">
        <v>407</v>
      </c>
      <c r="AQ58" s="958" t="s">
        <v>408</v>
      </c>
      <c r="AR58" s="958" t="s">
        <v>409</v>
      </c>
      <c r="AS58" s="958" t="s">
        <v>410</v>
      </c>
      <c r="AT58" s="958" t="s">
        <v>411</v>
      </c>
      <c r="AU58" s="958" t="s">
        <v>412</v>
      </c>
      <c r="AV58" s="958" t="s">
        <v>413</v>
      </c>
      <c r="AW58" s="958" t="s">
        <v>414</v>
      </c>
      <c r="AX58" s="958" t="s">
        <v>415</v>
      </c>
      <c r="AY58" s="958" t="s">
        <v>416</v>
      </c>
      <c r="AZ58" s="958" t="s">
        <v>417</v>
      </c>
      <c r="BA58" s="958" t="s">
        <v>418</v>
      </c>
      <c r="BB58" s="958" t="s">
        <v>419</v>
      </c>
      <c r="BC58" s="718"/>
      <c r="BD58" s="958" t="s">
        <v>421</v>
      </c>
      <c r="BE58" s="718"/>
      <c r="BF58" s="718"/>
      <c r="BG58" s="958" t="s">
        <v>424</v>
      </c>
      <c r="BH58" s="958" t="s">
        <v>425</v>
      </c>
      <c r="BJ58" s="958" t="s">
        <v>427</v>
      </c>
      <c r="BK58" s="959" t="s">
        <v>420</v>
      </c>
      <c r="BL58" s="958" t="s">
        <v>429</v>
      </c>
      <c r="BO58" s="958" t="s">
        <v>432</v>
      </c>
      <c r="BP58" s="958" t="s">
        <v>433</v>
      </c>
      <c r="BR58" s="958" t="s">
        <v>435</v>
      </c>
    </row>
    <row r="59" spans="1:78">
      <c r="B59" s="137" t="s">
        <v>724</v>
      </c>
      <c r="C59" s="717">
        <f t="shared" ref="C59:L61" si="18">K55/C55-1</f>
        <v>0.272798742138365</v>
      </c>
      <c r="D59" s="717">
        <f t="shared" si="18"/>
        <v>0.119907763259032</v>
      </c>
      <c r="E59" s="717">
        <f t="shared" si="18"/>
        <v>0.195491643995336</v>
      </c>
      <c r="F59" s="717">
        <f t="shared" si="18"/>
        <v>0.105361596009975</v>
      </c>
      <c r="G59" s="717">
        <f t="shared" si="18"/>
        <v>0.160881015082595</v>
      </c>
      <c r="H59" s="717">
        <f t="shared" si="18"/>
        <v>0.149339933993399</v>
      </c>
      <c r="I59" s="717">
        <f t="shared" si="18"/>
        <v>0.124289772727273</v>
      </c>
      <c r="J59" s="717">
        <f t="shared" si="18"/>
        <v>0.158285396177398</v>
      </c>
      <c r="K59" s="717">
        <f t="shared" si="18"/>
        <v>0.141445336627548</v>
      </c>
      <c r="L59" s="717">
        <f t="shared" si="18"/>
        <v>0.0803019903912148</v>
      </c>
      <c r="M59" s="717">
        <f t="shared" ref="M59:V61" si="19">U55/M55-1</f>
        <v>0.112483745123537</v>
      </c>
      <c r="N59" s="717">
        <f t="shared" si="19"/>
        <v>0.128595600676819</v>
      </c>
      <c r="O59" s="717">
        <f t="shared" si="19"/>
        <v>0.118374922664467</v>
      </c>
      <c r="P59" s="717">
        <f t="shared" si="19"/>
        <v>0.0760947595118449</v>
      </c>
      <c r="Q59" s="717">
        <f t="shared" si="19"/>
        <v>0.105495893872394</v>
      </c>
      <c r="R59" s="717">
        <f t="shared" si="19"/>
        <v>0.108939442486383</v>
      </c>
      <c r="S59" s="717">
        <f t="shared" si="19"/>
        <v>0.0140692640692641</v>
      </c>
      <c r="T59" s="717">
        <f t="shared" si="19"/>
        <v>0.0349428208386278</v>
      </c>
      <c r="U59" s="717">
        <f t="shared" si="19"/>
        <v>0.0236703682057275</v>
      </c>
      <c r="V59" s="717">
        <f t="shared" si="19"/>
        <v>-0.0749625187406296</v>
      </c>
      <c r="W59" s="717">
        <f t="shared" ref="W59:AF61" si="20">AE55/W55-1</f>
        <v>-0.0127235847316983</v>
      </c>
      <c r="X59" s="717">
        <f t="shared" si="20"/>
        <v>-0.177451634422949</v>
      </c>
      <c r="Y59" s="717">
        <f t="shared" si="20"/>
        <v>-0.118857142857143</v>
      </c>
      <c r="Z59" s="717">
        <f t="shared" si="20"/>
        <v>-0.0483964172204565</v>
      </c>
      <c r="AA59" s="717">
        <f t="shared" si="20"/>
        <v>-0.0960512273212379</v>
      </c>
      <c r="AB59" s="717">
        <f t="shared" si="20"/>
        <v>-0.0184162062615101</v>
      </c>
      <c r="AC59" s="717">
        <f t="shared" si="20"/>
        <v>-0.0599486154724522</v>
      </c>
      <c r="AD59" s="717">
        <f t="shared" si="20"/>
        <v>0.0750945434900054</v>
      </c>
      <c r="AE59" s="717">
        <f t="shared" si="20"/>
        <v>-0.0132611131864027</v>
      </c>
      <c r="AF59" s="717">
        <f t="shared" si="20"/>
        <v>0.115166261151663</v>
      </c>
      <c r="AG59" s="717">
        <f t="shared" ref="AG59:AP61" si="21">AO55/AG55-1</f>
        <v>0.0911154345006484</v>
      </c>
      <c r="AH59" s="717">
        <f t="shared" si="21"/>
        <v>0.0107788067405497</v>
      </c>
      <c r="AI59" s="717">
        <f t="shared" si="21"/>
        <v>0.231995277449823</v>
      </c>
      <c r="AJ59" s="717">
        <f t="shared" si="21"/>
        <v>0.227016885553471</v>
      </c>
      <c r="AK59" s="717">
        <f t="shared" si="21"/>
        <v>0.229577892499241</v>
      </c>
      <c r="AL59" s="717">
        <f t="shared" si="21"/>
        <v>0.18391959798995</v>
      </c>
      <c r="AM59" s="717">
        <f t="shared" si="21"/>
        <v>0.212379329926178</v>
      </c>
      <c r="AN59" s="717">
        <f t="shared" si="21"/>
        <v>0.421818181818182</v>
      </c>
      <c r="AO59" s="717">
        <f t="shared" si="21"/>
        <v>0.28112927191679</v>
      </c>
      <c r="AP59" s="717">
        <f t="shared" si="21"/>
        <v>0.255632322018624</v>
      </c>
      <c r="AQ59" s="717">
        <f t="shared" ref="AQ59:AZ61" si="22">AY55/AQ55-1</f>
        <v>0.230953521801629</v>
      </c>
      <c r="AR59" s="717">
        <f t="shared" si="22"/>
        <v>0.167686034658512</v>
      </c>
      <c r="AS59" s="717">
        <f t="shared" si="22"/>
        <v>0.200296369473944</v>
      </c>
      <c r="AT59" s="717">
        <f t="shared" si="22"/>
        <v>0.213497453310696</v>
      </c>
      <c r="AU59" s="717">
        <f t="shared" si="22"/>
        <v>0.205152224824356</v>
      </c>
      <c r="AV59" s="717">
        <f t="shared" si="22"/>
        <v>0.235805626598465</v>
      </c>
      <c r="AW59" s="717">
        <f t="shared" si="22"/>
        <v>0.223614010670378</v>
      </c>
      <c r="AX59" s="717">
        <f t="shared" si="22"/>
        <v>0.212320574162679</v>
      </c>
      <c r="AY59" s="717">
        <f t="shared" si="22"/>
        <v>0.284935772674192</v>
      </c>
      <c r="AZ59" s="717">
        <f t="shared" si="22"/>
        <v>0.321693583587953</v>
      </c>
      <c r="BA59" s="717">
        <f t="shared" ref="BA59:BD61" si="23">BI55/BA55-1</f>
        <v>0.302263374485597</v>
      </c>
      <c r="BB59" s="717">
        <f t="shared" si="23"/>
        <v>0.14235746764603</v>
      </c>
      <c r="BD59" s="717">
        <f t="shared" si="23"/>
        <v>0.172185430463576</v>
      </c>
      <c r="BG59" s="717">
        <f t="shared" ref="BG59:BL61" si="24">BO55/BG55-1</f>
        <v>-0.0293850348379279</v>
      </c>
      <c r="BH59" s="717">
        <f t="shared" si="24"/>
        <v>0.02443857331572</v>
      </c>
      <c r="BJ59" s="717">
        <f t="shared" si="24"/>
        <v>0.0296999387630128</v>
      </c>
      <c r="BL59" s="717">
        <f t="shared" si="24"/>
        <v>0.099223163841808</v>
      </c>
      <c r="BO59" s="717">
        <f t="shared" ref="BO59:BR61" si="25">BW55/BO55-1</f>
        <v>0.0786516853932584</v>
      </c>
      <c r="BP59" s="717">
        <f t="shared" si="25"/>
        <v>0.0583494519664733</v>
      </c>
      <c r="BR59" s="717">
        <f t="shared" si="25"/>
        <v>0.0377639012786202</v>
      </c>
    </row>
    <row r="60" spans="1:78">
      <c r="B60" s="137" t="s">
        <v>725</v>
      </c>
      <c r="C60" s="717">
        <f t="shared" si="18"/>
        <v>0.170796460176991</v>
      </c>
      <c r="D60" s="717">
        <f t="shared" si="18"/>
        <v>-0.00475435816164815</v>
      </c>
      <c r="E60" s="717">
        <f t="shared" si="18"/>
        <v>0.0781772575250836</v>
      </c>
      <c r="F60" s="717">
        <f t="shared" si="18"/>
        <v>0.0485436893203883</v>
      </c>
      <c r="G60" s="717">
        <f t="shared" si="18"/>
        <v>0.0665481330962663</v>
      </c>
      <c r="H60" s="717">
        <f t="shared" si="18"/>
        <v>0.0630630630630631</v>
      </c>
      <c r="I60" s="717">
        <f t="shared" si="18"/>
        <v>0.0555555555555556</v>
      </c>
      <c r="J60" s="717">
        <f t="shared" si="18"/>
        <v>0.0656133828996281</v>
      </c>
      <c r="K60" s="717">
        <f t="shared" si="18"/>
        <v>0.154195011337869</v>
      </c>
      <c r="L60" s="717">
        <f t="shared" si="18"/>
        <v>0.152866242038217</v>
      </c>
      <c r="M60" s="717">
        <f t="shared" si="19"/>
        <v>0.153547886777821</v>
      </c>
      <c r="N60" s="717">
        <f t="shared" si="19"/>
        <v>0.102469135802469</v>
      </c>
      <c r="O60" s="717">
        <f t="shared" si="19"/>
        <v>0.133841390807335</v>
      </c>
      <c r="P60" s="717">
        <f t="shared" si="19"/>
        <v>-0.00325945241199477</v>
      </c>
      <c r="Q60" s="717">
        <f t="shared" si="19"/>
        <v>0.0510462904248574</v>
      </c>
      <c r="R60" s="717">
        <f t="shared" si="19"/>
        <v>0.0971568114425256</v>
      </c>
      <c r="S60" s="717">
        <f t="shared" si="19"/>
        <v>-0.0949574328749181</v>
      </c>
      <c r="T60" s="717">
        <f t="shared" si="19"/>
        <v>-0.12292817679558</v>
      </c>
      <c r="U60" s="717">
        <f t="shared" si="19"/>
        <v>-0.108571428571429</v>
      </c>
      <c r="V60" s="717">
        <f t="shared" si="19"/>
        <v>-0.0862262038073908</v>
      </c>
      <c r="W60" s="717">
        <f t="shared" si="20"/>
        <v>-0.100189035916824</v>
      </c>
      <c r="X60" s="717">
        <f t="shared" si="20"/>
        <v>-0.00130804447351207</v>
      </c>
      <c r="Y60" s="717">
        <f t="shared" si="20"/>
        <v>-0.0470588235294118</v>
      </c>
      <c r="Z60" s="717">
        <f t="shared" si="20"/>
        <v>-0.0761526232114468</v>
      </c>
      <c r="AA60" s="717">
        <f t="shared" si="20"/>
        <v>0.0376266280752533</v>
      </c>
      <c r="AB60" s="717">
        <f t="shared" si="20"/>
        <v>0.122834645669291</v>
      </c>
      <c r="AC60" s="717">
        <f t="shared" si="20"/>
        <v>0.0784313725490196</v>
      </c>
      <c r="AD60" s="717">
        <f t="shared" si="20"/>
        <v>0.0802696078431373</v>
      </c>
      <c r="AE60" s="717">
        <f t="shared" si="20"/>
        <v>0.0791316526610644</v>
      </c>
      <c r="AF60" s="717">
        <f t="shared" si="20"/>
        <v>0.0844793713163066</v>
      </c>
      <c r="AG60" s="717">
        <f t="shared" si="21"/>
        <v>0.0823045267489713</v>
      </c>
      <c r="AH60" s="717">
        <f t="shared" si="21"/>
        <v>0.080536912751678</v>
      </c>
      <c r="AI60" s="717">
        <f t="shared" si="21"/>
        <v>0.112273361227336</v>
      </c>
      <c r="AJ60" s="717">
        <f t="shared" si="21"/>
        <v>0.0729312762973353</v>
      </c>
      <c r="AK60" s="717">
        <f t="shared" si="21"/>
        <v>0.0926573426573427</v>
      </c>
      <c r="AL60" s="717">
        <f t="shared" si="21"/>
        <v>0.126488939307998</v>
      </c>
      <c r="AM60" s="717">
        <f t="shared" si="21"/>
        <v>0.105559160718148</v>
      </c>
      <c r="AN60" s="717">
        <f t="shared" si="21"/>
        <v>0.122584541062802</v>
      </c>
      <c r="AO60" s="717">
        <f t="shared" si="21"/>
        <v>0.124597835624452</v>
      </c>
      <c r="AP60" s="717">
        <f t="shared" si="21"/>
        <v>0.110049370918936</v>
      </c>
      <c r="AQ60" s="717">
        <f t="shared" si="22"/>
        <v>0.109717868338558</v>
      </c>
      <c r="AR60" s="717">
        <f t="shared" si="22"/>
        <v>0.0941176470588236</v>
      </c>
      <c r="AS60" s="717">
        <f t="shared" si="22"/>
        <v>0.10208</v>
      </c>
      <c r="AT60" s="717">
        <f t="shared" si="22"/>
        <v>0.0694864048338368</v>
      </c>
      <c r="AU60" s="717">
        <f t="shared" si="22"/>
        <v>0.0894149872823322</v>
      </c>
      <c r="AV60" s="717">
        <f t="shared" si="22"/>
        <v>0.0263582571274878</v>
      </c>
      <c r="AW60" s="717">
        <f t="shared" si="22"/>
        <v>0.048634590377113</v>
      </c>
      <c r="AX60" s="717">
        <f t="shared" si="22"/>
        <v>0.0725968436154949</v>
      </c>
      <c r="AY60" s="717">
        <f t="shared" si="22"/>
        <v>0.0706214689265536</v>
      </c>
      <c r="AZ60" s="717">
        <f t="shared" si="22"/>
        <v>0.0442054958183991</v>
      </c>
      <c r="BA60" s="717">
        <f t="shared" si="23"/>
        <v>0.0577816492450638</v>
      </c>
      <c r="BB60" s="717">
        <f t="shared" si="23"/>
        <v>0.00941619585687392</v>
      </c>
      <c r="BD60" s="717">
        <f t="shared" si="23"/>
        <v>0.0272536687631026</v>
      </c>
      <c r="BG60" s="717">
        <f t="shared" si="24"/>
        <v>0.0654353562005276</v>
      </c>
      <c r="BH60" s="717">
        <f t="shared" si="24"/>
        <v>0.084096109839817</v>
      </c>
      <c r="BJ60" s="717">
        <f t="shared" si="24"/>
        <v>0.048973880597015</v>
      </c>
      <c r="BL60" s="717">
        <f t="shared" si="24"/>
        <v>0.0510204081632653</v>
      </c>
      <c r="BO60" s="717">
        <f t="shared" si="25"/>
        <v>0.0747894997523526</v>
      </c>
      <c r="BP60" s="717">
        <f t="shared" si="25"/>
        <v>0.01688654353562</v>
      </c>
      <c r="BR60" s="717">
        <f t="shared" si="25"/>
        <v>0.167185415740329</v>
      </c>
    </row>
    <row r="61" spans="1:78">
      <c r="B61" s="137" t="s">
        <v>726</v>
      </c>
      <c r="C61" s="717">
        <f t="shared" si="18"/>
        <v>0.216911764705882</v>
      </c>
      <c r="D61" s="717">
        <f t="shared" si="18"/>
        <v>-0.00283286118980175</v>
      </c>
      <c r="E61" s="717">
        <f t="shared" si="18"/>
        <v>0.0928</v>
      </c>
      <c r="F61" s="717">
        <f t="shared" si="18"/>
        <v>0.09375</v>
      </c>
      <c r="G61" s="717">
        <f t="shared" si="18"/>
        <v>0.0931216931216932</v>
      </c>
      <c r="H61" s="717">
        <f t="shared" si="18"/>
        <v>0.13768115942029</v>
      </c>
      <c r="I61" s="717">
        <f t="shared" si="18"/>
        <v>0.114093959731544</v>
      </c>
      <c r="J61" s="717">
        <f t="shared" si="18"/>
        <v>0.103194103194103</v>
      </c>
      <c r="K61" s="717">
        <f t="shared" si="18"/>
        <v>0.356495468277946</v>
      </c>
      <c r="L61" s="717">
        <f t="shared" si="18"/>
        <v>0.409090909090909</v>
      </c>
      <c r="M61" s="717">
        <f t="shared" si="19"/>
        <v>0.383601756954612</v>
      </c>
      <c r="N61" s="717">
        <f t="shared" si="19"/>
        <v>0.0971428571428572</v>
      </c>
      <c r="O61" s="717">
        <f t="shared" si="19"/>
        <v>0.286544046466602</v>
      </c>
      <c r="P61" s="717">
        <f t="shared" si="19"/>
        <v>0.089171974522293</v>
      </c>
      <c r="Q61" s="717">
        <f t="shared" si="19"/>
        <v>0.0933734939759037</v>
      </c>
      <c r="R61" s="717">
        <f t="shared" si="19"/>
        <v>0.240534521158129</v>
      </c>
      <c r="S61" s="717">
        <f t="shared" si="19"/>
        <v>0.102449888641425</v>
      </c>
      <c r="T61" s="717">
        <f t="shared" si="19"/>
        <v>-0.0241935483870968</v>
      </c>
      <c r="U61" s="717">
        <f t="shared" si="19"/>
        <v>0.035978835978836</v>
      </c>
      <c r="V61" s="717">
        <f t="shared" si="19"/>
        <v>0.03125</v>
      </c>
      <c r="W61" s="717">
        <f t="shared" si="20"/>
        <v>0.0346124905944318</v>
      </c>
      <c r="X61" s="717">
        <f t="shared" si="20"/>
        <v>0.260233918128655</v>
      </c>
      <c r="Y61" s="717">
        <f t="shared" si="20"/>
        <v>0.139118457300275</v>
      </c>
      <c r="Z61" s="717">
        <f t="shared" si="20"/>
        <v>0.0807899461400359</v>
      </c>
      <c r="AA61" s="717">
        <f t="shared" si="20"/>
        <v>-0.181818181818182</v>
      </c>
      <c r="AB61" s="717">
        <f t="shared" si="20"/>
        <v>-0.0909090909090909</v>
      </c>
      <c r="AC61" s="717">
        <f t="shared" si="20"/>
        <v>-0.136874361593463</v>
      </c>
      <c r="AD61" s="717">
        <f t="shared" si="20"/>
        <v>-0.0757575757575758</v>
      </c>
      <c r="AE61" s="717">
        <f t="shared" si="20"/>
        <v>-0.119272727272727</v>
      </c>
      <c r="AF61" s="717">
        <f t="shared" si="20"/>
        <v>-0.104408352668213</v>
      </c>
      <c r="AG61" s="717">
        <f t="shared" si="21"/>
        <v>-0.090689238210399</v>
      </c>
      <c r="AH61" s="717">
        <f t="shared" si="21"/>
        <v>-0.115725359911406</v>
      </c>
      <c r="AI61" s="717">
        <f t="shared" si="21"/>
        <v>-0.0123456790123457</v>
      </c>
      <c r="AJ61" s="717">
        <f t="shared" si="21"/>
        <v>-0.0568181818181818</v>
      </c>
      <c r="AK61" s="717">
        <f t="shared" si="21"/>
        <v>-0.0355029585798816</v>
      </c>
      <c r="AL61" s="717">
        <f t="shared" si="21"/>
        <v>0.139344262295082</v>
      </c>
      <c r="AM61" s="717">
        <f t="shared" si="21"/>
        <v>0.0173410404624277</v>
      </c>
      <c r="AN61" s="717">
        <f t="shared" si="21"/>
        <v>-0.0854922279792746</v>
      </c>
      <c r="AO61" s="717">
        <f t="shared" si="21"/>
        <v>0.0239361702127661</v>
      </c>
      <c r="AP61" s="717">
        <f t="shared" si="21"/>
        <v>-0.0075140889167189</v>
      </c>
      <c r="AQ61" s="717">
        <f t="shared" si="22"/>
        <v>0.075</v>
      </c>
      <c r="AR61" s="717">
        <f t="shared" si="22"/>
        <v>0.101204819277108</v>
      </c>
      <c r="AS61" s="717">
        <f t="shared" si="22"/>
        <v>0.0883435582822085</v>
      </c>
      <c r="AT61" s="717">
        <f t="shared" si="22"/>
        <v>0.0287769784172662</v>
      </c>
      <c r="AU61" s="717">
        <f t="shared" si="22"/>
        <v>0.0681818181818181</v>
      </c>
      <c r="AV61" s="717">
        <f t="shared" si="22"/>
        <v>0.0339943342776203</v>
      </c>
      <c r="AW61" s="717">
        <f t="shared" si="22"/>
        <v>0.0311688311688312</v>
      </c>
      <c r="AX61" s="717">
        <f t="shared" si="22"/>
        <v>0.0605678233438485</v>
      </c>
      <c r="AY61" s="717">
        <f t="shared" si="22"/>
        <v>-0.416279069767442</v>
      </c>
      <c r="AZ61" s="717">
        <f t="shared" si="22"/>
        <v>-0.426695842450766</v>
      </c>
      <c r="BA61" s="717">
        <f t="shared" si="23"/>
        <v>-0.421645997745209</v>
      </c>
      <c r="BB61" s="717">
        <f t="shared" si="23"/>
        <v>-0.377622377622378</v>
      </c>
      <c r="BD61" s="717">
        <f t="shared" si="23"/>
        <v>-0.276712328767123</v>
      </c>
      <c r="BG61" s="717">
        <f t="shared" si="24"/>
        <v>0.290836653386454</v>
      </c>
      <c r="BH61" s="717">
        <f t="shared" si="24"/>
        <v>0.00763358778625944</v>
      </c>
      <c r="BJ61" s="717">
        <f t="shared" si="24"/>
        <v>-0.0224719101123596</v>
      </c>
      <c r="BL61" s="717">
        <f t="shared" si="24"/>
        <v>-0.768939393939394</v>
      </c>
      <c r="BO61" s="717">
        <f t="shared" si="25"/>
        <v>-0.203703703703704</v>
      </c>
      <c r="BP61" s="717">
        <f t="shared" si="25"/>
        <v>0.132575757575758</v>
      </c>
      <c r="BR61" s="717">
        <f t="shared" si="25"/>
        <v>0.130268199233716</v>
      </c>
    </row>
    <row r="63" spans="1:78">
      <c r="A63" s="137" t="s">
        <v>727</v>
      </c>
      <c r="B63" s="718"/>
      <c r="C63" s="958" t="s">
        <v>711</v>
      </c>
      <c r="D63" s="958" t="s">
        <v>712</v>
      </c>
      <c r="E63" s="958" t="s">
        <v>365</v>
      </c>
      <c r="F63" s="958" t="s">
        <v>713</v>
      </c>
      <c r="G63" s="958" t="s">
        <v>367</v>
      </c>
      <c r="H63" s="958" t="s">
        <v>714</v>
      </c>
      <c r="I63" s="958" t="s">
        <v>369</v>
      </c>
      <c r="J63" s="958" t="s">
        <v>29</v>
      </c>
      <c r="K63" s="958" t="s">
        <v>715</v>
      </c>
      <c r="L63" s="958" t="s">
        <v>716</v>
      </c>
      <c r="M63" s="958" t="s">
        <v>372</v>
      </c>
      <c r="N63" s="958" t="s">
        <v>717</v>
      </c>
      <c r="O63" s="958" t="s">
        <v>374</v>
      </c>
      <c r="P63" s="958" t="s">
        <v>718</v>
      </c>
      <c r="Q63" s="958" t="s">
        <v>376</v>
      </c>
      <c r="R63" s="958" t="s">
        <v>30</v>
      </c>
      <c r="S63" s="958" t="s">
        <v>719</v>
      </c>
      <c r="T63" s="958" t="s">
        <v>720</v>
      </c>
      <c r="U63" s="958" t="s">
        <v>379</v>
      </c>
      <c r="V63" s="958" t="s">
        <v>721</v>
      </c>
      <c r="W63" s="958" t="s">
        <v>381</v>
      </c>
      <c r="X63" s="958" t="s">
        <v>722</v>
      </c>
      <c r="Y63" s="958" t="s">
        <v>383</v>
      </c>
      <c r="Z63" s="958" t="s">
        <v>31</v>
      </c>
      <c r="AA63" s="958" t="s">
        <v>384</v>
      </c>
      <c r="AB63" s="958" t="s">
        <v>385</v>
      </c>
      <c r="AC63" s="958" t="s">
        <v>386</v>
      </c>
      <c r="AD63" s="958" t="s">
        <v>387</v>
      </c>
      <c r="AE63" s="958" t="s">
        <v>388</v>
      </c>
      <c r="AF63" s="958" t="s">
        <v>389</v>
      </c>
      <c r="AG63" s="958" t="s">
        <v>390</v>
      </c>
      <c r="AH63" s="958" t="s">
        <v>391</v>
      </c>
      <c r="AI63" s="958" t="s">
        <v>392</v>
      </c>
      <c r="AJ63" s="958" t="s">
        <v>393</v>
      </c>
      <c r="AK63" s="958" t="s">
        <v>394</v>
      </c>
      <c r="AL63" s="958" t="s">
        <v>395</v>
      </c>
      <c r="AM63" s="958" t="s">
        <v>396</v>
      </c>
      <c r="AN63" s="958" t="s">
        <v>397</v>
      </c>
      <c r="AO63" s="958" t="s">
        <v>398</v>
      </c>
      <c r="AP63" s="958" t="s">
        <v>399</v>
      </c>
      <c r="AQ63" s="958" t="s">
        <v>400</v>
      </c>
      <c r="AR63" s="958" t="s">
        <v>401</v>
      </c>
      <c r="AS63" s="958" t="s">
        <v>402</v>
      </c>
      <c r="AT63" s="958" t="s">
        <v>403</v>
      </c>
      <c r="AU63" s="958" t="s">
        <v>404</v>
      </c>
      <c r="AV63" s="958" t="s">
        <v>405</v>
      </c>
      <c r="AW63" s="958" t="s">
        <v>406</v>
      </c>
      <c r="AX63" s="958" t="s">
        <v>407</v>
      </c>
      <c r="AY63" s="958" t="s">
        <v>408</v>
      </c>
      <c r="AZ63" s="958" t="s">
        <v>409</v>
      </c>
      <c r="BA63" s="958" t="s">
        <v>410</v>
      </c>
      <c r="BB63" s="958" t="s">
        <v>411</v>
      </c>
      <c r="BC63" s="958" t="s">
        <v>412</v>
      </c>
      <c r="BD63" s="958" t="s">
        <v>413</v>
      </c>
      <c r="BE63" s="958" t="s">
        <v>414</v>
      </c>
      <c r="BF63" s="958" t="s">
        <v>415</v>
      </c>
      <c r="BG63" s="958" t="s">
        <v>416</v>
      </c>
      <c r="BH63" s="958" t="s">
        <v>417</v>
      </c>
      <c r="BI63" s="958" t="s">
        <v>418</v>
      </c>
      <c r="BJ63" s="958" t="s">
        <v>419</v>
      </c>
      <c r="BK63" s="958" t="s">
        <v>420</v>
      </c>
      <c r="BL63" s="958" t="s">
        <v>421</v>
      </c>
      <c r="BM63" s="718"/>
      <c r="BN63" s="718"/>
      <c r="BO63" s="958" t="s">
        <v>424</v>
      </c>
      <c r="BP63" s="958" t="s">
        <v>425</v>
      </c>
      <c r="BR63" s="958" t="s">
        <v>427</v>
      </c>
      <c r="BT63" s="958" t="s">
        <v>429</v>
      </c>
      <c r="BW63" s="958" t="s">
        <v>432</v>
      </c>
      <c r="BX63" s="958" t="s">
        <v>433</v>
      </c>
      <c r="BZ63" s="958" t="s">
        <v>435</v>
      </c>
    </row>
    <row r="64" spans="1:78">
      <c r="B64" s="137" t="s">
        <v>533</v>
      </c>
      <c r="C64" s="138">
        <f>C55/SUM(C55:C57)</f>
        <v>0.475691847419596</v>
      </c>
      <c r="D64" s="138">
        <f t="shared" ref="D64:BJ64" si="26">D55/SUM(D55:D57)</f>
        <v>0.446159122085048</v>
      </c>
      <c r="E64" s="138">
        <f t="shared" si="26"/>
        <v>0.460286225402504</v>
      </c>
      <c r="F64" s="138">
        <f t="shared" si="26"/>
        <v>0.462381089651196</v>
      </c>
      <c r="G64" s="138">
        <f t="shared" si="26"/>
        <v>0.461088420355448</v>
      </c>
      <c r="H64" s="138">
        <f t="shared" si="26"/>
        <v>0.413510747185261</v>
      </c>
      <c r="I64" s="138">
        <f t="shared" si="26"/>
        <v>0.44</v>
      </c>
      <c r="J64" s="138">
        <f t="shared" si="26"/>
        <v>0.449457881567973</v>
      </c>
      <c r="K64" s="138">
        <f t="shared" si="26"/>
        <v>0.494653223342499</v>
      </c>
      <c r="L64" s="138">
        <f t="shared" si="26"/>
        <v>0.47536704730832</v>
      </c>
      <c r="M64" s="138">
        <f t="shared" si="26"/>
        <v>0.485326601451562</v>
      </c>
      <c r="N64" s="138">
        <f t="shared" si="26"/>
        <v>0.473684210526316</v>
      </c>
      <c r="O64" s="138">
        <f t="shared" si="26"/>
        <v>0.481003868663823</v>
      </c>
      <c r="P64" s="138">
        <f t="shared" si="26"/>
        <v>0.429805615550756</v>
      </c>
      <c r="Q64" s="138">
        <f t="shared" si="26"/>
        <v>0.453321878579611</v>
      </c>
      <c r="R64" s="138">
        <f t="shared" si="26"/>
        <v>0.468548266026122</v>
      </c>
      <c r="S64" s="138">
        <f t="shared" si="26"/>
        <v>0.48326359832636</v>
      </c>
      <c r="T64" s="138">
        <f t="shared" si="26"/>
        <v>0.447413303013076</v>
      </c>
      <c r="U64" s="138">
        <f t="shared" si="26"/>
        <v>0.466085535276491</v>
      </c>
      <c r="V64" s="138">
        <f t="shared" si="26"/>
        <v>0.479741069287941</v>
      </c>
      <c r="W64" s="138">
        <f t="shared" si="26"/>
        <v>0.47103274559194</v>
      </c>
      <c r="X64" s="138">
        <f t="shared" si="26"/>
        <v>0.444807121661721</v>
      </c>
      <c r="Y64" s="138">
        <f t="shared" si="26"/>
        <v>0.464129425805596</v>
      </c>
      <c r="Z64" s="138">
        <f t="shared" si="26"/>
        <v>0.465094403010146</v>
      </c>
      <c r="AA64" s="138">
        <f t="shared" si="26"/>
        <v>0.49960010663823</v>
      </c>
      <c r="AB64" s="138">
        <f t="shared" si="26"/>
        <v>0.481525273425953</v>
      </c>
      <c r="AC64" s="138">
        <f t="shared" si="26"/>
        <v>0.491028875805999</v>
      </c>
      <c r="AD64" s="138">
        <f t="shared" si="26"/>
        <v>0.477184841453983</v>
      </c>
      <c r="AE64" s="138">
        <f t="shared" si="26"/>
        <v>0.48615272859348</v>
      </c>
      <c r="AF64" s="138">
        <f t="shared" si="26"/>
        <v>0.386399247884676</v>
      </c>
      <c r="AG64" s="138">
        <f t="shared" si="26"/>
        <v>0.436209335219236</v>
      </c>
      <c r="AH64" s="138">
        <f t="shared" si="26"/>
        <v>0.463742607716136</v>
      </c>
      <c r="AI64" s="138">
        <f t="shared" si="26"/>
        <v>0.47947919615058</v>
      </c>
      <c r="AJ64" s="138">
        <f t="shared" si="26"/>
        <v>0.461471861471861</v>
      </c>
      <c r="AK64" s="138">
        <f t="shared" si="26"/>
        <v>0.470563018005144</v>
      </c>
      <c r="AL64" s="138">
        <f t="shared" si="26"/>
        <v>0.483126972566157</v>
      </c>
      <c r="AM64" s="138">
        <f t="shared" si="26"/>
        <v>0.475218134388774</v>
      </c>
      <c r="AN64" s="138">
        <f t="shared" si="26"/>
        <v>0.4023997658765</v>
      </c>
      <c r="AO64" s="138">
        <f t="shared" si="26"/>
        <v>0.446523354564756</v>
      </c>
      <c r="AP64" s="138">
        <f t="shared" si="26"/>
        <v>0.458098252373744</v>
      </c>
      <c r="AQ64" s="138">
        <f t="shared" si="26"/>
        <v>0.511268985791279</v>
      </c>
      <c r="AR64" s="138">
        <f t="shared" si="26"/>
        <v>0.502175582288201</v>
      </c>
      <c r="AS64" s="138">
        <f t="shared" si="26"/>
        <v>0.506821880085117</v>
      </c>
      <c r="AT64" s="138">
        <f t="shared" si="26"/>
        <v>0.495061987812566</v>
      </c>
      <c r="AU64" s="138">
        <f t="shared" si="26"/>
        <v>0.502431754000628</v>
      </c>
      <c r="AV64" s="138">
        <f t="shared" si="26"/>
        <v>0.46916246700264</v>
      </c>
      <c r="AW64" s="138">
        <f t="shared" si="26"/>
        <v>0.482971095675555</v>
      </c>
      <c r="AX64" s="138">
        <f t="shared" si="26"/>
        <v>0.494235885308897</v>
      </c>
      <c r="AY64" s="138">
        <f t="shared" si="26"/>
        <v>0.538687355839799</v>
      </c>
      <c r="AZ64" s="138">
        <f t="shared" si="26"/>
        <v>0.518091361374943</v>
      </c>
      <c r="BA64" s="138">
        <f t="shared" si="26"/>
        <v>0.528778152540529</v>
      </c>
      <c r="BB64" s="138">
        <f t="shared" si="26"/>
        <v>0.528270509977827</v>
      </c>
      <c r="BC64" s="138">
        <f t="shared" si="26"/>
        <v>0.528590015750188</v>
      </c>
      <c r="BD64" s="138">
        <f t="shared" si="26"/>
        <v>0.515248453828108</v>
      </c>
      <c r="BE64" s="138">
        <f t="shared" si="26"/>
        <v>0.522225522225522</v>
      </c>
      <c r="BF64" s="138">
        <f t="shared" si="26"/>
        <v>0.525347294215219</v>
      </c>
      <c r="BG64" s="138">
        <f t="shared" si="26"/>
        <v>0.6060216633009</v>
      </c>
      <c r="BH64" s="138">
        <f t="shared" si="26"/>
        <v>0.601032155617308</v>
      </c>
      <c r="BI64" s="138">
        <f t="shared" si="26"/>
        <v>0.603624225083453</v>
      </c>
      <c r="BJ64" s="138">
        <f t="shared" si="26"/>
        <v>0.575303857671305</v>
      </c>
      <c r="BL64" s="138">
        <f t="shared" ref="BL64" si="27">BL55/SUM(BL55:BL57)</f>
        <v>0.560126582278481</v>
      </c>
      <c r="BO64" s="138">
        <f t="shared" ref="BO64:BP64" si="28">BO55/SUM(BO55:BO57)</f>
        <v>0.577609518658734</v>
      </c>
      <c r="BP64" s="138">
        <f t="shared" si="28"/>
        <v>0.589621744915415</v>
      </c>
      <c r="BR64" s="138">
        <f t="shared" ref="BR64" si="29">BR55/SUM(BR55:BR57)</f>
        <v>0.572620466541801</v>
      </c>
      <c r="BT64" s="138">
        <f t="shared" ref="BT64" si="30">BT55/SUM(BT55:BT57)</f>
        <v>0.594764998089415</v>
      </c>
      <c r="BW64" s="138">
        <f t="shared" ref="BW64:BX64" si="31">BW55/SUM(BW55:BW57)</f>
        <v>0.587355540448674</v>
      </c>
      <c r="BX64" s="138">
        <f t="shared" si="31"/>
        <v>0.595933926302414</v>
      </c>
      <c r="BZ64" s="138">
        <f t="shared" ref="BZ64" si="32">BZ55/SUM(BZ55:BZ57)</f>
        <v>0.544461778471139</v>
      </c>
    </row>
    <row r="65" spans="1:78">
      <c r="B65" s="137" t="s">
        <v>536</v>
      </c>
      <c r="C65" s="138">
        <f>C56/SUM(C55:C57)</f>
        <v>0.422587883320868</v>
      </c>
      <c r="D65" s="138">
        <f t="shared" ref="D65:BJ65" si="33">D56/SUM(D55:D57)</f>
        <v>0.43278463648834</v>
      </c>
      <c r="E65" s="138">
        <f t="shared" si="33"/>
        <v>0.427906976744186</v>
      </c>
      <c r="F65" s="138">
        <f t="shared" si="33"/>
        <v>0.445373306428366</v>
      </c>
      <c r="G65" s="138">
        <f t="shared" si="33"/>
        <v>0.434595429959157</v>
      </c>
      <c r="H65" s="138">
        <f t="shared" si="33"/>
        <v>0.492323439099283</v>
      </c>
      <c r="I65" s="138">
        <f t="shared" si="33"/>
        <v>0.466875</v>
      </c>
      <c r="J65" s="138">
        <f t="shared" si="33"/>
        <v>0.448707256046706</v>
      </c>
      <c r="K65" s="138">
        <f t="shared" si="33"/>
        <v>0.404216315307058</v>
      </c>
      <c r="L65" s="138">
        <f t="shared" si="33"/>
        <v>0.40978792822186</v>
      </c>
      <c r="M65" s="138">
        <f t="shared" si="33"/>
        <v>0.406910697380877</v>
      </c>
      <c r="N65" s="138">
        <f t="shared" si="33"/>
        <v>0.432807908095111</v>
      </c>
      <c r="O65" s="138">
        <f t="shared" si="33"/>
        <v>0.416526138279933</v>
      </c>
      <c r="P65" s="138">
        <f t="shared" si="33"/>
        <v>0.473310706572046</v>
      </c>
      <c r="Q65" s="138">
        <f t="shared" si="33"/>
        <v>0.451603665521191</v>
      </c>
      <c r="R65" s="138">
        <f t="shared" si="33"/>
        <v>0.430340789671221</v>
      </c>
      <c r="S65" s="138">
        <f t="shared" si="33"/>
        <v>0.399320083682008</v>
      </c>
      <c r="T65" s="138">
        <f t="shared" si="33"/>
        <v>0.411597498578738</v>
      </c>
      <c r="U65" s="138">
        <f t="shared" si="33"/>
        <v>0.405202941977663</v>
      </c>
      <c r="V65" s="138">
        <f t="shared" si="33"/>
        <v>0.428194677535363</v>
      </c>
      <c r="W65" s="138">
        <f t="shared" si="33"/>
        <v>0.413532528446104</v>
      </c>
      <c r="X65" s="138">
        <f t="shared" si="33"/>
        <v>0.453709198813056</v>
      </c>
      <c r="Y65" s="138">
        <f t="shared" si="33"/>
        <v>0.439596870441586</v>
      </c>
      <c r="Z65" s="138">
        <f t="shared" si="33"/>
        <v>0.422629846133172</v>
      </c>
      <c r="AA65" s="138">
        <f t="shared" si="33"/>
        <v>0.368435083977606</v>
      </c>
      <c r="AB65" s="138">
        <f t="shared" si="33"/>
        <v>0.375406443984629</v>
      </c>
      <c r="AC65" s="138">
        <f t="shared" si="33"/>
        <v>0.371740958788898</v>
      </c>
      <c r="AD65" s="138">
        <f t="shared" si="33"/>
        <v>0.420726991492653</v>
      </c>
      <c r="AE65" s="138">
        <f t="shared" si="33"/>
        <v>0.388994824298556</v>
      </c>
      <c r="AF65" s="138">
        <f t="shared" si="33"/>
        <v>0.478533375117518</v>
      </c>
      <c r="AG65" s="138">
        <f t="shared" si="33"/>
        <v>0.446817538896747</v>
      </c>
      <c r="AH65" s="138">
        <f t="shared" si="33"/>
        <v>0.409110109828217</v>
      </c>
      <c r="AI65" s="138">
        <f t="shared" si="33"/>
        <v>0.405887347863006</v>
      </c>
      <c r="AJ65" s="138">
        <f t="shared" si="33"/>
        <v>0.411544011544012</v>
      </c>
      <c r="AK65" s="138">
        <f t="shared" si="33"/>
        <v>0.408688196627608</v>
      </c>
      <c r="AL65" s="138">
        <f t="shared" si="33"/>
        <v>0.428016508861374</v>
      </c>
      <c r="AM65" s="138">
        <f t="shared" si="33"/>
        <v>0.415849599712153</v>
      </c>
      <c r="AN65" s="138">
        <f t="shared" si="33"/>
        <v>0.484635645302897</v>
      </c>
      <c r="AO65" s="138">
        <f t="shared" si="33"/>
        <v>0.453688959660297</v>
      </c>
      <c r="AP65" s="138">
        <f t="shared" si="33"/>
        <v>0.432021466905188</v>
      </c>
      <c r="AQ65" s="138">
        <f t="shared" si="33"/>
        <v>0.390739833414993</v>
      </c>
      <c r="AR65" s="138">
        <f t="shared" si="33"/>
        <v>0.39160481187612</v>
      </c>
      <c r="AS65" s="138">
        <f t="shared" si="33"/>
        <v>0.391162848917261</v>
      </c>
      <c r="AT65" s="138">
        <f t="shared" si="33"/>
        <v>0.417314561882748</v>
      </c>
      <c r="AU65" s="138">
        <f t="shared" si="33"/>
        <v>0.400925635393787</v>
      </c>
      <c r="AV65" s="138">
        <f t="shared" si="33"/>
        <v>0.446124310055196</v>
      </c>
      <c r="AW65" s="138">
        <f t="shared" si="33"/>
        <v>0.430764060049294</v>
      </c>
      <c r="AX65" s="138">
        <f t="shared" si="33"/>
        <v>0.412060301507538</v>
      </c>
      <c r="AY65" s="138">
        <f t="shared" si="33"/>
        <v>0.371146990983435</v>
      </c>
      <c r="AZ65" s="138">
        <f t="shared" si="33"/>
        <v>0.378561736770692</v>
      </c>
      <c r="BA65" s="138">
        <f t="shared" si="33"/>
        <v>0.374714394516375</v>
      </c>
      <c r="BB65" s="138">
        <f t="shared" si="33"/>
        <v>0.392461197339246</v>
      </c>
      <c r="BC65" s="138">
        <f t="shared" si="33"/>
        <v>0.381291515442032</v>
      </c>
      <c r="BD65" s="138">
        <f t="shared" si="33"/>
        <v>0.406909788867562</v>
      </c>
      <c r="BE65" s="138">
        <f t="shared" si="33"/>
        <v>0.399168399168399</v>
      </c>
      <c r="BF65" s="138">
        <f t="shared" si="33"/>
        <v>0.387518142235123</v>
      </c>
      <c r="BG65" s="138">
        <f t="shared" si="33"/>
        <v>0.347897925463558</v>
      </c>
      <c r="BH65" s="138">
        <f t="shared" si="33"/>
        <v>0.346963080587535</v>
      </c>
      <c r="BI65" s="138">
        <f t="shared" si="33"/>
        <v>0.347448736289938</v>
      </c>
      <c r="BJ65" s="138">
        <f t="shared" si="33"/>
        <v>0.37766425929188</v>
      </c>
      <c r="BL65" s="138">
        <f t="shared" ref="BL65" si="34">BL56/SUM(BL55:BL57)</f>
        <v>0.387658227848101</v>
      </c>
      <c r="BO65" s="138">
        <f t="shared" ref="BO65:BP65" si="35">BO56/SUM(BO55:BO57)</f>
        <v>0.363980530016225</v>
      </c>
      <c r="BP65" s="138">
        <f t="shared" si="35"/>
        <v>0.36019768104923</v>
      </c>
      <c r="BR65" s="138">
        <f t="shared" ref="BR65" si="36">BR56/SUM(BR55:BR57)</f>
        <v>0.382938872807764</v>
      </c>
      <c r="BT65" s="138">
        <f t="shared" ref="BT65" si="37">BT56/SUM(BT55:BT57)</f>
        <v>0.393580435613298</v>
      </c>
      <c r="BW65" s="138">
        <f t="shared" ref="BW65:BX65" si="38">BW56/SUM(BW55:BW57)</f>
        <v>0.368796736913664</v>
      </c>
      <c r="BX65" s="138">
        <f t="shared" si="38"/>
        <v>0.349791250680704</v>
      </c>
      <c r="BZ65" s="138">
        <f t="shared" ref="BZ65" si="39">BZ56/SUM(BZ55:BZ57)</f>
        <v>0.409516380655226</v>
      </c>
    </row>
    <row r="66" spans="1:78">
      <c r="B66" s="137" t="s">
        <v>537</v>
      </c>
      <c r="C66" s="138">
        <f>1-C65-C64</f>
        <v>0.101720269259536</v>
      </c>
      <c r="D66" s="138">
        <f t="shared" ref="D66:BJ66" si="40">1-D65-D64</f>
        <v>0.121056241426612</v>
      </c>
      <c r="E66" s="138">
        <f t="shared" si="40"/>
        <v>0.111806797853309</v>
      </c>
      <c r="F66" s="138">
        <f t="shared" si="40"/>
        <v>0.0922456039204381</v>
      </c>
      <c r="G66" s="138">
        <f t="shared" si="40"/>
        <v>0.104316149685396</v>
      </c>
      <c r="H66" s="138">
        <f t="shared" si="40"/>
        <v>0.0941658137154556</v>
      </c>
      <c r="I66" s="138">
        <f t="shared" si="40"/>
        <v>0.0931250000000001</v>
      </c>
      <c r="J66" s="138">
        <f t="shared" si="40"/>
        <v>0.101834862385321</v>
      </c>
      <c r="K66" s="138">
        <f t="shared" si="40"/>
        <v>0.101130461350443</v>
      </c>
      <c r="L66" s="138">
        <f t="shared" si="40"/>
        <v>0.114845024469821</v>
      </c>
      <c r="M66" s="138">
        <f t="shared" si="40"/>
        <v>0.107762701167561</v>
      </c>
      <c r="N66" s="138">
        <f t="shared" si="40"/>
        <v>0.0935078813785734</v>
      </c>
      <c r="O66" s="138">
        <f t="shared" si="40"/>
        <v>0.102469993056244</v>
      </c>
      <c r="P66" s="138">
        <f t="shared" si="40"/>
        <v>0.0968836778771984</v>
      </c>
      <c r="Q66" s="138">
        <f t="shared" si="40"/>
        <v>0.0950744558991982</v>
      </c>
      <c r="R66" s="138">
        <f t="shared" si="40"/>
        <v>0.101110944302657</v>
      </c>
      <c r="S66" s="138">
        <f t="shared" si="40"/>
        <v>0.117416317991632</v>
      </c>
      <c r="T66" s="138">
        <f t="shared" si="40"/>
        <v>0.140989198408187</v>
      </c>
      <c r="U66" s="138">
        <f t="shared" si="40"/>
        <v>0.128711522745846</v>
      </c>
      <c r="V66" s="138">
        <f t="shared" si="40"/>
        <v>0.0920642531766963</v>
      </c>
      <c r="W66" s="138">
        <f t="shared" si="40"/>
        <v>0.115434725961956</v>
      </c>
      <c r="X66" s="138">
        <f t="shared" si="40"/>
        <v>0.101483679525223</v>
      </c>
      <c r="Y66" s="138">
        <f t="shared" si="40"/>
        <v>0.0962737037528179</v>
      </c>
      <c r="Z66" s="138">
        <f t="shared" si="40"/>
        <v>0.112275750856682</v>
      </c>
      <c r="AA66" s="138">
        <f t="shared" si="40"/>
        <v>0.131964809384164</v>
      </c>
      <c r="AB66" s="138">
        <f t="shared" si="40"/>
        <v>0.143068282589418</v>
      </c>
      <c r="AC66" s="138">
        <f t="shared" si="40"/>
        <v>0.137230165405102</v>
      </c>
      <c r="AD66" s="138">
        <f t="shared" si="40"/>
        <v>0.102088167053364</v>
      </c>
      <c r="AE66" s="138">
        <f t="shared" si="40"/>
        <v>0.124852447107963</v>
      </c>
      <c r="AF66" s="138">
        <f t="shared" si="40"/>
        <v>0.135067376997806</v>
      </c>
      <c r="AG66" s="138">
        <f t="shared" si="40"/>
        <v>0.116973125884017</v>
      </c>
      <c r="AH66" s="138">
        <f t="shared" si="40"/>
        <v>0.127147282455646</v>
      </c>
      <c r="AI66" s="138">
        <f t="shared" si="40"/>
        <v>0.114633455986414</v>
      </c>
      <c r="AJ66" s="138">
        <f t="shared" si="40"/>
        <v>0.126984126984127</v>
      </c>
      <c r="AK66" s="138">
        <f t="shared" si="40"/>
        <v>0.120748785367248</v>
      </c>
      <c r="AL66" s="138">
        <f t="shared" si="40"/>
        <v>0.0888565185724691</v>
      </c>
      <c r="AM66" s="138">
        <f t="shared" si="40"/>
        <v>0.108932265899074</v>
      </c>
      <c r="AN66" s="138">
        <f t="shared" si="40"/>
        <v>0.112964588820603</v>
      </c>
      <c r="AO66" s="138">
        <f t="shared" si="40"/>
        <v>0.0997876857749468</v>
      </c>
      <c r="AP66" s="138">
        <f t="shared" si="40"/>
        <v>0.109880280721068</v>
      </c>
      <c r="AQ66" s="138">
        <f t="shared" si="40"/>
        <v>0.0979911807937286</v>
      </c>
      <c r="AR66" s="138">
        <f t="shared" si="40"/>
        <v>0.10621960583568</v>
      </c>
      <c r="AS66" s="138">
        <f t="shared" si="40"/>
        <v>0.102015270997622</v>
      </c>
      <c r="AT66" s="138">
        <f t="shared" si="40"/>
        <v>0.0876234503046858</v>
      </c>
      <c r="AU66" s="138">
        <f t="shared" si="40"/>
        <v>0.0966426106055851</v>
      </c>
      <c r="AV66" s="138">
        <f t="shared" si="40"/>
        <v>0.0847132229421646</v>
      </c>
      <c r="AW66" s="138">
        <f t="shared" si="40"/>
        <v>0.0862648442751513</v>
      </c>
      <c r="AX66" s="138">
        <f t="shared" si="40"/>
        <v>0.0937038131835649</v>
      </c>
      <c r="AY66" s="138">
        <f t="shared" si="40"/>
        <v>0.0901656531767667</v>
      </c>
      <c r="AZ66" s="138">
        <f t="shared" si="40"/>
        <v>0.103346901854365</v>
      </c>
      <c r="BA66" s="138">
        <f t="shared" si="40"/>
        <v>0.0965074529430966</v>
      </c>
      <c r="BB66" s="138">
        <f t="shared" si="40"/>
        <v>0.0792682926829268</v>
      </c>
      <c r="BC66" s="138">
        <f t="shared" si="40"/>
        <v>0.0901184688077793</v>
      </c>
      <c r="BD66" s="138">
        <f t="shared" si="40"/>
        <v>0.0778417573043293</v>
      </c>
      <c r="BE66" s="138">
        <f t="shared" si="40"/>
        <v>0.0786060786060786</v>
      </c>
      <c r="BF66" s="138">
        <f t="shared" si="40"/>
        <v>0.0871345635496579</v>
      </c>
      <c r="BG66" s="138">
        <f t="shared" si="40"/>
        <v>0.0460804112355425</v>
      </c>
      <c r="BH66" s="138">
        <f t="shared" si="40"/>
        <v>0.0520047637951567</v>
      </c>
      <c r="BI66" s="138">
        <f t="shared" si="40"/>
        <v>0.0489270386266094</v>
      </c>
      <c r="BJ66" s="138">
        <f t="shared" si="40"/>
        <v>0.0470318830368152</v>
      </c>
      <c r="BL66" s="138">
        <f t="shared" ref="BL66" si="41">1-BL65-BL64</f>
        <v>0.0522151898734177</v>
      </c>
      <c r="BO66" s="138">
        <f t="shared" ref="BO66:BP66" si="42">1-BO65-BO64</f>
        <v>0.0584099513250406</v>
      </c>
      <c r="BP66" s="138">
        <f t="shared" si="42"/>
        <v>0.0501805740353545</v>
      </c>
      <c r="BR66" s="138">
        <f t="shared" ref="BR66" si="43">1-BR65-BR64</f>
        <v>0.0444406606504343</v>
      </c>
      <c r="BT66" s="138">
        <f t="shared" ref="BT66" si="44">1-BT65-BT64</f>
        <v>0.0116545662972869</v>
      </c>
      <c r="BW66" s="138">
        <f t="shared" ref="BW66:BX66" si="45">1-BW65-BW64</f>
        <v>0.0438477226376615</v>
      </c>
      <c r="BX66" s="138">
        <f t="shared" si="45"/>
        <v>0.0542748230168814</v>
      </c>
      <c r="BZ66" s="138">
        <f t="shared" ref="BZ66" si="46">1-BZ65-BZ64</f>
        <v>0.0460218408736349</v>
      </c>
    </row>
    <row r="68" spans="1:78">
      <c r="A68" s="137" t="s">
        <v>728</v>
      </c>
      <c r="B68" s="718"/>
      <c r="C68" s="958" t="s">
        <v>715</v>
      </c>
      <c r="D68" s="958" t="s">
        <v>716</v>
      </c>
      <c r="E68" s="958" t="s">
        <v>372</v>
      </c>
      <c r="F68" s="958" t="s">
        <v>717</v>
      </c>
      <c r="G68" s="958" t="s">
        <v>374</v>
      </c>
      <c r="H68" s="958" t="s">
        <v>718</v>
      </c>
      <c r="I68" s="958" t="s">
        <v>376</v>
      </c>
      <c r="J68" s="958" t="s">
        <v>30</v>
      </c>
      <c r="K68" s="958" t="s">
        <v>719</v>
      </c>
      <c r="L68" s="958" t="s">
        <v>720</v>
      </c>
      <c r="M68" s="958" t="s">
        <v>379</v>
      </c>
      <c r="N68" s="958" t="s">
        <v>721</v>
      </c>
      <c r="O68" s="958" t="s">
        <v>381</v>
      </c>
      <c r="P68" s="958" t="s">
        <v>722</v>
      </c>
      <c r="Q68" s="958" t="s">
        <v>383</v>
      </c>
      <c r="R68" s="958" t="s">
        <v>31</v>
      </c>
      <c r="S68" s="958" t="s">
        <v>384</v>
      </c>
      <c r="T68" s="958" t="s">
        <v>385</v>
      </c>
      <c r="U68" s="958" t="s">
        <v>386</v>
      </c>
      <c r="V68" s="958" t="s">
        <v>387</v>
      </c>
      <c r="W68" s="958" t="s">
        <v>388</v>
      </c>
      <c r="X68" s="958" t="s">
        <v>389</v>
      </c>
      <c r="Y68" s="958" t="s">
        <v>390</v>
      </c>
      <c r="Z68" s="958" t="s">
        <v>391</v>
      </c>
      <c r="AA68" s="958" t="s">
        <v>392</v>
      </c>
      <c r="AB68" s="958" t="s">
        <v>393</v>
      </c>
      <c r="AC68" s="958" t="s">
        <v>394</v>
      </c>
      <c r="AD68" s="958" t="s">
        <v>395</v>
      </c>
      <c r="AE68" s="958" t="s">
        <v>396</v>
      </c>
      <c r="AF68" s="958" t="s">
        <v>397</v>
      </c>
      <c r="AG68" s="958" t="s">
        <v>398</v>
      </c>
      <c r="AH68" s="958" t="s">
        <v>399</v>
      </c>
      <c r="AI68" s="958" t="s">
        <v>400</v>
      </c>
      <c r="AJ68" s="958" t="s">
        <v>401</v>
      </c>
      <c r="AK68" s="958" t="s">
        <v>402</v>
      </c>
      <c r="AL68" s="958" t="s">
        <v>403</v>
      </c>
      <c r="AM68" s="958" t="s">
        <v>404</v>
      </c>
      <c r="AN68" s="958" t="s">
        <v>405</v>
      </c>
      <c r="AO68" s="958" t="s">
        <v>406</v>
      </c>
      <c r="AP68" s="958" t="s">
        <v>407</v>
      </c>
      <c r="AQ68" s="958" t="s">
        <v>408</v>
      </c>
      <c r="AR68" s="958" t="s">
        <v>409</v>
      </c>
      <c r="AS68" s="958" t="s">
        <v>410</v>
      </c>
      <c r="AT68" s="958" t="s">
        <v>411</v>
      </c>
      <c r="AU68" s="958" t="s">
        <v>412</v>
      </c>
      <c r="AV68" s="958" t="s">
        <v>413</v>
      </c>
      <c r="AW68" s="958" t="s">
        <v>414</v>
      </c>
      <c r="AX68" s="958" t="s">
        <v>415</v>
      </c>
      <c r="AY68" s="958" t="s">
        <v>416</v>
      </c>
      <c r="AZ68" s="958" t="s">
        <v>417</v>
      </c>
      <c r="BA68" s="958" t="s">
        <v>418</v>
      </c>
      <c r="BB68" s="958" t="s">
        <v>419</v>
      </c>
      <c r="BC68" s="958" t="s">
        <v>420</v>
      </c>
      <c r="BD68" s="958" t="s">
        <v>421</v>
      </c>
      <c r="BE68" s="718"/>
      <c r="BF68" s="718"/>
      <c r="BG68" s="958" t="s">
        <v>424</v>
      </c>
      <c r="BH68" s="958" t="s">
        <v>425</v>
      </c>
      <c r="BJ68" s="958" t="s">
        <v>427</v>
      </c>
      <c r="BK68" s="959" t="s">
        <v>420</v>
      </c>
      <c r="BL68" s="958" t="s">
        <v>429</v>
      </c>
      <c r="BO68" s="958" t="s">
        <v>432</v>
      </c>
      <c r="BP68" s="958" t="s">
        <v>433</v>
      </c>
      <c r="BR68" s="958" t="s">
        <v>435</v>
      </c>
    </row>
    <row r="69" spans="1:78">
      <c r="B69" s="137" t="s">
        <v>533</v>
      </c>
      <c r="C69" s="717">
        <f>Interim!DZ150</f>
        <v>0.23</v>
      </c>
      <c r="D69" s="717">
        <f>Interim!EA150</f>
        <v>0.190445810914681</v>
      </c>
      <c r="E69" s="717">
        <f>Interim!EB150</f>
        <v>0.21</v>
      </c>
      <c r="F69" s="717">
        <f>Interim!EC150</f>
        <v>0.157917705735661</v>
      </c>
      <c r="G69" s="717">
        <f>Interim!ED150</f>
        <v>0.19</v>
      </c>
      <c r="H69" s="717">
        <f>Interim!EE150</f>
        <v>0.145536303630363</v>
      </c>
      <c r="I69" s="717">
        <f>Interim!EF150</f>
        <v>0.152588778409091</v>
      </c>
      <c r="J69" s="717">
        <f>Interim!EG150</f>
        <v>0.18</v>
      </c>
      <c r="K69" s="717">
        <f>Interim!EH150</f>
        <v>0.12</v>
      </c>
      <c r="L69" s="717">
        <f>Interim!EI150</f>
        <v>0.0144406314344544</v>
      </c>
      <c r="M69" s="717">
        <f>Interim!EJ150</f>
        <v>0.07</v>
      </c>
      <c r="N69" s="717">
        <f>Interim!EK150</f>
        <v>0.0426508742244783</v>
      </c>
      <c r="O69" s="717">
        <f>Interim!EL150</f>
        <v>0.06</v>
      </c>
      <c r="P69" s="717">
        <f>Interim!EM150</f>
        <v>0.06</v>
      </c>
      <c r="Q69" s="717">
        <f>Interim!EN150</f>
        <v>0.05028427037271</v>
      </c>
      <c r="R69" s="717">
        <f>Interim!EO150</f>
        <v>0.06</v>
      </c>
      <c r="S69" s="717">
        <f>Interim!EP150</f>
        <v>0.03</v>
      </c>
      <c r="T69" s="717">
        <f>Interim!EQ150</f>
        <v>0.0734815756035578</v>
      </c>
      <c r="U69" s="717">
        <f>Interim!ER150</f>
        <v>0.05</v>
      </c>
      <c r="V69" s="717">
        <f>Interim!ES150</f>
        <v>-0.00420289855072466</v>
      </c>
      <c r="W69" s="717">
        <f>Interim!ET150</f>
        <v>0.03</v>
      </c>
      <c r="X69" s="717">
        <f>Interim!EU150</f>
        <v>0.076177451634423</v>
      </c>
      <c r="Y69" s="717">
        <f>Interim!EV150</f>
        <v>0.0302228571428571</v>
      </c>
      <c r="Z69" s="717">
        <f>Interim!EW150</f>
        <v>0.04</v>
      </c>
      <c r="AA69" s="717">
        <f>Interim!EX150</f>
        <v>-0.03</v>
      </c>
      <c r="AB69" s="717">
        <f>Interim!EY150</f>
        <v>0.0560159607120933</v>
      </c>
      <c r="AC69" s="717">
        <f>Interim!EZ150</f>
        <v>0.01</v>
      </c>
      <c r="AD69" s="717">
        <f>Interim!FA150</f>
        <v>0.09677471636953</v>
      </c>
      <c r="AE69" s="717">
        <f>Interim!FB150</f>
        <v>0.04</v>
      </c>
      <c r="AF69" s="717">
        <f>Interim!FC150</f>
        <v>0.0934225466342255</v>
      </c>
      <c r="AG69" s="717">
        <f>Interim!FD150</f>
        <v>0.0954345006485084</v>
      </c>
      <c r="AH69" s="717">
        <f>Interim!FE150</f>
        <v>0.05</v>
      </c>
      <c r="AI69" s="717">
        <f>Interim!FF150</f>
        <v>0.18</v>
      </c>
      <c r="AJ69" s="717">
        <f>Interim!FG150</f>
        <v>0.173821763602251</v>
      </c>
      <c r="AK69" s="717">
        <f>Interim!FH150</f>
        <v>0.177</v>
      </c>
      <c r="AL69" s="717">
        <f>Interim!FI150</f>
        <v>0.179654773869347</v>
      </c>
      <c r="AM69" s="717">
        <f>Interim!FJ150</f>
        <v>0.178</v>
      </c>
      <c r="AN69" s="717">
        <f>Interim!FK150</f>
        <v>0.236106181818182</v>
      </c>
      <c r="AO69" s="717">
        <f>Interim!FL150</f>
        <v>0.202721842496285</v>
      </c>
      <c r="AP69" s="717">
        <f>Interim!FM150</f>
        <v>0.19</v>
      </c>
      <c r="AQ69" s="717">
        <f>Interim!FN150</f>
        <v>0.29</v>
      </c>
      <c r="AR69" s="717">
        <f>Interim!FO150</f>
        <v>0.248725790010194</v>
      </c>
      <c r="AS69" s="717">
        <f>Interim!FP150</f>
        <v>0.27</v>
      </c>
      <c r="AT69" s="717">
        <f>Interim!FQ150</f>
        <v>0.26</v>
      </c>
      <c r="AU69" s="717">
        <f>Interim!FR150</f>
        <v>0.26632162373146</v>
      </c>
      <c r="AV69" s="717">
        <f>Interim!FS150</f>
        <v>0.239289002557545</v>
      </c>
      <c r="AW69" s="717">
        <f>Interim!FT150</f>
        <v>0.250607747622361</v>
      </c>
      <c r="AX69" s="717">
        <f>Interim!FU150</f>
        <v>0.26</v>
      </c>
      <c r="AY69" s="717">
        <f>Interim!FV150</f>
        <v>0.25324639937719</v>
      </c>
      <c r="AZ69" s="717">
        <f>Interim!FW150</f>
        <v>0.31</v>
      </c>
      <c r="BA69" s="717">
        <f>Interim!FX150</f>
        <v>0.28</v>
      </c>
      <c r="BB69" s="717">
        <f>Interim!FY150</f>
        <v>0.18</v>
      </c>
      <c r="BC69" s="717">
        <f>Interim!FZ150</f>
        <v>0.242961523513408</v>
      </c>
      <c r="BD69" s="717">
        <f>Interim!GA150</f>
        <v>0.230538079470199</v>
      </c>
      <c r="BE69" s="717"/>
      <c r="BF69" s="717"/>
      <c r="BG69" s="717">
        <f>Interim!GD150</f>
        <v>0.05</v>
      </c>
      <c r="BH69" s="717">
        <f>Interim!GE150</f>
        <v>0.09</v>
      </c>
      <c r="BJ69" s="717">
        <f>Interim!GG150</f>
        <v>0.08</v>
      </c>
      <c r="BL69" s="717">
        <f>Interim!GI150</f>
        <v>0.07</v>
      </c>
      <c r="BO69" s="717">
        <f>Interim!GL150</f>
        <v>0.03</v>
      </c>
      <c r="BP69" s="717">
        <f>Interim!GM150</f>
        <v>0.05</v>
      </c>
      <c r="BR69" s="717">
        <f>Interim!GO150</f>
        <v>0.01</v>
      </c>
    </row>
    <row r="70" spans="1:78">
      <c r="B70" s="137" t="s">
        <v>536</v>
      </c>
      <c r="C70" s="717">
        <f>Interim!DZ155</f>
        <v>0.13</v>
      </c>
      <c r="D70" s="717">
        <f>Interim!EA155</f>
        <v>0.035229793977813</v>
      </c>
      <c r="E70" s="717">
        <f>Interim!EB155</f>
        <v>0.08</v>
      </c>
      <c r="F70" s="717">
        <f>Interim!EC155</f>
        <v>0.105482200647249</v>
      </c>
      <c r="G70" s="717">
        <f>Interim!ED155</f>
        <v>0.09</v>
      </c>
      <c r="H70" s="717">
        <f>Interim!EE155</f>
        <v>0.0527165627165627</v>
      </c>
      <c r="I70" s="717">
        <f>Interim!EF155</f>
        <v>0.08</v>
      </c>
      <c r="J70" s="717">
        <f>Interim!EG155</f>
        <v>0.08</v>
      </c>
      <c r="K70" s="717">
        <f>Interim!EH155</f>
        <v>0.12</v>
      </c>
      <c r="L70" s="717">
        <f>Interim!EI155</f>
        <v>0.0789331210191083</v>
      </c>
      <c r="M70" s="717">
        <f>Interim!EJ155</f>
        <v>0.1</v>
      </c>
      <c r="N70" s="717">
        <f>Interim!EK155</f>
        <v>0.0222407407407407</v>
      </c>
      <c r="O70" s="717">
        <f>Interim!EL155</f>
        <v>0.07</v>
      </c>
      <c r="P70" s="717">
        <f>Interim!EM155</f>
        <v>-0.0421186440677966</v>
      </c>
      <c r="Q70" s="717">
        <f>Interim!EN155</f>
        <v>-0.00906150919467344</v>
      </c>
      <c r="R70" s="717">
        <f>Interim!EO155</f>
        <v>0.04</v>
      </c>
      <c r="S70" s="717">
        <f>Interim!EP155</f>
        <v>-0.08</v>
      </c>
      <c r="T70" s="717">
        <f>Interim!EQ155</f>
        <v>-0.08</v>
      </c>
      <c r="U70" s="717">
        <f>Interim!ER155</f>
        <v>-0.08</v>
      </c>
      <c r="V70" s="717">
        <f>Interim!ES155</f>
        <v>-0.0266853303471444</v>
      </c>
      <c r="W70" s="717">
        <f>Interim!ET155</f>
        <v>-0.06</v>
      </c>
      <c r="X70" s="717">
        <f>Interim!EU155</f>
        <v>0.3102419882276</v>
      </c>
      <c r="Y70" s="717">
        <f>Interim!EV155</f>
        <v>0.128717948717949</v>
      </c>
      <c r="Z70" s="717">
        <f>Interim!EW155</f>
        <v>0.03</v>
      </c>
      <c r="AA70" s="717">
        <f>Interim!EX155</f>
        <v>0.11</v>
      </c>
      <c r="AB70" s="717">
        <f>Interim!EY155</f>
        <v>0.193527559055118</v>
      </c>
      <c r="AC70" s="717">
        <f>Interim!EZ155</f>
        <v>0.15</v>
      </c>
      <c r="AD70" s="717">
        <f>Interim!FA155</f>
        <v>0.12375</v>
      </c>
      <c r="AE70" s="717">
        <f>Interim!FB155</f>
        <v>0.14</v>
      </c>
      <c r="AF70" s="717">
        <f>Interim!FC155</f>
        <v>0.0638899803536345</v>
      </c>
      <c r="AG70" s="717">
        <f>Interim!FD155</f>
        <v>0.0948148148148148</v>
      </c>
      <c r="AH70" s="717">
        <f>Interim!FE155</f>
        <v>0.12</v>
      </c>
      <c r="AI70" s="717">
        <f>Interim!FF155</f>
        <v>0.04</v>
      </c>
      <c r="AJ70" s="717">
        <f>Interim!FG155</f>
        <v>-0.00813464235624124</v>
      </c>
      <c r="AK70" s="717">
        <f>Interim!FH155</f>
        <v>0.016</v>
      </c>
      <c r="AL70" s="717">
        <f>Interim!FI155</f>
        <v>0.076311401020987</v>
      </c>
      <c r="AM70" s="717">
        <f>Interim!FJ155</f>
        <v>0.039</v>
      </c>
      <c r="AN70" s="717">
        <f>Interim!FK155</f>
        <v>0.0807083333333334</v>
      </c>
      <c r="AO70" s="717">
        <f>Interim!FL155</f>
        <v>0.0784410646387833</v>
      </c>
      <c r="AP70" s="717">
        <f>Interim!FM155</f>
        <v>0.05</v>
      </c>
      <c r="AQ70" s="717">
        <f>Interim!FN155</f>
        <v>0.15</v>
      </c>
      <c r="AR70" s="717">
        <f>Interim!FO155</f>
        <v>0.170424836601307</v>
      </c>
      <c r="AS70" s="717">
        <f>Interim!FP155</f>
        <v>0.16</v>
      </c>
      <c r="AT70" s="717">
        <f>Interim!FQ155</f>
        <v>0.1</v>
      </c>
      <c r="AU70" s="717">
        <f>Interim!FR155</f>
        <v>0.136685580121307</v>
      </c>
      <c r="AV70" s="717">
        <f>Interim!FS155</f>
        <v>0.0366325981710597</v>
      </c>
      <c r="AW70" s="717">
        <f>Interim!FT155</f>
        <v>0.0693628088426528</v>
      </c>
      <c r="AX70" s="717">
        <f>Interim!FU155</f>
        <v>0.11</v>
      </c>
      <c r="AY70" s="717">
        <f>Interim!FV155</f>
        <v>0.0594576271186441</v>
      </c>
      <c r="AZ70" s="717">
        <f>Interim!FW155</f>
        <v>0.04</v>
      </c>
      <c r="BA70" s="717">
        <f>Interim!FX155</f>
        <v>0.05</v>
      </c>
      <c r="BB70" s="717">
        <f>Interim!FY155</f>
        <v>0.06</v>
      </c>
      <c r="BC70" s="717">
        <f>Interim!FZ155</f>
        <v>0.0538146551724138</v>
      </c>
      <c r="BD70" s="717">
        <f>Interim!GA155</f>
        <v>0.117232704402516</v>
      </c>
      <c r="BE70" s="717">
        <f>Interim!GB155</f>
        <v>0.0870833333333333</v>
      </c>
      <c r="BF70" s="717">
        <f>Interim!GC155</f>
        <v>0.07</v>
      </c>
      <c r="BG70" s="717">
        <f>Interim!GD155</f>
        <v>0.15</v>
      </c>
      <c r="BH70" s="717">
        <f>Interim!GE155</f>
        <v>0.14</v>
      </c>
      <c r="BJ70" s="717">
        <f>Interim!GG155</f>
        <v>0.09</v>
      </c>
      <c r="BL70" s="717">
        <f>Interim!GI155</f>
        <v>0.07</v>
      </c>
      <c r="BO70" s="717">
        <f>Interim!GL155</f>
        <v>0.06</v>
      </c>
      <c r="BP70" s="717">
        <f>Interim!GM155</f>
        <v>0.01</v>
      </c>
      <c r="BR70" s="717">
        <f>Interim!GO155</f>
        <v>0.13</v>
      </c>
    </row>
    <row r="71" spans="1:78">
      <c r="B71" s="137" t="s">
        <v>537</v>
      </c>
      <c r="C71" s="717">
        <f>Interim!DZ160</f>
        <v>0.17</v>
      </c>
      <c r="D71" s="717">
        <f>Interim!EA160</f>
        <v>0.028356940509915</v>
      </c>
      <c r="E71" s="717">
        <f>Interim!EB160</f>
        <v>0.09</v>
      </c>
      <c r="F71" s="717">
        <f>Interim!EC160</f>
        <v>0.1490625</v>
      </c>
      <c r="G71" s="717">
        <f>Interim!ED160</f>
        <v>0.11</v>
      </c>
      <c r="H71" s="717">
        <f>Interim!EE160</f>
        <v>0.0657608695652175</v>
      </c>
      <c r="I71" s="717">
        <f>Interim!EF160</f>
        <v>0.110486577181208</v>
      </c>
      <c r="J71" s="717">
        <f>Interim!EG160</f>
        <v>0.1</v>
      </c>
      <c r="K71" s="717">
        <f>Interim!EH160</f>
        <v>0.31</v>
      </c>
      <c r="L71" s="717">
        <f>Interim!EI160</f>
        <v>0.290596590909091</v>
      </c>
      <c r="M71" s="717">
        <f>Interim!EJ160</f>
        <v>0.3</v>
      </c>
      <c r="N71" s="717">
        <f>Interim!EK160</f>
        <v>0.00485714285714295</v>
      </c>
      <c r="O71" s="717">
        <f>Interim!EL160</f>
        <v>0.2</v>
      </c>
      <c r="P71" s="717">
        <f>Interim!EM160</f>
        <v>0.0713057324840764</v>
      </c>
      <c r="Q71" s="717">
        <f>Interim!EN160</f>
        <v>0.0362801204819277</v>
      </c>
      <c r="R71" s="717">
        <f>Interim!EO160</f>
        <v>0.17</v>
      </c>
      <c r="S71" s="717">
        <f>Interim!EP160</f>
        <v>0.13</v>
      </c>
      <c r="T71" s="717">
        <f>Interim!EQ160</f>
        <v>0.0156854838709677</v>
      </c>
      <c r="U71" s="717">
        <f>Interim!ER160</f>
        <v>0.07</v>
      </c>
      <c r="V71" s="717">
        <f>Interim!ES160</f>
        <v>0.13921875</v>
      </c>
      <c r="W71" s="717">
        <f>Interim!ET160</f>
        <v>0.09</v>
      </c>
      <c r="X71" s="717">
        <f>Interim!EU160</f>
        <v>0.383157894736842</v>
      </c>
      <c r="Y71" s="717">
        <f>Interim!EV160</f>
        <v>0.254132231404959</v>
      </c>
      <c r="Z71" s="717">
        <f>Interim!EW160</f>
        <v>0.15</v>
      </c>
      <c r="AA71" s="717">
        <f>Interim!EX160</f>
        <v>-0.13</v>
      </c>
      <c r="AB71" s="717">
        <f>Interim!EY160</f>
        <v>-0.0288636363636364</v>
      </c>
      <c r="AC71" s="717">
        <f>Interim!EZ160</f>
        <v>-0.08</v>
      </c>
      <c r="AD71" s="717">
        <f>Interim!FA160</f>
        <v>-0.08</v>
      </c>
      <c r="AE71" s="717">
        <f>Interim!FB160</f>
        <v>-0.08</v>
      </c>
      <c r="AF71" s="717">
        <f>Interim!FC160</f>
        <v>-0.121902552204176</v>
      </c>
      <c r="AG71" s="717">
        <f>Interim!FD160</f>
        <v>-0.101837968561064</v>
      </c>
      <c r="AH71" s="717">
        <f>Interim!FE160</f>
        <v>-0.09</v>
      </c>
      <c r="AI71" s="717">
        <f>Interim!FF160</f>
        <v>-0.1</v>
      </c>
      <c r="AJ71" s="717">
        <f>Interim!FG160</f>
        <v>-0.159534090909091</v>
      </c>
      <c r="AK71" s="717">
        <f>Interim!FH160</f>
        <v>-0.131</v>
      </c>
      <c r="AL71" s="717">
        <f>Interim!FI160</f>
        <v>0.0906857923497268</v>
      </c>
      <c r="AM71" s="717">
        <f>Interim!FJ160</f>
        <v>-0.064</v>
      </c>
      <c r="AN71" s="717">
        <f>Interim!FK160</f>
        <v>-0.13019689119171</v>
      </c>
      <c r="AO71" s="717">
        <f>Interim!FL160</f>
        <v>-0.0226928191489362</v>
      </c>
      <c r="AP71" s="717">
        <f>Interim!FM160</f>
        <v>-0.08</v>
      </c>
      <c r="AQ71" s="717">
        <f>Interim!FN160</f>
        <v>0.11</v>
      </c>
      <c r="AR71" s="717">
        <f>Interim!FO160</f>
        <v>0.149277108433735</v>
      </c>
      <c r="AS71" s="717">
        <f>Interim!FP160</f>
        <v>0.13</v>
      </c>
      <c r="AT71" s="717">
        <f>Interim!FQ160</f>
        <v>0.05</v>
      </c>
      <c r="AU71" s="717">
        <f>Interim!FR160</f>
        <v>0.102922077922078</v>
      </c>
      <c r="AV71" s="717">
        <f>Interim!FS160</f>
        <v>0.0449008498583569</v>
      </c>
      <c r="AW71" s="717">
        <f>Interim!FT160</f>
        <v>0.0476623376623377</v>
      </c>
      <c r="AX71" s="717">
        <f>Interim!FU160</f>
        <v>0.09</v>
      </c>
      <c r="AY71" s="717">
        <f>Interim!FV160</f>
        <v>-0.0112558139534884</v>
      </c>
      <c r="AZ71" s="717">
        <f>Interim!FW160</f>
        <v>0.03</v>
      </c>
      <c r="BA71" s="717">
        <f>Interim!FX160</f>
        <v>0.01</v>
      </c>
      <c r="BB71" s="717">
        <f>Interim!FY160</f>
        <v>0.01</v>
      </c>
      <c r="BC71" s="717">
        <f>Interim!FZ160</f>
        <v>0.01</v>
      </c>
      <c r="BD71" s="717">
        <f>Interim!GA160</f>
        <v>0.24027397260274</v>
      </c>
      <c r="BE71" s="717">
        <f>Interim!GB160</f>
        <v>0.115856423173804</v>
      </c>
      <c r="BF71" s="717">
        <f>Interim!GC160</f>
        <v>0.06</v>
      </c>
      <c r="BG71" s="717">
        <f>Interim!GD160</f>
        <v>0.39</v>
      </c>
      <c r="BH71" s="717">
        <f>Interim!GE160</f>
        <v>0.06</v>
      </c>
      <c r="BJ71" s="717">
        <f>Interim!GG160</f>
        <v>0.03</v>
      </c>
      <c r="BL71" s="717">
        <f>Interim!GI160</f>
        <v>-0.39</v>
      </c>
      <c r="BO71" s="717">
        <f>Interim!GL160</f>
        <v>0.13</v>
      </c>
      <c r="BP71" s="717">
        <f>Interim!GM160</f>
        <v>0.12</v>
      </c>
      <c r="BR71" s="717">
        <f>Interim!GO160</f>
        <v>0.1</v>
      </c>
    </row>
    <row r="75" spans="1:78">
      <c r="AA75" s="137" t="s">
        <v>723</v>
      </c>
    </row>
    <row r="101" spans="1:60">
      <c r="BH101" s="137" t="s">
        <v>728</v>
      </c>
    </row>
    <row r="102" spans="1:60">
      <c r="A102" s="137" t="s">
        <v>230</v>
      </c>
      <c r="C102" s="958" t="s">
        <v>392</v>
      </c>
      <c r="D102" s="958" t="s">
        <v>393</v>
      </c>
      <c r="E102" s="958" t="s">
        <v>394</v>
      </c>
      <c r="F102" s="958" t="s">
        <v>395</v>
      </c>
      <c r="G102" s="958" t="s">
        <v>396</v>
      </c>
      <c r="H102" s="958" t="s">
        <v>397</v>
      </c>
      <c r="I102" s="958" t="s">
        <v>398</v>
      </c>
      <c r="J102" s="958" t="s">
        <v>399</v>
      </c>
      <c r="K102" s="958" t="s">
        <v>400</v>
      </c>
      <c r="L102" s="958" t="s">
        <v>401</v>
      </c>
      <c r="M102" s="958" t="s">
        <v>402</v>
      </c>
      <c r="N102" s="958" t="s">
        <v>403</v>
      </c>
      <c r="O102" s="958" t="s">
        <v>404</v>
      </c>
      <c r="P102" s="958" t="s">
        <v>405</v>
      </c>
      <c r="Q102" s="958" t="s">
        <v>406</v>
      </c>
      <c r="R102" s="958" t="s">
        <v>407</v>
      </c>
      <c r="S102" s="958" t="s">
        <v>408</v>
      </c>
      <c r="T102" s="958" t="s">
        <v>409</v>
      </c>
      <c r="U102" s="958" t="s">
        <v>410</v>
      </c>
      <c r="V102" s="958" t="s">
        <v>411</v>
      </c>
      <c r="W102" s="958" t="s">
        <v>412</v>
      </c>
      <c r="X102" s="958" t="s">
        <v>413</v>
      </c>
      <c r="Y102" s="958" t="s">
        <v>414</v>
      </c>
      <c r="Z102" s="958" t="s">
        <v>415</v>
      </c>
      <c r="AA102" s="958" t="s">
        <v>416</v>
      </c>
      <c r="AB102" s="958" t="s">
        <v>417</v>
      </c>
      <c r="AC102" s="958" t="s">
        <v>418</v>
      </c>
      <c r="AD102" s="958" t="s">
        <v>419</v>
      </c>
      <c r="AE102" s="958" t="s">
        <v>420</v>
      </c>
      <c r="AF102" s="958" t="s">
        <v>421</v>
      </c>
      <c r="AG102" s="959" t="s">
        <v>390</v>
      </c>
      <c r="AH102" s="959" t="s">
        <v>391</v>
      </c>
      <c r="AI102" s="958" t="s">
        <v>424</v>
      </c>
      <c r="AJ102" s="958" t="s">
        <v>425</v>
      </c>
      <c r="AL102" s="958" t="s">
        <v>427</v>
      </c>
      <c r="AN102" s="958" t="s">
        <v>429</v>
      </c>
      <c r="AQ102" s="958" t="s">
        <v>432</v>
      </c>
      <c r="AR102" s="958" t="s">
        <v>433</v>
      </c>
      <c r="AT102" s="958" t="s">
        <v>435</v>
      </c>
      <c r="AV102" s="958" t="s">
        <v>729</v>
      </c>
    </row>
    <row r="103" spans="1:60">
      <c r="B103" s="960" t="s">
        <v>112</v>
      </c>
      <c r="C103" s="811">
        <f>Interim!EX169</f>
        <v>1011</v>
      </c>
      <c r="D103" s="811">
        <f>Interim!EY169</f>
        <v>837</v>
      </c>
      <c r="E103" s="811">
        <f>Interim!EZ169</f>
        <v>1848</v>
      </c>
      <c r="F103" s="811">
        <f>Interim!FA169</f>
        <v>1169</v>
      </c>
      <c r="G103" s="811">
        <f>Interim!FB169</f>
        <v>3017</v>
      </c>
      <c r="H103" s="811">
        <f>Interim!FC169</f>
        <v>776</v>
      </c>
      <c r="I103" s="811">
        <f>Interim!FD169</f>
        <v>1945</v>
      </c>
      <c r="J103" s="811">
        <f>Interim!FE169</f>
        <v>3793</v>
      </c>
      <c r="K103" s="811">
        <f>Interim!FF169</f>
        <v>1143</v>
      </c>
      <c r="L103" s="811">
        <f>Interim!FG169</f>
        <v>961</v>
      </c>
      <c r="M103" s="811">
        <f>Interim!FH169</f>
        <v>2104</v>
      </c>
      <c r="N103" s="811">
        <f>Interim!FI169</f>
        <v>1404</v>
      </c>
      <c r="O103" s="811">
        <f>Interim!FJ169</f>
        <v>3508</v>
      </c>
      <c r="P103" s="811">
        <f>Interim!FK169</f>
        <v>1031</v>
      </c>
      <c r="Q103" s="811">
        <f>Interim!FL169</f>
        <v>2435</v>
      </c>
      <c r="R103" s="811">
        <f>Interim!FM169</f>
        <v>4539</v>
      </c>
      <c r="S103" s="811">
        <f>Interim!FN169</f>
        <v>1414</v>
      </c>
      <c r="T103" s="811">
        <f>Interim!FO169</f>
        <v>1214</v>
      </c>
      <c r="U103" s="811">
        <f>Interim!FP169</f>
        <v>2628</v>
      </c>
      <c r="V103" s="811">
        <f>Interim!FQ169</f>
        <v>1557</v>
      </c>
      <c r="W103" s="811">
        <f>Interim!FR169</f>
        <v>4185</v>
      </c>
      <c r="X103" s="811">
        <f>Interim!FS169</f>
        <v>1106</v>
      </c>
      <c r="Y103" s="811">
        <f>Interim!FT169</f>
        <v>2663</v>
      </c>
      <c r="Z103" s="811">
        <f>Interim!FU169</f>
        <v>5291</v>
      </c>
      <c r="AA103" s="811">
        <f>Interim!FV169</f>
        <v>1523</v>
      </c>
      <c r="AB103" s="811">
        <f>Interim!FW169</f>
        <v>1421</v>
      </c>
      <c r="AC103" s="811">
        <f>Interim!FX169</f>
        <v>2944</v>
      </c>
      <c r="AD103" s="811">
        <f>Interim!FY169</f>
        <v>1656</v>
      </c>
      <c r="AE103" s="811">
        <f>Interim!FZ169</f>
        <v>4600</v>
      </c>
      <c r="AF103" s="811">
        <f>Interim!GA169</f>
        <v>1283</v>
      </c>
      <c r="AI103" s="811">
        <f>Interim!GD169</f>
        <v>1603</v>
      </c>
      <c r="AJ103" s="811">
        <f>Interim!GE169</f>
        <v>1420</v>
      </c>
      <c r="AK103" s="811">
        <f>Interim!GF169</f>
        <v>3023</v>
      </c>
      <c r="AL103" s="811">
        <f>Interim!GG169</f>
        <v>1645</v>
      </c>
      <c r="AM103" s="811">
        <f>Interim!GH169</f>
        <v>4668</v>
      </c>
      <c r="AN103" s="811">
        <f>Interim!GI169</f>
        <v>1216</v>
      </c>
      <c r="AO103" s="811">
        <f>Interim!GJ169</f>
        <v>2861</v>
      </c>
      <c r="AP103" s="811">
        <f>Interim!GK169</f>
        <v>5884</v>
      </c>
      <c r="AQ103" s="811">
        <f>Interim!GL169</f>
        <v>1551</v>
      </c>
      <c r="AR103" s="811">
        <f>Interim!GM169</f>
        <v>1421.42</v>
      </c>
      <c r="AS103" s="811">
        <f>Interim!GN169</f>
        <v>2972.42</v>
      </c>
      <c r="AT103" s="811">
        <f>Interim!GO169</f>
        <v>1698</v>
      </c>
    </row>
    <row r="104" spans="1:60">
      <c r="B104" s="960" t="s">
        <v>101</v>
      </c>
      <c r="C104" s="811">
        <f>Interim!EX174</f>
        <v>462</v>
      </c>
      <c r="D104" s="811">
        <f>Interim!EY174</f>
        <v>528</v>
      </c>
      <c r="E104" s="811">
        <f>Interim!EZ174</f>
        <v>990</v>
      </c>
      <c r="F104" s="811">
        <f>Interim!FA174</f>
        <v>619</v>
      </c>
      <c r="G104" s="811">
        <f>Interim!FB174</f>
        <v>1609</v>
      </c>
      <c r="H104" s="811">
        <f>Interim!FC174</f>
        <v>608</v>
      </c>
      <c r="I104" s="811">
        <f>Interim!FD174</f>
        <v>1227</v>
      </c>
      <c r="J104" s="811">
        <f>Interim!FE174</f>
        <v>2217</v>
      </c>
      <c r="K104" s="811">
        <f>Interim!FF174</f>
        <v>591</v>
      </c>
      <c r="L104" s="811">
        <f>Interim!FG174</f>
        <v>643</v>
      </c>
      <c r="M104" s="811">
        <f>Interim!FH174</f>
        <v>1234</v>
      </c>
      <c r="N104" s="811">
        <f>Interim!FI174</f>
        <v>776</v>
      </c>
      <c r="O104" s="811">
        <f>Interim!FJ174</f>
        <v>2010</v>
      </c>
      <c r="P104" s="811">
        <f>Interim!FK174</f>
        <v>744</v>
      </c>
      <c r="Q104" s="811">
        <f>Interim!FL174</f>
        <v>1520</v>
      </c>
      <c r="R104" s="811">
        <f>Interim!FM174</f>
        <v>2754</v>
      </c>
      <c r="S104" s="811">
        <f>Interim!FN174</f>
        <v>728</v>
      </c>
      <c r="T104" s="811">
        <f>Interim!FO174</f>
        <v>788</v>
      </c>
      <c r="U104" s="811">
        <f>Interim!FP174</f>
        <v>1516</v>
      </c>
      <c r="V104" s="811">
        <f>Interim!FQ174</f>
        <v>927</v>
      </c>
      <c r="W104" s="811">
        <f>Interim!FR174</f>
        <v>2443</v>
      </c>
      <c r="X104" s="811">
        <f>Interim!FS174</f>
        <v>969</v>
      </c>
      <c r="Y104" s="811">
        <f>Interim!FT174</f>
        <v>1896</v>
      </c>
      <c r="Z104" s="811">
        <f>Interim!FU174</f>
        <v>3412</v>
      </c>
      <c r="AA104" s="811">
        <f>Interim!FV174</f>
        <v>988</v>
      </c>
      <c r="AB104" s="811">
        <f>Interim!FW174</f>
        <v>1014</v>
      </c>
      <c r="AC104" s="811">
        <f>Interim!FX174</f>
        <v>2002</v>
      </c>
      <c r="AD104" s="811">
        <f>Interim!FY174</f>
        <v>1099</v>
      </c>
      <c r="AE104" s="811">
        <f>Interim!FZ174</f>
        <v>3101</v>
      </c>
      <c r="AF104" s="811">
        <f>Interim!GA174</f>
        <v>1174</v>
      </c>
      <c r="AI104" s="811">
        <f>Interim!GD174</f>
        <v>1040</v>
      </c>
      <c r="AJ104" s="811">
        <f>Interim!GE174</f>
        <v>1082</v>
      </c>
      <c r="AK104" s="811">
        <f>Interim!GF174</f>
        <v>2122</v>
      </c>
      <c r="AL104" s="811">
        <f>Interim!GG174</f>
        <v>1269</v>
      </c>
      <c r="AM104" s="811">
        <f>Interim!GH174</f>
        <v>3391</v>
      </c>
      <c r="AN104" s="811">
        <f>Interim!GI174</f>
        <v>1297</v>
      </c>
      <c r="AO104" s="811">
        <f>Interim!GJ174</f>
        <v>2566</v>
      </c>
      <c r="AP104" s="811">
        <f>Interim!GK174</f>
        <v>4688</v>
      </c>
      <c r="AQ104" s="811">
        <f>Interim!GL174</f>
        <v>1157</v>
      </c>
      <c r="AR104" s="811">
        <f>Interim!GM174</f>
        <v>1213</v>
      </c>
      <c r="AS104" s="811">
        <f>Interim!GN174</f>
        <v>2370</v>
      </c>
      <c r="AT104" s="811">
        <f>Interim!GO174</f>
        <v>1468</v>
      </c>
    </row>
    <row r="105" spans="1:60">
      <c r="B105" s="960" t="s">
        <v>102</v>
      </c>
      <c r="C105" s="811">
        <f>Interim!EX179</f>
        <v>374</v>
      </c>
      <c r="D105" s="811">
        <f>Interim!EY179</f>
        <v>400</v>
      </c>
      <c r="E105" s="811">
        <f>Interim!EZ179</f>
        <v>774</v>
      </c>
      <c r="F105" s="811">
        <f>Interim!FA179</f>
        <v>426</v>
      </c>
      <c r="G105" s="811">
        <f>Interim!FB179</f>
        <v>1200</v>
      </c>
      <c r="H105" s="811">
        <f>Interim!FC179</f>
        <v>412</v>
      </c>
      <c r="I105" s="811">
        <f>Interim!FD179</f>
        <v>838</v>
      </c>
      <c r="J105" s="811">
        <f>Interim!FE179</f>
        <v>1612</v>
      </c>
      <c r="K105" s="811">
        <f>Interim!FF179</f>
        <v>423</v>
      </c>
      <c r="L105" s="811">
        <f>Interim!FG179</f>
        <v>456</v>
      </c>
      <c r="M105" s="811">
        <f>Interim!FH179</f>
        <v>879</v>
      </c>
      <c r="N105" s="811">
        <f>Interim!FI179</f>
        <v>489</v>
      </c>
      <c r="O105" s="811">
        <f>Interim!FJ179</f>
        <v>1368</v>
      </c>
      <c r="P105" s="811">
        <f>Interim!FK179</f>
        <v>415</v>
      </c>
      <c r="Q105" s="811">
        <f>Interim!FL179</f>
        <v>904</v>
      </c>
      <c r="R105" s="811">
        <f>Interim!FM179</f>
        <v>1783</v>
      </c>
      <c r="S105" s="811">
        <f>Interim!FN179</f>
        <v>394</v>
      </c>
      <c r="T105" s="811">
        <f>Interim!FO179</f>
        <v>379</v>
      </c>
      <c r="U105" s="811">
        <f>Interim!FP179</f>
        <v>773</v>
      </c>
      <c r="V105" s="811">
        <f>Interim!FQ179</f>
        <v>487</v>
      </c>
      <c r="W105" s="811">
        <f>Interim!FR179</f>
        <v>1260</v>
      </c>
      <c r="X105" s="811">
        <f>Interim!FS179</f>
        <v>471</v>
      </c>
      <c r="Y105" s="811">
        <f>Interim!FT179</f>
        <v>958</v>
      </c>
      <c r="Z105" s="811">
        <f>Interim!FU179</f>
        <v>1731</v>
      </c>
      <c r="AA105" s="811">
        <f>Interim!FV179</f>
        <v>454</v>
      </c>
      <c r="AB105" s="811">
        <f>Interim!FW179</f>
        <v>441</v>
      </c>
      <c r="AC105" s="811">
        <f>Interim!FX179</f>
        <v>895</v>
      </c>
      <c r="AD105" s="811">
        <f>Interim!FY179</f>
        <v>502</v>
      </c>
      <c r="AE105" s="811">
        <f>Interim!FZ179</f>
        <v>1397</v>
      </c>
      <c r="AF105" s="811">
        <f>Interim!GA179</f>
        <v>510</v>
      </c>
      <c r="AI105" s="811">
        <f>Interim!GD179</f>
        <v>430</v>
      </c>
      <c r="AJ105" s="811">
        <f>Interim!GE179</f>
        <v>416</v>
      </c>
      <c r="AK105" s="811">
        <f>Interim!GF179</f>
        <v>846</v>
      </c>
      <c r="AL105" s="811">
        <f>Interim!GG179</f>
        <v>340</v>
      </c>
      <c r="AM105" s="811">
        <f>Interim!GH179</f>
        <v>1186</v>
      </c>
      <c r="AN105" s="811">
        <f>Interim!GI179</f>
        <v>447</v>
      </c>
      <c r="AO105" s="811">
        <f>Interim!GJ179</f>
        <v>787</v>
      </c>
      <c r="AP105" s="811">
        <f>Interim!GK179</f>
        <v>1633</v>
      </c>
      <c r="AQ105" s="811">
        <f>Interim!GL179</f>
        <v>376</v>
      </c>
      <c r="AR105" s="811">
        <f>Interim!GM179</f>
        <v>403</v>
      </c>
      <c r="AS105" s="811">
        <f>Interim!GN179</f>
        <v>779</v>
      </c>
      <c r="AT105" s="811">
        <f>Interim!GO179</f>
        <v>405</v>
      </c>
    </row>
    <row r="106" spans="1:60">
      <c r="B106" s="960" t="s">
        <v>730</v>
      </c>
      <c r="C106" s="811">
        <f>Interim!EX184</f>
        <v>414</v>
      </c>
      <c r="D106" s="811">
        <f>Interim!EY184</f>
        <v>380</v>
      </c>
      <c r="E106" s="811">
        <f>Interim!EZ184</f>
        <v>794</v>
      </c>
      <c r="F106" s="811">
        <f>Interim!FA184</f>
        <v>510</v>
      </c>
      <c r="G106" s="811">
        <f>Interim!FB184</f>
        <v>1304</v>
      </c>
      <c r="H106" s="811">
        <f>Interim!FC184</f>
        <v>482</v>
      </c>
      <c r="I106" s="811">
        <f>Interim!FD184</f>
        <v>992</v>
      </c>
      <c r="J106" s="811">
        <f>Interim!FE184</f>
        <v>1786</v>
      </c>
      <c r="K106" s="811">
        <f>Interim!FF184</f>
        <v>597</v>
      </c>
      <c r="L106" s="811">
        <f>Interim!FG184</f>
        <v>564</v>
      </c>
      <c r="M106" s="811">
        <f>Interim!FH184</f>
        <v>1161</v>
      </c>
      <c r="N106" s="811">
        <f>Interim!FI184</f>
        <v>691</v>
      </c>
      <c r="O106" s="811">
        <f>Interim!FJ184</f>
        <v>1852</v>
      </c>
      <c r="P106" s="811">
        <f>Interim!FK184</f>
        <v>617</v>
      </c>
      <c r="Q106" s="811">
        <f>Interim!FL184</f>
        <v>1308</v>
      </c>
      <c r="R106" s="811">
        <f>Interim!FM184</f>
        <v>2469</v>
      </c>
      <c r="S106" s="811">
        <f>Interim!FN184</f>
        <v>762</v>
      </c>
      <c r="T106" s="811">
        <f>Interim!FO184</f>
        <v>685</v>
      </c>
      <c r="U106" s="811">
        <f>Interim!FP184</f>
        <v>1447</v>
      </c>
      <c r="V106" s="811">
        <f>Interim!FQ184</f>
        <v>822</v>
      </c>
      <c r="W106" s="811">
        <f>Interim!FR184</f>
        <v>2269</v>
      </c>
      <c r="X106" s="811">
        <f>Interim!FS184</f>
        <v>741</v>
      </c>
      <c r="Y106" s="811">
        <f>Interim!FT184</f>
        <v>1563</v>
      </c>
      <c r="Z106" s="811">
        <f>Interim!FU184</f>
        <v>3010</v>
      </c>
      <c r="AA106" s="811">
        <f>Interim!FV184</f>
        <v>990</v>
      </c>
      <c r="AB106" s="811">
        <f>Interim!FW184</f>
        <v>865</v>
      </c>
      <c r="AC106" s="811">
        <f>Interim!FX184</f>
        <v>1855</v>
      </c>
      <c r="AD106" s="811">
        <f>Interim!FY184</f>
        <v>1012</v>
      </c>
      <c r="AE106" s="811">
        <f>Interim!FZ184</f>
        <v>2867</v>
      </c>
      <c r="AF106" s="811">
        <f>Interim!GA184</f>
        <v>922</v>
      </c>
      <c r="AI106" s="811">
        <f>Interim!GD184</f>
        <v>1856</v>
      </c>
      <c r="AJ106" s="811">
        <f>Interim!GE184</f>
        <v>1726</v>
      </c>
      <c r="AK106" s="811">
        <f>Interim!GF184</f>
        <v>3582</v>
      </c>
      <c r="AL106" s="811">
        <f>Interim!GG184</f>
        <v>1894</v>
      </c>
      <c r="AM106" s="811">
        <f>Interim!GH184</f>
        <v>5476</v>
      </c>
      <c r="AN106" s="811">
        <f>Interim!GI184</f>
        <v>1665</v>
      </c>
      <c r="AO106" s="811">
        <f>Interim!GJ184</f>
        <v>3559</v>
      </c>
      <c r="AP106" s="811">
        <f>Interim!GK184</f>
        <v>7141</v>
      </c>
      <c r="AQ106" s="811">
        <f>Interim!GL184</f>
        <v>2138</v>
      </c>
      <c r="AR106" s="811">
        <f>Interim!GM184</f>
        <v>1872.58</v>
      </c>
      <c r="AS106" s="811">
        <f>Interim!GN184</f>
        <v>4010.58</v>
      </c>
      <c r="AT106" s="811">
        <f>Interim!GO184</f>
        <v>2090</v>
      </c>
    </row>
    <row r="107" spans="1:60">
      <c r="B107" s="960" t="s">
        <v>104</v>
      </c>
      <c r="C107" s="811">
        <f>Interim!EX189</f>
        <v>139</v>
      </c>
      <c r="D107" s="811">
        <f>Interim!EY189</f>
        <v>181</v>
      </c>
      <c r="E107" s="811">
        <f>Interim!EZ189</f>
        <v>320</v>
      </c>
      <c r="F107" s="811">
        <f>Interim!FA189</f>
        <v>173</v>
      </c>
      <c r="G107" s="811">
        <f>Interim!FB189</f>
        <v>493</v>
      </c>
      <c r="H107" s="811">
        <f>Interim!FC189</f>
        <v>251</v>
      </c>
      <c r="I107" s="811">
        <f>Interim!FD189</f>
        <v>424</v>
      </c>
      <c r="J107" s="811">
        <f>Interim!FE189</f>
        <v>744</v>
      </c>
      <c r="K107" s="811">
        <f>Interim!FF189</f>
        <v>155</v>
      </c>
      <c r="L107" s="811">
        <f>Interim!FG189</f>
        <v>178</v>
      </c>
      <c r="M107" s="811">
        <f>Interim!FH189</f>
        <v>333</v>
      </c>
      <c r="N107" s="811">
        <f>Interim!FI189</f>
        <v>186</v>
      </c>
      <c r="O107" s="811">
        <f>Interim!FJ189</f>
        <v>519</v>
      </c>
      <c r="P107" s="811">
        <f>Interim!FK189</f>
        <v>257</v>
      </c>
      <c r="Q107" s="811">
        <f>Interim!FL189</f>
        <v>443</v>
      </c>
      <c r="R107" s="811">
        <f>Interim!FM189</f>
        <v>776</v>
      </c>
      <c r="S107" s="811">
        <f>Interim!FN189</f>
        <v>236</v>
      </c>
      <c r="T107" s="811">
        <f>Interim!FO189</f>
        <v>236</v>
      </c>
      <c r="U107" s="811">
        <f>Interim!FP189</f>
        <v>472</v>
      </c>
      <c r="V107" s="811">
        <f>Interim!FQ189</f>
        <v>264</v>
      </c>
      <c r="W107" s="811">
        <f>Interim!FR189</f>
        <v>736</v>
      </c>
      <c r="X107" s="811">
        <f>Interim!FS189</f>
        <v>271</v>
      </c>
      <c r="Y107" s="811">
        <f>Interim!FT189</f>
        <v>535</v>
      </c>
      <c r="Z107" s="811">
        <f>Interim!FU189</f>
        <v>1007</v>
      </c>
      <c r="AA107" s="811">
        <f>Interim!FV189</f>
        <v>301</v>
      </c>
      <c r="AB107" s="811">
        <f>Interim!FW189</f>
        <v>261</v>
      </c>
      <c r="AC107" s="811">
        <f>Interim!FX189</f>
        <v>562</v>
      </c>
      <c r="AD107" s="811">
        <f>Interim!FY189</f>
        <v>243</v>
      </c>
      <c r="AE107" s="811">
        <f>Interim!FZ189</f>
        <v>805</v>
      </c>
      <c r="AF107" s="811">
        <f>Interim!GA189</f>
        <v>251</v>
      </c>
      <c r="AI107" s="811">
        <f>Interim!GD189</f>
        <v>0</v>
      </c>
      <c r="AJ107" s="811">
        <f>Interim!GE189</f>
        <v>0</v>
      </c>
      <c r="AK107" s="811">
        <f>Interim!GF189</f>
        <v>0</v>
      </c>
      <c r="AL107" s="811">
        <f>Interim!GG189</f>
        <v>0</v>
      </c>
      <c r="AM107" s="811">
        <f>Interim!GH189</f>
        <v>0</v>
      </c>
      <c r="AN107" s="811">
        <f>Interim!GI189</f>
        <v>0</v>
      </c>
      <c r="AO107" s="811">
        <f>Interim!GJ189</f>
        <v>0</v>
      </c>
      <c r="AP107" s="811">
        <f>Interim!GK189</f>
        <v>0</v>
      </c>
      <c r="AQ107" s="811">
        <f>Interim!GL189</f>
        <v>0</v>
      </c>
      <c r="AR107" s="811">
        <f>Interim!GM189</f>
        <v>0</v>
      </c>
      <c r="AS107" s="811">
        <f>Interim!GN189</f>
        <v>0</v>
      </c>
      <c r="AT107" s="811">
        <f>Interim!GO189</f>
        <v>0</v>
      </c>
    </row>
    <row r="108" spans="1:60">
      <c r="B108" s="960" t="s">
        <v>105</v>
      </c>
      <c r="C108" s="811">
        <f>Interim!EX194</f>
        <v>245</v>
      </c>
      <c r="D108" s="811">
        <f>Interim!EY194</f>
        <v>294</v>
      </c>
      <c r="E108" s="811">
        <f>Interim!EZ194</f>
        <v>539</v>
      </c>
      <c r="F108" s="811">
        <f>Interim!FA194</f>
        <v>296</v>
      </c>
      <c r="G108" s="811">
        <f>Interim!FB194</f>
        <v>835</v>
      </c>
      <c r="H108" s="811">
        <f>Interim!FC194</f>
        <v>263</v>
      </c>
      <c r="I108" s="811">
        <f>Interim!FD194</f>
        <v>559</v>
      </c>
      <c r="J108" s="811">
        <f>Interim!FE194</f>
        <v>1098</v>
      </c>
      <c r="K108" s="811">
        <f>Interim!FF194</f>
        <v>162</v>
      </c>
      <c r="L108" s="811">
        <f>Interim!FG194</f>
        <v>204</v>
      </c>
      <c r="M108" s="811">
        <f>Interim!FH194</f>
        <v>366</v>
      </c>
      <c r="N108" s="811">
        <f>Interim!FI194</f>
        <v>195</v>
      </c>
      <c r="O108" s="811">
        <f>Interim!FJ194</f>
        <v>561</v>
      </c>
      <c r="P108" s="811">
        <f>Interim!FK194</f>
        <v>178</v>
      </c>
      <c r="Q108" s="811">
        <f>Interim!FL194</f>
        <v>373</v>
      </c>
      <c r="R108" s="811">
        <f>Interim!FM194</f>
        <v>739</v>
      </c>
      <c r="S108" s="811">
        <f>Interim!FN194</f>
        <v>138</v>
      </c>
      <c r="T108" s="811">
        <f>Interim!FO194</f>
        <v>172</v>
      </c>
      <c r="U108" s="811">
        <f>Interim!FP194</f>
        <v>310</v>
      </c>
      <c r="V108" s="811">
        <f>Interim!FQ194</f>
        <v>195</v>
      </c>
      <c r="W108" s="811">
        <f>Interim!FR194</f>
        <v>505</v>
      </c>
      <c r="X108" s="811">
        <f>Interim!FS194</f>
        <v>174</v>
      </c>
      <c r="Y108" s="811">
        <f>Interim!FT194</f>
        <v>369</v>
      </c>
      <c r="Z108" s="811">
        <f>Interim!FU194</f>
        <v>679</v>
      </c>
      <c r="AA108" s="811">
        <f>Interim!FV194</f>
        <v>160</v>
      </c>
      <c r="AB108" s="811">
        <f>Interim!FW194</f>
        <v>181</v>
      </c>
      <c r="AC108" s="811">
        <f>Interim!FX194</f>
        <v>341</v>
      </c>
      <c r="AD108" s="811">
        <f>Interim!FY194</f>
        <v>173</v>
      </c>
      <c r="AE108" s="811">
        <f>Interim!FZ194</f>
        <v>514</v>
      </c>
      <c r="AF108" s="811">
        <f>Interim!GA194</f>
        <v>146</v>
      </c>
      <c r="AI108" s="811">
        <f>Interim!GD194</f>
        <v>119</v>
      </c>
      <c r="AJ108" s="811">
        <f>Interim!GE194</f>
        <v>177</v>
      </c>
      <c r="AK108" s="811">
        <f>Interim!GF194</f>
        <v>296</v>
      </c>
      <c r="AL108" s="811">
        <f>Interim!GG194</f>
        <v>166</v>
      </c>
      <c r="AM108" s="811">
        <f>Interim!GH194</f>
        <v>462</v>
      </c>
      <c r="AN108" s="811">
        <f>Interim!GI194</f>
        <v>132</v>
      </c>
      <c r="AO108" s="811">
        <f>Interim!GJ194</f>
        <v>298</v>
      </c>
      <c r="AP108" s="811">
        <f>Interim!GK194</f>
        <v>594</v>
      </c>
      <c r="AQ108" s="811">
        <f>Interim!GL194</f>
        <v>136</v>
      </c>
      <c r="AR108" s="811">
        <f>Interim!GM194</f>
        <v>171</v>
      </c>
      <c r="AS108" s="811">
        <f>Interim!GN194</f>
        <v>307</v>
      </c>
      <c r="AT108" s="811">
        <f>Interim!GO194</f>
        <v>199</v>
      </c>
    </row>
    <row r="109" spans="1:60">
      <c r="B109" s="960" t="s">
        <v>731</v>
      </c>
      <c r="C109" s="811">
        <f>Interim!EX199</f>
        <v>503</v>
      </c>
      <c r="D109" s="811">
        <f>Interim!EY199</f>
        <v>409</v>
      </c>
      <c r="E109" s="811">
        <f>Interim!EZ199</f>
        <v>912</v>
      </c>
      <c r="F109" s="811">
        <f>Interim!FA199</f>
        <v>561</v>
      </c>
      <c r="G109" s="811">
        <f>Interim!FB199</f>
        <v>1473</v>
      </c>
      <c r="H109" s="811">
        <f>Interim!FC199</f>
        <v>452</v>
      </c>
      <c r="I109" s="811">
        <f>Interim!FD199</f>
        <v>1013</v>
      </c>
      <c r="J109" s="811">
        <f>Interim!FE199</f>
        <v>1925</v>
      </c>
      <c r="K109" s="811">
        <f>Interim!FF199</f>
        <v>635</v>
      </c>
      <c r="L109" s="811">
        <f>Interim!FG199</f>
        <v>536</v>
      </c>
      <c r="M109" s="811">
        <f>Interim!FH199</f>
        <v>1171</v>
      </c>
      <c r="N109" s="811">
        <f>Interim!FI199</f>
        <v>674</v>
      </c>
      <c r="O109" s="811">
        <f>Interim!FJ199</f>
        <v>1845</v>
      </c>
      <c r="P109" s="811">
        <f>Interim!FK199</f>
        <v>543</v>
      </c>
      <c r="Q109" s="811">
        <f>Interim!FL199</f>
        <v>1217</v>
      </c>
      <c r="R109" s="811">
        <f>Interim!FM199</f>
        <v>2388</v>
      </c>
      <c r="S109" s="811">
        <f>Interim!FN199</f>
        <v>701</v>
      </c>
      <c r="T109" s="811">
        <f>Interim!FO199</f>
        <v>572</v>
      </c>
      <c r="U109" s="811">
        <f>Interim!FP199</f>
        <v>1273</v>
      </c>
      <c r="V109" s="811">
        <f>Interim!FQ199</f>
        <v>794</v>
      </c>
      <c r="W109" s="811">
        <f>Interim!FR199</f>
        <v>2067</v>
      </c>
      <c r="X109" s="811">
        <f>Interim!FS199</f>
        <v>618</v>
      </c>
      <c r="Y109" s="811">
        <f>Interim!FT199</f>
        <v>1412</v>
      </c>
      <c r="Z109" s="811">
        <f>Interim!FU199</f>
        <v>2685</v>
      </c>
      <c r="AA109" s="811">
        <f>Interim!FV199</f>
        <v>833</v>
      </c>
      <c r="AB109" s="811">
        <f>Interim!FW199</f>
        <v>657</v>
      </c>
      <c r="AC109" s="811">
        <f>Interim!FX199</f>
        <v>1490</v>
      </c>
      <c r="AD109" s="811">
        <f>Interim!FY199</f>
        <v>801</v>
      </c>
      <c r="AE109" s="811">
        <f>Interim!FZ199</f>
        <v>2291</v>
      </c>
      <c r="AF109" s="811">
        <f>Interim!GA199</f>
        <v>616</v>
      </c>
      <c r="AI109" s="811">
        <f>Interim!GD199</f>
        <v>308</v>
      </c>
      <c r="AJ109" s="811">
        <f>Interim!GE199</f>
        <v>251</v>
      </c>
      <c r="AK109" s="811">
        <f>Interim!GF199</f>
        <v>559</v>
      </c>
      <c r="AL109" s="811">
        <f>Interim!GG199</f>
        <v>329</v>
      </c>
      <c r="AM109" s="811">
        <f>Interim!GH199</f>
        <v>888</v>
      </c>
      <c r="AN109" s="811">
        <f>Interim!GI199</f>
        <v>256</v>
      </c>
      <c r="AO109" s="811">
        <f>Interim!GJ199</f>
        <v>585</v>
      </c>
      <c r="AP109" s="811">
        <f>Interim!GK199</f>
        <v>1144</v>
      </c>
      <c r="AQ109" s="811">
        <f>Interim!GL199</f>
        <v>330</v>
      </c>
      <c r="AR109" s="811">
        <f>Interim!GM199</f>
        <v>281</v>
      </c>
      <c r="AS109" s="811">
        <f>Interim!GN199</f>
        <v>611</v>
      </c>
      <c r="AT109" s="811">
        <f>Interim!GO199</f>
        <v>388</v>
      </c>
    </row>
    <row r="110" spans="1:60">
      <c r="B110" s="960" t="s">
        <v>70</v>
      </c>
      <c r="C110" s="811">
        <f>Interim!EX209</f>
        <v>333</v>
      </c>
      <c r="D110" s="811">
        <f>Interim!EY209</f>
        <v>369</v>
      </c>
      <c r="E110" s="811">
        <f>Interim!EZ209</f>
        <v>702</v>
      </c>
      <c r="F110" s="811">
        <f>Interim!FA209</f>
        <v>290</v>
      </c>
      <c r="G110" s="811">
        <f>Interim!FB209</f>
        <v>992</v>
      </c>
      <c r="H110" s="811">
        <f>Interim!FC209</f>
        <v>366</v>
      </c>
      <c r="I110" s="811">
        <f>Interim!FD209</f>
        <v>656</v>
      </c>
      <c r="J110" s="811">
        <f>Interim!FE209</f>
        <v>1358</v>
      </c>
      <c r="K110" s="811">
        <f>Interim!FF209</f>
        <v>377</v>
      </c>
      <c r="L110" s="811">
        <f>Interim!FG209</f>
        <v>365</v>
      </c>
      <c r="M110" s="811">
        <f>Interim!FH209</f>
        <v>742</v>
      </c>
      <c r="N110" s="811">
        <f>Interim!FI209</f>
        <v>342</v>
      </c>
      <c r="O110" s="811">
        <f>Interim!FJ209</f>
        <v>1084</v>
      </c>
      <c r="P110" s="811">
        <f>Interim!FK209</f>
        <v>383</v>
      </c>
      <c r="Q110" s="811">
        <f>Interim!FL209</f>
        <v>725</v>
      </c>
      <c r="R110" s="811">
        <f>Interim!FM209</f>
        <v>1467</v>
      </c>
      <c r="S110" s="811">
        <f>Interim!FN209</f>
        <v>396</v>
      </c>
      <c r="T110" s="811">
        <f>Interim!FO209</f>
        <v>377</v>
      </c>
      <c r="U110" s="811">
        <f>Interim!FP209</f>
        <v>773</v>
      </c>
      <c r="V110" s="811">
        <f>Interim!FQ209</f>
        <v>366</v>
      </c>
      <c r="W110" s="811">
        <f>Interim!FR209</f>
        <v>1139</v>
      </c>
      <c r="X110" s="811">
        <f>Interim!FS209</f>
        <v>336</v>
      </c>
      <c r="Y110" s="811">
        <f>Interim!FT209</f>
        <v>702</v>
      </c>
      <c r="Z110" s="811">
        <f>Interim!FU209</f>
        <v>1475</v>
      </c>
      <c r="AA110" s="811">
        <f>Interim!FV209</f>
        <v>197</v>
      </c>
      <c r="AB110" s="811">
        <f>Interim!FW209</f>
        <v>198</v>
      </c>
      <c r="AC110" s="811">
        <f>Interim!FX209</f>
        <v>395</v>
      </c>
      <c r="AD110" s="811">
        <f>Interim!FY209</f>
        <v>192</v>
      </c>
      <c r="AE110" s="811">
        <f>Interim!FZ209</f>
        <v>587</v>
      </c>
      <c r="AF110" s="811">
        <f>Interim!GA209</f>
        <v>154</v>
      </c>
      <c r="AI110" s="811">
        <f>Interim!GD209</f>
        <v>190</v>
      </c>
      <c r="AJ110" s="811">
        <f>Interim!GE209</f>
        <v>189</v>
      </c>
      <c r="AK110" s="811">
        <f>Interim!GF209</f>
        <v>379</v>
      </c>
      <c r="AL110" s="811">
        <f>Interim!GG209</f>
        <v>230</v>
      </c>
      <c r="AM110" s="811">
        <f>Interim!GH209</f>
        <v>609</v>
      </c>
      <c r="AN110" s="811">
        <f>Interim!GI209</f>
        <v>220</v>
      </c>
      <c r="AO110" s="811">
        <f>Interim!GJ209</f>
        <v>450</v>
      </c>
      <c r="AP110" s="811">
        <f>Interim!GK209</f>
        <v>829</v>
      </c>
      <c r="AQ110" s="811">
        <f>Interim!GL209</f>
        <v>195</v>
      </c>
      <c r="AR110" s="811">
        <f>Interim!GM209</f>
        <v>147</v>
      </c>
      <c r="AS110" s="811">
        <f>Interim!GN209</f>
        <v>342</v>
      </c>
      <c r="AT110" s="811">
        <f>Interim!GO209</f>
        <v>162</v>
      </c>
    </row>
    <row r="111" spans="1:60">
      <c r="B111" s="155"/>
    </row>
    <row r="112" spans="1:60">
      <c r="A112" s="137" t="s">
        <v>732</v>
      </c>
      <c r="B112" s="155"/>
      <c r="C112" s="958" t="s">
        <v>392</v>
      </c>
      <c r="D112" s="958" t="s">
        <v>393</v>
      </c>
      <c r="E112" s="958" t="s">
        <v>394</v>
      </c>
      <c r="F112" s="958" t="s">
        <v>395</v>
      </c>
      <c r="G112" s="958" t="s">
        <v>396</v>
      </c>
      <c r="H112" s="958" t="s">
        <v>397</v>
      </c>
      <c r="I112" s="958" t="s">
        <v>398</v>
      </c>
      <c r="J112" s="958" t="s">
        <v>399</v>
      </c>
      <c r="K112" s="958" t="s">
        <v>400</v>
      </c>
      <c r="L112" s="958" t="s">
        <v>401</v>
      </c>
      <c r="M112" s="958" t="s">
        <v>402</v>
      </c>
      <c r="N112" s="958" t="s">
        <v>403</v>
      </c>
      <c r="O112" s="958" t="s">
        <v>404</v>
      </c>
      <c r="P112" s="958" t="s">
        <v>405</v>
      </c>
      <c r="Q112" s="958" t="s">
        <v>406</v>
      </c>
      <c r="R112" s="958" t="s">
        <v>407</v>
      </c>
      <c r="S112" s="958" t="s">
        <v>408</v>
      </c>
      <c r="T112" s="958" t="s">
        <v>409</v>
      </c>
      <c r="U112" s="958" t="s">
        <v>410</v>
      </c>
      <c r="V112" s="958" t="s">
        <v>411</v>
      </c>
      <c r="W112" s="958" t="s">
        <v>412</v>
      </c>
      <c r="X112" s="958" t="s">
        <v>413</v>
      </c>
      <c r="Y112" s="958" t="s">
        <v>414</v>
      </c>
      <c r="Z112" s="958" t="s">
        <v>415</v>
      </c>
      <c r="AA112" s="958" t="s">
        <v>416</v>
      </c>
      <c r="AB112" s="958" t="s">
        <v>417</v>
      </c>
      <c r="AC112" s="958" t="s">
        <v>418</v>
      </c>
      <c r="AD112" s="958" t="s">
        <v>419</v>
      </c>
      <c r="AE112" s="958" t="s">
        <v>420</v>
      </c>
      <c r="AF112" s="958" t="s">
        <v>421</v>
      </c>
      <c r="AI112" s="958" t="s">
        <v>424</v>
      </c>
      <c r="AJ112" s="958" t="s">
        <v>425</v>
      </c>
      <c r="AL112" s="958" t="s">
        <v>427</v>
      </c>
      <c r="AN112" s="958" t="s">
        <v>429</v>
      </c>
      <c r="AQ112" s="958" t="s">
        <v>432</v>
      </c>
      <c r="AR112" s="958" t="s">
        <v>433</v>
      </c>
      <c r="AT112" s="958" t="s">
        <v>435</v>
      </c>
    </row>
    <row r="113" spans="1:48">
      <c r="B113" s="960" t="s">
        <v>112</v>
      </c>
      <c r="C113" s="138">
        <f>C103/SUM(C103:C110)</f>
        <v>0.290433783395576</v>
      </c>
      <c r="D113" s="138">
        <f t="shared" ref="D113:AF113" si="47">D103/SUM(D103:D110)</f>
        <v>0.246321365509123</v>
      </c>
      <c r="E113" s="138">
        <f t="shared" si="47"/>
        <v>0.268643698211949</v>
      </c>
      <c r="F113" s="138">
        <f t="shared" si="47"/>
        <v>0.289070227497527</v>
      </c>
      <c r="G113" s="138">
        <f t="shared" si="47"/>
        <v>0.276206170465989</v>
      </c>
      <c r="H113" s="138">
        <f t="shared" si="47"/>
        <v>0.214958448753463</v>
      </c>
      <c r="I113" s="138">
        <f t="shared" si="47"/>
        <v>0.254115495165926</v>
      </c>
      <c r="J113" s="138">
        <f t="shared" si="47"/>
        <v>0.260992224592307</v>
      </c>
      <c r="K113" s="138">
        <f t="shared" si="47"/>
        <v>0.279941219691403</v>
      </c>
      <c r="L113" s="138">
        <f t="shared" si="47"/>
        <v>0.245968773995393</v>
      </c>
      <c r="M113" s="138">
        <f t="shared" si="47"/>
        <v>0.263329161451815</v>
      </c>
      <c r="N113" s="138">
        <f t="shared" si="47"/>
        <v>0.295143998318268</v>
      </c>
      <c r="O113" s="138">
        <f t="shared" si="47"/>
        <v>0.275202008315682</v>
      </c>
      <c r="P113" s="138">
        <f t="shared" si="47"/>
        <v>0.24736084452975</v>
      </c>
      <c r="Q113" s="138">
        <f t="shared" si="47"/>
        <v>0.272829131652661</v>
      </c>
      <c r="R113" s="138">
        <f t="shared" si="47"/>
        <v>0.268341708542714</v>
      </c>
      <c r="S113" s="138">
        <f t="shared" si="47"/>
        <v>0.296498217655693</v>
      </c>
      <c r="T113" s="138">
        <f t="shared" si="47"/>
        <v>0.274474338684151</v>
      </c>
      <c r="U113" s="138">
        <f t="shared" si="47"/>
        <v>0.285900783289817</v>
      </c>
      <c r="V113" s="138">
        <f t="shared" si="47"/>
        <v>0.287694013303769</v>
      </c>
      <c r="W113" s="138">
        <f t="shared" si="47"/>
        <v>0.286565324568611</v>
      </c>
      <c r="X113" s="138">
        <f t="shared" si="47"/>
        <v>0.236022193768673</v>
      </c>
      <c r="Y113" s="138">
        <f t="shared" si="47"/>
        <v>0.263715587244999</v>
      </c>
      <c r="Z113" s="138">
        <f t="shared" si="47"/>
        <v>0.274287195438051</v>
      </c>
      <c r="AA113" s="138">
        <f t="shared" si="47"/>
        <v>0.279654792508263</v>
      </c>
      <c r="AB113" s="138">
        <f t="shared" si="47"/>
        <v>0.282056371576022</v>
      </c>
      <c r="AC113" s="138">
        <f t="shared" si="47"/>
        <v>0.280808851583365</v>
      </c>
      <c r="AD113" s="138">
        <f t="shared" si="47"/>
        <v>0.291651990137372</v>
      </c>
      <c r="AE113" s="138">
        <f t="shared" si="47"/>
        <v>0.284618240316793</v>
      </c>
      <c r="AF113" s="138">
        <f t="shared" si="47"/>
        <v>0.253757911392405</v>
      </c>
      <c r="AI113" s="138">
        <f t="shared" ref="AI113:AT113" si="48">AI103/SUM(AI103:AI110)</f>
        <v>0.289037143887486</v>
      </c>
      <c r="AJ113" s="138">
        <f t="shared" si="48"/>
        <v>0.269910663371982</v>
      </c>
      <c r="AK113" s="138">
        <f t="shared" si="48"/>
        <v>0.279726103451467</v>
      </c>
      <c r="AL113" s="138">
        <f t="shared" si="48"/>
        <v>0.280095351609058</v>
      </c>
      <c r="AM113" s="138">
        <f t="shared" si="48"/>
        <v>0.279856115107914</v>
      </c>
      <c r="AN113" s="138">
        <f t="shared" si="48"/>
        <v>0.232371488629849</v>
      </c>
      <c r="AO113" s="138">
        <f t="shared" si="48"/>
        <v>0.257608499909958</v>
      </c>
      <c r="AP113" s="138">
        <f t="shared" si="48"/>
        <v>0.268516405786519</v>
      </c>
      <c r="AQ113" s="138">
        <f t="shared" si="48"/>
        <v>0.263640999490056</v>
      </c>
      <c r="AR113" s="138">
        <f t="shared" si="48"/>
        <v>0.258017789072427</v>
      </c>
      <c r="AS113" s="138">
        <f t="shared" si="48"/>
        <v>0.260921699438202</v>
      </c>
      <c r="AT113" s="138">
        <f t="shared" si="48"/>
        <v>0.264898595943838</v>
      </c>
    </row>
    <row r="114" spans="1:48">
      <c r="B114" s="960" t="s">
        <v>101</v>
      </c>
      <c r="C114" s="138">
        <f>C104/SUM(C103:C110)</f>
        <v>0.132720482619937</v>
      </c>
      <c r="D114" s="138">
        <f t="shared" ref="D114:AF114" si="49">D104/SUM(D103:D110)</f>
        <v>0.155385520894644</v>
      </c>
      <c r="E114" s="138">
        <f t="shared" si="49"/>
        <v>0.143916266899259</v>
      </c>
      <c r="F114" s="138">
        <f t="shared" si="49"/>
        <v>0.153066271018793</v>
      </c>
      <c r="G114" s="138">
        <f t="shared" si="49"/>
        <v>0.147303854252495</v>
      </c>
      <c r="H114" s="138">
        <f t="shared" si="49"/>
        <v>0.168421052631579</v>
      </c>
      <c r="I114" s="138">
        <f t="shared" si="49"/>
        <v>0.160308335510844</v>
      </c>
      <c r="J114" s="138">
        <f t="shared" si="49"/>
        <v>0.152549370398404</v>
      </c>
      <c r="K114" s="138">
        <f t="shared" si="49"/>
        <v>0.144746509919177</v>
      </c>
      <c r="L114" s="138">
        <f t="shared" si="49"/>
        <v>0.164576401330944</v>
      </c>
      <c r="M114" s="138">
        <f t="shared" si="49"/>
        <v>0.154443053817272</v>
      </c>
      <c r="N114" s="138">
        <f t="shared" si="49"/>
        <v>0.163128021862518</v>
      </c>
      <c r="O114" s="138">
        <f t="shared" si="49"/>
        <v>0.157684160979054</v>
      </c>
      <c r="P114" s="138">
        <f t="shared" si="49"/>
        <v>0.178502879078695</v>
      </c>
      <c r="Q114" s="138">
        <f t="shared" si="49"/>
        <v>0.1703081232493</v>
      </c>
      <c r="R114" s="138">
        <f t="shared" si="49"/>
        <v>0.162814070351759</v>
      </c>
      <c r="S114" s="138">
        <f t="shared" si="49"/>
        <v>0.152652547703921</v>
      </c>
      <c r="T114" s="138">
        <f t="shared" si="49"/>
        <v>0.178159620167307</v>
      </c>
      <c r="U114" s="138">
        <f t="shared" si="49"/>
        <v>0.164926022628372</v>
      </c>
      <c r="V114" s="138">
        <f t="shared" si="49"/>
        <v>0.171286031042129</v>
      </c>
      <c r="W114" s="138">
        <f t="shared" si="49"/>
        <v>0.167282936181868</v>
      </c>
      <c r="X114" s="138">
        <f t="shared" si="49"/>
        <v>0.206786171574904</v>
      </c>
      <c r="Y114" s="138">
        <f t="shared" si="49"/>
        <v>0.187759952465835</v>
      </c>
      <c r="Z114" s="138">
        <f t="shared" si="49"/>
        <v>0.176879212026957</v>
      </c>
      <c r="AA114" s="138">
        <f t="shared" si="49"/>
        <v>0.181417554168197</v>
      </c>
      <c r="AB114" s="138">
        <f t="shared" si="49"/>
        <v>0.201270345375149</v>
      </c>
      <c r="AC114" s="138">
        <f t="shared" si="49"/>
        <v>0.190957649752003</v>
      </c>
      <c r="AD114" s="138">
        <f t="shared" si="49"/>
        <v>0.19355406833392</v>
      </c>
      <c r="AE114" s="138">
        <f t="shared" si="49"/>
        <v>0.19186981809182</v>
      </c>
      <c r="AF114" s="138">
        <f t="shared" si="49"/>
        <v>0.232199367088608</v>
      </c>
      <c r="AI114" s="138">
        <f t="shared" ref="AI114:AT114" si="50">AI104/SUM(AI103:AI110)</f>
        <v>0.187522538766679</v>
      </c>
      <c r="AJ114" s="138">
        <f t="shared" si="50"/>
        <v>0.205664322372173</v>
      </c>
      <c r="AK114" s="138">
        <f t="shared" si="50"/>
        <v>0.196354214860738</v>
      </c>
      <c r="AL114" s="138">
        <f t="shared" si="50"/>
        <v>0.216073556955559</v>
      </c>
      <c r="AM114" s="138">
        <f t="shared" si="50"/>
        <v>0.203297362110312</v>
      </c>
      <c r="AN114" s="138">
        <f t="shared" si="50"/>
        <v>0.247850181540225</v>
      </c>
      <c r="AO114" s="138">
        <f t="shared" si="50"/>
        <v>0.231046281289393</v>
      </c>
      <c r="AP114" s="138">
        <f t="shared" si="50"/>
        <v>0.213936932414548</v>
      </c>
      <c r="AQ114" s="138">
        <f t="shared" si="50"/>
        <v>0.196668366479687</v>
      </c>
      <c r="AR114" s="138">
        <f t="shared" si="50"/>
        <v>0.220185151570158</v>
      </c>
      <c r="AS114" s="138">
        <f t="shared" si="50"/>
        <v>0.208040730337079</v>
      </c>
      <c r="AT114" s="138">
        <f t="shared" si="50"/>
        <v>0.229017160686428</v>
      </c>
    </row>
    <row r="115" spans="1:48">
      <c r="B115" s="960" t="s">
        <v>102</v>
      </c>
      <c r="C115" s="138">
        <f>C105/SUM(C103:C110)</f>
        <v>0.10744039069233</v>
      </c>
      <c r="D115" s="138">
        <f t="shared" ref="D115:AF115" si="51">D105/SUM(D103:D110)</f>
        <v>0.117716303708064</v>
      </c>
      <c r="E115" s="138">
        <f t="shared" si="51"/>
        <v>0.112516354121239</v>
      </c>
      <c r="F115" s="138">
        <f t="shared" si="51"/>
        <v>0.105341246290801</v>
      </c>
      <c r="G115" s="138">
        <f t="shared" si="51"/>
        <v>0.109859928591046</v>
      </c>
      <c r="H115" s="138">
        <f t="shared" si="51"/>
        <v>0.114127423822715</v>
      </c>
      <c r="I115" s="138">
        <f t="shared" si="51"/>
        <v>0.109485236477659</v>
      </c>
      <c r="J115" s="138">
        <f t="shared" si="51"/>
        <v>0.11091997522879</v>
      </c>
      <c r="K115" s="138">
        <f t="shared" si="51"/>
        <v>0.103600293901543</v>
      </c>
      <c r="L115" s="138">
        <f t="shared" si="51"/>
        <v>0.11671359099053</v>
      </c>
      <c r="M115" s="138">
        <f t="shared" si="51"/>
        <v>0.110012515644556</v>
      </c>
      <c r="N115" s="138">
        <f t="shared" si="51"/>
        <v>0.102795879756149</v>
      </c>
      <c r="O115" s="138">
        <f t="shared" si="51"/>
        <v>0.107319369263356</v>
      </c>
      <c r="P115" s="138">
        <f t="shared" si="51"/>
        <v>0.0995681381957774</v>
      </c>
      <c r="Q115" s="138">
        <f t="shared" si="51"/>
        <v>0.101288515406162</v>
      </c>
      <c r="R115" s="138">
        <f t="shared" si="51"/>
        <v>0.105409399940881</v>
      </c>
      <c r="S115" s="138">
        <f t="shared" si="51"/>
        <v>0.0826169008177815</v>
      </c>
      <c r="T115" s="138">
        <f t="shared" si="51"/>
        <v>0.0856884467555958</v>
      </c>
      <c r="U115" s="138">
        <f t="shared" si="51"/>
        <v>0.084094865100087</v>
      </c>
      <c r="V115" s="138">
        <f t="shared" si="51"/>
        <v>0.0899852180339985</v>
      </c>
      <c r="W115" s="138">
        <f t="shared" si="51"/>
        <v>0.0862777321281841</v>
      </c>
      <c r="X115" s="138">
        <f t="shared" si="51"/>
        <v>0.100512163892446</v>
      </c>
      <c r="Y115" s="138">
        <f t="shared" si="51"/>
        <v>0.0948702713408596</v>
      </c>
      <c r="Z115" s="138">
        <f t="shared" si="51"/>
        <v>0.0897356143079316</v>
      </c>
      <c r="AA115" s="138">
        <f t="shared" si="51"/>
        <v>0.0833639368343738</v>
      </c>
      <c r="AB115" s="138">
        <f t="shared" si="51"/>
        <v>0.0875347360063517</v>
      </c>
      <c r="AC115" s="138">
        <f t="shared" si="51"/>
        <v>0.0853681800839374</v>
      </c>
      <c r="AD115" s="138">
        <f t="shared" si="51"/>
        <v>0.0884114124691793</v>
      </c>
      <c r="AE115" s="138">
        <f t="shared" si="51"/>
        <v>0.0864373221135998</v>
      </c>
      <c r="AF115" s="138">
        <f t="shared" si="51"/>
        <v>0.100870253164557</v>
      </c>
      <c r="AI115" s="138">
        <f t="shared" ref="AI115:AT115" si="52">AI105/SUM(AI103:AI110)</f>
        <v>0.0775333573746845</v>
      </c>
      <c r="AJ115" s="138">
        <f t="shared" si="52"/>
        <v>0.0790724196920738</v>
      </c>
      <c r="AK115" s="138">
        <f t="shared" si="52"/>
        <v>0.0782825946146016</v>
      </c>
      <c r="AL115" s="138">
        <f t="shared" si="52"/>
        <v>0.0578920483568874</v>
      </c>
      <c r="AM115" s="138">
        <f t="shared" si="52"/>
        <v>0.0711031175059952</v>
      </c>
      <c r="AN115" s="138">
        <f t="shared" si="52"/>
        <v>0.0854194534683738</v>
      </c>
      <c r="AO115" s="138">
        <f t="shared" si="52"/>
        <v>0.0708625967945254</v>
      </c>
      <c r="AP115" s="138">
        <f t="shared" si="52"/>
        <v>0.0745219732578834</v>
      </c>
      <c r="AQ115" s="138">
        <f t="shared" si="52"/>
        <v>0.0639129695733469</v>
      </c>
      <c r="AR115" s="138">
        <f t="shared" si="52"/>
        <v>0.0731530223271011</v>
      </c>
      <c r="AS115" s="138">
        <f t="shared" si="52"/>
        <v>0.0683813202247191</v>
      </c>
      <c r="AT115" s="138">
        <f t="shared" si="52"/>
        <v>0.063182527301092</v>
      </c>
    </row>
    <row r="116" spans="1:48">
      <c r="B116" s="960" t="s">
        <v>730</v>
      </c>
      <c r="C116" s="138">
        <f>C106/SUM(C103:C110)</f>
        <v>0.118931341568515</v>
      </c>
      <c r="D116" s="138">
        <f t="shared" ref="D116:AF116" si="53">D106/SUM(D103:D110)</f>
        <v>0.11183048852266</v>
      </c>
      <c r="E116" s="138">
        <f t="shared" si="53"/>
        <v>0.115423753452537</v>
      </c>
      <c r="F116" s="138">
        <f t="shared" si="53"/>
        <v>0.126112759643917</v>
      </c>
      <c r="G116" s="138">
        <f t="shared" si="53"/>
        <v>0.11938112240227</v>
      </c>
      <c r="H116" s="138">
        <f t="shared" si="53"/>
        <v>0.133518005540166</v>
      </c>
      <c r="I116" s="138">
        <f t="shared" si="53"/>
        <v>0.129605435066632</v>
      </c>
      <c r="J116" s="138">
        <f t="shared" si="53"/>
        <v>0.122892726897406</v>
      </c>
      <c r="K116" s="138">
        <f t="shared" si="53"/>
        <v>0.146216017634093</v>
      </c>
      <c r="L116" s="138">
        <f t="shared" si="53"/>
        <v>0.14435628359355</v>
      </c>
      <c r="M116" s="138">
        <f t="shared" si="53"/>
        <v>0.145306633291615</v>
      </c>
      <c r="N116" s="138">
        <f t="shared" si="53"/>
        <v>0.145259617405928</v>
      </c>
      <c r="O116" s="138">
        <f t="shared" si="53"/>
        <v>0.145289087628462</v>
      </c>
      <c r="P116" s="138">
        <f t="shared" si="53"/>
        <v>0.148032629558541</v>
      </c>
      <c r="Q116" s="138">
        <f t="shared" si="53"/>
        <v>0.146554621848739</v>
      </c>
      <c r="R116" s="138">
        <f t="shared" si="53"/>
        <v>0.145965119716228</v>
      </c>
      <c r="S116" s="138">
        <f t="shared" si="53"/>
        <v>0.159781924931852</v>
      </c>
      <c r="T116" s="138">
        <f t="shared" si="53"/>
        <v>0.154872258647976</v>
      </c>
      <c r="U116" s="138">
        <f t="shared" si="53"/>
        <v>0.157419495213229</v>
      </c>
      <c r="V116" s="138">
        <f t="shared" si="53"/>
        <v>0.151884700665188</v>
      </c>
      <c r="W116" s="138">
        <f t="shared" si="53"/>
        <v>0.155368392221309</v>
      </c>
      <c r="X116" s="138">
        <f t="shared" si="53"/>
        <v>0.158130601792574</v>
      </c>
      <c r="Y116" s="138">
        <f t="shared" si="53"/>
        <v>0.154783125371361</v>
      </c>
      <c r="Z116" s="138">
        <f t="shared" si="53"/>
        <v>0.156039398652151</v>
      </c>
      <c r="AA116" s="138">
        <f t="shared" si="53"/>
        <v>0.181784796180683</v>
      </c>
      <c r="AB116" s="138">
        <f t="shared" si="53"/>
        <v>0.171695117109964</v>
      </c>
      <c r="AC116" s="138">
        <f t="shared" si="53"/>
        <v>0.176936283861122</v>
      </c>
      <c r="AD116" s="138">
        <f t="shared" si="53"/>
        <v>0.178231771750616</v>
      </c>
      <c r="AE116" s="138">
        <f t="shared" si="53"/>
        <v>0.177391411953966</v>
      </c>
      <c r="AF116" s="138">
        <f t="shared" si="53"/>
        <v>0.182357594936709</v>
      </c>
      <c r="AI116" s="138">
        <f t="shared" ref="AI116:AT116" si="54">AI106/SUM(AI103:AI110)</f>
        <v>0.33465560764515</v>
      </c>
      <c r="AJ116" s="138">
        <f t="shared" si="54"/>
        <v>0.328074510549325</v>
      </c>
      <c r="AK116" s="138">
        <f t="shared" si="54"/>
        <v>0.331451836772462</v>
      </c>
      <c r="AL116" s="138">
        <f t="shared" si="54"/>
        <v>0.322492763493956</v>
      </c>
      <c r="AM116" s="138">
        <f t="shared" si="54"/>
        <v>0.328297362110312</v>
      </c>
      <c r="AN116" s="138">
        <f t="shared" si="54"/>
        <v>0.318173132046627</v>
      </c>
      <c r="AO116" s="138">
        <f t="shared" si="54"/>
        <v>0.320457410408788</v>
      </c>
      <c r="AP116" s="138">
        <f t="shared" si="54"/>
        <v>0.325879614840506</v>
      </c>
      <c r="AQ116" s="138">
        <f t="shared" si="54"/>
        <v>0.363420023797383</v>
      </c>
      <c r="AR116" s="138">
        <f t="shared" si="54"/>
        <v>0.339912869849337</v>
      </c>
      <c r="AS116" s="138">
        <f t="shared" si="54"/>
        <v>0.352052317415731</v>
      </c>
      <c r="AT116" s="138">
        <f t="shared" si="54"/>
        <v>0.326053042121685</v>
      </c>
    </row>
    <row r="117" spans="1:48">
      <c r="B117" s="960" t="s">
        <v>104</v>
      </c>
      <c r="C117" s="138">
        <f>C107/SUM(C103:C110)</f>
        <v>0.0399310542947429</v>
      </c>
      <c r="D117" s="138">
        <f t="shared" ref="D117:AF117" si="55">D107/SUM(D103:D110)</f>
        <v>0.0532666274278988</v>
      </c>
      <c r="E117" s="138">
        <f t="shared" si="55"/>
        <v>0.0465183893007705</v>
      </c>
      <c r="F117" s="138">
        <f t="shared" si="55"/>
        <v>0.0427794263105836</v>
      </c>
      <c r="G117" s="138">
        <f t="shared" si="55"/>
        <v>0.0451341206628216</v>
      </c>
      <c r="H117" s="138">
        <f t="shared" si="55"/>
        <v>0.0695290858725762</v>
      </c>
      <c r="I117" s="138">
        <f t="shared" si="55"/>
        <v>0.0553958714397701</v>
      </c>
      <c r="J117" s="138">
        <f t="shared" si="55"/>
        <v>0.0511938347209798</v>
      </c>
      <c r="K117" s="138">
        <f t="shared" si="55"/>
        <v>0.0379622826353172</v>
      </c>
      <c r="L117" s="138">
        <f t="shared" si="55"/>
        <v>0.0455592526234963</v>
      </c>
      <c r="M117" s="138">
        <f t="shared" si="55"/>
        <v>0.0416770963704631</v>
      </c>
      <c r="N117" s="138">
        <f t="shared" si="55"/>
        <v>0.0391002732814799</v>
      </c>
      <c r="O117" s="138">
        <f t="shared" si="55"/>
        <v>0.0407154624617557</v>
      </c>
      <c r="P117" s="138">
        <f t="shared" si="55"/>
        <v>0.0616602687140115</v>
      </c>
      <c r="Q117" s="138">
        <f t="shared" si="55"/>
        <v>0.0496358543417367</v>
      </c>
      <c r="R117" s="138">
        <f t="shared" si="55"/>
        <v>0.0458764410286728</v>
      </c>
      <c r="S117" s="138">
        <f t="shared" si="55"/>
        <v>0.049486265464458</v>
      </c>
      <c r="T117" s="138">
        <f t="shared" si="55"/>
        <v>0.0533574496947773</v>
      </c>
      <c r="U117" s="138">
        <f t="shared" si="55"/>
        <v>0.051348999129678</v>
      </c>
      <c r="V117" s="138">
        <f t="shared" si="55"/>
        <v>0.0487804878048781</v>
      </c>
      <c r="W117" s="138">
        <f t="shared" si="55"/>
        <v>0.050397151465352</v>
      </c>
      <c r="X117" s="138">
        <f t="shared" si="55"/>
        <v>0.0578318395219804</v>
      </c>
      <c r="Y117" s="138">
        <f t="shared" si="55"/>
        <v>0.0529807882749059</v>
      </c>
      <c r="Z117" s="138">
        <f t="shared" si="55"/>
        <v>0.0522032141005702</v>
      </c>
      <c r="AA117" s="138">
        <f t="shared" si="55"/>
        <v>0.0552699228791774</v>
      </c>
      <c r="AB117" s="138">
        <f t="shared" si="55"/>
        <v>0.0518062723302898</v>
      </c>
      <c r="AC117" s="138">
        <f t="shared" si="55"/>
        <v>0.0536054940862266</v>
      </c>
      <c r="AD117" s="138">
        <f t="shared" si="55"/>
        <v>0.0427967594223318</v>
      </c>
      <c r="AE117" s="138">
        <f t="shared" si="55"/>
        <v>0.0498081920554387</v>
      </c>
      <c r="AF117" s="138">
        <f t="shared" si="55"/>
        <v>0.0496439873417721</v>
      </c>
      <c r="AI117" s="138">
        <f t="shared" ref="AI117:AT117" si="56">AI107/SUM(AI103:AI110)</f>
        <v>0</v>
      </c>
      <c r="AJ117" s="138">
        <f t="shared" si="56"/>
        <v>0</v>
      </c>
      <c r="AK117" s="138">
        <f t="shared" si="56"/>
        <v>0</v>
      </c>
      <c r="AL117" s="138">
        <f t="shared" si="56"/>
        <v>0</v>
      </c>
      <c r="AM117" s="138">
        <f t="shared" si="56"/>
        <v>0</v>
      </c>
      <c r="AN117" s="138">
        <f t="shared" si="56"/>
        <v>0</v>
      </c>
      <c r="AO117" s="138">
        <f t="shared" si="56"/>
        <v>0</v>
      </c>
      <c r="AP117" s="138">
        <f t="shared" si="56"/>
        <v>0</v>
      </c>
      <c r="AQ117" s="138">
        <f t="shared" si="56"/>
        <v>0</v>
      </c>
      <c r="AR117" s="138">
        <f t="shared" si="56"/>
        <v>0</v>
      </c>
      <c r="AS117" s="138">
        <f t="shared" si="56"/>
        <v>0</v>
      </c>
      <c r="AT117" s="138">
        <f t="shared" si="56"/>
        <v>0</v>
      </c>
    </row>
    <row r="118" spans="1:48">
      <c r="B118" s="960" t="s">
        <v>105</v>
      </c>
      <c r="C118" s="138">
        <f>C108/SUM(C103:C110)</f>
        <v>0.0703820741166332</v>
      </c>
      <c r="D118" s="138">
        <f t="shared" ref="D118:AF118" si="57">D108/SUM(D103:D110)</f>
        <v>0.0865214832254267</v>
      </c>
      <c r="E118" s="138">
        <f t="shared" si="57"/>
        <v>0.0783544119784852</v>
      </c>
      <c r="F118" s="138">
        <f t="shared" si="57"/>
        <v>0.0731948565776459</v>
      </c>
      <c r="G118" s="138">
        <f t="shared" si="57"/>
        <v>0.0764442003112698</v>
      </c>
      <c r="H118" s="138">
        <f t="shared" si="57"/>
        <v>0.0728531855955679</v>
      </c>
      <c r="I118" s="138">
        <f t="shared" si="57"/>
        <v>0.0730337078651685</v>
      </c>
      <c r="J118" s="138">
        <f t="shared" si="57"/>
        <v>0.0755521915640267</v>
      </c>
      <c r="K118" s="138">
        <f t="shared" si="57"/>
        <v>0.0396767083027186</v>
      </c>
      <c r="L118" s="138">
        <f t="shared" si="57"/>
        <v>0.052213974916816</v>
      </c>
      <c r="M118" s="138">
        <f t="shared" si="57"/>
        <v>0.0458072590738423</v>
      </c>
      <c r="N118" s="138">
        <f t="shared" si="57"/>
        <v>0.0409922219886483</v>
      </c>
      <c r="O118" s="138">
        <f t="shared" si="57"/>
        <v>0.0440103553777359</v>
      </c>
      <c r="P118" s="138">
        <f t="shared" si="57"/>
        <v>0.0427063339731286</v>
      </c>
      <c r="Q118" s="138">
        <f t="shared" si="57"/>
        <v>0.0417927170868347</v>
      </c>
      <c r="R118" s="138">
        <f t="shared" si="57"/>
        <v>0.0436890334023056</v>
      </c>
      <c r="S118" s="138">
        <f t="shared" si="57"/>
        <v>0.0289368840427763</v>
      </c>
      <c r="T118" s="138">
        <f t="shared" si="57"/>
        <v>0.038887632828397</v>
      </c>
      <c r="U118" s="138">
        <f t="shared" si="57"/>
        <v>0.0337249782419495</v>
      </c>
      <c r="V118" s="138">
        <f t="shared" si="57"/>
        <v>0.0360310421286031</v>
      </c>
      <c r="W118" s="138">
        <f t="shared" si="57"/>
        <v>0.0345795672418515</v>
      </c>
      <c r="X118" s="138">
        <f t="shared" si="57"/>
        <v>0.0371318822023047</v>
      </c>
      <c r="Y118" s="138">
        <f t="shared" si="57"/>
        <v>0.036541889483066</v>
      </c>
      <c r="Z118" s="138">
        <f t="shared" si="57"/>
        <v>0.0351995852773458</v>
      </c>
      <c r="AA118" s="138">
        <f t="shared" si="57"/>
        <v>0.0293793609988983</v>
      </c>
      <c r="AB118" s="138">
        <f t="shared" si="57"/>
        <v>0.0359269551409289</v>
      </c>
      <c r="AC118" s="138">
        <f t="shared" si="57"/>
        <v>0.0325257535291873</v>
      </c>
      <c r="AD118" s="138">
        <f t="shared" si="57"/>
        <v>0.0304684748150757</v>
      </c>
      <c r="AE118" s="138">
        <f t="shared" si="57"/>
        <v>0.0318029946788764</v>
      </c>
      <c r="AF118" s="138">
        <f t="shared" si="57"/>
        <v>0.028876582278481</v>
      </c>
      <c r="AI118" s="138">
        <f t="shared" ref="AI118:AT118" si="58">AI108/SUM(AI103:AI110)</f>
        <v>0.0214569058781104</v>
      </c>
      <c r="AJ118" s="138">
        <f t="shared" si="58"/>
        <v>0.0336437939555218</v>
      </c>
      <c r="AK118" s="138">
        <f t="shared" si="58"/>
        <v>0.0273896548533358</v>
      </c>
      <c r="AL118" s="138">
        <f t="shared" si="58"/>
        <v>0.028264941256598</v>
      </c>
      <c r="AM118" s="138">
        <f t="shared" si="58"/>
        <v>0.0276978417266187</v>
      </c>
      <c r="AN118" s="138">
        <f t="shared" si="58"/>
        <v>0.0252245365946876</v>
      </c>
      <c r="AO118" s="138">
        <f t="shared" si="58"/>
        <v>0.0268323428777237</v>
      </c>
      <c r="AP118" s="138">
        <f t="shared" si="58"/>
        <v>0.0271071966412632</v>
      </c>
      <c r="AQ118" s="138">
        <f t="shared" si="58"/>
        <v>0.0231174570797212</v>
      </c>
      <c r="AR118" s="138">
        <f t="shared" si="58"/>
        <v>0.0310401161735342</v>
      </c>
      <c r="AS118" s="138">
        <f t="shared" si="58"/>
        <v>0.0269487359550562</v>
      </c>
      <c r="AT118" s="138">
        <f t="shared" si="58"/>
        <v>0.0310452418096724</v>
      </c>
    </row>
    <row r="119" spans="1:48">
      <c r="B119" s="960" t="s">
        <v>731</v>
      </c>
      <c r="C119" s="138">
        <f>C109/SUM(C103:C110)</f>
        <v>0.144498707268026</v>
      </c>
      <c r="D119" s="138">
        <f t="shared" ref="D119:AF119" si="59">D109/SUM(D103:D110)</f>
        <v>0.120364920541495</v>
      </c>
      <c r="E119" s="138">
        <f t="shared" si="59"/>
        <v>0.132577409507196</v>
      </c>
      <c r="F119" s="138">
        <f t="shared" si="59"/>
        <v>0.138724035608309</v>
      </c>
      <c r="G119" s="138">
        <f t="shared" si="59"/>
        <v>0.134853062345509</v>
      </c>
      <c r="H119" s="138">
        <f t="shared" si="59"/>
        <v>0.125207756232687</v>
      </c>
      <c r="I119" s="138">
        <f t="shared" si="59"/>
        <v>0.132349098510583</v>
      </c>
      <c r="J119" s="138">
        <f t="shared" si="59"/>
        <v>0.132457166448772</v>
      </c>
      <c r="K119" s="138">
        <f t="shared" si="59"/>
        <v>0.155522899828557</v>
      </c>
      <c r="L119" s="138">
        <f t="shared" si="59"/>
        <v>0.13718965958536</v>
      </c>
      <c r="M119" s="138">
        <f t="shared" si="59"/>
        <v>0.146558197747184</v>
      </c>
      <c r="N119" s="138">
        <f t="shared" si="59"/>
        <v>0.14168593651461</v>
      </c>
      <c r="O119" s="138">
        <f t="shared" si="59"/>
        <v>0.144739938809132</v>
      </c>
      <c r="P119" s="138">
        <f t="shared" si="59"/>
        <v>0.130278310940499</v>
      </c>
      <c r="Q119" s="138">
        <f t="shared" si="59"/>
        <v>0.136358543417367</v>
      </c>
      <c r="R119" s="138">
        <f t="shared" si="59"/>
        <v>0.141176470588235</v>
      </c>
      <c r="S119" s="138">
        <f t="shared" si="59"/>
        <v>0.146990983434682</v>
      </c>
      <c r="T119" s="138">
        <f t="shared" si="59"/>
        <v>0.129323988243274</v>
      </c>
      <c r="U119" s="138">
        <f t="shared" si="59"/>
        <v>0.13848999129678</v>
      </c>
      <c r="V119" s="138">
        <f t="shared" si="59"/>
        <v>0.146711012564671</v>
      </c>
      <c r="W119" s="138">
        <f t="shared" si="59"/>
        <v>0.141536565324569</v>
      </c>
      <c r="X119" s="138">
        <f t="shared" si="59"/>
        <v>0.131882202304738</v>
      </c>
      <c r="Y119" s="138">
        <f t="shared" si="59"/>
        <v>0.139829669241434</v>
      </c>
      <c r="Z119" s="138">
        <f t="shared" si="59"/>
        <v>0.139191290824261</v>
      </c>
      <c r="AA119" s="138">
        <f t="shared" si="59"/>
        <v>0.152956298200514</v>
      </c>
      <c r="AB119" s="138">
        <f t="shared" si="59"/>
        <v>0.130408892417626</v>
      </c>
      <c r="AC119" s="138">
        <f t="shared" si="59"/>
        <v>0.142121327737505</v>
      </c>
      <c r="AD119" s="138">
        <f t="shared" si="59"/>
        <v>0.141070799577316</v>
      </c>
      <c r="AE119" s="138">
        <f t="shared" si="59"/>
        <v>0.141752258383863</v>
      </c>
      <c r="AF119" s="138">
        <f t="shared" si="59"/>
        <v>0.121835443037975</v>
      </c>
      <c r="AI119" s="138">
        <f t="shared" ref="AI119:AT119" si="60">AI109/SUM(AI103:AI110)</f>
        <v>0.0555355210962856</v>
      </c>
      <c r="AJ119" s="138">
        <f t="shared" si="60"/>
        <v>0.0477095609199772</v>
      </c>
      <c r="AK119" s="138">
        <f t="shared" si="60"/>
        <v>0.0517257333209956</v>
      </c>
      <c r="AL119" s="138">
        <f t="shared" si="60"/>
        <v>0.0560190703218117</v>
      </c>
      <c r="AM119" s="138">
        <f t="shared" si="60"/>
        <v>0.0532374100719424</v>
      </c>
      <c r="AN119" s="138">
        <f t="shared" si="60"/>
        <v>0.0489203133957577</v>
      </c>
      <c r="AO119" s="138">
        <f t="shared" si="60"/>
        <v>0.0526742301458671</v>
      </c>
      <c r="AP119" s="138">
        <f t="shared" si="60"/>
        <v>0.0522064527905809</v>
      </c>
      <c r="AQ119" s="138">
        <f t="shared" si="60"/>
        <v>0.0560938296787353</v>
      </c>
      <c r="AR119" s="138">
        <f t="shared" si="60"/>
        <v>0.0510074423670358</v>
      </c>
      <c r="AS119" s="138">
        <f t="shared" si="60"/>
        <v>0.0536341292134831</v>
      </c>
      <c r="AT119" s="138">
        <f t="shared" si="60"/>
        <v>0.0605304212168487</v>
      </c>
    </row>
    <row r="120" spans="1:48">
      <c r="B120" s="960" t="s">
        <v>70</v>
      </c>
      <c r="C120" s="138">
        <f>C110/SUM(C103:C110)</f>
        <v>0.0956621660442402</v>
      </c>
      <c r="D120" s="138">
        <f t="shared" ref="D120:AF120" si="61">D110/SUM(D103:D110)</f>
        <v>0.108593290170689</v>
      </c>
      <c r="E120" s="138">
        <f t="shared" si="61"/>
        <v>0.102049716528565</v>
      </c>
      <c r="F120" s="138">
        <f t="shared" si="61"/>
        <v>0.0717111770524233</v>
      </c>
      <c r="G120" s="138">
        <f t="shared" si="61"/>
        <v>0.0908175409685984</v>
      </c>
      <c r="H120" s="138">
        <f t="shared" si="61"/>
        <v>0.101385041551247</v>
      </c>
      <c r="I120" s="138">
        <f t="shared" si="61"/>
        <v>0.0857068199634178</v>
      </c>
      <c r="J120" s="138">
        <f t="shared" si="61"/>
        <v>0.0934425101493154</v>
      </c>
      <c r="K120" s="138">
        <f t="shared" si="61"/>
        <v>0.0923340680871908</v>
      </c>
      <c r="L120" s="138">
        <f t="shared" si="61"/>
        <v>0.0934220629639109</v>
      </c>
      <c r="M120" s="138">
        <f t="shared" si="61"/>
        <v>0.0928660826032541</v>
      </c>
      <c r="N120" s="138">
        <f t="shared" si="61"/>
        <v>0.0718940508723986</v>
      </c>
      <c r="O120" s="138">
        <f t="shared" si="61"/>
        <v>0.0850396171648231</v>
      </c>
      <c r="P120" s="138">
        <f t="shared" si="61"/>
        <v>0.0918905950095969</v>
      </c>
      <c r="Q120" s="138">
        <f t="shared" si="61"/>
        <v>0.0812324929971989</v>
      </c>
      <c r="R120" s="138">
        <f t="shared" si="61"/>
        <v>0.0867277564292048</v>
      </c>
      <c r="S120" s="138">
        <f t="shared" si="61"/>
        <v>0.0830362759488362</v>
      </c>
      <c r="T120" s="138">
        <f t="shared" si="61"/>
        <v>0.0852362649785214</v>
      </c>
      <c r="U120" s="138">
        <f t="shared" si="61"/>
        <v>0.084094865100087</v>
      </c>
      <c r="V120" s="138">
        <f t="shared" si="61"/>
        <v>0.0676274944567627</v>
      </c>
      <c r="W120" s="138">
        <f t="shared" si="61"/>
        <v>0.0779923308682553</v>
      </c>
      <c r="X120" s="138">
        <f t="shared" si="61"/>
        <v>0.0717029449423816</v>
      </c>
      <c r="Y120" s="138">
        <f t="shared" si="61"/>
        <v>0.0695187165775401</v>
      </c>
      <c r="Z120" s="138">
        <f t="shared" si="61"/>
        <v>0.076464489372732</v>
      </c>
      <c r="AA120" s="138">
        <f t="shared" si="61"/>
        <v>0.0361733382298935</v>
      </c>
      <c r="AB120" s="138">
        <f t="shared" si="61"/>
        <v>0.0393013100436681</v>
      </c>
      <c r="AC120" s="138">
        <f t="shared" si="61"/>
        <v>0.0376764593666539</v>
      </c>
      <c r="AD120" s="138">
        <f t="shared" si="61"/>
        <v>0.0338147234941881</v>
      </c>
      <c r="AE120" s="138">
        <f t="shared" si="61"/>
        <v>0.0363197624056429</v>
      </c>
      <c r="AF120" s="138">
        <f t="shared" si="61"/>
        <v>0.0304588607594937</v>
      </c>
      <c r="AI120" s="138">
        <f t="shared" ref="AI120:AT120" si="62">AI110/SUM(AI103:AI110)</f>
        <v>0.0342589253516048</v>
      </c>
      <c r="AJ120" s="138">
        <f t="shared" si="62"/>
        <v>0.035924729138947</v>
      </c>
      <c r="AK120" s="138">
        <f t="shared" si="62"/>
        <v>0.0350698621263996</v>
      </c>
      <c r="AL120" s="138">
        <f t="shared" si="62"/>
        <v>0.0391622680061297</v>
      </c>
      <c r="AM120" s="138">
        <f t="shared" si="62"/>
        <v>0.0365107913669065</v>
      </c>
      <c r="AN120" s="138">
        <f t="shared" si="62"/>
        <v>0.0420408943244793</v>
      </c>
      <c r="AO120" s="138">
        <f t="shared" si="62"/>
        <v>0.0405186385737439</v>
      </c>
      <c r="AP120" s="138">
        <f t="shared" si="62"/>
        <v>0.0378314242686989</v>
      </c>
      <c r="AQ120" s="138">
        <f t="shared" si="62"/>
        <v>0.0331463539010709</v>
      </c>
      <c r="AR120" s="138">
        <f t="shared" si="62"/>
        <v>0.0266836086404066</v>
      </c>
      <c r="AS120" s="138">
        <f t="shared" si="62"/>
        <v>0.0300210674157303</v>
      </c>
      <c r="AT120" s="138">
        <f t="shared" si="62"/>
        <v>0.0252730109204368</v>
      </c>
    </row>
    <row r="121" spans="1:48">
      <c r="B121" s="155"/>
    </row>
    <row r="122" spans="1:48">
      <c r="A122" s="137" t="s">
        <v>728</v>
      </c>
      <c r="B122" s="155"/>
      <c r="C122" s="958" t="s">
        <v>400</v>
      </c>
      <c r="D122" s="958" t="s">
        <v>401</v>
      </c>
      <c r="E122" s="958" t="s">
        <v>402</v>
      </c>
      <c r="F122" s="958" t="s">
        <v>403</v>
      </c>
      <c r="G122" s="958" t="s">
        <v>404</v>
      </c>
      <c r="H122" s="958" t="s">
        <v>405</v>
      </c>
      <c r="I122" s="958" t="s">
        <v>406</v>
      </c>
      <c r="J122" s="958" t="s">
        <v>407</v>
      </c>
      <c r="K122" s="958" t="s">
        <v>408</v>
      </c>
      <c r="L122" s="958" t="s">
        <v>409</v>
      </c>
      <c r="M122" s="958" t="s">
        <v>410</v>
      </c>
      <c r="N122" s="958" t="s">
        <v>411</v>
      </c>
      <c r="O122" s="958" t="s">
        <v>412</v>
      </c>
      <c r="P122" s="958" t="s">
        <v>413</v>
      </c>
      <c r="Q122" s="958" t="s">
        <v>414</v>
      </c>
      <c r="R122" s="958" t="s">
        <v>415</v>
      </c>
      <c r="S122" s="958" t="s">
        <v>416</v>
      </c>
      <c r="T122" s="958" t="s">
        <v>417</v>
      </c>
      <c r="U122" s="958" t="s">
        <v>418</v>
      </c>
      <c r="V122" s="958" t="s">
        <v>419</v>
      </c>
      <c r="W122" s="958" t="s">
        <v>420</v>
      </c>
      <c r="X122" s="958" t="s">
        <v>421</v>
      </c>
      <c r="Y122" s="718"/>
      <c r="Z122" s="718"/>
      <c r="AA122" s="958" t="s">
        <v>424</v>
      </c>
      <c r="AB122" s="958" t="s">
        <v>425</v>
      </c>
      <c r="AC122" s="958" t="s">
        <v>424</v>
      </c>
      <c r="AD122" s="958" t="s">
        <v>427</v>
      </c>
      <c r="AE122" s="958" t="s">
        <v>733</v>
      </c>
      <c r="AF122" s="958" t="s">
        <v>429</v>
      </c>
      <c r="AG122" s="959" t="s">
        <v>733</v>
      </c>
      <c r="AH122" s="959" t="s">
        <v>733</v>
      </c>
      <c r="AI122" s="958" t="s">
        <v>432</v>
      </c>
      <c r="AJ122" s="958" t="s">
        <v>433</v>
      </c>
      <c r="AL122" s="958" t="s">
        <v>435</v>
      </c>
      <c r="AN122" s="958" t="s">
        <v>437</v>
      </c>
      <c r="AQ122" s="958" t="s">
        <v>440</v>
      </c>
      <c r="AR122" s="958" t="s">
        <v>441</v>
      </c>
      <c r="AS122" s="958" t="s">
        <v>701</v>
      </c>
      <c r="AT122" s="958" t="s">
        <v>703</v>
      </c>
      <c r="AU122" s="958" t="s">
        <v>701</v>
      </c>
      <c r="AV122" s="958" t="s">
        <v>704</v>
      </c>
    </row>
    <row r="123" spans="1:48">
      <c r="B123" s="960" t="s">
        <v>112</v>
      </c>
      <c r="C123" s="717">
        <f>Interim!FF172</f>
        <v>0.115</v>
      </c>
      <c r="D123" s="717">
        <f>Interim!FG172</f>
        <v>0.12</v>
      </c>
      <c r="E123" s="717">
        <f>Interim!FH172</f>
        <v>0.11726461038961</v>
      </c>
      <c r="F123" s="717">
        <f>Interim!FI172</f>
        <v>0.18</v>
      </c>
      <c r="G123" s="717">
        <f>Interim!FJ172</f>
        <v>0.14157275439178</v>
      </c>
      <c r="H123" s="717">
        <f>Interim!FK172</f>
        <v>0.299</v>
      </c>
      <c r="I123" s="717">
        <f>Interim!FL172</f>
        <v>0.22747763496144</v>
      </c>
      <c r="J123" s="717">
        <f>Interim!FM172</f>
        <v>0.173780384919589</v>
      </c>
      <c r="K123" s="717">
        <f>Interim!FN172</f>
        <v>0.247</v>
      </c>
      <c r="L123" s="717">
        <f>Interim!FO172</f>
        <v>0.292</v>
      </c>
      <c r="M123" s="717">
        <f>Interim!FP172</f>
        <v>0.267553707224335</v>
      </c>
      <c r="N123" s="717">
        <f>Interim!FQ172</f>
        <v>0.145</v>
      </c>
      <c r="O123" s="717">
        <f>Interim!FR172</f>
        <v>0.218504275940707</v>
      </c>
      <c r="P123" s="717">
        <f>Interim!FS172</f>
        <v>0.122</v>
      </c>
      <c r="Q123" s="717">
        <f>Interim!FT172</f>
        <v>0.13526160164271</v>
      </c>
      <c r="R123" s="717">
        <f>Interim!FU172</f>
        <v>0.196584049350077</v>
      </c>
      <c r="S123" s="717">
        <f>Interim!FV172</f>
        <v>0.096</v>
      </c>
      <c r="T123" s="717">
        <f>Interim!FW172</f>
        <v>0.193</v>
      </c>
      <c r="U123" s="717">
        <f>Interim!FX172</f>
        <v>0.14080898021309</v>
      </c>
      <c r="V123" s="717">
        <f>Interim!FY172</f>
        <v>0.0748065102214517</v>
      </c>
      <c r="W123" s="717">
        <f>Interim!FZ172</f>
        <v>0.116253222560287</v>
      </c>
      <c r="X123" s="717">
        <f>Interim!GA172</f>
        <v>0.17</v>
      </c>
      <c r="AA123" s="717">
        <f>Interim!GD172</f>
        <v>0.05</v>
      </c>
      <c r="AB123" s="717">
        <f>Interim!GE172</f>
        <v>-0.001</v>
      </c>
      <c r="AC123" s="717">
        <f>Interim!GF172</f>
        <v>0.0253834918478261</v>
      </c>
      <c r="AD123" s="717">
        <f>Interim!GG172</f>
        <v>-0.0135595451825255</v>
      </c>
      <c r="AE123" s="717">
        <f>Interim!GH172</f>
        <v>0.0113639985168995</v>
      </c>
      <c r="AF123" s="717">
        <f>Interim!GI172</f>
        <v>-0.06</v>
      </c>
      <c r="AG123" s="717">
        <f>Interim!GJ172</f>
        <v>-0.0338328025934883</v>
      </c>
      <c r="AH123" s="717">
        <f>Interim!GK172</f>
        <v>-0.00419949121575084</v>
      </c>
      <c r="AI123" s="717">
        <f>Interim!GL172</f>
        <v>-0.0324391765439809</v>
      </c>
      <c r="AJ123" s="717">
        <f>Interim!GM172</f>
        <v>0.001</v>
      </c>
      <c r="AL123" s="717">
        <f>Interim!GO172</f>
        <v>0.035</v>
      </c>
      <c r="AN123" s="717">
        <f>Interim!GQ172</f>
        <v>0.142138157894737</v>
      </c>
      <c r="AQ123" s="717">
        <f>Interim!GT172</f>
        <v>-0.0815931656995478</v>
      </c>
      <c r="AR123" s="717">
        <f>Interim!GU172</f>
        <v>-0.402</v>
      </c>
      <c r="AS123" s="717">
        <f>Interim!GV172</f>
        <v>-0.234812657699786</v>
      </c>
      <c r="AT123" s="717">
        <f>Interim!GW172</f>
        <v>0.04</v>
      </c>
      <c r="AU123" s="717">
        <f>Interim!GX172</f>
        <v>-0.13490046719567</v>
      </c>
      <c r="AV123" s="717">
        <f>Interim!GY172</f>
        <v>-0.0643647394718057</v>
      </c>
    </row>
    <row r="124" spans="1:48">
      <c r="B124" s="960" t="s">
        <v>101</v>
      </c>
      <c r="C124" s="717">
        <f>Interim!FF177</f>
        <v>0.067</v>
      </c>
      <c r="D124" s="717">
        <f>Interim!FG177</f>
        <v>-0.005</v>
      </c>
      <c r="E124" s="717">
        <f>Interim!FH177</f>
        <v>0.0286</v>
      </c>
      <c r="F124" s="717">
        <f>Interim!FI177</f>
        <v>0.065</v>
      </c>
      <c r="G124" s="717">
        <f>Interim!FJ177</f>
        <v>0.0426034804226227</v>
      </c>
      <c r="H124" s="717">
        <f>Interim!FK177</f>
        <v>0.082</v>
      </c>
      <c r="I124" s="717">
        <f>Interim!FL177</f>
        <v>0.0734237978810106</v>
      </c>
      <c r="J124" s="717">
        <f>Interim!FM177</f>
        <v>0.0534077582318448</v>
      </c>
      <c r="K124" s="717">
        <f>Interim!FN177</f>
        <v>0.216</v>
      </c>
      <c r="L124" s="717">
        <f>Interim!FO177</f>
        <v>0.256</v>
      </c>
      <c r="M124" s="717">
        <f>Interim!FP177</f>
        <v>0.236842787682334</v>
      </c>
      <c r="N124" s="717">
        <f>Interim!FQ177</f>
        <v>0.202</v>
      </c>
      <c r="O124" s="717">
        <f>Interim!FR177</f>
        <v>0.223391044776119</v>
      </c>
      <c r="P124" s="717">
        <f>Interim!FS177</f>
        <v>0.287</v>
      </c>
      <c r="Q124" s="717">
        <f>Interim!FT177</f>
        <v>0.243605263157895</v>
      </c>
      <c r="R124" s="717">
        <f>Interim!FU177</f>
        <v>0.240575163398693</v>
      </c>
      <c r="S124" s="717">
        <f>Interim!FV177</f>
        <v>0.306</v>
      </c>
      <c r="T124" s="717">
        <f>Interim!FW177</f>
        <v>0.258</v>
      </c>
      <c r="U124" s="717">
        <f>Interim!FX177</f>
        <v>0.281050131926121</v>
      </c>
      <c r="V124" s="717">
        <f>Interim!FY177</f>
        <v>0.227</v>
      </c>
      <c r="W124" s="717">
        <f>Interim!FZ177</f>
        <v>0.260540728612362</v>
      </c>
      <c r="X124" s="717">
        <f>Interim!GA177</f>
        <v>0.31</v>
      </c>
      <c r="AA124" s="717">
        <f>Interim!GD177</f>
        <v>0.21</v>
      </c>
      <c r="AB124" s="717">
        <f>Interim!GE177</f>
        <v>0.156</v>
      </c>
      <c r="AC124" s="717">
        <f>Interim!GF177</f>
        <v>0.182649350649351</v>
      </c>
      <c r="AD124" s="717">
        <f>Interim!GG177</f>
        <v>0.164686078252957</v>
      </c>
      <c r="AE124" s="717">
        <f>Interim!GH177</f>
        <v>0.176283134472751</v>
      </c>
      <c r="AF124" s="717">
        <f>Interim!GI177</f>
        <v>0.09</v>
      </c>
      <c r="AG124" s="717">
        <f>Interim!GJ177</f>
        <v>0.126110866695996</v>
      </c>
      <c r="AH124" s="717">
        <f>Interim!GK177</f>
        <v>0.152588070175439</v>
      </c>
      <c r="AI124" s="717">
        <f>Interim!GL177</f>
        <v>0.03</v>
      </c>
      <c r="AJ124" s="717">
        <f>Interim!GM177</f>
        <v>0.058</v>
      </c>
      <c r="AL124" s="717">
        <f>Interim!GO177</f>
        <v>0.104</v>
      </c>
      <c r="AN124" s="717">
        <f>Interim!GQ177</f>
        <v>0.0972397841171935</v>
      </c>
      <c r="AQ124" s="717">
        <f>Interim!GT177</f>
        <v>0.00802938634399395</v>
      </c>
      <c r="AR124" s="717">
        <f>Interim!GU177</f>
        <v>-0.382</v>
      </c>
      <c r="AS124" s="717">
        <f>Interim!GV177</f>
        <v>-0.191593248945147</v>
      </c>
      <c r="AT124" s="717">
        <f>Interim!GW177</f>
        <v>-0.01</v>
      </c>
      <c r="AU124" s="717">
        <f>Interim!GX177</f>
        <v>-0.122135487232934</v>
      </c>
      <c r="AV124" s="717">
        <f>Interim!GY177</f>
        <v>0.00960051515703649</v>
      </c>
    </row>
    <row r="125" spans="1:48">
      <c r="B125" s="960" t="s">
        <v>102</v>
      </c>
      <c r="C125" s="717">
        <f>Interim!FF182</f>
        <v>0.06</v>
      </c>
      <c r="D125" s="717">
        <f>Interim!FG182</f>
        <v>0.093</v>
      </c>
      <c r="E125" s="717">
        <f>Interim!FH182</f>
        <v>0.0770542635658915</v>
      </c>
      <c r="F125" s="717">
        <f>Interim!FI182</f>
        <v>0.201</v>
      </c>
      <c r="G125" s="717">
        <f>Interim!FJ182</f>
        <v>0.121055</v>
      </c>
      <c r="H125" s="717">
        <f>Interim!FK182</f>
        <v>0.119</v>
      </c>
      <c r="I125" s="717">
        <f>Interim!FL182</f>
        <v>0.160684964200477</v>
      </c>
      <c r="J125" s="717">
        <f>Interim!FM182</f>
        <v>0.120529776674938</v>
      </c>
      <c r="K125" s="717">
        <f>Interim!FN182</f>
        <v>0.187</v>
      </c>
      <c r="L125" s="717">
        <f>Interim!FO182</f>
        <v>0.079</v>
      </c>
      <c r="M125" s="717">
        <f>Interim!FP182</f>
        <v>0.130972696245734</v>
      </c>
      <c r="N125" s="717">
        <f>Interim!FQ182</f>
        <v>0.158</v>
      </c>
      <c r="O125" s="717">
        <f>Interim!FR182</f>
        <v>0.140633771929825</v>
      </c>
      <c r="P125" s="717">
        <f>Interim!FS182</f>
        <v>0.221</v>
      </c>
      <c r="Q125" s="717">
        <f>Interim!FT182</f>
        <v>0.186921460176991</v>
      </c>
      <c r="R125" s="717">
        <f>Interim!FU182</f>
        <v>0.159339315759955</v>
      </c>
      <c r="S125" s="717">
        <f>Interim!FV182</f>
        <v>0.087</v>
      </c>
      <c r="T125" s="717">
        <f>Interim!FW182</f>
        <v>0.139</v>
      </c>
      <c r="U125" s="717">
        <f>Interim!FX182</f>
        <v>0.112495472186287</v>
      </c>
      <c r="V125" s="717">
        <f>Interim!FY182</f>
        <v>0.084</v>
      </c>
      <c r="W125" s="717">
        <f>Interim!FZ182</f>
        <v>0.101481746031746</v>
      </c>
      <c r="X125" s="717">
        <f>Interim!GA182</f>
        <v>0.19</v>
      </c>
      <c r="AA125" s="717">
        <f>Interim!GD182</f>
        <v>0.1</v>
      </c>
      <c r="AB125" s="717">
        <f>Interim!GE182</f>
        <v>0.147</v>
      </c>
      <c r="AC125" s="717">
        <f>Interim!GF182</f>
        <v>0.123158659217877</v>
      </c>
      <c r="AD125" s="717">
        <f>Interim!GG182</f>
        <v>0.00529083665338618</v>
      </c>
      <c r="AE125" s="717">
        <f>Interim!GH182</f>
        <v>0.0808038654259126</v>
      </c>
      <c r="AF125" s="717">
        <f>Interim!GI182</f>
        <v>-0.01</v>
      </c>
      <c r="AG125" s="717">
        <f>Interim!GJ182</f>
        <v>-0.00241501976284598</v>
      </c>
      <c r="AH125" s="717">
        <f>Interim!GK182</f>
        <v>0.0565196643943366</v>
      </c>
      <c r="AI125" s="717">
        <f>Interim!GL182</f>
        <v>-0.03</v>
      </c>
      <c r="AJ125" s="717">
        <f>Interim!GM182</f>
        <v>0.0474</v>
      </c>
      <c r="AL125" s="717">
        <f>Interim!GO182</f>
        <v>0.051</v>
      </c>
      <c r="AN125" s="717">
        <f>Interim!GQ182</f>
        <v>0.214876957494407</v>
      </c>
      <c r="AQ125" s="717">
        <f>Interim!GT182</f>
        <v>-0.00540425531914894</v>
      </c>
      <c r="AR125" s="717">
        <f>Interim!GU182</f>
        <v>-0.639</v>
      </c>
      <c r="AS125" s="717">
        <f>Interim!GV182</f>
        <v>-0.333182284980744</v>
      </c>
      <c r="AT125" s="717">
        <f>Interim!GW182</f>
        <v>-0.13</v>
      </c>
      <c r="AU125" s="717">
        <f>Interim!GX182</f>
        <v>-0.263681587837838</v>
      </c>
      <c r="AV125" s="717">
        <f>Interim!GY182</f>
        <v>0.0929810924369753</v>
      </c>
    </row>
    <row r="126" spans="1:48">
      <c r="B126" s="960" t="s">
        <v>730</v>
      </c>
      <c r="C126" s="717">
        <f>Interim!FF187</f>
        <v>0.214</v>
      </c>
      <c r="D126" s="717">
        <f>Interim!FG187</f>
        <v>0.193</v>
      </c>
      <c r="E126" s="717">
        <f>Interim!FH187</f>
        <v>0.203949622166247</v>
      </c>
      <c r="F126" s="717">
        <f>Interim!FI187</f>
        <v>0.151</v>
      </c>
      <c r="G126" s="717">
        <f>Interim!FJ187</f>
        <v>0.183240797546012</v>
      </c>
      <c r="H126" s="717">
        <f>Interim!FK187</f>
        <v>0.156</v>
      </c>
      <c r="I126" s="717">
        <f>Interim!FL187</f>
        <v>0.153429435483871</v>
      </c>
      <c r="J126" s="717">
        <f>Interim!FM187</f>
        <v>0.175889137737962</v>
      </c>
      <c r="K126" s="717">
        <f>Interim!FN187</f>
        <v>0.302</v>
      </c>
      <c r="L126" s="717">
        <f>Interim!FO187</f>
        <v>0.301</v>
      </c>
      <c r="M126" s="717">
        <f>Interim!FP187</f>
        <v>0.301514211886305</v>
      </c>
      <c r="N126" s="717">
        <f>Interim!FQ187</f>
        <v>0.253</v>
      </c>
      <c r="O126" s="717">
        <f>Interim!FR187</f>
        <v>0.283413066954644</v>
      </c>
      <c r="P126" s="717">
        <f>Interim!FS187</f>
        <v>0.25</v>
      </c>
      <c r="Q126" s="717">
        <f>Interim!FT187</f>
        <v>0.251584862385321</v>
      </c>
      <c r="R126" s="717">
        <f>Interim!FU187</f>
        <v>0.275063183475091</v>
      </c>
      <c r="S126" s="717">
        <f>Interim!FV187</f>
        <v>0.303</v>
      </c>
      <c r="T126" s="717">
        <f>Interim!FW187</f>
        <v>0.277</v>
      </c>
      <c r="U126" s="717">
        <f>Interim!FX187</f>
        <v>0.290691776088459</v>
      </c>
      <c r="V126" s="717">
        <f>Interim!FY187</f>
        <v>0.283</v>
      </c>
      <c r="W126" s="717">
        <f>Interim!FZ187</f>
        <v>0.287905244601146</v>
      </c>
      <c r="X126" s="717">
        <f>Interim!GA187</f>
        <v>0.24</v>
      </c>
      <c r="AA126" s="717">
        <f>Interim!GD187</f>
        <v>0.15</v>
      </c>
      <c r="AB126" s="717">
        <f>Interim!GE187</f>
        <v>0.188</v>
      </c>
      <c r="AC126" s="717">
        <f>Interim!GF187</f>
        <v>0.167719676549865</v>
      </c>
      <c r="AD126" s="717">
        <f>Interim!GG187</f>
        <v>0.160221153846155</v>
      </c>
      <c r="AE126" s="717">
        <f>Interim!GH187</f>
        <v>0.165072831423896</v>
      </c>
      <c r="AF126" s="717">
        <f>Interim!GI187</f>
        <v>0.11</v>
      </c>
      <c r="AG126" s="717">
        <f>Interim!GJ187</f>
        <v>0.136279114628909</v>
      </c>
      <c r="AH126" s="717">
        <f>Interim!GK187</f>
        <v>0.151671630428163</v>
      </c>
      <c r="AI126" s="717">
        <f>Interim!GL187</f>
        <v>0.12</v>
      </c>
      <c r="AJ126" s="717">
        <f>Interim!GM187</f>
        <v>0.078</v>
      </c>
      <c r="AL126" s="717">
        <f>Interim!GO187</f>
        <v>0.077</v>
      </c>
      <c r="AN126" s="717">
        <f>Interim!GQ187</f>
        <v>0.129159159159159</v>
      </c>
      <c r="AQ126" s="717">
        <f>Interim!GT187</f>
        <v>-0.44821141253508</v>
      </c>
      <c r="AR126" s="717">
        <f>Interim!GU187</f>
        <v>-0.156</v>
      </c>
      <c r="AS126" s="717">
        <f>Interim!GV187</f>
        <v>-0.311774975190621</v>
      </c>
      <c r="AT126" s="717">
        <f>Interim!GW187</f>
        <v>-0.07</v>
      </c>
      <c r="AU126" s="717">
        <f>Interim!GX187</f>
        <v>-0.228945195374866</v>
      </c>
      <c r="AV126" s="717">
        <f>Interim!GY187</f>
        <v>0.00855752331606272</v>
      </c>
    </row>
    <row r="127" spans="1:48">
      <c r="B127" s="960" t="s">
        <v>104</v>
      </c>
      <c r="C127" s="717">
        <f>Interim!FF192</f>
        <v>0.065</v>
      </c>
      <c r="D127" s="717">
        <f>Interim!FG192</f>
        <v>-0.061</v>
      </c>
      <c r="E127" s="717">
        <f>Interim!FH192</f>
        <v>-0.00626875</v>
      </c>
      <c r="F127" s="717">
        <f>Interim!FI192</f>
        <v>0.058</v>
      </c>
      <c r="G127" s="717">
        <f>Interim!FJ192</f>
        <v>0.0162839756592292</v>
      </c>
      <c r="H127" s="717">
        <f>Interim!FK192</f>
        <v>-0.037</v>
      </c>
      <c r="I127" s="717">
        <f>Interim!FL192</f>
        <v>0.00176179245283019</v>
      </c>
      <c r="J127" s="717">
        <f>Interim!FM192</f>
        <v>-0.00169220430107527</v>
      </c>
      <c r="K127" s="717">
        <f>Interim!FN192</f>
        <v>0.444</v>
      </c>
      <c r="L127" s="717">
        <f>Interim!FO192</f>
        <v>0.209</v>
      </c>
      <c r="M127" s="717">
        <f>Interim!FP192</f>
        <v>0.318384384384384</v>
      </c>
      <c r="N127" s="717">
        <f>Interim!FQ192</f>
        <v>0.211</v>
      </c>
      <c r="O127" s="717">
        <f>Interim!FR192</f>
        <v>0.279899807321773</v>
      </c>
      <c r="P127" s="717">
        <f>Interim!FS192</f>
        <v>-0.064</v>
      </c>
      <c r="Q127" s="717">
        <f>Interim!FT192</f>
        <v>0.0514627539503386</v>
      </c>
      <c r="R127" s="717">
        <f>Interim!FU192</f>
        <v>0.166005154639175</v>
      </c>
      <c r="S127" s="717">
        <f>Interim!FV192</f>
        <v>0.211</v>
      </c>
      <c r="T127" s="717">
        <f>Interim!FW192</f>
        <v>0.111</v>
      </c>
      <c r="U127" s="717">
        <f>Interim!FX192</f>
        <v>0.161</v>
      </c>
      <c r="V127" s="717">
        <f>Interim!FY192</f>
        <v>0.027</v>
      </c>
      <c r="W127" s="717">
        <f>Interim!FZ192</f>
        <v>0.112934782608696</v>
      </c>
      <c r="X127" s="717">
        <f>Interim!GA192</f>
        <v>-0.07</v>
      </c>
      <c r="AA127" s="717"/>
      <c r="AB127" s="717"/>
      <c r="AC127" s="717"/>
      <c r="AD127" s="717"/>
      <c r="AE127" s="717"/>
      <c r="AF127" s="717"/>
      <c r="AG127" s="717"/>
      <c r="AH127" s="717"/>
      <c r="AI127" s="717"/>
      <c r="AJ127" s="717"/>
      <c r="AL127" s="717"/>
      <c r="AN127" s="717"/>
      <c r="AQ127" s="717"/>
      <c r="AR127" s="717"/>
      <c r="AS127" s="717"/>
      <c r="AT127" s="717"/>
      <c r="AU127" s="717"/>
      <c r="AV127" s="717"/>
    </row>
    <row r="128" spans="1:48">
      <c r="B128" s="960" t="s">
        <v>105</v>
      </c>
      <c r="C128" s="717">
        <f>Interim!FF197</f>
        <v>-0.034</v>
      </c>
      <c r="D128" s="717">
        <f>Interim!FG197</f>
        <v>-0.142</v>
      </c>
      <c r="E128" s="717">
        <f>Interim!FH197</f>
        <v>-0.0929090909090909</v>
      </c>
      <c r="F128" s="717">
        <f>Interim!FI197</f>
        <v>-0.067</v>
      </c>
      <c r="G128" s="717">
        <f>Interim!FJ197</f>
        <v>-0.0837245508982036</v>
      </c>
      <c r="H128" s="717">
        <f>Interim!FK197</f>
        <v>-0.161</v>
      </c>
      <c r="I128" s="717">
        <f>Interim!FL197</f>
        <v>-0.111225402504472</v>
      </c>
      <c r="J128" s="717">
        <f>Interim!FM197</f>
        <v>-0.102234061930783</v>
      </c>
      <c r="K128" s="717">
        <f>Interim!FN197</f>
        <v>0.018</v>
      </c>
      <c r="L128" s="717">
        <f>Interim!FO197</f>
        <v>0.072</v>
      </c>
      <c r="M128" s="717">
        <f>Interim!FP197</f>
        <v>0.0480983606557377</v>
      </c>
      <c r="N128" s="717">
        <f>Interim!FQ197</f>
        <v>0.074</v>
      </c>
      <c r="O128" s="717">
        <f>Interim!FR197</f>
        <v>0.0571016042780749</v>
      </c>
      <c r="P128" s="717">
        <f>Interim!FS197</f>
        <v>-0.052</v>
      </c>
      <c r="Q128" s="717">
        <f>Interim!FT197</f>
        <v>0.0138713136729223</v>
      </c>
      <c r="R128" s="717">
        <f>Interim!FU197</f>
        <v>0.0308227334235453</v>
      </c>
      <c r="S128" s="717">
        <f>Interim!FV197</f>
        <v>-0.098</v>
      </c>
      <c r="T128" s="717">
        <f>Interim!FW197</f>
        <v>-0.107</v>
      </c>
      <c r="U128" s="717">
        <f>Interim!FX197</f>
        <v>-0.102993548387097</v>
      </c>
      <c r="V128" s="717">
        <f>Interim!FY197</f>
        <v>-0.167</v>
      </c>
      <c r="W128" s="717">
        <f>Interim!FZ197</f>
        <v>-0.127708910891089</v>
      </c>
      <c r="X128" s="717">
        <f>Interim!GA197</f>
        <v>-0.16</v>
      </c>
      <c r="AA128" s="717">
        <f>Interim!GD197</f>
        <v>-0.16</v>
      </c>
      <c r="AB128" s="717">
        <f>Interim!GE197</f>
        <v>0.141</v>
      </c>
      <c r="AC128" s="717">
        <f>Interim!GF197</f>
        <v>-0.000231671554252212</v>
      </c>
      <c r="AD128" s="717">
        <f>Interim!GG197</f>
        <v>0.0675375722543354</v>
      </c>
      <c r="AE128" s="717">
        <f>Interim!GH197</f>
        <v>0.0225778210116732</v>
      </c>
      <c r="AF128" s="717">
        <f>Interim!GI197</f>
        <v>-0.02</v>
      </c>
      <c r="AG128" s="717">
        <f>Interim!GJ197</f>
        <v>0.027473354231975</v>
      </c>
      <c r="AH128" s="717">
        <f>Interim!GK197</f>
        <v>0.0131590909090909</v>
      </c>
      <c r="AI128" s="717">
        <f>Interim!GL197</f>
        <v>0.22</v>
      </c>
      <c r="AJ128" s="717">
        <f>Interim!GM197</f>
        <v>-0.041</v>
      </c>
      <c r="AL128" s="717">
        <f>Interim!GO197</f>
        <v>0.132</v>
      </c>
      <c r="AN128" s="717">
        <f>Interim!GQ197</f>
        <v>0.0690909090909092</v>
      </c>
      <c r="AQ128" s="717">
        <f>Interim!GT197</f>
        <v>0.0943529411764709</v>
      </c>
      <c r="AR128" s="717">
        <f>Interim!GU197</f>
        <v>-0.344</v>
      </c>
      <c r="AS128" s="717">
        <f>Interim!GV197</f>
        <v>-0.149811074918567</v>
      </c>
      <c r="AT128" s="717">
        <f>Interim!GW197</f>
        <v>0.11</v>
      </c>
      <c r="AU128" s="717">
        <f>Interim!GX197</f>
        <v>-0.0476324110671935</v>
      </c>
      <c r="AV128" s="717">
        <f>Interim!GY197</f>
        <v>0.158352941176468</v>
      </c>
    </row>
    <row r="129" spans="2:48">
      <c r="B129" s="960" t="s">
        <v>731</v>
      </c>
      <c r="C129" s="717">
        <f>Interim!FF202</f>
        <v>0.096</v>
      </c>
      <c r="D129" s="717">
        <f>Interim!FG202</f>
        <v>0.156</v>
      </c>
      <c r="E129" s="717">
        <f>Interim!FH202</f>
        <v>0.122907894736842</v>
      </c>
      <c r="F129" s="717">
        <f>Interim!FI202</f>
        <v>0.135</v>
      </c>
      <c r="G129" s="717">
        <f>Interim!FJ202</f>
        <v>0.127513238289206</v>
      </c>
      <c r="H129" s="717">
        <f>Interim!FK202</f>
        <v>0.168</v>
      </c>
      <c r="I129" s="717">
        <f>Interim!FL202</f>
        <v>0.149724580454097</v>
      </c>
      <c r="J129" s="717">
        <f>Interim!FM202</f>
        <v>0.13701974025974</v>
      </c>
      <c r="K129" s="717">
        <f>Interim!FN202</f>
        <v>0.172</v>
      </c>
      <c r="L129" s="717">
        <f>Interim!FO202</f>
        <v>0.142</v>
      </c>
      <c r="M129" s="717">
        <f>Interim!FP202</f>
        <v>0.158268146883006</v>
      </c>
      <c r="N129" s="717">
        <f>Interim!FQ202</f>
        <v>0.191</v>
      </c>
      <c r="O129" s="717">
        <f>Interim!FR202</f>
        <v>0.170225474254743</v>
      </c>
      <c r="P129" s="717">
        <f>Interim!FS202</f>
        <v>0.136</v>
      </c>
      <c r="Q129" s="717">
        <f>Interim!FT202</f>
        <v>0.166460147904684</v>
      </c>
      <c r="R129" s="717">
        <f>Interim!FU202</f>
        <v>0.162443048576214</v>
      </c>
      <c r="S129" s="717">
        <f>Interim!FV202</f>
        <v>0.153</v>
      </c>
      <c r="T129" s="717">
        <f>Interim!FW202</f>
        <v>0.126</v>
      </c>
      <c r="U129" s="717">
        <f>Interim!FX202</f>
        <v>0.140868028279654</v>
      </c>
      <c r="V129" s="717">
        <f>Interim!FY202</f>
        <v>0.055</v>
      </c>
      <c r="W129" s="717">
        <f>Interim!FZ202</f>
        <v>0.107883405902274</v>
      </c>
      <c r="X129" s="717">
        <f>Interim!GA202</f>
        <v>0.07</v>
      </c>
      <c r="AA129" s="717">
        <f>Interim!GD202</f>
        <v>-0.05</v>
      </c>
      <c r="AB129" s="717">
        <f>Interim!GE202</f>
        <v>0.015</v>
      </c>
      <c r="AC129" s="717">
        <f>Interim!GF202</f>
        <v>-0.0213389261744966</v>
      </c>
      <c r="AD129" s="717">
        <f>Interim!GG202</f>
        <v>-0.0229999999999998</v>
      </c>
      <c r="AE129" s="717">
        <f>Interim!GH202</f>
        <v>-0.0219196857267568</v>
      </c>
      <c r="AF129" s="717">
        <f>Interim!GI202</f>
        <v>-0.05</v>
      </c>
      <c r="AG129" s="717">
        <f>Interim!GJ202</f>
        <v>-0.0347374735356385</v>
      </c>
      <c r="AH129" s="717">
        <f>Interim!GK202</f>
        <v>-0.0278699690402476</v>
      </c>
      <c r="AI129" s="717">
        <f>Interim!GL202</f>
        <v>0.1</v>
      </c>
      <c r="AJ129" s="717">
        <f>Interim!GM202</f>
        <v>0.124</v>
      </c>
      <c r="AL129" s="717">
        <f>Interim!GO202</f>
        <v>0.14</v>
      </c>
      <c r="AN129" s="717">
        <f>Interim!GQ202</f>
        <v>0.133593749999998</v>
      </c>
      <c r="AQ129" s="717">
        <f>Interim!GT202</f>
        <v>-0.111121212121212</v>
      </c>
      <c r="AR129" s="717">
        <f>Interim!GU202</f>
        <v>-0.6</v>
      </c>
      <c r="AS129" s="717">
        <f>Interim!GV202</f>
        <v>-0.335957446808511</v>
      </c>
      <c r="AT129" s="717">
        <f>Interim!GW202</f>
        <v>-0.1</v>
      </c>
      <c r="AU129" s="717">
        <f>Interim!GX202</f>
        <v>-0.244314314314314</v>
      </c>
      <c r="AV129" s="717">
        <f>Interim!GY202</f>
        <v>0.0385478547854729</v>
      </c>
    </row>
    <row r="130" spans="2:48">
      <c r="B130" s="960" t="s">
        <v>212</v>
      </c>
      <c r="C130" s="717">
        <f>Interim!FF219</f>
        <v>0.0873076702097099</v>
      </c>
      <c r="D130" s="717">
        <f>Interim!FG219</f>
        <v>0.0489167157151266</v>
      </c>
      <c r="E130" s="717">
        <f>Interim!FH219</f>
        <v>0.068343799970926</v>
      </c>
      <c r="F130" s="717">
        <f>Interim!FI219</f>
        <v>0.125889713155292</v>
      </c>
      <c r="G130" s="717">
        <f>Interim!FJ219</f>
        <v>0.0896489059782111</v>
      </c>
      <c r="H130" s="717">
        <f>Interim!FK219</f>
        <v>0.116590027700831</v>
      </c>
      <c r="I130" s="717">
        <f>Interim!FL219</f>
        <v>0.121503527567285</v>
      </c>
      <c r="J130" s="717">
        <f>Interim!FM219</f>
        <v>0.0963410858047203</v>
      </c>
      <c r="K130" s="717">
        <f>Interim!FN219</f>
        <v>0.213338966446241</v>
      </c>
      <c r="L130" s="717">
        <f>Interim!FO219</f>
        <v>0.205087023291528</v>
      </c>
      <c r="M130" s="717">
        <f>Interim!FP219</f>
        <v>0.209303879849812</v>
      </c>
      <c r="N130" s="717">
        <f>Interim!FQ219</f>
        <v>0.171974563800715</v>
      </c>
      <c r="O130" s="717">
        <f>Interim!FR219</f>
        <v>0.195373107397819</v>
      </c>
      <c r="P130" s="717">
        <f>Interim!FS219</f>
        <v>0.13947480806142</v>
      </c>
      <c r="Q130" s="717">
        <f>Interim!FT219</f>
        <v>0.156797086834734</v>
      </c>
      <c r="R130" s="717">
        <f>Interim!FU219</f>
        <v>0.1815992905705</v>
      </c>
      <c r="S130" s="717">
        <f>Interim!FV219</f>
        <v>0.163587664380074</v>
      </c>
      <c r="T130" s="717">
        <f>Interim!FW219</f>
        <v>0.194819353380059</v>
      </c>
      <c r="U130" s="717">
        <f>Interim!FX219</f>
        <v>0.177906549173194</v>
      </c>
      <c r="V130" s="717">
        <f>Interim!FY219</f>
        <v>0.123579404363415</v>
      </c>
      <c r="W130" s="717">
        <f>Interim!FZ219</f>
        <v>0.158220166245095</v>
      </c>
      <c r="X130" s="717">
        <f>Interim!GA219</f>
        <v>0.165537772087068</v>
      </c>
      <c r="AA130" s="717">
        <f>Interim!GD219</f>
        <v>0.101595666544253</v>
      </c>
      <c r="AB130" s="717">
        <f>Interim!GE219</f>
        <v>0.105070265978563</v>
      </c>
      <c r="AC130" s="717">
        <f>Interim!GF219</f>
        <v>0.103265356734071</v>
      </c>
      <c r="AD130" s="717">
        <f>Interim!GG219</f>
        <v>0.0826051426558651</v>
      </c>
      <c r="AE130" s="717">
        <f>Interim!GH219</f>
        <v>0.0960070535824775</v>
      </c>
      <c r="AF130" s="717">
        <f>Interim!GI219</f>
        <v>0.0464893196202532</v>
      </c>
      <c r="AG130" s="717">
        <f>Interim!GJ219</f>
        <v>0.0655936277249862</v>
      </c>
      <c r="AH130" s="717">
        <f>Interim!GK219</f>
        <v>0.0842075596191913</v>
      </c>
      <c r="AI130" s="717">
        <f>Interim!GL219</f>
        <v>0.0443403028118238</v>
      </c>
      <c r="AJ130" s="717">
        <f>Interim!GM219</f>
        <v>0.0375946398023189</v>
      </c>
      <c r="AL130" s="717">
        <f>Interim!GO219</f>
        <v>0.0596494125659799</v>
      </c>
      <c r="AN130" s="717">
        <f>Interim!GQ219</f>
        <v>0.101696923370915</v>
      </c>
      <c r="AQ130" s="717">
        <f>Interim!GT219</f>
        <v>-0.194146183919769</v>
      </c>
      <c r="AR130" s="717">
        <f>Interim!GU219</f>
        <v>-0.34220245416591</v>
      </c>
      <c r="AS130" s="717">
        <f>Interim!GV219</f>
        <v>-0.265743971207865</v>
      </c>
      <c r="AT130" s="717">
        <f>Interim!GW219</f>
        <v>-0.0261279251170047</v>
      </c>
      <c r="AU130" s="717">
        <f>Interim!GX219</f>
        <v>-0.179464965734187</v>
      </c>
      <c r="AV130" s="717">
        <f>Interim!GY219</f>
        <v>0.00265058740480018</v>
      </c>
    </row>
    <row r="131" spans="2:48">
      <c r="B131" s="155"/>
    </row>
    <row r="132" spans="2:48">
      <c r="B132" s="155"/>
      <c r="AR132" s="137" t="s">
        <v>728</v>
      </c>
    </row>
    <row r="134" spans="2:48">
      <c r="B134" s="155"/>
    </row>
    <row r="135" spans="2:48">
      <c r="B135" s="155"/>
    </row>
    <row r="136" spans="2:48">
      <c r="B136" s="155"/>
    </row>
    <row r="137" spans="2:48">
      <c r="B137" s="155"/>
    </row>
    <row r="139" spans="2:48">
      <c r="B139" s="155"/>
    </row>
    <row r="140" spans="2:48">
      <c r="B140" s="155"/>
    </row>
    <row r="141" spans="2:48">
      <c r="B141" s="155"/>
    </row>
    <row r="142" spans="2:48">
      <c r="B142" s="155"/>
    </row>
    <row r="144" spans="2:48">
      <c r="B144" s="155"/>
    </row>
    <row r="145" spans="2:2">
      <c r="B145" s="155"/>
    </row>
    <row r="146" spans="2:2">
      <c r="B146" s="155"/>
    </row>
    <row r="147" spans="2:2">
      <c r="B147" s="155"/>
    </row>
    <row r="149" spans="2:2">
      <c r="B149" s="961"/>
    </row>
    <row r="150" spans="2:2">
      <c r="B150" s="155"/>
    </row>
    <row r="151" spans="2:2">
      <c r="B151" s="155"/>
    </row>
    <row r="152" spans="2:2">
      <c r="B152" s="155"/>
    </row>
    <row r="153" spans="2:2">
      <c r="B153" s="155"/>
    </row>
    <row r="163" spans="2:87">
      <c r="B163" s="137" t="s">
        <v>734</v>
      </c>
    </row>
    <row r="164" spans="2:87">
      <c r="C164" s="962" t="s">
        <v>356</v>
      </c>
      <c r="D164" s="962" t="s">
        <v>357</v>
      </c>
      <c r="E164" s="962" t="s">
        <v>358</v>
      </c>
      <c r="F164" s="962" t="s">
        <v>359</v>
      </c>
      <c r="G164" s="962" t="s">
        <v>360</v>
      </c>
      <c r="H164" s="962" t="s">
        <v>361</v>
      </c>
      <c r="I164" s="962" t="s">
        <v>362</v>
      </c>
      <c r="J164" s="962" t="s">
        <v>28</v>
      </c>
      <c r="K164" s="962" t="s">
        <v>363</v>
      </c>
      <c r="L164" s="962" t="s">
        <v>364</v>
      </c>
      <c r="M164" s="962" t="s">
        <v>365</v>
      </c>
      <c r="N164" s="962" t="s">
        <v>366</v>
      </c>
      <c r="O164" s="962" t="s">
        <v>367</v>
      </c>
      <c r="P164" s="962" t="s">
        <v>368</v>
      </c>
      <c r="Q164" s="962" t="s">
        <v>369</v>
      </c>
      <c r="R164" s="962" t="s">
        <v>29</v>
      </c>
      <c r="S164" s="962" t="s">
        <v>370</v>
      </c>
      <c r="T164" s="962" t="s">
        <v>371</v>
      </c>
      <c r="U164" s="962" t="s">
        <v>372</v>
      </c>
      <c r="V164" s="962" t="s">
        <v>373</v>
      </c>
      <c r="W164" s="962" t="s">
        <v>374</v>
      </c>
      <c r="X164" s="962" t="s">
        <v>375</v>
      </c>
      <c r="Y164" s="962" t="s">
        <v>376</v>
      </c>
      <c r="Z164" s="962" t="s">
        <v>30</v>
      </c>
      <c r="AA164" s="962" t="s">
        <v>377</v>
      </c>
      <c r="AB164" s="962" t="s">
        <v>378</v>
      </c>
      <c r="AC164" s="962" t="s">
        <v>379</v>
      </c>
      <c r="AD164" s="962" t="s">
        <v>380</v>
      </c>
      <c r="AE164" s="962" t="s">
        <v>381</v>
      </c>
      <c r="AF164" s="962" t="s">
        <v>382</v>
      </c>
      <c r="AG164" s="962" t="s">
        <v>383</v>
      </c>
      <c r="AH164" s="962" t="s">
        <v>31</v>
      </c>
      <c r="AI164" s="962" t="s">
        <v>384</v>
      </c>
      <c r="AJ164" s="962" t="s">
        <v>385</v>
      </c>
      <c r="AK164" s="962" t="s">
        <v>386</v>
      </c>
      <c r="AL164" s="962" t="s">
        <v>387</v>
      </c>
      <c r="AM164" s="962" t="s">
        <v>388</v>
      </c>
      <c r="AN164" s="962" t="s">
        <v>389</v>
      </c>
      <c r="AO164" s="962" t="s">
        <v>390</v>
      </c>
      <c r="AP164" s="962" t="s">
        <v>391</v>
      </c>
      <c r="AQ164" s="962" t="s">
        <v>392</v>
      </c>
      <c r="AR164" s="962" t="s">
        <v>393</v>
      </c>
      <c r="AS164" s="962" t="s">
        <v>394</v>
      </c>
      <c r="AT164" s="962" t="s">
        <v>395</v>
      </c>
      <c r="AU164" s="962" t="s">
        <v>396</v>
      </c>
      <c r="AV164" s="962" t="s">
        <v>397</v>
      </c>
      <c r="AW164" s="962" t="s">
        <v>398</v>
      </c>
      <c r="AX164" s="962" t="s">
        <v>399</v>
      </c>
      <c r="AY164" s="962" t="s">
        <v>400</v>
      </c>
      <c r="AZ164" s="962" t="s">
        <v>401</v>
      </c>
      <c r="BA164" s="962" t="s">
        <v>402</v>
      </c>
      <c r="BB164" s="962" t="s">
        <v>403</v>
      </c>
      <c r="BC164" s="962" t="s">
        <v>404</v>
      </c>
      <c r="BD164" s="962" t="s">
        <v>405</v>
      </c>
      <c r="BE164" s="962" t="s">
        <v>406</v>
      </c>
      <c r="BF164" s="962" t="s">
        <v>407</v>
      </c>
      <c r="BG164" s="962" t="s">
        <v>408</v>
      </c>
      <c r="BH164" s="962" t="s">
        <v>409</v>
      </c>
      <c r="BI164" s="962" t="s">
        <v>410</v>
      </c>
      <c r="BJ164" s="962" t="s">
        <v>411</v>
      </c>
      <c r="BK164" s="962" t="s">
        <v>412</v>
      </c>
      <c r="BL164" s="962" t="s">
        <v>413</v>
      </c>
      <c r="BM164" s="962" t="s">
        <v>414</v>
      </c>
      <c r="BN164" s="962" t="s">
        <v>415</v>
      </c>
      <c r="BO164" s="962" t="s">
        <v>416</v>
      </c>
      <c r="BP164" s="962" t="s">
        <v>417</v>
      </c>
      <c r="BQ164" s="962" t="s">
        <v>418</v>
      </c>
      <c r="BR164" s="962" t="s">
        <v>419</v>
      </c>
      <c r="BS164" s="962" t="s">
        <v>420</v>
      </c>
      <c r="BT164" s="962" t="s">
        <v>421</v>
      </c>
      <c r="BU164" s="137" t="s">
        <v>699</v>
      </c>
      <c r="BV164" s="137" t="s">
        <v>700</v>
      </c>
      <c r="BW164" s="962" t="s">
        <v>424</v>
      </c>
      <c r="BX164" s="962" t="s">
        <v>425</v>
      </c>
      <c r="BY164" s="962" t="s">
        <v>418</v>
      </c>
      <c r="BZ164" s="962" t="s">
        <v>427</v>
      </c>
      <c r="CA164" s="962" t="s">
        <v>420</v>
      </c>
      <c r="CB164" s="962" t="s">
        <v>429</v>
      </c>
      <c r="CE164" s="962" t="s">
        <v>432</v>
      </c>
      <c r="CF164" s="962" t="s">
        <v>433</v>
      </c>
      <c r="CH164" s="962" t="s">
        <v>735</v>
      </c>
      <c r="CI164" s="962" t="s">
        <v>729</v>
      </c>
    </row>
    <row r="165" spans="2:87">
      <c r="B165" s="137" t="s">
        <v>736</v>
      </c>
      <c r="C165" s="174">
        <f>Interim!DJ398</f>
        <v>-175.752009184845</v>
      </c>
      <c r="D165" s="174">
        <f>Interim!DK398</f>
        <v>-153.937947494033</v>
      </c>
      <c r="E165" s="174">
        <f>Interim!DL398</f>
        <v>-165.010304417962</v>
      </c>
      <c r="F165" s="174">
        <f>Interim!DM398</f>
        <v>-234.533939590776</v>
      </c>
      <c r="G165" s="174">
        <f>Interim!DN398</f>
        <v>-191.877298525483</v>
      </c>
      <c r="H165" s="174">
        <f>Interim!DO398</f>
        <v>217.826086956522</v>
      </c>
      <c r="I165" s="174">
        <f>Interim!DP398</f>
        <v>-23.8095072550715</v>
      </c>
      <c r="J165" s="174">
        <f>Interim!DQ398</f>
        <v>-716.406764430204</v>
      </c>
      <c r="K165" s="174">
        <f>Interim!DR398</f>
        <v>340</v>
      </c>
      <c r="L165" s="174">
        <f>Interim!DS398</f>
        <v>390</v>
      </c>
      <c r="M165" s="174">
        <f>Interim!DT398</f>
        <v>369.761620977354</v>
      </c>
      <c r="N165" s="174">
        <f>Interim!DU398</f>
        <v>200</v>
      </c>
      <c r="O165" s="174">
        <f>Interim!DV398</f>
        <v>303.127603180613</v>
      </c>
      <c r="P165" s="174">
        <f>Interim!DW398</f>
        <v>25.4433833560702</v>
      </c>
      <c r="Q165" s="174">
        <f>Interim!DX398</f>
        <v>115.60251123385</v>
      </c>
      <c r="R165" s="174">
        <f>Interim!DY398</f>
        <v>238.252681267399</v>
      </c>
      <c r="S165" s="174">
        <f>Interim!DZ398</f>
        <v>-10</v>
      </c>
      <c r="T165" s="174">
        <f>Interim!EA398</f>
        <v>30</v>
      </c>
      <c r="U165" s="174">
        <f>Interim!EB398</f>
        <v>1.49755404765639</v>
      </c>
      <c r="V165" s="174">
        <f>Interim!EC398</f>
        <v>-23.8034188034186</v>
      </c>
      <c r="W165" s="174">
        <f>Interim!ED398</f>
        <v>-3.60777700624926</v>
      </c>
      <c r="X165" s="174">
        <f>Interim!EE398</f>
        <v>-85.1224947414453</v>
      </c>
      <c r="Y165" s="174">
        <f>Interim!EF398</f>
        <v>-37.5831871868276</v>
      </c>
      <c r="Z165" s="174">
        <f>Interim!EG398</f>
        <v>-15.266688111083</v>
      </c>
      <c r="AA165" s="174">
        <f>Interim!EH398</f>
        <v>-80.0000000000001</v>
      </c>
      <c r="AB165" s="174">
        <f>Interim!EI398</f>
        <v>-94.8649417116859</v>
      </c>
      <c r="AC165" s="174">
        <f>Interim!EJ398</f>
        <v>-82.4238583658693</v>
      </c>
      <c r="AD165" s="174">
        <f>Interim!EK398</f>
        <v>33.7986260883461</v>
      </c>
      <c r="AE165" s="174">
        <f>Interim!EL398</f>
        <v>-38.7302462697625</v>
      </c>
      <c r="AF165" s="174">
        <f>Interim!EM398</f>
        <v>197.767564932421</v>
      </c>
      <c r="AG165" s="174">
        <f>Interim!EN398</f>
        <v>94.3981202284622</v>
      </c>
      <c r="AH165" s="174">
        <f>Interim!EO398</f>
        <v>11.1834628069213</v>
      </c>
      <c r="AI165" s="174">
        <f>Interim!EP398</f>
        <v>244.662756598241</v>
      </c>
      <c r="AJ165" s="174">
        <f>Interim!EQ398</f>
        <v>182.254832341305</v>
      </c>
      <c r="AK165" s="174">
        <f>Interim!ER398</f>
        <v>212.140209560714</v>
      </c>
      <c r="AL165" s="174">
        <f>Interim!ES398</f>
        <v>191.688216277847</v>
      </c>
      <c r="AM165" s="174">
        <f>Interim!ET398</f>
        <v>205.539694028759</v>
      </c>
      <c r="AN165" s="174">
        <f>Interim!EU398</f>
        <v>-9.59750787300207</v>
      </c>
      <c r="AO165" s="174">
        <f>Interim!EV398</f>
        <v>96.9891611415685</v>
      </c>
      <c r="AP165" s="174">
        <f>Interim!EW398</f>
        <v>153.624993135805</v>
      </c>
      <c r="AQ165" s="174">
        <f>Interim!EX398</f>
        <v>-96.5357815910584</v>
      </c>
      <c r="AR165" s="174">
        <f>Interim!EY398</f>
        <v>-83.9054880398599</v>
      </c>
      <c r="AS165" s="174">
        <f>Interim!EZ398</f>
        <v>-90.4405370203754</v>
      </c>
      <c r="AT165" s="174">
        <f>Interim!FA398</f>
        <v>-188.854541268016</v>
      </c>
      <c r="AU165" s="174">
        <f>Interim!FB398</f>
        <v>-128.308326433421</v>
      </c>
      <c r="AV165" s="174">
        <f>Interim!FC398</f>
        <v>-258.18623653277</v>
      </c>
      <c r="AW165" s="174">
        <f>Interim!FD398</f>
        <v>-221.340437925037</v>
      </c>
      <c r="AX165" s="174">
        <f>Interim!FE398</f>
        <v>-162.526739424579</v>
      </c>
      <c r="AY165" s="174">
        <f>Interim!FF398</f>
        <v>-0.174489089964092</v>
      </c>
      <c r="AZ165" s="174">
        <f>Interim!FG398</f>
        <v>-88.572705635574</v>
      </c>
      <c r="BA165" s="174">
        <f>Interim!FH398</f>
        <v>-43.4266848679327</v>
      </c>
      <c r="BB165" s="174">
        <f>Interim!FI398</f>
        <v>100.559808056304</v>
      </c>
      <c r="BC165" s="174">
        <f>Interim!FJ398</f>
        <v>9.78069663148617</v>
      </c>
      <c r="BD165" s="174">
        <f>Interim!FK398</f>
        <v>228.985118114005</v>
      </c>
      <c r="BE165" s="174">
        <f>Interim!FL398</f>
        <v>161.708017411302</v>
      </c>
      <c r="BF165" s="174">
        <f>Interim!FM398</f>
        <v>64.5206759203915</v>
      </c>
      <c r="BG165" s="174">
        <f>Interim!FN398</f>
        <v>26.4803092180305</v>
      </c>
      <c r="BH165" s="174">
        <f>Interim!FO398</f>
        <v>46.3905865637892</v>
      </c>
      <c r="BI165" s="174">
        <f>Interim!FP398</f>
        <v>36.7090172550327</v>
      </c>
      <c r="BJ165" s="174">
        <f>Interim!FQ398</f>
        <v>-87.2911293754519</v>
      </c>
      <c r="BK165" s="174">
        <f>Interim!FR398</f>
        <v>-9.15500507023159</v>
      </c>
      <c r="BL165" s="174">
        <f>Interim!FS398</f>
        <v>163.339280725942</v>
      </c>
      <c r="BM165" s="174">
        <f>Interim!FT398</f>
        <v>29.3806411453468</v>
      </c>
      <c r="BN165" s="174">
        <f>Interim!FU398</f>
        <v>33.2545844521609</v>
      </c>
      <c r="BO165" s="174">
        <f>Interim!FV398</f>
        <v>17.0067935536977</v>
      </c>
      <c r="BP165" s="174">
        <f>Interim!FW398</f>
        <v>130.607204374047</v>
      </c>
      <c r="BQ165" s="174">
        <f>Interim!FX398</f>
        <v>71.6367831755893</v>
      </c>
      <c r="BR165" s="174">
        <f>Interim!FY398</f>
        <v>287.932026907448</v>
      </c>
      <c r="BS165" s="174">
        <f>Interim!FZ398</f>
        <v>150.668317169785</v>
      </c>
      <c r="BT165" s="174">
        <f>Interim!GA398</f>
        <v>283.510132525112</v>
      </c>
      <c r="BW165" s="174">
        <f>Interim!GD398</f>
        <v>148.509942673707</v>
      </c>
      <c r="BX165" s="174">
        <f>Interim!GE398</f>
        <v>217.13442011026</v>
      </c>
      <c r="BZ165" s="174">
        <f>Interim!GG398</f>
        <v>139.011447362981</v>
      </c>
      <c r="CB165" s="174">
        <f>Interim!GI398</f>
        <v>56.4864044392077</v>
      </c>
      <c r="CE165" s="174">
        <f>Interim!GL398</f>
        <v>246.161296446288</v>
      </c>
      <c r="CF165" s="174">
        <f>Interim!GM398</f>
        <v>116.753877439726</v>
      </c>
      <c r="CH165" s="174">
        <f>Interim!GO398</f>
        <v>26.0073266884364</v>
      </c>
      <c r="CI165" s="174">
        <f>Interim!GQ398</f>
        <v>-327.951899441173</v>
      </c>
    </row>
    <row r="166" spans="2:87">
      <c r="B166" s="137" t="s">
        <v>737</v>
      </c>
      <c r="C166" s="174">
        <f>C167-C165</f>
        <v>-678.399370569023</v>
      </c>
      <c r="D166" s="174">
        <f t="shared" ref="D166:BO166" si="63">D167-D165</f>
        <v>-10.4601047321812</v>
      </c>
      <c r="E166" s="174">
        <f t="shared" si="63"/>
        <v>-230.149304216408</v>
      </c>
      <c r="F166" s="174">
        <f t="shared" si="63"/>
        <v>-138.244213549207</v>
      </c>
      <c r="G166" s="174">
        <f t="shared" si="63"/>
        <v>-393.493213638743</v>
      </c>
      <c r="H166" s="174">
        <f t="shared" si="63"/>
        <v>-462.328131238345</v>
      </c>
      <c r="I166" s="174">
        <f t="shared" si="63"/>
        <v>-664.743814085889</v>
      </c>
      <c r="J166" s="174">
        <f t="shared" si="63"/>
        <v>80.8670772603558</v>
      </c>
      <c r="K166" s="174">
        <f t="shared" si="63"/>
        <v>407.258194795512</v>
      </c>
      <c r="L166" s="174">
        <f t="shared" si="63"/>
        <v>-14.5452639007659</v>
      </c>
      <c r="M166" s="174">
        <f t="shared" si="63"/>
        <v>185.947926194898</v>
      </c>
      <c r="N166" s="174">
        <f t="shared" si="63"/>
        <v>-178.313795780655</v>
      </c>
      <c r="O166" s="174">
        <f t="shared" si="63"/>
        <v>64.7722873170946</v>
      </c>
      <c r="P166" s="174">
        <f t="shared" si="63"/>
        <v>-100.816056266421</v>
      </c>
      <c r="Q166" s="174">
        <f t="shared" si="63"/>
        <v>-40.8464379035006</v>
      </c>
      <c r="R166" s="174">
        <f t="shared" si="63"/>
        <v>18.0131164436471</v>
      </c>
      <c r="S166" s="174">
        <f t="shared" si="63"/>
        <v>-6.01690676030456</v>
      </c>
      <c r="T166" s="174">
        <f t="shared" si="63"/>
        <v>16.2569290850161</v>
      </c>
      <c r="U166" s="174">
        <f t="shared" si="63"/>
        <v>24.0629231791144</v>
      </c>
      <c r="V166" s="174">
        <f t="shared" si="63"/>
        <v>16.566926921598</v>
      </c>
      <c r="W166" s="174">
        <f t="shared" si="63"/>
        <v>12.7288619939583</v>
      </c>
      <c r="X166" s="174">
        <f t="shared" si="63"/>
        <v>-72.0848078402028</v>
      </c>
      <c r="Y166" s="174">
        <f t="shared" si="63"/>
        <v>-45.6341982820341</v>
      </c>
      <c r="Z166" s="174">
        <f t="shared" si="63"/>
        <v>-14.9966086686609</v>
      </c>
      <c r="AA166" s="174">
        <f t="shared" si="63"/>
        <v>193.251473000216</v>
      </c>
      <c r="AB166" s="174">
        <f t="shared" si="63"/>
        <v>108.006074189446</v>
      </c>
      <c r="AC166" s="174">
        <f t="shared" si="63"/>
        <v>148.781027489795</v>
      </c>
      <c r="AD166" s="174">
        <f t="shared" si="63"/>
        <v>-27.8826184200019</v>
      </c>
      <c r="AE166" s="174">
        <f t="shared" si="63"/>
        <v>80.1488807430699</v>
      </c>
      <c r="AF166" s="174">
        <f t="shared" si="63"/>
        <v>-845.467536239131</v>
      </c>
      <c r="AG166" s="174">
        <f t="shared" si="63"/>
        <v>-359.01163173653</v>
      </c>
      <c r="AH166" s="174">
        <f t="shared" si="63"/>
        <v>-108.386575273118</v>
      </c>
      <c r="AI166" s="174">
        <f t="shared" si="63"/>
        <v>-135.870986704801</v>
      </c>
      <c r="AJ166" s="174">
        <f t="shared" si="63"/>
        <v>-165.246947578045</v>
      </c>
      <c r="AK166" s="174">
        <f t="shared" si="63"/>
        <v>-145.205064496568</v>
      </c>
      <c r="AL166" s="174">
        <f t="shared" si="63"/>
        <v>-181.882239691724</v>
      </c>
      <c r="AM166" s="174">
        <f t="shared" si="63"/>
        <v>-161.563762793576</v>
      </c>
      <c r="AN166" s="174">
        <f t="shared" si="63"/>
        <v>848.354341799429</v>
      </c>
      <c r="AO166" s="174">
        <f t="shared" si="63"/>
        <v>255.309237194426</v>
      </c>
      <c r="AP166" s="174">
        <f t="shared" si="63"/>
        <v>57.6431949869576</v>
      </c>
      <c r="AQ166" s="174">
        <f t="shared" si="63"/>
        <v>-199.886178011249</v>
      </c>
      <c r="AR166" s="174">
        <f t="shared" si="63"/>
        <v>-22.3845398094584</v>
      </c>
      <c r="AS166" s="174">
        <f t="shared" si="63"/>
        <v>-120.627117966444</v>
      </c>
      <c r="AT166" s="174">
        <f t="shared" si="63"/>
        <v>-18.1051740980692</v>
      </c>
      <c r="AU166" s="174">
        <f t="shared" si="63"/>
        <v>-77.2623141216369</v>
      </c>
      <c r="AV166" s="174">
        <f t="shared" si="63"/>
        <v>18.0353987796987</v>
      </c>
      <c r="AW166" s="174">
        <f t="shared" si="63"/>
        <v>-116.307834926059</v>
      </c>
      <c r="AX166" s="174">
        <f t="shared" si="63"/>
        <v>-59.3136478547238</v>
      </c>
      <c r="AY166" s="174">
        <f t="shared" si="63"/>
        <v>-36.7890545808207</v>
      </c>
      <c r="AZ166" s="174">
        <f t="shared" si="63"/>
        <v>48.8867644181006</v>
      </c>
      <c r="BA166" s="174">
        <f t="shared" si="63"/>
        <v>6.3438798425347</v>
      </c>
      <c r="BB166" s="174">
        <f t="shared" si="63"/>
        <v>-25.6132510848189</v>
      </c>
      <c r="BC166" s="174">
        <f t="shared" si="63"/>
        <v>-4.39047572938722</v>
      </c>
      <c r="BD166" s="174">
        <f t="shared" si="63"/>
        <v>-178.162600156316</v>
      </c>
      <c r="BE166" s="174">
        <f t="shared" si="63"/>
        <v>23.3503801311483</v>
      </c>
      <c r="BF166" s="174">
        <f t="shared" si="63"/>
        <v>-46.0318845025538</v>
      </c>
      <c r="BG166" s="174">
        <f t="shared" si="63"/>
        <v>156.02182578964</v>
      </c>
      <c r="BH166" s="174">
        <f t="shared" si="63"/>
        <v>290.700685581414</v>
      </c>
      <c r="BI166" s="174">
        <f t="shared" si="63"/>
        <v>222.099044606454</v>
      </c>
      <c r="BJ166" s="174">
        <f t="shared" si="63"/>
        <v>65.9785454849983</v>
      </c>
      <c r="BK166" s="174">
        <f t="shared" si="63"/>
        <v>163.962887105923</v>
      </c>
      <c r="BL166" s="174">
        <f t="shared" si="63"/>
        <v>-54.2761015578725</v>
      </c>
      <c r="BM166" s="174">
        <f t="shared" si="63"/>
        <v>13.1171660583428</v>
      </c>
      <c r="BN166" s="174">
        <f t="shared" si="63"/>
        <v>113.613228218364</v>
      </c>
      <c r="BO166" s="174">
        <f t="shared" si="63"/>
        <v>125.189945130855</v>
      </c>
      <c r="BP166" s="174">
        <f t="shared" ref="BP166:BT166" si="64">BP167-BP165</f>
        <v>-64.2415853396175</v>
      </c>
      <c r="BQ166" s="174">
        <f t="shared" si="64"/>
        <v>34.17823637096</v>
      </c>
      <c r="BR166" s="174">
        <f t="shared" si="64"/>
        <v>71.9280104197495</v>
      </c>
      <c r="BS166" s="174">
        <f t="shared" si="64"/>
        <v>-251.068873509591</v>
      </c>
      <c r="BT166" s="174">
        <f t="shared" si="64"/>
        <v>-69.5387080827925</v>
      </c>
      <c r="BW166" s="174">
        <f t="shared" ref="BW166:CB166" si="65">BW167-BW165</f>
        <v>26.4529425828895</v>
      </c>
      <c r="BX166" s="174">
        <f t="shared" si="65"/>
        <v>-94.2549605322289</v>
      </c>
      <c r="BY166" s="174">
        <f t="shared" si="65"/>
        <v>0</v>
      </c>
      <c r="BZ166" s="174">
        <f t="shared" si="65"/>
        <v>-5.01306058669022</v>
      </c>
      <c r="CA166" s="174">
        <f t="shared" si="65"/>
        <v>0</v>
      </c>
      <c r="CB166" s="174">
        <f t="shared" si="65"/>
        <v>-73.0276851867477</v>
      </c>
      <c r="CE166" s="174">
        <f t="shared" ref="CE166:CF166" si="66">CE167-CE165</f>
        <v>-103.453598474751</v>
      </c>
      <c r="CF166" s="174">
        <f t="shared" si="66"/>
        <v>-74.8342580123877</v>
      </c>
      <c r="CH166" s="174">
        <f t="shared" ref="CH166:CI166" si="67">CH167-CH165</f>
        <v>-160.770633106952</v>
      </c>
      <c r="CI166" s="174">
        <f t="shared" si="67"/>
        <v>501.031778678571</v>
      </c>
    </row>
    <row r="167" spans="2:87">
      <c r="B167" s="137" t="s">
        <v>738</v>
      </c>
      <c r="C167" s="174">
        <f>(Interim!DJ428-Interim!DB428)*10000</f>
        <v>-854.151379753868</v>
      </c>
      <c r="D167" s="174">
        <f>(Interim!DK428-Interim!DC428)*10000</f>
        <v>-164.398052226215</v>
      </c>
      <c r="E167" s="174">
        <f>(Interim!DL428-Interim!DD428)*10000</f>
        <v>-395.15960863437</v>
      </c>
      <c r="F167" s="174">
        <f>(Interim!DM428-Interim!DE428)*10000</f>
        <v>-372.778153139982</v>
      </c>
      <c r="G167" s="174">
        <f>(Interim!DN428-Interim!DF428)*10000</f>
        <v>-585.370512164226</v>
      </c>
      <c r="H167" s="174">
        <f>(Interim!DO428-Interim!DG428)*10000</f>
        <v>-244.502044281823</v>
      </c>
      <c r="I167" s="174">
        <f>(Interim!DP428-Interim!DH428)*10000</f>
        <v>-688.55332134096</v>
      </c>
      <c r="J167" s="174">
        <f>(Interim!DQ428-Interim!DI428)*10000</f>
        <v>-635.539687169848</v>
      </c>
      <c r="K167" s="174">
        <f>(Interim!DR428-Interim!DJ428)*10000</f>
        <v>747.258194795511</v>
      </c>
      <c r="L167" s="174">
        <f>(Interim!DS428-Interim!DK428)*10000</f>
        <v>375.454736099234</v>
      </c>
      <c r="M167" s="174">
        <f>(Interim!DT428-Interim!DL428)*10000</f>
        <v>555.709547172252</v>
      </c>
      <c r="N167" s="174">
        <f>(Interim!DU428-Interim!DM428)*10000</f>
        <v>21.6862042193446</v>
      </c>
      <c r="O167" s="174">
        <f>(Interim!DV428-Interim!DN428)*10000</f>
        <v>367.899890497708</v>
      </c>
      <c r="P167" s="174">
        <f>(Interim!DW428-Interim!DO428)*10000</f>
        <v>-75.3726729103509</v>
      </c>
      <c r="Q167" s="174">
        <f>(Interim!DX428-Interim!DP428)*10000</f>
        <v>74.7560733303499</v>
      </c>
      <c r="R167" s="174">
        <f>(Interim!DY428-Interim!DQ428)*10000</f>
        <v>256.265797711046</v>
      </c>
      <c r="S167" s="174">
        <f>(Interim!DZ428-Interim!DR428)*10000</f>
        <v>-16.0169067603046</v>
      </c>
      <c r="T167" s="174">
        <f>(Interim!EA428-Interim!DS428)*10000</f>
        <v>46.2569290850161</v>
      </c>
      <c r="U167" s="174">
        <f>(Interim!EB428-Interim!DT428)*10000</f>
        <v>25.5604772267708</v>
      </c>
      <c r="V167" s="174">
        <f>(Interim!EC428-Interim!DU428)*10000</f>
        <v>-7.2364918818206</v>
      </c>
      <c r="W167" s="174">
        <f>(Interim!ED428-Interim!DV428)*10000</f>
        <v>9.12108498770908</v>
      </c>
      <c r="X167" s="174">
        <f>(Interim!EE428-Interim!DW428)*10000</f>
        <v>-157.207302581648</v>
      </c>
      <c r="Y167" s="174">
        <f>(Interim!EF428-Interim!DX428)*10000</f>
        <v>-83.2173854688618</v>
      </c>
      <c r="Z167" s="174">
        <f>(Interim!EG428-Interim!DY428)*10000</f>
        <v>-30.2632967797439</v>
      </c>
      <c r="AA167" s="174">
        <f>(Interim!EH428-Interim!DZ428)*10000</f>
        <v>113.251473000216</v>
      </c>
      <c r="AB167" s="174">
        <f>(Interim!EI428-Interim!EA428)*10000</f>
        <v>13.14113247776</v>
      </c>
      <c r="AC167" s="174">
        <f>(Interim!EJ428-Interim!EB428)*10000</f>
        <v>66.3571691239259</v>
      </c>
      <c r="AD167" s="174">
        <f>(Interim!EK428-Interim!EC428)*10000</f>
        <v>5.91600766834413</v>
      </c>
      <c r="AE167" s="174">
        <f>(Interim!EL428-Interim!ED428)*10000</f>
        <v>41.4186344733074</v>
      </c>
      <c r="AF167" s="174">
        <f>(Interim!EM428-Interim!EE428)*10000</f>
        <v>-647.69997130671</v>
      </c>
      <c r="AG167" s="174">
        <f>(Interim!EN428-Interim!EF428)*10000</f>
        <v>-264.613511508067</v>
      </c>
      <c r="AH167" s="174">
        <f>(Interim!EO428-Interim!EG428)*10000</f>
        <v>-97.203112466197</v>
      </c>
      <c r="AI167" s="174">
        <f>(Interim!EP428-Interim!EH428)*10000</f>
        <v>108.79176989344</v>
      </c>
      <c r="AJ167" s="174">
        <f>(Interim!EQ428-Interim!EI428)*10000</f>
        <v>17.00788476326</v>
      </c>
      <c r="AK167" s="174">
        <f>(Interim!ER428-Interim!EJ428)*10000</f>
        <v>66.935145064146</v>
      </c>
      <c r="AL167" s="174">
        <f>(Interim!ES428-Interim!EK428)*10000</f>
        <v>9.80597658612275</v>
      </c>
      <c r="AM167" s="174">
        <f>(Interim!ET428-Interim!EL428)*10000</f>
        <v>43.975931235183</v>
      </c>
      <c r="AN167" s="174">
        <f>(Interim!EU428-Interim!EM428)*10000</f>
        <v>838.756833926427</v>
      </c>
      <c r="AO167" s="174">
        <f>(Interim!EV428-Interim!EN428)*10000</f>
        <v>352.298398335994</v>
      </c>
      <c r="AP167" s="174">
        <f>(Interim!EW428-Interim!EO428)*10000</f>
        <v>211.268188122763</v>
      </c>
      <c r="AQ167" s="174">
        <f>(Interim!EX428-Interim!EP428)*10000</f>
        <v>-296.421959602308</v>
      </c>
      <c r="AR167" s="174">
        <f>(Interim!EY428-Interim!EQ428)*10000</f>
        <v>-106.290027849318</v>
      </c>
      <c r="AS167" s="174">
        <f>(Interim!EZ428-Interim!ER428)*10000</f>
        <v>-211.067654986819</v>
      </c>
      <c r="AT167" s="174">
        <f>(Interim!FA428-Interim!ES428)*10000</f>
        <v>-206.959715366085</v>
      </c>
      <c r="AU167" s="174">
        <f>(Interim!FB428-Interim!ET428)*10000</f>
        <v>-205.570640555058</v>
      </c>
      <c r="AV167" s="174">
        <f>(Interim!FC428-Interim!EU428)*10000</f>
        <v>-240.150837753072</v>
      </c>
      <c r="AW167" s="174">
        <f>(Interim!FD428-Interim!EV428)*10000</f>
        <v>-337.648272851095</v>
      </c>
      <c r="AX167" s="174">
        <f>(Interim!FE428-Interim!EW428)*10000</f>
        <v>-221.840387279303</v>
      </c>
      <c r="AY167" s="174">
        <f>(Interim!FF428-Interim!EX428)*10000</f>
        <v>-36.9635436707848</v>
      </c>
      <c r="AZ167" s="174">
        <f>(Interim!FG428-Interim!EY428)*10000</f>
        <v>-39.6859412174733</v>
      </c>
      <c r="BA167" s="174">
        <f>(Interim!FH428-Interim!EZ428)*10000</f>
        <v>-37.082805025398</v>
      </c>
      <c r="BB167" s="174">
        <f>(Interim!FI428-Interim!FA428)*10000</f>
        <v>74.9465569714847</v>
      </c>
      <c r="BC167" s="174">
        <f>(Interim!FJ428-Interim!FB428)*10000</f>
        <v>5.39022090209895</v>
      </c>
      <c r="BD167" s="174">
        <f>(Interim!FK428-Interim!FC428)*10000</f>
        <v>50.8225179576884</v>
      </c>
      <c r="BE167" s="174">
        <f>(Interim!FL428-Interim!FD428)*10000</f>
        <v>185.058397542451</v>
      </c>
      <c r="BF167" s="174">
        <f>(Interim!FM428-Interim!FE428)*10000</f>
        <v>18.4887914178377</v>
      </c>
      <c r="BG167" s="174">
        <f>(Interim!FN428-Interim!FF428)*10000</f>
        <v>182.50213500767</v>
      </c>
      <c r="BH167" s="174">
        <f>(Interim!FO428-Interim!FG428)*10000</f>
        <v>337.091272145203</v>
      </c>
      <c r="BI167" s="174">
        <f>(Interim!FP428-Interim!FH428)*10000</f>
        <v>258.808061861487</v>
      </c>
      <c r="BJ167" s="174">
        <f>(Interim!FQ428-Interim!FI428)*10000</f>
        <v>-21.3125838904536</v>
      </c>
      <c r="BK167" s="174">
        <f>(Interim!FR428-Interim!FJ428)*10000</f>
        <v>154.807882035691</v>
      </c>
      <c r="BL167" s="174">
        <f>(Interim!FS428-Interim!FK428)*10000</f>
        <v>109.06317916807</v>
      </c>
      <c r="BM167" s="174">
        <f>(Interim!FT428-Interim!FL428)*10000</f>
        <v>42.4978072036895</v>
      </c>
      <c r="BN167" s="174">
        <f>(Interim!FU428-Interim!FM428)*10000</f>
        <v>146.867812670525</v>
      </c>
      <c r="BO167" s="174">
        <f>(Interim!FV428-Interim!FN428)*10000</f>
        <v>142.196738684553</v>
      </c>
      <c r="BP167" s="174">
        <f>(Interim!FW428-Interim!FO428)*10000</f>
        <v>66.3656190344294</v>
      </c>
      <c r="BQ167" s="174">
        <f>(Interim!FX428-Interim!FP428)*10000</f>
        <v>105.815019546549</v>
      </c>
      <c r="BR167" s="174">
        <f>(Interim!FY428-Interim!FQ428)*10000</f>
        <v>359.860037327198</v>
      </c>
      <c r="BS167" s="174">
        <f>Interim!FZ428-Interim!FR428*1000</f>
        <v>-100.400556339807</v>
      </c>
      <c r="BT167" s="174">
        <f>(Interim!GA428-Interim!FS428)*10000</f>
        <v>213.971424442319</v>
      </c>
      <c r="BW167" s="174">
        <f>(Interim!GD428-Interim!FV428)*10000</f>
        <v>174.962885256596</v>
      </c>
      <c r="BX167" s="174">
        <f>(Interim!GE428-Interim!FW428)*10000</f>
        <v>122.879459578031</v>
      </c>
      <c r="BZ167" s="174">
        <f>(Interim!GG428-Interim!FY428)*10000</f>
        <v>133.998386776291</v>
      </c>
      <c r="CB167" s="174">
        <f>(Interim!GI428-Interim!GA428)*10000</f>
        <v>-16.54128074754</v>
      </c>
      <c r="CE167" s="174">
        <f>(Interim!GL428-Interim!GD428)*10000</f>
        <v>142.707697971536</v>
      </c>
      <c r="CF167" s="174">
        <f>(Interim!GM428-Interim!GE428)*10000</f>
        <v>41.9196194273382</v>
      </c>
      <c r="CH167" s="174">
        <f>(Interim!GO428-Interim!GG428)*10000</f>
        <v>-134.763306418516</v>
      </c>
      <c r="CI167" s="174">
        <f>(Interim!GQ428-Interim!GI428)*10000</f>
        <v>173.079879237398</v>
      </c>
    </row>
    <row r="197" spans="1:46">
      <c r="B197" s="137" t="s">
        <v>739</v>
      </c>
    </row>
    <row r="198" spans="1:46">
      <c r="C198" s="962" t="s">
        <v>400</v>
      </c>
      <c r="D198" s="962" t="s">
        <v>401</v>
      </c>
      <c r="E198" s="962" t="s">
        <v>402</v>
      </c>
      <c r="F198" s="962" t="s">
        <v>403</v>
      </c>
      <c r="G198" s="962" t="s">
        <v>404</v>
      </c>
      <c r="H198" s="962" t="s">
        <v>405</v>
      </c>
      <c r="I198" s="962" t="s">
        <v>406</v>
      </c>
      <c r="J198" s="962" t="s">
        <v>407</v>
      </c>
      <c r="K198" s="962" t="s">
        <v>408</v>
      </c>
      <c r="L198" s="962" t="s">
        <v>409</v>
      </c>
      <c r="M198" s="962" t="s">
        <v>410</v>
      </c>
      <c r="N198" s="962" t="s">
        <v>411</v>
      </c>
      <c r="O198" s="962" t="s">
        <v>412</v>
      </c>
      <c r="P198" s="962" t="s">
        <v>413</v>
      </c>
      <c r="Q198" s="962" t="s">
        <v>414</v>
      </c>
      <c r="R198" s="962" t="s">
        <v>415</v>
      </c>
      <c r="S198" s="962" t="s">
        <v>416</v>
      </c>
      <c r="T198" s="962" t="s">
        <v>417</v>
      </c>
      <c r="U198" s="962" t="s">
        <v>418</v>
      </c>
      <c r="V198" s="962" t="s">
        <v>419</v>
      </c>
      <c r="W198" s="137" t="s">
        <v>420</v>
      </c>
      <c r="X198" s="962" t="s">
        <v>421</v>
      </c>
      <c r="Y198" s="962" t="s">
        <v>419</v>
      </c>
      <c r="Z198" s="962" t="s">
        <v>419</v>
      </c>
      <c r="AA198" s="962" t="s">
        <v>424</v>
      </c>
      <c r="AB198" s="962" t="s">
        <v>425</v>
      </c>
      <c r="AC198" s="962" t="s">
        <v>424</v>
      </c>
      <c r="AD198" s="962" t="s">
        <v>427</v>
      </c>
      <c r="AE198" s="962" t="s">
        <v>424</v>
      </c>
      <c r="AF198" s="962" t="s">
        <v>429</v>
      </c>
      <c r="AG198" s="962" t="s">
        <v>419</v>
      </c>
      <c r="AH198" s="962" t="s">
        <v>419</v>
      </c>
      <c r="AI198" s="962" t="s">
        <v>432</v>
      </c>
      <c r="AJ198" s="962" t="s">
        <v>433</v>
      </c>
      <c r="AK198" s="962" t="s">
        <v>432</v>
      </c>
      <c r="AL198" s="962" t="s">
        <v>435</v>
      </c>
    </row>
    <row r="199" spans="1:46">
      <c r="B199" s="137" t="s">
        <v>740</v>
      </c>
      <c r="C199" s="963">
        <f>((((Interim!FF222*Interim!EX296)+(Interim!FF229*Interim!EX307)+(Interim!FF236*Interim!EX318)+(Interim!FF243*Interim!EX329)+(Interim!FF250*Interim!EX340)+(Interim!FF257*Interim!EX351)+(Interim!FF264*Interim!EX362)+(Interim!FF279*Interim!EX379))/Interim!FF216)-((Interim!EX377+Interim!EX360+Interim!EX349+Interim!EX338+Interim!EX327+Interim!EX316+Interim!EX305+Interim!EX294)/Interim!EX216))*10000</f>
        <v>-14.3924002615525</v>
      </c>
      <c r="D199" s="963">
        <f>((((Interim!FG222*Interim!EY296)+(Interim!FG229*Interim!EY307)+(Interim!FG236*Interim!EY318)+(Interim!FG243*Interim!EY329)+(Interim!FG250*Interim!EY340)+(Interim!FG257*Interim!EY351)+(Interim!FG264*Interim!EY362)+(Interim!FG279*Interim!EY379))/Interim!FG216)-((Interim!EY377+Interim!EY360+Interim!EY349+Interim!EY338+Interim!EY327+Interim!EY316+Interim!EY305+Interim!EY294)/Interim!EY216))*10000</f>
        <v>12.4417399647997</v>
      </c>
      <c r="E199" s="964">
        <f>(((Interim!FH222*Interim!EZ296)+(Interim!FH229*Interim!EZ307)+(Interim!FH236*Interim!EZ318)+(Interim!FH243*Interim!EZ329)+(Interim!FH250*Interim!EZ340)+(Interim!FH257*Interim!EZ351)+(Interim!FH264*Interim!EZ362)+(Interim!FH279*Interim!EZ379))/Interim!FH216)-((Interim!EZ377+Interim!EZ360+Interim!EZ349+Interim!EZ338+Interim!EZ327+Interim!EZ316+Interim!EZ305+Interim!EZ294)/Interim!EZ216)</f>
        <v>-0.000138241727369925</v>
      </c>
      <c r="F199" s="963">
        <f>((((Interim!FI222*Interim!FA296)+(Interim!FI229*Interim!FA307)+(Interim!FI236*Interim!FA318)+(Interim!FI243*Interim!FA329)+(Interim!FI250*Interim!FA340)+(Interim!FI257*Interim!FA351)+(Interim!FI264*Interim!FA362)+(Interim!FI279*Interim!FA379))/Interim!FI216)-((Interim!FA377+Interim!FA360+Interim!FA349+Interim!FA338+Interim!FA327+Interim!FA316+Interim!FA305+Interim!FA294)/Interim!FA216))*10000</f>
        <v>-20.6906776667815</v>
      </c>
      <c r="G199" s="963">
        <f>((((Interim!FJ222*Interim!FB296)+(Interim!FJ229*Interim!FB307)+(Interim!FJ236*Interim!FB318)+(Interim!FJ243*Interim!FB329)+(Interim!FJ250*Interim!FB340)+(Interim!FJ257*Interim!FB351)+(Interim!FJ264*Interim!FB362)+(Interim!FJ279*Interim!FB379))/Interim!FJ216)-((Interim!FB377+Interim!FB360+Interim!FB349+Interim!FB338+Interim!FB327+Interim!FB316+Interim!FB305+Interim!FB294)/Interim!FB216))*10000</f>
        <v>-8.275391547658</v>
      </c>
      <c r="H199" s="963">
        <f>((((Interim!FK222*Interim!FC296)+(Interim!FK229*Interim!FC307)+(Interim!FK236*Interim!FC318)+(Interim!FK243*Interim!FC329)+(Interim!FK250*Interim!FC340)+(Interim!FK257*Interim!FC351)+(Interim!FK264*Interim!FC362)+(Interim!FK279*Interim!FC379))/Interim!FK216)-((Interim!FC377+Interim!FC360+Interim!FC349+Interim!FC338+Interim!FC327+Interim!FC316+Interim!FC305+Interim!FC294)/Interim!FC216))*10000</f>
        <v>-9.47624054095431</v>
      </c>
      <c r="I199" s="963">
        <f>((((Interim!FL222*Interim!FD296)+(Interim!FL229*Interim!FD307)+(Interim!FL236*Interim!FD318)+(Interim!FL243*Interim!FD329)+(Interim!FL250*Interim!FD340)+(Interim!FL257*Interim!FD351)+(Interim!FL264*Interim!FD362)+(Interim!FL279*Interim!FD379))/Interim!FL216)-((Interim!FD377+Interim!FD360+Interim!FD349+Interim!FD338+Interim!FD327+Interim!FD316+Interim!FD305+Interim!FD294)/Interim!FD216))*10000</f>
        <v>-14.7235832597198</v>
      </c>
      <c r="J199" s="963">
        <f>((((Interim!FM222*Interim!FE296)+(Interim!FM229*Interim!FE307)+(Interim!FM236*Interim!FE318)+(Interim!FM243*Interim!FE329)+(Interim!FM250*Interim!FE340)+(Interim!FM257*Interim!FE351)+(Interim!FM264*Interim!FE362)+(Interim!FM279*Interim!FE379))/Interim!FM216)-((Interim!FE377+Interim!FE360+Interim!FE349+Interim!FE338+Interim!FE327+Interim!FE316+Interim!FE305+Interim!FE294)/Interim!FE216))*10000</f>
        <v>-8.95869337554645</v>
      </c>
      <c r="K199" s="963">
        <f>((((Interim!FN222*Interim!FF296)+(Interim!FN229*Interim!FF307)+(Interim!FN236*Interim!FF318)+(Interim!FN243*Interim!FF329)+(Interim!FN250*Interim!FF340)+(Interim!FN257*Interim!FF351)+(Interim!FN264*Interim!FF362)+(Interim!FN279*Interim!FF379))/Interim!FN216)-((Interim!FF377+Interim!FF360+Interim!FF349+Interim!FF338+Interim!FF327+Interim!FF316+Interim!FF305+Interim!FF294)/Interim!FF216))*10000</f>
        <v>14.9974589629381</v>
      </c>
      <c r="L199" s="963">
        <f>((((Interim!FO222*Interim!FG296)+(Interim!FO229*Interim!FG307)+(Interim!FO236*Interim!FG318)+(Interim!FO243*Interim!FG329)+(Interim!FO250*Interim!FG340)+(Interim!FO257*Interim!FG351)+(Interim!FO264*Interim!FG362)+(Interim!FO279*Interim!FG379))/Interim!FO216)-((Interim!FG377+Interim!FG360+Interim!FG349+Interim!FG338+Interim!FG327+Interim!FG316+Interim!FG305+Interim!FG294)/Interim!FG216))*10000</f>
        <v>6.47007017216039</v>
      </c>
      <c r="M199" s="963">
        <f>((((Interim!FP222*Interim!FH296)+(Interim!FP229*Interim!FH307)+(Interim!FP236*Interim!FH318)+(Interim!FP243*Interim!FH329)+(Interim!FP250*Interim!FH340)+(Interim!FP257*Interim!FH351)+(Interim!FP264*Interim!FH362)+(Interim!FP279*Interim!FH379))/Interim!FP216)-((Interim!FH377+Interim!FH360+Interim!FH349+Interim!FH338+Interim!FH327+Interim!FH316+Interim!FH305+Interim!FH294)/Interim!FH216))*10000</f>
        <v>11.9208075611865</v>
      </c>
      <c r="N199" s="963">
        <f>((((Interim!FQ222*Interim!FI296)+(Interim!FQ229*Interim!FI307)+(Interim!FQ236*Interim!FI318)+(Interim!FQ243*Interim!FI329)+(Interim!FQ250*Interim!FI340)+(Interim!FQ257*Interim!FI351)+(Interim!FQ264*Interim!FI362)+(Interim!FQ279*Interim!FI379))/Interim!FQ216)-((Interim!FI377+Interim!FI360+Interim!FI349+Interim!FI338+Interim!FI327+Interim!FI316+Interim!FI305+Interim!FI294)/Interim!FI216))*10000</f>
        <v>6.18320120872706</v>
      </c>
      <c r="O199" s="963">
        <f>((((Interim!FR222*Interim!FJ296)+(Interim!FR229*Interim!FJ307)+(Interim!FR236*Interim!FJ318)+(Interim!FR243*Interim!FJ329)+(Interim!FR250*Interim!FJ340)+(Interim!FR257*Interim!FJ351)+(Interim!FR264*Interim!FJ362)+(Interim!FR279*Interim!FJ379))/Interim!FR216)-((Interim!FJ377+Interim!FJ360+Interim!FJ349+Interim!FJ338+Interim!FJ327+Interim!FJ316+Interim!FJ305+Interim!FJ294)/Interim!FJ216))*10000</f>
        <v>9.37948552906465</v>
      </c>
      <c r="P199" s="963">
        <f>((((Interim!FS222*Interim!FK296)+(Interim!FS229*Interim!FK307)+(Interim!FS236*Interim!FK318)+(Interim!FS243*Interim!FK329)+(Interim!FS250*Interim!FK340)+(Interim!FS257*Interim!FK351)+(Interim!FS264*Interim!FK362)+(Interim!FS279*Interim!FK379))/Interim!FS216)-((Interim!FK377+Interim!FK360+Interim!FK349+Interim!FK338+Interim!FK327+Interim!FK316+Interim!FK305+Interim!FK294)/Interim!FK216))*10000</f>
        <v>4.39866412465517</v>
      </c>
      <c r="Q199" s="963">
        <f>((((Interim!FT222*Interim!FL296)+(Interim!FT229*Interim!FL307)+(Interim!FT236*Interim!FL318)+(Interim!FT243*Interim!FL329)+(Interim!FT250*Interim!FL340)+(Interim!FT257*Interim!FL351)+(Interim!FT264*Interim!FL362)+(Interim!FT279*Interim!FL379))/Interim!FT216)-((Interim!FL377+Interim!FL360+Interim!FL349+Interim!FL338+Interim!FL327+Interim!FL316+Interim!FL305+Interim!FL294)/Interim!FL216))*10000</f>
        <v>5.1472232947114</v>
      </c>
      <c r="R199" s="963">
        <f>((((Interim!FU222*Interim!FM296)+(Interim!FU229*Interim!FM307)+(Interim!FU236*Interim!FM318)+(Interim!FU243*Interim!FM329)+(Interim!FU250*Interim!FM340)+(Interim!FU257*Interim!FM351)+(Interim!FU264*Interim!FM362)+(Interim!FU279*Interim!FM379))/Interim!FU216)-((Interim!FM377+Interim!FM360+Interim!FM349+Interim!FM338+Interim!FM327+Interim!FM316+Interim!FM305+Interim!FM294)/Interim!FM216))*10000</f>
        <v>8.06992263741868</v>
      </c>
      <c r="S199" s="963">
        <f>((((Interim!FV222*Interim!FN296)+(Interim!FV229*Interim!FN307)+(Interim!FV236*Interim!FN318)+(Interim!FV243*Interim!FN329)+(Interim!FV250*Interim!FN340)+(Interim!FV257*Interim!FN351)+(Interim!FV264*Interim!FN362)+(Interim!FV279*Interim!FN379))/Interim!FV216)-((Interim!FN377+Interim!FN360+Interim!FN349+Interim!FN338+Interim!FN327+Interim!FN316+Interim!FN305+Interim!FN294)/Interim!FN216))*10000</f>
        <v>48.4984049705495</v>
      </c>
      <c r="T199" s="963">
        <f>((((Interim!FW222*Interim!FO296)+(Interim!FW229*Interim!FO307)+(Interim!FW236*Interim!FO318)+(Interim!FW243*Interim!FO329)+(Interim!FW250*Interim!FO340)+(Interim!FW257*Interim!FO351)+(Interim!FW264*Interim!FO362)+(Interim!FW279*Interim!FO379))/Interim!FW216)-((Interim!FO377+Interim!FO360+Interim!FO349+Interim!FO338+Interim!FO327+Interim!FO316+Interim!FO305+Interim!FO294)/Interim!FO216))*10000</f>
        <v>30.9970394182685</v>
      </c>
      <c r="U199" s="963">
        <f>((((Interim!FX222*Interim!FP296)+(Interim!FX229*Interim!FP307)+(Interim!FX236*Interim!FP318)+(Interim!FX243*Interim!FP329)+(Interim!FX250*Interim!FP340)+(Interim!FX257*Interim!FP351)+(Interim!FX264*Interim!FP362)+(Interim!FX279*Interim!FP379))/Interim!FX216)-((Interim!FP377+Interim!FP360+Interim!FP349+Interim!FP338+Interim!FP327+Interim!FP316+Interim!FP305+Interim!FP294)/Interim!FP216))*10000</f>
        <v>42.0567812904704</v>
      </c>
      <c r="V199" s="963">
        <f>((((Interim!FY222*Interim!FQ296)+(Interim!FY229*Interim!FQ307)+(Interim!FY236*Interim!FQ318)+(Interim!FY243*Interim!FQ329)+(Interim!FY250*Interim!FQ340)+(Interim!FY257*Interim!FQ351)+(Interim!FY264*Interim!FQ362)+(Interim!FY279*Interim!FQ379))/Interim!FY216)-((Interim!FQ377+Interim!FQ360+Interim!FQ349+Interim!FQ338+Interim!FQ327+Interim!FQ316+Interim!FQ305+Interim!FQ294)/Interim!FQ216))*10000</f>
        <v>27.0291192994648</v>
      </c>
      <c r="W199" s="965">
        <f>(((Interim!FZ222*Interim!FR296)+(Interim!FZ229*Interim!FR307)+(Interim!FZ236*Interim!FR318)+(Interim!FZ243*Interim!FR329)+(Interim!FZ250*Interim!FR340)+(Interim!FZ257*Interim!FR351)+(Interim!FZ264*Interim!FR362)+(Interim!FZ279*Interim!FR379))/Interim!FZ216)-((Interim!FR377+Interim!FR360+Interim!FR349+Interim!FR338+Interim!FR327+Interim!FR316+Interim!FR305+Interim!FR294)/Interim!FR216)</f>
        <v>0.00366838558206978</v>
      </c>
      <c r="X199" s="963">
        <f>((((Interim!GA222*Interim!FS296)+(Interim!GA229*Interim!FS307)+(Interim!GA236*Interim!FS318)+(Interim!GA243*Interim!FS329)+(Interim!GA250*Interim!FS340)+(Interim!GA257*Interim!FS351)+(Interim!GA264*Interim!FS362)+(Interim!GA279*Interim!FS379))/Interim!GA216)-((Interim!FS377+Interim!FS360+Interim!FS349+Interim!FS338+Interim!FS327+Interim!FS316+Interim!FS305+Interim!FS294)/Interim!FS216))*10000</f>
        <v>23.0127124542179</v>
      </c>
      <c r="Y199" s="963">
        <f>((((Interim!GB222*Interim!FT296)+(Interim!GB229*Interim!FT307)+(Interim!GB236*Interim!FT318)+(Interim!GB243*Interim!FT329)+(Interim!GB250*Interim!FT340)+(Interim!GB257*Interim!FT351)+(Interim!GB264*Interim!FT362)+(Interim!GB279*Interim!FT379))/Interim!GB216)-((Interim!FT377+Interim!FT360+Interim!FT349+Interim!FT338+Interim!FT327+Interim!FT316+Interim!FT305+Interim!FT294)/Interim!FT216))*10000</f>
        <v>24.2926909052454</v>
      </c>
      <c r="Z199" s="963">
        <f>((((Interim!GC222*Interim!FU296)+(Interim!GC229*Interim!FU307)+(Interim!GC236*Interim!FU318)+(Interim!GC243*Interim!FU329)+(Interim!GC250*Interim!FU340)+(Interim!GC257*Interim!FU351)+(Interim!GC264*Interim!FU362)+(Interim!GC279*Interim!FU379))/Interim!GC216)-((Interim!FU377+Interim!FU360+Interim!FU349+Interim!FU338+Interim!FU327+Interim!FU316+Interim!FU305+Interim!FU294)/Interim!FU216))*10000</f>
        <v>33.6286593008522</v>
      </c>
      <c r="AA199" s="963">
        <f>((((Interim!GD222*Interim!FV296)+(Interim!GD229*Interim!FV307)+(Interim!GD236*Interim!FV318)+(Interim!GD243*Interim!FV329)+(Interim!GD250*Interim!FV340)+(Interim!GD257*Interim!FV351)+(Interim!GD264*Interim!FV362)+(Interim!GD279*Interim!FV379))/Interim!GD216)-((Interim!FV377+Interim!FV360+Interim!FV349+Interim!FV338+Interim!FV327+Interim!FV316+Interim!FV305+Interim!FV294)/Interim!FV216))*10000</f>
        <v>107.624354887013</v>
      </c>
      <c r="AB199" s="963">
        <f>((((Interim!GE222*Interim!FW296)+(Interim!GE229*Interim!FW307)+(Interim!GE236*Interim!FW318)+(Interim!GE243*Interim!FW329)+(Interim!GE250*Interim!FW340)+(Interim!GE257*Interim!FW351)+(Interim!GE264*Interim!FW362)+(Interim!GE279*Interim!FW379))/Interim!GE216)-((Interim!FW377+Interim!FW360+Interim!FW349+Interim!FW338+Interim!FW327+Interim!FW316+Interim!FW305+Interim!FW294)/Interim!FW216))*10000</f>
        <v>125.163922319372</v>
      </c>
      <c r="AC199" s="963">
        <f>((((Interim!GF222*Interim!FX296)+(Interim!GF229*Interim!FX307)+(Interim!GF236*Interim!FX318)+(Interim!GF243*Interim!FX329)+(Interim!GF250*Interim!FX340)+(Interim!GF257*Interim!FX351)+(Interim!GF264*Interim!FX362)+(Interim!GF279*Interim!FX379))/Interim!GF216)-((Interim!FX377+Interim!FX360+Interim!FX349+Interim!FX338+Interim!FX327+Interim!FX316+Interim!FX305+Interim!FX294)/Interim!FX216))*10000</f>
        <v>115.429423627627</v>
      </c>
      <c r="AD199" s="963">
        <f>((((Interim!GG222*Interim!FY296)+(Interim!GG229*Interim!FY307)+(Interim!GG236*Interim!FY318)+(Interim!GG243*Interim!FY329)+(Interim!GG250*Interim!FY340)+(Interim!GG257*Interim!FY351)+(Interim!GG264*Interim!FY362)+(Interim!GG279*Interim!FY379))/Interim!GG216)-((Interim!FY377+Interim!FY360+Interim!FY349+Interim!FY338+Interim!FY327+Interim!FY316+Interim!FY305+Interim!FY294)/Interim!FY216))*10000</f>
        <v>53.8498140749011</v>
      </c>
      <c r="AE199" s="963">
        <f>((((Interim!GH222*Interim!FZ296)+(Interim!GH229*Interim!FZ307)+(Interim!GH236*Interim!FZ318)+(Interim!GH243*Interim!FZ329)+(Interim!GH250*Interim!FZ340)+(Interim!GH257*Interim!FZ351)+(Interim!GH264*Interim!FZ362)+(Interim!GH279*Interim!FZ379))/Interim!GH216)-((Interim!FZ377+Interim!FZ360+Interim!FZ349+Interim!FZ338+Interim!FZ327+Interim!FZ316+Interim!FZ305+Interim!FZ294)/Interim!FZ216))*10000</f>
        <v>93.9797814748217</v>
      </c>
      <c r="AF199" s="963">
        <f>((((Interim!GI222*Interim!GA296)+(Interim!GI229*Interim!GA307)+(Interim!GI236*Interim!GA318)+(Interim!GI243*Interim!GA329)+(Interim!GI250*Interim!GA340)+(Interim!GI257*Interim!GA351)+(Interim!GI264*Interim!GA362)+(Interim!GI279*Interim!GA379))/Interim!GI216)-((Interim!GA377+Interim!GA360+Interim!GA349+Interim!GA338+Interim!GA327+Interim!GA316+Interim!GA305+Interim!GA294)/Interim!GA216))*10000</f>
        <v>-26.2926282135639</v>
      </c>
      <c r="AG199" s="963">
        <f>((((Interim!GJ222*Interim!GB296)+(Interim!GJ229*Interim!GB307)+(Interim!GJ236*Interim!GB318)+(Interim!GJ243*Interim!GB329)+(Interim!GJ250*Interim!GB340)+(Interim!GJ257*Interim!GB351)+(Interim!GJ264*Interim!GB362)+(Interim!GJ279*Interim!GB379))/Interim!GJ216)-((Interim!GB377+Interim!GB360+Interim!GB349+Interim!GB338+Interim!GB327+Interim!GB316+Interim!GB305+Interim!GB294)/Interim!GB216))*10000</f>
        <v>11.5430349600404</v>
      </c>
      <c r="AH199" s="963">
        <f>((((Interim!GK222*Interim!GC296)+(Interim!GK229*Interim!GC307)+(Interim!GK236*Interim!GC318)+(Interim!GK243*Interim!GC329)+(Interim!GK250*Interim!GC340)+(Interim!GK257*Interim!GC351)+(Interim!GK264*Interim!GC362)+(Interim!GK279*Interim!GC379))/Interim!GK216)-((Interim!GC377+Interim!GC360+Interim!GC349+Interim!GC338+Interim!GC327+Interim!GC316+Interim!GC305+Interim!GC294)/Interim!GC216))*10000</f>
        <v>64.5411705584537</v>
      </c>
      <c r="AI199" s="963">
        <f>((((Interim!GL222*Interim!GD296)+(Interim!GL229*Interim!GD307)+(Interim!GL236*Interim!GD318)+(Interim!GL243*Interim!GD329)+(Interim!GL250*Interim!GD340)+(Interim!GL257*Interim!GD351)+(Interim!GL264*Interim!GD362)+(Interim!GL279*Interim!GD379))/Interim!GL216)-((Interim!GD377+Interim!GD360+Interim!GD349+Interim!GD338+Interim!GD327+Interim!GD316+Interim!GD305+Interim!GD294)/Interim!GD216))*10000</f>
        <v>30.6266065158678</v>
      </c>
      <c r="AJ199" s="963">
        <f>((((Interim!GM222*Interim!GE296)+(Interim!GM229*Interim!GE307)+(Interim!GM236*Interim!GE318)+(Interim!GM243*Interim!GE329)+(Interim!GM250*Interim!GE340)+(Interim!GM257*Interim!GE351)+(Interim!GM264*Interim!GE362)+(Interim!GM279*Interim!GE379))/Interim!GM216)-((Interim!GE377+Interim!GE360+Interim!GE349+Interim!GE338+Interim!GE327+Interim!GE316+Interim!GE305+Interim!GE294)/Interim!GE216))*10000</f>
        <v>-0.51875896933784</v>
      </c>
      <c r="AK199" s="963">
        <f>((((Interim!GN222*Interim!GF296)+(Interim!GN229*Interim!GF307)+(Interim!GN236*Interim!GF318)+(Interim!GN243*Interim!GF329)+(Interim!GN250*Interim!GF340)+(Interim!GN257*Interim!GF351)+(Interim!GN264*Interim!GF362)+(Interim!GN279*Interim!GF379))/Interim!GN216)-((Interim!GF377+Interim!GF360+Interim!GF349+Interim!GF338+Interim!GF327+Interim!GF316+Interim!GF305+Interim!GF294)/Interim!GF216))*10000</f>
        <v>16.3463863380076</v>
      </c>
      <c r="AL199" s="963">
        <f>((((Interim!GO222*Interim!GG296)+(Interim!GO229*Interim!GG307)+(Interim!GO236*Interim!GG318)+(Interim!GO243*Interim!GG329)+(Interim!GO250*Interim!GG340)+(Interim!GO257*Interim!GG351)+(Interim!GO264*Interim!GG362)+(Interim!GO279*Interim!GG379))/Interim!GO216)-((Interim!GG377+Interim!GG360+Interim!GG349+Interim!GG338+Interim!GG327+Interim!GG316+Interim!GG305+Interim!GG294)/Interim!GG216))*10000</f>
        <v>-12.9047788149206</v>
      </c>
    </row>
    <row r="200" spans="1:46">
      <c r="B200" s="137" t="s">
        <v>741</v>
      </c>
      <c r="C200" s="963">
        <f>((((Interim!FF271*Interim!EX371)+(Interim!FF275*Interim!EX374))/(Interim!FF271+Interim!FF275))-(((Interim!EX271*Interim!EX371)+(Interim!EX275*Interim!EX374))/(Interim!EX271+Interim!EX275)))*10000</f>
        <v>2.2240833439463</v>
      </c>
      <c r="D200" s="963">
        <f>((((Interim!FG271*Interim!EY371)+(Interim!FG275*Interim!EY374))/(Interim!FG271+Interim!FG275))-(((Interim!EY271*Interim!EY371)+(Interim!EY275*Interim!EY374))/(Interim!EY271+Interim!EY275)))*10000</f>
        <v>1.09213048567425</v>
      </c>
      <c r="E200" s="963">
        <f>((((Interim!FH271*Interim!EZ371)+(Interim!FH275*Interim!EZ374))/(Interim!FH271+Interim!FH275))-(((Interim!EZ271*Interim!EZ371)+(Interim!EZ275*Interim!EZ374))/(Interim!EZ271+Interim!EZ275)))*10000</f>
        <v>1.70231842910595</v>
      </c>
      <c r="F200" s="963">
        <f>((((Interim!FI271*Interim!FA371)+(Interim!FI275*Interim!FA374))/(Interim!FI271+Interim!FI275))-(((Interim!FA271*Interim!FA371)+(Interim!FA275*Interim!FA374))/(Interim!FA271+Interim!FA275)))*10000</f>
        <v>9.50959464863399</v>
      </c>
      <c r="G200" s="963">
        <f>((((Interim!FJ271*Interim!FB371)+(Interim!FJ275*Interim!FB374))/(Interim!FJ271+Interim!FJ275))-(((Interim!FB271*Interim!FB371)+(Interim!FB275*Interim!FB374))/(Interim!FB271+Interim!FB275)))*10000</f>
        <v>4.57121032211905</v>
      </c>
      <c r="H200" s="963">
        <f>((((Interim!FK271*Interim!FC371)+(Interim!FK275*Interim!FC374))/(Interim!FK271+Interim!FK275))-(((Interim!FC271*Interim!FC371)+(Interim!FC275*Interim!FC374))/(Interim!FC271+Interim!FC275)))*10000</f>
        <v>11.9615842000004</v>
      </c>
      <c r="I200" s="963">
        <f>((((Interim!FL271*Interim!FD371)+(Interim!FL275*Interim!FD374))/(Interim!FL271+Interim!FL275))-(((Interim!FD271*Interim!FD371)+(Interim!FD275*Interim!FD374))/(Interim!FD271+Interim!FD275)))*10000</f>
        <v>10.8616640424164</v>
      </c>
      <c r="J200" s="963">
        <f>((((Interim!FM271*Interim!FE371)+(Interim!FM275*Interim!FE374))/(Interim!FM271+Interim!FM275))-(((Interim!FE271*Interim!FE371)+(Interim!FE275*Interim!FE374))/(Interim!FE271+Interim!FE275)))*10000</f>
        <v>6.15936190021482</v>
      </c>
      <c r="K200" s="963">
        <f>((((Interim!FN271*Interim!FF371)+(Interim!FN275*Interim!FF374))/(Interim!FN271+Interim!FN275))-(((Interim!FF271*Interim!FF371)+(Interim!FF275*Interim!FF374))/(Interim!FF271+Interim!FF275)))*10000</f>
        <v>15.6246147181821</v>
      </c>
      <c r="L200" s="963">
        <f>((((Interim!FO271*Interim!FG371)+(Interim!FO275*Interim!FG374))/(Interim!FO271+Interim!FO275))-(((Interim!FG271*Interim!FG371)+(Interim!FG275*Interim!FG374))/(Interim!FG271+Interim!FG275)))*10000</f>
        <v>14.3634252471825</v>
      </c>
      <c r="M200" s="963">
        <f>((((Interim!FP271*Interim!FH371)+(Interim!FP275*Interim!FH374))/(Interim!FP271+Interim!FP275))-(((Interim!FH271*Interim!FH371)+(Interim!FH275*Interim!FH374))/(Interim!FH271+Interim!FH275)))*10000</f>
        <v>15.0494821183589</v>
      </c>
      <c r="N200" s="963">
        <f>((((Interim!FQ271*Interim!FI371)+(Interim!FQ275*Interim!FI374))/(Interim!FQ271+Interim!FQ275))-(((Interim!FI271*Interim!FI371)+(Interim!FI275*Interim!FI374))/(Interim!FI271+Interim!FI275)))*10000</f>
        <v>10.3011093502375</v>
      </c>
      <c r="O200" s="963">
        <f>((((Interim!FR271*Interim!FJ371)+(Interim!FR275*Interim!FJ374))/(Interim!FR271+Interim!FR275))-(((Interim!FJ271*Interim!FJ371)+(Interim!FJ275*Interim!FJ374))/(Interim!FJ271+Interim!FJ275)))*10000</f>
        <v>13.4082271122482</v>
      </c>
      <c r="P200" s="963">
        <f>((((Interim!FS271*Interim!FK371)+(Interim!FS275*Interim!FK374))/(Interim!FS271+Interim!FS275))-(((Interim!FK271*Interim!FK371)+(Interim!FK275*Interim!FK374))/(Interim!FK271+Interim!FK275)))*10000</f>
        <v>13.809740442568</v>
      </c>
      <c r="Q200" s="963">
        <f>((((Interim!FT271*Interim!FL371)+(Interim!FT275*Interim!FL374))/(Interim!FT271+Interim!FT275))-(((Interim!FL271*Interim!FL371)+(Interim!FL275*Interim!FL374))/(Interim!FL271+Interim!FL275)))*10000</f>
        <v>11.9163052101617</v>
      </c>
      <c r="R200" s="963">
        <f>((((Interim!FU271*Interim!FM371)+(Interim!FU275*Interim!FM374))/(Interim!FU271+Interim!FU275))-(((Interim!FM271*Interim!FM371)+(Interim!FM275*Interim!FM374))/(Interim!FM271+Interim!FM275)))*10000</f>
        <v>13.5676137537266</v>
      </c>
      <c r="S200" s="963">
        <f>((((Interim!FV271*Interim!FN371)+(Interim!FV275*Interim!FN374))/(Interim!FV271+Interim!FV275))-(((Interim!FN271*Interim!FN371)+(Interim!FN275*Interim!FN374))/(Interim!FN271+Interim!FN275)))*10000</f>
        <v>1.25697032195393</v>
      </c>
      <c r="T200" s="963">
        <f>((((Interim!FW271*Interim!FO371)+(Interim!FW275*Interim!FO374))/(Interim!FW271+Interim!FW275))-(((Interim!FO271*Interim!FO371)+(Interim!FO275*Interim!FO374))/(Interim!FO271+Interim!FO275)))*10000</f>
        <v>9.62676617933922</v>
      </c>
      <c r="U200" s="963">
        <f>((((Interim!FX271*Interim!FP371)+(Interim!FX275*Interim!FP374))/Interim!FX216)-(((Interim!FP271*Interim!FP371)+(Interim!FP275*Interim!FP374))/Interim!FP216))*10000</f>
        <v>219.707091670706</v>
      </c>
      <c r="V200" s="963">
        <f>((((Interim!FY271*Interim!FQ371)+(Interim!FY275*Interim!FQ374))/(Interim!FY271+Interim!FY275))-(((Interim!FQ271*Interim!FQ371)+(Interim!FQ275*Interim!FQ374))/(Interim!FQ271+Interim!FQ275)))*10000</f>
        <v>8.26591782853936</v>
      </c>
      <c r="X200" s="963">
        <f>((((Interim!GA271*Interim!FS371)+(Interim!GA275*Interim!FS374))/(Interim!GA271+Interim!GA275))-(((Interim!FS271*Interim!FS371)+(Interim!FS275*Interim!FS374))/(Interim!FS271+Interim!FS275)))*10000</f>
        <v>19.9123430593345</v>
      </c>
      <c r="Y200" s="963">
        <f>((((Interim!GB271*Interim!FT371)+(Interim!GB275*Interim!FT374))/(Interim!GB271+Interim!GB275))-(((Interim!FT271*Interim!FT371)+(Interim!FT275*Interim!FT374))/(Interim!FT271+Interim!FT275)))*10000</f>
        <v>13.2673203835026</v>
      </c>
      <c r="Z200" s="963">
        <f>((((Interim!GC271*Interim!FU371)+(Interim!GC275*Interim!FU374))/(Interim!GC271+Interim!GC275))-(((Interim!FU271*Interim!FU371)+(Interim!FU275*Interim!FU374))/(Interim!FU271+Interim!FU275)))*10000</f>
        <v>9.37667453063784</v>
      </c>
      <c r="AA200" s="963">
        <f>((((Interim!GD271*Interim!FV371)+(Interim!GD275*Interim!FV374))/(Interim!GD271+Interim!GD275))-(((Interim!FV271*Interim!FV371)+(Interim!FV275*Interim!FV374))/(Interim!FV271+Interim!FV275)))*10000</f>
        <v>9.506075505889</v>
      </c>
      <c r="AB200" s="963">
        <f>((((Interim!GE271*Interim!FW371)+(Interim!GE275*Interim!FW374))/(Interim!GE271+Interim!GE275))-(((Interim!FW271*Interim!FW371)+(Interim!FW275*Interim!FW374))/(Interim!FW271+Interim!FW275)))*10000</f>
        <v>8.35746390386694</v>
      </c>
      <c r="AC200" s="963">
        <f>((((Interim!GF271*Interim!FX371)+(Interim!GF275*Interim!FX374))/(Interim!GF271+Interim!GF275))-(((Interim!FX271*Interim!FX371)+(Interim!FX275*Interim!FX374))/(Interim!FX271+Interim!FX275)))*10000</f>
        <v>9.03282367358371</v>
      </c>
      <c r="AD200" s="963">
        <f>((((Interim!GG271*Interim!FY371)+(Interim!GG275*Interim!FY374))/(Interim!GG271+Interim!GG275))-(((Interim!FY271*Interim!FY371)+(Interim!FY275*Interim!FY374))/(Interim!FY271+Interim!FY275)))*10000</f>
        <v>7.11305643509019</v>
      </c>
      <c r="AE200" s="963">
        <f>((((Interim!GH271*Interim!FZ371)+(Interim!GH275*Interim!FZ374))/(Interim!GH271+Interim!GH275))-(((Interim!FZ271*Interim!FZ371)+(Interim!FZ275*Interim!FZ374))/(Interim!FZ271+Interim!FZ275)))*10000</f>
        <v>8.35029965969236</v>
      </c>
      <c r="AF200" s="963">
        <f>((((Interim!GI271*Interim!GA371)+(Interim!GI275*Interim!GA374))/(Interim!GI271+Interim!GI275))-(((Interim!GA271*Interim!GA371)+(Interim!GA275*Interim!GA374))/(Interim!GA271+Interim!GA275)))*10000</f>
        <v>2.2860130412361</v>
      </c>
      <c r="AG200" s="963">
        <f>((((Interim!GJ271*Interim!GB371)+(Interim!GJ275*Interim!GB374))/(Interim!GJ271+Interim!GJ275))-(((Interim!GB271*Interim!GB371)+(Interim!GB275*Interim!GB374))/(Interim!GB271+Interim!GB275)))*10000</f>
        <v>4.73412954570651</v>
      </c>
      <c r="AH200" s="963">
        <f>((((Interim!GK271*Interim!GC371)+(Interim!GK275*Interim!GC374))/(Interim!GK271+Interim!GK275))-(((Interim!GC271*Interim!GC371)+(Interim!GC275*Interim!GC374))/(Interim!GC271+Interim!GC275)))*10000</f>
        <v>6.70112077154339</v>
      </c>
      <c r="AI200" s="963">
        <f>((((Interim!GL271*Interim!GD371)+(Interim!GL275*Interim!GD374))/(Interim!GL271+Interim!GL275))-(((Interim!GD271*Interim!GD371)+(Interim!GD275*Interim!GD374))/(Interim!GD271+Interim!GD275)))*10000</f>
        <v>4.97099894534392</v>
      </c>
      <c r="AJ200" s="963">
        <f>((((Interim!GM271*Interim!GE371)+(Interim!GM275*Interim!GE374))/(Interim!GM271+Interim!GM275))-(((Interim!GE271*Interim!GE371)+(Interim!GE275*Interim!GE374))/(Interim!GE271+Interim!GE275)))*10000</f>
        <v>0.169891596228378</v>
      </c>
      <c r="AK200" s="963">
        <f>((((Interim!GN271*Interim!GF371)+(Interim!GN275*Interim!GF374))/(Interim!GN271+Interim!GN275))-(((Interim!GF271*Interim!GF371)+(Interim!GF275*Interim!GF374))/(Interim!GF271+Interim!GF275)))*10000</f>
        <v>2.38651472589946</v>
      </c>
      <c r="AL200" s="963">
        <f>((((Interim!GO271*Interim!GG371)+(Interim!GO275*Interim!GG374))/(Interim!GO271+Interim!GO275))-(((Interim!GG271*Interim!GG371)+(Interim!GG275*Interim!GG374))/(Interim!GG271+Interim!GG275)))*10000</f>
        <v>1.78779771016435</v>
      </c>
    </row>
    <row r="201" spans="1:46">
      <c r="B201" s="137" t="s">
        <v>742</v>
      </c>
      <c r="C201" s="963">
        <f>((((Interim!FF5*Interim!EX35)+(Interim!FF10*Interim!EX38)+(Interim!FF21*Interim!EX44))/Interim!FF26)-(((Interim!EX35*Interim!EX5)+(Interim!EX38*Interim!EX10)+(Interim!EX44*Interim!EX21))/Interim!EX26))*10000</f>
        <v>-1.33506765468472</v>
      </c>
      <c r="D201" s="963">
        <f>((((Interim!FG5*Interim!EY35)+(Interim!FG10*Interim!EY38)+(Interim!FG21*Interim!EY44))/Interim!FG26)-(((Interim!EY35*Interim!EY5)+(Interim!EY38*Interim!EY10)+(Interim!EY44*Interim!EY21))/Interim!EY26))*10000</f>
        <v>-75.3291241469678</v>
      </c>
      <c r="E201" s="963">
        <f>((((Interim!FH5*Interim!EZ35)+(Interim!FH10*Interim!EZ38)+(Interim!FH21*Interim!EZ44))/Interim!FH26)-(((Interim!EZ35*Interim!EZ5)+(Interim!EZ38*Interim!EZ10)+(Interim!EZ44*Interim!EZ21))/Interim!EZ26))*10000</f>
        <v>-73.7377684607826</v>
      </c>
      <c r="F201" s="963">
        <f>((((Interim!FI5*Interim!FA35)+(Interim!FI10*Interim!FA38)+(Interim!FI21*Interim!FA44))/Interim!FI26)-(((Interim!FA35*Interim!FA5)+(Interim!FA38*Interim!FA10)+(Interim!FA44*Interim!FA21))/Interim!FA26))*10000</f>
        <v>-86.3546304840168</v>
      </c>
      <c r="G201" s="963">
        <f>((((Interim!FJ5*Interim!FB35)+(Interim!FJ10*Interim!FB38)+(Interim!FJ21*Interim!FB44))/Interim!FJ26)-(((Interim!FB35*Interim!FB5)+(Interim!FB38*Interim!FB10)+(Interim!FB44*Interim!FB21))/Interim!FB26))*10000</f>
        <v>-78.8221956844837</v>
      </c>
      <c r="H201" s="963">
        <f>((((Interim!FK5*Interim!FC35)+(Interim!FK10*Interim!FC38)+(Interim!FK21*Interim!FC44))/Interim!FK26)-(((Interim!FC35*Interim!FC5)+(Interim!FC38*Interim!FC10)+(Interim!FC44*Interim!FC21))/Interim!FC26))*10000</f>
        <v>225.488738517211</v>
      </c>
      <c r="I201" s="963">
        <f>((((Interim!FL5*Interim!FD35)+(Interim!FL10*Interim!FD38)+(Interim!FL21*Interim!FD44))/Interim!FL26)-(((Interim!FD35*Interim!FD5)+(Interim!FD38*Interim!FD10)+(Interim!FD44*Interim!FD21))/Interim!FD26))*10000</f>
        <v>-5.19631183206026</v>
      </c>
      <c r="J201" s="963">
        <f>((((Interim!FM5*Interim!FE35)+(Interim!FM10*Interim!FE38)+(Interim!FM21*Interim!FE44))/Interim!FM26)-(((Interim!FE35*Interim!FE5)+(Interim!FE38*Interim!FE10)+(Interim!FE44*Interim!FE21))/Interim!FE26))*10000</f>
        <v>-25.4212142268573</v>
      </c>
      <c r="K201" s="963">
        <f>((((Interim!FN5*Interim!FF35)+(Interim!FN10*Interim!FF38)+(Interim!FN21*Interim!FF44))/Interim!FN26)-(((Interim!FF35*Interim!FF5)+(Interim!FF38*Interim!FF10)+(Interim!FF44*Interim!FF21))/Interim!FF26))*10000</f>
        <v>7.47423151373383</v>
      </c>
      <c r="L201" s="963">
        <f>((((Interim!FO5*Interim!FG35)+(Interim!FO10*Interim!FG38)+(Interim!FO21*Interim!FG44))/Interim!FO26)-(((Interim!FG35*Interim!FG5)+(Interim!FG38*Interim!FG10)+(Interim!FG44*Interim!FG21))/Interim!FG26))*10000</f>
        <v>0.634436711478559</v>
      </c>
      <c r="M201" s="963">
        <f>((((Interim!FP5*Interim!FH35)+(Interim!FP10*Interim!FH38)+(Interim!FP21*Interim!FH44))/Interim!FP26)-(((Interim!FH35*Interim!FH5)+(Interim!FH38*Interim!FH10)+(Interim!FH44*Interim!FH21))/Interim!FH26))*10000</f>
        <v>4.18739692299219</v>
      </c>
      <c r="N201" s="963">
        <f>((((Interim!FQ5*Interim!FI35)+(Interim!FQ10*Interim!FI38)+(Interim!FQ21*Interim!FI44))/Interim!FQ26)-(((Interim!FI35*Interim!FI5)+(Interim!FI38*Interim!FI10)+(Interim!FI44*Interim!FI21))/Interim!FI26))*10000</f>
        <v>26.3825282039282</v>
      </c>
      <c r="O201" s="963">
        <f>((((Interim!FR5*Interim!FJ35)+(Interim!FR10*Interim!FJ38)+(Interim!FR21*Interim!FJ44))/Interim!FR26)-(((Interim!FJ35*Interim!FJ5)+(Interim!FJ38*Interim!FJ10)+(Interim!FJ44*Interim!FJ21))/Interim!FJ26))*10000</f>
        <v>12.4442640033634</v>
      </c>
      <c r="P201" s="963">
        <f>((((Interim!FS5*Interim!FK35)+(Interim!FS10*Interim!FK38)+(Interim!FS21*Interim!FK44))/Interim!FS26)-(((Interim!FK35*Interim!FK5)+(Interim!FK38*Interim!FK10)+(Interim!FK44*Interim!FK21))/Interim!FK26))*10000</f>
        <v>81.4430891799339</v>
      </c>
      <c r="Q201" s="963">
        <f>((((Interim!FT5*Interim!FL35)+(Interim!FT10*Interim!FL38)+(Interim!FT21*Interim!FL44))/Interim!FT26)-(((Interim!FL35*Interim!FL5)+(Interim!FL38*Interim!FL10)+(Interim!FL44*Interim!FL21))/Interim!FL26))*10000</f>
        <v>50.8348987155816</v>
      </c>
      <c r="R201" s="963">
        <f>((((Interim!FU5*Interim!FM35)+(Interim!FU10*Interim!FM38)+(Interim!FU21*Interim!FM44))/Interim!FU26)-(((Interim!FM35*Interim!FM5)+(Interim!FM38*Interim!FM10)+(Interim!FM44*Interim!FM21))/Interim!FM26))*10000</f>
        <v>27.8547641934779</v>
      </c>
      <c r="S201" s="963">
        <f>((((Interim!FV5*Interim!FN35)+(Interim!FV10*Interim!FN38)+(Interim!FV21*Interim!FN44))/Interim!FV26)-(((Interim!FN35*Interim!FN5)+(Interim!FN38*Interim!FN10)+(Interim!FN44*Interim!FN21))/Interim!FN26))*10000</f>
        <v>76.7470286971716</v>
      </c>
      <c r="T201" s="963">
        <f>((((Interim!FW5*Interim!FO35)+(Interim!FW10*Interim!FO38)+(Interim!FW21*Interim!FO44))/Interim!FW26)-(((Interim!FO35*Interim!FO5)+(Interim!FO38*Interim!FO10)+(Interim!FO44*Interim!FO21))/Interim!FO26))*10000</f>
        <v>65.6871368933526</v>
      </c>
      <c r="U201" s="963">
        <f>((((Interim!FX5*Interim!FP35)+(Interim!FX10*Interim!FP38)+(Interim!FX21*Interim!FP44))/Interim!FX26)-(((Interim!FP35*Interim!FP5)+(Interim!FP38*Interim!FP10)+(Interim!FP44*Interim!FP21))/Interim!FP26))*10000</f>
        <v>70.9916390351434</v>
      </c>
      <c r="V201" s="963">
        <f>((((Interim!FY5*0.455)+(Interim!FY10*0.614)+(Interim!FY21*Interim!FQ44))/Interim!FY26)-(((0.455*Interim!FQ5)+(0.614*Interim!FQ10)+(Interim!FQ44*Interim!FQ21))/Interim!FQ26))*10000</f>
        <v>32.4144678802718</v>
      </c>
      <c r="X201" s="963">
        <f>((((Interim!GA5*0.455)+(Interim!GA10*0.614)+(Interim!GA21*Interim!FS44))/Interim!GA26)-(((0.455*Interim!FS5)+(0.614*Interim!FS10)+(Interim!FS44*Interim!FS21))/Interim!FS26))*10000</f>
        <v>74.5007921522228</v>
      </c>
      <c r="Y201" s="963">
        <f>((((Interim!GB5*0.455)+(Interim!GB10*0.614)+(Interim!GB21*Interim!FT44))/Interim!GB26)-(((0.455*Interim!FT5)+(0.614*Interim!FT10)+(Interim!FT44*Interim!FT21))/Interim!FT26))*10000</f>
        <v>52.6358770091717</v>
      </c>
      <c r="Z201" s="963">
        <f>((((Interim!GC5*0.455)+(Interim!GC10*0.614)+(Interim!GC21*Interim!FU44))/Interim!GC26)-(((0.455*Interim!FU5)+(0.614*Interim!FU10)+(Interim!FU44*Interim!FU21))/Interim!FU26))*10000</f>
        <v>60.0174934217373</v>
      </c>
      <c r="AA201" s="963">
        <f>((((Interim!GD5*0.455)+(Interim!GD10*0.614)+(Interim!GD21*Interim!FV44))/Interim!GD26)-(((0.455*Interim!FV5)+(0.614*Interim!FV10)+(Interim!FV44*Interim!FV21))/Interim!FV26))*10000</f>
        <v>5.57267029387631</v>
      </c>
      <c r="AB201" s="963">
        <f>((((Interim!GE5*0.455)+(Interim!GE10*0.614)+(Interim!GE21*Interim!FW44))/Interim!GE26)-(((0.455*Interim!FW5)+(0.614*Interim!FW10)+(Interim!FW44*Interim!FW21))/Interim!FW26))*10000</f>
        <v>13.6976952730056</v>
      </c>
      <c r="AC201" s="963">
        <f>((((Interim!GF5*0.455)+(Interim!GF10*0.614)+(Interim!GF21*Interim!FX44))/Interim!GF26)-(((0.455*Interim!FX5)+(0.614*Interim!FX10)+(Interim!FX44*Interim!FX21))/Interim!FX26))*10000</f>
        <v>9.99617274375531</v>
      </c>
      <c r="AD201" s="963">
        <f>((((Interim!GG5*0.455)+(Interim!GG10*0.614)+(Interim!GG21*Interim!FY44))/Interim!GG26)-(((0.455*Interim!FY5)+(0.614*Interim!FY10)+(Interim!FY44*Interim!FY21))/Interim!FY26))*10000</f>
        <v>57.508286578854</v>
      </c>
      <c r="AE201" s="963">
        <f>((((Interim!GH5*0.455)+(Interim!GH10*0.614)+(Interim!GH21*Interim!FZ44))/Interim!GH26)-(((0.455*Interim!FZ5)+(0.614*Interim!FZ10)+(Interim!FZ44*Interim!FZ21))/Interim!FZ26))*10000</f>
        <v>27.6819523226518</v>
      </c>
      <c r="AF201" s="963">
        <f>((((Interim!GI5*0.455)+(Interim!GI10*0.614)+(Interim!GI21*Interim!GA44))/Interim!GI26)-(((0.455*Interim!GA5)+(0.614*Interim!GA10)+(Interim!GA44*Interim!GA21))/Interim!GA26))*10000</f>
        <v>35.1166463333086</v>
      </c>
      <c r="AG201" s="963">
        <f>((((Interim!GJ5*0.455)+(Interim!GJ10*0.614)+(Interim!GJ21*Interim!GB44))/Interim!GJ26)-(((0.455*Interim!GB5)+(0.614*Interim!GB10)+(Interim!GB44*Interim!GB21))/Interim!GB26))*10000</f>
        <v>46.4671452571291</v>
      </c>
      <c r="AH201" s="963">
        <f>((((Interim!GK5*0.455)+(Interim!GK10*0.614)+(Interim!GK21*Interim!GC44))/Interim!GK26)-(((0.455*Interim!GC5)+(0.614*Interim!GC10)+(Interim!GC44*Interim!GC21))/Interim!GC26))*10000</f>
        <v>29.6700807370143</v>
      </c>
      <c r="AI201" s="963">
        <f>((((Interim!GL5*0.455)+(Interim!GL10*0.614)+(Interim!GL21*Interim!GD44))/Interim!GL26)-(((0.455*Interim!GD5)+(0.614*Interim!GD10)+(Interim!GD44*Interim!GD21))/Interim!GD26))*10000</f>
        <v>50.1194167668229</v>
      </c>
      <c r="AJ201" s="963">
        <f>((((Interim!GM5*0.455)+(Interim!GM10*0.614)+(Interim!GM21*Interim!GE44))/Interim!GM26)-(((0.455*Interim!GE5)+(0.614*Interim!GE10)+(Interim!GE44*Interim!GE21))/Interim!GE26))*10000</f>
        <v>57.6813998206704</v>
      </c>
      <c r="AK201" s="963">
        <f>((((Interim!GN5*0.455)+(Interim!GN10*0.614)+(Interim!GN21*Interim!GF44))/Interim!GN26)-(((0.455*Interim!GF5)+(0.614*Interim!GF10)+(Interim!GF44*Interim!GF21))/Interim!GF26))*10000</f>
        <v>54.6655253992073</v>
      </c>
      <c r="AL201" s="963">
        <f>((((Interim!GO5*0.455)+(Interim!GO10*0.614)+(Interim!GO21*Interim!GG44))/Interim!GO26)-(((0.455*Interim!GG5)+(0.614*Interim!GG10)+(Interim!GG44*Interim!GG21))/Interim!GG26))*10000</f>
        <v>10.5652660252353</v>
      </c>
      <c r="AN201" s="963"/>
    </row>
    <row r="203" spans="1:46">
      <c r="AO203" s="137" t="s">
        <v>132</v>
      </c>
      <c r="AQ203" s="719" t="s">
        <v>416</v>
      </c>
      <c r="AR203" s="719"/>
      <c r="AS203" s="719"/>
      <c r="AT203" s="719" t="s">
        <v>424</v>
      </c>
    </row>
    <row r="204" spans="1:46">
      <c r="A204" s="137" t="s">
        <v>743</v>
      </c>
      <c r="C204" s="966" t="s">
        <v>407</v>
      </c>
      <c r="D204" s="966" t="s">
        <v>415</v>
      </c>
      <c r="E204" s="966"/>
      <c r="F204" s="966" t="s">
        <v>423</v>
      </c>
      <c r="G204" s="966"/>
      <c r="H204" s="966" t="s">
        <v>431</v>
      </c>
      <c r="I204" s="966"/>
      <c r="J204" s="966"/>
      <c r="K204" s="966" t="s">
        <v>439</v>
      </c>
      <c r="L204" s="966" t="s">
        <v>447</v>
      </c>
      <c r="M204" s="966"/>
      <c r="N204" s="966" t="s">
        <v>455</v>
      </c>
      <c r="O204" s="962"/>
      <c r="P204" s="966" t="s">
        <v>463</v>
      </c>
      <c r="S204" s="966" t="s">
        <v>744</v>
      </c>
      <c r="T204" s="966" t="s">
        <v>745</v>
      </c>
      <c r="U204" s="966" t="s">
        <v>522</v>
      </c>
      <c r="V204" s="966"/>
      <c r="Y204" s="137" t="s">
        <v>552</v>
      </c>
      <c r="AA204" s="137" t="s">
        <v>746</v>
      </c>
      <c r="AC204" s="137" t="s">
        <v>747</v>
      </c>
      <c r="AD204" s="137" t="s">
        <v>748</v>
      </c>
      <c r="AE204" s="137" t="s">
        <v>749</v>
      </c>
      <c r="AF204" s="960" t="s">
        <v>750</v>
      </c>
      <c r="AG204" s="137" t="s">
        <v>553</v>
      </c>
      <c r="AI204" s="960" t="s">
        <v>751</v>
      </c>
      <c r="AK204" s="137" t="s">
        <v>212</v>
      </c>
      <c r="AL204" s="137" t="s">
        <v>212</v>
      </c>
      <c r="AO204" s="137" t="s">
        <v>552</v>
      </c>
      <c r="AQ204" s="138">
        <v>0.216</v>
      </c>
      <c r="AR204" s="138"/>
      <c r="AS204" s="138"/>
      <c r="AT204" s="138">
        <f>AQ204</f>
        <v>0.216</v>
      </c>
    </row>
    <row r="205" ht="16.8" spans="1:46">
      <c r="B205" s="137" t="s">
        <v>552</v>
      </c>
      <c r="C205" s="717">
        <f>'Profit and Loss'!V100</f>
        <v>0.173780384919589</v>
      </c>
      <c r="D205" s="717">
        <f>'Profit and Loss'!W100</f>
        <v>0.196584049350077</v>
      </c>
      <c r="E205" s="717"/>
      <c r="F205" s="717">
        <f>'Profit and Loss'!X100</f>
        <v>0.127488137670535</v>
      </c>
      <c r="G205" s="717"/>
      <c r="H205" s="717">
        <f>'Profit and Loss'!Y100</f>
        <v>-0.00419949121575084</v>
      </c>
      <c r="I205" s="717"/>
      <c r="J205" s="717"/>
      <c r="K205" s="717">
        <f>'Profit and Loss'!Z100</f>
        <v>0.0305633922501697</v>
      </c>
      <c r="L205" s="717">
        <f>'Profit and Loss'!AA100</f>
        <v>-0.118624117586989</v>
      </c>
      <c r="M205" s="717"/>
      <c r="N205" s="717">
        <f>'Profit and Loss'!AB100</f>
        <v>0.23854644895371</v>
      </c>
      <c r="P205" s="717">
        <f>'Profit and Loss'!AC100</f>
        <v>0.0877829896907216</v>
      </c>
      <c r="S205" s="717">
        <f>'Profit and Loss'!AD100</f>
        <v>-0.0382663157894737</v>
      </c>
      <c r="T205" s="717">
        <f>'Profit and Loss'!AE100</f>
        <v>0.201537656390547</v>
      </c>
      <c r="U205" s="717">
        <f>'Profit and Loss'!AF100</f>
        <v>0.103623620991408</v>
      </c>
      <c r="V205" s="717"/>
      <c r="W205" s="967" t="s">
        <v>752</v>
      </c>
      <c r="Y205" s="137">
        <v>0</v>
      </c>
      <c r="AA205" s="137">
        <v>-40</v>
      </c>
      <c r="AD205" s="137">
        <v>650</v>
      </c>
      <c r="AE205" s="137">
        <v>-20</v>
      </c>
      <c r="AG205" s="137">
        <v>720</v>
      </c>
      <c r="AI205" s="137">
        <v>210</v>
      </c>
      <c r="AL205" s="137">
        <v>180</v>
      </c>
      <c r="AO205" s="137" t="s">
        <v>746</v>
      </c>
      <c r="AQ205" s="138">
        <v>0.098</v>
      </c>
      <c r="AR205" s="138"/>
      <c r="AS205" s="138"/>
      <c r="AT205" s="138">
        <v>0.095</v>
      </c>
    </row>
    <row r="206" ht="16.8" spans="1:46">
      <c r="B206" s="137" t="s">
        <v>746</v>
      </c>
      <c r="C206" s="717">
        <f>'Profit and Loss'!V105</f>
        <v>0.0534077582318448</v>
      </c>
      <c r="D206" s="717">
        <f>'Profit and Loss'!W105</f>
        <v>0.240575163398693</v>
      </c>
      <c r="E206" s="717"/>
      <c r="F206" s="717">
        <f>'Profit and Loss'!X105</f>
        <v>0.274587045720985</v>
      </c>
      <c r="G206" s="717"/>
      <c r="H206" s="717">
        <f>'Profit and Loss'!Y105</f>
        <v>0.152588070175439</v>
      </c>
      <c r="I206" s="717"/>
      <c r="J206" s="717"/>
      <c r="K206" s="717">
        <f>'Profit and Loss'!Z105</f>
        <v>0.0750964163822525</v>
      </c>
      <c r="L206" s="717">
        <f>'Profit and Loss'!AA105</f>
        <v>-0.0855628157619744</v>
      </c>
      <c r="M206" s="717"/>
      <c r="N206" s="717">
        <f>'Profit and Loss'!AB105</f>
        <v>0.174993803938924</v>
      </c>
      <c r="P206" s="717">
        <f>'Profit and Loss'!AC105</f>
        <v>0.118805288932419</v>
      </c>
      <c r="S206" s="717">
        <f>'Profit and Loss'!AD105</f>
        <v>-0.203205689277899</v>
      </c>
      <c r="T206" s="717">
        <f>'Profit and Loss'!AE105</f>
        <v>0.0181403798513625</v>
      </c>
      <c r="U206" s="717">
        <f>'Profit and Loss'!AF105</f>
        <v>0.0943084933540924</v>
      </c>
      <c r="V206" s="717"/>
      <c r="W206" s="967" t="s">
        <v>753</v>
      </c>
      <c r="Y206" s="137">
        <v>100</v>
      </c>
      <c r="AA206" s="137">
        <v>-30</v>
      </c>
      <c r="AD206" s="137">
        <v>450</v>
      </c>
      <c r="AE206" s="137">
        <v>20</v>
      </c>
      <c r="AG206" s="137">
        <v>560</v>
      </c>
      <c r="AI206" s="137">
        <v>370</v>
      </c>
      <c r="AL206" s="137">
        <v>150</v>
      </c>
      <c r="AO206" s="137" t="s">
        <v>747</v>
      </c>
      <c r="AQ206" s="138">
        <v>0.109</v>
      </c>
      <c r="AR206" s="138"/>
      <c r="AS206" s="138"/>
      <c r="AT206" s="138">
        <v>0.173</v>
      </c>
    </row>
    <row r="207" ht="16.8" spans="1:46">
      <c r="B207" s="137" t="s">
        <v>747</v>
      </c>
      <c r="C207" s="717">
        <f>'Profit and Loss'!V110</f>
        <v>0.120529776674938</v>
      </c>
      <c r="D207" s="717">
        <f>'Profit and Loss'!W110</f>
        <v>0.159339315759955</v>
      </c>
      <c r="E207" s="717"/>
      <c r="F207" s="717">
        <f>'Profit and Loss'!X110</f>
        <v>0.125567302137493</v>
      </c>
      <c r="G207" s="717"/>
      <c r="H207" s="717">
        <f>'Profit and Loss'!Y110</f>
        <v>0.0565196643943366</v>
      </c>
      <c r="I207" s="717"/>
      <c r="J207" s="717"/>
      <c r="K207" s="717">
        <f>'Profit and Loss'!Z110</f>
        <v>0.0736120024494796</v>
      </c>
      <c r="L207" s="717">
        <f>'Profit and Loss'!AA110</f>
        <v>-0.161409638554217</v>
      </c>
      <c r="M207" s="717"/>
      <c r="N207" s="717">
        <f>'Profit and Loss'!AB110</f>
        <v>0.453463768115942</v>
      </c>
      <c r="P207" s="717">
        <f>'Profit and Loss'!AC110</f>
        <v>0.437850725639254</v>
      </c>
      <c r="S207" s="717">
        <f>'Profit and Loss'!AD110</f>
        <v>0.165880802551536</v>
      </c>
      <c r="T207" s="717">
        <f>'Profit and Loss'!AE110</f>
        <v>0.280451767786992</v>
      </c>
      <c r="U207" s="717">
        <f>'Profit and Loss'!AF110</f>
        <v>0.21770919553204</v>
      </c>
      <c r="V207" s="717"/>
      <c r="W207" s="967" t="s">
        <v>754</v>
      </c>
      <c r="Y207" s="137">
        <f>Y205-Y206</f>
        <v>-100</v>
      </c>
      <c r="AA207" s="137">
        <f t="shared" ref="AA207:AL207" si="68">AA205-AA206</f>
        <v>-10</v>
      </c>
      <c r="AB207" s="137">
        <f t="shared" si="68"/>
        <v>0</v>
      </c>
      <c r="AC207" s="137">
        <f t="shared" si="68"/>
        <v>0</v>
      </c>
      <c r="AD207" s="137">
        <f t="shared" si="68"/>
        <v>200</v>
      </c>
      <c r="AE207" s="137">
        <f t="shared" si="68"/>
        <v>-40</v>
      </c>
      <c r="AF207" s="137">
        <f t="shared" si="68"/>
        <v>0</v>
      </c>
      <c r="AG207" s="137">
        <f t="shared" si="68"/>
        <v>160</v>
      </c>
      <c r="AH207" s="137">
        <f t="shared" si="68"/>
        <v>0</v>
      </c>
      <c r="AI207" s="137">
        <f t="shared" si="68"/>
        <v>-160</v>
      </c>
      <c r="AJ207" s="137">
        <f t="shared" si="68"/>
        <v>0</v>
      </c>
      <c r="AK207" s="137">
        <f t="shared" si="68"/>
        <v>0</v>
      </c>
      <c r="AL207" s="137">
        <f t="shared" si="68"/>
        <v>30</v>
      </c>
      <c r="AO207" s="960" t="s">
        <v>750</v>
      </c>
      <c r="AQ207" s="138">
        <v>0.358</v>
      </c>
      <c r="AR207" s="138"/>
      <c r="AS207" s="138"/>
      <c r="AT207" s="138">
        <v>0.357</v>
      </c>
    </row>
    <row r="208" spans="1:46">
      <c r="B208" s="960" t="s">
        <v>755</v>
      </c>
      <c r="C208" s="717">
        <f>'Profit and Loss'!V115</f>
        <v>0.175889137737962</v>
      </c>
      <c r="D208" s="717">
        <f>'Profit and Loss'!W115</f>
        <v>0.275063183475091</v>
      </c>
      <c r="E208" s="717"/>
      <c r="F208" s="717">
        <f>'Profit and Loss'!X115</f>
        <v>0.27611196013289</v>
      </c>
      <c r="G208" s="717"/>
      <c r="H208" s="717">
        <f>'Profit and Loss'!Y115</f>
        <v>0.151671630428163</v>
      </c>
      <c r="I208" s="717"/>
      <c r="J208" s="717"/>
      <c r="K208" s="717">
        <f>'Profit and Loss'!Z115</f>
        <v>0.100579190589553</v>
      </c>
      <c r="L208" s="717">
        <f>'Profit and Loss'!AA115</f>
        <v>-0.171865850287277</v>
      </c>
      <c r="M208" s="717"/>
      <c r="N208" s="717">
        <f>'Profit and Loss'!AB115</f>
        <v>0.0414880239520958</v>
      </c>
      <c r="P208" s="717">
        <f>'Profit and Loss'!AC115</f>
        <v>-0.361017185120731</v>
      </c>
      <c r="S208" s="717">
        <f>'Profit and Loss'!AD115</f>
        <v>0.0521315289194028</v>
      </c>
      <c r="T208" s="717">
        <f>'Profit and Loss'!AE115</f>
        <v>0.0893526315789474</v>
      </c>
      <c r="U208" s="717">
        <f>'Profit and Loss'!AF115</f>
        <v>0.132221894693919</v>
      </c>
      <c r="V208" s="717"/>
      <c r="AO208" s="137" t="s">
        <v>553</v>
      </c>
      <c r="AQ208" s="138">
        <v>0.082</v>
      </c>
      <c r="AR208" s="138"/>
      <c r="AS208" s="138"/>
      <c r="AT208" s="138">
        <v>0.154</v>
      </c>
    </row>
    <row r="209" spans="2:46">
      <c r="B209" s="137" t="s">
        <v>104</v>
      </c>
      <c r="C209" s="717">
        <f>'Profit and Loss'!V120</f>
        <v>-0.00169220430107527</v>
      </c>
      <c r="D209" s="717">
        <f>'Profit and Loss'!W120</f>
        <v>0.166005154639175</v>
      </c>
      <c r="E209" s="717"/>
      <c r="F209" s="717">
        <f>'Profit and Loss'!X120</f>
        <v>0.0637040714995035</v>
      </c>
      <c r="G209" s="717"/>
      <c r="H209" s="717"/>
      <c r="I209" s="717"/>
      <c r="J209" s="717"/>
      <c r="K209" s="717"/>
      <c r="L209" s="717"/>
      <c r="M209" s="717"/>
      <c r="N209" s="717"/>
      <c r="P209" s="717"/>
      <c r="AO209" s="960" t="s">
        <v>751</v>
      </c>
      <c r="AQ209" s="138">
        <v>0.265</v>
      </c>
      <c r="AR209" s="138"/>
      <c r="AS209" s="138"/>
      <c r="AT209" s="138">
        <v>0.286</v>
      </c>
    </row>
    <row r="210" spans="2:46">
      <c r="B210" s="137" t="s">
        <v>553</v>
      </c>
      <c r="C210" s="717">
        <f>'Profit and Loss'!V125</f>
        <v>-0.102234061930783</v>
      </c>
      <c r="D210" s="717">
        <f>'Profit and Loss'!W125</f>
        <v>0.0308227334235453</v>
      </c>
      <c r="E210" s="717"/>
      <c r="F210" s="717">
        <f>'Profit and Loss'!X125</f>
        <v>-0.135983799705449</v>
      </c>
      <c r="G210" s="717"/>
      <c r="H210" s="717">
        <f>'Profit and Loss'!Y125</f>
        <v>0.0131590909090909</v>
      </c>
      <c r="I210" s="717"/>
      <c r="J210" s="717"/>
      <c r="K210" s="717">
        <f>'Profit and Loss'!Z125</f>
        <v>0.0840993265993267</v>
      </c>
      <c r="L210" s="717">
        <f>'Profit and Loss'!AA125</f>
        <v>0.000191198786038943</v>
      </c>
      <c r="M210" s="717"/>
      <c r="N210" s="717">
        <f>'Profit and Loss'!AB125</f>
        <v>0</v>
      </c>
      <c r="P210" s="717">
        <f>'Profit and Loss'!AC125</f>
        <v>0</v>
      </c>
      <c r="S210" s="717">
        <f>'Profit and Loss'!AD125</f>
        <v>0</v>
      </c>
      <c r="T210" s="717">
        <f>'Profit and Loss'!AK125</f>
        <v>0</v>
      </c>
      <c r="U210" s="717">
        <f>'Profit and Loss'!AM125</f>
        <v>0</v>
      </c>
      <c r="V210" s="717"/>
      <c r="AO210" s="137" t="s">
        <v>212</v>
      </c>
      <c r="AQ210" s="138">
        <v>0.223</v>
      </c>
      <c r="AR210" s="138"/>
      <c r="AS210" s="138"/>
      <c r="AT210" s="138">
        <v>0.232</v>
      </c>
    </row>
    <row r="211" spans="2:46">
      <c r="B211" s="960" t="s">
        <v>731</v>
      </c>
      <c r="C211" s="717">
        <f>'Profit and Loss'!V130</f>
        <v>0.13701974025974</v>
      </c>
      <c r="D211" s="717">
        <f>'Profit and Loss'!W130</f>
        <v>0.162443048576214</v>
      </c>
      <c r="E211" s="717"/>
      <c r="F211" s="717">
        <f>'Profit and Loss'!X130</f>
        <v>0.0991638733705773</v>
      </c>
      <c r="G211" s="717"/>
      <c r="H211" s="717">
        <f>'Profit and Loss'!Y130</f>
        <v>-0.0278699690402476</v>
      </c>
      <c r="I211" s="717"/>
      <c r="J211" s="717"/>
      <c r="K211" s="717">
        <f>'Profit and Loss'!Z130</f>
        <v>0.124286713286713</v>
      </c>
      <c r="L211" s="717">
        <f>'Profit and Loss'!AA130</f>
        <v>-0.178486943164364</v>
      </c>
      <c r="M211" s="717"/>
      <c r="N211" s="717">
        <f>'Profit and Loss'!AB130</f>
        <v>0.0797004320691312</v>
      </c>
      <c r="P211" s="717">
        <f>'Profit and Loss'!AC130</f>
        <v>0.0366313617606603</v>
      </c>
      <c r="S211" s="717">
        <f>'Profit and Loss'!AD130</f>
        <v>0</v>
      </c>
      <c r="T211" s="717">
        <f>'Profit and Loss'!AE130</f>
        <v>0.100897650338511</v>
      </c>
      <c r="U211" s="717">
        <f>'Profit and Loss'!AF130</f>
        <v>0.135403345506083</v>
      </c>
      <c r="V211" s="717"/>
    </row>
    <row r="212" spans="2:46">
      <c r="B212" s="137" t="s">
        <v>212</v>
      </c>
      <c r="C212" s="717">
        <f>'Profit and Loss'!V146</f>
        <v>0.0963410858047203</v>
      </c>
      <c r="D212" s="717">
        <f>'Profit and Loss'!W146</f>
        <v>0.1815992905705</v>
      </c>
      <c r="E212" s="717"/>
      <c r="F212" s="717">
        <f>'Profit and Loss'!X146</f>
        <v>0.159997786824436</v>
      </c>
      <c r="G212" s="717"/>
      <c r="H212" s="717">
        <f>'Profit and Loss'!Y146</f>
        <v>0.0842075596191913</v>
      </c>
      <c r="I212" s="717"/>
      <c r="J212" s="717"/>
      <c r="K212" s="717">
        <f>'Profit and Loss'!Z146</f>
        <v>0.0605195710700433</v>
      </c>
      <c r="L212" s="717">
        <f>'Profit and Loss'!AA146</f>
        <v>-0.134484943113378</v>
      </c>
      <c r="M212" s="717"/>
      <c r="N212" s="717">
        <f>'Profit and Loss'!AB146</f>
        <v>0.16</v>
      </c>
      <c r="P212" s="717">
        <f>'Profit and Loss'!AC146</f>
        <v>0.0104352453612131</v>
      </c>
      <c r="S212" s="717">
        <f>'Profit and Loss'!AD146</f>
        <v>-0.044</v>
      </c>
      <c r="T212" s="717">
        <f>'Profit and Loss'!AE146</f>
        <v>0.13754569060045</v>
      </c>
      <c r="U212" s="717">
        <f>'Profit and Loss'!AF146</f>
        <v>0.128168148743108</v>
      </c>
      <c r="V212" s="717"/>
    </row>
    <row r="213" ht="16.8" spans="2:46">
      <c r="B213" s="967"/>
    </row>
    <row r="214" ht="16.8" spans="2:46">
      <c r="B214" s="967"/>
    </row>
    <row r="215" ht="16.8" spans="2:46">
      <c r="B215" s="967"/>
    </row>
    <row r="216" ht="16.8" spans="2:46">
      <c r="B216" s="967"/>
    </row>
    <row r="217" ht="16.8" spans="2:46">
      <c r="B217" s="967"/>
    </row>
    <row r="218" ht="16.8" spans="2:46">
      <c r="B218" s="967"/>
    </row>
    <row r="219" ht="16.8" spans="2:46">
      <c r="B219" s="967"/>
    </row>
    <row r="220" ht="16.8" spans="2:46">
      <c r="B220" s="967"/>
    </row>
    <row r="221" ht="16.8" spans="2:46">
      <c r="B221" s="967"/>
    </row>
    <row r="222" ht="16.8" spans="2:46">
      <c r="B222" s="967"/>
    </row>
    <row r="223" ht="16.8" spans="2:46">
      <c r="B223" s="967"/>
    </row>
    <row r="224" ht="16.8" spans="2:46">
      <c r="B224" s="967"/>
    </row>
    <row r="225" ht="16.8" spans="2:23">
      <c r="B225" s="967"/>
    </row>
    <row r="226" ht="16.8" spans="2:23">
      <c r="B226" s="967"/>
    </row>
    <row r="227" ht="16.8" spans="2:23">
      <c r="B227" s="967"/>
    </row>
    <row r="228" ht="16.8" spans="2:23">
      <c r="B228" s="967"/>
    </row>
    <row r="229" ht="16.8" spans="2:23">
      <c r="B229" s="967"/>
    </row>
    <row r="230" ht="16.8" spans="2:23">
      <c r="B230" s="967"/>
    </row>
    <row r="231" ht="16.8" spans="2:23">
      <c r="B231" s="967"/>
    </row>
    <row r="232" ht="16.8" spans="2:23">
      <c r="B232" s="967"/>
    </row>
    <row r="233" ht="16.8" spans="2:23">
      <c r="B233" s="967"/>
    </row>
    <row r="234" ht="16.8" spans="2:23">
      <c r="B234" s="967"/>
      <c r="F234" s="826"/>
    </row>
    <row r="235" ht="16.8" spans="2:23">
      <c r="B235" s="968"/>
      <c r="C235" s="966" t="s">
        <v>391</v>
      </c>
      <c r="D235" s="966" t="s">
        <v>399</v>
      </c>
      <c r="E235" s="962"/>
      <c r="F235" s="966" t="s">
        <v>407</v>
      </c>
      <c r="G235" s="962"/>
      <c r="H235" s="966" t="s">
        <v>415</v>
      </c>
      <c r="I235" s="962"/>
      <c r="J235" s="962"/>
      <c r="K235" s="966" t="s">
        <v>423</v>
      </c>
      <c r="L235" s="966" t="s">
        <v>431</v>
      </c>
      <c r="M235" s="966"/>
      <c r="N235" s="966" t="s">
        <v>439</v>
      </c>
      <c r="O235" s="962"/>
      <c r="P235" s="966" t="s">
        <v>447</v>
      </c>
      <c r="Q235" s="966" t="s">
        <v>558</v>
      </c>
      <c r="R235" s="962"/>
      <c r="S235" s="966" t="s">
        <v>455</v>
      </c>
      <c r="T235" s="966" t="s">
        <v>463</v>
      </c>
      <c r="U235" s="966" t="s">
        <v>744</v>
      </c>
      <c r="V235" s="966" t="s">
        <v>745</v>
      </c>
      <c r="W235" s="966" t="s">
        <v>522</v>
      </c>
    </row>
    <row r="236" ht="16.8" spans="2:23">
      <c r="B236" s="967" t="s">
        <v>752</v>
      </c>
      <c r="C236" s="722">
        <f>('Profit and Loss'!T375-'Profit and Loss'!S375)*10000</f>
        <v>71.7937824215791</v>
      </c>
      <c r="D236" s="722">
        <f>('Profit and Loss'!U375-'Profit and Loss'!T375)*10000</f>
        <v>-206.796022406188</v>
      </c>
      <c r="F236" s="722">
        <f>('Profit and Loss'!V375-'Profit and Loss'!U375)*10000</f>
        <v>-15.0361648047911</v>
      </c>
      <c r="H236" s="722">
        <f>('Profit and Loss'!W375-'Profit and Loss'!V375)*10000</f>
        <v>126.767310157962</v>
      </c>
      <c r="K236" s="722">
        <f>('Profit and Loss'!X375-'Profit and Loss'!W375)*10000</f>
        <v>202.647419141616</v>
      </c>
      <c r="L236" s="722">
        <f>('Profit and Loss'!Y375-'Profit and Loss'!X375)*10000</f>
        <v>104.9516780347</v>
      </c>
      <c r="N236" s="722">
        <f>('Profit and Loss'!Z375-'Profit and Loss'!Y375)*10000</f>
        <v>44.625466167949</v>
      </c>
      <c r="P236" s="722">
        <f>('Profit and Loss'!AA375-'Profit and Loss'!Z375)*10000</f>
        <v>-746.711985140967</v>
      </c>
      <c r="S236" s="722">
        <f>('Profit and Loss'!AB375-'Profit and Loss'!AA375)*10000</f>
        <v>556.840530480785</v>
      </c>
      <c r="T236" s="722">
        <f>('Profit and Loss'!AC375-'Profit and Loss'!AB375)*10000</f>
        <v>-638.104414093921</v>
      </c>
      <c r="U236" s="722">
        <f>('Profit and Loss'!AD375-'Profit and Loss'!AC375)*10000</f>
        <v>-200.466888485838</v>
      </c>
      <c r="V236" s="722">
        <f>('Profit and Loss'!AE375-'Profit and Loss'!AD375)*10000</f>
        <v>396.918407714253</v>
      </c>
      <c r="W236" s="722">
        <f>('Profit and Loss'!AF375-'Profit and Loss'!AE375)*10000</f>
        <v>335.025144540697</v>
      </c>
    </row>
    <row r="237" ht="16.8" spans="2:23">
      <c r="B237" s="967" t="s">
        <v>753</v>
      </c>
      <c r="C237" s="722">
        <f>('Profit and Loss'!T335-'Profit and Loss'!S335)*10000</f>
        <v>155.986990677939</v>
      </c>
      <c r="D237" s="722">
        <f>('Profit and Loss'!U335-'Profit and Loss'!T335)*10000</f>
        <v>-164.544635218432</v>
      </c>
      <c r="F237" s="722">
        <f>('Profit and Loss'!V335-'Profit and Loss'!U335)*10000</f>
        <v>64.848481717632</v>
      </c>
      <c r="H237" s="722">
        <f>('Profit and Loss'!W335-'Profit and Loss'!V335)*10000</f>
        <v>33.2545844521609</v>
      </c>
      <c r="K237" s="722">
        <f>('Profit and Loss'!X335-'Profit and Loss'!W335)*10000</f>
        <v>182.197290259096</v>
      </c>
      <c r="L237" s="722">
        <f>('Profit and Loss'!Y335-'Profit and Loss'!X335)*10000</f>
        <v>140.731074634389</v>
      </c>
      <c r="N237" s="722">
        <f>('Profit and Loss'!Z335-'Profit and Loss'!Y335)*10000</f>
        <v>14.8315595719428</v>
      </c>
      <c r="P237" s="722">
        <f>('Profit and Loss'!AA335-'Profit and Loss'!Z335)*10000</f>
        <v>-233.627996098088</v>
      </c>
      <c r="S237" s="722">
        <f>('Profit and Loss'!AB335-'Profit and Loss'!AA335)*10000</f>
        <v>103.462892638497</v>
      </c>
      <c r="T237" s="722">
        <f>('Profit and Loss'!AC335-'Profit and Loss'!AB335)*10000</f>
        <v>-341.344512044507</v>
      </c>
      <c r="U237" s="722">
        <f>('Profit and Loss'!AD335-'Profit and Loss'!AC335)*10000</f>
        <v>-93.4773786899623</v>
      </c>
      <c r="V237" s="722">
        <f>('Profit and Loss'!AE335-'Profit and Loss'!AD335)*10000</f>
        <v>415.12235225844</v>
      </c>
      <c r="W237" s="722">
        <f>('Profit and Loss'!AF335-'Profit and Loss'!AE335)*10000</f>
        <v>111.017290717826</v>
      </c>
    </row>
    <row r="238" ht="16.8" spans="2:23">
      <c r="B238" s="967" t="s">
        <v>754</v>
      </c>
      <c r="C238" s="826">
        <f>C236-C237</f>
        <v>-84.1932082563597</v>
      </c>
      <c r="D238" s="826">
        <f t="shared" ref="D238:S238" si="69">D236-D237</f>
        <v>-42.2513871877556</v>
      </c>
      <c r="E238" s="826">
        <f t="shared" si="69"/>
        <v>0</v>
      </c>
      <c r="F238" s="826">
        <f t="shared" si="69"/>
        <v>-79.8846465224232</v>
      </c>
      <c r="G238" s="826">
        <f t="shared" si="69"/>
        <v>0</v>
      </c>
      <c r="H238" s="826">
        <f t="shared" si="69"/>
        <v>93.512725705801</v>
      </c>
      <c r="I238" s="826">
        <f t="shared" si="69"/>
        <v>0</v>
      </c>
      <c r="J238" s="826">
        <f t="shared" si="69"/>
        <v>0</v>
      </c>
      <c r="K238" s="826">
        <f t="shared" si="69"/>
        <v>20.4501288825205</v>
      </c>
      <c r="L238" s="826">
        <f t="shared" si="69"/>
        <v>-35.7793965996893</v>
      </c>
      <c r="M238" s="826">
        <f t="shared" si="69"/>
        <v>0</v>
      </c>
      <c r="N238" s="826">
        <f t="shared" si="69"/>
        <v>29.7939065960062</v>
      </c>
      <c r="O238" s="826">
        <f t="shared" si="69"/>
        <v>0</v>
      </c>
      <c r="P238" s="826">
        <f t="shared" si="69"/>
        <v>-513.083989042879</v>
      </c>
      <c r="Q238" s="826">
        <f t="shared" si="69"/>
        <v>0</v>
      </c>
      <c r="R238" s="826">
        <f t="shared" si="69"/>
        <v>0</v>
      </c>
      <c r="S238" s="826">
        <f t="shared" si="69"/>
        <v>453.377637842287</v>
      </c>
      <c r="T238" s="826">
        <f t="shared" ref="T238:U238" si="70">T236-T237</f>
        <v>-296.759902049414</v>
      </c>
      <c r="U238" s="826">
        <f t="shared" si="70"/>
        <v>-106.989509795875</v>
      </c>
      <c r="V238" s="826">
        <f t="shared" ref="V238:W238" si="71">V236-V237</f>
        <v>-18.2039445441874</v>
      </c>
      <c r="W238" s="826">
        <f t="shared" si="71"/>
        <v>224.007853822871</v>
      </c>
    </row>
    <row r="239" ht="16.8" spans="2:23">
      <c r="B239" s="967" t="s">
        <v>756</v>
      </c>
      <c r="C239" s="717">
        <f>'Profit and Loss'!T375</f>
        <v>0.0868004223864836</v>
      </c>
      <c r="D239" s="717">
        <f>'Profit and Loss'!U375</f>
        <v>0.0661208201458649</v>
      </c>
      <c r="E239" s="717">
        <f>'Profit and Loss'!V375</f>
        <v>0.0646172036653858</v>
      </c>
      <c r="F239" s="717">
        <f>'Profit and Loss'!V375</f>
        <v>0.0646172036653858</v>
      </c>
      <c r="G239" s="717">
        <f>'Profit and Loss'!X375</f>
        <v>0.0975586765953436</v>
      </c>
      <c r="H239" s="717">
        <f>'Profit and Loss'!W375</f>
        <v>0.077293934681182</v>
      </c>
      <c r="I239" s="717">
        <f>'Profit and Loss'!Z375</f>
        <v>0.112516391015608</v>
      </c>
      <c r="J239" s="717">
        <f>'Profit and Loss'!AA375</f>
        <v>0.0378451925015118</v>
      </c>
      <c r="K239" s="717">
        <f>'Profit and Loss'!X370</f>
        <v>0.0975586765953436</v>
      </c>
      <c r="L239" s="717">
        <f>'Profit and Loss'!Y370</f>
        <v>0.108053844398814</v>
      </c>
      <c r="M239" s="717">
        <f>'Profit and Loss'!AF375</f>
        <v>0.0828664705171094</v>
      </c>
      <c r="N239" s="717">
        <f>'Profit and Loss'!Z370</f>
        <v>0.112516391015608</v>
      </c>
      <c r="O239" s="717">
        <f>'Profit and Loss'!AB370</f>
        <v>0.0935292455495902</v>
      </c>
      <c r="P239" s="717">
        <f>'Profit and Loss'!AA370</f>
        <v>0.0378451925015118</v>
      </c>
      <c r="Q239" s="717">
        <f>'Profit and Loss'!AF370</f>
        <v>0.0828664705171094</v>
      </c>
      <c r="R239" s="717">
        <f>'Profit and Loss'!AM370</f>
        <v>0</v>
      </c>
      <c r="S239" s="717">
        <f>'Profit and Loss'!AB370</f>
        <v>0.0935292455495902</v>
      </c>
      <c r="T239" s="717">
        <f>'Profit and Loss'!AC370</f>
        <v>0.0297188041401981</v>
      </c>
      <c r="U239" s="717">
        <f>'Profit and Loss'!AD370</f>
        <v>0.00967211529161435</v>
      </c>
      <c r="V239" s="717">
        <f>'Profit and Loss'!AE370</f>
        <v>0.0493639560630396</v>
      </c>
      <c r="W239" s="717">
        <f>'Profit and Loss'!AF370</f>
        <v>0.0828664705171094</v>
      </c>
    </row>
    <row r="240" ht="16.8" spans="2:23">
      <c r="B240" s="967"/>
    </row>
    <row r="241" ht="16.8" spans="2:2">
      <c r="B241" s="969"/>
    </row>
    <row r="242" ht="16.8" spans="2:2">
      <c r="B242" s="967"/>
    </row>
    <row r="243" ht="16.8" spans="2:2">
      <c r="B243" s="967"/>
    </row>
    <row r="244" ht="16.8" spans="2:2">
      <c r="B244" s="967"/>
    </row>
    <row r="245" ht="16.8" spans="2:2">
      <c r="B245" s="967"/>
    </row>
    <row r="246" ht="16.8" spans="2:2">
      <c r="B246" s="969"/>
    </row>
    <row r="260" spans="2:19">
      <c r="C260" s="719" t="s">
        <v>391</v>
      </c>
      <c r="D260" s="719" t="s">
        <v>399</v>
      </c>
      <c r="F260" s="719" t="s">
        <v>407</v>
      </c>
      <c r="H260" s="719" t="s">
        <v>415</v>
      </c>
      <c r="K260" s="719" t="s">
        <v>423</v>
      </c>
      <c r="L260" s="719" t="s">
        <v>431</v>
      </c>
      <c r="M260" s="719"/>
      <c r="N260" s="719" t="s">
        <v>757</v>
      </c>
      <c r="P260" s="719" t="s">
        <v>758</v>
      </c>
      <c r="Q260" s="719" t="s">
        <v>558</v>
      </c>
      <c r="S260" s="719" t="s">
        <v>558</v>
      </c>
    </row>
    <row r="261" spans="2:19">
      <c r="B261" s="137" t="s">
        <v>759</v>
      </c>
      <c r="C261" s="717">
        <f>'Profit and Loss'!T34</f>
        <v>-0.0749744003225156</v>
      </c>
      <c r="D261" s="717">
        <f>'Profit and Loss'!U34</f>
        <v>-0.0415310401262302</v>
      </c>
      <c r="E261" s="717"/>
      <c r="F261" s="717">
        <f>'Profit and Loss'!V34</f>
        <v>0.0674816746191135</v>
      </c>
      <c r="G261" s="717"/>
      <c r="H261" s="717">
        <f>'Profit and Loss'!W34</f>
        <v>-0.0433789067363964</v>
      </c>
      <c r="I261" s="717"/>
      <c r="J261" s="717"/>
      <c r="K261" s="717">
        <f>'Profit and Loss'!X34</f>
        <v>-0.0600496271562142</v>
      </c>
      <c r="L261" s="717">
        <f>'Profit and Loss'!Y34</f>
        <v>-0.0513580921858798</v>
      </c>
      <c r="M261" s="717"/>
      <c r="N261" s="717">
        <f>'Profit and Loss'!Z34</f>
        <v>0.0182392699064566</v>
      </c>
      <c r="O261" s="717"/>
      <c r="P261" s="717">
        <f>'Profit and Loss'!AA34</f>
        <v>-0.0261258601521352</v>
      </c>
      <c r="Q261" s="717"/>
      <c r="R261" s="717"/>
      <c r="S261" s="717">
        <f>'Profit and Loss'!AB34</f>
        <v>-0.089953638379359</v>
      </c>
    </row>
    <row r="286" spans="2:23">
      <c r="B286" s="962"/>
      <c r="C286" s="966" t="s">
        <v>760</v>
      </c>
      <c r="D286" s="966" t="s">
        <v>391</v>
      </c>
      <c r="E286" s="962"/>
      <c r="F286" s="966" t="s">
        <v>399</v>
      </c>
      <c r="G286" s="962"/>
      <c r="H286" s="966" t="s">
        <v>407</v>
      </c>
      <c r="I286" s="962"/>
      <c r="J286" s="962"/>
      <c r="K286" s="966" t="s">
        <v>415</v>
      </c>
      <c r="L286" s="966" t="s">
        <v>423</v>
      </c>
      <c r="M286" s="966"/>
      <c r="N286" s="966" t="s">
        <v>431</v>
      </c>
      <c r="O286" s="962"/>
      <c r="P286" s="966" t="s">
        <v>439</v>
      </c>
      <c r="Q286" s="966" t="s">
        <v>558</v>
      </c>
      <c r="R286" s="962"/>
      <c r="S286" s="966" t="s">
        <v>758</v>
      </c>
      <c r="T286" s="966" t="s">
        <v>558</v>
      </c>
      <c r="U286" s="966" t="s">
        <v>761</v>
      </c>
      <c r="V286" s="966" t="s">
        <v>761</v>
      </c>
      <c r="W286" s="966"/>
    </row>
    <row r="287" spans="2:23">
      <c r="B287" s="137" t="s">
        <v>762</v>
      </c>
      <c r="C287" s="717">
        <f>'Profit and Loss'!S411</f>
        <v>0.287112561174552</v>
      </c>
      <c r="D287" s="717">
        <f>'Profit and Loss'!T411</f>
        <v>0.0418250950570342</v>
      </c>
      <c r="E287" s="717"/>
      <c r="F287" s="717">
        <f>'Profit and Loss'!U411</f>
        <v>-0.224647742742946</v>
      </c>
      <c r="G287" s="717"/>
      <c r="H287" s="717">
        <f>'Profit and Loss'!V411</f>
        <v>0.105963123688964</v>
      </c>
      <c r="I287" s="717"/>
      <c r="J287" s="717"/>
      <c r="K287" s="717">
        <f>'Profit and Loss'!W411</f>
        <v>0.509360219536915</v>
      </c>
      <c r="L287" s="717">
        <f>'Profit and Loss'!X411</f>
        <v>0.381082043829636</v>
      </c>
      <c r="M287" s="717"/>
      <c r="N287" s="717">
        <f>'Profit and Loss'!Y411</f>
        <v>0.203869206305601</v>
      </c>
      <c r="O287" s="717"/>
      <c r="P287" s="717">
        <f>'Profit and Loss'!Z411</f>
        <v>0.146799393209563</v>
      </c>
      <c r="Q287" s="717"/>
      <c r="R287" s="717"/>
      <c r="S287" s="717">
        <f>'Profit and Loss'!AA411</f>
        <v>-0.779103990999605</v>
      </c>
      <c r="T287" s="717">
        <f>'Profit and Loss'!AB411</f>
        <v>2.48642444907576</v>
      </c>
      <c r="U287" s="717">
        <f>'Profit and Loss'!AC411</f>
        <v>-0.833384458626052</v>
      </c>
      <c r="V287" s="717">
        <f>'Profit and Loss'!AC411</f>
        <v>-0.833384458626052</v>
      </c>
    </row>
    <row r="288" spans="2:23">
      <c r="B288" s="137" t="s">
        <v>763</v>
      </c>
      <c r="C288" s="717"/>
      <c r="D288" s="717"/>
      <c r="E288" s="717"/>
      <c r="F288" s="717"/>
      <c r="G288" s="717"/>
      <c r="H288" s="970">
        <f>'Profit and Loss'!V410</f>
        <v>3.36911813129476</v>
      </c>
      <c r="I288" s="717"/>
      <c r="J288" s="717"/>
      <c r="K288" s="970">
        <f>'Profit and Loss'!W410</f>
        <v>5.08521288229686</v>
      </c>
      <c r="L288" s="970">
        <f>'Profit and Loss'!X410</f>
        <v>7.02309620079134</v>
      </c>
      <c r="M288" s="970">
        <f>'Profit and Loss'!AA410</f>
        <v>2.14182136799873</v>
      </c>
      <c r="N288" s="970">
        <f>'Profit and Loss'!Y410</f>
        <v>8.45488924905456</v>
      </c>
      <c r="O288" s="970">
        <f>'Profit and Loss'!AC410</f>
        <v>1.24416796267496</v>
      </c>
      <c r="P288" s="970">
        <f>'Profit and Loss'!Z410</f>
        <v>9.69606186046982</v>
      </c>
      <c r="Q288" s="970">
        <f>'Profit and Loss'!AE410</f>
        <v>3.41025425627237</v>
      </c>
      <c r="R288" s="970">
        <f>'Profit and Loss'!AF410</f>
        <v>7.45946854086747</v>
      </c>
      <c r="S288" s="970">
        <f>'Profit and Loss'!AA410</f>
        <v>2.14182136799873</v>
      </c>
      <c r="T288" s="970">
        <f>'Profit and Loss'!AB410</f>
        <v>7.46729838294365</v>
      </c>
      <c r="U288" s="970">
        <f>'Profit and Loss'!AO410</f>
        <v>0</v>
      </c>
      <c r="V288" s="970">
        <f>'Profit and Loss'!AC410</f>
        <v>1.24416796267496</v>
      </c>
    </row>
    <row r="311" spans="2:22">
      <c r="B311" s="962" t="s">
        <v>764</v>
      </c>
      <c r="C311" s="966" t="s">
        <v>760</v>
      </c>
      <c r="D311" s="966" t="s">
        <v>391</v>
      </c>
      <c r="E311" s="962"/>
      <c r="F311" s="966" t="s">
        <v>399</v>
      </c>
      <c r="G311" s="962"/>
      <c r="H311" s="966" t="s">
        <v>407</v>
      </c>
      <c r="I311" s="962"/>
      <c r="J311" s="962"/>
      <c r="K311" s="966" t="s">
        <v>415</v>
      </c>
      <c r="L311" s="966" t="s">
        <v>423</v>
      </c>
      <c r="M311" s="966"/>
      <c r="N311" s="966" t="s">
        <v>431</v>
      </c>
      <c r="O311" s="962"/>
      <c r="P311" s="966" t="s">
        <v>439</v>
      </c>
      <c r="Q311" s="966" t="s">
        <v>558</v>
      </c>
      <c r="R311" s="962"/>
      <c r="S311" s="966" t="s">
        <v>758</v>
      </c>
      <c r="T311" s="966" t="s">
        <v>558</v>
      </c>
      <c r="U311" s="962"/>
      <c r="V311" s="966" t="s">
        <v>761</v>
      </c>
    </row>
    <row r="312" spans="2:22">
      <c r="B312" s="137" t="s">
        <v>60</v>
      </c>
      <c r="C312" s="811">
        <f>'Profit and Loss'!S5</f>
        <v>9533</v>
      </c>
      <c r="D312" s="811">
        <f>'Profit and Loss'!T5</f>
        <v>9100</v>
      </c>
      <c r="E312" s="811">
        <f>'Profit and Loss'!U5</f>
        <v>9376</v>
      </c>
      <c r="F312" s="811">
        <f>'Profit and Loss'!U5</f>
        <v>9376</v>
      </c>
      <c r="G312" s="811">
        <f>'Profit and Loss'!W5</f>
        <v>12812</v>
      </c>
      <c r="H312" s="811">
        <f>'Profit and Loss'!V5</f>
        <v>11227</v>
      </c>
      <c r="I312" s="811">
        <f>'Profit and Loss'!Y5</f>
        <v>14596</v>
      </c>
      <c r="J312" s="811">
        <f>'Profit and Loss'!Z5</f>
        <v>15222</v>
      </c>
      <c r="K312" s="811">
        <f>'Profit and Loss'!W5</f>
        <v>12812</v>
      </c>
      <c r="L312" s="811">
        <f>'Profit and Loss'!X5</f>
        <v>14617</v>
      </c>
      <c r="M312" s="811">
        <f>'Profit and Loss'!AC5</f>
        <v>13523</v>
      </c>
      <c r="N312" s="811">
        <f>'Profit and Loss'!Y5</f>
        <v>14596</v>
      </c>
      <c r="O312" s="811">
        <f>'Profit and Loss'!AM5</f>
        <v>0</v>
      </c>
      <c r="P312" s="811">
        <f>'Profit and Loss'!Z5</f>
        <v>15222</v>
      </c>
      <c r="Q312" s="811">
        <f>'Profit and Loss'!AO5</f>
        <v>9533</v>
      </c>
      <c r="R312" s="811">
        <f>'Profit and Loss'!AP5</f>
        <v>9100</v>
      </c>
      <c r="S312" s="811">
        <f>'Profit and Loss'!AA5</f>
        <v>11237</v>
      </c>
      <c r="T312" s="811">
        <f>'Profit and Loss'!AB5</f>
        <v>12796.0030336626</v>
      </c>
      <c r="U312" s="811">
        <f>'Profit and Loss'!AS5</f>
        <v>12812</v>
      </c>
      <c r="V312" s="811">
        <f>'Profit and Loss'!AC5</f>
        <v>13523</v>
      </c>
    </row>
    <row r="313" spans="2:22">
      <c r="B313" s="137" t="s">
        <v>765</v>
      </c>
      <c r="C313" s="811">
        <f>'Profit and Loss'!S21</f>
        <v>158</v>
      </c>
      <c r="D313" s="811">
        <f>'Profit and Loss'!T21</f>
        <v>250</v>
      </c>
      <c r="E313" s="811">
        <f>'Profit and Loss'!U21</f>
        <v>422</v>
      </c>
      <c r="F313" s="811">
        <f>'Profit and Loss'!U21</f>
        <v>422</v>
      </c>
      <c r="G313" s="811">
        <f>'Profit and Loss'!W21</f>
        <v>1000.51505944085</v>
      </c>
      <c r="H313" s="811">
        <f>'Profit and Loss'!V21</f>
        <v>627.75106103351</v>
      </c>
      <c r="I313" s="811">
        <f>'Profit and Loss'!Y21</f>
        <v>1977.00208601049</v>
      </c>
      <c r="J313" s="811">
        <f>'Profit and Loss'!Z21</f>
        <v>2665.47184904633</v>
      </c>
      <c r="K313" s="811">
        <f>'Profit and Loss'!W21</f>
        <v>1000.51505944085</v>
      </c>
      <c r="L313" s="811">
        <f>'Profit and Loss'!X21</f>
        <v>1510.72808703854</v>
      </c>
      <c r="M313" s="811">
        <f>'Profit and Loss'!AC21</f>
        <v>4149.91304632156</v>
      </c>
      <c r="N313" s="811">
        <f>'Profit and Loss'!Y21</f>
        <v>1977.00208601049</v>
      </c>
      <c r="O313" s="811">
        <f>'Profit and Loss'!AM21</f>
        <v>0</v>
      </c>
      <c r="P313" s="811">
        <f>'Profit and Loss'!Z21</f>
        <v>2665.47184904633</v>
      </c>
      <c r="Q313" s="811">
        <f>'Profit and Loss'!AO21</f>
        <v>0</v>
      </c>
      <c r="R313" s="811">
        <f>'Profit and Loss'!AP21</f>
        <v>0</v>
      </c>
      <c r="S313" s="811">
        <f>'Profit and Loss'!AA21</f>
        <v>4008.53418427324</v>
      </c>
      <c r="T313" s="811">
        <f>'Profit and Loss'!AB21</f>
        <v>3808.29331720076</v>
      </c>
      <c r="U313" s="811">
        <f>'Profit and Loss'!AS21</f>
        <v>0</v>
      </c>
      <c r="V313" s="811">
        <f>'Profit and Loss'!AC21</f>
        <v>4149.91304632156</v>
      </c>
    </row>
    <row r="314" spans="2:22">
      <c r="B314" s="137" t="s">
        <v>766</v>
      </c>
      <c r="C314" s="811">
        <f>'Profit and Loss'!S15</f>
        <v>3215</v>
      </c>
      <c r="D314" s="811">
        <f>'Profit and Loss'!T15</f>
        <v>3196</v>
      </c>
      <c r="E314" s="811">
        <f>'Profit and Loss'!U15</f>
        <v>3398.56519251861</v>
      </c>
      <c r="F314" s="811">
        <f>'Profit and Loss'!U15</f>
        <v>3398.56519251861</v>
      </c>
      <c r="G314" s="811">
        <f>'Profit and Loss'!W15</f>
        <v>4002.48494055915</v>
      </c>
      <c r="H314" s="811">
        <f>'Profit and Loss'!V15</f>
        <v>3593.24893896649</v>
      </c>
      <c r="I314" s="811">
        <f>'Profit and Loss'!Y15</f>
        <v>4510.99791398951</v>
      </c>
      <c r="J314" s="811">
        <f>'Profit and Loss'!Z15</f>
        <v>5148.52815095367</v>
      </c>
      <c r="K314" s="811">
        <f>'Profit and Loss'!W15</f>
        <v>4002.48494055915</v>
      </c>
      <c r="L314" s="811">
        <f>'Profit and Loss'!X15</f>
        <v>4349.27191296146</v>
      </c>
      <c r="M314" s="811">
        <f>'Profit and Loss'!AC15</f>
        <v>4688.08695367844</v>
      </c>
      <c r="N314" s="811">
        <f>'Profit and Loss'!Y15</f>
        <v>4510.99791398951</v>
      </c>
      <c r="O314" s="811">
        <f>'Profit and Loss'!AM15</f>
        <v>0</v>
      </c>
      <c r="P314" s="811">
        <f>'Profit and Loss'!Z15</f>
        <v>5148.52815095367</v>
      </c>
      <c r="Q314" s="811">
        <f>'Profit and Loss'!AO15</f>
        <v>0</v>
      </c>
      <c r="R314" s="811">
        <f>'Profit and Loss'!AP15</f>
        <v>0</v>
      </c>
      <c r="S314" s="811">
        <f>'Profit and Loss'!AA15</f>
        <v>4122.46581572676</v>
      </c>
      <c r="T314" s="811">
        <f>'Profit and Loss'!AB15</f>
        <v>4485.70364913668</v>
      </c>
      <c r="U314" s="811">
        <f>'Profit and Loss'!AS15</f>
        <v>0</v>
      </c>
      <c r="V314" s="811">
        <f>'Profit and Loss'!AC15</f>
        <v>4688.08695367844</v>
      </c>
    </row>
    <row r="315" spans="2:22">
      <c r="B315" s="137" t="s">
        <v>678</v>
      </c>
      <c r="C315" s="811">
        <f>'Profit and Loss'!S27</f>
        <v>1977</v>
      </c>
      <c r="D315" s="811">
        <f>'Profit and Loss'!T27</f>
        <v>1659</v>
      </c>
      <c r="E315" s="811">
        <f>'Profit and Loss'!U27</f>
        <v>1358</v>
      </c>
      <c r="F315" s="811">
        <f>'Profit and Loss'!U27</f>
        <v>1358</v>
      </c>
      <c r="G315" s="811">
        <f>'Profit and Loss'!W27</f>
        <v>1475</v>
      </c>
      <c r="H315" s="811">
        <f>'Profit and Loss'!V27</f>
        <v>1467</v>
      </c>
      <c r="I315" s="811">
        <f>'Profit and Loss'!Y27</f>
        <v>831</v>
      </c>
      <c r="J315" s="811">
        <f>'Profit and Loss'!Z27</f>
        <v>605</v>
      </c>
      <c r="K315" s="811">
        <f>'Profit and Loss'!W27</f>
        <v>1475</v>
      </c>
      <c r="L315" s="811">
        <f>'Profit and Loss'!X27</f>
        <v>741</v>
      </c>
      <c r="M315" s="811">
        <f>'Profit and Loss'!AC27</f>
        <v>150</v>
      </c>
      <c r="N315" s="811">
        <f>'Profit and Loss'!Y27</f>
        <v>831</v>
      </c>
      <c r="O315" s="811">
        <f>'Profit and Loss'!AM27</f>
        <v>0</v>
      </c>
      <c r="P315" s="811">
        <f>'Profit and Loss'!Z27</f>
        <v>605</v>
      </c>
      <c r="Q315" s="811">
        <f>'Profit and Loss'!AO27</f>
        <v>0</v>
      </c>
      <c r="R315" s="811">
        <f>'Profit and Loss'!AP27</f>
        <v>0</v>
      </c>
      <c r="S315" s="811">
        <f>'Profit and Loss'!AA27</f>
        <v>476</v>
      </c>
      <c r="T315" s="811">
        <f>'Profit and Loss'!AB27</f>
        <v>144.000000000002</v>
      </c>
      <c r="U315" s="811">
        <f>'Profit and Loss'!AS27</f>
        <v>0</v>
      </c>
      <c r="V315" s="811">
        <f>'Profit and Loss'!AC27</f>
        <v>150</v>
      </c>
    </row>
    <row r="337" spans="2:24">
      <c r="B337" s="962"/>
      <c r="C337" s="966" t="str">
        <f>C311</f>
        <v>FY12</v>
      </c>
      <c r="D337" s="966" t="s">
        <v>391</v>
      </c>
      <c r="E337" s="962"/>
      <c r="F337" s="966" t="s">
        <v>399</v>
      </c>
      <c r="G337" s="962"/>
      <c r="H337" s="966" t="s">
        <v>407</v>
      </c>
      <c r="I337" s="962"/>
      <c r="J337" s="962"/>
      <c r="K337" s="966" t="s">
        <v>415</v>
      </c>
      <c r="L337" s="966" t="s">
        <v>423</v>
      </c>
      <c r="M337" s="966"/>
      <c r="N337" s="966" t="s">
        <v>431</v>
      </c>
      <c r="O337" s="962"/>
      <c r="P337" s="966" t="s">
        <v>439</v>
      </c>
      <c r="Q337" s="966" t="s">
        <v>558</v>
      </c>
      <c r="R337" s="962"/>
      <c r="S337" s="966" t="s">
        <v>758</v>
      </c>
      <c r="T337" s="966" t="s">
        <v>558</v>
      </c>
      <c r="U337" s="962"/>
      <c r="V337" s="966" t="s">
        <v>761</v>
      </c>
    </row>
    <row r="338" spans="2:24">
      <c r="B338" s="137" t="s">
        <v>60</v>
      </c>
      <c r="D338" s="717">
        <f>'Profit and Loss'!T8*'Profit and Loss'!S5/'Profit and Loss'!S32</f>
        <v>0.00243600080628906</v>
      </c>
      <c r="F338" s="717">
        <f>'Profit and Loss'!U8*'Profit and Loss'!T5/'Profit and Loss'!T32</f>
        <v>0.0384371700105597</v>
      </c>
      <c r="G338" s="717">
        <f>G312/F312-1</f>
        <v>0.366467576791809</v>
      </c>
      <c r="H338" s="717">
        <f>'Profit and Loss'!V8*'Profit and Loss'!U5/'Profit and Loss'!U32</f>
        <v>0.069909947014501</v>
      </c>
      <c r="I338" s="717">
        <f>'Profit and Loss'!Y8*'Profit and Loss'!X5/'Profit and Loss'!X32</f>
        <v>0.0428653030445849</v>
      </c>
      <c r="J338" s="717">
        <f>'Profit and Loss'!Z8*'Profit and Loss'!Y5/'Profit and Loss'!Y32</f>
        <v>0.00541285800379145</v>
      </c>
      <c r="K338" s="717">
        <f>'Profit and Loss'!W8*'Profit and Loss'!V5/'Profit and Loss'!V32</f>
        <v>0.123367070647354</v>
      </c>
      <c r="L338" s="717">
        <f>'Profit and Loss'!X8*'Profit and Loss'!W5/'Profit and Loss'!W32</f>
        <v>0.105647834961887</v>
      </c>
      <c r="M338" s="717">
        <f>'Profit and Loss'!AC8*'Profit and Loss'!AB5/'Profit and Loss'!AB32</f>
        <v>0.0030240145222185</v>
      </c>
      <c r="N338" s="717">
        <f>'Profit and Loss'!Y8*'Profit and Loss'!X5/'Profit and Loss'!X32</f>
        <v>0.0428653030445849</v>
      </c>
      <c r="O338" s="717">
        <f>'Profit and Loss'!AM8*'Profit and Loss'!AF5/'Profit and Loss'!AF32</f>
        <v>0</v>
      </c>
      <c r="P338" s="717">
        <f>'Profit and Loss'!Z8*'Profit and Loss'!Y5/'Profit and Loss'!Y32</f>
        <v>0.00541285800379145</v>
      </c>
      <c r="Q338" s="717" t="e">
        <f>'Profit and Loss'!AO8*'Profit and Loss'!AN5/'Profit and Loss'!AN32</f>
        <v>#VALUE!</v>
      </c>
      <c r="R338" s="717" t="e">
        <f>'Profit and Loss'!AP8*'Profit and Loss'!AO5/'Profit and Loss'!AO32</f>
        <v>#DIV/0!</v>
      </c>
      <c r="S338" s="717">
        <f>'Profit and Loss'!AA8*'Profit and Loss'!Z5/'Profit and Loss'!Z32</f>
        <v>-0.151430953421673</v>
      </c>
      <c r="T338" s="717">
        <f>'Profit and Loss'!AB8*'Profit and Loss'!AA5/'Profit and Loss'!AA32</f>
        <v>0.13104477465372</v>
      </c>
      <c r="U338" s="717" t="e">
        <f>'Profit and Loss'!AS8*'Profit and Loss'!AR5/'Profit and Loss'!AR32</f>
        <v>#DIV/0!</v>
      </c>
      <c r="V338" s="717">
        <f>'Profit and Loss'!AC8*'Profit and Loss'!AB5/'Profit and Loss'!AB32</f>
        <v>0.0030240145222185</v>
      </c>
      <c r="X338" s="188">
        <f>AVERAGE(V338,T338,S338,P338)</f>
        <v>-0.00298732656048588</v>
      </c>
    </row>
    <row r="339" spans="2:24">
      <c r="B339" s="137" t="s">
        <v>765</v>
      </c>
      <c r="D339" s="717">
        <f>'Profit and Loss'!T24*'Profit and Loss'!S21/'Profit and Loss'!S32</f>
        <v>0.0067943291003158</v>
      </c>
      <c r="F339" s="717">
        <f>'Profit and Loss'!U24*'Profit and Loss'!T21/'Profit and Loss'!T32</f>
        <v>0.0126715945089757</v>
      </c>
      <c r="H339" s="717">
        <f>'Profit and Loss'!V24*'Profit and Loss'!U21/'Profit and Loss'!U32</f>
        <v>0.0121948534470896</v>
      </c>
      <c r="I339" s="717">
        <f>'Profit and Loss'!Y24*'Profit and Loss'!X21/'Profit and Loss'!X32</f>
        <v>0.0256321100638078</v>
      </c>
      <c r="J339" s="717">
        <f>'Profit and Loss'!Z24*'Profit and Loss'!Y21/'Profit and Loss'!Y32</f>
        <v>0.029770051945401</v>
      </c>
      <c r="K339" s="717">
        <f>'Profit and Loss'!W24*'Profit and Loss'!V21/'Profit and Loss'!V32</f>
        <v>0.0218961351468975</v>
      </c>
      <c r="L339" s="717">
        <f>'Profit and Loss'!X24*'Profit and Loss'!W21/'Profit and Loss'!W32</f>
        <v>0.029564208599341</v>
      </c>
      <c r="M339" s="717">
        <f>'Profit and Loss'!AC24*'Profit and Loss'!AB21/'Profit and Loss'!AB32</f>
        <v>0.00717395369162807</v>
      </c>
      <c r="N339" s="717">
        <f>'Profit and Loss'!Y24*'Profit and Loss'!X21/'Profit and Loss'!X32</f>
        <v>0.0256321100638078</v>
      </c>
      <c r="O339" s="717">
        <f>'Profit and Loss'!AM24*'Profit and Loss'!AF21/'Profit and Loss'!AF32</f>
        <v>0</v>
      </c>
      <c r="P339" s="717">
        <f>'Profit and Loss'!Z24*'Profit and Loss'!Y21/'Profit and Loss'!Y32</f>
        <v>0.029770051945401</v>
      </c>
      <c r="Q339" s="717" t="e">
        <f>'Profit and Loss'!AO24*'Profit and Loss'!AN21/'Profit and Loss'!AN32</f>
        <v>#DIV/0!</v>
      </c>
      <c r="R339" s="717" t="e">
        <f>'Profit and Loss'!AP24*'Profit and Loss'!AO21/'Profit and Loss'!AO32</f>
        <v>#DIV/0!</v>
      </c>
      <c r="S339" s="717">
        <f>'Profit and Loss'!AA24*'Profit and Loss'!Z21/'Profit and Loss'!Z32</f>
        <v>0.0597563588678378</v>
      </c>
      <c r="T339" s="717">
        <f>'Profit and Loss'!AB24*'Profit and Loss'!AA21/'Profit and Loss'!AA32</f>
        <v>0.00808009309468503</v>
      </c>
      <c r="U339" s="717" t="e">
        <f>'Profit and Loss'!AS24*'Profit and Loss'!AR21/'Profit and Loss'!AR32</f>
        <v>#DIV/0!</v>
      </c>
      <c r="V339" s="717">
        <f>'Profit and Loss'!AC24*'Profit and Loss'!AB21/'Profit and Loss'!AB32</f>
        <v>0.00717395369162807</v>
      </c>
      <c r="X339" s="188">
        <f>AVERAGE(V339,T339,S339,P339)</f>
        <v>0.026195114399888</v>
      </c>
    </row>
    <row r="340" spans="2:24">
      <c r="B340" s="137" t="s">
        <v>766</v>
      </c>
      <c r="D340" s="717">
        <f>'Profit and Loss'!T18*'Profit and Loss'!S15/'Profit and Loss'!S32</f>
        <v>0.011596250755896</v>
      </c>
      <c r="F340" s="717">
        <f>'Profit and Loss'!U18*'Profit and Loss'!T15/'Profit and Loss'!T32</f>
        <v>0.0380298486448434</v>
      </c>
      <c r="H340" s="717">
        <f>'Profit and Loss'!V18*'Profit and Loss'!U15/'Profit and Loss'!U32</f>
        <v>0.0167209420102551</v>
      </c>
      <c r="I340" s="717">
        <f>'Profit and Loss'!Y18*'Profit and Loss'!X15/'Profit and Loss'!X32</f>
        <v>0.0157101465107986</v>
      </c>
      <c r="J340" s="717">
        <f>'Profit and Loss'!Z18*'Profit and Loss'!Y15/'Profit and Loss'!Y32</f>
        <v>0.0253366611208509</v>
      </c>
      <c r="K340" s="717">
        <f>'Profit and Loss'!W18*'Profit and Loss'!V15/'Profit and Loss'!V32</f>
        <v>0.0354984850127242</v>
      </c>
      <c r="L340" s="717">
        <f>'Profit and Loss'!X18*'Profit and Loss'!W15/'Profit and Loss'!W32</f>
        <v>0.0150189951331629</v>
      </c>
      <c r="M340" s="717">
        <f>'Profit and Loss'!AC18*'Profit and Loss'!AB15/'Profit and Loss'!AB32</f>
        <v>0.000638043074254422</v>
      </c>
      <c r="N340" s="717">
        <f>'Profit and Loss'!Y18*'Profit and Loss'!X15/'Profit and Loss'!X32</f>
        <v>0.0157101465107986</v>
      </c>
      <c r="O340" s="717">
        <f>'Profit and Loss'!AM18*'Profit and Loss'!AF15/'Profit and Loss'!AF32</f>
        <v>0</v>
      </c>
      <c r="P340" s="717">
        <f>'Profit and Loss'!Z18*'Profit and Loss'!Y15/'Profit and Loss'!Y32</f>
        <v>0.0253366611208509</v>
      </c>
      <c r="Q340" s="717" t="e">
        <f>'Profit and Loss'!AO18*'Profit and Loss'!AN15/'Profit and Loss'!AN32</f>
        <v>#DIV/0!</v>
      </c>
      <c r="R340" s="717" t="e">
        <f>'Profit and Loss'!AP18*'Profit and Loss'!AO15/'Profit and Loss'!AO32</f>
        <v>#DIV/0!</v>
      </c>
      <c r="S340" s="717">
        <f>'Profit and Loss'!AA18*'Profit and Loss'!Z15/'Profit and Loss'!Z32</f>
        <v>-0.037712136067246</v>
      </c>
      <c r="T340" s="717">
        <f>'Profit and Loss'!AB18*'Profit and Loss'!AA15/'Profit and Loss'!AA32</f>
        <v>0.0369919689895722</v>
      </c>
      <c r="U340" s="717" t="e">
        <f>'Profit and Loss'!AS18*'Profit and Loss'!AR15/'Profit and Loss'!AR32</f>
        <v>#DIV/0!</v>
      </c>
      <c r="V340" s="717">
        <f>'Profit and Loss'!AC18*'Profit and Loss'!AB15/'Profit and Loss'!AB32</f>
        <v>0.000638043074254422</v>
      </c>
    </row>
    <row r="341" spans="2:24">
      <c r="B341" s="137" t="s">
        <v>767</v>
      </c>
      <c r="D341" s="717">
        <f>D342-SUM(D338:D340)</f>
        <v>0.00859248807364106</v>
      </c>
      <c r="F341" s="717">
        <f>F342-SUM(F338:F340)</f>
        <v>-0.0244467141856318</v>
      </c>
      <c r="H341" s="717">
        <f t="shared" ref="H341:V341" si="72">H342-SUM(H338:H340)</f>
        <v>-0.00248465666712537</v>
      </c>
      <c r="I341" s="717">
        <f t="shared" si="72"/>
        <v>0</v>
      </c>
      <c r="J341" s="717">
        <f t="shared" si="72"/>
        <v>0</v>
      </c>
      <c r="K341" s="717">
        <f t="shared" si="72"/>
        <v>0.000837599763523489</v>
      </c>
      <c r="L341" s="717">
        <f t="shared" si="72"/>
        <v>0.00976674813004519</v>
      </c>
      <c r="M341" s="717">
        <f t="shared" si="72"/>
        <v>-0.000400765926887923</v>
      </c>
      <c r="N341" s="717">
        <f t="shared" si="72"/>
        <v>0</v>
      </c>
      <c r="O341" s="717">
        <f t="shared" si="72"/>
        <v>0</v>
      </c>
      <c r="P341" s="717">
        <f t="shared" si="72"/>
        <v>0</v>
      </c>
      <c r="Q341" s="717" t="e">
        <f t="shared" si="72"/>
        <v>#VALUE!</v>
      </c>
      <c r="R341" s="717" t="e">
        <f t="shared" si="72"/>
        <v>#DIV/0!</v>
      </c>
      <c r="S341" s="717">
        <f t="shared" si="72"/>
        <v>-0.00509821249229672</v>
      </c>
      <c r="T341" s="717">
        <f t="shared" si="72"/>
        <v>-0.016116836737977</v>
      </c>
      <c r="U341" s="717" t="e">
        <f t="shared" si="72"/>
        <v>#DIV/0!</v>
      </c>
      <c r="V341" s="717">
        <f t="shared" si="72"/>
        <v>-0.000400765926887923</v>
      </c>
    </row>
    <row r="342" spans="2:24">
      <c r="B342" s="137" t="s">
        <v>212</v>
      </c>
      <c r="D342" s="188">
        <f>'Profit and Loss'!T35</f>
        <v>0.0294190687361419</v>
      </c>
      <c r="F342" s="188">
        <f>'Profit and Loss'!U35</f>
        <v>0.0646918989787469</v>
      </c>
      <c r="H342" s="188">
        <f>'Profit and Loss'!V35</f>
        <v>0.0963410858047203</v>
      </c>
      <c r="I342" s="188">
        <f>'Profit and Loss'!Y35</f>
        <v>0.0842075596191913</v>
      </c>
      <c r="J342" s="188">
        <f>'Profit and Loss'!Z35</f>
        <v>0.0605195710700433</v>
      </c>
      <c r="K342" s="188">
        <f>'Profit and Loss'!W35</f>
        <v>0.1815992905705</v>
      </c>
      <c r="L342" s="188">
        <f>'Profit and Loss'!X35</f>
        <v>0.159997786824436</v>
      </c>
      <c r="M342" s="188">
        <f>'Profit and Loss'!AC35</f>
        <v>0.0104352453612131</v>
      </c>
      <c r="N342" s="188">
        <f>'Profit and Loss'!Y35</f>
        <v>0.0842075596191913</v>
      </c>
      <c r="O342" s="188">
        <f>'Profit and Loss'!AM35</f>
        <v>0</v>
      </c>
      <c r="P342" s="188">
        <f>'Profit and Loss'!Z35</f>
        <v>0.0605195710700433</v>
      </c>
      <c r="Q342" s="188">
        <f>'Profit and Loss'!AO35</f>
        <v>0</v>
      </c>
      <c r="R342" s="188">
        <f>'Profit and Loss'!AP35</f>
        <v>0</v>
      </c>
      <c r="S342" s="188">
        <f>'Profit and Loss'!AA35</f>
        <v>-0.134484943113378</v>
      </c>
      <c r="T342" s="188">
        <f>'Profit and Loss'!AB35</f>
        <v>0.16</v>
      </c>
      <c r="U342" s="188">
        <f>'Profit and Loss'!AS35</f>
        <v>0</v>
      </c>
      <c r="V342" s="188">
        <f>'Profit and Loss'!AC35</f>
        <v>0.0104352453612131</v>
      </c>
      <c r="X342" s="188">
        <f>AVERAGE(V342,T342,S342,P342)</f>
        <v>0.0241174683294696</v>
      </c>
    </row>
    <row r="344" spans="2:24">
      <c r="N344" s="717"/>
      <c r="P344" s="717"/>
      <c r="Q344" s="717"/>
      <c r="R344" s="717"/>
      <c r="S344" s="717"/>
      <c r="T344" s="717"/>
      <c r="U344" s="717"/>
      <c r="V344" s="717"/>
      <c r="X344" s="138"/>
    </row>
    <row r="365" spans="2:22">
      <c r="B365" s="962" t="s">
        <v>764</v>
      </c>
      <c r="C365" s="966" t="s">
        <v>760</v>
      </c>
      <c r="D365" s="966" t="s">
        <v>391</v>
      </c>
      <c r="E365" s="962"/>
      <c r="F365" s="966" t="s">
        <v>399</v>
      </c>
      <c r="G365" s="962"/>
      <c r="H365" s="966" t="s">
        <v>407</v>
      </c>
      <c r="I365" s="962"/>
      <c r="J365" s="962"/>
      <c r="K365" s="966" t="s">
        <v>415</v>
      </c>
      <c r="L365" s="966" t="s">
        <v>423</v>
      </c>
      <c r="M365" s="966"/>
      <c r="N365" s="966" t="s">
        <v>431</v>
      </c>
      <c r="O365" s="962"/>
      <c r="P365" s="966" t="s">
        <v>757</v>
      </c>
      <c r="Q365" s="966" t="s">
        <v>558</v>
      </c>
      <c r="R365" s="962"/>
      <c r="S365" s="966" t="s">
        <v>758</v>
      </c>
      <c r="T365" s="966" t="s">
        <v>558</v>
      </c>
      <c r="U365" s="962"/>
      <c r="V365" s="966" t="s">
        <v>761</v>
      </c>
    </row>
    <row r="366" spans="2:22">
      <c r="B366" s="137" t="s">
        <v>60</v>
      </c>
      <c r="C366" s="717">
        <f>C312/SUM(C$312:C$315)</f>
        <v>0.640529463145871</v>
      </c>
      <c r="D366" s="717">
        <f>D312/SUM(D$312:D$315)</f>
        <v>0.640619500175994</v>
      </c>
      <c r="F366" s="717">
        <f>F312/SUM(F$312:F$315)</f>
        <v>0.644196503020199</v>
      </c>
      <c r="H366" s="717">
        <f>H312/SUM(H$312:H$315)</f>
        <v>0.663730416789831</v>
      </c>
      <c r="K366" s="717">
        <f>K312/SUM(K$312:K$315)</f>
        <v>0.664178330741317</v>
      </c>
      <c r="L366" s="717">
        <f>L312/SUM(L$312:L$315)</f>
        <v>0.688896220190404</v>
      </c>
      <c r="N366" s="717">
        <f>N312/SUM(N$312:N$315)</f>
        <v>0.666027834816336</v>
      </c>
      <c r="P366" s="717">
        <f>P312/SUM(P$312:P$315)</f>
        <v>0.643881392496087</v>
      </c>
      <c r="S366" s="717">
        <f>S312/SUM(S$312:S$315)</f>
        <v>0.566266881677081</v>
      </c>
      <c r="T366" s="717">
        <f>T312/SUM(T$312:T$315)</f>
        <v>0.602618584989289</v>
      </c>
      <c r="V366" s="717">
        <f>V312/SUM(V$312:V$315)</f>
        <v>0.600728532717338</v>
      </c>
    </row>
    <row r="367" spans="2:22">
      <c r="B367" s="137" t="s">
        <v>765</v>
      </c>
      <c r="C367" s="717">
        <f t="shared" ref="C367:D369" si="73">C313/SUM(C$312:C$315)</f>
        <v>0.0106161392192434</v>
      </c>
      <c r="D367" s="717">
        <f t="shared" si="73"/>
        <v>0.0175994368180218</v>
      </c>
      <c r="F367" s="717">
        <f t="shared" ref="F367" si="74">F313/SUM(F$312:F$315)</f>
        <v>0.028994339193102</v>
      </c>
      <c r="H367" s="717">
        <f t="shared" ref="H367" si="75">H313/SUM(H$312:H$315)</f>
        <v>0.0371120934693178</v>
      </c>
      <c r="K367" s="717">
        <f t="shared" ref="K367:L367" si="76">K313/SUM(K$312:K$315)</f>
        <v>0.0518670326304227</v>
      </c>
      <c r="L367" s="717">
        <f t="shared" si="76"/>
        <v>0.0712003057327995</v>
      </c>
      <c r="N367" s="717">
        <f t="shared" ref="N367" si="77">N313/SUM(N$312:N$315)</f>
        <v>0.0902122786224272</v>
      </c>
      <c r="P367" s="717">
        <f t="shared" ref="P367" si="78">P313/SUM(P$312:P$315)</f>
        <v>0.112747846920449</v>
      </c>
      <c r="S367" s="717">
        <f t="shared" ref="S367:T367" si="79">S313/SUM(S$312:S$315)</f>
        <v>0.202002327367126</v>
      </c>
      <c r="T367" s="717">
        <f t="shared" si="79"/>
        <v>0.179348842290702</v>
      </c>
      <c r="V367" s="717">
        <f t="shared" ref="V367" si="80">V313/SUM(V$312:V$315)</f>
        <v>0.184350452948406</v>
      </c>
    </row>
    <row r="368" spans="2:22">
      <c r="B368" s="137" t="s">
        <v>766</v>
      </c>
      <c r="C368" s="717">
        <f t="shared" si="73"/>
        <v>0.216018275885238</v>
      </c>
      <c r="D368" s="717">
        <f t="shared" si="73"/>
        <v>0.224991200281591</v>
      </c>
      <c r="F368" s="717">
        <f t="shared" ref="F368" si="81">F314/SUM(F$312:F$315)</f>
        <v>0.233505099435437</v>
      </c>
      <c r="H368" s="717">
        <f t="shared" ref="H368" si="82">H314/SUM(H$312:H$315)</f>
        <v>0.212429733311646</v>
      </c>
      <c r="K368" s="717">
        <f t="shared" ref="K368:L368" si="83">K314/SUM(K$312:K$315)</f>
        <v>0.207490147255529</v>
      </c>
      <c r="L368" s="717">
        <f t="shared" si="83"/>
        <v>0.20498029564339</v>
      </c>
      <c r="N368" s="717">
        <f t="shared" ref="N368" si="84">N314/SUM(N$312:N$315)</f>
        <v>0.205840653159457</v>
      </c>
      <c r="P368" s="717">
        <f t="shared" ref="P368" si="85">P314/SUM(P$312:P$315)</f>
        <v>0.217779626536681</v>
      </c>
      <c r="S368" s="717">
        <f t="shared" ref="S368:T368" si="86">S314/SUM(S$312:S$315)</f>
        <v>0.207743691580667</v>
      </c>
      <c r="T368" s="717">
        <f t="shared" si="86"/>
        <v>0.211250996003423</v>
      </c>
      <c r="V368" s="717">
        <f t="shared" ref="V368" si="87">V314/SUM(V$312:V$315)</f>
        <v>0.208257605334212</v>
      </c>
    </row>
    <row r="369" spans="2:22">
      <c r="B369" s="137" t="s">
        <v>678</v>
      </c>
      <c r="C369" s="717">
        <f t="shared" si="73"/>
        <v>0.132836121749647</v>
      </c>
      <c r="D369" s="717">
        <f t="shared" si="73"/>
        <v>0.116789862724393</v>
      </c>
      <c r="F369" s="717">
        <f t="shared" ref="F369" si="88">F315/SUM(F$312:F$315)</f>
        <v>0.0933040583512618</v>
      </c>
      <c r="H369" s="717">
        <f t="shared" ref="H369" si="89">H315/SUM(H$312:H$315)</f>
        <v>0.0867277564292048</v>
      </c>
      <c r="K369" s="717">
        <f t="shared" ref="K369:L369" si="90">K315/SUM(K$312:K$315)</f>
        <v>0.076464489372732</v>
      </c>
      <c r="L369" s="717">
        <f t="shared" si="90"/>
        <v>0.0349231784334056</v>
      </c>
      <c r="N369" s="717">
        <f t="shared" ref="N369" si="91">N315/SUM(N$312:N$315)</f>
        <v>0.0379192334017796</v>
      </c>
      <c r="P369" s="717">
        <f t="shared" ref="P369" si="92">P315/SUM(P$312:P$315)</f>
        <v>0.0255911340467831</v>
      </c>
      <c r="S369" s="717">
        <f t="shared" ref="S369:T369" si="93">S315/SUM(S$312:S$315)</f>
        <v>0.023987099375126</v>
      </c>
      <c r="T369" s="717">
        <f t="shared" si="93"/>
        <v>0.00678157671658669</v>
      </c>
      <c r="V369" s="717">
        <f t="shared" ref="V369" si="94">V315/SUM(V$312:V$315)</f>
        <v>0.00666340900004442</v>
      </c>
    </row>
    <row r="370" spans="2:22">
      <c r="C370" s="188">
        <f>SUM(C366:C369)</f>
        <v>1</v>
      </c>
      <c r="D370" s="188">
        <f>SUM(D366:D369)</f>
        <v>1</v>
      </c>
      <c r="F370" s="188">
        <f>SUM(F366:F369)</f>
        <v>1</v>
      </c>
      <c r="H370" s="188">
        <f>SUM(H366:H369)</f>
        <v>1</v>
      </c>
      <c r="K370" s="188">
        <f>SUM(K366:K369)</f>
        <v>1</v>
      </c>
      <c r="L370" s="188">
        <f>SUM(L366:L369)</f>
        <v>1</v>
      </c>
      <c r="N370" s="188">
        <f>SUM(N366:N369)</f>
        <v>1</v>
      </c>
      <c r="P370" s="188">
        <f>SUM(P366:P369)</f>
        <v>1</v>
      </c>
      <c r="S370" s="188">
        <f>SUM(S366:S369)</f>
        <v>1</v>
      </c>
      <c r="T370" s="188">
        <f>SUM(T366:T369)</f>
        <v>1</v>
      </c>
      <c r="V370" s="188">
        <f>SUM(V366:V369)</f>
        <v>1</v>
      </c>
    </row>
    <row r="372" spans="2:22">
      <c r="L372" s="188"/>
      <c r="N372" s="188"/>
      <c r="O372" s="188"/>
      <c r="P372" s="188"/>
      <c r="Q372" s="188"/>
      <c r="R372" s="188"/>
      <c r="S372" s="188"/>
      <c r="T372" s="188"/>
      <c r="V372" s="188"/>
    </row>
    <row r="395" spans="2:43">
      <c r="AI395" s="188"/>
    </row>
    <row r="396" spans="2:43">
      <c r="C396" s="958" t="s">
        <v>400</v>
      </c>
      <c r="D396" s="958" t="s">
        <v>401</v>
      </c>
      <c r="E396" s="958" t="s">
        <v>402</v>
      </c>
      <c r="F396" s="958" t="s">
        <v>403</v>
      </c>
      <c r="G396" s="958" t="s">
        <v>404</v>
      </c>
      <c r="H396" s="958" t="s">
        <v>405</v>
      </c>
      <c r="I396" s="958" t="s">
        <v>406</v>
      </c>
      <c r="J396" s="958" t="s">
        <v>407</v>
      </c>
      <c r="K396" s="958" t="s">
        <v>408</v>
      </c>
      <c r="L396" s="958" t="s">
        <v>409</v>
      </c>
      <c r="M396" s="958" t="s">
        <v>410</v>
      </c>
      <c r="N396" s="958" t="s">
        <v>411</v>
      </c>
      <c r="O396" s="958" t="s">
        <v>412</v>
      </c>
      <c r="P396" s="958" t="s">
        <v>413</v>
      </c>
      <c r="Q396" s="958" t="s">
        <v>414</v>
      </c>
      <c r="R396" s="958" t="s">
        <v>415</v>
      </c>
      <c r="S396" s="958" t="s">
        <v>416</v>
      </c>
      <c r="T396" s="958" t="s">
        <v>417</v>
      </c>
      <c r="U396" s="958" t="s">
        <v>418</v>
      </c>
      <c r="V396" s="958" t="s">
        <v>419</v>
      </c>
      <c r="W396" s="958" t="s">
        <v>420</v>
      </c>
      <c r="X396" s="958" t="s">
        <v>421</v>
      </c>
      <c r="Y396" s="718"/>
      <c r="Z396" s="718"/>
      <c r="AA396" s="958" t="s">
        <v>424</v>
      </c>
      <c r="AB396" s="958" t="s">
        <v>425</v>
      </c>
      <c r="AC396" s="958" t="s">
        <v>424</v>
      </c>
      <c r="AD396" s="958" t="s">
        <v>427</v>
      </c>
      <c r="AE396" s="958" t="s">
        <v>733</v>
      </c>
      <c r="AF396" s="958" t="s">
        <v>429</v>
      </c>
      <c r="AI396" s="958" t="s">
        <v>432</v>
      </c>
      <c r="AJ396" s="958" t="s">
        <v>433</v>
      </c>
      <c r="AK396" s="958" t="s">
        <v>424</v>
      </c>
      <c r="AL396" s="958" t="s">
        <v>435</v>
      </c>
      <c r="AM396" s="958" t="s">
        <v>733</v>
      </c>
      <c r="AN396" s="958" t="s">
        <v>729</v>
      </c>
    </row>
    <row r="397" spans="2:43">
      <c r="B397" s="137" t="s">
        <v>768</v>
      </c>
      <c r="C397" s="717">
        <f>Interim!FF19</f>
        <v>0.56</v>
      </c>
      <c r="D397" s="717">
        <f>Interim!FG19</f>
        <v>0.58</v>
      </c>
      <c r="E397" s="717">
        <f>Interim!FH19</f>
        <v>0.57</v>
      </c>
      <c r="F397" s="717">
        <f>Interim!FI19</f>
        <v>0.222464183381089</v>
      </c>
      <c r="G397" s="717">
        <f>Interim!FJ19</f>
        <v>0.44</v>
      </c>
      <c r="H397" s="717">
        <f>Interim!FK19</f>
        <v>0.365201735131573</v>
      </c>
      <c r="K397" s="717">
        <f>Interim!FN19</f>
        <v>0.47</v>
      </c>
      <c r="L397" s="717">
        <f>Interim!FO19</f>
        <v>0.506934720908231</v>
      </c>
      <c r="M397" s="717">
        <f>Interim!FP19</f>
        <v>0.49</v>
      </c>
      <c r="N397" s="717">
        <f>Interim!FQ19</f>
        <v>0.54536231884058</v>
      </c>
      <c r="O397" s="717"/>
      <c r="P397" s="717">
        <f>Interim!FS19</f>
        <v>0.799854077253219</v>
      </c>
      <c r="Q397" s="717">
        <f>Interim!FT19</f>
        <v>0.676029087703834</v>
      </c>
      <c r="R397" s="717">
        <f>Interim!FU19</f>
        <v>0.59</v>
      </c>
      <c r="S397" s="717">
        <f>Interim!FV19</f>
        <v>0.53</v>
      </c>
      <c r="T397" s="717">
        <f>Interim!FW19</f>
        <v>0.66</v>
      </c>
      <c r="U397" s="717">
        <f>Interim!FX19</f>
        <v>0.599203980099503</v>
      </c>
      <c r="V397" s="717">
        <f>Interim!FY19</f>
        <v>0.39</v>
      </c>
      <c r="W397" s="717">
        <f>Interim!FZ19</f>
        <v>0.520626941541937</v>
      </c>
      <c r="X397" s="717">
        <f>Interim!GA19</f>
        <v>0.689582763337893</v>
      </c>
      <c r="Y397" s="717">
        <f>Interim!GB19</f>
        <v>0.546873209169054</v>
      </c>
      <c r="Z397" s="717">
        <f>Interim!GC19</f>
        <v>0.57</v>
      </c>
      <c r="AA397" s="717">
        <f>Interim!GD19</f>
        <v>0.27</v>
      </c>
      <c r="AB397" s="717">
        <f>Interim!GE19</f>
        <v>0.26</v>
      </c>
      <c r="AC397" s="717">
        <f>Interim!GF19</f>
        <v>0.264678998911861</v>
      </c>
      <c r="AD397" s="717">
        <f>Interim!GG19</f>
        <v>0.76</v>
      </c>
      <c r="AE397" s="717">
        <f>Interim!GH19</f>
        <v>0.676818399616675</v>
      </c>
      <c r="AF397" s="717">
        <f>Interim!GI19</f>
        <v>0.24</v>
      </c>
      <c r="AG397" s="717"/>
      <c r="AH397" s="717"/>
      <c r="AI397" s="717">
        <f>Interim!GL19</f>
        <v>0.4</v>
      </c>
      <c r="AJ397" s="717">
        <f>Interim!GM19</f>
        <v>0.37</v>
      </c>
      <c r="AK397" s="717"/>
      <c r="AL397" s="717">
        <f>Interim!GO19</f>
        <v>0.14</v>
      </c>
      <c r="AM397" s="717"/>
      <c r="AN397" s="717"/>
      <c r="AQ397" s="717">
        <f>AVERAGE(S397:AF397)</f>
        <v>0.498413163762637</v>
      </c>
    </row>
    <row r="398" spans="2:43">
      <c r="B398" s="137" t="s">
        <v>769</v>
      </c>
      <c r="C398" s="717">
        <f>(C402+C403)/(1-'Profit and Loss'!$U$26)</f>
        <v>0.0878485802213931</v>
      </c>
      <c r="D398" s="717">
        <f>(D402+D403)/(1-'Profit and Loss'!$U$26)</f>
        <v>0.0236883758608163</v>
      </c>
      <c r="E398" s="717">
        <f>(E402+E403)/(1-'Profit and Loss'!$U$26)</f>
        <v>0.0528817783377163</v>
      </c>
      <c r="F398" s="717">
        <f>(F402+F403)/(1-'Profit and Loss'!$U$26)</f>
        <v>0.0735519161115773</v>
      </c>
      <c r="G398" s="717"/>
      <c r="H398" s="717">
        <f>(H402+H403)/(1-'Profit and Loss'!$U$26)</f>
        <v>0.10911287252962</v>
      </c>
      <c r="K398" s="717">
        <f>(K399-(K397*C406))/(1-C406)</f>
        <v>0.176324271453478</v>
      </c>
      <c r="L398" s="717">
        <f>(L399-(L397*D406))/(1-D406)</f>
        <v>0.148178005933386</v>
      </c>
      <c r="M398" s="717"/>
      <c r="N398" s="717">
        <f>(N399-(N397*F406))/(1-F406)</f>
        <v>0.183928364229411</v>
      </c>
      <c r="O398" s="717"/>
      <c r="P398" s="717">
        <f>(P399-(P397*H406))/(1-H406)</f>
        <v>0.161259356555938</v>
      </c>
      <c r="S398" s="717">
        <f>(S399-(S397*K406))/(1-K406)</f>
        <v>0.0925092846057332</v>
      </c>
      <c r="T398" s="717">
        <f>(T399-(T397*L406))/(1-L406)</f>
        <v>0.0975119373502284</v>
      </c>
      <c r="V398" s="717">
        <f>(V399-(V397*N406))/(1-N406)</f>
        <v>0.0150079582334858</v>
      </c>
      <c r="X398" s="717">
        <f>(X399-(X397*P406))/(1-P406)</f>
        <v>0.0901170312708811</v>
      </c>
      <c r="AA398" s="717">
        <f>(AA399-(AA397*S406))/(1-S406)</f>
        <v>0.0544236877428113</v>
      </c>
      <c r="AB398" s="717">
        <f>(AB399-(AB397*T406))/(1-T406)</f>
        <v>0.0713707267749599</v>
      </c>
      <c r="AD398" s="717">
        <f>(AD399-(AD397*V406))/(1-V406)</f>
        <v>0.0593769851641367</v>
      </c>
      <c r="AF398" s="717">
        <f>(AF399-(AF397*X406))/(1-X406)</f>
        <v>0.0917912853231828</v>
      </c>
      <c r="AI398" s="717">
        <f t="shared" ref="AI398:AM398" si="95">(AI399-(AI397*AA406))/(1-AA406)</f>
        <v>0.0835822079248871</v>
      </c>
      <c r="AJ398" s="717">
        <f t="shared" si="95"/>
        <v>0.0679648348373923</v>
      </c>
      <c r="AK398" s="717">
        <f t="shared" si="95"/>
        <v>0</v>
      </c>
      <c r="AL398" s="717">
        <f t="shared" si="95"/>
        <v>0.0968521192624846</v>
      </c>
      <c r="AM398" s="717">
        <f t="shared" si="95"/>
        <v>0</v>
      </c>
      <c r="AN398" s="717"/>
      <c r="AQ398" s="717">
        <f>AVERAGE(S398:AF398)</f>
        <v>0.0715136120581774</v>
      </c>
    </row>
    <row r="399" spans="2:43">
      <c r="B399" s="137" t="s">
        <v>770</v>
      </c>
      <c r="C399" s="717">
        <f>Interim!FF11-Interim!FF12</f>
        <v>0.14</v>
      </c>
      <c r="D399" s="717">
        <f>Interim!FG11-Interim!FG12</f>
        <v>0.0851356993736952</v>
      </c>
      <c r="E399" s="717">
        <f>Interim!FH11-Interim!FH12</f>
        <v>0.11</v>
      </c>
      <c r="F399" s="717">
        <f>Interim!FI11-Interim!FI12</f>
        <v>0.09</v>
      </c>
      <c r="G399" s="717">
        <f>Interim!FJ11-Interim!FJ12</f>
        <v>0.1</v>
      </c>
      <c r="H399" s="717">
        <f>Interim!FK11-Interim!FK12</f>
        <v>0.137399132434213</v>
      </c>
      <c r="I399" s="717">
        <f>Interim!FL11-Interim!FL12</f>
        <v>0.11</v>
      </c>
      <c r="J399" s="717">
        <f>Interim!FM11-Interim!FM12</f>
        <v>0.11</v>
      </c>
      <c r="K399" s="717">
        <f>Interim!FN11-Interim!FN12</f>
        <v>0.22</v>
      </c>
      <c r="L399" s="717">
        <f>Interim!FO11-Interim!FO12</f>
        <v>0.201532639545885</v>
      </c>
      <c r="M399" s="717">
        <f>Interim!FP11-Interim!FP12</f>
        <v>0.21</v>
      </c>
      <c r="N399" s="717">
        <f>Interim!FQ11-Interim!FQ12</f>
        <v>0.23768115942029</v>
      </c>
      <c r="O399" s="717">
        <f>Interim!FR11-Interim!FR12</f>
        <v>0.22</v>
      </c>
      <c r="P399" s="717">
        <f>Interim!FS11-Interim!FS12</f>
        <v>0.256231759656652</v>
      </c>
      <c r="Q399" s="717">
        <f>Interim!FT11-Interim!FT12</f>
        <v>0.247205817540767</v>
      </c>
      <c r="R399" s="717">
        <f>Interim!FU11-Interim!FU12</f>
        <v>0.23</v>
      </c>
      <c r="S399" s="717">
        <f>Interim!FV11-Interim!FV12</f>
        <v>0.18</v>
      </c>
      <c r="T399" s="717">
        <f>Interim!FW11-Interim!FW12</f>
        <v>0.21</v>
      </c>
      <c r="U399" s="717">
        <f>Interim!FX11-Interim!FX12</f>
        <v>0.195970149253731</v>
      </c>
      <c r="V399" s="717">
        <f>Interim!FY11-Interim!FY12</f>
        <v>0.0900000000000002</v>
      </c>
      <c r="W399" s="717">
        <f>Interim!FZ11-Interim!FZ12</f>
        <v>0.156167749223383</v>
      </c>
      <c r="X399" s="717">
        <f>Interim!GA11-Interim!GA12</f>
        <v>0.21</v>
      </c>
      <c r="Y399" s="717">
        <f>Interim!GB11-Interim!GB12</f>
        <v>0.152836676217765</v>
      </c>
      <c r="Z399" s="717">
        <f>Interim!GC11-Interim!GC12</f>
        <v>0.17189886068359</v>
      </c>
      <c r="AA399" s="717">
        <f>Interim!GD11-Interim!GD12</f>
        <v>0.11</v>
      </c>
      <c r="AB399" s="717">
        <f>Interim!GE11-Interim!GE12</f>
        <v>0.12</v>
      </c>
      <c r="AC399" s="717">
        <f>Interim!GE11-Interim!GE12</f>
        <v>0.12</v>
      </c>
      <c r="AD399" s="717">
        <f>Interim!GG11-Interim!GG12</f>
        <v>0.24</v>
      </c>
      <c r="AE399" s="717">
        <f>Interim!GG11-Interim!GG12</f>
        <v>0.24</v>
      </c>
      <c r="AF399" s="717">
        <f>Interim!GI11-Interim!GI12</f>
        <v>0.13</v>
      </c>
      <c r="AI399" s="717">
        <f>Interim!GL11-Interim!GL12</f>
        <v>0.18</v>
      </c>
      <c r="AJ399" s="717">
        <f>Interim!GM11-Interim!GM12</f>
        <v>0.16</v>
      </c>
      <c r="AK399" s="717"/>
      <c r="AL399" s="717">
        <f>Interim!GO11-Interim!GO12</f>
        <v>0.11</v>
      </c>
      <c r="AM399" s="717"/>
      <c r="AN399" s="717"/>
      <c r="AQ399" s="717">
        <f>AVERAGE(S399:AF399)</f>
        <v>0.166205245384176</v>
      </c>
    </row>
    <row r="400" spans="2:43">
      <c r="B400" s="137" t="s">
        <v>771</v>
      </c>
    </row>
    <row r="402" spans="2:43">
      <c r="B402" s="137" t="s">
        <v>772</v>
      </c>
      <c r="C402" s="717">
        <f>Interim!FF14</f>
        <v>0.038145277441474</v>
      </c>
      <c r="D402" s="717">
        <f>Interim!FG14</f>
        <v>0.0410718795809361</v>
      </c>
      <c r="E402" s="717">
        <f>Interim!FH14</f>
        <v>0.0370407288243575</v>
      </c>
      <c r="F402" s="717">
        <f>Interim!FI14</f>
        <v>0.0354277493888459</v>
      </c>
      <c r="G402" s="717">
        <f>Interim!FJ14</f>
        <v>0.0313998608468724</v>
      </c>
      <c r="H402" s="717">
        <f>Interim!FK14</f>
        <v>0.0470608252833994</v>
      </c>
      <c r="I402" s="717">
        <f>Interim!FL14</f>
        <v>0.0307023722195998</v>
      </c>
      <c r="J402" s="717">
        <f>Interim!FM14</f>
        <v>0.0336089580811055</v>
      </c>
      <c r="K402" s="717">
        <f>Interim!FN14</f>
        <v>0.0201011611737148</v>
      </c>
      <c r="L402" s="717">
        <f>Interim!FO14</f>
        <v>-0.00385916545882246</v>
      </c>
      <c r="M402" s="717">
        <f>Interim!FP14</f>
        <v>0.00712674250025588</v>
      </c>
      <c r="N402" s="717">
        <f>Interim!FQ14</f>
        <v>0.0265743661722754</v>
      </c>
      <c r="O402" s="717">
        <f>Interim!FR14</f>
        <v>0.014152323826797</v>
      </c>
      <c r="P402" s="717">
        <f>Interim!FS14</f>
        <v>0.0435084741420925</v>
      </c>
      <c r="Q402" s="717">
        <f>Interim!FT14</f>
        <v>0.0352690491977655</v>
      </c>
      <c r="R402" s="717">
        <f>Interim!FU14</f>
        <v>0.0222546491329612</v>
      </c>
      <c r="S402" s="717">
        <f>Interim!FV14</f>
        <v>0.0240089983002892</v>
      </c>
      <c r="T402" s="717">
        <f>Interim!FW14</f>
        <v>0.0180112054305488</v>
      </c>
      <c r="U402" s="717">
        <f>Interim!FX14</f>
        <v>0.0208161433895319</v>
      </c>
      <c r="V402" s="717">
        <f>Interim!FY14</f>
        <v>-0.00799337860922093</v>
      </c>
      <c r="W402" s="717">
        <f>Interim!FZ14</f>
        <v>0.00999528367240643</v>
      </c>
      <c r="X402" s="717">
        <f>Interim!GA14</f>
        <v>0.0158451550169097</v>
      </c>
      <c r="Y402" s="717">
        <f>Interim!GB14</f>
        <v>0.0044894065488747</v>
      </c>
      <c r="Z402" s="717">
        <f>Interim!GC14</f>
        <v>0.0117047603675221</v>
      </c>
      <c r="AA402" s="717">
        <f>Interim!GD14</f>
        <v>-0.0096069255120147</v>
      </c>
      <c r="AB402" s="717">
        <f>Interim!GE14</f>
        <v>0.00297110876620807</v>
      </c>
      <c r="AC402" s="717">
        <f>Interim!GE14</f>
        <v>0.00297110876620807</v>
      </c>
      <c r="AD402" s="717">
        <f>Interim!GG14</f>
        <v>-0.00593060514493021</v>
      </c>
      <c r="AE402" s="717">
        <f>Interim!GG14</f>
        <v>-0.00593060514493021</v>
      </c>
      <c r="AF402" s="717">
        <f>Interim!GI14</f>
        <v>0.0281271773226536</v>
      </c>
      <c r="AI402" s="717">
        <f>Interim!GL14</f>
        <v>-0.00188668841001803</v>
      </c>
      <c r="AJ402" s="717">
        <f>Interim!GM14</f>
        <v>-0.00274518677926666</v>
      </c>
      <c r="AK402" s="717">
        <f>Interim!GN14</f>
        <v>-0.00235143718261956</v>
      </c>
      <c r="AL402" s="717">
        <f>Interim!GO14</f>
        <v>0.00733965905649369</v>
      </c>
      <c r="AM402" s="717">
        <f>Interim!GP14</f>
        <v>-0.00994003915696026</v>
      </c>
      <c r="AN402" s="717"/>
    </row>
    <row r="403" spans="2:43">
      <c r="B403" s="137" t="s">
        <v>773</v>
      </c>
      <c r="C403" s="717">
        <f>Interim!FF16</f>
        <v>0.04</v>
      </c>
      <c r="D403" s="717">
        <f>Interim!FG16</f>
        <v>-0.02</v>
      </c>
      <c r="E403" s="717">
        <f>Interim!FH16</f>
        <v>0.01</v>
      </c>
      <c r="F403" s="717">
        <f>Interim!FI16</f>
        <v>0.03</v>
      </c>
      <c r="G403" s="717">
        <f>Interim!FJ16</f>
        <v>0.02</v>
      </c>
      <c r="H403" s="717">
        <f>Interim!FK16</f>
        <v>0.05</v>
      </c>
      <c r="I403" s="717">
        <f>Interim!FL16</f>
        <v>0.0469392775856083</v>
      </c>
      <c r="J403" s="717">
        <f>Interim!FM16</f>
        <v>0.03</v>
      </c>
      <c r="K403" s="717">
        <f>Interim!FN16</f>
        <v>0.13</v>
      </c>
      <c r="L403" s="717">
        <f>Interim!FO16</f>
        <v>0.13</v>
      </c>
      <c r="M403" s="717">
        <f>Interim!FP16</f>
        <v>0.13</v>
      </c>
      <c r="N403" s="717">
        <f>Interim!FQ16</f>
        <v>0.13</v>
      </c>
      <c r="O403" s="717">
        <f>Interim!FR16</f>
        <v>0.13</v>
      </c>
      <c r="P403" s="717">
        <f>Interim!FS16</f>
        <v>0.0937682403433476</v>
      </c>
      <c r="Q403" s="717">
        <f>Interim!FT16</f>
        <v>0.111397091229617</v>
      </c>
      <c r="R403" s="717">
        <f>Interim!FU16</f>
        <v>0.12</v>
      </c>
      <c r="S403" s="717">
        <f>Interim!FV16</f>
        <v>0.05</v>
      </c>
      <c r="T403" s="717">
        <f>Interim!FW16</f>
        <v>0.06</v>
      </c>
      <c r="U403" s="717">
        <f>Interim!FX16</f>
        <v>0.0553233830845771</v>
      </c>
      <c r="V403" s="717">
        <f>Interim!FY16</f>
        <v>0.02</v>
      </c>
      <c r="W403" s="717">
        <f>Interim!FZ16</f>
        <v>0.0420559164077944</v>
      </c>
      <c r="X403" s="717">
        <f>Interim!GA16</f>
        <v>0.05625</v>
      </c>
      <c r="Y403" s="717">
        <f>Interim!GB16</f>
        <v>0.0389819126074499</v>
      </c>
      <c r="Z403" s="717">
        <f>Interim!GC16</f>
        <v>0.04620377773336</v>
      </c>
      <c r="AA403" s="717">
        <f>Interim!GD16</f>
        <v>0.05</v>
      </c>
      <c r="AB403" s="717">
        <f>Interim!GE16</f>
        <v>0.05</v>
      </c>
      <c r="AC403" s="717">
        <f>Interim!GE16</f>
        <v>0.05</v>
      </c>
      <c r="AD403" s="717">
        <f>Interim!GG16</f>
        <v>0.05</v>
      </c>
      <c r="AE403" s="717">
        <f>Interim!GG16</f>
        <v>0.05</v>
      </c>
      <c r="AF403" s="717">
        <f>Interim!GI16</f>
        <v>0.04</v>
      </c>
      <c r="AI403" s="188">
        <f>AI398-AI402</f>
        <v>0.0854688963349051</v>
      </c>
      <c r="AJ403" s="188">
        <f t="shared" ref="AJ403:AM403" si="96">AJ398-AJ402</f>
        <v>0.0707100216166589</v>
      </c>
      <c r="AK403" s="188">
        <f t="shared" si="96"/>
        <v>0.00235143718261956</v>
      </c>
      <c r="AL403" s="188">
        <f t="shared" si="96"/>
        <v>0.0895124602059909</v>
      </c>
      <c r="AM403" s="188">
        <f t="shared" si="96"/>
        <v>0.00994003915696026</v>
      </c>
      <c r="AN403" s="188"/>
    </row>
    <row r="405" spans="2:43">
      <c r="B405" s="137" t="s">
        <v>774</v>
      </c>
      <c r="C405" s="717">
        <f>'Profit and Loss'!V25</f>
        <v>0.0371120934693178</v>
      </c>
      <c r="D405" s="717">
        <f>C405</f>
        <v>0.0371120934693178</v>
      </c>
      <c r="E405" s="717"/>
      <c r="F405" s="717">
        <f>C405</f>
        <v>0.0371120934693178</v>
      </c>
      <c r="G405" s="717"/>
      <c r="H405" s="717">
        <f>C405</f>
        <v>0.0371120934693178</v>
      </c>
      <c r="K405" s="717">
        <f>'Profit and Loss'!W25</f>
        <v>0.0518670326304227</v>
      </c>
      <c r="L405" s="717">
        <f>K405</f>
        <v>0.0518670326304227</v>
      </c>
      <c r="M405" s="717"/>
      <c r="N405" s="717">
        <f>K405</f>
        <v>0.0518670326304227</v>
      </c>
      <c r="O405" s="717"/>
      <c r="P405" s="717">
        <f>K405</f>
        <v>0.0518670326304227</v>
      </c>
      <c r="Q405" s="717"/>
      <c r="R405" s="717"/>
      <c r="S405" s="717">
        <f>'Profit and Loss'!X25</f>
        <v>0.0712003057327995</v>
      </c>
      <c r="T405" s="717">
        <f>S405</f>
        <v>0.0712003057327995</v>
      </c>
      <c r="U405" s="717"/>
      <c r="V405" s="717">
        <f>S405</f>
        <v>0.0712003057327995</v>
      </c>
      <c r="W405" s="717"/>
      <c r="X405" s="717">
        <f>S405</f>
        <v>0.0712003057327995</v>
      </c>
      <c r="Y405" s="717"/>
      <c r="Z405" s="717"/>
      <c r="AA405" s="717">
        <f>'Profit and Loss'!Y25</f>
        <v>0.0902122786224272</v>
      </c>
      <c r="AB405" s="717">
        <f>AA405</f>
        <v>0.0902122786224272</v>
      </c>
      <c r="AC405" s="717"/>
      <c r="AD405" s="717">
        <f>AA405</f>
        <v>0.0902122786224272</v>
      </c>
      <c r="AE405" s="717"/>
      <c r="AF405" s="717">
        <f>AA405</f>
        <v>0.0902122786224272</v>
      </c>
      <c r="AG405" s="717"/>
      <c r="AH405" s="717"/>
      <c r="AI405" s="717">
        <f>'Profit and Loss'!Z25</f>
        <v>0.112747846920449</v>
      </c>
      <c r="AJ405" s="717">
        <f>AI405</f>
        <v>0.112747846920449</v>
      </c>
      <c r="AK405" s="717"/>
      <c r="AL405" s="717">
        <f>AJ405</f>
        <v>0.112747846920449</v>
      </c>
      <c r="AM405" s="717"/>
      <c r="AN405" s="717"/>
    </row>
    <row r="406" spans="2:43">
      <c r="B406" s="137" t="s">
        <v>775</v>
      </c>
      <c r="C406" s="717">
        <f>'Profit and Loss'!V26</f>
        <v>0.148720933672947</v>
      </c>
      <c r="D406" s="717">
        <f>C406</f>
        <v>0.148720933672947</v>
      </c>
      <c r="E406" s="717"/>
      <c r="F406" s="717">
        <f>C406</f>
        <v>0.148720933672947</v>
      </c>
      <c r="G406" s="717"/>
      <c r="H406" s="717">
        <f>C406</f>
        <v>0.148720933672947</v>
      </c>
      <c r="K406" s="717">
        <f>'Profit and Loss'!W26</f>
        <v>0.199983022074926</v>
      </c>
      <c r="L406" s="717">
        <f>K406</f>
        <v>0.199983022074926</v>
      </c>
      <c r="M406" s="717"/>
      <c r="N406" s="717">
        <f>K406</f>
        <v>0.199983022074926</v>
      </c>
      <c r="O406" s="717"/>
      <c r="P406" s="717">
        <f>K406</f>
        <v>0.199983022074926</v>
      </c>
      <c r="Q406" s="717"/>
      <c r="R406" s="717"/>
      <c r="S406" s="717">
        <f>'Profit and Loss'!X26</f>
        <v>0.257803427822277</v>
      </c>
      <c r="T406" s="717">
        <f>S406</f>
        <v>0.257803427822277</v>
      </c>
      <c r="U406" s="717"/>
      <c r="V406" s="717">
        <f>S406</f>
        <v>0.257803427822277</v>
      </c>
      <c r="W406" s="717"/>
      <c r="X406" s="717">
        <f>S406</f>
        <v>0.257803427822277</v>
      </c>
      <c r="Y406" s="717"/>
      <c r="Z406" s="717"/>
      <c r="AA406" s="717">
        <f>'Profit and Loss'!Y26</f>
        <v>0.304716721025045</v>
      </c>
      <c r="AB406" s="717">
        <f>AA406</f>
        <v>0.304716721025045</v>
      </c>
      <c r="AC406" s="717"/>
      <c r="AD406" s="717">
        <f>AA406</f>
        <v>0.304716721025045</v>
      </c>
      <c r="AE406" s="717"/>
      <c r="AF406" s="717">
        <f>AA406</f>
        <v>0.304716721025045</v>
      </c>
      <c r="AG406" s="717"/>
      <c r="AH406" s="717"/>
      <c r="AI406" s="717">
        <f>'Profit and Loss'!Z26</f>
        <v>0.341114902616628</v>
      </c>
      <c r="AJ406" s="717">
        <f>AI406</f>
        <v>0.341114902616628</v>
      </c>
      <c r="AK406" s="717"/>
      <c r="AL406" s="717">
        <f>AJ406</f>
        <v>0.341114902616628</v>
      </c>
      <c r="AM406" s="717"/>
      <c r="AN406" s="717"/>
    </row>
    <row r="408" spans="2:43">
      <c r="B408" s="137" t="s">
        <v>509</v>
      </c>
      <c r="C408" s="717">
        <f>Interim!FF16+Interim!FF15</f>
        <v>0.101854722558526</v>
      </c>
      <c r="D408" s="717">
        <f>Interim!FG16+Interim!FG15</f>
        <v>0.044063819792759</v>
      </c>
      <c r="E408" s="717">
        <f>Interim!FH16+Interim!FH15</f>
        <v>0.0729592711756425</v>
      </c>
      <c r="F408" s="717">
        <f>Interim!FI16+Interim!FI15</f>
        <v>0.0545722506111541</v>
      </c>
      <c r="G408" s="717">
        <f>Interim!FJ16+Interim!FJ15</f>
        <v>0.0686001391531276</v>
      </c>
      <c r="H408" s="717">
        <f>Interim!FK16+Interim!FK15</f>
        <v>0.0903383071508138</v>
      </c>
      <c r="I408" s="717">
        <f>Interim!FL16+Interim!FL15</f>
        <v>0.0792976277804002</v>
      </c>
      <c r="J408" s="717">
        <f>Interim!FM16+Interim!FM15</f>
        <v>0.0763910419188945</v>
      </c>
      <c r="K408" s="717">
        <f>Interim!FN16+Interim!FN15</f>
        <v>0.199898838826285</v>
      </c>
      <c r="L408" s="717">
        <f>Interim!FO16+Interim!FO15</f>
        <v>0.205391805004707</v>
      </c>
      <c r="M408" s="717">
        <f>Interim!FP16+Interim!FP15</f>
        <v>0.202873257499744</v>
      </c>
      <c r="N408" s="717">
        <f>Interim!FQ16+Interim!FQ15</f>
        <v>0.211106793248015</v>
      </c>
      <c r="O408" s="717">
        <f>Interim!FR16+Interim!FR15</f>
        <v>0.205847676173203</v>
      </c>
      <c r="P408" s="717">
        <f>Interim!FS16+Interim!FS15</f>
        <v>0.21272328551456</v>
      </c>
      <c r="Q408" s="717">
        <f>Interim!FT16+Interim!FT15</f>
        <v>0.211936768343001</v>
      </c>
      <c r="R408" s="717">
        <f>Interim!FU16+Interim!FU15</f>
        <v>0.207745350867039</v>
      </c>
      <c r="S408" s="717">
        <f>Interim!FV16+Interim!FV15</f>
        <v>0.155991001699711</v>
      </c>
      <c r="T408" s="717">
        <f>Interim!FW16+Interim!FW15</f>
        <v>0.191988794569451</v>
      </c>
      <c r="U408" s="717">
        <f>Interim!FX16+Interim!FX15</f>
        <v>0.175154005864199</v>
      </c>
      <c r="V408" s="717">
        <f>Interim!FY16+Interim!FY15</f>
        <v>0.0979933786092211</v>
      </c>
      <c r="W408" s="717">
        <f>Interim!FZ16+Interim!FZ15</f>
        <v>0.146172465550977</v>
      </c>
      <c r="X408" s="717">
        <f>Interim!GA16+Interim!GA15</f>
        <v>0.19415484498309</v>
      </c>
      <c r="Y408" s="717">
        <f>Interim!GB16+Interim!GB15</f>
        <v>0.14834726966889</v>
      </c>
      <c r="Z408" s="717">
        <f>Interim!GC16+Interim!GC15</f>
        <v>0.160194100316068</v>
      </c>
      <c r="AA408" s="717">
        <f>Interim!GD16+Interim!GD15</f>
        <v>0.119606925512015</v>
      </c>
      <c r="AB408" s="717">
        <f>Interim!GE16+Interim!GE15</f>
        <v>0.117028891233792</v>
      </c>
      <c r="AC408" s="717">
        <f>Interim!GE16+Interim!GE15</f>
        <v>0.117028891233792</v>
      </c>
      <c r="AD408" s="717">
        <f>Interim!GG16+Interim!GG15</f>
        <v>0.24593060514493</v>
      </c>
      <c r="AE408" s="717">
        <f>Interim!GG16+Interim!GG15</f>
        <v>0.24593060514493</v>
      </c>
      <c r="AF408" s="717">
        <f>Interim!GI16+Interim!GI15</f>
        <v>0.101872822677346</v>
      </c>
      <c r="AI408" s="188">
        <f>AI409+AI410</f>
        <v>0.207355584744923</v>
      </c>
      <c r="AJ408" s="188">
        <f t="shared" ref="AJ408:AM408" si="97">AJ409+AJ410</f>
        <v>0.183455208395926</v>
      </c>
      <c r="AK408" s="188">
        <f t="shared" si="97"/>
        <v>0.00235143718261956</v>
      </c>
      <c r="AL408" s="188">
        <f t="shared" si="97"/>
        <v>0.132172801149497</v>
      </c>
      <c r="AM408" s="188">
        <f t="shared" si="97"/>
        <v>0.00994003915696026</v>
      </c>
      <c r="AN408" s="188"/>
    </row>
    <row r="409" spans="2:43">
      <c r="B409" s="137" t="s">
        <v>776</v>
      </c>
      <c r="C409" s="717">
        <f>Interim!FF16</f>
        <v>0.04</v>
      </c>
      <c r="D409" s="717">
        <f>Interim!FG16</f>
        <v>-0.02</v>
      </c>
      <c r="E409" s="717">
        <f>Interim!FH16</f>
        <v>0.01</v>
      </c>
      <c r="F409" s="717">
        <f>Interim!FI16</f>
        <v>0.03</v>
      </c>
      <c r="G409" s="717">
        <f>Interim!FJ16</f>
        <v>0.02</v>
      </c>
      <c r="H409" s="717">
        <f>Interim!FK16</f>
        <v>0.05</v>
      </c>
      <c r="I409" s="717">
        <f>Interim!FL16</f>
        <v>0.0469392775856083</v>
      </c>
      <c r="J409" s="717">
        <f>Interim!FM16</f>
        <v>0.03</v>
      </c>
      <c r="K409" s="717">
        <f>Interim!FN16</f>
        <v>0.13</v>
      </c>
      <c r="L409" s="717">
        <f>Interim!FO16</f>
        <v>0.13</v>
      </c>
      <c r="M409" s="717">
        <f>Interim!FP16</f>
        <v>0.13</v>
      </c>
      <c r="N409" s="717">
        <f>Interim!FQ16</f>
        <v>0.13</v>
      </c>
      <c r="O409" s="717">
        <f>Interim!FR16</f>
        <v>0.13</v>
      </c>
      <c r="P409" s="717">
        <f>Interim!FS16</f>
        <v>0.0937682403433476</v>
      </c>
      <c r="Q409" s="717">
        <f>Interim!FT16</f>
        <v>0.111397091229617</v>
      </c>
      <c r="R409" s="717">
        <f>Interim!FU16</f>
        <v>0.12</v>
      </c>
      <c r="S409" s="717">
        <f>Interim!FV16</f>
        <v>0.05</v>
      </c>
      <c r="T409" s="717">
        <f>Interim!FW16</f>
        <v>0.06</v>
      </c>
      <c r="U409" s="717">
        <f>Interim!FX16</f>
        <v>0.0553233830845771</v>
      </c>
      <c r="V409" s="717">
        <f>Interim!FY16</f>
        <v>0.02</v>
      </c>
      <c r="W409" s="717">
        <f>Interim!FZ16</f>
        <v>0.0420559164077944</v>
      </c>
      <c r="X409" s="717">
        <f>Interim!GA16</f>
        <v>0.05625</v>
      </c>
      <c r="Y409" s="717">
        <f>Interim!GB16</f>
        <v>0.0389819126074499</v>
      </c>
      <c r="Z409" s="717">
        <f>Interim!GC16</f>
        <v>0.04620377773336</v>
      </c>
      <c r="AA409" s="717">
        <f>Interim!GD16</f>
        <v>0.05</v>
      </c>
      <c r="AB409" s="717">
        <f>Interim!GE16</f>
        <v>0.05</v>
      </c>
      <c r="AC409" s="717">
        <f>Interim!GE16</f>
        <v>0.05</v>
      </c>
      <c r="AD409" s="717">
        <f>Interim!GG16</f>
        <v>0.05</v>
      </c>
      <c r="AE409" s="717">
        <f>Interim!GG16</f>
        <v>0.05</v>
      </c>
      <c r="AF409" s="717">
        <f>Interim!GI16</f>
        <v>0.04</v>
      </c>
      <c r="AI409" s="188">
        <f>AI403</f>
        <v>0.0854688963349051</v>
      </c>
      <c r="AJ409" s="188">
        <f t="shared" ref="AJ409:AM409" si="98">AJ403</f>
        <v>0.0707100216166589</v>
      </c>
      <c r="AK409" s="188">
        <f t="shared" si="98"/>
        <v>0.00235143718261956</v>
      </c>
      <c r="AL409" s="188">
        <f t="shared" si="98"/>
        <v>0.0895124602059909</v>
      </c>
      <c r="AM409" s="188">
        <f t="shared" si="98"/>
        <v>0.00994003915696026</v>
      </c>
      <c r="AN409" s="188"/>
    </row>
    <row r="410" spans="2:43">
      <c r="B410" s="137" t="s">
        <v>777</v>
      </c>
      <c r="C410" s="717">
        <f>C408-C409</f>
        <v>0.061854722558526</v>
      </c>
      <c r="D410" s="717">
        <f t="shared" ref="D410:AF410" si="99">D408-D409</f>
        <v>0.064063819792759</v>
      </c>
      <c r="E410" s="717">
        <f t="shared" si="99"/>
        <v>0.0629592711756425</v>
      </c>
      <c r="F410" s="717">
        <f t="shared" si="99"/>
        <v>0.0245722506111541</v>
      </c>
      <c r="G410" s="717">
        <f t="shared" si="99"/>
        <v>0.0486001391531276</v>
      </c>
      <c r="H410" s="717">
        <f t="shared" si="99"/>
        <v>0.0403383071508138</v>
      </c>
      <c r="I410" s="717">
        <f t="shared" si="99"/>
        <v>0.0323583501947919</v>
      </c>
      <c r="J410" s="717">
        <f t="shared" si="99"/>
        <v>0.0463910419188945</v>
      </c>
      <c r="K410" s="717">
        <f t="shared" si="99"/>
        <v>0.0698988388262852</v>
      </c>
      <c r="L410" s="717">
        <f t="shared" si="99"/>
        <v>0.075391805004707</v>
      </c>
      <c r="M410" s="717">
        <f t="shared" si="99"/>
        <v>0.0728732574997441</v>
      </c>
      <c r="N410" s="717">
        <f t="shared" si="99"/>
        <v>0.0811067932480145</v>
      </c>
      <c r="O410" s="717">
        <f t="shared" si="99"/>
        <v>0.075847676173203</v>
      </c>
      <c r="P410" s="717">
        <f t="shared" si="99"/>
        <v>0.118955045171212</v>
      </c>
      <c r="Q410" s="717">
        <f t="shared" si="99"/>
        <v>0.100539677113385</v>
      </c>
      <c r="R410" s="717">
        <f t="shared" si="99"/>
        <v>0.0877453508670388</v>
      </c>
      <c r="S410" s="717">
        <f t="shared" si="99"/>
        <v>0.105991001699711</v>
      </c>
      <c r="T410" s="717">
        <f t="shared" si="99"/>
        <v>0.131988794569451</v>
      </c>
      <c r="U410" s="717">
        <f t="shared" si="99"/>
        <v>0.119830622779622</v>
      </c>
      <c r="V410" s="717">
        <f t="shared" si="99"/>
        <v>0.0779933786092211</v>
      </c>
      <c r="W410" s="717">
        <f t="shared" si="99"/>
        <v>0.104116549143182</v>
      </c>
      <c r="X410" s="717">
        <f t="shared" si="99"/>
        <v>0.13790484498309</v>
      </c>
      <c r="Y410" s="717">
        <f t="shared" si="99"/>
        <v>0.109365357061441</v>
      </c>
      <c r="Z410" s="717">
        <f t="shared" si="99"/>
        <v>0.113990322582708</v>
      </c>
      <c r="AA410" s="717">
        <f t="shared" si="99"/>
        <v>0.0696069255120147</v>
      </c>
      <c r="AB410" s="717">
        <f t="shared" si="99"/>
        <v>0.0670288912337919</v>
      </c>
      <c r="AC410" s="717">
        <f t="shared" si="99"/>
        <v>0.0670288912337919</v>
      </c>
      <c r="AD410" s="717">
        <f t="shared" si="99"/>
        <v>0.19593060514493</v>
      </c>
      <c r="AE410" s="717">
        <f t="shared" si="99"/>
        <v>0.19593060514493</v>
      </c>
      <c r="AF410" s="717">
        <f t="shared" si="99"/>
        <v>0.0618728226773464</v>
      </c>
      <c r="AI410" s="717">
        <f>AI397*$AA$406</f>
        <v>0.121886688410018</v>
      </c>
      <c r="AJ410" s="717">
        <f t="shared" ref="AJ410:AM410" si="100">AJ397*$AA$406</f>
        <v>0.112745186779267</v>
      </c>
      <c r="AK410" s="717">
        <f t="shared" si="100"/>
        <v>0</v>
      </c>
      <c r="AL410" s="717">
        <f t="shared" si="100"/>
        <v>0.0426603409435063</v>
      </c>
      <c r="AM410" s="717">
        <f t="shared" si="100"/>
        <v>0</v>
      </c>
      <c r="AN410" s="717"/>
    </row>
    <row r="411" spans="2:43">
      <c r="C411" s="958" t="s">
        <v>400</v>
      </c>
      <c r="D411" s="958" t="s">
        <v>401</v>
      </c>
      <c r="E411" s="958" t="s">
        <v>402</v>
      </c>
      <c r="F411" s="958" t="s">
        <v>403</v>
      </c>
      <c r="G411" s="958" t="s">
        <v>404</v>
      </c>
      <c r="H411" s="958" t="s">
        <v>405</v>
      </c>
      <c r="I411" s="958" t="s">
        <v>406</v>
      </c>
      <c r="J411" s="958" t="s">
        <v>407</v>
      </c>
      <c r="K411" s="958" t="s">
        <v>408</v>
      </c>
      <c r="L411" s="958" t="s">
        <v>409</v>
      </c>
      <c r="M411" s="958" t="s">
        <v>410</v>
      </c>
      <c r="N411" s="958" t="s">
        <v>411</v>
      </c>
      <c r="O411" s="958" t="s">
        <v>412</v>
      </c>
      <c r="P411" s="958" t="s">
        <v>413</v>
      </c>
      <c r="Q411" s="958" t="s">
        <v>414</v>
      </c>
      <c r="R411" s="958" t="s">
        <v>415</v>
      </c>
      <c r="S411" s="958" t="s">
        <v>416</v>
      </c>
      <c r="T411" s="958" t="s">
        <v>417</v>
      </c>
      <c r="U411" s="958" t="s">
        <v>418</v>
      </c>
      <c r="V411" s="958" t="s">
        <v>419</v>
      </c>
      <c r="W411" s="958" t="s">
        <v>420</v>
      </c>
      <c r="X411" s="958" t="s">
        <v>421</v>
      </c>
      <c r="Y411" s="718"/>
      <c r="Z411" s="718"/>
      <c r="AA411" s="958" t="s">
        <v>424</v>
      </c>
      <c r="AB411" s="958" t="s">
        <v>425</v>
      </c>
      <c r="AC411" s="958" t="s">
        <v>424</v>
      </c>
      <c r="AD411" s="958" t="s">
        <v>427</v>
      </c>
      <c r="AE411" s="958" t="s">
        <v>733</v>
      </c>
      <c r="AF411" s="958" t="s">
        <v>429</v>
      </c>
      <c r="AI411" s="958" t="s">
        <v>432</v>
      </c>
      <c r="AJ411" s="958" t="s">
        <v>433</v>
      </c>
      <c r="AK411" s="958" t="s">
        <v>424</v>
      </c>
      <c r="AL411" s="958" t="s">
        <v>435</v>
      </c>
      <c r="AM411" s="958" t="s">
        <v>733</v>
      </c>
      <c r="AN411" s="958" t="s">
        <v>729</v>
      </c>
    </row>
    <row r="412" spans="2:43">
      <c r="B412" s="137" t="s">
        <v>60</v>
      </c>
      <c r="C412" s="717">
        <f>Interim!FF8</f>
        <v>0.0853279587827344</v>
      </c>
      <c r="D412" s="717">
        <f>Interim!FG8</f>
        <v>0.0700776182350177</v>
      </c>
      <c r="E412" s="717"/>
      <c r="F412" s="717">
        <f>Interim!FI8</f>
        <v>0.140246479196268</v>
      </c>
      <c r="G412" s="717"/>
      <c r="H412" s="717">
        <f>Interim!FK8</f>
        <v>0.142284206301323</v>
      </c>
      <c r="I412" s="717"/>
      <c r="J412" s="717"/>
      <c r="K412" s="717">
        <f>Interim!FN8</f>
        <v>0.232453930985414</v>
      </c>
      <c r="L412" s="717">
        <f>Interim!FO8</f>
        <v>0.227762575452716</v>
      </c>
      <c r="M412" s="717"/>
      <c r="N412" s="717">
        <f>Interim!FQ8</f>
        <v>0.160805496828753</v>
      </c>
      <c r="O412" s="717"/>
      <c r="P412" s="717">
        <f>Interim!FS8</f>
        <v>0.12782786259542</v>
      </c>
      <c r="Q412" s="717"/>
      <c r="R412" s="717"/>
      <c r="S412" s="717">
        <f>Interim!FV8</f>
        <v>0.174028451632225</v>
      </c>
      <c r="T412" s="717">
        <f>Interim!FW8</f>
        <v>0.178712443360056</v>
      </c>
      <c r="U412" s="717"/>
      <c r="V412" s="717">
        <f>Interim!FY8</f>
        <v>0.134276032404413</v>
      </c>
      <c r="W412" s="717"/>
      <c r="X412" s="717">
        <f>Interim!GA8</f>
        <v>0.154144736842105</v>
      </c>
      <c r="Y412" s="717"/>
      <c r="Z412" s="717"/>
      <c r="AA412" s="717">
        <f>Interim!GD8</f>
        <v>0.102419802980551</v>
      </c>
      <c r="AB412" s="717">
        <f>Interim!GE8</f>
        <v>0.105625259412985</v>
      </c>
      <c r="AC412" s="717"/>
      <c r="AD412" s="717">
        <f>Interim!GG8</f>
        <v>0.0222541164905387</v>
      </c>
      <c r="AE412" s="717"/>
      <c r="AF412" s="717">
        <f>Interim!GI8</f>
        <v>-0.0181062215612329</v>
      </c>
      <c r="AG412" s="717"/>
      <c r="AH412" s="717"/>
      <c r="AI412" s="717">
        <v>0.02</v>
      </c>
      <c r="AJ412" s="717">
        <v>0.02</v>
      </c>
      <c r="AK412" s="717"/>
      <c r="AL412" s="717">
        <v>0.07</v>
      </c>
      <c r="AM412" s="717"/>
      <c r="AN412" s="717">
        <v>0.07</v>
      </c>
      <c r="AQ412" s="188"/>
    </row>
    <row r="457" spans="2:28">
      <c r="C457" s="137">
        <v>2010</v>
      </c>
      <c r="D457" s="137">
        <f>C457+1</f>
        <v>2011</v>
      </c>
      <c r="F457" s="137">
        <f>D457+1</f>
        <v>2012</v>
      </c>
      <c r="G457" s="137">
        <f>D457+1</f>
        <v>2012</v>
      </c>
      <c r="H457" s="137">
        <f>F457+1</f>
        <v>2013</v>
      </c>
      <c r="I457" s="137">
        <f>F457+1</f>
        <v>2013</v>
      </c>
      <c r="J457" s="137">
        <f t="shared" ref="J457:R457" si="101">I457+1</f>
        <v>2014</v>
      </c>
      <c r="K457" s="137">
        <f>H457+1</f>
        <v>2014</v>
      </c>
      <c r="L457" s="137">
        <f>K457+1</f>
        <v>2015</v>
      </c>
      <c r="M457" s="137">
        <f>K457+1</f>
        <v>2015</v>
      </c>
      <c r="N457" s="137">
        <f>L457+1</f>
        <v>2016</v>
      </c>
      <c r="O457" s="137">
        <f>L457+1</f>
        <v>2016</v>
      </c>
      <c r="P457" s="137">
        <f>N457+1</f>
        <v>2017</v>
      </c>
      <c r="Q457" s="137">
        <f>N457+1</f>
        <v>2017</v>
      </c>
      <c r="R457" s="137">
        <f t="shared" si="101"/>
        <v>2018</v>
      </c>
      <c r="S457" s="137">
        <v>2018</v>
      </c>
      <c r="T457" s="137">
        <v>2019</v>
      </c>
      <c r="V457" s="137" t="s">
        <v>778</v>
      </c>
      <c r="W457" s="137" t="s">
        <v>779</v>
      </c>
      <c r="X457" s="137" t="s">
        <v>780</v>
      </c>
      <c r="Y457" s="137" t="s">
        <v>780</v>
      </c>
      <c r="Z457" s="137" t="s">
        <v>781</v>
      </c>
    </row>
    <row r="458" spans="2:28">
      <c r="B458" s="137" t="s">
        <v>782</v>
      </c>
      <c r="C458" s="717">
        <f>'Profit and Loss'!Q35</f>
        <v>0.0865826498118305</v>
      </c>
      <c r="D458" s="717">
        <f>'Profit and Loss'!R35</f>
        <v>0.13</v>
      </c>
      <c r="E458" s="717"/>
      <c r="F458" s="717">
        <f>'Profit and Loss'!S35</f>
        <v>0.0637775576071455</v>
      </c>
      <c r="G458" s="717"/>
      <c r="H458" s="717">
        <f>'Profit and Loss'!T35</f>
        <v>0.0294190687361419</v>
      </c>
      <c r="I458" s="717"/>
      <c r="J458" s="717"/>
      <c r="K458" s="717">
        <f>'Profit and Loss'!U35</f>
        <v>0.0646918989787469</v>
      </c>
      <c r="L458" s="717">
        <f>'Profit and Loss'!V35</f>
        <v>0.0963410858047203</v>
      </c>
      <c r="M458" s="717"/>
      <c r="N458" s="717">
        <f>'Profit and Loss'!W35</f>
        <v>0.1815992905705</v>
      </c>
      <c r="O458" s="717"/>
      <c r="P458" s="717">
        <f>'Profit and Loss'!X35</f>
        <v>0.159997786824436</v>
      </c>
      <c r="Q458" s="717"/>
      <c r="R458" s="717"/>
      <c r="S458" s="717">
        <f>'Profit and Loss'!Y35</f>
        <v>0.0842075596191913</v>
      </c>
      <c r="T458" s="717">
        <f>'Profit and Loss'!Z35</f>
        <v>0.0605195710700433</v>
      </c>
      <c r="V458" s="717">
        <f>'Profit and Loss'!AA35</f>
        <v>-0.134484943113378</v>
      </c>
      <c r="W458" s="717">
        <f>'Profit and Loss'!AB35</f>
        <v>0.16</v>
      </c>
      <c r="X458" s="717">
        <f>'Profit and Loss'!AC35</f>
        <v>0.0104352453612131</v>
      </c>
      <c r="Y458" s="717">
        <f>'Profit and Loss'!AC35</f>
        <v>0.0104352453612131</v>
      </c>
      <c r="Z458" s="717">
        <f>'Profit and Loss'!AD35</f>
        <v>-0.044</v>
      </c>
      <c r="AB458" s="188"/>
    </row>
    <row r="459" spans="2:28">
      <c r="B459" s="137" t="s">
        <v>783</v>
      </c>
      <c r="C459" s="188">
        <f>AVERAGE(C458:Y458)</f>
        <v>0.0716801440451288</v>
      </c>
      <c r="D459" s="188">
        <f>C459</f>
        <v>0.0716801440451288</v>
      </c>
      <c r="F459" s="188">
        <f>C459</f>
        <v>0.0716801440451288</v>
      </c>
      <c r="H459" s="188">
        <f>C459</f>
        <v>0.0716801440451288</v>
      </c>
      <c r="K459" s="188">
        <f>$C$459</f>
        <v>0.0716801440451288</v>
      </c>
      <c r="L459" s="188">
        <f>$C$459</f>
        <v>0.0716801440451288</v>
      </c>
      <c r="N459" s="188">
        <f>$C$459</f>
        <v>0.0716801440451288</v>
      </c>
      <c r="P459" s="188">
        <f>$C$459</f>
        <v>0.0716801440451288</v>
      </c>
      <c r="S459" s="188">
        <f>$C$459</f>
        <v>0.0716801440451288</v>
      </c>
      <c r="T459" s="188">
        <f>$C$459</f>
        <v>0.0716801440451288</v>
      </c>
      <c r="V459" s="188">
        <f>$C$459</f>
        <v>0.0716801440451288</v>
      </c>
      <c r="W459" s="188">
        <f t="shared" ref="W459" si="102">$C$459</f>
        <v>0.0716801440451288</v>
      </c>
      <c r="X459" s="188">
        <f t="shared" ref="X459:Z459" si="103">$C$459</f>
        <v>0.0716801440451288</v>
      </c>
      <c r="Y459" s="188">
        <f t="shared" si="103"/>
        <v>0.0716801440451288</v>
      </c>
      <c r="Z459" s="188">
        <f t="shared" si="103"/>
        <v>0.0716801440451288</v>
      </c>
    </row>
    <row r="460" spans="2:28">
      <c r="B460" s="137" t="s">
        <v>60</v>
      </c>
      <c r="C460" s="188">
        <f>'Profit and Loss'!Q8</f>
        <v>0.075</v>
      </c>
      <c r="D460" s="717">
        <f>'Profit and Loss'!R8</f>
        <v>0.11</v>
      </c>
      <c r="F460" s="717">
        <f>'Profit and Loss'!S8</f>
        <v>0.0209070391061453</v>
      </c>
      <c r="G460" s="717"/>
      <c r="H460" s="717">
        <f>'Profit and Loss'!T8</f>
        <v>0.00380310500367146</v>
      </c>
      <c r="I460" s="717"/>
      <c r="J460" s="717"/>
      <c r="K460" s="717">
        <f>'Profit and Loss'!U8</f>
        <v>0.06</v>
      </c>
      <c r="L460" s="717">
        <f>'Profit and Loss'!V8</f>
        <v>0.108369365391292</v>
      </c>
      <c r="M460" s="717"/>
      <c r="N460" s="717">
        <f>'Profit and Loss'!W8</f>
        <v>0.185869243787298</v>
      </c>
      <c r="O460" s="717"/>
      <c r="P460" s="717">
        <f>'Profit and Loss'!X8</f>
        <v>0.159065464909054</v>
      </c>
      <c r="Q460" s="717"/>
      <c r="R460" s="717"/>
      <c r="S460" s="717">
        <f>'Profit and Loss'!Y8</f>
        <v>0.0622231648081003</v>
      </c>
      <c r="T460" s="717">
        <f>'Profit and Loss'!Z8</f>
        <v>0.00812707475699435</v>
      </c>
      <c r="V460" s="188"/>
    </row>
    <row r="483" spans="2:8">
      <c r="B483" s="137" t="s">
        <v>784</v>
      </c>
    </row>
    <row r="484" spans="2:8">
      <c r="C484" s="719" t="s">
        <v>128</v>
      </c>
      <c r="D484" s="719" t="s">
        <v>764</v>
      </c>
      <c r="F484" s="719" t="s">
        <v>764</v>
      </c>
    </row>
    <row r="485" spans="2:8">
      <c r="C485" s="137">
        <v>2018</v>
      </c>
      <c r="D485" s="137">
        <v>2018</v>
      </c>
      <c r="F485" s="137">
        <v>2029</v>
      </c>
    </row>
    <row r="486" spans="2:8">
      <c r="B486" s="137" t="s">
        <v>209</v>
      </c>
      <c r="C486" s="717">
        <v>0.477</v>
      </c>
      <c r="D486" s="138">
        <f>'Profit and Loss'!Y101</f>
        <v>0.268491900524755</v>
      </c>
      <c r="F486" s="138">
        <f>DCF!O101/DCF!$O$136</f>
        <v>0.326837812882382</v>
      </c>
      <c r="H486" s="735">
        <f>D501*(F486-D486)</f>
        <v>-0.457396253663999</v>
      </c>
    </row>
    <row r="487" spans="2:8">
      <c r="B487" s="137" t="s">
        <v>746</v>
      </c>
      <c r="C487" s="717">
        <v>0.412</v>
      </c>
      <c r="D487" s="138">
        <f>'Profit and Loss'!Y106</f>
        <v>0.213917408167921</v>
      </c>
      <c r="F487" s="138">
        <f>DCF!O106/DCF!$O$136</f>
        <v>0.288487622136577</v>
      </c>
      <c r="H487" s="735">
        <f t="shared" ref="H487:H492" si="104">D502*(F487-D487)</f>
        <v>-1.34429297290434</v>
      </c>
    </row>
    <row r="488" spans="2:8">
      <c r="B488" s="137" t="s">
        <v>785</v>
      </c>
      <c r="C488" s="717">
        <v>0.562</v>
      </c>
      <c r="D488" s="138">
        <f>'Profit and Loss'!Y116</f>
        <v>0.325849874515172</v>
      </c>
      <c r="F488" s="138">
        <f>DCF!O111/DCF!$O$136</f>
        <v>0.190687845163543</v>
      </c>
      <c r="H488" s="735">
        <f t="shared" si="104"/>
        <v>-1.35779207567847</v>
      </c>
    </row>
    <row r="489" spans="2:8">
      <c r="B489" s="137" t="s">
        <v>748</v>
      </c>
      <c r="C489" s="717">
        <v>0.449</v>
      </c>
      <c r="D489" s="138">
        <f>'Profit and Loss'!Y111</f>
        <v>0.0745151722564453</v>
      </c>
      <c r="F489" s="138">
        <f>DCF!O116/DCF!$O$136</f>
        <v>0.122853596348964</v>
      </c>
      <c r="H489" s="735">
        <f t="shared" si="104"/>
        <v>-0.605326907873642</v>
      </c>
    </row>
    <row r="490" spans="2:8">
      <c r="B490" s="137" t="s">
        <v>786</v>
      </c>
      <c r="C490" s="717">
        <v>0.528</v>
      </c>
      <c r="D490" s="138">
        <f>'Profit and Loss'!Y131</f>
        <v>0.0522016883413187</v>
      </c>
      <c r="F490" s="138">
        <f>DCF!O121/DCF!$O$136</f>
        <v>0.067352068102495</v>
      </c>
      <c r="H490" s="735">
        <f t="shared" si="104"/>
        <v>0.032098262205882</v>
      </c>
    </row>
    <row r="491" spans="2:8">
      <c r="B491" s="137" t="s">
        <v>787</v>
      </c>
      <c r="C491" s="717">
        <v>0.658</v>
      </c>
      <c r="D491" s="138">
        <f>'Profit and Loss'!Y126</f>
        <v>0.0271047227926078</v>
      </c>
      <c r="F491" s="138">
        <f>DCF!O126/DCF!$O$136</f>
        <v>0</v>
      </c>
      <c r="H491" s="735">
        <f t="shared" si="104"/>
        <v>-1.10955005583775</v>
      </c>
    </row>
    <row r="492" spans="2:8">
      <c r="B492" s="137" t="s">
        <v>788</v>
      </c>
      <c r="C492" s="717">
        <v>0.464</v>
      </c>
      <c r="D492" s="138">
        <f>'Profit and Loss'!Y141</f>
        <v>0.0379192334017796</v>
      </c>
      <c r="F492" s="138">
        <f>DCF!O131/DCF!$O$136</f>
        <v>0.00378105536603917</v>
      </c>
      <c r="H492" s="735">
        <f t="shared" si="104"/>
        <v>0.343929405583953</v>
      </c>
    </row>
    <row r="493" spans="2:8">
      <c r="B493" s="137" t="s">
        <v>789</v>
      </c>
      <c r="C493" s="717">
        <v>0.518</v>
      </c>
      <c r="D493" s="138">
        <f>SUM(D486:D492)</f>
        <v>1</v>
      </c>
      <c r="F493" s="138">
        <f>SUM(F486:F492)</f>
        <v>1</v>
      </c>
      <c r="H493" s="971">
        <f>SUM(H486:H492)</f>
        <v>-4.49833059816836</v>
      </c>
    </row>
    <row r="496" spans="2:8">
      <c r="C496" s="719" t="s">
        <v>790</v>
      </c>
      <c r="D496" s="719" t="s">
        <v>791</v>
      </c>
    </row>
    <row r="497" spans="2:20">
      <c r="B497" s="137" t="s">
        <v>792</v>
      </c>
      <c r="C497" s="137">
        <v>100</v>
      </c>
    </row>
    <row r="498" spans="2:20">
      <c r="B498" s="137" t="s">
        <v>793</v>
      </c>
      <c r="C498" s="137">
        <f>C497-C499</f>
        <v>48.2</v>
      </c>
    </row>
    <row r="499" spans="2:20">
      <c r="B499" s="137" t="s">
        <v>794</v>
      </c>
      <c r="C499" s="137">
        <v>51.8</v>
      </c>
    </row>
    <row r="501" spans="2:20">
      <c r="B501" s="137" t="s">
        <v>209</v>
      </c>
      <c r="C501" s="722">
        <f t="shared" ref="C501:C508" si="105">$C$498/(1-C486)</f>
        <v>92.1606118546845</v>
      </c>
      <c r="D501" s="826">
        <f>C501-$C$508</f>
        <v>-7.8393881453155</v>
      </c>
    </row>
    <row r="502" spans="2:20">
      <c r="B502" s="137" t="s">
        <v>746</v>
      </c>
      <c r="C502" s="722">
        <f t="shared" si="105"/>
        <v>81.9727891156463</v>
      </c>
      <c r="D502" s="826">
        <f t="shared" ref="D502:D508" si="106">C502-$C$508</f>
        <v>-18.0272108843538</v>
      </c>
    </row>
    <row r="503" spans="2:20">
      <c r="B503" s="137" t="s">
        <v>785</v>
      </c>
      <c r="C503" s="722">
        <f t="shared" si="105"/>
        <v>110.045662100457</v>
      </c>
      <c r="D503" s="826">
        <f t="shared" si="106"/>
        <v>10.0456621004566</v>
      </c>
    </row>
    <row r="504" spans="2:20">
      <c r="B504" s="137" t="s">
        <v>748</v>
      </c>
      <c r="C504" s="722">
        <f t="shared" si="105"/>
        <v>87.4773139745917</v>
      </c>
      <c r="D504" s="826">
        <f t="shared" si="106"/>
        <v>-12.5226860254083</v>
      </c>
    </row>
    <row r="505" spans="2:20">
      <c r="B505" s="137" t="s">
        <v>786</v>
      </c>
      <c r="C505" s="722">
        <f t="shared" si="105"/>
        <v>102.118644067797</v>
      </c>
      <c r="D505" s="826">
        <f t="shared" si="106"/>
        <v>2.11864406779661</v>
      </c>
    </row>
    <row r="506" spans="2:20">
      <c r="B506" s="137" t="s">
        <v>787</v>
      </c>
      <c r="C506" s="722">
        <f t="shared" si="105"/>
        <v>140.93567251462</v>
      </c>
      <c r="D506" s="826">
        <f t="shared" si="106"/>
        <v>40.9356725146199</v>
      </c>
    </row>
    <row r="507" spans="2:20">
      <c r="B507" s="137" t="s">
        <v>788</v>
      </c>
      <c r="C507" s="722">
        <f t="shared" si="105"/>
        <v>89.9253731343284</v>
      </c>
      <c r="D507" s="826">
        <f t="shared" si="106"/>
        <v>-10.0746268656717</v>
      </c>
    </row>
    <row r="508" spans="2:20">
      <c r="B508" s="137" t="s">
        <v>789</v>
      </c>
      <c r="C508" s="722">
        <f t="shared" si="105"/>
        <v>100</v>
      </c>
      <c r="D508" s="826">
        <f t="shared" si="106"/>
        <v>0</v>
      </c>
    </row>
    <row r="509" spans="2:20">
      <c r="C509" s="722"/>
    </row>
    <row r="511" spans="2:20">
      <c r="B511" s="137" t="s">
        <v>795</v>
      </c>
    </row>
    <row r="512" spans="2:20">
      <c r="C512" s="719" t="s">
        <v>710</v>
      </c>
      <c r="D512" s="719" t="s">
        <v>796</v>
      </c>
      <c r="F512" s="719" t="s">
        <v>797</v>
      </c>
      <c r="H512" s="719" t="s">
        <v>798</v>
      </c>
      <c r="K512" s="719" t="s">
        <v>797</v>
      </c>
      <c r="L512" s="719" t="s">
        <v>799</v>
      </c>
      <c r="N512" s="719" t="s">
        <v>800</v>
      </c>
      <c r="P512" s="719" t="s">
        <v>764</v>
      </c>
      <c r="S512" s="137" t="s">
        <v>801</v>
      </c>
      <c r="T512" s="137" t="s">
        <v>802</v>
      </c>
    </row>
    <row r="513" spans="2:24">
      <c r="C513" s="137">
        <v>2018</v>
      </c>
      <c r="D513" s="137">
        <v>2018</v>
      </c>
      <c r="F513" s="137">
        <v>2018</v>
      </c>
      <c r="H513" s="719" t="s">
        <v>803</v>
      </c>
      <c r="K513" s="719" t="s">
        <v>803</v>
      </c>
      <c r="L513" s="719" t="s">
        <v>803</v>
      </c>
      <c r="N513" s="719" t="s">
        <v>803</v>
      </c>
      <c r="P513" s="719" t="s">
        <v>803</v>
      </c>
    </row>
    <row r="514" spans="2:24">
      <c r="B514" s="137" t="s">
        <v>62</v>
      </c>
      <c r="C514" s="811">
        <v>29.6</v>
      </c>
      <c r="D514" s="137">
        <v>2</v>
      </c>
      <c r="F514" s="137">
        <f>C514/D514</f>
        <v>14.8</v>
      </c>
      <c r="H514" s="717">
        <f>'Profit and Loss'!Z13</f>
        <v>0.186138042054086</v>
      </c>
      <c r="K514" s="174">
        <f>F514*(1+H514)</f>
        <v>17.5548430224005</v>
      </c>
      <c r="L514" s="722">
        <f>K514*D514</f>
        <v>35.1096860448009</v>
      </c>
      <c r="N514" s="717">
        <f>L514/C514-1</f>
        <v>0.186138042054086</v>
      </c>
      <c r="P514" s="138">
        <f>L514/$L$516</f>
        <v>0.330967945662533</v>
      </c>
    </row>
    <row r="515" spans="2:24">
      <c r="B515" s="137" t="s">
        <v>60</v>
      </c>
      <c r="C515" s="811">
        <f>100-C514</f>
        <v>70.4</v>
      </c>
      <c r="D515" s="137">
        <v>1</v>
      </c>
      <c r="F515" s="137">
        <f>C515/D515</f>
        <v>70.4</v>
      </c>
      <c r="H515" s="717">
        <f>'Profit and Loss'!Z8</f>
        <v>0.00812707475699435</v>
      </c>
      <c r="K515" s="174">
        <f>F515*(1+H515)</f>
        <v>70.9721460628924</v>
      </c>
      <c r="L515" s="722">
        <f>K515*D515</f>
        <v>70.9721460628924</v>
      </c>
      <c r="N515" s="717">
        <f>L515/C515-1</f>
        <v>0.00812707475699437</v>
      </c>
      <c r="P515" s="138">
        <f>L515/$L$516</f>
        <v>0.669032054337468</v>
      </c>
    </row>
    <row r="516" spans="2:24">
      <c r="B516" s="137" t="s">
        <v>212</v>
      </c>
      <c r="C516" s="137">
        <v>100</v>
      </c>
      <c r="D516" s="137">
        <f>(D514*C514/100)+(D515*C515/100)</f>
        <v>1.296</v>
      </c>
      <c r="F516" s="137">
        <f>F515+F514</f>
        <v>85.2</v>
      </c>
      <c r="H516" s="972">
        <f>K516/F516-1</f>
        <v>0.0390491676677569</v>
      </c>
      <c r="K516" s="174">
        <f>K515+K514</f>
        <v>88.5269890852929</v>
      </c>
      <c r="L516" s="174">
        <f>L515+L514</f>
        <v>106.081832107693</v>
      </c>
      <c r="N516" s="972">
        <f>L516/C516-1</f>
        <v>0.0608183210769335</v>
      </c>
      <c r="P516" s="138">
        <f>SUM(P514:P515)</f>
        <v>1</v>
      </c>
      <c r="S516" s="973">
        <f>N516-H516</f>
        <v>0.0217691534091766</v>
      </c>
      <c r="T516" s="717">
        <f>P514-(C514/C516)</f>
        <v>0.0349679456625325</v>
      </c>
      <c r="V516" s="138">
        <f>S516/T516</f>
        <v>0.622545963073315</v>
      </c>
      <c r="X516" s="140"/>
    </row>
    <row r="518" spans="2:24">
      <c r="C518" s="719" t="s">
        <v>710</v>
      </c>
      <c r="D518" s="719" t="s">
        <v>796</v>
      </c>
      <c r="F518" s="719" t="s">
        <v>797</v>
      </c>
      <c r="H518" s="719" t="s">
        <v>798</v>
      </c>
      <c r="K518" s="719" t="s">
        <v>797</v>
      </c>
      <c r="L518" s="719" t="s">
        <v>799</v>
      </c>
      <c r="N518" s="719" t="s">
        <v>800</v>
      </c>
      <c r="P518" s="719" t="s">
        <v>764</v>
      </c>
    </row>
    <row r="519" spans="2:24">
      <c r="C519" s="137">
        <v>2017</v>
      </c>
      <c r="D519" s="137">
        <v>2017</v>
      </c>
      <c r="E519" s="137">
        <v>2017</v>
      </c>
      <c r="F519" s="137">
        <v>2017</v>
      </c>
      <c r="H519" s="719">
        <v>2018</v>
      </c>
      <c r="K519" s="719">
        <v>2018</v>
      </c>
      <c r="L519" s="719">
        <v>2018</v>
      </c>
      <c r="M519" s="719">
        <v>2018</v>
      </c>
      <c r="N519" s="719">
        <v>2018</v>
      </c>
      <c r="O519" s="719">
        <v>2018</v>
      </c>
      <c r="P519" s="719">
        <v>2018</v>
      </c>
    </row>
    <row r="520" spans="2:24">
      <c r="B520" s="137" t="s">
        <v>62</v>
      </c>
      <c r="C520" s="811">
        <v>27.6</v>
      </c>
      <c r="D520" s="137">
        <v>2</v>
      </c>
      <c r="F520" s="137">
        <f>C520/D520</f>
        <v>13.8</v>
      </c>
      <c r="H520" s="717">
        <f>'Profit and Loss'!Y13</f>
        <v>0.149692832764505</v>
      </c>
      <c r="K520" s="174">
        <f>F520*(1+H520)</f>
        <v>15.8657610921502</v>
      </c>
      <c r="L520" s="722">
        <f>K520*D520</f>
        <v>31.7315221843003</v>
      </c>
      <c r="N520" s="717">
        <f>L520/C520-1</f>
        <v>0.149692832764505</v>
      </c>
      <c r="P520" s="138">
        <f>L520/$L$522</f>
        <v>0.292089014518607</v>
      </c>
    </row>
    <row r="521" spans="2:24">
      <c r="B521" s="137" t="s">
        <v>60</v>
      </c>
      <c r="C521" s="811">
        <f>100-C520</f>
        <v>72.4</v>
      </c>
      <c r="D521" s="137">
        <v>1</v>
      </c>
      <c r="F521" s="137">
        <f>C521/D521</f>
        <v>72.4</v>
      </c>
      <c r="H521" s="717">
        <f>'Profit and Loss'!Y8</f>
        <v>0.0622231648081003</v>
      </c>
      <c r="K521" s="174">
        <f>F521*(1+H521)</f>
        <v>76.9049571321065</v>
      </c>
      <c r="L521" s="722">
        <f>K521*D521</f>
        <v>76.9049571321065</v>
      </c>
      <c r="N521" s="717">
        <f>L521/C521-1</f>
        <v>0.0622231648081002</v>
      </c>
      <c r="P521" s="138">
        <f>L521/$L$522</f>
        <v>0.707910985481393</v>
      </c>
    </row>
    <row r="522" spans="2:24">
      <c r="B522" s="137" t="s">
        <v>212</v>
      </c>
      <c r="C522" s="137">
        <v>100</v>
      </c>
      <c r="D522" s="137">
        <f>(D520*C520/100)+(D521*C521/100)</f>
        <v>1.276</v>
      </c>
      <c r="F522" s="137">
        <f>F521+F520</f>
        <v>86.2</v>
      </c>
      <c r="H522" s="972">
        <f>K522/F522-1</f>
        <v>0.076226429515738</v>
      </c>
      <c r="K522" s="174">
        <f>K521+K520</f>
        <v>92.7707182242566</v>
      </c>
      <c r="L522" s="174">
        <f>L521+L520</f>
        <v>108.636479316407</v>
      </c>
      <c r="N522" s="972">
        <f>L522/C522-1</f>
        <v>0.0863647931640681</v>
      </c>
      <c r="P522" s="138">
        <f>SUM(P520:P521)</f>
        <v>1</v>
      </c>
      <c r="S522" s="973">
        <f>N522-H522</f>
        <v>0.0101383636483301</v>
      </c>
      <c r="T522" s="717">
        <f>P520-(C520/C522)</f>
        <v>0.0160890145186074</v>
      </c>
      <c r="V522" s="138">
        <f>S522/T522</f>
        <v>0.630141991394488</v>
      </c>
    </row>
    <row r="524" spans="2:24">
      <c r="C524" s="719" t="s">
        <v>710</v>
      </c>
      <c r="D524" s="719" t="s">
        <v>796</v>
      </c>
      <c r="F524" s="719" t="s">
        <v>797</v>
      </c>
      <c r="H524" s="719" t="s">
        <v>798</v>
      </c>
      <c r="K524" s="719" t="s">
        <v>797</v>
      </c>
      <c r="L524" s="719" t="s">
        <v>799</v>
      </c>
      <c r="N524" s="719" t="s">
        <v>800</v>
      </c>
      <c r="P524" s="719" t="s">
        <v>764</v>
      </c>
    </row>
    <row r="525" spans="2:24">
      <c r="C525" s="137">
        <v>2016</v>
      </c>
      <c r="D525" s="137">
        <v>2016</v>
      </c>
      <c r="E525" s="137">
        <v>2016</v>
      </c>
      <c r="F525" s="137">
        <v>2016</v>
      </c>
      <c r="H525" s="719">
        <v>2017</v>
      </c>
      <c r="K525" s="719">
        <v>2017</v>
      </c>
      <c r="L525" s="719">
        <v>2017</v>
      </c>
      <c r="M525" s="719">
        <v>2017</v>
      </c>
      <c r="N525" s="719">
        <v>2017</v>
      </c>
      <c r="O525" s="719">
        <v>2017</v>
      </c>
      <c r="P525" s="719">
        <v>2017</v>
      </c>
    </row>
    <row r="526" spans="2:24">
      <c r="B526" s="137" t="s">
        <v>62</v>
      </c>
      <c r="C526" s="811">
        <v>25.9</v>
      </c>
      <c r="D526" s="137">
        <v>2</v>
      </c>
      <c r="F526" s="137">
        <f>C526/D526</f>
        <v>12.95</v>
      </c>
      <c r="H526" s="717">
        <f>'Profit and Loss'!X13</f>
        <v>0.17189886068359</v>
      </c>
      <c r="K526" s="174">
        <f>F526*(1+H526)</f>
        <v>15.1760902458525</v>
      </c>
      <c r="L526" s="722">
        <f>K526*D526</f>
        <v>30.352180491705</v>
      </c>
      <c r="N526" s="717">
        <f>L526/C526-1</f>
        <v>0.17189886068359</v>
      </c>
      <c r="P526" s="138">
        <f>L526/$L$528</f>
        <v>0.261118887753965</v>
      </c>
    </row>
    <row r="527" spans="2:24">
      <c r="B527" s="137" t="s">
        <v>60</v>
      </c>
      <c r="C527" s="811">
        <f>100-C526</f>
        <v>74.1</v>
      </c>
      <c r="D527" s="137">
        <v>1</v>
      </c>
      <c r="F527" s="137">
        <f>C527/D527</f>
        <v>74.1</v>
      </c>
      <c r="H527" s="717">
        <f>'Profit and Loss'!X8</f>
        <v>0.159065464909054</v>
      </c>
      <c r="K527" s="174">
        <f>F527*(1+H527)</f>
        <v>85.8867509497609</v>
      </c>
      <c r="L527" s="722">
        <f>K527*D527</f>
        <v>85.8867509497609</v>
      </c>
      <c r="N527" s="717">
        <f>L527/C527-1</f>
        <v>0.159065464909054</v>
      </c>
      <c r="P527" s="138">
        <f>L527/$L$528</f>
        <v>0.738881112246035</v>
      </c>
    </row>
    <row r="528" spans="2:24">
      <c r="B528" s="137" t="s">
        <v>212</v>
      </c>
      <c r="C528" s="137">
        <v>100</v>
      </c>
      <c r="D528" s="137">
        <f>(D526*C526/100)+(D527*C527/100)</f>
        <v>1.259</v>
      </c>
      <c r="F528" s="137">
        <f>F527+F526</f>
        <v>87.05</v>
      </c>
      <c r="H528" s="972">
        <f>K528/F528-1</f>
        <v>0.160974626026575</v>
      </c>
      <c r="K528" s="174">
        <f>K527+K526</f>
        <v>101.062841195613</v>
      </c>
      <c r="L528" s="174">
        <f>L527+L526</f>
        <v>116.238931441466</v>
      </c>
      <c r="N528" s="972">
        <f>L528/C528-1</f>
        <v>0.162389314414659</v>
      </c>
      <c r="P528" s="138">
        <f>SUM(P526:P527)</f>
        <v>1</v>
      </c>
      <c r="S528" s="973">
        <f>N528-H528</f>
        <v>0.00141468838808323</v>
      </c>
      <c r="T528" s="717">
        <f>P526-(C526/C528)</f>
        <v>0.00211888775396513</v>
      </c>
      <c r="V528" s="138">
        <f>S528/T528</f>
        <v>0.667656125453502</v>
      </c>
    </row>
    <row r="530" spans="2:22">
      <c r="C530" s="719" t="s">
        <v>710</v>
      </c>
      <c r="D530" s="719" t="s">
        <v>796</v>
      </c>
      <c r="F530" s="719" t="s">
        <v>797</v>
      </c>
      <c r="H530" s="719" t="s">
        <v>798</v>
      </c>
      <c r="K530" s="719" t="s">
        <v>797</v>
      </c>
      <c r="L530" s="719" t="s">
        <v>799</v>
      </c>
      <c r="N530" s="719" t="s">
        <v>800</v>
      </c>
      <c r="P530" s="719" t="s">
        <v>764</v>
      </c>
    </row>
    <row r="531" spans="2:22">
      <c r="C531" s="137">
        <v>2015</v>
      </c>
      <c r="D531" s="137">
        <v>2015</v>
      </c>
      <c r="F531" s="137">
        <v>2015</v>
      </c>
      <c r="H531" s="719">
        <v>2016</v>
      </c>
      <c r="K531" s="719">
        <v>2016</v>
      </c>
      <c r="L531" s="719">
        <v>2016</v>
      </c>
      <c r="M531" s="719">
        <v>2016</v>
      </c>
      <c r="N531" s="719">
        <v>2016</v>
      </c>
      <c r="O531" s="719">
        <v>2016</v>
      </c>
      <c r="P531" s="719">
        <v>2016</v>
      </c>
    </row>
    <row r="532" spans="2:22">
      <c r="B532" s="137" t="s">
        <v>62</v>
      </c>
      <c r="C532" s="811">
        <v>25</v>
      </c>
      <c r="D532" s="137">
        <v>2</v>
      </c>
      <c r="F532" s="137">
        <f>C532/D532</f>
        <v>12.5</v>
      </c>
      <c r="H532" s="717">
        <f>'Profit and Loss'!W13</f>
        <v>0.23</v>
      </c>
      <c r="K532" s="174">
        <f>F532*(1+H532)</f>
        <v>15.375</v>
      </c>
      <c r="L532" s="722">
        <f>K532*D532</f>
        <v>30.75</v>
      </c>
      <c r="N532" s="717">
        <f>L532/C532-1</f>
        <v>0.23</v>
      </c>
      <c r="P532" s="138">
        <f>L532/$L$534</f>
        <v>0.256913278826649</v>
      </c>
    </row>
    <row r="533" spans="2:22">
      <c r="B533" s="137" t="s">
        <v>60</v>
      </c>
      <c r="C533" s="811">
        <f>100-C532</f>
        <v>75</v>
      </c>
      <c r="D533" s="137">
        <v>1</v>
      </c>
      <c r="F533" s="137">
        <f>C533/D533</f>
        <v>75</v>
      </c>
      <c r="H533" s="717">
        <f>'Profit and Loss'!W8</f>
        <v>0.185869243787298</v>
      </c>
      <c r="K533" s="174">
        <f>F533*(1+H533)</f>
        <v>88.9401932840474</v>
      </c>
      <c r="L533" s="722">
        <f>K533*D533</f>
        <v>88.9401932840474</v>
      </c>
      <c r="N533" s="717">
        <f>L533/C533-1</f>
        <v>0.185869243787298</v>
      </c>
      <c r="P533" s="138">
        <f>L533/$L$534</f>
        <v>0.743086721173351</v>
      </c>
    </row>
    <row r="534" spans="2:22">
      <c r="B534" s="137" t="s">
        <v>212</v>
      </c>
      <c r="C534" s="137">
        <v>100</v>
      </c>
      <c r="D534" s="137">
        <f>(D532*C532/100)+(D533*C533/100)</f>
        <v>1.25</v>
      </c>
      <c r="F534" s="137">
        <f>F533+F532</f>
        <v>87.5</v>
      </c>
      <c r="H534" s="972">
        <f>K534/F534-1</f>
        <v>0.19217363753197</v>
      </c>
      <c r="K534" s="174">
        <f>K533+K532</f>
        <v>104.315193284047</v>
      </c>
      <c r="L534" s="174">
        <f>L533+L532</f>
        <v>119.690193284047</v>
      </c>
      <c r="N534" s="972">
        <f>L534/C534-1</f>
        <v>0.196901932840474</v>
      </c>
      <c r="P534" s="138">
        <f>SUM(P532:P533)</f>
        <v>1</v>
      </c>
      <c r="S534" s="973">
        <f>N534-H534</f>
        <v>0.00472829530850372</v>
      </c>
      <c r="T534" s="717">
        <f>P532-(C532/C534)</f>
        <v>0.00691327882664922</v>
      </c>
      <c r="V534" s="138">
        <f>S534/T534</f>
        <v>0.683943961623122</v>
      </c>
    </row>
    <row r="536" spans="2:22">
      <c r="C536" s="719" t="s">
        <v>710</v>
      </c>
      <c r="D536" s="719" t="s">
        <v>796</v>
      </c>
      <c r="F536" s="719" t="s">
        <v>797</v>
      </c>
      <c r="H536" s="719" t="s">
        <v>798</v>
      </c>
      <c r="K536" s="719" t="s">
        <v>797</v>
      </c>
      <c r="L536" s="719" t="s">
        <v>799</v>
      </c>
      <c r="N536" s="719" t="s">
        <v>800</v>
      </c>
      <c r="P536" s="719" t="s">
        <v>764</v>
      </c>
    </row>
    <row r="537" spans="2:22">
      <c r="C537" s="137">
        <v>2014</v>
      </c>
      <c r="D537" s="137">
        <v>2014</v>
      </c>
      <c r="F537" s="137">
        <v>2014</v>
      </c>
      <c r="H537" s="719">
        <v>2015</v>
      </c>
      <c r="K537" s="719">
        <v>2015</v>
      </c>
      <c r="L537" s="719">
        <v>2015</v>
      </c>
      <c r="M537" s="719">
        <v>2015</v>
      </c>
      <c r="N537" s="719">
        <v>2015</v>
      </c>
      <c r="O537" s="719">
        <v>2015</v>
      </c>
      <c r="P537" s="719">
        <v>2015</v>
      </c>
    </row>
    <row r="538" spans="2:22">
      <c r="B538" s="137" t="s">
        <v>62</v>
      </c>
      <c r="C538" s="811">
        <v>26.3</v>
      </c>
      <c r="D538" s="137">
        <v>2</v>
      </c>
      <c r="F538" s="137">
        <f>C538/D538</f>
        <v>13.15</v>
      </c>
      <c r="H538" s="717">
        <f>'Profit and Loss'!V13</f>
        <v>0.11</v>
      </c>
      <c r="K538" s="174">
        <f>F538*(1+H538)</f>
        <v>14.5965</v>
      </c>
      <c r="L538" s="722">
        <f>K538*D538</f>
        <v>29.193</v>
      </c>
      <c r="N538" s="717">
        <f>L538/C538-1</f>
        <v>0.11</v>
      </c>
      <c r="P538" s="138">
        <f>L538/$L$540</f>
        <v>0.263285054151861</v>
      </c>
    </row>
    <row r="539" spans="2:22">
      <c r="B539" s="137" t="s">
        <v>60</v>
      </c>
      <c r="C539" s="811">
        <f>100-C538</f>
        <v>73.7</v>
      </c>
      <c r="D539" s="137">
        <v>1</v>
      </c>
      <c r="F539" s="137">
        <f>C539/D539</f>
        <v>73.7</v>
      </c>
      <c r="H539" s="717">
        <f>'Profit and Loss'!V8</f>
        <v>0.108369365391292</v>
      </c>
      <c r="K539" s="174">
        <f>F539*(1+H539)</f>
        <v>81.6868222293383</v>
      </c>
      <c r="L539" s="722">
        <f>K539*D539</f>
        <v>81.6868222293383</v>
      </c>
      <c r="N539" s="717">
        <f>L539/C539-1</f>
        <v>0.108369365391292</v>
      </c>
      <c r="P539" s="138">
        <f>L539/$L$540</f>
        <v>0.736714945848139</v>
      </c>
    </row>
    <row r="540" spans="2:22">
      <c r="B540" s="137" t="s">
        <v>212</v>
      </c>
      <c r="C540" s="137">
        <v>100</v>
      </c>
      <c r="D540" s="137">
        <f>(D538*C538/100)+(D539*C539/100)</f>
        <v>1.263</v>
      </c>
      <c r="F540" s="137">
        <f>F539+F538</f>
        <v>86.85</v>
      </c>
      <c r="H540" s="972">
        <f>K540/F540-1</f>
        <v>0.108616260556572</v>
      </c>
      <c r="K540" s="174">
        <f>K539+K538</f>
        <v>96.2833222293383</v>
      </c>
      <c r="L540" s="174">
        <f>L539+L538</f>
        <v>110.879822229338</v>
      </c>
      <c r="N540" s="972">
        <f>L540/C540-1</f>
        <v>0.108798222293383</v>
      </c>
      <c r="P540" s="138">
        <f>SUM(P538:P539)</f>
        <v>1</v>
      </c>
      <c r="S540" s="973">
        <f>N540-H540</f>
        <v>0.000181961736810843</v>
      </c>
      <c r="T540" s="717">
        <f>P538-(C538/C540)</f>
        <v>0.000285054151860642</v>
      </c>
      <c r="V540" s="138">
        <f>S540/T540</f>
        <v>0.638340945476917</v>
      </c>
    </row>
    <row r="542" spans="2:22">
      <c r="C542" s="719" t="s">
        <v>710</v>
      </c>
      <c r="D542" s="719" t="s">
        <v>796</v>
      </c>
      <c r="F542" s="719" t="s">
        <v>797</v>
      </c>
      <c r="H542" s="719" t="s">
        <v>798</v>
      </c>
      <c r="K542" s="719" t="s">
        <v>797</v>
      </c>
      <c r="L542" s="719" t="s">
        <v>799</v>
      </c>
      <c r="N542" s="719" t="s">
        <v>800</v>
      </c>
      <c r="P542" s="719" t="s">
        <v>764</v>
      </c>
    </row>
    <row r="543" spans="2:22">
      <c r="C543" s="137">
        <v>2013</v>
      </c>
      <c r="D543" s="137">
        <v>2013</v>
      </c>
      <c r="F543" s="137">
        <v>2013</v>
      </c>
      <c r="H543" s="719">
        <v>2014</v>
      </c>
      <c r="K543" s="719">
        <v>2014</v>
      </c>
      <c r="L543" s="719">
        <v>2014</v>
      </c>
      <c r="M543" s="719">
        <v>2014</v>
      </c>
      <c r="N543" s="719">
        <v>2014</v>
      </c>
      <c r="O543" s="719">
        <v>2014</v>
      </c>
      <c r="P543" s="719">
        <v>2014</v>
      </c>
    </row>
    <row r="544" spans="2:22">
      <c r="B544" s="137" t="s">
        <v>62</v>
      </c>
      <c r="C544" s="811">
        <v>26.3</v>
      </c>
      <c r="D544" s="137">
        <v>2</v>
      </c>
      <c r="F544" s="137">
        <f>C544/D544</f>
        <v>13.15</v>
      </c>
      <c r="H544" s="717">
        <f>'Profit and Loss'!U13</f>
        <v>0.209</v>
      </c>
      <c r="K544" s="174">
        <f>F544*(1+H544)</f>
        <v>15.89835</v>
      </c>
      <c r="L544" s="722">
        <f>K544*D544</f>
        <v>31.7967</v>
      </c>
      <c r="N544" s="717">
        <f>L544/C544-1</f>
        <v>0.209</v>
      </c>
      <c r="P544" s="138">
        <f>L544/$L$546</f>
        <v>0.289274709398856</v>
      </c>
    </row>
    <row r="545" spans="2:22">
      <c r="B545" s="137" t="s">
        <v>60</v>
      </c>
      <c r="C545" s="811">
        <f>100-C544</f>
        <v>73.7</v>
      </c>
      <c r="D545" s="137">
        <v>1</v>
      </c>
      <c r="F545" s="137">
        <f>C545/D545</f>
        <v>73.7</v>
      </c>
      <c r="H545" s="717">
        <f>'Profit and Loss'!U8</f>
        <v>0.06</v>
      </c>
      <c r="K545" s="174">
        <f>F545*(1+H545)</f>
        <v>78.122</v>
      </c>
      <c r="L545" s="722">
        <f>K545*D545</f>
        <v>78.122</v>
      </c>
      <c r="N545" s="717">
        <f>L545/C545-1</f>
        <v>0.0600000000000001</v>
      </c>
      <c r="P545" s="138">
        <f>L545/$L$546</f>
        <v>0.710725290601144</v>
      </c>
    </row>
    <row r="546" spans="2:22">
      <c r="B546" s="137" t="s">
        <v>212</v>
      </c>
      <c r="C546" s="137">
        <v>100</v>
      </c>
      <c r="D546" s="137">
        <f>(D544*C544/100)+(D545*C545/100)</f>
        <v>1.263</v>
      </c>
      <c r="F546" s="137">
        <f>F545+F544</f>
        <v>86.85</v>
      </c>
      <c r="H546" s="972">
        <f>K546/F546-1</f>
        <v>0.0825601611974669</v>
      </c>
      <c r="K546" s="174">
        <f>K545+K544</f>
        <v>94.02035</v>
      </c>
      <c r="L546" s="174">
        <f>L545+L544</f>
        <v>109.9187</v>
      </c>
      <c r="N546" s="972">
        <f>L546/C546-1</f>
        <v>0.0991869999999999</v>
      </c>
      <c r="P546" s="138">
        <f>SUM(P544:P545)</f>
        <v>1</v>
      </c>
      <c r="S546" s="973">
        <f>N546-H546</f>
        <v>0.016626838802533</v>
      </c>
      <c r="T546" s="717">
        <f>P544-(C544/C546)</f>
        <v>0.0262747093988557</v>
      </c>
      <c r="V546" s="138">
        <f>S546/T546</f>
        <v>0.632807714450199</v>
      </c>
    </row>
    <row r="548" spans="2:22">
      <c r="C548" s="719" t="s">
        <v>710</v>
      </c>
      <c r="D548" s="719" t="s">
        <v>796</v>
      </c>
      <c r="F548" s="719" t="s">
        <v>797</v>
      </c>
      <c r="H548" s="719" t="s">
        <v>798</v>
      </c>
      <c r="K548" s="719" t="s">
        <v>797</v>
      </c>
      <c r="L548" s="719" t="s">
        <v>799</v>
      </c>
      <c r="N548" s="719" t="s">
        <v>800</v>
      </c>
      <c r="P548" s="719" t="s">
        <v>764</v>
      </c>
    </row>
    <row r="549" spans="2:22">
      <c r="C549" s="137">
        <v>2012</v>
      </c>
      <c r="D549" s="137">
        <v>2012</v>
      </c>
      <c r="F549" s="137">
        <v>2012</v>
      </c>
      <c r="H549" s="719">
        <v>2013</v>
      </c>
      <c r="K549" s="719">
        <v>2013</v>
      </c>
      <c r="L549" s="719">
        <v>2013</v>
      </c>
      <c r="M549" s="719">
        <v>2013</v>
      </c>
      <c r="N549" s="719">
        <v>2013</v>
      </c>
      <c r="O549" s="719">
        <v>2013</v>
      </c>
      <c r="P549" s="719">
        <v>2013</v>
      </c>
    </row>
    <row r="550" spans="2:22">
      <c r="B550" s="137" t="s">
        <v>62</v>
      </c>
      <c r="C550" s="811">
        <v>26.3</v>
      </c>
      <c r="D550" s="137">
        <v>2</v>
      </c>
      <c r="F550" s="137">
        <f>C550/D550</f>
        <v>13.15</v>
      </c>
      <c r="H550" s="717">
        <f>'Profit and Loss'!T13</f>
        <v>0.0811464571597984</v>
      </c>
      <c r="K550" s="174">
        <f>F550*(1+H550)</f>
        <v>14.2170759116513</v>
      </c>
      <c r="L550" s="722">
        <f>K550*D550</f>
        <v>28.4341518233027</v>
      </c>
      <c r="N550" s="717">
        <f>L550/C550-1</f>
        <v>0.0811464571597984</v>
      </c>
      <c r="P550" s="138">
        <f>L550/$L$552</f>
        <v>0.277638110792637</v>
      </c>
    </row>
    <row r="551" spans="2:22">
      <c r="B551" s="137" t="s">
        <v>60</v>
      </c>
      <c r="C551" s="811">
        <f>100-C550</f>
        <v>73.7</v>
      </c>
      <c r="D551" s="137">
        <v>1</v>
      </c>
      <c r="F551" s="137">
        <f>C551/D551</f>
        <v>73.7</v>
      </c>
      <c r="H551" s="717">
        <f>'Profit and Loss'!T8</f>
        <v>0.00380310500367146</v>
      </c>
      <c r="K551" s="174">
        <f>F551*(1+H551)</f>
        <v>73.9802888387706</v>
      </c>
      <c r="L551" s="722">
        <f>K551*D551</f>
        <v>73.9802888387706</v>
      </c>
      <c r="N551" s="717">
        <f>L551/C551-1</f>
        <v>0.00380310500367154</v>
      </c>
      <c r="P551" s="138">
        <f>L551/$L$552</f>
        <v>0.722361889207363</v>
      </c>
    </row>
    <row r="552" spans="2:22">
      <c r="B552" s="137" t="s">
        <v>212</v>
      </c>
      <c r="C552" s="137">
        <v>100</v>
      </c>
      <c r="D552" s="137">
        <f>(D550*C550/100)+(D551*C551/100)</f>
        <v>1.263</v>
      </c>
      <c r="F552" s="137">
        <f>F551+F550</f>
        <v>86.85</v>
      </c>
      <c r="H552" s="972">
        <f>K552/F552-1</f>
        <v>0.0155136989110183</v>
      </c>
      <c r="K552" s="174">
        <f>K551+K550</f>
        <v>88.1973647504219</v>
      </c>
      <c r="L552" s="174">
        <f>L551+L550</f>
        <v>102.414440662073</v>
      </c>
      <c r="N552" s="972">
        <f>L552/C552-1</f>
        <v>0.0241444066207328</v>
      </c>
      <c r="P552" s="138">
        <f>SUM(P550:P551)</f>
        <v>1</v>
      </c>
      <c r="S552" s="973">
        <f>N552-H552</f>
        <v>0.00863070770971452</v>
      </c>
      <c r="T552" s="717">
        <f>P550-(C550/C552)</f>
        <v>0.0146381107926374</v>
      </c>
      <c r="V552" s="138">
        <f>S552/T552</f>
        <v>0.589605300299785</v>
      </c>
    </row>
    <row r="554" spans="2:22">
      <c r="C554" s="719" t="s">
        <v>710</v>
      </c>
      <c r="D554" s="719" t="s">
        <v>796</v>
      </c>
      <c r="F554" s="719" t="s">
        <v>797</v>
      </c>
      <c r="H554" s="719" t="s">
        <v>798</v>
      </c>
      <c r="K554" s="719" t="s">
        <v>797</v>
      </c>
      <c r="L554" s="719" t="s">
        <v>799</v>
      </c>
      <c r="N554" s="719" t="s">
        <v>800</v>
      </c>
      <c r="P554" s="719" t="s">
        <v>764</v>
      </c>
    </row>
    <row r="555" spans="2:22">
      <c r="C555" s="137">
        <v>2011</v>
      </c>
      <c r="D555" s="137">
        <v>2011</v>
      </c>
      <c r="F555" s="137">
        <v>2011</v>
      </c>
      <c r="H555" s="719">
        <v>2012</v>
      </c>
      <c r="K555" s="719">
        <v>2012</v>
      </c>
      <c r="L555" s="719">
        <v>2012</v>
      </c>
      <c r="M555" s="719">
        <v>2012</v>
      </c>
      <c r="N555" s="719">
        <v>2012</v>
      </c>
      <c r="O555" s="719">
        <v>2012</v>
      </c>
      <c r="P555" s="719">
        <v>2012</v>
      </c>
    </row>
    <row r="556" spans="2:22">
      <c r="B556" s="137" t="s">
        <v>62</v>
      </c>
      <c r="C556" s="811">
        <v>26.3</v>
      </c>
      <c r="D556" s="137">
        <v>2</v>
      </c>
      <c r="F556" s="137">
        <f>C556/D556</f>
        <v>13.15</v>
      </c>
      <c r="H556" s="717">
        <f>'Profit and Loss'!S13</f>
        <v>0.137507697815968</v>
      </c>
      <c r="K556" s="174">
        <f>F556*(1+H556)</f>
        <v>14.95822622628</v>
      </c>
      <c r="L556" s="722">
        <f>K556*D556</f>
        <v>29.91645245256</v>
      </c>
      <c r="N556" s="717">
        <f>L556/C556-1</f>
        <v>0.137507697815968</v>
      </c>
      <c r="P556" s="138">
        <f>L556/$L$558</f>
        <v>0.284492394739139</v>
      </c>
    </row>
    <row r="557" spans="2:22">
      <c r="B557" s="137" t="s">
        <v>60</v>
      </c>
      <c r="C557" s="811">
        <f>100-C556</f>
        <v>73.7</v>
      </c>
      <c r="D557" s="137">
        <v>1</v>
      </c>
      <c r="F557" s="137">
        <f>C557/D557</f>
        <v>73.7</v>
      </c>
      <c r="H557" s="717">
        <f>'Profit and Loss'!S8</f>
        <v>0.0209070391061453</v>
      </c>
      <c r="K557" s="174">
        <f>F557*(1+H557)</f>
        <v>75.2408487821229</v>
      </c>
      <c r="L557" s="722">
        <f>K557*D557</f>
        <v>75.2408487821229</v>
      </c>
      <c r="N557" s="717">
        <f>L557/C557-1</f>
        <v>0.0209070391061452</v>
      </c>
      <c r="P557" s="138">
        <f>L557/$L$558</f>
        <v>0.715507605260861</v>
      </c>
    </row>
    <row r="558" spans="2:22">
      <c r="B558" s="137" t="s">
        <v>212</v>
      </c>
      <c r="C558" s="137">
        <v>100</v>
      </c>
      <c r="D558" s="137">
        <f>(D556*C556/100)+(D557*C557/100)</f>
        <v>1.263</v>
      </c>
      <c r="F558" s="137">
        <f>F557+F556</f>
        <v>86.85</v>
      </c>
      <c r="H558" s="972">
        <f>K558/F558-1</f>
        <v>0.0385616005573159</v>
      </c>
      <c r="K558" s="174">
        <f>K557+K556</f>
        <v>90.1990750084029</v>
      </c>
      <c r="L558" s="174">
        <f>L557+L556</f>
        <v>105.157301234683</v>
      </c>
      <c r="N558" s="972">
        <f>L558/C558-1</f>
        <v>0.0515730123468288</v>
      </c>
      <c r="P558" s="138">
        <f>SUM(P556:P557)</f>
        <v>1</v>
      </c>
      <c r="S558" s="973">
        <f>N558-H558</f>
        <v>0.0130114117895128</v>
      </c>
      <c r="T558" s="717">
        <f>P556-(C556/C558)</f>
        <v>0.0214923947391392</v>
      </c>
      <c r="V558" s="138">
        <f>S558/T558</f>
        <v>0.605396092312511</v>
      </c>
    </row>
    <row r="560" spans="2:22">
      <c r="C560" s="719" t="s">
        <v>710</v>
      </c>
      <c r="D560" s="719" t="s">
        <v>796</v>
      </c>
      <c r="F560" s="719" t="s">
        <v>797</v>
      </c>
      <c r="H560" s="719" t="s">
        <v>798</v>
      </c>
      <c r="K560" s="719" t="s">
        <v>797</v>
      </c>
      <c r="L560" s="719" t="s">
        <v>799</v>
      </c>
      <c r="N560" s="719" t="s">
        <v>800</v>
      </c>
      <c r="P560" s="719" t="s">
        <v>764</v>
      </c>
    </row>
    <row r="561" spans="2:26">
      <c r="C561" s="137">
        <v>2010</v>
      </c>
      <c r="D561" s="137">
        <v>2010</v>
      </c>
      <c r="F561" s="137">
        <v>2010</v>
      </c>
      <c r="H561" s="719">
        <v>2011</v>
      </c>
      <c r="K561" s="719">
        <v>2011</v>
      </c>
      <c r="L561" s="719">
        <v>2011</v>
      </c>
      <c r="M561" s="719">
        <v>2011</v>
      </c>
      <c r="N561" s="719">
        <v>2011</v>
      </c>
      <c r="O561" s="719">
        <v>2011</v>
      </c>
      <c r="P561" s="719">
        <v>2011</v>
      </c>
    </row>
    <row r="562" spans="2:26">
      <c r="B562" s="137" t="s">
        <v>62</v>
      </c>
      <c r="C562" s="811">
        <v>26.3</v>
      </c>
      <c r="D562" s="137">
        <v>2</v>
      </c>
      <c r="F562" s="137">
        <f>C562/D562</f>
        <v>13.15</v>
      </c>
      <c r="H562" s="717">
        <f>'Profit and Loss'!R13</f>
        <v>0.2</v>
      </c>
      <c r="K562" s="174">
        <f>F562*(1+H562)</f>
        <v>15.78</v>
      </c>
      <c r="L562" s="722">
        <f>K562*D562</f>
        <v>31.56</v>
      </c>
      <c r="N562" s="717">
        <f>L562/C562-1</f>
        <v>0.2</v>
      </c>
      <c r="P562" s="138">
        <f>L562/$L$564</f>
        <v>0.278387890656011</v>
      </c>
    </row>
    <row r="563" spans="2:26">
      <c r="B563" s="137" t="s">
        <v>60</v>
      </c>
      <c r="C563" s="811">
        <f>100-C562</f>
        <v>73.7</v>
      </c>
      <c r="D563" s="137">
        <v>1</v>
      </c>
      <c r="F563" s="137">
        <f>C563/D563</f>
        <v>73.7</v>
      </c>
      <c r="H563" s="717">
        <f>'Profit and Loss'!R8</f>
        <v>0.11</v>
      </c>
      <c r="K563" s="174">
        <f>F563*(1+H563)</f>
        <v>81.807</v>
      </c>
      <c r="L563" s="722">
        <f>K563*D563</f>
        <v>81.807</v>
      </c>
      <c r="N563" s="717">
        <f>L563/C563-1</f>
        <v>0.11</v>
      </c>
      <c r="P563" s="138">
        <f>L563/$L$564</f>
        <v>0.721612109343989</v>
      </c>
    </row>
    <row r="564" spans="2:26">
      <c r="B564" s="137" t="s">
        <v>212</v>
      </c>
      <c r="C564" s="137">
        <v>100</v>
      </c>
      <c r="D564" s="137">
        <f>(D562*C562/100)+(D563*C563/100)</f>
        <v>1.263</v>
      </c>
      <c r="F564" s="137">
        <f>F563+F562</f>
        <v>86.85</v>
      </c>
      <c r="H564" s="972">
        <f>K564/F564-1</f>
        <v>0.123626943005182</v>
      </c>
      <c r="K564" s="174">
        <f>K563+K562</f>
        <v>97.587</v>
      </c>
      <c r="L564" s="174">
        <f>L563+L562</f>
        <v>113.367</v>
      </c>
      <c r="N564" s="972">
        <f>L564/C564-1</f>
        <v>0.13367</v>
      </c>
      <c r="P564" s="138">
        <f>SUM(P562:P563)</f>
        <v>1</v>
      </c>
      <c r="S564" s="973">
        <f>N564-H564</f>
        <v>0.0100430569948187</v>
      </c>
      <c r="T564" s="717">
        <f>P562-(C562/C564)</f>
        <v>0.0153878906560109</v>
      </c>
      <c r="V564" s="138">
        <f>S564/T564</f>
        <v>0.652659758203804</v>
      </c>
    </row>
    <row r="568" spans="2:26">
      <c r="B568" s="805" t="s">
        <v>804</v>
      </c>
      <c r="C568" s="974" t="s">
        <v>757</v>
      </c>
      <c r="D568" s="975" t="s">
        <v>757</v>
      </c>
      <c r="E568" s="975"/>
      <c r="F568" s="975" t="s">
        <v>757</v>
      </c>
      <c r="H568" s="976" t="s">
        <v>757</v>
      </c>
      <c r="K568" s="974" t="s">
        <v>805</v>
      </c>
      <c r="L568" s="975" t="s">
        <v>805</v>
      </c>
      <c r="N568" s="975" t="s">
        <v>757</v>
      </c>
      <c r="O568" s="975"/>
      <c r="P568" s="976" t="s">
        <v>805</v>
      </c>
      <c r="R568" s="975"/>
      <c r="S568" s="976" t="s">
        <v>806</v>
      </c>
      <c r="X568" s="137" t="s">
        <v>807</v>
      </c>
      <c r="Z568" s="137" t="s">
        <v>808</v>
      </c>
    </row>
    <row r="569" spans="2:26">
      <c r="B569" s="817"/>
      <c r="C569" s="977" t="s">
        <v>60</v>
      </c>
      <c r="D569" s="978" t="s">
        <v>809</v>
      </c>
      <c r="E569" s="978"/>
      <c r="F569" s="978" t="s">
        <v>810</v>
      </c>
      <c r="H569" s="979" t="s">
        <v>789</v>
      </c>
      <c r="K569" s="977" t="s">
        <v>811</v>
      </c>
      <c r="L569" s="978" t="s">
        <v>809</v>
      </c>
      <c r="N569" s="978" t="s">
        <v>810</v>
      </c>
      <c r="O569" s="978"/>
      <c r="P569" s="979" t="s">
        <v>789</v>
      </c>
      <c r="R569" s="978"/>
      <c r="S569" s="979" t="s">
        <v>61</v>
      </c>
      <c r="W569" s="137" t="s">
        <v>812</v>
      </c>
      <c r="X569" s="137">
        <v>68.5</v>
      </c>
      <c r="Z569" s="717">
        <f>((Z572*X572)-(X570*Z570)-(X571*Z571))/X569</f>
        <v>0.0905109489051095</v>
      </c>
    </row>
    <row r="570" spans="2:26">
      <c r="B570" s="805" t="s">
        <v>710</v>
      </c>
      <c r="C570" s="980">
        <v>68.5</v>
      </c>
      <c r="D570" s="981">
        <v>11.5</v>
      </c>
      <c r="E570" s="807"/>
      <c r="F570" s="981">
        <f>100-C570-D570</f>
        <v>20</v>
      </c>
      <c r="H570" s="982">
        <f>D570+C570+F570</f>
        <v>100</v>
      </c>
      <c r="K570" s="980">
        <f>K572*K573</f>
        <v>56.1659792284866</v>
      </c>
      <c r="L570" s="981">
        <f>L572*L573</f>
        <v>28.078</v>
      </c>
      <c r="N570" s="981">
        <f>N572*N573</f>
        <v>28.0900415430267</v>
      </c>
      <c r="O570" s="807"/>
      <c r="P570" s="982">
        <f>L570+K570+N570</f>
        <v>112.334020771513</v>
      </c>
      <c r="R570" s="807"/>
      <c r="S570" s="983">
        <f>P570/H570-1</f>
        <v>0.123340207715134</v>
      </c>
      <c r="T570" s="984">
        <f>S570/10</f>
        <v>0.0123340207715134</v>
      </c>
      <c r="W570" s="137" t="s">
        <v>813</v>
      </c>
      <c r="X570" s="137">
        <f>100-X569-X571</f>
        <v>20</v>
      </c>
      <c r="Z570" s="717">
        <v>0.15</v>
      </c>
    </row>
    <row r="571" spans="2:26">
      <c r="B571" s="2129" t="s">
        <v>814</v>
      </c>
      <c r="C571" s="985">
        <f>C570/H570</f>
        <v>0.685</v>
      </c>
      <c r="D571" s="986">
        <f>D570/H570</f>
        <v>0.115</v>
      </c>
      <c r="F571" s="986">
        <f>F570/H570</f>
        <v>0.2</v>
      </c>
      <c r="H571" s="987">
        <f>D571+C571+F571</f>
        <v>1</v>
      </c>
      <c r="K571" s="985">
        <f>K570/P570</f>
        <v>0.499990820614601</v>
      </c>
      <c r="L571" s="986">
        <f>L570/P570</f>
        <v>0.249950992648171</v>
      </c>
      <c r="M571" s="140"/>
      <c r="N571" s="986">
        <f>N570/P570</f>
        <v>0.250058186737228</v>
      </c>
      <c r="O571" s="201"/>
      <c r="P571" s="988">
        <f>L571+K571+N571</f>
        <v>1</v>
      </c>
      <c r="S571" s="989"/>
      <c r="W571" s="137" t="s">
        <v>815</v>
      </c>
      <c r="X571" s="137">
        <v>11.5</v>
      </c>
      <c r="Z571" s="717">
        <v>0.2</v>
      </c>
    </row>
    <row r="572" spans="2:26">
      <c r="B572" s="2130" t="s">
        <v>816</v>
      </c>
      <c r="C572" s="980">
        <v>1</v>
      </c>
      <c r="D572" s="981">
        <v>2</v>
      </c>
      <c r="E572" s="807"/>
      <c r="F572" s="981">
        <v>2</v>
      </c>
      <c r="H572" s="982">
        <f>((C572*C573)+(D572*D573)+(F572*F573))/H573</f>
        <v>1.18694362017804</v>
      </c>
      <c r="K572" s="980">
        <f>C572</f>
        <v>1</v>
      </c>
      <c r="L572" s="981">
        <f>D572</f>
        <v>2</v>
      </c>
      <c r="N572" s="981">
        <f>F572</f>
        <v>2</v>
      </c>
      <c r="O572" s="807"/>
      <c r="P572" s="982">
        <f>((K572*K573)+(L572*L573)+(N572*N573))/P573</f>
        <v>1.33334149283695</v>
      </c>
      <c r="R572" s="807"/>
      <c r="S572" s="990">
        <f>P572/H572-1</f>
        <v>0.123340207715134</v>
      </c>
      <c r="W572" s="137" t="s">
        <v>212</v>
      </c>
      <c r="X572" s="137">
        <f>SUM(X569:X571)</f>
        <v>100</v>
      </c>
      <c r="Z572" s="717">
        <v>0.115</v>
      </c>
    </row>
    <row r="573" spans="2:26">
      <c r="B573" s="2129" t="s">
        <v>817</v>
      </c>
      <c r="C573" s="991">
        <f>C570/C572</f>
        <v>68.5</v>
      </c>
      <c r="D573" s="992">
        <f>D570/D572</f>
        <v>5.75</v>
      </c>
      <c r="F573" s="992">
        <f>F570/F572</f>
        <v>10</v>
      </c>
      <c r="H573" s="993">
        <f>D573+C573+F573</f>
        <v>84.25</v>
      </c>
      <c r="K573" s="991">
        <v>56.1659792284866</v>
      </c>
      <c r="L573" s="992">
        <v>14.039</v>
      </c>
      <c r="N573" s="992">
        <f>H573-L573-K573</f>
        <v>14.0450207715134</v>
      </c>
      <c r="P573" s="993">
        <f>L573+K573+N573</f>
        <v>84.25</v>
      </c>
      <c r="S573" s="815">
        <f>P573/H573-1</f>
        <v>0</v>
      </c>
    </row>
    <row r="574" spans="2:26">
      <c r="B574" s="2131" t="s">
        <v>818</v>
      </c>
      <c r="C574" s="994">
        <f>C573/H573</f>
        <v>0.813056379821958</v>
      </c>
      <c r="D574" s="995">
        <f>D573/H573</f>
        <v>0.0682492581602374</v>
      </c>
      <c r="E574" s="995"/>
      <c r="F574" s="995">
        <f>F573/H573</f>
        <v>0.118694362017804</v>
      </c>
      <c r="H574" s="996">
        <f>D574+C574+F574</f>
        <v>1</v>
      </c>
      <c r="K574" s="994">
        <f>K573/P573</f>
        <v>0.666658507163046</v>
      </c>
      <c r="L574" s="995">
        <f>L573/P573</f>
        <v>0.166635014836795</v>
      </c>
      <c r="N574" s="995">
        <f>N573/P573</f>
        <v>0.166706478000159</v>
      </c>
      <c r="O574" s="995"/>
      <c r="P574" s="996">
        <f>L574+K574+N574</f>
        <v>1</v>
      </c>
      <c r="R574" s="997"/>
      <c r="S574" s="998"/>
      <c r="W574" s="137" t="s">
        <v>811</v>
      </c>
      <c r="X574" s="137">
        <f>X571+X570</f>
        <v>31.5</v>
      </c>
      <c r="Z574" s="717">
        <f>((Z570*X570)+(Z571*X571))/X574</f>
        <v>0.168253968253968</v>
      </c>
    </row>
    <row r="575" spans="2:26">
      <c r="B575" s="809" t="s">
        <v>132</v>
      </c>
      <c r="C575" s="816">
        <f>Z569</f>
        <v>0.0905109489051095</v>
      </c>
      <c r="D575" s="161">
        <f>Z571</f>
        <v>0.2</v>
      </c>
      <c r="E575" s="161"/>
      <c r="F575" s="161">
        <f>Z570</f>
        <v>0.15</v>
      </c>
      <c r="H575" s="815">
        <f>H576/H570</f>
        <v>0.115</v>
      </c>
      <c r="K575" s="999">
        <f>C575</f>
        <v>0.0905109489051095</v>
      </c>
      <c r="L575" s="188">
        <f>D575</f>
        <v>0.2</v>
      </c>
      <c r="N575" s="161">
        <f>F575</f>
        <v>0.15</v>
      </c>
      <c r="P575" s="815">
        <f>P576/P570</f>
        <v>0.13275357015789</v>
      </c>
      <c r="S575" s="989"/>
      <c r="T575" s="984">
        <f>P575-H575</f>
        <v>0.0177535701578903</v>
      </c>
    </row>
    <row r="576" spans="2:26">
      <c r="B576" s="817" t="s">
        <v>131</v>
      </c>
      <c r="C576" s="1000">
        <f>C575*C570</f>
        <v>6.2</v>
      </c>
      <c r="D576" s="1001">
        <f>D575*D570</f>
        <v>2.3</v>
      </c>
      <c r="E576" s="1001"/>
      <c r="F576" s="1001">
        <f>F575*F570</f>
        <v>3</v>
      </c>
      <c r="H576" s="1002">
        <f>D576+C576+F576</f>
        <v>11.5</v>
      </c>
      <c r="K576" s="1000">
        <f>K575*K570</f>
        <v>5.08363607615499</v>
      </c>
      <c r="L576" s="1001">
        <f>L575*L570</f>
        <v>5.6156</v>
      </c>
      <c r="N576" s="1001">
        <f>N575*N570</f>
        <v>4.21350623145401</v>
      </c>
      <c r="O576" s="1001"/>
      <c r="P576" s="1002">
        <f>L576+K576+N576</f>
        <v>14.912742307609</v>
      </c>
      <c r="R576" s="997"/>
      <c r="S576" s="820">
        <f>P576/H576-1</f>
        <v>0.296760200661652</v>
      </c>
      <c r="T576" s="984">
        <f>S576/10</f>
        <v>0.0296760200661652</v>
      </c>
    </row>
    <row r="578" spans="2:12">
      <c r="B578" s="137" t="s">
        <v>819</v>
      </c>
      <c r="L578" s="992">
        <f>L573+N573-F573-D573</f>
        <v>12.3340207715134</v>
      </c>
    </row>
    <row r="579" spans="2:12">
      <c r="C579" s="719" t="s">
        <v>820</v>
      </c>
      <c r="D579" s="719" t="s">
        <v>821</v>
      </c>
    </row>
    <row r="580" spans="2:12">
      <c r="B580" s="137" t="s">
        <v>822</v>
      </c>
      <c r="C580" s="137">
        <f>150*0.7</f>
        <v>105</v>
      </c>
    </row>
    <row r="581" spans="2:12">
      <c r="B581" s="137" t="s">
        <v>127</v>
      </c>
      <c r="C581" s="137">
        <f>D581*C580</f>
        <v>71.4</v>
      </c>
      <c r="D581" s="138">
        <v>0.68</v>
      </c>
    </row>
    <row r="582" spans="2:12">
      <c r="B582" s="137" t="s">
        <v>823</v>
      </c>
      <c r="C582" s="137">
        <f>-C580*0.25</f>
        <v>-26.25</v>
      </c>
      <c r="D582" s="138">
        <f>C582/$C$580</f>
        <v>-0.25</v>
      </c>
    </row>
    <row r="583" spans="2:12">
      <c r="B583" s="137" t="s">
        <v>824</v>
      </c>
      <c r="C583" s="137">
        <f>-C580*0.13</f>
        <v>-13.65</v>
      </c>
      <c r="D583" s="138">
        <f>C583/$C$580</f>
        <v>-0.13</v>
      </c>
    </row>
    <row r="584" spans="2:12">
      <c r="B584" s="137" t="s">
        <v>825</v>
      </c>
      <c r="C584" s="137">
        <f>-C580*0.1</f>
        <v>-10.5</v>
      </c>
      <c r="D584" s="138">
        <f>C584/$C$580</f>
        <v>-0.1</v>
      </c>
    </row>
    <row r="585" spans="2:12">
      <c r="B585" s="137" t="s">
        <v>131</v>
      </c>
      <c r="C585" s="137">
        <f>SUM(C581:C584)</f>
        <v>21</v>
      </c>
      <c r="D585" s="138">
        <f>C585/C580</f>
        <v>0.2</v>
      </c>
    </row>
    <row r="587" spans="2:12">
      <c r="B587" s="137" t="s">
        <v>826</v>
      </c>
    </row>
    <row r="588" spans="2:12">
      <c r="B588" s="137" t="s">
        <v>127</v>
      </c>
      <c r="C588" s="140">
        <f>D581</f>
        <v>0.68</v>
      </c>
      <c r="D588" s="140">
        <f>H588-C588</f>
        <v>0.32</v>
      </c>
      <c r="F588" s="140">
        <f>H588-C588-D588</f>
        <v>0</v>
      </c>
      <c r="H588" s="138">
        <v>1</v>
      </c>
    </row>
    <row r="589" spans="2:12">
      <c r="B589" s="137" t="s">
        <v>823</v>
      </c>
      <c r="C589" s="140">
        <f>D581+D582</f>
        <v>0.43</v>
      </c>
      <c r="D589" s="140">
        <f>C588-C589</f>
        <v>0.25</v>
      </c>
      <c r="F589" s="140">
        <f t="shared" ref="F589:F592" si="107">H589-C589-D589</f>
        <v>0.32</v>
      </c>
      <c r="H589" s="138">
        <v>1</v>
      </c>
    </row>
    <row r="590" spans="2:12">
      <c r="B590" s="137" t="s">
        <v>824</v>
      </c>
      <c r="C590" s="140">
        <f>D581+D582+D583</f>
        <v>0.3</v>
      </c>
      <c r="D590" s="140">
        <f t="shared" ref="D590:D591" si="108">C589-C590</f>
        <v>0.13</v>
      </c>
      <c r="F590" s="140">
        <f t="shared" si="107"/>
        <v>0.57</v>
      </c>
      <c r="H590" s="138">
        <v>1</v>
      </c>
    </row>
    <row r="591" spans="2:12">
      <c r="B591" s="137" t="s">
        <v>825</v>
      </c>
      <c r="C591" s="140">
        <f>C590+D584</f>
        <v>0.2</v>
      </c>
      <c r="D591" s="140">
        <f t="shared" si="108"/>
        <v>0.1</v>
      </c>
      <c r="F591" s="140">
        <f t="shared" si="107"/>
        <v>0.7</v>
      </c>
      <c r="H591" s="138">
        <v>1</v>
      </c>
    </row>
    <row r="592" spans="2:12">
      <c r="B592" s="137" t="s">
        <v>131</v>
      </c>
      <c r="C592" s="140">
        <f>C591</f>
        <v>0.2</v>
      </c>
      <c r="D592" s="140">
        <f t="shared" ref="D592" si="109">1-C592</f>
        <v>0.8</v>
      </c>
      <c r="F592" s="140">
        <f t="shared" si="107"/>
        <v>0</v>
      </c>
      <c r="H592" s="138">
        <v>1</v>
      </c>
    </row>
    <row r="607" spans="23:24">
      <c r="W607" s="150" t="s">
        <v>827</v>
      </c>
      <c r="X607" s="137" t="s">
        <v>828</v>
      </c>
    </row>
    <row r="616" spans="2:25">
      <c r="B616" s="137" t="s">
        <v>829</v>
      </c>
    </row>
    <row r="619" spans="2:25">
      <c r="B619" s="137" t="s">
        <v>828</v>
      </c>
      <c r="C619" s="719" t="s">
        <v>830</v>
      </c>
      <c r="D619" s="719" t="s">
        <v>831</v>
      </c>
      <c r="F619" s="719" t="s">
        <v>832</v>
      </c>
      <c r="H619" s="719" t="s">
        <v>833</v>
      </c>
      <c r="K619" s="719" t="s">
        <v>834</v>
      </c>
      <c r="L619" s="719" t="s">
        <v>835</v>
      </c>
      <c r="N619" s="719" t="s">
        <v>836</v>
      </c>
      <c r="O619" s="719"/>
      <c r="P619" s="719" t="s">
        <v>837</v>
      </c>
      <c r="Q619" s="719" t="s">
        <v>832</v>
      </c>
      <c r="R619" s="719" t="s">
        <v>833</v>
      </c>
      <c r="S619" s="719" t="s">
        <v>838</v>
      </c>
      <c r="T619" s="719" t="s">
        <v>839</v>
      </c>
      <c r="U619" s="719"/>
      <c r="V619" s="719" t="s">
        <v>840</v>
      </c>
      <c r="W619" s="719"/>
      <c r="X619" s="719"/>
      <c r="Y619" s="719"/>
    </row>
    <row r="620" spans="2:25">
      <c r="B620" s="137" t="s">
        <v>527</v>
      </c>
      <c r="C620" s="138">
        <v>0.02</v>
      </c>
      <c r="D620" s="138">
        <v>1.65</v>
      </c>
      <c r="F620" s="138">
        <v>0.02</v>
      </c>
      <c r="H620" s="138">
        <v>0.43</v>
      </c>
      <c r="K620" s="138">
        <v>0.54</v>
      </c>
      <c r="L620" s="138">
        <v>0.51</v>
      </c>
      <c r="N620" s="138">
        <v>0.68</v>
      </c>
      <c r="O620" s="138"/>
      <c r="P620" s="138">
        <v>0.48</v>
      </c>
      <c r="S620" s="138">
        <v>1.25</v>
      </c>
      <c r="T620" s="138">
        <v>2.39</v>
      </c>
      <c r="V620" s="138">
        <v>1.2</v>
      </c>
    </row>
    <row r="621" spans="2:25">
      <c r="B621" s="137" t="s">
        <v>841</v>
      </c>
      <c r="C621" s="138">
        <v>0.06</v>
      </c>
      <c r="D621" s="138">
        <v>0.34</v>
      </c>
      <c r="F621" s="138">
        <v>0</v>
      </c>
      <c r="H621" s="138">
        <v>0.46</v>
      </c>
      <c r="K621" s="138">
        <v>1.35</v>
      </c>
      <c r="L621" s="138">
        <v>0.76</v>
      </c>
      <c r="N621" s="138">
        <v>0.36</v>
      </c>
      <c r="O621" s="138"/>
      <c r="P621" s="138">
        <v>0.98</v>
      </c>
      <c r="S621" s="138">
        <v>1.19</v>
      </c>
      <c r="T621" s="138">
        <v>1.41</v>
      </c>
      <c r="V621" s="138">
        <v>0.78</v>
      </c>
    </row>
    <row r="622" spans="2:25">
      <c r="B622" s="137" t="s">
        <v>842</v>
      </c>
      <c r="C622" s="138">
        <v>0.3</v>
      </c>
      <c r="D622" s="138">
        <v>-0.29</v>
      </c>
      <c r="F622" s="138">
        <v>0.29</v>
      </c>
      <c r="H622" s="138">
        <v>0.46</v>
      </c>
      <c r="K622" s="138">
        <v>0.26</v>
      </c>
      <c r="L622" s="138">
        <v>0.37</v>
      </c>
      <c r="N622" s="138">
        <v>0.56</v>
      </c>
      <c r="O622" s="138"/>
      <c r="P622" s="138">
        <v>0.69</v>
      </c>
      <c r="S622" s="138">
        <v>0.9</v>
      </c>
      <c r="T622" s="138">
        <v>0.4</v>
      </c>
      <c r="V622" s="138">
        <v>0.34</v>
      </c>
    </row>
    <row r="623" spans="2:25">
      <c r="B623" s="137" t="s">
        <v>843</v>
      </c>
      <c r="C623" s="138">
        <v>0.28</v>
      </c>
      <c r="D623" s="138">
        <v>0.5</v>
      </c>
      <c r="F623" s="138">
        <v>0.33</v>
      </c>
      <c r="H623" s="138">
        <v>0.45</v>
      </c>
      <c r="K623" s="138">
        <v>0.24</v>
      </c>
      <c r="L623" s="138">
        <v>0.32</v>
      </c>
      <c r="N623" s="138">
        <v>0.27</v>
      </c>
      <c r="O623" s="138"/>
      <c r="P623" s="138">
        <v>0.49</v>
      </c>
      <c r="S623" s="138">
        <v>0.41</v>
      </c>
      <c r="T623" s="138">
        <v>0.72</v>
      </c>
      <c r="V623" s="138">
        <v>0.46</v>
      </c>
    </row>
    <row r="624" spans="2:25">
      <c r="B624" s="137" t="s">
        <v>844</v>
      </c>
      <c r="C624" s="138">
        <v>0.38</v>
      </c>
      <c r="D624" s="138">
        <v>0.56</v>
      </c>
      <c r="F624" s="138">
        <v>0.36</v>
      </c>
      <c r="H624" s="138">
        <v>0.17</v>
      </c>
      <c r="K624" s="138">
        <v>0.4</v>
      </c>
      <c r="L624" s="138">
        <v>0.31</v>
      </c>
      <c r="N624" s="138">
        <v>0.37</v>
      </c>
      <c r="O624" s="138"/>
      <c r="P624" s="138">
        <v>0.48</v>
      </c>
      <c r="S624" s="138">
        <v>0.74</v>
      </c>
      <c r="T624" s="138">
        <v>0.64</v>
      </c>
      <c r="V624" s="138">
        <v>0.36</v>
      </c>
    </row>
    <row r="625" spans="2:24">
      <c r="B625" s="137" t="s">
        <v>845</v>
      </c>
      <c r="C625" s="138">
        <v>0.18</v>
      </c>
      <c r="D625" s="138">
        <v>1.35</v>
      </c>
      <c r="F625" s="138">
        <v>0.92</v>
      </c>
      <c r="H625" s="138">
        <v>1.11</v>
      </c>
      <c r="K625" s="138">
        <v>0.89</v>
      </c>
      <c r="L625" s="138">
        <v>0.68</v>
      </c>
      <c r="N625" s="138">
        <v>0.86</v>
      </c>
      <c r="O625" s="138"/>
      <c r="P625" s="138">
        <v>0.8</v>
      </c>
      <c r="S625" s="138">
        <v>1.4</v>
      </c>
      <c r="T625" s="138">
        <v>1.42</v>
      </c>
      <c r="V625" s="138">
        <v>0.58</v>
      </c>
    </row>
    <row r="626" spans="2:24">
      <c r="C626" s="138"/>
      <c r="D626" s="138"/>
      <c r="F626" s="138"/>
      <c r="H626" s="138"/>
      <c r="K626" s="138"/>
      <c r="L626" s="138"/>
      <c r="N626" s="138"/>
      <c r="O626" s="138"/>
      <c r="P626" s="138"/>
      <c r="S626" s="138"/>
      <c r="T626" s="138"/>
    </row>
    <row r="627" spans="2:24">
      <c r="B627" s="137" t="s">
        <v>846</v>
      </c>
      <c r="C627" s="138"/>
      <c r="D627" s="138"/>
      <c r="F627" s="719" t="s">
        <v>832</v>
      </c>
      <c r="H627" s="719" t="s">
        <v>833</v>
      </c>
      <c r="K627" s="719" t="s">
        <v>834</v>
      </c>
      <c r="L627" s="719" t="s">
        <v>835</v>
      </c>
      <c r="N627" s="719" t="s">
        <v>836</v>
      </c>
      <c r="O627" s="719"/>
      <c r="P627" s="719" t="s">
        <v>837</v>
      </c>
      <c r="S627" s="719" t="s">
        <v>838</v>
      </c>
      <c r="T627" s="719" t="s">
        <v>839</v>
      </c>
      <c r="V627" s="719" t="s">
        <v>840</v>
      </c>
    </row>
    <row r="628" spans="2:24">
      <c r="B628" s="137" t="s">
        <v>527</v>
      </c>
      <c r="C628" s="138"/>
      <c r="D628" s="138"/>
      <c r="F628" s="138">
        <v>0.42</v>
      </c>
      <c r="H628" s="138">
        <v>0.81</v>
      </c>
      <c r="K628" s="138">
        <v>0.3</v>
      </c>
      <c r="L628" s="138">
        <v>0.5</v>
      </c>
      <c r="N628" s="138">
        <v>0.57</v>
      </c>
      <c r="O628" s="138"/>
      <c r="P628" s="138">
        <f>AVERAGE(L620:P620)</f>
        <v>0.556666666666667</v>
      </c>
      <c r="S628" s="138">
        <v>1.07</v>
      </c>
      <c r="T628" s="138">
        <v>1.48</v>
      </c>
      <c r="V628" s="138">
        <v>1.59</v>
      </c>
      <c r="W628" s="150" t="s">
        <v>847</v>
      </c>
      <c r="X628" s="137" t="s">
        <v>848</v>
      </c>
    </row>
    <row r="629" spans="2:24">
      <c r="B629" s="137" t="s">
        <v>841</v>
      </c>
      <c r="C629" s="138"/>
      <c r="D629" s="138"/>
      <c r="F629" s="138">
        <v>0.09</v>
      </c>
      <c r="H629" s="138">
        <v>0.23</v>
      </c>
      <c r="K629" s="138">
        <v>0.55</v>
      </c>
      <c r="L629" s="138">
        <v>0.9</v>
      </c>
      <c r="N629" s="138">
        <v>0.83</v>
      </c>
      <c r="O629" s="138"/>
      <c r="P629" s="138">
        <f t="shared" ref="P629:P633" si="110">AVERAGE(L621:P621)</f>
        <v>0.7</v>
      </c>
      <c r="S629" s="138">
        <v>0.84</v>
      </c>
      <c r="T629" s="138">
        <v>1.19</v>
      </c>
      <c r="V629" s="138">
        <v>1.1</v>
      </c>
    </row>
    <row r="630" spans="2:24">
      <c r="B630" s="137" t="s">
        <v>842</v>
      </c>
      <c r="C630" s="138"/>
      <c r="D630" s="138"/>
      <c r="F630" s="138">
        <v>0.16</v>
      </c>
      <c r="H630" s="138">
        <v>-0.01</v>
      </c>
      <c r="K630" s="138">
        <v>0.32</v>
      </c>
      <c r="L630" s="138">
        <v>0.35</v>
      </c>
      <c r="N630" s="138">
        <v>0.39</v>
      </c>
      <c r="O630" s="138"/>
      <c r="P630" s="138">
        <f t="shared" si="110"/>
        <v>0.54</v>
      </c>
      <c r="S630" s="138">
        <v>0.7</v>
      </c>
      <c r="T630" s="138">
        <v>0.65</v>
      </c>
      <c r="V630" s="138">
        <v>0.51</v>
      </c>
    </row>
    <row r="631" spans="2:24">
      <c r="B631" s="137" t="s">
        <v>843</v>
      </c>
      <c r="C631" s="138"/>
      <c r="D631" s="138"/>
      <c r="F631" s="138">
        <v>0.34</v>
      </c>
      <c r="H631" s="138">
        <v>0.43</v>
      </c>
      <c r="K631" s="138">
        <v>0.31</v>
      </c>
      <c r="L631" s="138">
        <v>0.31</v>
      </c>
      <c r="N631" s="138">
        <v>0.27</v>
      </c>
      <c r="O631" s="138"/>
      <c r="P631" s="138">
        <f t="shared" si="110"/>
        <v>0.36</v>
      </c>
      <c r="S631" s="138">
        <v>0.4</v>
      </c>
      <c r="T631" s="138">
        <v>0.53</v>
      </c>
      <c r="V631" s="138">
        <v>0.52</v>
      </c>
    </row>
    <row r="632" spans="2:24">
      <c r="B632" s="137" t="s">
        <v>844</v>
      </c>
      <c r="C632" s="138"/>
      <c r="D632" s="138"/>
      <c r="F632" s="138">
        <v>0.41</v>
      </c>
      <c r="H632" s="138">
        <v>0.38</v>
      </c>
      <c r="K632" s="138">
        <v>0.33</v>
      </c>
      <c r="L632" s="138">
        <v>0.32</v>
      </c>
      <c r="N632" s="138">
        <v>0.36</v>
      </c>
      <c r="O632" s="138"/>
      <c r="P632" s="138">
        <f t="shared" si="110"/>
        <v>0.386666666666667</v>
      </c>
      <c r="S632" s="138">
        <v>0.49</v>
      </c>
      <c r="T632" s="138">
        <v>0.59</v>
      </c>
      <c r="V632" s="138">
        <v>0.54</v>
      </c>
    </row>
    <row r="633" spans="2:24">
      <c r="B633" s="137" t="s">
        <v>845</v>
      </c>
      <c r="C633" s="138"/>
      <c r="D633" s="138"/>
      <c r="F633" s="138">
        <v>0.45</v>
      </c>
      <c r="H633" s="138">
        <v>1.15</v>
      </c>
      <c r="K633" s="138">
        <v>0.94</v>
      </c>
      <c r="L633" s="138">
        <v>0.85</v>
      </c>
      <c r="N633" s="138">
        <v>0.82</v>
      </c>
      <c r="O633" s="138"/>
      <c r="P633" s="138">
        <f t="shared" si="110"/>
        <v>0.78</v>
      </c>
      <c r="S633" s="138">
        <v>0.9</v>
      </c>
      <c r="T633" s="138">
        <v>1.04</v>
      </c>
      <c r="V633" s="138">
        <v>1.01</v>
      </c>
    </row>
    <row r="634" spans="2:24">
      <c r="T634" s="138"/>
    </row>
    <row r="635" spans="2:24"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T635" s="138"/>
    </row>
    <row r="636" spans="2:24">
      <c r="B636" s="137" t="s">
        <v>849</v>
      </c>
      <c r="C636" s="138"/>
      <c r="D636" s="138"/>
      <c r="E636" s="138"/>
      <c r="F636" s="138"/>
      <c r="G636" s="138"/>
      <c r="H636" s="138"/>
      <c r="I636" s="138"/>
      <c r="J636" s="138"/>
      <c r="K636" s="138">
        <v>0.12</v>
      </c>
      <c r="L636" s="138"/>
      <c r="M636" s="138"/>
      <c r="N636" s="138"/>
      <c r="O636" s="138"/>
      <c r="P636" s="138"/>
      <c r="T636" s="138"/>
    </row>
    <row r="637" spans="2:24">
      <c r="B637" s="137" t="s">
        <v>850</v>
      </c>
      <c r="C637" s="138"/>
      <c r="D637" s="138"/>
      <c r="E637" s="138"/>
      <c r="F637" s="138"/>
      <c r="G637" s="138"/>
      <c r="H637" s="138"/>
      <c r="I637" s="138"/>
      <c r="J637" s="138"/>
      <c r="K637" s="138">
        <v>0.286</v>
      </c>
      <c r="L637" s="138"/>
      <c r="M637" s="138"/>
      <c r="N637" s="138"/>
      <c r="O637" s="138"/>
      <c r="P637" s="138">
        <v>0.225</v>
      </c>
      <c r="T637" s="138"/>
    </row>
    <row r="638" spans="2:24"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T638" s="138"/>
    </row>
    <row r="648" spans="2:22">
      <c r="B648" s="137" t="s">
        <v>851</v>
      </c>
      <c r="C648" s="138"/>
      <c r="D648" s="138"/>
      <c r="F648" s="719" t="s">
        <v>832</v>
      </c>
      <c r="H648" s="719" t="s">
        <v>833</v>
      </c>
      <c r="K648" s="719" t="s">
        <v>834</v>
      </c>
      <c r="L648" s="719" t="s">
        <v>835</v>
      </c>
      <c r="N648" s="719" t="s">
        <v>836</v>
      </c>
      <c r="O648" s="719"/>
      <c r="P648" s="719" t="s">
        <v>837</v>
      </c>
      <c r="S648" s="719" t="s">
        <v>838</v>
      </c>
      <c r="T648" s="719" t="s">
        <v>839</v>
      </c>
      <c r="V648" s="719" t="s">
        <v>840</v>
      </c>
    </row>
    <row r="649" spans="2:22">
      <c r="B649" s="137" t="s">
        <v>527</v>
      </c>
      <c r="C649" s="138"/>
      <c r="D649" s="138"/>
      <c r="F649" s="138">
        <v>0.21</v>
      </c>
      <c r="H649" s="138">
        <v>0.52</v>
      </c>
      <c r="K649" s="138">
        <v>0.53</v>
      </c>
      <c r="L649" s="138">
        <v>0.61</v>
      </c>
      <c r="N649" s="138">
        <v>0.53</v>
      </c>
      <c r="O649" s="138"/>
      <c r="P649" s="138">
        <v>0.57</v>
      </c>
      <c r="S649" s="138">
        <v>0.63</v>
      </c>
      <c r="T649" s="138">
        <v>0.77</v>
      </c>
      <c r="V649" s="138">
        <v>0.81</v>
      </c>
    </row>
    <row r="650" spans="2:22">
      <c r="B650" s="137" t="s">
        <v>841</v>
      </c>
      <c r="C650" s="138"/>
      <c r="D650" s="138"/>
      <c r="F650" s="138">
        <v>-0.06</v>
      </c>
      <c r="H650" s="138">
        <v>0.32</v>
      </c>
      <c r="K650" s="138">
        <v>0.59</v>
      </c>
      <c r="L650" s="138">
        <v>0.97</v>
      </c>
      <c r="N650" s="138">
        <v>0.73</v>
      </c>
      <c r="O650" s="138"/>
      <c r="P650" s="138">
        <v>0.6</v>
      </c>
      <c r="S650" s="138">
        <v>0.68</v>
      </c>
      <c r="T650" s="138">
        <v>1.06</v>
      </c>
      <c r="V650" s="138">
        <v>1.11</v>
      </c>
    </row>
    <row r="651" spans="2:22">
      <c r="B651" s="137" t="s">
        <v>842</v>
      </c>
      <c r="C651" s="138"/>
      <c r="D651" s="138"/>
      <c r="F651" s="138">
        <v>0.06</v>
      </c>
      <c r="H651" s="138">
        <v>-0.17</v>
      </c>
      <c r="K651" s="138">
        <v>0.21</v>
      </c>
      <c r="L651" s="138">
        <v>0.29</v>
      </c>
      <c r="N651" s="138">
        <v>0.36</v>
      </c>
      <c r="O651" s="138"/>
      <c r="P651" s="138">
        <v>0.57</v>
      </c>
      <c r="S651" s="138">
        <v>0.62</v>
      </c>
      <c r="T651" s="138">
        <v>0.56</v>
      </c>
      <c r="V651" s="138">
        <v>0.38</v>
      </c>
    </row>
    <row r="652" spans="2:22">
      <c r="B652" s="137" t="s">
        <v>843</v>
      </c>
      <c r="C652" s="138"/>
      <c r="D652" s="138"/>
      <c r="F652" s="138">
        <v>0.15</v>
      </c>
      <c r="H652" s="138">
        <v>0.36</v>
      </c>
      <c r="K652" s="138">
        <v>0.24</v>
      </c>
      <c r="L652" s="138">
        <v>0.26</v>
      </c>
      <c r="N652" s="138">
        <v>0.22</v>
      </c>
      <c r="O652" s="138"/>
      <c r="P652" s="138">
        <v>0.29</v>
      </c>
      <c r="S652" s="138">
        <v>0.25</v>
      </c>
      <c r="T652" s="138">
        <v>0.32</v>
      </c>
      <c r="V652" s="138">
        <v>0.31</v>
      </c>
    </row>
    <row r="653" spans="2:22">
      <c r="B653" s="137" t="s">
        <v>844</v>
      </c>
      <c r="C653" s="138"/>
      <c r="D653" s="138"/>
      <c r="F653" s="138">
        <v>0.2</v>
      </c>
      <c r="H653" s="138">
        <v>0.31</v>
      </c>
      <c r="K653" s="138">
        <v>0.29</v>
      </c>
      <c r="L653" s="138">
        <v>0.32</v>
      </c>
      <c r="N653" s="138">
        <v>0.32</v>
      </c>
      <c r="O653" s="138"/>
      <c r="P653" s="138">
        <v>0.31</v>
      </c>
      <c r="S653" s="138">
        <v>0.38</v>
      </c>
      <c r="T653" s="138">
        <v>0.44</v>
      </c>
      <c r="V653" s="138">
        <v>0.44</v>
      </c>
    </row>
    <row r="654" spans="2:22">
      <c r="B654" s="137" t="s">
        <v>845</v>
      </c>
      <c r="C654" s="138"/>
      <c r="D654" s="138"/>
      <c r="F654" s="138">
        <v>0.28</v>
      </c>
      <c r="H654" s="138">
        <v>0.95</v>
      </c>
      <c r="K654" s="138">
        <v>0.81</v>
      </c>
      <c r="L654" s="138">
        <v>0.68</v>
      </c>
      <c r="N654" s="138">
        <v>0.62</v>
      </c>
      <c r="O654" s="138"/>
      <c r="P654" s="138">
        <v>0.59</v>
      </c>
      <c r="S654" s="138">
        <v>0.69</v>
      </c>
      <c r="T654" s="138">
        <v>0.81</v>
      </c>
      <c r="V654" s="138">
        <v>0.98</v>
      </c>
    </row>
    <row r="665" spans="1:20">
      <c r="A665" s="137" t="s">
        <v>852</v>
      </c>
      <c r="B665" s="137">
        <v>2019</v>
      </c>
      <c r="C665" s="137">
        <f>B665+1</f>
        <v>2020</v>
      </c>
      <c r="D665" s="137">
        <f>C665+1</f>
        <v>2021</v>
      </c>
      <c r="F665" s="137">
        <f>D665+1</f>
        <v>2022</v>
      </c>
      <c r="H665" s="137">
        <f>F665+1</f>
        <v>2023</v>
      </c>
      <c r="K665" s="137">
        <f>H665+1</f>
        <v>2024</v>
      </c>
      <c r="L665" s="137">
        <f>K665+1</f>
        <v>2025</v>
      </c>
      <c r="N665" s="137">
        <f>L665+1</f>
        <v>2026</v>
      </c>
      <c r="P665" s="137">
        <f>N665+1</f>
        <v>2027</v>
      </c>
      <c r="S665" s="137">
        <f>P665+1</f>
        <v>2028</v>
      </c>
      <c r="T665" s="137">
        <f>S665+1</f>
        <v>2029</v>
      </c>
    </row>
    <row r="666" spans="1:20">
      <c r="A666" s="137" t="s">
        <v>60</v>
      </c>
      <c r="B666" s="137">
        <f>B671/1</f>
        <v>68.5</v>
      </c>
      <c r="C666" s="137">
        <f>B666-1</f>
        <v>67.5</v>
      </c>
      <c r="D666" s="137">
        <f>C666-1</f>
        <v>66.5</v>
      </c>
      <c r="F666" s="137">
        <f>D666-1</f>
        <v>65.5</v>
      </c>
      <c r="H666" s="137">
        <f>F666-1</f>
        <v>64.5</v>
      </c>
      <c r="K666" s="137">
        <f>H666-1</f>
        <v>63.5</v>
      </c>
      <c r="L666" s="137">
        <f>K666-1</f>
        <v>62.5</v>
      </c>
      <c r="N666" s="137">
        <f>L666-1</f>
        <v>61.5</v>
      </c>
      <c r="P666" s="137">
        <f>N666-1</f>
        <v>60.5</v>
      </c>
      <c r="S666" s="137">
        <f>P666-1</f>
        <v>59.5</v>
      </c>
      <c r="T666" s="137">
        <f>S666-1</f>
        <v>58.5</v>
      </c>
    </row>
    <row r="667" spans="1:20">
      <c r="A667" s="137" t="s">
        <v>62</v>
      </c>
      <c r="B667" s="137">
        <f>B672/2</f>
        <v>15.75</v>
      </c>
      <c r="C667" s="137">
        <f>B667+1</f>
        <v>16.75</v>
      </c>
      <c r="D667" s="137">
        <f>C667+1</f>
        <v>17.75</v>
      </c>
      <c r="F667" s="137">
        <f>D667+1</f>
        <v>18.75</v>
      </c>
      <c r="H667" s="137">
        <f>F667+1</f>
        <v>19.75</v>
      </c>
      <c r="K667" s="137">
        <f>H667+1</f>
        <v>20.75</v>
      </c>
      <c r="L667" s="137">
        <f>K667+1</f>
        <v>21.75</v>
      </c>
      <c r="N667" s="137">
        <f>L667+1</f>
        <v>22.75</v>
      </c>
      <c r="P667" s="137">
        <f>N667+1</f>
        <v>23.75</v>
      </c>
      <c r="S667" s="137">
        <f>P667+1</f>
        <v>24.75</v>
      </c>
      <c r="T667" s="137">
        <f>S667+1</f>
        <v>25.75</v>
      </c>
    </row>
    <row r="668" spans="1:20">
      <c r="A668" s="137" t="s">
        <v>212</v>
      </c>
      <c r="B668" s="137">
        <f>B667+B666</f>
        <v>84.25</v>
      </c>
      <c r="C668" s="137">
        <f>C667+C666</f>
        <v>84.25</v>
      </c>
      <c r="D668" s="137">
        <f>D667+D666</f>
        <v>84.25</v>
      </c>
      <c r="F668" s="137">
        <f>F667+F666</f>
        <v>84.25</v>
      </c>
      <c r="H668" s="137">
        <f>H667+H666</f>
        <v>84.25</v>
      </c>
      <c r="K668" s="137">
        <f>K667+K666</f>
        <v>84.25</v>
      </c>
      <c r="L668" s="137">
        <f>L667+L666</f>
        <v>84.25</v>
      </c>
      <c r="N668" s="137">
        <f>N667+N666</f>
        <v>84.25</v>
      </c>
      <c r="P668" s="137">
        <f>P667+P666</f>
        <v>84.25</v>
      </c>
      <c r="S668" s="137">
        <f>S667+S666</f>
        <v>84.25</v>
      </c>
      <c r="T668" s="137">
        <f>T667+T666</f>
        <v>84.25</v>
      </c>
    </row>
    <row r="670" spans="1:20">
      <c r="A670" s="137" t="s">
        <v>853</v>
      </c>
    </row>
    <row r="671" spans="1:20">
      <c r="A671" s="137" t="s">
        <v>60</v>
      </c>
      <c r="B671" s="137">
        <f>100-B672</f>
        <v>68.5</v>
      </c>
      <c r="C671" s="137">
        <f>C666</f>
        <v>67.5</v>
      </c>
      <c r="D671" s="137">
        <f>D666</f>
        <v>66.5</v>
      </c>
      <c r="F671" s="137">
        <f>F666</f>
        <v>65.5</v>
      </c>
      <c r="H671" s="137">
        <f>H666</f>
        <v>64.5</v>
      </c>
      <c r="K671" s="137">
        <f>K666</f>
        <v>63.5</v>
      </c>
      <c r="L671" s="137">
        <f>L666</f>
        <v>62.5</v>
      </c>
      <c r="N671" s="137">
        <f>N666</f>
        <v>61.5</v>
      </c>
      <c r="P671" s="137">
        <f>P666</f>
        <v>60.5</v>
      </c>
      <c r="S671" s="137">
        <f>S666</f>
        <v>59.5</v>
      </c>
      <c r="T671" s="137">
        <f>T666</f>
        <v>58.5</v>
      </c>
    </row>
    <row r="672" spans="1:20">
      <c r="A672" s="137" t="s">
        <v>62</v>
      </c>
      <c r="B672" s="137">
        <v>31.5</v>
      </c>
      <c r="C672" s="137">
        <f>C667*2</f>
        <v>33.5</v>
      </c>
      <c r="D672" s="137">
        <f>D667*2</f>
        <v>35.5</v>
      </c>
      <c r="F672" s="137">
        <f>F667*2</f>
        <v>37.5</v>
      </c>
      <c r="H672" s="137">
        <f>H667*2</f>
        <v>39.5</v>
      </c>
      <c r="K672" s="137">
        <f>K667*2</f>
        <v>41.5</v>
      </c>
      <c r="L672" s="137">
        <f>L667*2</f>
        <v>43.5</v>
      </c>
      <c r="N672" s="137">
        <f>N667*2</f>
        <v>45.5</v>
      </c>
      <c r="P672" s="137">
        <f>P667*2</f>
        <v>47.5</v>
      </c>
      <c r="S672" s="137">
        <f>S667*2</f>
        <v>49.5</v>
      </c>
      <c r="T672" s="137">
        <f>T667*2</f>
        <v>51.5</v>
      </c>
    </row>
    <row r="673" spans="1:25">
      <c r="A673" s="137" t="s">
        <v>212</v>
      </c>
      <c r="B673" s="137">
        <f>B672+B671</f>
        <v>100</v>
      </c>
      <c r="C673" s="137">
        <f>C672+C671</f>
        <v>101</v>
      </c>
      <c r="D673" s="137">
        <f>D672+D671</f>
        <v>102</v>
      </c>
      <c r="F673" s="137">
        <f>F672+F671</f>
        <v>103</v>
      </c>
      <c r="H673" s="137">
        <f>H672+H671</f>
        <v>104</v>
      </c>
      <c r="K673" s="137">
        <f>K672+K671</f>
        <v>105</v>
      </c>
      <c r="L673" s="137">
        <f>L672+L671</f>
        <v>106</v>
      </c>
      <c r="N673" s="137">
        <f>N672+N671</f>
        <v>107</v>
      </c>
      <c r="P673" s="137">
        <f>P672+P671</f>
        <v>108</v>
      </c>
      <c r="S673" s="137">
        <f>S672+S671</f>
        <v>109</v>
      </c>
      <c r="T673" s="137">
        <f>T672+T671</f>
        <v>110</v>
      </c>
      <c r="U673" s="717">
        <f>((T673/B673)^0.1)-1</f>
        <v>0.009576582776887</v>
      </c>
      <c r="Y673" s="717"/>
    </row>
    <row r="674" spans="1:25">
      <c r="A674" s="2128" t="s">
        <v>854</v>
      </c>
      <c r="C674" s="1003">
        <f>C673/B673-1</f>
        <v>0.01</v>
      </c>
      <c r="D674" s="1003">
        <f>D673/C673-1</f>
        <v>0.00990099009900991</v>
      </c>
      <c r="E674" s="1003"/>
      <c r="F674" s="1003">
        <f>F673/D673-1</f>
        <v>0.00980392156862742</v>
      </c>
      <c r="H674" s="1003">
        <f>H673/F673-1</f>
        <v>0.00970873786407767</v>
      </c>
      <c r="K674" s="1003">
        <f>K673/H673-1</f>
        <v>0.00961538461538458</v>
      </c>
      <c r="L674" s="1003">
        <f>L673/K673-1</f>
        <v>0.00952380952380949</v>
      </c>
      <c r="N674" s="1003">
        <f>N673/L673-1</f>
        <v>0.00943396226415105</v>
      </c>
      <c r="P674" s="1003">
        <f>P673/N673-1</f>
        <v>0.00934579439252325</v>
      </c>
      <c r="S674" s="1003">
        <f>S673/P673-1</f>
        <v>0.0092592592592593</v>
      </c>
      <c r="T674" s="1003">
        <f>T673/S673-1</f>
        <v>0.00917431192660545</v>
      </c>
    </row>
    <row r="678" spans="1:25">
      <c r="F678" s="719" t="s">
        <v>515</v>
      </c>
      <c r="G678" s="719"/>
      <c r="H678" s="719" t="s">
        <v>515</v>
      </c>
      <c r="I678" s="719"/>
      <c r="J678" s="719"/>
      <c r="K678" s="719" t="s">
        <v>516</v>
      </c>
      <c r="L678" s="719" t="s">
        <v>516</v>
      </c>
    </row>
    <row r="679" spans="1:25">
      <c r="C679" s="137" t="s">
        <v>785</v>
      </c>
      <c r="D679" s="137">
        <v>100</v>
      </c>
      <c r="F679" s="138">
        <f>H679/D679-1</f>
        <v>-0.005</v>
      </c>
      <c r="G679" s="138"/>
      <c r="H679" s="1004">
        <f>H681+H683+H685+H682+H684</f>
        <v>99.5</v>
      </c>
      <c r="K679" s="138">
        <f>L679/D679-1</f>
        <v>-0.00600000000000012</v>
      </c>
      <c r="L679" s="1004">
        <f>L681+L683+L685+L682+L684</f>
        <v>99.4</v>
      </c>
    </row>
    <row r="680" spans="1:25">
      <c r="C680" s="137" t="s">
        <v>855</v>
      </c>
      <c r="D680" s="722">
        <v>60</v>
      </c>
      <c r="F680" s="138"/>
      <c r="G680" s="138"/>
      <c r="H680" s="138"/>
    </row>
    <row r="681" spans="1:25">
      <c r="C681" s="2128" t="s">
        <v>856</v>
      </c>
      <c r="D681" s="722">
        <f>D680*0.2*0.5</f>
        <v>6</v>
      </c>
      <c r="F681" s="138">
        <v>-0.5</v>
      </c>
      <c r="G681" s="138"/>
      <c r="H681" s="722">
        <f>D681*(1+F681)</f>
        <v>3</v>
      </c>
      <c r="K681" s="138">
        <v>0.2</v>
      </c>
      <c r="L681" s="722">
        <f>D681*(1+K681)</f>
        <v>7.2</v>
      </c>
    </row>
    <row r="682" spans="1:25">
      <c r="C682" s="2128" t="s">
        <v>857</v>
      </c>
      <c r="D682" s="722">
        <f>D680*0.2*0.5</f>
        <v>6</v>
      </c>
      <c r="F682" s="138">
        <v>-0.25</v>
      </c>
      <c r="G682" s="138"/>
      <c r="H682" s="722">
        <f>D682*(1+F682)</f>
        <v>4.5</v>
      </c>
      <c r="K682" s="138">
        <v>0.3</v>
      </c>
      <c r="L682" s="722">
        <f>D682*(1+K682)</f>
        <v>7.8</v>
      </c>
      <c r="M682" s="722">
        <f>I682*(1+K682)</f>
        <v>0</v>
      </c>
    </row>
    <row r="683" spans="1:25">
      <c r="C683" s="2128" t="s">
        <v>858</v>
      </c>
      <c r="D683" s="722">
        <f>D680*0.8*0.65</f>
        <v>31.2</v>
      </c>
      <c r="F683" s="138">
        <v>0</v>
      </c>
      <c r="G683" s="138"/>
      <c r="H683" s="722">
        <f t="shared" ref="H683:H685" si="111">D683*(1+F683)</f>
        <v>31.2</v>
      </c>
      <c r="K683" s="138">
        <v>-0.2</v>
      </c>
      <c r="L683" s="722">
        <f>D683*(1+K683)</f>
        <v>24.96</v>
      </c>
    </row>
    <row r="684" spans="1:25">
      <c r="C684" s="2128" t="s">
        <v>859</v>
      </c>
      <c r="D684" s="722">
        <f>D680-D683-D682-D681</f>
        <v>16.8</v>
      </c>
      <c r="F684" s="138">
        <v>0</v>
      </c>
      <c r="G684" s="138"/>
      <c r="H684" s="722">
        <f t="shared" si="111"/>
        <v>16.8</v>
      </c>
      <c r="K684" s="138">
        <f>K683</f>
        <v>-0.2</v>
      </c>
      <c r="L684" s="722">
        <f>D684*(1+K684)</f>
        <v>13.44</v>
      </c>
      <c r="M684" s="722">
        <f t="shared" ref="M684" si="112">I684*(1+K684)</f>
        <v>0</v>
      </c>
    </row>
    <row r="685" spans="1:25">
      <c r="C685" s="137" t="s">
        <v>860</v>
      </c>
      <c r="D685" s="722">
        <f>D679-D680</f>
        <v>40</v>
      </c>
      <c r="F685" s="138">
        <v>0.1</v>
      </c>
      <c r="G685" s="138"/>
      <c r="H685" s="722">
        <f t="shared" si="111"/>
        <v>44</v>
      </c>
      <c r="K685" s="138">
        <v>0.15</v>
      </c>
      <c r="L685" s="722">
        <f>D685*(1+K685)</f>
        <v>46</v>
      </c>
      <c r="M685" s="722">
        <f t="shared" ref="M685" si="113">I685*(1+K685)</f>
        <v>0</v>
      </c>
    </row>
    <row r="686" spans="1:25">
      <c r="F686" s="138"/>
      <c r="G686" s="138"/>
      <c r="H686" s="138"/>
    </row>
    <row r="687" spans="1:25">
      <c r="C687" s="137" t="s">
        <v>861</v>
      </c>
      <c r="D687" s="137">
        <f>D693*D679</f>
        <v>16</v>
      </c>
      <c r="H687" s="1005">
        <f>SUM(H688:H692)</f>
        <v>20.08</v>
      </c>
      <c r="L687" s="1005">
        <f>SUM(L688:L692)</f>
        <v>16.1312</v>
      </c>
    </row>
    <row r="688" spans="1:25">
      <c r="C688" s="2128" t="s">
        <v>856</v>
      </c>
      <c r="D688" s="1005">
        <f>D681*$D$693</f>
        <v>0.96</v>
      </c>
      <c r="E688" s="1005"/>
      <c r="H688" s="1005">
        <f>(D688*1.1)-(D688*F681)</f>
        <v>1.536</v>
      </c>
      <c r="L688" s="1005">
        <f>(D688*1.1)+(H688-D688)-(D688*K681)</f>
        <v>1.44</v>
      </c>
    </row>
    <row r="689" spans="3:12">
      <c r="C689" s="2128" t="s">
        <v>857</v>
      </c>
      <c r="D689" s="1005">
        <f t="shared" ref="D689:D692" si="114">D682*$D$693</f>
        <v>0.96</v>
      </c>
      <c r="E689" s="1005"/>
      <c r="H689" s="1005">
        <f>(D689*1.1)-(D689*F682)</f>
        <v>1.296</v>
      </c>
      <c r="L689" s="1005">
        <f t="shared" ref="L689:L692" si="115">(D689*1.1)+(H689-D689)-(D689*K682)</f>
        <v>1.104</v>
      </c>
    </row>
    <row r="690" spans="3:12">
      <c r="C690" s="2128" t="s">
        <v>858</v>
      </c>
      <c r="D690" s="1005">
        <f t="shared" si="114"/>
        <v>4.992</v>
      </c>
      <c r="E690" s="1005"/>
      <c r="H690" s="1005">
        <f>(D690*(1+F683))-(D690*F681)</f>
        <v>7.488</v>
      </c>
      <c r="L690" s="1005">
        <f>(D690*(1+K683))+(H690-D690)-(D690*K681)</f>
        <v>5.4912</v>
      </c>
    </row>
    <row r="691" spans="3:12">
      <c r="C691" s="2128" t="s">
        <v>859</v>
      </c>
      <c r="D691" s="1005">
        <f t="shared" si="114"/>
        <v>2.688</v>
      </c>
      <c r="E691" s="1005"/>
      <c r="H691" s="1005">
        <f>(D691*(1+F684))-(D691*F682)</f>
        <v>3.36</v>
      </c>
      <c r="L691" s="1005">
        <f>(D691*(1+K684))+(H691-D691)-(D691*K682)</f>
        <v>2.016</v>
      </c>
    </row>
    <row r="692" spans="3:12">
      <c r="C692" s="137" t="s">
        <v>860</v>
      </c>
      <c r="D692" s="1005">
        <f t="shared" si="114"/>
        <v>6.4</v>
      </c>
      <c r="E692" s="1005"/>
      <c r="H692" s="1005">
        <f>(D692*1.1)-(D692*F685)</f>
        <v>6.4</v>
      </c>
      <c r="L692" s="1005">
        <f t="shared" si="115"/>
        <v>6.08</v>
      </c>
    </row>
    <row r="693" spans="3:12">
      <c r="C693" s="137" t="s">
        <v>862</v>
      </c>
      <c r="D693" s="717">
        <v>0.16</v>
      </c>
      <c r="H693" s="717">
        <f>H687/H679</f>
        <v>0.201809045226131</v>
      </c>
      <c r="L693" s="717">
        <f>L687/L679</f>
        <v>0.162285714285714</v>
      </c>
    </row>
    <row r="695" spans="3:12">
      <c r="D695" s="137" t="s">
        <v>132</v>
      </c>
    </row>
    <row r="696" spans="3:12">
      <c r="C696" s="137" t="s">
        <v>785</v>
      </c>
      <c r="D696" s="717">
        <v>0.202101917376906</v>
      </c>
    </row>
    <row r="697" spans="3:12">
      <c r="C697" s="137" t="s">
        <v>786</v>
      </c>
      <c r="D697" s="717">
        <v>0.154528783606881</v>
      </c>
    </row>
    <row r="698" spans="3:12">
      <c r="C698" s="137" t="s">
        <v>787</v>
      </c>
      <c r="D698" s="717">
        <v>0.122348001426099</v>
      </c>
    </row>
    <row r="699" spans="3:12">
      <c r="C699" s="137" t="s">
        <v>209</v>
      </c>
      <c r="D699" s="717">
        <v>0.0764207937041939</v>
      </c>
    </row>
    <row r="700" spans="3:12">
      <c r="C700" s="137" t="s">
        <v>748</v>
      </c>
      <c r="D700" s="717">
        <v>0.0474079497561025</v>
      </c>
    </row>
    <row r="701" spans="3:12">
      <c r="C701" s="137" t="s">
        <v>746</v>
      </c>
      <c r="D701" s="717">
        <v>0.0334475406177884</v>
      </c>
    </row>
    <row r="713" spans="3:11">
      <c r="D713" s="137">
        <v>2019</v>
      </c>
      <c r="F713" s="137" t="s">
        <v>778</v>
      </c>
      <c r="H713" s="137" t="s">
        <v>781</v>
      </c>
      <c r="K713" s="137" t="s">
        <v>863</v>
      </c>
    </row>
    <row r="714" spans="3:11">
      <c r="D714" s="137" t="s">
        <v>764</v>
      </c>
      <c r="F714" s="137" t="s">
        <v>764</v>
      </c>
      <c r="H714" s="137" t="s">
        <v>764</v>
      </c>
      <c r="K714" s="137" t="s">
        <v>764</v>
      </c>
    </row>
    <row r="715" spans="3:11">
      <c r="C715" s="137" t="s">
        <v>785</v>
      </c>
      <c r="D715" s="717">
        <v>0.339126807580944</v>
      </c>
      <c r="F715" s="717">
        <f>DCF!F111/DCF!F136</f>
        <v>0.329873009473896</v>
      </c>
      <c r="G715" s="717">
        <f>DCF!G111/DCF!G136</f>
        <v>0.216492417820477</v>
      </c>
      <c r="H715" s="717">
        <f>DCF!I111/DCF!I136</f>
        <v>0.171325518485122</v>
      </c>
      <c r="I715" s="717">
        <f>DCF!J111/DCF!J136</f>
        <v>0.164688521159769</v>
      </c>
      <c r="J715" s="717">
        <f>DCF!K111/DCF!K136</f>
        <v>0.16984183357416</v>
      </c>
      <c r="K715" s="717">
        <f>DCF!M111/DCF!M136</f>
        <v>0.180232905169238</v>
      </c>
    </row>
    <row r="716" spans="3:11">
      <c r="C716" s="137" t="s">
        <v>209</v>
      </c>
      <c r="D716" s="717">
        <v>0.253736778746116</v>
      </c>
      <c r="F716" s="717">
        <f>DCF!F101/DCF!F136</f>
        <v>0.268091110663173</v>
      </c>
      <c r="G716" s="717">
        <f>DCF!G101/DCF!G136</f>
        <v>0.365451634171612</v>
      </c>
      <c r="H716" s="717">
        <f>DCF!I101/DCF!I136</f>
        <v>0.344595356176736</v>
      </c>
      <c r="I716" s="717">
        <f>DCF!J101/DCF!J136</f>
        <v>0.373653748623957</v>
      </c>
      <c r="J716" s="717">
        <f>DCF!K101/DCF!K136</f>
        <v>0.364326983253479</v>
      </c>
      <c r="K716" s="717">
        <f>DCF!M101/DCF!M136</f>
        <v>0.345590709944241</v>
      </c>
    </row>
    <row r="717" spans="3:11">
      <c r="C717" s="137" t="s">
        <v>746</v>
      </c>
      <c r="D717" s="717">
        <v>0.226702418059232</v>
      </c>
      <c r="F717" s="717">
        <f>DCF!F106/DCF!F136</f>
        <v>0.239971779883088</v>
      </c>
      <c r="G717" s="717">
        <f>DCF!G106/DCF!G136</f>
        <v>0.240416313459546</v>
      </c>
      <c r="H717" s="717">
        <f>DCF!I106/DCF!I136</f>
        <v>0.272993688007214</v>
      </c>
      <c r="I717" s="717">
        <f>DCF!J106/DCF!J136</f>
        <v>0.249153792795885</v>
      </c>
      <c r="J717" s="717">
        <f>DCF!K106/DCF!K136</f>
        <v>0.2569501305398</v>
      </c>
      <c r="K717" s="717">
        <f>DCF!M106/DCF!M136</f>
        <v>0.272670563760618</v>
      </c>
    </row>
    <row r="718" spans="3:11">
      <c r="C718" s="137" t="s">
        <v>748</v>
      </c>
      <c r="D718" s="717">
        <v>0.0698706385444466</v>
      </c>
      <c r="F718" s="717">
        <f>DCF!F116/DCF!F136</f>
        <v>0.0583551703285628</v>
      </c>
      <c r="G718" s="717">
        <f>DCF!G116/DCF!G136</f>
        <v>0.0681454271451446</v>
      </c>
      <c r="H718" s="717">
        <f>DCF!I116/DCF!I136</f>
        <v>0.129114066726781</v>
      </c>
      <c r="I718" s="717">
        <f>DCF!J116/DCF!J136</f>
        <v>0.140451027997316</v>
      </c>
      <c r="J718" s="717">
        <f>DCF!K116/DCF!K136</f>
        <v>0.136945232086</v>
      </c>
      <c r="K718" s="717">
        <f>DCF!M116/DCF!M136</f>
        <v>0.129902538531307</v>
      </c>
    </row>
    <row r="719" spans="3:11">
      <c r="C719" s="137" t="s">
        <v>786</v>
      </c>
      <c r="D719" s="717">
        <v>0.0546241772880628</v>
      </c>
      <c r="F719" s="717">
        <f>DCF!F121/DCF!F136</f>
        <v>0.050292279782302</v>
      </c>
      <c r="G719" s="717">
        <f>DCF!G121/DCF!G136</f>
        <v>0.102712630686635</v>
      </c>
      <c r="H719" s="717">
        <f>DCF!I121/DCF!I136</f>
        <v>0.0707563119927863</v>
      </c>
      <c r="I719" s="717">
        <f>DCF!J121/DCF!J136</f>
        <v>0.0667937446077758</v>
      </c>
      <c r="J719" s="717">
        <f>DCF!K121/DCF!K136</f>
        <v>0.0670051562343818</v>
      </c>
      <c r="K719" s="717">
        <f>DCF!M121/DCF!M136</f>
        <v>0.0672790456874268</v>
      </c>
    </row>
    <row r="720" spans="3:11">
      <c r="C720" s="137" t="s">
        <v>787</v>
      </c>
      <c r="D720" s="717">
        <v>0.0280537137361816</v>
      </c>
      <c r="F720" s="717">
        <f>DCF!F126/DCF!F136</f>
        <v>0.029429550493852</v>
      </c>
      <c r="G720" s="717">
        <f>DCF!G126/DCF!G136</f>
        <v>0</v>
      </c>
      <c r="H720" s="717">
        <f>DCF!I126/DCF!I136</f>
        <v>0</v>
      </c>
      <c r="I720" s="717">
        <f>DCF!J126/DCF!J136</f>
        <v>0</v>
      </c>
      <c r="J720" s="717">
        <f>DCF!K126/DCF!K136</f>
        <v>0</v>
      </c>
      <c r="K720" s="717">
        <f>DCF!M126/DCF!M136</f>
        <v>0</v>
      </c>
    </row>
    <row r="735" spans="3:23">
      <c r="D735" s="137">
        <v>2015</v>
      </c>
      <c r="F735" s="137">
        <v>2016</v>
      </c>
      <c r="H735" s="137">
        <v>2017</v>
      </c>
      <c r="K735" s="137">
        <v>2018</v>
      </c>
      <c r="L735" s="137">
        <v>2019</v>
      </c>
      <c r="N735" s="719">
        <v>2020</v>
      </c>
      <c r="O735" s="719"/>
      <c r="P735" s="719">
        <v>2021</v>
      </c>
      <c r="Q735" s="719"/>
      <c r="R735" s="719"/>
      <c r="S735" s="719">
        <v>2022</v>
      </c>
      <c r="T735" s="719" t="s">
        <v>781</v>
      </c>
      <c r="U735" s="719" t="s">
        <v>864</v>
      </c>
      <c r="V735" s="719" t="s">
        <v>865</v>
      </c>
    </row>
    <row r="736" spans="3:23">
      <c r="C736" s="137" t="s">
        <v>866</v>
      </c>
      <c r="D736" s="174">
        <f>'Balance Sheet &amp; Cash Flow'!W108+'Balance Sheet &amp; Cash Flow'!W118</f>
        <v>330</v>
      </c>
      <c r="E736" s="174"/>
      <c r="F736" s="174">
        <f>'Balance Sheet &amp; Cash Flow'!X108+'Balance Sheet &amp; Cash Flow'!X118</f>
        <v>188</v>
      </c>
      <c r="G736" s="174">
        <f>'Balance Sheet &amp; Cash Flow'!Z108+'Balance Sheet &amp; Cash Flow'!Z118</f>
        <v>1050</v>
      </c>
      <c r="H736" s="174">
        <f>'Balance Sheet &amp; Cash Flow'!Y108+'Balance Sheet &amp; Cash Flow'!Y118</f>
        <v>968</v>
      </c>
      <c r="I736" s="174">
        <f>'Balance Sheet &amp; Cash Flow'!AB108+'Balance Sheet &amp; Cash Flow'!AB118</f>
        <v>1124</v>
      </c>
      <c r="J736" s="174">
        <f>'Balance Sheet &amp; Cash Flow'!AC108+'Balance Sheet &amp; Cash Flow'!AC118</f>
        <v>1902</v>
      </c>
      <c r="K736" s="174">
        <f>'Balance Sheet &amp; Cash Flow'!Z108+'Balance Sheet &amp; Cash Flow'!Z118-'Balance Sheet &amp; Cash Flow'!Z117</f>
        <v>2050</v>
      </c>
      <c r="L736" s="174">
        <f>'Balance Sheet &amp; Cash Flow'!AA108+'Balance Sheet &amp; Cash Flow'!AA118-'Balance Sheet &amp; Cash Flow'!AA117</f>
        <v>1894</v>
      </c>
      <c r="M736" s="174">
        <f>'Balance Sheet &amp; Cash Flow'!AF108+'Balance Sheet &amp; Cash Flow'!AF118</f>
        <v>2553.99999999999</v>
      </c>
      <c r="N736" s="174">
        <f>'Balance Sheet &amp; Cash Flow'!AB108+'Balance Sheet &amp; Cash Flow'!AB118-'Balance Sheet &amp; Cash Flow'!AB117</f>
        <v>1381</v>
      </c>
      <c r="O736" s="174">
        <f>'Balance Sheet &amp; Cash Flow'!AM108+'Balance Sheet &amp; Cash Flow'!AM118</f>
        <v>0</v>
      </c>
      <c r="P736" s="174">
        <f>'Balance Sheet &amp; Cash Flow'!AC108+'Balance Sheet &amp; Cash Flow'!AC118-'Balance Sheet &amp; Cash Flow'!AC117</f>
        <v>2902</v>
      </c>
      <c r="Q736" s="174">
        <f>'Balance Sheet &amp; Cash Flow'!AO108+'Balance Sheet &amp; Cash Flow'!AO118</f>
        <v>0</v>
      </c>
      <c r="R736" s="174">
        <f>'Balance Sheet &amp; Cash Flow'!AP108+'Balance Sheet &amp; Cash Flow'!AP118</f>
        <v>0</v>
      </c>
      <c r="S736" s="174">
        <f>'Balance Sheet &amp; Cash Flow'!AD108+'Balance Sheet &amp; Cash Flow'!AD118-'Balance Sheet &amp; Cash Flow'!AD117</f>
        <v>460</v>
      </c>
      <c r="T736" s="174">
        <f>'Balance Sheet &amp; Cash Flow'!AE108+'Balance Sheet &amp; Cash Flow'!AE118-'Balance Sheet &amp; Cash Flow'!AE117</f>
        <v>2214.00000000002</v>
      </c>
      <c r="U736" s="174">
        <f>'Balance Sheet &amp; Cash Flow'!AF108+'Balance Sheet &amp; Cash Flow'!AF118-'Balance Sheet &amp; Cash Flow'!AF117</f>
        <v>2525.99999999999</v>
      </c>
      <c r="V736" s="174">
        <f>'Balance Sheet &amp; Cash Flow'!AG108+'Balance Sheet &amp; Cash Flow'!AG118-'Balance Sheet &amp; Cash Flow'!AG117</f>
        <v>348</v>
      </c>
      <c r="W736" s="156">
        <f>SUM(S736:V736)</f>
        <v>5548.00000000001</v>
      </c>
    </row>
    <row r="737" spans="3:28">
      <c r="C737" s="137" t="s">
        <v>867</v>
      </c>
      <c r="D737" s="174">
        <f>-'Balance Sheet &amp; Cash Flow'!W137</f>
        <v>-464</v>
      </c>
      <c r="E737" s="174"/>
      <c r="F737" s="174">
        <f>-'Balance Sheet &amp; Cash Flow'!X137</f>
        <v>-108</v>
      </c>
      <c r="G737" s="174">
        <f>'Balance Sheet &amp; Cash Flow'!Z137</f>
        <v>-959</v>
      </c>
      <c r="H737" s="174">
        <f>-'Balance Sheet &amp; Cash Flow'!Y137</f>
        <v>478</v>
      </c>
      <c r="I737" s="174">
        <f>'Balance Sheet &amp; Cash Flow'!AB137</f>
        <v>-826</v>
      </c>
      <c r="J737" s="174">
        <f>'Balance Sheet &amp; Cash Flow'!AC137</f>
        <v>-1333</v>
      </c>
      <c r="K737" s="174">
        <f>-'Balance Sheet &amp; Cash Flow'!Z137</f>
        <v>959</v>
      </c>
      <c r="L737" s="174">
        <f>-'Balance Sheet &amp; Cash Flow'!AA137</f>
        <v>874</v>
      </c>
      <c r="M737" s="174">
        <f>'Balance Sheet &amp; Cash Flow'!AF137</f>
        <v>30</v>
      </c>
      <c r="N737" s="174">
        <f>-'Balance Sheet &amp; Cash Flow'!AB137</f>
        <v>826</v>
      </c>
      <c r="O737" s="174">
        <f>'Balance Sheet &amp; Cash Flow'!AM137</f>
        <v>0</v>
      </c>
      <c r="P737" s="174">
        <f>-'Balance Sheet &amp; Cash Flow'!AC137</f>
        <v>1333</v>
      </c>
      <c r="Q737" s="174">
        <f>'Balance Sheet &amp; Cash Flow'!AO137</f>
        <v>0</v>
      </c>
      <c r="R737" s="174">
        <f>'Balance Sheet &amp; Cash Flow'!AP137</f>
        <v>0</v>
      </c>
      <c r="S737" s="174">
        <f>-'Balance Sheet &amp; Cash Flow'!AD137</f>
        <v>-2675</v>
      </c>
      <c r="T737" s="174">
        <f>-'Balance Sheet &amp; Cash Flow'!AE137</f>
        <v>-1548</v>
      </c>
      <c r="U737" s="174">
        <f>-'Balance Sheet &amp; Cash Flow'!AF137</f>
        <v>-30</v>
      </c>
      <c r="V737" s="174">
        <f>-'Balance Sheet &amp; Cash Flow'!AG137</f>
        <v>-1024</v>
      </c>
      <c r="W737" s="174">
        <f>-'Balance Sheet &amp; Cash Flow'!AH137</f>
        <v>-1029.36590994875</v>
      </c>
      <c r="X737" s="174">
        <f>-'Balance Sheet &amp; Cash Flow'!AI137</f>
        <v>-980.0748578617</v>
      </c>
      <c r="Y737" s="174">
        <f>-'Balance Sheet &amp; Cash Flow'!AM137</f>
        <v>0</v>
      </c>
      <c r="Z737" s="174">
        <f>-'Balance Sheet &amp; Cash Flow'!AN137</f>
        <v>0</v>
      </c>
      <c r="AA737" s="174"/>
      <c r="AB737" s="174"/>
    </row>
    <row r="738" spans="3:28">
      <c r="C738" s="137" t="s">
        <v>868</v>
      </c>
      <c r="D738" s="137">
        <f>'Balance Sheet &amp; Cash Flow'!W117+'Balance Sheet &amp; Cash Flow'!W122</f>
        <v>-351</v>
      </c>
      <c r="F738" s="137">
        <f>'Balance Sheet &amp; Cash Flow'!X117+'Balance Sheet &amp; Cash Flow'!X122</f>
        <v>-353</v>
      </c>
      <c r="H738" s="137">
        <f>'Balance Sheet &amp; Cash Flow'!Y117+'Balance Sheet &amp; Cash Flow'!Y122</f>
        <v>-447</v>
      </c>
      <c r="I738" s="137">
        <f>'Balance Sheet &amp; Cash Flow'!AA117</f>
        <v>-809</v>
      </c>
      <c r="J738" s="137">
        <f>'Balance Sheet &amp; Cash Flow'!AB117</f>
        <v>-257</v>
      </c>
      <c r="K738" s="137">
        <f>'Balance Sheet &amp; Cash Flow'!Z117+'Balance Sheet &amp; Cash Flow'!Z122</f>
        <v>-1528.38214</v>
      </c>
      <c r="L738" s="137">
        <f>'Balance Sheet &amp; Cash Flow'!AA117+'Balance Sheet &amp; Cash Flow'!AA122</f>
        <v>-1473</v>
      </c>
      <c r="M738" s="137">
        <f>'Balance Sheet &amp; Cash Flow'!AE117</f>
        <v>-34</v>
      </c>
      <c r="N738" s="137">
        <f>'Balance Sheet &amp; Cash Flow'!AB117+'Balance Sheet &amp; Cash Flow'!AB122</f>
        <v>-257</v>
      </c>
      <c r="O738" s="137">
        <f>'Balance Sheet &amp; Cash Flow'!AG117</f>
        <v>-1</v>
      </c>
      <c r="P738" s="137">
        <f>'Balance Sheet &amp; Cash Flow'!AC117+'Balance Sheet &amp; Cash Flow'!AC122</f>
        <v>-1585</v>
      </c>
      <c r="Q738" s="137">
        <f>'Balance Sheet &amp; Cash Flow'!AN117</f>
        <v>0</v>
      </c>
      <c r="R738" s="137">
        <f>'Balance Sheet &amp; Cash Flow'!AO117</f>
        <v>0</v>
      </c>
      <c r="S738" s="137">
        <f>'Balance Sheet &amp; Cash Flow'!AD117+'Balance Sheet &amp; Cash Flow'!AD122</f>
        <v>-3110</v>
      </c>
      <c r="T738" s="137">
        <f>'Balance Sheet &amp; Cash Flow'!AE117+'Balance Sheet &amp; Cash Flow'!AE122</f>
        <v>-159</v>
      </c>
      <c r="U738" s="137">
        <f>'Balance Sheet &amp; Cash Flow'!AF117+'Balance Sheet &amp; Cash Flow'!AF122</f>
        <v>-97</v>
      </c>
      <c r="V738" s="137">
        <f>'Balance Sheet &amp; Cash Flow'!AG117+'Balance Sheet &amp; Cash Flow'!AG122</f>
        <v>-358</v>
      </c>
      <c r="W738" s="137">
        <f>'Balance Sheet &amp; Cash Flow'!AH117+'Balance Sheet &amp; Cash Flow'!AH122</f>
        <v>-1499.982</v>
      </c>
      <c r="X738" s="137">
        <f>'Balance Sheet &amp; Cash Flow'!AI117+'Balance Sheet &amp; Cash Flow'!AI122</f>
        <v>-1620.94235998498</v>
      </c>
      <c r="Y738" s="137">
        <f>'Balance Sheet &amp; Cash Flow'!AM117+'Balance Sheet &amp; Cash Flow'!AM122</f>
        <v>0</v>
      </c>
      <c r="Z738" s="137">
        <f>'Balance Sheet &amp; Cash Flow'!AN117+'Balance Sheet &amp; Cash Flow'!AN122</f>
        <v>0</v>
      </c>
    </row>
    <row r="765" spans="3:24">
      <c r="C765" s="137" t="s">
        <v>869</v>
      </c>
      <c r="D765" s="137" t="s">
        <v>870</v>
      </c>
      <c r="F765" s="137" t="s">
        <v>870</v>
      </c>
      <c r="G765" s="137" t="s">
        <v>870</v>
      </c>
      <c r="H765" s="137" t="s">
        <v>870</v>
      </c>
      <c r="K765" s="137" t="s">
        <v>496</v>
      </c>
      <c r="L765" s="137" t="s">
        <v>496</v>
      </c>
      <c r="N765" s="137" t="s">
        <v>496</v>
      </c>
      <c r="P765" s="137" t="s">
        <v>497</v>
      </c>
      <c r="S765" s="137" t="s">
        <v>497</v>
      </c>
      <c r="T765" s="137" t="s">
        <v>497</v>
      </c>
      <c r="V765" s="137" t="s">
        <v>494</v>
      </c>
      <c r="W765" s="137" t="s">
        <v>494</v>
      </c>
      <c r="X765" s="137" t="s">
        <v>494</v>
      </c>
    </row>
    <row r="766" spans="3:24">
      <c r="D766" s="137" t="s">
        <v>710</v>
      </c>
      <c r="F766" s="137" t="s">
        <v>871</v>
      </c>
      <c r="H766" s="137" t="s">
        <v>872</v>
      </c>
      <c r="K766" s="137" t="s">
        <v>710</v>
      </c>
      <c r="L766" s="137" t="s">
        <v>871</v>
      </c>
      <c r="M766" s="137" t="s">
        <v>871</v>
      </c>
      <c r="N766" s="137" t="s">
        <v>872</v>
      </c>
      <c r="P766" s="137" t="s">
        <v>710</v>
      </c>
      <c r="S766" s="137" t="s">
        <v>871</v>
      </c>
      <c r="T766" s="137" t="s">
        <v>872</v>
      </c>
      <c r="V766" s="137" t="s">
        <v>710</v>
      </c>
      <c r="W766" s="137" t="s">
        <v>871</v>
      </c>
      <c r="X766" s="137" t="s">
        <v>872</v>
      </c>
    </row>
    <row r="767" spans="3:24">
      <c r="C767" s="137" t="s">
        <v>211</v>
      </c>
      <c r="D767" s="137">
        <v>36</v>
      </c>
      <c r="F767" s="717">
        <v>0.57</v>
      </c>
      <c r="H767" s="137">
        <f>F767*D767</f>
        <v>20.52</v>
      </c>
      <c r="K767" s="137">
        <f>D767*(1-0.44)</f>
        <v>20.16</v>
      </c>
      <c r="L767" s="717">
        <f>F767</f>
        <v>0.57</v>
      </c>
      <c r="M767" s="137">
        <v>0.63</v>
      </c>
      <c r="N767" s="137">
        <f>L767*K767</f>
        <v>11.4912</v>
      </c>
      <c r="O767" s="137">
        <f>M767*K767</f>
        <v>12.7008</v>
      </c>
      <c r="P767" s="137">
        <f>D767*(1-0.1)</f>
        <v>32.4</v>
      </c>
      <c r="S767" s="717">
        <f>L767</f>
        <v>0.57</v>
      </c>
      <c r="T767" s="137">
        <f>S767*P767</f>
        <v>18.468</v>
      </c>
      <c r="V767" s="137">
        <f>D767*(1+0.2)</f>
        <v>43.2</v>
      </c>
      <c r="W767" s="188">
        <f>S767</f>
        <v>0.57</v>
      </c>
      <c r="X767" s="137">
        <f>W767*V767</f>
        <v>24.624</v>
      </c>
    </row>
    <row r="768" spans="3:24">
      <c r="C768" s="137" t="s">
        <v>873</v>
      </c>
      <c r="D768" s="137">
        <f>100-D767</f>
        <v>64</v>
      </c>
      <c r="F768" s="717">
        <f>H768/D768</f>
        <v>0.491875</v>
      </c>
      <c r="H768" s="137">
        <f>H769-H767</f>
        <v>31.48</v>
      </c>
      <c r="K768" s="137">
        <f>K769-K767</f>
        <v>59.84</v>
      </c>
      <c r="L768" s="717">
        <f>F768</f>
        <v>0.491875</v>
      </c>
      <c r="M768" s="137">
        <f>O768/K768</f>
        <v>0.496310160427808</v>
      </c>
      <c r="N768" s="137">
        <f>L768*K768</f>
        <v>29.4338</v>
      </c>
      <c r="O768" s="137">
        <f>O769-O767</f>
        <v>29.6992</v>
      </c>
      <c r="P768" s="137">
        <f>P769-P767</f>
        <v>19.6</v>
      </c>
      <c r="S768" s="717">
        <f>L768</f>
        <v>0.491875</v>
      </c>
      <c r="T768" s="137">
        <f>S768*P768</f>
        <v>9.64075</v>
      </c>
      <c r="V768" s="137">
        <f>V769-V767</f>
        <v>56.8</v>
      </c>
      <c r="W768" s="188">
        <f>S768</f>
        <v>0.491875</v>
      </c>
      <c r="X768" s="137">
        <f>W768*V768</f>
        <v>27.9385</v>
      </c>
    </row>
    <row r="769" spans="3:24">
      <c r="C769" s="137" t="s">
        <v>789</v>
      </c>
      <c r="D769" s="137">
        <f>D768+D767</f>
        <v>100</v>
      </c>
      <c r="F769" s="717">
        <v>0.52</v>
      </c>
      <c r="H769" s="137">
        <f>F769*D769</f>
        <v>52</v>
      </c>
      <c r="K769" s="137">
        <f>D769*(1-0.2)</f>
        <v>80</v>
      </c>
      <c r="L769" s="717">
        <f>N769/K769</f>
        <v>0.5115625</v>
      </c>
      <c r="M769" s="137">
        <v>0.53</v>
      </c>
      <c r="N769" s="137">
        <f>N768+N767</f>
        <v>40.925</v>
      </c>
      <c r="O769" s="137">
        <f>M769*K769</f>
        <v>42.4</v>
      </c>
      <c r="P769" s="137">
        <f>D769*(1-0.48)</f>
        <v>52</v>
      </c>
      <c r="S769" s="717">
        <f>T769/P769</f>
        <v>0.540552884615385</v>
      </c>
      <c r="T769" s="137">
        <f>T768+T767</f>
        <v>28.10875</v>
      </c>
      <c r="V769" s="137">
        <f>D769</f>
        <v>100</v>
      </c>
      <c r="W769" s="188">
        <f>X769/V769</f>
        <v>0.525625</v>
      </c>
      <c r="X769" s="137">
        <f>X768+X767</f>
        <v>52.5625</v>
      </c>
    </row>
    <row r="770" spans="3:24">
      <c r="L770" s="717">
        <f>L769-F769</f>
        <v>-0.0084375000000001</v>
      </c>
      <c r="S770" s="717">
        <f>S769-F769</f>
        <v>0.0205528846153845</v>
      </c>
      <c r="W770" s="188">
        <f>W769-F769</f>
        <v>0.00562499999999999</v>
      </c>
    </row>
    <row r="773" spans="3:24">
      <c r="C773" s="137" t="s">
        <v>874</v>
      </c>
    </row>
    <row r="774" spans="3:24">
      <c r="D774" s="137" t="s">
        <v>515</v>
      </c>
      <c r="F774" s="137" t="s">
        <v>875</v>
      </c>
      <c r="H774" s="137" t="s">
        <v>876</v>
      </c>
      <c r="K774" s="137" t="s">
        <v>877</v>
      </c>
    </row>
    <row r="775" spans="3:24">
      <c r="C775" s="137" t="s">
        <v>878</v>
      </c>
      <c r="D775" s="137">
        <v>-80</v>
      </c>
      <c r="F775" s="137">
        <v>210</v>
      </c>
      <c r="H775" s="137">
        <v>60</v>
      </c>
      <c r="K775" s="137">
        <v>0</v>
      </c>
    </row>
    <row r="776" spans="3:24">
      <c r="C776" s="137" t="s">
        <v>879</v>
      </c>
      <c r="D776" s="137">
        <v>-200</v>
      </c>
      <c r="F776" s="137">
        <v>0</v>
      </c>
      <c r="H776" s="137">
        <v>0</v>
      </c>
      <c r="K776" s="137">
        <v>0</v>
      </c>
    </row>
    <row r="777" spans="3:24">
      <c r="C777" s="137" t="s">
        <v>880</v>
      </c>
      <c r="D777" s="137">
        <f>D779-D778-D776-D775</f>
        <v>-100</v>
      </c>
      <c r="F777" s="137">
        <f t="shared" ref="F777:K777" si="116">F779-F778-F776-F775</f>
        <v>-460</v>
      </c>
      <c r="H777" s="137">
        <f t="shared" si="116"/>
        <v>-410</v>
      </c>
      <c r="K777" s="137">
        <f t="shared" si="116"/>
        <v>0</v>
      </c>
    </row>
    <row r="778" spans="3:24">
      <c r="C778" s="137" t="s">
        <v>881</v>
      </c>
      <c r="D778" s="137">
        <v>-40</v>
      </c>
      <c r="F778" s="137">
        <v>-50</v>
      </c>
      <c r="H778" s="137">
        <v>-50</v>
      </c>
      <c r="K778" s="137">
        <v>0</v>
      </c>
    </row>
    <row r="779" spans="3:24">
      <c r="C779" s="137" t="s">
        <v>212</v>
      </c>
      <c r="D779" s="137">
        <v>-420</v>
      </c>
      <c r="F779" s="137">
        <v>-300</v>
      </c>
      <c r="H779" s="137">
        <v>-400</v>
      </c>
      <c r="K779" s="137">
        <v>0</v>
      </c>
    </row>
    <row r="785" spans="2:13">
      <c r="D785" s="158">
        <v>2019</v>
      </c>
      <c r="E785" s="158"/>
      <c r="F785" s="158"/>
      <c r="G785" s="158"/>
      <c r="H785" s="158"/>
    </row>
    <row r="786" spans="2:13">
      <c r="F786" s="137" t="s">
        <v>60</v>
      </c>
      <c r="H786" s="137" t="s">
        <v>212</v>
      </c>
    </row>
    <row r="787" spans="2:13">
      <c r="C787" s="137" t="s">
        <v>710</v>
      </c>
      <c r="D787" s="137">
        <v>30</v>
      </c>
      <c r="F787" s="137">
        <v>70</v>
      </c>
      <c r="H787" s="137">
        <f>F787+D787</f>
        <v>100</v>
      </c>
    </row>
    <row r="788" spans="2:13">
      <c r="C788" s="137" t="s">
        <v>131</v>
      </c>
      <c r="D788" s="137">
        <f>D789*D787</f>
        <v>4.8</v>
      </c>
      <c r="F788" s="137">
        <f>H788-D788</f>
        <v>6.5</v>
      </c>
      <c r="H788" s="137">
        <v>11.3</v>
      </c>
    </row>
    <row r="789" spans="2:13">
      <c r="C789" s="137" t="s">
        <v>132</v>
      </c>
      <c r="D789" s="717">
        <v>0.16</v>
      </c>
      <c r="E789" s="717"/>
      <c r="F789" s="717">
        <f>F788/F787</f>
        <v>0.0928571428571429</v>
      </c>
      <c r="G789" s="717"/>
      <c r="H789" s="717">
        <f>H788/H787</f>
        <v>0.113</v>
      </c>
    </row>
    <row r="791" spans="2:13">
      <c r="D791" s="158">
        <v>2025</v>
      </c>
      <c r="E791" s="158"/>
      <c r="F791" s="158"/>
      <c r="G791" s="158"/>
      <c r="H791" s="158"/>
    </row>
    <row r="792" spans="2:13">
      <c r="F792" s="137" t="s">
        <v>60</v>
      </c>
      <c r="H792" s="137" t="s">
        <v>212</v>
      </c>
    </row>
    <row r="793" spans="2:13">
      <c r="C793" s="137" t="s">
        <v>710</v>
      </c>
      <c r="D793" s="137">
        <v>50</v>
      </c>
      <c r="F793" s="137">
        <f>D793</f>
        <v>50</v>
      </c>
      <c r="H793" s="137">
        <f>F793+D793</f>
        <v>100</v>
      </c>
    </row>
    <row r="794" spans="2:13">
      <c r="C794" s="137" t="s">
        <v>131</v>
      </c>
      <c r="D794" s="735">
        <f>D795*D793</f>
        <v>9</v>
      </c>
      <c r="E794" s="735"/>
      <c r="F794" s="735">
        <f>F795*F793</f>
        <v>5.5</v>
      </c>
      <c r="G794" s="735"/>
      <c r="H794" s="735">
        <f>F794+D794</f>
        <v>14.5</v>
      </c>
    </row>
    <row r="795" spans="2:13">
      <c r="C795" s="137" t="s">
        <v>132</v>
      </c>
      <c r="D795" s="717">
        <v>0.18</v>
      </c>
      <c r="E795" s="717"/>
      <c r="F795" s="717">
        <v>0.11</v>
      </c>
      <c r="G795" s="717"/>
      <c r="H795" s="717">
        <f>H794/H793</f>
        <v>0.145</v>
      </c>
    </row>
    <row r="798" spans="2:13">
      <c r="B798" s="137" t="s">
        <v>882</v>
      </c>
      <c r="F798" s="137">
        <f>F800-C800</f>
        <v>-600</v>
      </c>
    </row>
    <row r="799" spans="2:13">
      <c r="C799" s="137" t="s">
        <v>761</v>
      </c>
      <c r="D799" s="137" t="s">
        <v>883</v>
      </c>
      <c r="F799" s="137" t="s">
        <v>744</v>
      </c>
      <c r="G799" s="137" t="s">
        <v>761</v>
      </c>
      <c r="H799" s="137" t="s">
        <v>745</v>
      </c>
      <c r="I799" s="137" t="s">
        <v>761</v>
      </c>
      <c r="J799" s="137" t="s">
        <v>522</v>
      </c>
      <c r="K799" s="137" t="s">
        <v>761</v>
      </c>
      <c r="L799" s="137" t="s">
        <v>761</v>
      </c>
      <c r="M799" s="137" t="s">
        <v>493</v>
      </c>
    </row>
    <row r="800" spans="2:13">
      <c r="B800" s="137" t="s">
        <v>884</v>
      </c>
      <c r="C800" s="137">
        <v>1750</v>
      </c>
      <c r="F800" s="137">
        <f>C800-600</f>
        <v>1150</v>
      </c>
      <c r="H800" s="137">
        <f>F800</f>
        <v>1150</v>
      </c>
      <c r="J800" s="137">
        <f>H800</f>
        <v>1150</v>
      </c>
      <c r="M800" s="137">
        <f>J800</f>
        <v>1150</v>
      </c>
    </row>
    <row r="801" spans="2:13">
      <c r="B801" s="137" t="s">
        <v>885</v>
      </c>
    </row>
    <row r="803" spans="2:13">
      <c r="B803" s="137" t="s">
        <v>131</v>
      </c>
      <c r="C803" s="174">
        <f>C806/(1-C805)</f>
        <v>800</v>
      </c>
      <c r="F803" s="137">
        <f>F804*F800</f>
        <v>402.5</v>
      </c>
      <c r="H803" s="137">
        <f t="shared" ref="H803:M803" si="117">H804*H800</f>
        <v>402.5</v>
      </c>
      <c r="I803" s="137">
        <f t="shared" si="117"/>
        <v>0</v>
      </c>
      <c r="J803" s="137">
        <f t="shared" si="117"/>
        <v>402.5</v>
      </c>
      <c r="K803" s="137">
        <f t="shared" si="117"/>
        <v>0</v>
      </c>
      <c r="L803" s="137">
        <f t="shared" si="117"/>
        <v>0</v>
      </c>
      <c r="M803" s="137">
        <f t="shared" si="117"/>
        <v>402.5</v>
      </c>
    </row>
    <row r="804" spans="2:13">
      <c r="B804" s="137" t="s">
        <v>886</v>
      </c>
      <c r="C804" s="138">
        <f>C803/C800</f>
        <v>0.457142857142857</v>
      </c>
      <c r="D804" s="138"/>
      <c r="F804" s="138">
        <v>0.35</v>
      </c>
      <c r="H804" s="138">
        <f>F804</f>
        <v>0.35</v>
      </c>
      <c r="I804" s="138">
        <v>0.3</v>
      </c>
      <c r="J804" s="138">
        <f t="shared" ref="J804:L804" si="118">H804</f>
        <v>0.35</v>
      </c>
      <c r="K804" s="138">
        <f t="shared" si="118"/>
        <v>0.3</v>
      </c>
      <c r="L804" s="138">
        <f t="shared" si="118"/>
        <v>0.35</v>
      </c>
      <c r="M804" s="138">
        <f>J804</f>
        <v>0.35</v>
      </c>
    </row>
    <row r="805" spans="2:13">
      <c r="B805" s="137" t="s">
        <v>887</v>
      </c>
      <c r="C805" s="138">
        <v>0.25</v>
      </c>
      <c r="D805" s="138"/>
      <c r="F805" s="138">
        <v>0.25</v>
      </c>
      <c r="G805" s="138">
        <v>0.25</v>
      </c>
      <c r="H805" s="138">
        <v>0.25</v>
      </c>
      <c r="I805" s="138">
        <v>0.25</v>
      </c>
      <c r="J805" s="138">
        <v>0.25</v>
      </c>
      <c r="K805" s="138">
        <v>0.25</v>
      </c>
      <c r="L805" s="138">
        <v>0.25</v>
      </c>
      <c r="M805" s="138">
        <v>0.25</v>
      </c>
    </row>
    <row r="806" spans="2:13">
      <c r="B806" s="137" t="s">
        <v>172</v>
      </c>
      <c r="C806" s="137">
        <v>600</v>
      </c>
      <c r="F806" s="137">
        <f>F803*(1-F805)</f>
        <v>301.875</v>
      </c>
      <c r="H806" s="137">
        <f t="shared" ref="H806:M806" si="119">H803*(1-H805)</f>
        <v>301.875</v>
      </c>
      <c r="I806" s="137">
        <f t="shared" si="119"/>
        <v>0</v>
      </c>
      <c r="J806" s="137">
        <f t="shared" si="119"/>
        <v>301.875</v>
      </c>
      <c r="K806" s="137">
        <f t="shared" si="119"/>
        <v>0</v>
      </c>
      <c r="L806" s="137">
        <f t="shared" si="119"/>
        <v>0</v>
      </c>
      <c r="M806" s="137">
        <f t="shared" si="119"/>
        <v>301.875</v>
      </c>
    </row>
    <row r="807" spans="2:13">
      <c r="B807" s="137" t="s">
        <v>885</v>
      </c>
      <c r="C807" s="137">
        <v>220</v>
      </c>
    </row>
    <row r="808" spans="2:13">
      <c r="F808" s="137">
        <f>F806-C806</f>
        <v>-298.125</v>
      </c>
    </row>
    <row r="811" spans="2:13">
      <c r="C811" s="719" t="s">
        <v>864</v>
      </c>
      <c r="D811" s="719" t="s">
        <v>865</v>
      </c>
      <c r="E811" s="719"/>
      <c r="F811" s="719" t="s">
        <v>863</v>
      </c>
      <c r="G811" s="719" t="s">
        <v>865</v>
      </c>
      <c r="H811" s="719" t="s">
        <v>888</v>
      </c>
      <c r="I811" s="719" t="s">
        <v>865</v>
      </c>
      <c r="J811" s="719" t="s">
        <v>865</v>
      </c>
      <c r="K811" s="719" t="s">
        <v>889</v>
      </c>
    </row>
    <row r="812" spans="2:13">
      <c r="B812" s="137" t="s">
        <v>230</v>
      </c>
      <c r="C812" s="722">
        <f>'Profit and Loss'!AE325</f>
        <v>23033</v>
      </c>
      <c r="D812" s="722">
        <f>'Profit and Loss'!AF325</f>
        <v>24811</v>
      </c>
      <c r="E812" s="722">
        <f>'Profit and Loss'!AG325</f>
        <v>27132.9311563009</v>
      </c>
      <c r="F812" s="722">
        <f>'Profit and Loss'!AG325</f>
        <v>27132.9311563009</v>
      </c>
      <c r="G812" s="722">
        <f>'Profit and Loss'!AI325</f>
        <v>31160.2093781161</v>
      </c>
      <c r="H812" s="722">
        <f>'Profit and Loss'!AH325</f>
        <v>29183.6508198389</v>
      </c>
      <c r="I812" s="722">
        <f>'Profit and Loss'!AM325</f>
        <v>0</v>
      </c>
      <c r="J812" s="722">
        <f>'Profit and Loss'!AN325</f>
        <v>0</v>
      </c>
      <c r="K812" s="722">
        <f>'Profit and Loss'!AI325</f>
        <v>31160.2093781161</v>
      </c>
    </row>
    <row r="813" spans="2:13">
      <c r="B813" s="137" t="s">
        <v>890</v>
      </c>
      <c r="C813" s="722">
        <f>'[139]Profit and Loss'!AE325</f>
        <v>23033</v>
      </c>
      <c r="D813" s="722">
        <f>'[139]Profit and Loss'!AF325</f>
        <v>24811</v>
      </c>
      <c r="E813" s="722">
        <f>'[139]Profit and Loss'!AG325</f>
        <v>26411.4457815415</v>
      </c>
      <c r="F813" s="722">
        <f>'[139]Profit and Loss'!AG325</f>
        <v>26411.4457815415</v>
      </c>
      <c r="G813" s="722">
        <f>'[139]Profit and Loss'!AI325</f>
        <v>30444.5209291901</v>
      </c>
      <c r="H813" s="722">
        <f>'[139]Profit and Loss'!AH325</f>
        <v>28438.9894344976</v>
      </c>
      <c r="I813" s="722">
        <f>'[139]Profit and Loss'!AK325</f>
        <v>34187.8065885808</v>
      </c>
      <c r="J813" s="722">
        <f>'[139]Profit and Loss'!AL325</f>
        <v>0</v>
      </c>
      <c r="K813" s="722">
        <f>'[139]Profit and Loss'!AI325</f>
        <v>30444.5209291901</v>
      </c>
    </row>
    <row r="814" spans="2:13">
      <c r="B814" s="137" t="s">
        <v>891</v>
      </c>
      <c r="C814" s="138">
        <f>C812/C813-1</f>
        <v>0</v>
      </c>
      <c r="D814" s="138">
        <f>D812/D813-1</f>
        <v>0</v>
      </c>
      <c r="F814" s="138">
        <f>F812/F813-1</f>
        <v>0.027317148054943</v>
      </c>
      <c r="H814" s="138">
        <f>H812/H813-1</f>
        <v>0.0261845234359122</v>
      </c>
      <c r="K814" s="138">
        <f>K812/K813-1</f>
        <v>0.0235079556873501</v>
      </c>
    </row>
    <row r="815" spans="2:13">
      <c r="C815" s="719" t="s">
        <v>864</v>
      </c>
      <c r="D815" s="719" t="s">
        <v>865</v>
      </c>
      <c r="E815" s="719"/>
      <c r="F815" s="719" t="s">
        <v>863</v>
      </c>
      <c r="G815" s="719" t="s">
        <v>865</v>
      </c>
      <c r="H815" s="719" t="s">
        <v>888</v>
      </c>
      <c r="I815" s="719" t="s">
        <v>865</v>
      </c>
      <c r="J815" s="719" t="s">
        <v>865</v>
      </c>
      <c r="K815" s="719" t="s">
        <v>889</v>
      </c>
      <c r="L815" s="719" t="s">
        <v>892</v>
      </c>
    </row>
    <row r="816" spans="2:13">
      <c r="B816" s="137" t="s">
        <v>782</v>
      </c>
      <c r="C816" s="717">
        <f>'Profit and Loss'!AE329</f>
        <v>0.13754569060045</v>
      </c>
      <c r="D816" s="717">
        <f>'Profit and Loss'!AF329</f>
        <v>0.128168148743108</v>
      </c>
      <c r="E816" s="717">
        <f>'Profit and Loss'!AG329</f>
        <v>0.105392366289146</v>
      </c>
      <c r="F816" s="717">
        <f>'Profit and Loss'!AG329</f>
        <v>0.105392366289146</v>
      </c>
      <c r="G816" s="717">
        <f>'Profit and Loss'!AI329</f>
        <v>0.0677282828827418</v>
      </c>
      <c r="H816" s="717">
        <f>'Profit and Loss'!AH329</f>
        <v>0.067494679244341</v>
      </c>
      <c r="I816" s="717">
        <f>'Profit and Loss'!AM329</f>
        <v>0</v>
      </c>
      <c r="J816" s="717">
        <f>'Profit and Loss'!AN329</f>
        <v>0</v>
      </c>
      <c r="K816" s="717">
        <f>'Profit and Loss'!AI329</f>
        <v>0.0677282828827418</v>
      </c>
      <c r="L816" s="717">
        <f>DCF!O34</f>
        <v>0.0595813354253463</v>
      </c>
    </row>
    <row r="817" spans="2:12">
      <c r="B817" s="137" t="s">
        <v>893</v>
      </c>
      <c r="C817" s="717">
        <f>'[139]Profit and Loss'!AE329</f>
        <v>0.13754569060045</v>
      </c>
      <c r="D817" s="717">
        <f>'[139]Profit and Loss'!AF329</f>
        <v>0.128168148743108</v>
      </c>
      <c r="E817" s="717">
        <f>'[139]Profit and Loss'!AG329</f>
        <v>0.0996900568296319</v>
      </c>
      <c r="F817" s="717">
        <f>'[139]Profit and Loss'!AG329</f>
        <v>0.0996900568296319</v>
      </c>
      <c r="G817" s="717">
        <f>'[139]Profit and Loss'!AI329</f>
        <v>0.0705204908673607</v>
      </c>
      <c r="H817" s="717">
        <f>'[139]Profit and Loss'!AH329</f>
        <v>0.073674227167075</v>
      </c>
      <c r="I817" s="717">
        <f>'[139]Profit and Loss'!AK329</f>
        <v>0.059704221733401</v>
      </c>
      <c r="J817" s="717">
        <f>'[139]Profit and Loss'!AL329</f>
        <v>0</v>
      </c>
      <c r="K817" s="717">
        <f>'[139]Profit and Loss'!AI329</f>
        <v>0.0705204908673607</v>
      </c>
      <c r="L817" s="717">
        <f>[139]DCF!$O$34</f>
        <v>0.0596865677438545</v>
      </c>
    </row>
    <row r="818" spans="2:12">
      <c r="B818" s="137" t="s">
        <v>894</v>
      </c>
      <c r="C818" s="717">
        <f>'Profit and Loss'!V329</f>
        <v>0.0963410858047203</v>
      </c>
      <c r="D818" s="717">
        <f>'Profit and Loss'!W329</f>
        <v>0.1815992905705</v>
      </c>
      <c r="E818" s="717">
        <f>'Profit and Loss'!W329</f>
        <v>0.1815992905705</v>
      </c>
      <c r="F818" s="717">
        <f>'Profit and Loss'!X329</f>
        <v>0.159997786824436</v>
      </c>
      <c r="G818" s="717">
        <f>'Profit and Loss'!Y329</f>
        <v>0.0842075596191913</v>
      </c>
      <c r="H818" s="717">
        <f>'Profit and Loss'!Y329</f>
        <v>0.0842075596191913</v>
      </c>
      <c r="I818" s="717">
        <f>'Profit and Loss'!AA329</f>
        <v>-0.134484943113378</v>
      </c>
      <c r="J818" s="717">
        <f>'Profit and Loss'!AB329</f>
        <v>0.16</v>
      </c>
      <c r="K818" s="717">
        <f>'Profit and Loss'!Z329</f>
        <v>0.0605195710700433</v>
      </c>
    </row>
    <row r="819" spans="2:12">
      <c r="B819" s="137" t="s">
        <v>895</v>
      </c>
      <c r="C819" s="140">
        <f>C814</f>
        <v>0</v>
      </c>
      <c r="D819" s="140">
        <f>D814</f>
        <v>0</v>
      </c>
      <c r="E819" s="140">
        <f t="shared" ref="E819:K819" si="120">E814</f>
        <v>0</v>
      </c>
      <c r="F819" s="140">
        <f t="shared" si="120"/>
        <v>0.027317148054943</v>
      </c>
      <c r="G819" s="140">
        <f t="shared" si="120"/>
        <v>0</v>
      </c>
      <c r="H819" s="140">
        <f t="shared" si="120"/>
        <v>0.0261845234359122</v>
      </c>
      <c r="I819" s="140">
        <f t="shared" si="120"/>
        <v>0</v>
      </c>
      <c r="J819" s="140">
        <f t="shared" si="120"/>
        <v>0</v>
      </c>
      <c r="K819" s="140">
        <f t="shared" si="120"/>
        <v>0.0235079556873501</v>
      </c>
    </row>
    <row r="842" spans="2:11">
      <c r="B842" s="137" t="s">
        <v>896</v>
      </c>
    </row>
    <row r="843" spans="2:11">
      <c r="C843" s="719">
        <v>2014</v>
      </c>
      <c r="D843" s="719">
        <f>C843+1</f>
        <v>2015</v>
      </c>
      <c r="E843" s="719"/>
      <c r="F843" s="719">
        <f>D843+1</f>
        <v>2016</v>
      </c>
      <c r="G843" s="719">
        <f t="shared" ref="G843:J843" si="121">F843+1</f>
        <v>2017</v>
      </c>
      <c r="H843" s="719">
        <f>F843+1</f>
        <v>2017</v>
      </c>
      <c r="I843" s="719">
        <f t="shared" si="121"/>
        <v>2018</v>
      </c>
      <c r="J843" s="719">
        <f t="shared" si="121"/>
        <v>2019</v>
      </c>
      <c r="K843" s="719">
        <f>H843+1</f>
        <v>2018</v>
      </c>
    </row>
    <row r="844" spans="2:11">
      <c r="B844" s="137" t="s">
        <v>897</v>
      </c>
      <c r="C844" s="717">
        <f>'[140]Segment Analysis'!AQ16</f>
        <v>0.14</v>
      </c>
      <c r="D844" s="717">
        <f>'[140]Segment Analysis'!$AV$22</f>
        <v>0.122466259272573</v>
      </c>
      <c r="E844" s="717"/>
      <c r="F844" s="717">
        <f>'[140]Segment Analysis'!$BA$22</f>
        <v>0.0801704966641957</v>
      </c>
      <c r="G844" s="717"/>
      <c r="H844" s="717">
        <f>'[140]Segment Analysis'!$BF$22</f>
        <v>0.0347167394468705</v>
      </c>
      <c r="I844" s="717"/>
      <c r="J844" s="717"/>
      <c r="K844" s="717">
        <f>'[140]Segment Analysis'!$BK$22</f>
        <v>0.109377146468116</v>
      </c>
    </row>
    <row r="845" spans="2:11">
      <c r="B845" s="137" t="s">
        <v>898</v>
      </c>
      <c r="C845" s="717">
        <f>'Profit and Loss'!U329</f>
        <v>0.0646918989787469</v>
      </c>
      <c r="D845" s="717">
        <f>'Profit and Loss'!V329</f>
        <v>0.0963410858047203</v>
      </c>
      <c r="E845" s="717"/>
      <c r="F845" s="717">
        <f>'Profit and Loss'!W329</f>
        <v>0.1815992905705</v>
      </c>
      <c r="G845" s="717"/>
      <c r="H845" s="717">
        <f>'Profit and Loss'!X329</f>
        <v>0.159997786824436</v>
      </c>
      <c r="I845" s="717"/>
      <c r="J845" s="717"/>
      <c r="K845" s="717">
        <f>'Profit and Loss'!Y329</f>
        <v>0.0842075596191913</v>
      </c>
    </row>
    <row r="846" spans="2:11">
      <c r="C846" s="717"/>
      <c r="D846" s="717"/>
      <c r="F846" s="717"/>
    </row>
    <row r="868" spans="2:21">
      <c r="C868" s="719"/>
      <c r="D868" s="719"/>
      <c r="E868" s="719"/>
      <c r="F868" s="719"/>
      <c r="G868" s="719"/>
      <c r="H868" s="719"/>
      <c r="I868" s="719"/>
      <c r="J868" s="719"/>
      <c r="K868" s="719"/>
    </row>
    <row r="869" spans="2:21">
      <c r="C869" s="137">
        <v>2015</v>
      </c>
      <c r="D869" s="137">
        <v>2016</v>
      </c>
      <c r="F869" s="137">
        <f>D869+1</f>
        <v>2017</v>
      </c>
      <c r="G869" s="137">
        <f>H869+1</f>
        <v>2019</v>
      </c>
      <c r="H869" s="137">
        <f>F869+1</f>
        <v>2018</v>
      </c>
      <c r="I869" s="137">
        <f>K869+1</f>
        <v>2020</v>
      </c>
      <c r="J869" s="137">
        <f t="shared" ref="J869" si="122">I869+1</f>
        <v>2021</v>
      </c>
      <c r="K869" s="137">
        <f>H869+1</f>
        <v>2019</v>
      </c>
      <c r="L869" s="137">
        <f>K869+1</f>
        <v>2020</v>
      </c>
      <c r="M869" s="137">
        <f>N869+1</f>
        <v>2022</v>
      </c>
      <c r="N869" s="137">
        <f>L869+1</f>
        <v>2021</v>
      </c>
      <c r="P869" s="137">
        <f>N869+1</f>
        <v>2022</v>
      </c>
      <c r="S869" s="137">
        <f>P869+1</f>
        <v>2023</v>
      </c>
      <c r="T869" s="137" t="s">
        <v>864</v>
      </c>
      <c r="U869" s="137" t="s">
        <v>864</v>
      </c>
    </row>
    <row r="870" spans="2:21">
      <c r="B870" s="137" t="s">
        <v>899</v>
      </c>
      <c r="C870" s="174">
        <f>Interim!FM147</f>
        <v>8360</v>
      </c>
      <c r="D870" s="174">
        <f>Interim!FU147</f>
        <v>10135</v>
      </c>
      <c r="F870" s="174">
        <f>Interim!GC147</f>
        <v>12427</v>
      </c>
      <c r="H870" s="174">
        <f>Interim!GK147</f>
        <v>12782</v>
      </c>
      <c r="K870" s="174">
        <f>Interim!GS147</f>
        <v>13521</v>
      </c>
      <c r="L870" s="174">
        <f>Interim!HA147</f>
        <v>11128</v>
      </c>
      <c r="N870" s="174">
        <f>Interim!HI147</f>
        <v>11336</v>
      </c>
      <c r="P870" s="137">
        <v>12286</v>
      </c>
      <c r="S870" s="137">
        <v>12139</v>
      </c>
      <c r="T870" s="137">
        <f>S870*(1+T871)</f>
        <v>14172.8371381989</v>
      </c>
      <c r="U870" s="137">
        <f>T870*(1+U871)</f>
        <v>16414.5285507853</v>
      </c>
    </row>
    <row r="871" spans="2:21">
      <c r="B871" s="137" t="s">
        <v>900</v>
      </c>
      <c r="D871" s="717">
        <f>Interim!FU150</f>
        <v>0.26</v>
      </c>
      <c r="E871" s="717"/>
      <c r="F871" s="717">
        <f>Interim!GC150</f>
        <v>0.24</v>
      </c>
      <c r="G871" s="717"/>
      <c r="H871" s="717">
        <f>Interim!GK150</f>
        <v>0.08</v>
      </c>
      <c r="I871" s="717"/>
      <c r="J871" s="717"/>
      <c r="K871" s="717">
        <f>Interim!GS150</f>
        <v>0.04</v>
      </c>
      <c r="L871" s="717">
        <f>Interim!HA150</f>
        <v>-0.15</v>
      </c>
      <c r="M871" s="717"/>
      <c r="N871" s="717">
        <f>Interim!HI150</f>
        <v>0.13</v>
      </c>
      <c r="O871" s="717"/>
      <c r="P871" s="717">
        <v>0.03</v>
      </c>
      <c r="Q871" s="717"/>
      <c r="R871" s="717"/>
      <c r="S871" s="717">
        <v>0.04</v>
      </c>
      <c r="T871" s="137">
        <f>'Profit and Loss'!AE329+0.03</f>
        <v>0.16754569060045</v>
      </c>
      <c r="U871" s="137">
        <f>'Profit and Loss'!AF329+0.03</f>
        <v>0.158168148743108</v>
      </c>
    </row>
    <row r="872" spans="2:21">
      <c r="B872" s="137" t="s">
        <v>901</v>
      </c>
      <c r="C872" s="137">
        <v>301</v>
      </c>
      <c r="D872" s="137">
        <v>360</v>
      </c>
      <c r="F872" s="137">
        <v>403</v>
      </c>
      <c r="H872" s="137">
        <v>409</v>
      </c>
      <c r="K872" s="137">
        <v>448</v>
      </c>
      <c r="L872" s="137">
        <v>379</v>
      </c>
      <c r="N872" s="137">
        <v>340</v>
      </c>
      <c r="P872" s="137">
        <v>419</v>
      </c>
      <c r="S872" s="137">
        <v>311</v>
      </c>
      <c r="T872" s="137">
        <v>450</v>
      </c>
      <c r="U872" s="137">
        <v>500</v>
      </c>
    </row>
    <row r="873" spans="2:21">
      <c r="B873" s="137" t="s">
        <v>902</v>
      </c>
      <c r="D873" s="717">
        <f>D872/C872-1</f>
        <v>0.196013289036545</v>
      </c>
      <c r="E873" s="717"/>
      <c r="F873" s="717">
        <f>F872/D872-1</f>
        <v>0.119444444444444</v>
      </c>
      <c r="G873" s="717"/>
      <c r="H873" s="717">
        <f>H872/F872-1</f>
        <v>0.0148883374689825</v>
      </c>
      <c r="I873" s="717"/>
      <c r="J873" s="717"/>
      <c r="K873" s="717">
        <f>K872/H872-1</f>
        <v>0.0953545232273838</v>
      </c>
      <c r="L873" s="717">
        <f>L872/K872-1</f>
        <v>-0.154017857142857</v>
      </c>
      <c r="M873" s="717"/>
      <c r="N873" s="717">
        <f>N872/L872-1</f>
        <v>-0.102902374670185</v>
      </c>
      <c r="O873" s="717"/>
      <c r="P873" s="717">
        <f>P872/N872-1</f>
        <v>0.232352941176471</v>
      </c>
      <c r="Q873" s="717"/>
      <c r="R873" s="717"/>
      <c r="S873" s="717">
        <f>S872/P872-1</f>
        <v>-0.257756563245823</v>
      </c>
      <c r="T873" s="717">
        <f>T872/S872-1</f>
        <v>0.446945337620579</v>
      </c>
      <c r="U873" s="717">
        <f>U872/T872-1</f>
        <v>0.111111111111111</v>
      </c>
    </row>
    <row r="874" spans="2:21">
      <c r="B874" s="137" t="s">
        <v>861</v>
      </c>
      <c r="C874" s="735">
        <f>'Balance Sheet &amp; Cash Flow'!W12</f>
        <v>3113</v>
      </c>
      <c r="D874" s="735">
        <f>'Balance Sheet &amp; Cash Flow'!X12</f>
        <v>3763</v>
      </c>
      <c r="E874" s="735">
        <f>'Balance Sheet &amp; Cash Flow'!Y12</f>
        <v>3692</v>
      </c>
      <c r="F874" s="735">
        <f>'Balance Sheet &amp; Cash Flow'!Y12</f>
        <v>3692</v>
      </c>
      <c r="G874" s="735">
        <f>'Balance Sheet &amp; Cash Flow'!AA12</f>
        <v>4085</v>
      </c>
      <c r="H874" s="735">
        <f>'Balance Sheet &amp; Cash Flow'!Z12</f>
        <v>3445</v>
      </c>
      <c r="I874" s="735">
        <f>'Balance Sheet &amp; Cash Flow'!AC12</f>
        <v>4009</v>
      </c>
      <c r="J874" s="735">
        <f>'Balance Sheet &amp; Cash Flow'!AD12</f>
        <v>5973</v>
      </c>
      <c r="K874" s="735">
        <f>'Balance Sheet &amp; Cash Flow'!AA12</f>
        <v>4085</v>
      </c>
      <c r="L874" s="735">
        <f>'Balance Sheet &amp; Cash Flow'!AB12</f>
        <v>4397</v>
      </c>
      <c r="M874" s="735">
        <f>'Balance Sheet &amp; Cash Flow'!AG12</f>
        <v>5832</v>
      </c>
      <c r="N874" s="735">
        <f>'Balance Sheet &amp; Cash Flow'!AC12</f>
        <v>4009</v>
      </c>
      <c r="O874" s="735">
        <f>'Balance Sheet &amp; Cash Flow'!AI12</f>
        <v>6420.40318036455</v>
      </c>
      <c r="P874" s="735">
        <f>'Balance Sheet &amp; Cash Flow'!AD12</f>
        <v>5973</v>
      </c>
      <c r="Q874" s="735">
        <f>'Balance Sheet &amp; Cash Flow'!AM12</f>
        <v>0</v>
      </c>
      <c r="R874" s="735">
        <f>'Balance Sheet &amp; Cash Flow'!AN12</f>
        <v>0</v>
      </c>
      <c r="S874" s="735">
        <f>'Balance Sheet &amp; Cash Flow'!AE12</f>
        <v>4525</v>
      </c>
      <c r="T874" s="735">
        <f>'Balance Sheet &amp; Cash Flow'!AF12</f>
        <v>4989</v>
      </c>
      <c r="U874" s="735">
        <f>'Balance Sheet &amp; Cash Flow'!AG12</f>
        <v>5832</v>
      </c>
    </row>
    <row r="875" spans="2:21">
      <c r="C875" s="1006">
        <f>C874/C872</f>
        <v>10.3421926910299</v>
      </c>
      <c r="D875" s="1006">
        <f>D874/D872</f>
        <v>10.4527777777778</v>
      </c>
      <c r="F875" s="1006">
        <f>F874/F872</f>
        <v>9.16129032258065</v>
      </c>
      <c r="H875" s="1006">
        <f>H874/H872</f>
        <v>8.42298288508557</v>
      </c>
      <c r="K875" s="1006">
        <f>K874/K872</f>
        <v>9.11830357142857</v>
      </c>
      <c r="L875" s="1006">
        <f>L874/L872</f>
        <v>11.6015831134565</v>
      </c>
      <c r="N875" s="1006">
        <f>N874/N872</f>
        <v>11.7911764705882</v>
      </c>
      <c r="P875" s="1006">
        <f>P874/P872</f>
        <v>14.255369928401</v>
      </c>
      <c r="S875" s="1006">
        <f>S874/S872</f>
        <v>14.5498392282958</v>
      </c>
      <c r="T875" s="1006">
        <f>T874/T872</f>
        <v>11.0866666666667</v>
      </c>
      <c r="U875" s="1006">
        <f>U874/U872</f>
        <v>11.664</v>
      </c>
    </row>
    <row r="876" spans="2:21">
      <c r="C876" s="1006">
        <f>C870/C874</f>
        <v>2.68551236749117</v>
      </c>
      <c r="D876" s="1006">
        <f>D870/D874</f>
        <v>2.69332979006112</v>
      </c>
      <c r="F876" s="1006">
        <f>F870/F874</f>
        <v>3.36592632719393</v>
      </c>
      <c r="H876" s="1006">
        <f>H870/H874</f>
        <v>3.71030478955007</v>
      </c>
      <c r="K876" s="1006">
        <f>K870/K874</f>
        <v>3.30991432068543</v>
      </c>
      <c r="L876" s="1006">
        <f>L870/L874</f>
        <v>2.53081646577212</v>
      </c>
      <c r="N876" s="1006">
        <f>N870/N874</f>
        <v>2.82763781491644</v>
      </c>
      <c r="P876" s="1006">
        <f>P870/P874</f>
        <v>2.05692281935376</v>
      </c>
      <c r="S876" s="1006">
        <f>S870/S874</f>
        <v>2.68265193370166</v>
      </c>
      <c r="T876" s="1006">
        <f>T870/T874</f>
        <v>2.84081722553595</v>
      </c>
      <c r="U876" s="1006">
        <f>U870/U874</f>
        <v>2.81456250870805</v>
      </c>
    </row>
    <row r="877" spans="2:21">
      <c r="F877" s="137">
        <f>F870/F872</f>
        <v>30.8362282878412</v>
      </c>
      <c r="H877" s="137">
        <f>H870/H872</f>
        <v>31.2518337408313</v>
      </c>
      <c r="K877" s="137">
        <f>K870/K872</f>
        <v>30.1808035714286</v>
      </c>
      <c r="L877" s="137">
        <f>L870/L872</f>
        <v>29.3614775725594</v>
      </c>
      <c r="N877" s="137">
        <f>N870/N872</f>
        <v>33.3411764705882</v>
      </c>
      <c r="P877" s="137">
        <f>P870/P872</f>
        <v>29.3221957040573</v>
      </c>
      <c r="S877" s="137">
        <f>S870/S872</f>
        <v>39.032154340836</v>
      </c>
      <c r="T877" s="137">
        <f>T870/T872</f>
        <v>31.4951936404419</v>
      </c>
      <c r="U877" s="137">
        <f>U870/U872</f>
        <v>32.8290571015707</v>
      </c>
    </row>
    <row r="879" spans="2:21">
      <c r="B879" s="137" t="s">
        <v>903</v>
      </c>
    </row>
    <row r="880" spans="2:21">
      <c r="C880" s="137">
        <f>C869</f>
        <v>2015</v>
      </c>
      <c r="D880" s="137">
        <f>D869</f>
        <v>2016</v>
      </c>
      <c r="F880" s="137">
        <f>F869</f>
        <v>2017</v>
      </c>
      <c r="H880" s="137">
        <f>H869</f>
        <v>2018</v>
      </c>
      <c r="K880" s="137">
        <f>K869</f>
        <v>2019</v>
      </c>
      <c r="L880" s="137">
        <f>L869</f>
        <v>2020</v>
      </c>
      <c r="N880" s="137">
        <f>N869</f>
        <v>2021</v>
      </c>
      <c r="P880" s="137">
        <f>P869</f>
        <v>2022</v>
      </c>
      <c r="S880" s="137">
        <f>S869</f>
        <v>2023</v>
      </c>
      <c r="T880" s="137" t="s">
        <v>864</v>
      </c>
      <c r="U880" s="137" t="s">
        <v>865</v>
      </c>
    </row>
    <row r="881" spans="2:21">
      <c r="B881" s="137" t="s">
        <v>904</v>
      </c>
      <c r="D881" s="188">
        <f>D871</f>
        <v>0.26</v>
      </c>
      <c r="F881" s="188">
        <f>F871</f>
        <v>0.24</v>
      </c>
      <c r="H881" s="188">
        <f>H871</f>
        <v>0.08</v>
      </c>
      <c r="K881" s="188">
        <f>K871</f>
        <v>0.04</v>
      </c>
      <c r="L881" s="188">
        <f>L871</f>
        <v>-0.15</v>
      </c>
      <c r="N881" s="188">
        <f>N871</f>
        <v>0.13</v>
      </c>
      <c r="P881" s="188">
        <f>P871</f>
        <v>0.03</v>
      </c>
      <c r="S881" s="188">
        <f>S871</f>
        <v>0.04</v>
      </c>
      <c r="T881" s="188">
        <f>T871</f>
        <v>0.16754569060045</v>
      </c>
      <c r="U881" s="188">
        <f>U871</f>
        <v>0.158168148743108</v>
      </c>
    </row>
    <row r="882" spans="2:21">
      <c r="B882" s="137" t="s">
        <v>905</v>
      </c>
      <c r="D882" s="188">
        <f>D873</f>
        <v>0.196013289036545</v>
      </c>
      <c r="F882" s="188">
        <f>F873</f>
        <v>0.119444444444444</v>
      </c>
      <c r="H882" s="188">
        <f>H873</f>
        <v>0.0148883374689825</v>
      </c>
      <c r="K882" s="188">
        <f>K873</f>
        <v>0.0953545232273838</v>
      </c>
      <c r="L882" s="188">
        <f>L873</f>
        <v>-0.154017857142857</v>
      </c>
      <c r="N882" s="188">
        <f>N873</f>
        <v>-0.102902374670185</v>
      </c>
      <c r="P882" s="188">
        <f>P873</f>
        <v>0.232352941176471</v>
      </c>
      <c r="S882" s="188">
        <f>S873</f>
        <v>-0.257756563245823</v>
      </c>
      <c r="T882" s="188"/>
      <c r="U882" s="188"/>
    </row>
    <row r="883" spans="2:21">
      <c r="B883" s="137" t="s">
        <v>906</v>
      </c>
      <c r="D883" s="137">
        <f>D872</f>
        <v>360</v>
      </c>
      <c r="F883" s="137">
        <f>F872</f>
        <v>403</v>
      </c>
      <c r="H883" s="137">
        <f>H872</f>
        <v>409</v>
      </c>
      <c r="K883" s="137">
        <f>K872</f>
        <v>448</v>
      </c>
      <c r="L883" s="137">
        <f>L872</f>
        <v>379</v>
      </c>
      <c r="N883" s="137">
        <f>N872</f>
        <v>340</v>
      </c>
      <c r="P883" s="137">
        <f>P872</f>
        <v>419</v>
      </c>
      <c r="S883" s="137">
        <f>S872</f>
        <v>311</v>
      </c>
    </row>
    <row r="908" spans="2:21">
      <c r="D908" s="137">
        <f>D880</f>
        <v>2016</v>
      </c>
      <c r="F908" s="137">
        <f>F880</f>
        <v>2017</v>
      </c>
      <c r="H908" s="137">
        <f>H880</f>
        <v>2018</v>
      </c>
      <c r="K908" s="137">
        <f>K880</f>
        <v>2019</v>
      </c>
      <c r="L908" s="137">
        <f>L880</f>
        <v>2020</v>
      </c>
      <c r="N908" s="137">
        <f>N880</f>
        <v>2021</v>
      </c>
      <c r="P908" s="137">
        <f>P880</f>
        <v>2022</v>
      </c>
      <c r="S908" s="137">
        <f t="shared" ref="S908:U909" si="123">S880</f>
        <v>2023</v>
      </c>
      <c r="T908" s="137" t="str">
        <f t="shared" si="123"/>
        <v>2024E</v>
      </c>
      <c r="U908" s="137" t="str">
        <f t="shared" si="123"/>
        <v>2025E</v>
      </c>
    </row>
    <row r="909" spans="2:21">
      <c r="B909" s="137" t="s">
        <v>907</v>
      </c>
      <c r="D909" s="188">
        <f>D881</f>
        <v>0.26</v>
      </c>
      <c r="F909" s="188">
        <f>F881</f>
        <v>0.24</v>
      </c>
      <c r="H909" s="188">
        <f>H881</f>
        <v>0.08</v>
      </c>
      <c r="K909" s="188">
        <f>K881</f>
        <v>0.04</v>
      </c>
      <c r="L909" s="188">
        <f>L881</f>
        <v>-0.15</v>
      </c>
      <c r="N909" s="188">
        <f>N881</f>
        <v>0.13</v>
      </c>
      <c r="P909" s="188">
        <f>P881</f>
        <v>0.03</v>
      </c>
      <c r="S909" s="188">
        <f t="shared" si="123"/>
        <v>0.04</v>
      </c>
      <c r="T909" s="188">
        <f t="shared" si="123"/>
        <v>0.16754569060045</v>
      </c>
      <c r="U909" s="188">
        <f t="shared" si="123"/>
        <v>0.158168148743108</v>
      </c>
    </row>
    <row r="910" spans="2:21">
      <c r="B910" s="137" t="s">
        <v>908</v>
      </c>
      <c r="D910" s="717">
        <f>D874/C874-1</f>
        <v>0.208801798907806</v>
      </c>
      <c r="F910" s="717">
        <f>F874/D874-1</f>
        <v>-0.0188679245283019</v>
      </c>
      <c r="H910" s="717">
        <f>H874/F874-1</f>
        <v>-0.0669014084507042</v>
      </c>
      <c r="K910" s="717">
        <f>K874/H874-1</f>
        <v>0.18577648766328</v>
      </c>
      <c r="L910" s="717">
        <f>L874/K874-1</f>
        <v>0.0763769889840882</v>
      </c>
      <c r="N910" s="717">
        <f>N874/L874-1</f>
        <v>-0.0882419831703434</v>
      </c>
      <c r="P910" s="717">
        <f>P874/N874-1</f>
        <v>0.489897730107259</v>
      </c>
      <c r="S910" s="717">
        <f>S874/P874-1</f>
        <v>-0.242424242424242</v>
      </c>
      <c r="T910" s="717">
        <f>T874/S874-1</f>
        <v>0.102541436464088</v>
      </c>
      <c r="U910" s="717">
        <f>U874/T874-1</f>
        <v>0.168971737823211</v>
      </c>
    </row>
    <row r="911" spans="2:21">
      <c r="B911" s="137" t="s">
        <v>909</v>
      </c>
      <c r="D911" s="188">
        <f>D909-D910</f>
        <v>0.0511982010921941</v>
      </c>
      <c r="F911" s="188">
        <f>F909-F910</f>
        <v>0.258867924528302</v>
      </c>
      <c r="H911" s="188">
        <f>H909-H910</f>
        <v>0.146901408450704</v>
      </c>
      <c r="K911" s="188">
        <f>K909-K910</f>
        <v>-0.14577648766328</v>
      </c>
      <c r="L911" s="188">
        <f>L909-L910</f>
        <v>-0.226376988984088</v>
      </c>
      <c r="N911" s="188">
        <f>N909-N910</f>
        <v>0.218241983170343</v>
      </c>
      <c r="P911" s="188">
        <f>P909-P910</f>
        <v>-0.459897730107259</v>
      </c>
      <c r="S911" s="188">
        <f>S909-S910</f>
        <v>0.282424242424242</v>
      </c>
      <c r="T911" s="188">
        <f>T909-T910</f>
        <v>0.0650042541363618</v>
      </c>
      <c r="U911" s="188">
        <f>U909-U910</f>
        <v>-0.0108035890801032</v>
      </c>
    </row>
    <row r="912" spans="2:21">
      <c r="B912" s="137" t="s">
        <v>905</v>
      </c>
      <c r="D912" s="188">
        <f>D882</f>
        <v>0.196013289036545</v>
      </c>
      <c r="F912" s="188">
        <f>F882</f>
        <v>0.119444444444444</v>
      </c>
      <c r="H912" s="188">
        <f>H882</f>
        <v>0.0148883374689825</v>
      </c>
      <c r="K912" s="188">
        <f>K882</f>
        <v>0.0953545232273838</v>
      </c>
      <c r="L912" s="188">
        <f>L882</f>
        <v>-0.154017857142857</v>
      </c>
      <c r="N912" s="188">
        <f>N882</f>
        <v>-0.102902374670185</v>
      </c>
      <c r="P912" s="188">
        <f>P882</f>
        <v>0.232352941176471</v>
      </c>
      <c r="S912" s="188">
        <f>S882</f>
        <v>-0.257756563245823</v>
      </c>
      <c r="T912" s="188">
        <f>T882</f>
        <v>0</v>
      </c>
      <c r="U912" s="188">
        <f>U882</f>
        <v>0</v>
      </c>
    </row>
    <row r="934" spans="2:21">
      <c r="D934" s="137">
        <f>D908</f>
        <v>2016</v>
      </c>
      <c r="F934" s="137">
        <f>F908</f>
        <v>2017</v>
      </c>
      <c r="H934" s="137">
        <f>H908</f>
        <v>2018</v>
      </c>
      <c r="K934" s="137">
        <f>K908</f>
        <v>2019</v>
      </c>
      <c r="L934" s="137">
        <f>L908</f>
        <v>2020</v>
      </c>
      <c r="N934" s="137">
        <f>N908</f>
        <v>2021</v>
      </c>
      <c r="P934" s="137">
        <f>P908</f>
        <v>2022</v>
      </c>
      <c r="S934" s="137">
        <f>S908</f>
        <v>2023</v>
      </c>
      <c r="T934" s="137" t="str">
        <f>T908</f>
        <v>2024E</v>
      </c>
      <c r="U934" s="137" t="str">
        <f>U908</f>
        <v>2025E</v>
      </c>
    </row>
    <row r="935" spans="2:21">
      <c r="B935" s="137" t="s">
        <v>910</v>
      </c>
      <c r="D935" s="174">
        <f>D870</f>
        <v>10135</v>
      </c>
      <c r="F935" s="174">
        <f>F870</f>
        <v>12427</v>
      </c>
      <c r="H935" s="174">
        <f>H870</f>
        <v>12782</v>
      </c>
      <c r="K935" s="174">
        <f>K870</f>
        <v>13521</v>
      </c>
      <c r="L935" s="174">
        <f>L870</f>
        <v>11128</v>
      </c>
      <c r="N935" s="174">
        <f>N870</f>
        <v>11336</v>
      </c>
      <c r="P935" s="174">
        <f>P870</f>
        <v>12286</v>
      </c>
      <c r="S935" s="174">
        <f>S870</f>
        <v>12139</v>
      </c>
      <c r="T935" s="174">
        <f>T870</f>
        <v>14172.8371381989</v>
      </c>
      <c r="U935" s="174">
        <f>U870</f>
        <v>16414.5285507853</v>
      </c>
    </row>
    <row r="936" spans="2:21">
      <c r="B936" s="137" t="s">
        <v>901</v>
      </c>
      <c r="D936" s="137">
        <f>D872</f>
        <v>360</v>
      </c>
      <c r="F936" s="137">
        <f>F872</f>
        <v>403</v>
      </c>
      <c r="H936" s="137">
        <f>H872</f>
        <v>409</v>
      </c>
      <c r="K936" s="137">
        <f>K872</f>
        <v>448</v>
      </c>
      <c r="L936" s="137">
        <f>L872</f>
        <v>379</v>
      </c>
      <c r="N936" s="137">
        <f>N872</f>
        <v>340</v>
      </c>
      <c r="P936" s="137">
        <f>P872</f>
        <v>419</v>
      </c>
      <c r="S936" s="137">
        <f>S872</f>
        <v>311</v>
      </c>
    </row>
    <row r="937" spans="2:21">
      <c r="B937" s="137" t="s">
        <v>911</v>
      </c>
      <c r="D937" s="137">
        <v>0</v>
      </c>
      <c r="F937" s="137">
        <v>0</v>
      </c>
      <c r="H937" s="137">
        <v>0</v>
      </c>
      <c r="K937" s="137">
        <v>0</v>
      </c>
      <c r="L937" s="137">
        <v>0</v>
      </c>
      <c r="N937" s="137">
        <v>0</v>
      </c>
      <c r="P937" s="137">
        <v>0</v>
      </c>
      <c r="S937" s="137">
        <v>0</v>
      </c>
      <c r="T937" s="137">
        <f>T872</f>
        <v>450</v>
      </c>
      <c r="U937" s="137">
        <f>U872</f>
        <v>500</v>
      </c>
    </row>
    <row r="958" spans="2:12">
      <c r="B958" s="137" t="s">
        <v>912</v>
      </c>
      <c r="C958" s="137" t="s">
        <v>464</v>
      </c>
      <c r="D958" s="137" t="s">
        <v>465</v>
      </c>
      <c r="F958" s="137" t="s">
        <v>467</v>
      </c>
      <c r="H958" s="137" t="s">
        <v>469</v>
      </c>
      <c r="K958" s="137" t="s">
        <v>472</v>
      </c>
      <c r="L958" s="137" t="s">
        <v>473</v>
      </c>
    </row>
    <row r="960" spans="2:12">
      <c r="B960" s="137" t="s">
        <v>162</v>
      </c>
      <c r="C960" s="137">
        <v>344</v>
      </c>
      <c r="D960" s="137">
        <v>456</v>
      </c>
      <c r="F960" s="137">
        <v>661</v>
      </c>
      <c r="H960" s="137">
        <v>-103</v>
      </c>
      <c r="K960" s="137">
        <v>554</v>
      </c>
      <c r="L960" s="137">
        <v>632</v>
      </c>
    </row>
    <row r="961" spans="2:28">
      <c r="B961" s="137" t="s">
        <v>913</v>
      </c>
      <c r="C961" s="137">
        <f>C960-C962</f>
        <v>284</v>
      </c>
      <c r="D961" s="137">
        <f t="shared" ref="D961:H961" si="124">D960-D962</f>
        <v>280</v>
      </c>
      <c r="E961" s="137">
        <f t="shared" si="124"/>
        <v>0</v>
      </c>
      <c r="F961" s="137">
        <f t="shared" si="124"/>
        <v>252</v>
      </c>
      <c r="G961" s="137">
        <f t="shared" si="124"/>
        <v>0</v>
      </c>
      <c r="H961" s="137">
        <f t="shared" si="124"/>
        <v>274</v>
      </c>
      <c r="K961" s="137">
        <f t="shared" ref="K961" si="125">K960-K962</f>
        <v>218</v>
      </c>
      <c r="L961" s="137">
        <f t="shared" ref="L961" si="126">L960-L962</f>
        <v>286</v>
      </c>
    </row>
    <row r="962" spans="2:28">
      <c r="B962" s="137" t="s">
        <v>131</v>
      </c>
      <c r="C962" s="137">
        <v>60</v>
      </c>
      <c r="D962" s="137">
        <v>176</v>
      </c>
      <c r="F962" s="137">
        <v>409</v>
      </c>
      <c r="H962" s="137">
        <v>-377</v>
      </c>
      <c r="K962" s="137">
        <v>336</v>
      </c>
      <c r="L962" s="137">
        <v>346</v>
      </c>
    </row>
    <row r="964" spans="2:28">
      <c r="B964" s="137" t="s">
        <v>914</v>
      </c>
      <c r="K964" s="717">
        <f>K961/C961-1</f>
        <v>-0.232394366197183</v>
      </c>
      <c r="L964" s="717">
        <f>L961/D961-1</f>
        <v>0.0214285714285714</v>
      </c>
    </row>
    <row r="967" spans="2:28">
      <c r="B967" s="137" t="s">
        <v>527</v>
      </c>
      <c r="C967" s="1007" t="s">
        <v>448</v>
      </c>
      <c r="D967" s="1007" t="s">
        <v>449</v>
      </c>
      <c r="E967" s="1007"/>
      <c r="F967" s="1007" t="s">
        <v>451</v>
      </c>
      <c r="G967" s="1007"/>
      <c r="H967" s="1007" t="s">
        <v>453</v>
      </c>
      <c r="I967" s="1007"/>
      <c r="J967" s="1007"/>
      <c r="K967" s="1007" t="s">
        <v>456</v>
      </c>
      <c r="L967" s="1007" t="s">
        <v>457</v>
      </c>
      <c r="M967" s="1007"/>
      <c r="N967" s="1007" t="s">
        <v>459</v>
      </c>
      <c r="O967" s="1007"/>
      <c r="P967" s="1007" t="s">
        <v>461</v>
      </c>
      <c r="Q967" s="1007" t="s">
        <v>475</v>
      </c>
      <c r="R967" s="1007" t="s">
        <v>915</v>
      </c>
      <c r="S967" s="1007" t="s">
        <v>464</v>
      </c>
      <c r="T967" s="1007" t="s">
        <v>465</v>
      </c>
      <c r="U967" s="1007" t="s">
        <v>467</v>
      </c>
      <c r="V967" s="1007" t="s">
        <v>469</v>
      </c>
      <c r="W967" s="1007" t="s">
        <v>472</v>
      </c>
      <c r="X967" s="1007" t="s">
        <v>473</v>
      </c>
      <c r="Y967" s="1007" t="s">
        <v>472</v>
      </c>
      <c r="Z967" s="1007" t="s">
        <v>472</v>
      </c>
      <c r="AA967" s="1007" t="s">
        <v>475</v>
      </c>
      <c r="AB967" s="1007" t="s">
        <v>915</v>
      </c>
    </row>
    <row r="968" spans="2:28">
      <c r="B968" s="137" t="s">
        <v>916</v>
      </c>
      <c r="C968" s="717">
        <f>Interim!HB8</f>
        <v>0.439389784024683</v>
      </c>
      <c r="D968" s="717">
        <f>Interim!HC8</f>
        <v>0.977110798910341</v>
      </c>
      <c r="E968" s="717"/>
      <c r="F968" s="717">
        <f>Interim!HE8</f>
        <v>0.0336716812390389</v>
      </c>
      <c r="G968" s="717"/>
      <c r="H968" s="717">
        <f>Interim!HG8</f>
        <v>-0.0493209084862568</v>
      </c>
      <c r="I968" s="717"/>
      <c r="J968" s="717"/>
      <c r="K968" s="717">
        <f>Interim!HJ8</f>
        <v>-0.0497738197864378</v>
      </c>
      <c r="L968" s="717">
        <f>Interim!HK8</f>
        <v>0.0351455877668047</v>
      </c>
      <c r="M968" s="717"/>
      <c r="N968" s="717">
        <f>Interim!HM8</f>
        <v>0.0355354629128316</v>
      </c>
      <c r="O968" s="717"/>
      <c r="P968" s="717">
        <f>Interim!HO8</f>
        <v>-0.0150027347568873</v>
      </c>
      <c r="Q968" s="717"/>
      <c r="R968" s="717"/>
      <c r="S968" s="717">
        <f>Interim!HR8</f>
        <v>0.010285156072695</v>
      </c>
      <c r="T968" s="717">
        <f>Interim!HS8</f>
        <v>-0.228053028107795</v>
      </c>
      <c r="U968" s="717">
        <f>Interim!HU8</f>
        <v>-0.149078858316413</v>
      </c>
      <c r="V968" s="717">
        <f>Interim!HW8</f>
        <v>-0.18483540022548</v>
      </c>
      <c r="W968" s="717">
        <f>Interim!HZ8</f>
        <v>0.0345361312843296</v>
      </c>
      <c r="X968" s="717">
        <f>Interim!IA8</f>
        <v>0.188409073132576</v>
      </c>
      <c r="Y968" s="717"/>
      <c r="Z968" s="717"/>
      <c r="AA968" s="717">
        <f>Interim!IC8</f>
        <v>0.129789254971802</v>
      </c>
      <c r="AB968" s="717"/>
    </row>
    <row r="969" spans="2:28">
      <c r="B969" s="137" t="s">
        <v>917</v>
      </c>
      <c r="C969" s="717">
        <f>Interim!HB13</f>
        <v>-0.074</v>
      </c>
      <c r="D969" s="717">
        <f>Interim!HC13</f>
        <v>0.17</v>
      </c>
      <c r="E969" s="717"/>
      <c r="F969" s="717">
        <f>Interim!HE13</f>
        <v>0.05</v>
      </c>
      <c r="G969" s="717"/>
      <c r="H969" s="717">
        <f>Interim!HG13</f>
        <v>0</v>
      </c>
      <c r="I969" s="717"/>
      <c r="J969" s="717"/>
      <c r="K969" s="717">
        <f>Interim!HJ13</f>
        <v>0.01</v>
      </c>
      <c r="L969" s="717">
        <f>Interim!HK13</f>
        <v>0.04</v>
      </c>
      <c r="M969" s="717"/>
      <c r="N969" s="717">
        <f>Interim!HM13</f>
        <v>0.06</v>
      </c>
      <c r="O969" s="717"/>
      <c r="P969" s="717">
        <f>Interim!HO13</f>
        <v>-0.01</v>
      </c>
      <c r="Q969" s="717"/>
      <c r="R969" s="717"/>
      <c r="S969" s="717">
        <f>Interim!HR13</f>
        <v>-0.07</v>
      </c>
      <c r="T969" s="717">
        <f>Interim!HS13</f>
        <v>0.19</v>
      </c>
      <c r="U969" s="717">
        <f>Interim!HU13</f>
        <v>0.1</v>
      </c>
      <c r="V969" s="717">
        <f>Interim!HW13</f>
        <v>0.09</v>
      </c>
      <c r="W969" s="717">
        <f>Interim!HZ13</f>
        <v>0.11</v>
      </c>
      <c r="X969" s="717">
        <f>Interim!IA13</f>
        <v>0.15</v>
      </c>
      <c r="Y969" s="717"/>
      <c r="Z969" s="717"/>
      <c r="AA969" s="717">
        <f>Interim!IC13</f>
        <v>0.17</v>
      </c>
      <c r="AB969" s="717"/>
    </row>
    <row r="970" spans="2:28">
      <c r="B970" s="137" t="s">
        <v>918</v>
      </c>
      <c r="F970" s="188">
        <f>AVERAGE(F971:AA971)</f>
        <v>0.019290345359367</v>
      </c>
      <c r="H970" s="188">
        <f>F970</f>
        <v>0.019290345359367</v>
      </c>
      <c r="I970" s="188">
        <f t="shared" ref="I970:J970" si="127">AVERAGE(I971:AD971)</f>
        <v>0.0185559637767352</v>
      </c>
      <c r="J970" s="188">
        <f t="shared" si="127"/>
        <v>0.0185559637767352</v>
      </c>
      <c r="K970" s="188">
        <f>H970</f>
        <v>0.019290345359367</v>
      </c>
      <c r="L970" s="188">
        <f>K970</f>
        <v>0.019290345359367</v>
      </c>
      <c r="M970" s="188">
        <f t="shared" ref="M970:AA970" si="128">K970</f>
        <v>0.019290345359367</v>
      </c>
      <c r="N970" s="188">
        <f t="shared" si="128"/>
        <v>0.019290345359367</v>
      </c>
      <c r="O970" s="188">
        <f t="shared" si="128"/>
        <v>0.019290345359367</v>
      </c>
      <c r="P970" s="188">
        <f t="shared" si="128"/>
        <v>0.019290345359367</v>
      </c>
      <c r="Q970" s="188">
        <f t="shared" si="128"/>
        <v>0.019290345359367</v>
      </c>
      <c r="R970" s="188">
        <f t="shared" si="128"/>
        <v>0.019290345359367</v>
      </c>
      <c r="S970" s="188">
        <f t="shared" si="128"/>
        <v>0.019290345359367</v>
      </c>
      <c r="T970" s="188">
        <f t="shared" si="128"/>
        <v>0.019290345359367</v>
      </c>
      <c r="U970" s="188">
        <f t="shared" si="128"/>
        <v>0.019290345359367</v>
      </c>
      <c r="V970" s="188">
        <f t="shared" si="128"/>
        <v>0.019290345359367</v>
      </c>
      <c r="W970" s="188">
        <f t="shared" si="128"/>
        <v>0.019290345359367</v>
      </c>
      <c r="X970" s="188">
        <f t="shared" si="128"/>
        <v>0.019290345359367</v>
      </c>
      <c r="Y970" s="188">
        <f t="shared" si="128"/>
        <v>0.019290345359367</v>
      </c>
      <c r="Z970" s="188">
        <f t="shared" si="128"/>
        <v>0.019290345359367</v>
      </c>
      <c r="AA970" s="188">
        <f t="shared" si="128"/>
        <v>0.019290345359367</v>
      </c>
      <c r="AB970" s="188"/>
    </row>
    <row r="971" spans="2:28">
      <c r="B971" s="137" t="s">
        <v>919</v>
      </c>
      <c r="F971" s="717">
        <f>Interim!HE29</f>
        <v>0.03856745732091</v>
      </c>
      <c r="G971" s="717"/>
      <c r="H971" s="717">
        <f>Interim!HH29</f>
        <v>0.00809143080677283</v>
      </c>
      <c r="I971" s="717"/>
      <c r="J971" s="717"/>
      <c r="K971" s="717">
        <f>Interim!HJ29</f>
        <v>-0.0306351556567961</v>
      </c>
      <c r="L971" s="717">
        <f>Interim!HK29</f>
        <v>0.0356592475871578</v>
      </c>
      <c r="M971" s="717"/>
      <c r="N971" s="717">
        <f>Interim!HM29</f>
        <v>0.0440361613351878</v>
      </c>
      <c r="O971" s="717"/>
      <c r="P971" s="717">
        <f>Interim!HO29</f>
        <v>-0.01</v>
      </c>
      <c r="Q971" s="717"/>
      <c r="R971" s="717"/>
      <c r="S971" s="717">
        <f>Interim!HR29</f>
        <v>-0.0165437570728027</v>
      </c>
      <c r="T971" s="717">
        <f>Interim!HS29</f>
        <v>-0.0687477219939252</v>
      </c>
      <c r="U971" s="717">
        <f>Interim!HU29</f>
        <v>-0.0581412884178331</v>
      </c>
      <c r="V971" s="717">
        <f>Interim!HW29</f>
        <v>-0.0512081091468104</v>
      </c>
      <c r="W971" s="717">
        <f>Interim!HZ29</f>
        <v>0.0533170269245354</v>
      </c>
      <c r="X971" s="717">
        <f>Interim!IA29</f>
        <v>0.1633740643334</v>
      </c>
      <c r="Y971" s="717"/>
      <c r="Z971" s="717"/>
      <c r="AA971" s="717">
        <f>Interim!IC29</f>
        <v>0.143005133651974</v>
      </c>
    </row>
    <row r="992" spans="3:22">
      <c r="C992" s="137">
        <v>2015</v>
      </c>
      <c r="D992" s="137">
        <f>C992+1</f>
        <v>2016</v>
      </c>
      <c r="F992" s="137">
        <v>2017</v>
      </c>
      <c r="G992" s="137">
        <f t="shared" ref="G992:R992" si="129">F992+1</f>
        <v>2018</v>
      </c>
      <c r="H992" s="137">
        <v>2018</v>
      </c>
      <c r="I992" s="137">
        <f t="shared" si="129"/>
        <v>2019</v>
      </c>
      <c r="J992" s="137">
        <f t="shared" si="129"/>
        <v>2020</v>
      </c>
      <c r="K992" s="137">
        <v>2019</v>
      </c>
      <c r="L992" s="137">
        <f t="shared" si="129"/>
        <v>2020</v>
      </c>
      <c r="M992" s="137">
        <f t="shared" si="129"/>
        <v>2021</v>
      </c>
      <c r="N992" s="137">
        <v>2021</v>
      </c>
      <c r="O992" s="137">
        <f t="shared" si="129"/>
        <v>2022</v>
      </c>
      <c r="P992" s="137">
        <f t="shared" si="129"/>
        <v>2023</v>
      </c>
      <c r="Q992" s="137">
        <f t="shared" si="129"/>
        <v>2024</v>
      </c>
      <c r="R992" s="137">
        <f t="shared" si="129"/>
        <v>2025</v>
      </c>
      <c r="S992" s="137">
        <v>2024</v>
      </c>
      <c r="T992" s="137" t="s">
        <v>865</v>
      </c>
      <c r="U992" s="137" t="s">
        <v>863</v>
      </c>
      <c r="V992" s="137" t="s">
        <v>888</v>
      </c>
    </row>
    <row r="993" spans="2:22">
      <c r="B993" s="137" t="s">
        <v>920</v>
      </c>
      <c r="C993" s="138">
        <f>'Profit and Loss'!V14</f>
        <v>0.249541826780964</v>
      </c>
      <c r="D993" s="138">
        <f>'Profit and Loss'!W14</f>
        <v>0.259357179885951</v>
      </c>
      <c r="E993" s="138"/>
      <c r="F993" s="138">
        <f>'Profit and Loss'!X14</f>
        <v>0.27618060137619</v>
      </c>
      <c r="G993" s="138"/>
      <c r="H993" s="138">
        <f>'Profit and Loss'!Y14</f>
        <v>0.296052931781885</v>
      </c>
      <c r="I993" s="138"/>
      <c r="J993" s="138"/>
      <c r="K993" s="138">
        <f>'Profit and Loss'!Z14</f>
        <v>0.33052747345713</v>
      </c>
      <c r="L993" s="138">
        <f>'Profit and Loss'!AA14</f>
        <v>0.409746018947793</v>
      </c>
      <c r="M993" s="138"/>
      <c r="N993" s="138">
        <f>'Profit and Loss'!AB14</f>
        <v>0.390599838294124</v>
      </c>
      <c r="O993" s="138"/>
      <c r="P993" s="138">
        <f>'Profit and Loss'!AC14</f>
        <v>0.392608058282618</v>
      </c>
      <c r="Q993" s="138"/>
      <c r="R993" s="138"/>
      <c r="S993" s="138">
        <f>'Profit and Loss'!AD14</f>
        <v>0.420108327691266</v>
      </c>
      <c r="T993" s="138">
        <f>'Profit and Loss'!AE14</f>
        <v>0.412017540051231</v>
      </c>
      <c r="U993" s="138">
        <f>'Profit and Loss'!AF14</f>
        <v>0.400266011043489</v>
      </c>
      <c r="V993" s="138">
        <f>'Profit and Loss'!AG14</f>
        <v>0.39097208005738</v>
      </c>
    </row>
    <row r="1016" spans="2:4">
      <c r="B1016" t="s">
        <v>921</v>
      </c>
    </row>
    <row r="1017" spans="2:4">
      <c r="B1017"/>
      <c r="C1017" t="s">
        <v>471</v>
      </c>
      <c r="D1017" t="s">
        <v>922</v>
      </c>
    </row>
    <row r="1018" spans="2:4">
      <c r="B1018" t="s">
        <v>209</v>
      </c>
      <c r="C1018" s="1008">
        <f>'Profit and Loss'!AD97</f>
        <v>6114.5</v>
      </c>
      <c r="D1018" s="257">
        <f>C1018/$C$1025</f>
        <v>0.295700744752877</v>
      </c>
    </row>
    <row r="1019" spans="2:4">
      <c r="B1019" t="s">
        <v>923</v>
      </c>
      <c r="C1019" s="1008">
        <f>'Profit and Loss'!AD132</f>
        <v>2850</v>
      </c>
      <c r="D1019" s="257">
        <f t="shared" ref="D1019:D1025" si="130">C1019/$C$1025</f>
        <v>0.137827642905503</v>
      </c>
    </row>
    <row r="1020" spans="2:4">
      <c r="B1020" t="s">
        <v>101</v>
      </c>
      <c r="C1020" s="1008">
        <f>'Profit and Loss'!AD102</f>
        <v>4844</v>
      </c>
      <c r="D1020" s="257">
        <f t="shared" si="130"/>
        <v>0.234258632362898</v>
      </c>
    </row>
    <row r="1021" spans="2:4">
      <c r="B1021" t="s">
        <v>924</v>
      </c>
      <c r="C1021" s="1008">
        <f>'Profit and Loss'!AD107</f>
        <v>2291</v>
      </c>
      <c r="D1021" s="257">
        <f t="shared" si="130"/>
        <v>0.110794080665442</v>
      </c>
    </row>
    <row r="1022" spans="2:4">
      <c r="B1022" t="s">
        <v>114</v>
      </c>
      <c r="C1022" s="1008">
        <f>'Profit and Loss'!AD112</f>
        <v>3040</v>
      </c>
      <c r="D1022" s="257">
        <f t="shared" si="130"/>
        <v>0.147016152432537</v>
      </c>
    </row>
    <row r="1023" spans="2:4">
      <c r="B1023" t="s">
        <v>925</v>
      </c>
      <c r="C1023" s="1008">
        <f>'Profit and Loss'!AD127</f>
        <v>1255.5</v>
      </c>
      <c r="D1023" s="257">
        <f t="shared" si="130"/>
        <v>0.0607167037431086</v>
      </c>
    </row>
    <row r="1024" spans="2:4">
      <c r="B1024" t="s">
        <v>64</v>
      </c>
      <c r="C1024" s="1008">
        <f>'Profit and Loss'!AD137+'Profit and Loss'!AD142</f>
        <v>283</v>
      </c>
      <c r="D1024" s="257">
        <f t="shared" si="130"/>
        <v>0.0136860431376342</v>
      </c>
    </row>
    <row r="1025" spans="2:33">
      <c r="B1025"/>
      <c r="C1025" s="1008">
        <f>SUM(C1018:C1024)</f>
        <v>20678</v>
      </c>
      <c r="D1025" s="257">
        <f t="shared" si="130"/>
        <v>1</v>
      </c>
    </row>
    <row r="1026" spans="2:33">
      <c r="B1026"/>
      <c r="C1026"/>
      <c r="D1026"/>
    </row>
    <row r="1027" spans="2:33">
      <c r="B1027" t="s">
        <v>926</v>
      </c>
      <c r="C1027" t="s">
        <v>471</v>
      </c>
      <c r="D1027"/>
    </row>
    <row r="1028" spans="2:33">
      <c r="B1028"/>
      <c r="C1028" s="1007" t="s">
        <v>536</v>
      </c>
      <c r="D1028" s="1007" t="s">
        <v>533</v>
      </c>
      <c r="E1028" s="719"/>
      <c r="F1028" s="719" t="s">
        <v>927</v>
      </c>
      <c r="G1028" s="719"/>
      <c r="H1028" s="719" t="s">
        <v>212</v>
      </c>
    </row>
    <row r="1029" spans="2:33">
      <c r="B1029" t="s">
        <v>855</v>
      </c>
      <c r="C1029" s="1009">
        <v>0.15</v>
      </c>
      <c r="D1029" s="1009">
        <v>0.14</v>
      </c>
      <c r="E1029" s="1009"/>
      <c r="F1029" s="1009">
        <v>0.22</v>
      </c>
      <c r="H1029" s="138">
        <f>((C1029*$C$1036)+(D1029*$D$1036)+(F1029*$F$1036))</f>
        <v>0.149182806739161</v>
      </c>
    </row>
    <row r="1030" spans="2:33">
      <c r="B1030" t="s">
        <v>928</v>
      </c>
      <c r="C1030" s="1009">
        <v>0.2</v>
      </c>
      <c r="D1030" s="1009">
        <v>0.38</v>
      </c>
      <c r="E1030" s="1009"/>
      <c r="F1030" s="1009">
        <v>0</v>
      </c>
      <c r="H1030" s="138">
        <f t="shared" ref="H1030:H1034" si="131">((C1030*$C$1036)+(D1030*$D$1036)+(F1030*$F$1036))</f>
        <v>0.288123395715686</v>
      </c>
    </row>
    <row r="1031" spans="2:33">
      <c r="B1031" t="s">
        <v>929</v>
      </c>
      <c r="C1031" s="1009">
        <v>0.23</v>
      </c>
      <c r="D1031" s="1009">
        <v>0</v>
      </c>
      <c r="E1031" s="1009"/>
      <c r="F1031" s="1009">
        <v>0</v>
      </c>
      <c r="H1031" s="138">
        <f t="shared" si="131"/>
        <v>0.0837690763989359</v>
      </c>
    </row>
    <row r="1032" spans="2:33">
      <c r="B1032" t="s">
        <v>930</v>
      </c>
      <c r="C1032" s="1009">
        <v>0</v>
      </c>
      <c r="D1032" s="1009">
        <v>0.32</v>
      </c>
      <c r="E1032" s="1009"/>
      <c r="F1032" s="1009">
        <v>0</v>
      </c>
      <c r="H1032" s="138">
        <f t="shared" si="131"/>
        <v>0.181289027862043</v>
      </c>
    </row>
    <row r="1033" spans="2:33">
      <c r="B1033" t="s">
        <v>931</v>
      </c>
      <c r="C1033" s="1009">
        <v>0.42</v>
      </c>
      <c r="D1033" s="1009">
        <v>0.16</v>
      </c>
      <c r="E1033" s="1009"/>
      <c r="F1033" s="1009">
        <v>0.78</v>
      </c>
      <c r="H1033" s="138">
        <f t="shared" si="131"/>
        <v>0.297635693284174</v>
      </c>
    </row>
    <row r="1034" spans="2:33">
      <c r="B1034"/>
      <c r="C1034" s="1009">
        <f>SUM(C1029:C1033)</f>
        <v>1</v>
      </c>
      <c r="D1034" s="1009">
        <f>SUM(D1029:D1033)</f>
        <v>1</v>
      </c>
      <c r="E1034" s="1009"/>
      <c r="F1034" s="1009">
        <f>SUM(F1029:F1033)</f>
        <v>1</v>
      </c>
      <c r="H1034" s="138">
        <f t="shared" si="131"/>
        <v>1</v>
      </c>
    </row>
    <row r="1036" spans="2:33">
      <c r="B1036" s="137" t="s">
        <v>932</v>
      </c>
      <c r="C1036" s="138">
        <f>7804/21427</f>
        <v>0.364213375647547</v>
      </c>
      <c r="D1036" s="138">
        <f>12139/21427</f>
        <v>0.566528212068885</v>
      </c>
      <c r="E1036" s="138">
        <f t="shared" ref="E1036" si="132">7804/21427</f>
        <v>0.364213375647547</v>
      </c>
      <c r="F1036" s="138">
        <f>1-D1036-C1036</f>
        <v>0.0692584122835675</v>
      </c>
    </row>
    <row r="1039" spans="2:33">
      <c r="B1039" s="137" t="s">
        <v>782</v>
      </c>
    </row>
    <row r="1040" spans="2:33">
      <c r="C1040" s="137">
        <v>2010</v>
      </c>
      <c r="D1040" s="137">
        <v>2011</v>
      </c>
      <c r="E1040" s="137">
        <f>D1040+1</f>
        <v>2012</v>
      </c>
      <c r="F1040" s="137">
        <f>E1040+1</f>
        <v>2013</v>
      </c>
      <c r="G1040" s="137">
        <f>F1040+1</f>
        <v>2014</v>
      </c>
      <c r="H1040" s="137">
        <f t="shared" ref="H1040:Q1040" si="133">G1040+1</f>
        <v>2015</v>
      </c>
      <c r="I1040" s="137">
        <f t="shared" si="133"/>
        <v>2016</v>
      </c>
      <c r="J1040" s="137">
        <f t="shared" si="133"/>
        <v>2017</v>
      </c>
      <c r="K1040" s="137">
        <f t="shared" si="133"/>
        <v>2018</v>
      </c>
      <c r="L1040" s="137">
        <f t="shared" si="133"/>
        <v>2019</v>
      </c>
      <c r="M1040" s="137">
        <f t="shared" si="133"/>
        <v>2020</v>
      </c>
      <c r="N1040" s="137">
        <f t="shared" si="133"/>
        <v>2021</v>
      </c>
      <c r="O1040" s="137">
        <f t="shared" si="133"/>
        <v>2022</v>
      </c>
      <c r="P1040" s="137">
        <f t="shared" si="133"/>
        <v>2023</v>
      </c>
      <c r="Q1040" s="137">
        <f t="shared" si="133"/>
        <v>2024</v>
      </c>
      <c r="R1040" s="137" t="s">
        <v>865</v>
      </c>
      <c r="S1040" s="137" t="s">
        <v>863</v>
      </c>
      <c r="T1040" s="137" t="s">
        <v>888</v>
      </c>
      <c r="U1040" s="137" t="s">
        <v>888</v>
      </c>
      <c r="AG1040" s="137" t="s">
        <v>889</v>
      </c>
    </row>
    <row r="1041" spans="2:33">
      <c r="B1041" s="137" t="s">
        <v>933</v>
      </c>
      <c r="C1041" s="717">
        <f>'Profit and Loss'!Q146</f>
        <v>0.0863378678244091</v>
      </c>
      <c r="D1041" s="717">
        <f>'Profit and Loss'!R146</f>
        <v>0.128348926931913</v>
      </c>
      <c r="E1041" s="717">
        <f>'Profit and Loss'!S146</f>
        <v>0.0638574087974779</v>
      </c>
      <c r="F1041" s="717">
        <f>'Profit and Loss'!T146</f>
        <v>0.0294132248570953</v>
      </c>
      <c r="G1041" s="717">
        <f>'Profit and Loss'!U146</f>
        <v>0.0681704329461457</v>
      </c>
      <c r="H1041" s="717">
        <f>'Profit and Loss'!V146</f>
        <v>0.0963410858047203</v>
      </c>
      <c r="I1041" s="717">
        <f>'Profit and Loss'!W146</f>
        <v>0.1815992905705</v>
      </c>
      <c r="J1041" s="717">
        <f>'Profit and Loss'!X146</f>
        <v>0.159997786824436</v>
      </c>
      <c r="K1041" s="717">
        <f>'Profit and Loss'!Y146</f>
        <v>0.0842075596191913</v>
      </c>
      <c r="L1041" s="717">
        <f>'Profit and Loss'!Z146</f>
        <v>0.0605195710700433</v>
      </c>
      <c r="M1041" s="717">
        <f>'Profit and Loss'!AA146</f>
        <v>-0.134484943113378</v>
      </c>
      <c r="N1041" s="717">
        <f>'Profit and Loss'!AB146</f>
        <v>0.16</v>
      </c>
      <c r="O1041" s="717">
        <f>'Profit and Loss'!AC146</f>
        <v>0.0104352453612131</v>
      </c>
      <c r="P1041" s="717">
        <f>'Profit and Loss'!AD146</f>
        <v>-0.044</v>
      </c>
      <c r="Q1041" s="717">
        <f>'Profit and Loss'!AE146</f>
        <v>0.13754569060045</v>
      </c>
      <c r="R1041" s="717">
        <f>'Profit and Loss'!AF146</f>
        <v>0.128168148743108</v>
      </c>
      <c r="S1041" s="717">
        <f>'Profit and Loss'!AF146</f>
        <v>0.128168148743108</v>
      </c>
      <c r="T1041" s="717">
        <f>'Profit and Loss'!AG146</f>
        <v>0.105392366289146</v>
      </c>
      <c r="U1041" s="717">
        <f>'Profit and Loss'!AH146</f>
        <v>0.067494679244341</v>
      </c>
      <c r="X1041" s="717"/>
      <c r="AG1041" s="717">
        <f>'Profit and Loss'!AI146</f>
        <v>0.0677282828827418</v>
      </c>
    </row>
    <row r="1042" spans="2:33">
      <c r="B1042" s="137" t="s">
        <v>934</v>
      </c>
      <c r="C1042" s="188">
        <f>AVERAGE(C1041:L1041)</f>
        <v>0.0958793155245932</v>
      </c>
      <c r="D1042" s="188">
        <f>C1042</f>
        <v>0.0958793155245932</v>
      </c>
      <c r="E1042" s="188">
        <f t="shared" ref="E1042:U1042" si="134">D1042</f>
        <v>0.0958793155245932</v>
      </c>
      <c r="F1042" s="188">
        <f t="shared" si="134"/>
        <v>0.0958793155245932</v>
      </c>
      <c r="G1042" s="188">
        <f t="shared" si="134"/>
        <v>0.0958793155245932</v>
      </c>
      <c r="H1042" s="188">
        <f t="shared" si="134"/>
        <v>0.0958793155245932</v>
      </c>
      <c r="I1042" s="188">
        <f t="shared" si="134"/>
        <v>0.0958793155245932</v>
      </c>
      <c r="J1042" s="188">
        <f t="shared" si="134"/>
        <v>0.0958793155245932</v>
      </c>
      <c r="K1042" s="188">
        <f t="shared" si="134"/>
        <v>0.0958793155245932</v>
      </c>
      <c r="L1042" s="188">
        <f t="shared" si="134"/>
        <v>0.0958793155245932</v>
      </c>
      <c r="M1042" s="188">
        <f t="shared" si="134"/>
        <v>0.0958793155245932</v>
      </c>
      <c r="N1042" s="188">
        <f t="shared" si="134"/>
        <v>0.0958793155245932</v>
      </c>
      <c r="O1042" s="188">
        <f t="shared" si="134"/>
        <v>0.0958793155245932</v>
      </c>
      <c r="P1042" s="188">
        <f t="shared" si="134"/>
        <v>0.0958793155245932</v>
      </c>
      <c r="Q1042" s="188">
        <f t="shared" si="134"/>
        <v>0.0958793155245932</v>
      </c>
      <c r="R1042" s="188">
        <f t="shared" si="134"/>
        <v>0.0958793155245932</v>
      </c>
      <c r="S1042" s="188">
        <f t="shared" si="134"/>
        <v>0.0958793155245932</v>
      </c>
      <c r="T1042" s="188">
        <f t="shared" si="134"/>
        <v>0.0958793155245932</v>
      </c>
      <c r="U1042" s="188">
        <f t="shared" si="134"/>
        <v>0.0958793155245932</v>
      </c>
    </row>
    <row r="1065" spans="2:8">
      <c r="B1065" s="137" t="s">
        <v>935</v>
      </c>
    </row>
    <row r="1067" ht="17.6" spans="2:8">
      <c r="B1067" s="1010" t="s">
        <v>936</v>
      </c>
      <c r="C1067" s="1011">
        <v>2024</v>
      </c>
      <c r="D1067" s="1012" t="s">
        <v>865</v>
      </c>
      <c r="E1067" s="1012" t="s">
        <v>863</v>
      </c>
      <c r="F1067" s="1012" t="s">
        <v>888</v>
      </c>
      <c r="G1067" s="1012" t="s">
        <v>889</v>
      </c>
      <c r="H1067" s="1012" t="s">
        <v>892</v>
      </c>
    </row>
    <row r="1068" spans="2:8">
      <c r="B1068" s="1013" t="s">
        <v>937</v>
      </c>
      <c r="C1068" s="1014">
        <f>C1076*0.4</f>
        <v>9213.2</v>
      </c>
      <c r="D1068" s="1014">
        <f>D1076-D1073</f>
        <v>9892.298682025</v>
      </c>
      <c r="E1068" s="1014">
        <f t="shared" ref="E1068:H1068" si="135">E1076-E1073</f>
        <v>11131.5974817279</v>
      </c>
      <c r="F1068" s="1014">
        <f t="shared" si="135"/>
        <v>11846.0124690349</v>
      </c>
      <c r="G1068" s="1014">
        <f t="shared" si="135"/>
        <v>12565.9806530541</v>
      </c>
      <c r="H1068" s="1015">
        <f t="shared" si="135"/>
        <v>13068.0538858602</v>
      </c>
    </row>
    <row r="1069" spans="2:8">
      <c r="B1069" s="813" t="s">
        <v>938</v>
      </c>
      <c r="C1069" s="1016">
        <f>C1076*0.13</f>
        <v>2994.29</v>
      </c>
      <c r="D1069" s="1016">
        <f t="shared" ref="D1069:E1071" si="136">C1069*(1+D1080)*(1+D$1088)</f>
        <v>2926.907115717</v>
      </c>
      <c r="E1069" s="1016">
        <f t="shared" si="136"/>
        <v>3615.43413827634</v>
      </c>
      <c r="F1069" s="1016">
        <f t="shared" ref="F1069:H1069" si="137">E1069*(1+F1080)*(1+F$1088)</f>
        <v>3754.00781214384</v>
      </c>
      <c r="G1069" s="1016">
        <f t="shared" si="137"/>
        <v>4016.78835899391</v>
      </c>
      <c r="H1069" s="1017">
        <f t="shared" si="137"/>
        <v>4297.96354412348</v>
      </c>
    </row>
    <row r="1070" spans="2:8">
      <c r="B1070" s="813" t="s">
        <v>939</v>
      </c>
      <c r="C1070" s="1016">
        <f>C1076*0.1</f>
        <v>2303.3</v>
      </c>
      <c r="D1070" s="1016">
        <f t="shared" si="136"/>
        <v>2797.93958784</v>
      </c>
      <c r="E1070" s="1016">
        <f t="shared" si="136"/>
        <v>3179.63796955506</v>
      </c>
      <c r="F1070" s="1016">
        <f t="shared" ref="F1070:H1070" si="138">E1070*(1+F1081)*(1+F$1088)</f>
        <v>3589.98959630086</v>
      </c>
      <c r="G1070" s="1016">
        <f t="shared" si="138"/>
        <v>3948.98855593094</v>
      </c>
      <c r="H1070" s="1017">
        <f t="shared" si="138"/>
        <v>4343.88741152404</v>
      </c>
    </row>
    <row r="1071" spans="2:8">
      <c r="B1071" s="813" t="s">
        <v>940</v>
      </c>
      <c r="C1071" s="1016">
        <f>C1076*0.08</f>
        <v>1842.64</v>
      </c>
      <c r="D1071" s="1016">
        <f t="shared" si="136"/>
        <v>2133.428935728</v>
      </c>
      <c r="E1071" s="1016">
        <f t="shared" si="136"/>
        <v>2424.47395178573</v>
      </c>
      <c r="F1071" s="1016">
        <f t="shared" ref="F1071:H1071" si="139">E1071*(1+F1082)*(1+F$1088)</f>
        <v>2810.68939933599</v>
      </c>
      <c r="G1071" s="1016">
        <f t="shared" si="139"/>
        <v>3176.07902124967</v>
      </c>
      <c r="H1071" s="1017">
        <f t="shared" si="139"/>
        <v>3557.20850379964</v>
      </c>
    </row>
    <row r="1072" spans="2:8">
      <c r="B1072" s="813" t="s">
        <v>941</v>
      </c>
      <c r="C1072" s="1016">
        <f>C1068-C1071-C1070-C1069</f>
        <v>2072.97</v>
      </c>
      <c r="D1072" s="1016">
        <f>D1068-D1071-D1070-D1069</f>
        <v>2034.02304274</v>
      </c>
      <c r="E1072" s="1016">
        <f>E1068-E1071-E1070-E1069</f>
        <v>1912.05142211079</v>
      </c>
      <c r="F1072" s="1016">
        <f t="shared" ref="F1072:H1072" si="140">F1068-F1071-F1070-F1069</f>
        <v>1691.32566125423</v>
      </c>
      <c r="G1072" s="1016">
        <f t="shared" si="140"/>
        <v>1424.12471687959</v>
      </c>
      <c r="H1072" s="1017">
        <f t="shared" si="140"/>
        <v>868.994426413002</v>
      </c>
    </row>
    <row r="1073" spans="2:8">
      <c r="B1073" s="1013" t="s">
        <v>942</v>
      </c>
      <c r="C1073" s="1014">
        <f>C1076-C1068</f>
        <v>13819.8</v>
      </c>
      <c r="D1073" s="1014">
        <f>D1074+D1075</f>
        <v>14918.701317975</v>
      </c>
      <c r="E1073" s="1014">
        <f t="shared" ref="E1073:H1073" si="141">E1074+E1075</f>
        <v>16001.333674573</v>
      </c>
      <c r="F1073" s="1014">
        <f t="shared" si="141"/>
        <v>17337.6383508039</v>
      </c>
      <c r="G1073" s="1014">
        <f t="shared" si="141"/>
        <v>18594.2287250619</v>
      </c>
      <c r="H1073" s="1015">
        <f t="shared" si="141"/>
        <v>19948.7223791375</v>
      </c>
    </row>
    <row r="1074" spans="2:8">
      <c r="B1074" s="813" t="s">
        <v>943</v>
      </c>
      <c r="C1074" s="1016">
        <f>C1073/2</f>
        <v>6909.9</v>
      </c>
      <c r="D1074" s="1016">
        <f>C1074*(1+D1085)*(1+D$1088)</f>
        <v>7049.496227175</v>
      </c>
      <c r="E1074" s="1016">
        <f t="shared" ref="E1074:H1074" si="142">D1074*(1+E1085)*(1+E$1088)</f>
        <v>7175.2462128869</v>
      </c>
      <c r="F1074" s="1016">
        <f t="shared" si="142"/>
        <v>7594.92693285859</v>
      </c>
      <c r="G1074" s="1016">
        <f t="shared" si="142"/>
        <v>7974.67327950152</v>
      </c>
      <c r="H1074" s="1017">
        <f t="shared" si="142"/>
        <v>8373.4069434766</v>
      </c>
    </row>
    <row r="1075" spans="2:8">
      <c r="B1075" s="813" t="s">
        <v>944</v>
      </c>
      <c r="C1075" s="1016">
        <f>C1073-C1074</f>
        <v>6909.9</v>
      </c>
      <c r="D1075" s="1016">
        <f>C1075*(1+D1086)*(1+D$1088)</f>
        <v>7869.2050908</v>
      </c>
      <c r="E1075" s="1016">
        <f t="shared" ref="E1075:H1075" si="143">D1075*(1+E1086)*(1+E$1088)</f>
        <v>8826.08746168612</v>
      </c>
      <c r="F1075" s="1016">
        <f t="shared" si="143"/>
        <v>9742.71141794534</v>
      </c>
      <c r="G1075" s="1016">
        <f t="shared" si="143"/>
        <v>10619.5554455604</v>
      </c>
      <c r="H1075" s="1017">
        <f t="shared" si="143"/>
        <v>11575.3154356609</v>
      </c>
    </row>
    <row r="1076" spans="2:8">
      <c r="B1076" s="1013" t="s">
        <v>212</v>
      </c>
      <c r="C1076" s="1014">
        <f>'Profit and Loss'!AE143</f>
        <v>23033</v>
      </c>
      <c r="D1076" s="1014">
        <f>'Profit and Loss'!AF143</f>
        <v>24811</v>
      </c>
      <c r="E1076" s="1014">
        <f>'Profit and Loss'!AG143</f>
        <v>27132.9311563009</v>
      </c>
      <c r="F1076" s="1014">
        <f>'Profit and Loss'!AH143</f>
        <v>29183.6508198389</v>
      </c>
      <c r="G1076" s="1014">
        <f>'Profit and Loss'!AI143</f>
        <v>31160.2093781161</v>
      </c>
      <c r="H1076" s="1015">
        <f>'Profit and Loss'!AJ143</f>
        <v>33016.7762649976</v>
      </c>
    </row>
    <row r="1078" ht="17.6" spans="2:8">
      <c r="B1078" s="1010" t="s">
        <v>945</v>
      </c>
      <c r="C1078" s="1011">
        <v>2024</v>
      </c>
      <c r="D1078" s="1012" t="s">
        <v>865</v>
      </c>
      <c r="E1078" s="1012" t="s">
        <v>863</v>
      </c>
      <c r="F1078" s="1012" t="s">
        <v>888</v>
      </c>
      <c r="G1078" s="1012" t="s">
        <v>889</v>
      </c>
      <c r="H1078" s="1012" t="s">
        <v>892</v>
      </c>
    </row>
    <row r="1079" spans="2:8">
      <c r="B1079" s="1013" t="s">
        <v>937</v>
      </c>
      <c r="C1079" s="1014"/>
      <c r="D1079" s="1018">
        <f>((D1068/C1068)-1)-D1088</f>
        <v>0.124683874226653</v>
      </c>
      <c r="E1079" s="1018">
        <f>((E1068/D1068)-1)-E1088</f>
        <v>0.137086772309392</v>
      </c>
      <c r="F1079" s="1018">
        <f t="shared" ref="F1079:H1079" si="144">((F1068/E1068)-1)-F1088</f>
        <v>0.0560932274883014</v>
      </c>
      <c r="G1079" s="1018">
        <f t="shared" si="144"/>
        <v>0.060777260356695</v>
      </c>
      <c r="H1079" s="1019">
        <f t="shared" si="144"/>
        <v>0.0399549582852506</v>
      </c>
    </row>
    <row r="1080" spans="2:8">
      <c r="B1080" s="813" t="s">
        <v>938</v>
      </c>
      <c r="C1080" s="1016"/>
      <c r="D1080" s="161">
        <v>0.03</v>
      </c>
      <c r="E1080" s="161">
        <v>0.25</v>
      </c>
      <c r="F1080" s="161">
        <v>0.03</v>
      </c>
      <c r="G1080" s="161">
        <v>0.07</v>
      </c>
      <c r="H1080" s="815">
        <v>0.07</v>
      </c>
    </row>
    <row r="1081" spans="2:8">
      <c r="B1081" s="813" t="s">
        <v>939</v>
      </c>
      <c r="C1081" s="1016"/>
      <c r="D1081" s="161">
        <v>0.28</v>
      </c>
      <c r="E1081" s="161">
        <v>0.15</v>
      </c>
      <c r="F1081" s="161">
        <v>0.12</v>
      </c>
      <c r="G1081" s="161">
        <v>0.1</v>
      </c>
      <c r="H1081" s="815">
        <v>0.1</v>
      </c>
    </row>
    <row r="1082" spans="2:8">
      <c r="B1082" s="813" t="s">
        <v>940</v>
      </c>
      <c r="C1082" s="1016"/>
      <c r="D1082" s="161">
        <v>0.22</v>
      </c>
      <c r="E1082" s="161">
        <v>0.15</v>
      </c>
      <c r="F1082" s="161">
        <v>0.15</v>
      </c>
      <c r="G1082" s="161">
        <v>0.13</v>
      </c>
      <c r="H1082" s="815">
        <v>0.12</v>
      </c>
    </row>
    <row r="1083" spans="2:8">
      <c r="B1083" s="813" t="s">
        <v>941</v>
      </c>
      <c r="C1083" s="1016"/>
      <c r="D1083" s="161">
        <f>(D1072/C1072-1)-D$1088</f>
        <v>0.0321865584354808</v>
      </c>
      <c r="E1083" s="161">
        <f>(E1072/D1072-1)-E$1088</f>
        <v>-0.0481580831350593</v>
      </c>
      <c r="F1083" s="161">
        <f t="shared" ref="F1083:H1083" si="145">(F1072/E1072-1)-F$1088</f>
        <v>-0.123525028681328</v>
      </c>
      <c r="G1083" s="161">
        <f t="shared" si="145"/>
        <v>-0.157983143338873</v>
      </c>
      <c r="H1083" s="815">
        <f t="shared" si="145"/>
        <v>-0.389804547233011</v>
      </c>
    </row>
    <row r="1084" spans="2:8">
      <c r="B1084" s="1013" t="s">
        <v>942</v>
      </c>
      <c r="C1084" s="1014"/>
      <c r="D1084" s="1018">
        <f>(D1073/C1073-1)-D$1088</f>
        <v>0.130490998420744</v>
      </c>
      <c r="E1084" s="1018">
        <f>(E1073/D1073-1)-E1088</f>
        <v>0.0843764263477863</v>
      </c>
      <c r="F1084" s="1018">
        <f t="shared" ref="F1084:H1084" si="146">(F1073/E1073-1)-F1088</f>
        <v>0.0754262913359788</v>
      </c>
      <c r="G1084" s="1018">
        <f t="shared" si="146"/>
        <v>0.0724775975154508</v>
      </c>
      <c r="H1084" s="1019">
        <f t="shared" si="146"/>
        <v>0.072844842026165</v>
      </c>
    </row>
    <row r="1085" spans="2:8">
      <c r="B1085" s="813" t="s">
        <v>943</v>
      </c>
      <c r="C1085" s="1016"/>
      <c r="D1085" s="161">
        <v>0.075</v>
      </c>
      <c r="E1085" s="161">
        <v>0.03</v>
      </c>
      <c r="F1085" s="161">
        <v>0.05</v>
      </c>
      <c r="G1085" s="161">
        <v>0.05</v>
      </c>
      <c r="H1085" s="815">
        <v>0.05</v>
      </c>
    </row>
    <row r="1086" spans="2:8">
      <c r="B1086" s="813" t="s">
        <v>944</v>
      </c>
      <c r="C1086" s="1016"/>
      <c r="D1086" s="161">
        <v>0.2</v>
      </c>
      <c r="E1086" s="161">
        <v>0.135</v>
      </c>
      <c r="F1086" s="161">
        <v>0.095</v>
      </c>
      <c r="G1086" s="161">
        <v>0.09</v>
      </c>
      <c r="H1086" s="815">
        <v>0.09</v>
      </c>
    </row>
    <row r="1087" spans="2:8">
      <c r="B1087" s="1013" t="s">
        <v>946</v>
      </c>
      <c r="C1087" s="1014"/>
      <c r="D1087" s="1018">
        <f>D1089-D1088</f>
        <v>0.128168148743108</v>
      </c>
      <c r="E1087" s="1018">
        <f t="shared" ref="E1087:H1087" si="147">E1089-E1088</f>
        <v>0.105392366289146</v>
      </c>
      <c r="F1087" s="1018">
        <f t="shared" si="147"/>
        <v>0.067494679244341</v>
      </c>
      <c r="G1087" s="1018">
        <f t="shared" si="147"/>
        <v>0.0677282828827417</v>
      </c>
      <c r="H1087" s="1019">
        <f t="shared" si="147"/>
        <v>0.0595813354253463</v>
      </c>
    </row>
    <row r="1088" spans="2:8">
      <c r="B1088" s="813" t="s">
        <v>947</v>
      </c>
      <c r="D1088" s="161">
        <f>'Profit and Loss'!AF145</f>
        <v>-0.0509745569400427</v>
      </c>
      <c r="E1088" s="161">
        <f>'Profit and Loss'!AG145</f>
        <v>-0.0118076193502505</v>
      </c>
      <c r="F1088" s="161">
        <f>'Profit and Loss'!AH145</f>
        <v>0.00808578980725629</v>
      </c>
      <c r="G1088" s="161">
        <f>'Profit and Loss'!AI145</f>
        <v>0</v>
      </c>
      <c r="H1088" s="815">
        <f>'Profit and Loss'!AJ145</f>
        <v>1.52655665885959e-16</v>
      </c>
    </row>
    <row r="1089" spans="2:8">
      <c r="B1089" s="1013" t="s">
        <v>948</v>
      </c>
      <c r="C1089" s="802"/>
      <c r="D1089" s="1018">
        <f>D1076/C1076-1</f>
        <v>0.0771935918030651</v>
      </c>
      <c r="E1089" s="1018">
        <f>E1076/D1076-1</f>
        <v>0.0935847469388953</v>
      </c>
      <c r="F1089" s="1018">
        <f>F1076/E1076-1</f>
        <v>0.0755804690515973</v>
      </c>
      <c r="G1089" s="1018">
        <f>G1076/F1076-1</f>
        <v>0.0677282828827417</v>
      </c>
      <c r="H1089" s="1019">
        <f>H1076/G1076-1</f>
        <v>0.0595813354253465</v>
      </c>
    </row>
    <row r="1092" ht="17.6" spans="2:8">
      <c r="B1092" s="1010" t="s">
        <v>949</v>
      </c>
      <c r="C1092" s="1011">
        <v>2024</v>
      </c>
      <c r="D1092" s="1012" t="s">
        <v>865</v>
      </c>
      <c r="E1092" s="1012" t="s">
        <v>863</v>
      </c>
      <c r="F1092" s="1012" t="s">
        <v>888</v>
      </c>
      <c r="G1092" s="1012" t="s">
        <v>889</v>
      </c>
      <c r="H1092" s="1012" t="s">
        <v>892</v>
      </c>
    </row>
    <row r="1093" spans="2:8">
      <c r="B1093" s="1020" t="s">
        <v>937</v>
      </c>
      <c r="C1093" s="1021">
        <f>C1068/C1076</f>
        <v>0.4</v>
      </c>
      <c r="D1093" s="1021">
        <f t="shared" ref="D1093:H1093" si="148">D1068/D1076</f>
        <v>0.398706165895167</v>
      </c>
      <c r="E1093" s="1021">
        <f t="shared" si="148"/>
        <v>0.410261516443014</v>
      </c>
      <c r="F1093" s="1021">
        <f t="shared" si="148"/>
        <v>0.405912630402708</v>
      </c>
      <c r="G1093" s="1021">
        <f t="shared" si="148"/>
        <v>0.403270096826732</v>
      </c>
      <c r="H1093" s="1022">
        <f t="shared" si="148"/>
        <v>0.395800419186113</v>
      </c>
    </row>
    <row r="1094" spans="2:8">
      <c r="B1094" s="985" t="s">
        <v>938</v>
      </c>
      <c r="C1094" s="201">
        <f>C1069/C1076</f>
        <v>0.13</v>
      </c>
      <c r="D1094" s="201">
        <f t="shared" ref="D1094:H1094" si="149">D1069/D1076</f>
        <v>0.117968123643424</v>
      </c>
      <c r="E1094" s="201">
        <f t="shared" si="149"/>
        <v>0.133248933462051</v>
      </c>
      <c r="F1094" s="201">
        <f t="shared" si="149"/>
        <v>0.128633933955648</v>
      </c>
      <c r="G1094" s="201">
        <f t="shared" si="149"/>
        <v>0.128907617732983</v>
      </c>
      <c r="H1094" s="988">
        <f t="shared" si="149"/>
        <v>0.130175142164922</v>
      </c>
    </row>
    <row r="1095" spans="2:8">
      <c r="B1095" s="985" t="s">
        <v>939</v>
      </c>
      <c r="C1095" s="201">
        <f>C1070/C1076</f>
        <v>0.1</v>
      </c>
      <c r="D1095" s="201">
        <f t="shared" ref="D1095:H1095" si="150">D1070/D1076</f>
        <v>0.112770125663617</v>
      </c>
      <c r="E1095" s="201">
        <f t="shared" si="150"/>
        <v>0.117187411534661</v>
      </c>
      <c r="F1095" s="201">
        <f t="shared" si="150"/>
        <v>0.123013724994969</v>
      </c>
      <c r="G1095" s="201">
        <f t="shared" si="150"/>
        <v>0.126731772178153</v>
      </c>
      <c r="H1095" s="988">
        <f t="shared" si="150"/>
        <v>0.131566067403412</v>
      </c>
    </row>
    <row r="1096" spans="2:8">
      <c r="B1096" s="985" t="s">
        <v>940</v>
      </c>
      <c r="C1096" s="201">
        <f>C1071/C1076</f>
        <v>0.08</v>
      </c>
      <c r="D1096" s="201">
        <f t="shared" ref="D1096:H1096" si="151">D1071/D1076</f>
        <v>0.0859872208185079</v>
      </c>
      <c r="E1096" s="201">
        <f t="shared" si="151"/>
        <v>0.0893554012951788</v>
      </c>
      <c r="F1096" s="201">
        <f t="shared" si="151"/>
        <v>0.096310410808003</v>
      </c>
      <c r="G1096" s="201">
        <f t="shared" si="151"/>
        <v>0.101927396658645</v>
      </c>
      <c r="H1096" s="988">
        <f t="shared" si="151"/>
        <v>0.107739425413582</v>
      </c>
    </row>
    <row r="1097" spans="2:8">
      <c r="B1097" s="985" t="s">
        <v>941</v>
      </c>
      <c r="C1097" s="201">
        <f>C1072/C1076</f>
        <v>0.0900000000000001</v>
      </c>
      <c r="D1097" s="201">
        <f t="shared" ref="D1097:H1097" si="152">D1072/D1076</f>
        <v>0.0819806957696183</v>
      </c>
      <c r="E1097" s="201">
        <f t="shared" si="152"/>
        <v>0.0704697701511237</v>
      </c>
      <c r="F1097" s="201">
        <f t="shared" si="152"/>
        <v>0.0579545606440878</v>
      </c>
      <c r="G1097" s="201">
        <f t="shared" si="152"/>
        <v>0.045703310256951</v>
      </c>
      <c r="H1097" s="988">
        <f t="shared" si="152"/>
        <v>0.0263197842041973</v>
      </c>
    </row>
    <row r="1098" spans="2:8">
      <c r="B1098" s="1020" t="s">
        <v>942</v>
      </c>
      <c r="C1098" s="1021">
        <f>C1073/C1076</f>
        <v>0.6</v>
      </c>
      <c r="D1098" s="1021">
        <f t="shared" ref="D1098:H1098" si="153">D1073/D1076</f>
        <v>0.601293834104833</v>
      </c>
      <c r="E1098" s="1021">
        <f t="shared" si="153"/>
        <v>0.589738483556986</v>
      </c>
      <c r="F1098" s="1021">
        <f t="shared" si="153"/>
        <v>0.594087369597292</v>
      </c>
      <c r="G1098" s="1021">
        <f t="shared" si="153"/>
        <v>0.596729903173268</v>
      </c>
      <c r="H1098" s="1022">
        <f t="shared" si="153"/>
        <v>0.604199580813887</v>
      </c>
    </row>
    <row r="1099" spans="2:8">
      <c r="B1099" s="985" t="s">
        <v>943</v>
      </c>
      <c r="C1099" s="201">
        <f>C1074/C1076</f>
        <v>0.3</v>
      </c>
      <c r="D1099" s="201">
        <f t="shared" ref="D1099:H1099" si="154">D1074/D1076</f>
        <v>0.28412785567591</v>
      </c>
      <c r="E1099" s="201">
        <f t="shared" si="154"/>
        <v>0.264447883332377</v>
      </c>
      <c r="F1099" s="201">
        <f t="shared" si="154"/>
        <v>0.260245950026774</v>
      </c>
      <c r="G1099" s="201">
        <f t="shared" si="154"/>
        <v>0.255924893916219</v>
      </c>
      <c r="H1099" s="988">
        <f t="shared" si="154"/>
        <v>0.25361067586582</v>
      </c>
    </row>
    <row r="1100" spans="2:8">
      <c r="B1100" s="985" t="s">
        <v>944</v>
      </c>
      <c r="C1100" s="201">
        <f>C1075/C1076</f>
        <v>0.3</v>
      </c>
      <c r="D1100" s="201">
        <f t="shared" ref="D1100:H1100" si="155">D1075/D1076</f>
        <v>0.317165978428923</v>
      </c>
      <c r="E1100" s="201">
        <f t="shared" si="155"/>
        <v>0.325290600224609</v>
      </c>
      <c r="F1100" s="201">
        <f t="shared" si="155"/>
        <v>0.333841419570519</v>
      </c>
      <c r="G1100" s="201">
        <f t="shared" si="155"/>
        <v>0.340805009257049</v>
      </c>
      <c r="H1100" s="988">
        <f t="shared" si="155"/>
        <v>0.350588904948068</v>
      </c>
    </row>
    <row r="1101" spans="2:8">
      <c r="B1101" s="1020" t="s">
        <v>946</v>
      </c>
      <c r="C1101" s="1021">
        <f>C1098+C1093</f>
        <v>1</v>
      </c>
      <c r="D1101" s="1021">
        <f t="shared" ref="D1101:H1101" si="156">D1098+D1093</f>
        <v>1</v>
      </c>
      <c r="E1101" s="1021">
        <f t="shared" si="156"/>
        <v>1</v>
      </c>
      <c r="F1101" s="1021">
        <f t="shared" si="156"/>
        <v>1</v>
      </c>
      <c r="G1101" s="1021">
        <f t="shared" si="156"/>
        <v>1</v>
      </c>
      <c r="H1101" s="1022">
        <f t="shared" si="156"/>
        <v>1</v>
      </c>
    </row>
    <row r="1105" spans="2:14">
      <c r="C1105" s="137" t="s">
        <v>464</v>
      </c>
      <c r="D1105" s="137" t="s">
        <v>465</v>
      </c>
      <c r="E1105" s="137" t="s">
        <v>467</v>
      </c>
      <c r="F1105" s="137" t="s">
        <v>469</v>
      </c>
      <c r="G1105" s="137" t="s">
        <v>472</v>
      </c>
      <c r="H1105" s="137" t="s">
        <v>473</v>
      </c>
      <c r="I1105" s="137" t="s">
        <v>475</v>
      </c>
      <c r="J1105" s="137" t="s">
        <v>477</v>
      </c>
      <c r="K1105" s="137" t="s">
        <v>480</v>
      </c>
      <c r="L1105" s="137" t="s">
        <v>481</v>
      </c>
      <c r="M1105" s="137" t="s">
        <v>483</v>
      </c>
      <c r="N1105" s="137" t="s">
        <v>485</v>
      </c>
    </row>
    <row r="1106" spans="2:14">
      <c r="B1106" s="137" t="s">
        <v>950</v>
      </c>
      <c r="C1106" s="137">
        <v>3025</v>
      </c>
      <c r="D1106" s="137">
        <v>3114</v>
      </c>
      <c r="E1106" s="137">
        <v>3449</v>
      </c>
      <c r="F1106" s="137">
        <v>2551</v>
      </c>
      <c r="G1106" s="137">
        <v>3240</v>
      </c>
      <c r="H1106" s="137">
        <v>3573</v>
      </c>
      <c r="I1106" s="137">
        <v>3773</v>
      </c>
      <c r="J1106" s="137">
        <v>3390</v>
      </c>
      <c r="K1106" s="137">
        <v>3760</v>
      </c>
      <c r="L1106" s="137">
        <v>3476</v>
      </c>
      <c r="M1106" s="174">
        <f>M1112*(1+M1109)</f>
        <v>3733.24612703721</v>
      </c>
      <c r="N1106" s="174">
        <f>N1112*(1+N1109)</f>
        <v>3358.17117117117</v>
      </c>
    </row>
    <row r="1107" spans="2:14">
      <c r="C1107" s="717"/>
      <c r="D1107" s="717"/>
      <c r="E1107" s="717"/>
      <c r="F1107" s="717"/>
      <c r="G1107" s="717">
        <f>G1106/C1106-1</f>
        <v>0.0710743801652893</v>
      </c>
      <c r="H1107" s="717">
        <f t="shared" ref="H1107:N1107" si="157">H1106/D1106-1</f>
        <v>0.147398843930636</v>
      </c>
      <c r="I1107" s="717">
        <f t="shared" si="157"/>
        <v>0.093940272542766</v>
      </c>
      <c r="J1107" s="717">
        <f t="shared" si="157"/>
        <v>0.328890631125049</v>
      </c>
      <c r="K1107" s="717">
        <f t="shared" si="157"/>
        <v>0.160493827160494</v>
      </c>
      <c r="L1107" s="717">
        <f t="shared" si="157"/>
        <v>-0.0271480548558635</v>
      </c>
      <c r="M1107" s="717">
        <f t="shared" si="157"/>
        <v>-0.0105364094786087</v>
      </c>
      <c r="N1107" s="717">
        <f t="shared" si="157"/>
        <v>-0.00938903505275179</v>
      </c>
    </row>
    <row r="1108" spans="2:14">
      <c r="B1108" s="137" t="s">
        <v>933</v>
      </c>
      <c r="C1108" s="717"/>
      <c r="D1108" s="717"/>
      <c r="E1108" s="717"/>
      <c r="F1108" s="717">
        <v>0.08</v>
      </c>
      <c r="G1108" s="717">
        <v>0.13</v>
      </c>
      <c r="H1108" s="717">
        <v>0.17</v>
      </c>
      <c r="I1108" s="717">
        <v>0.14</v>
      </c>
      <c r="J1108" s="717">
        <v>0.26</v>
      </c>
      <c r="K1108" s="717">
        <v>0.17</v>
      </c>
      <c r="L1108" s="717">
        <v>0.03</v>
      </c>
      <c r="M1108" s="717">
        <f>((1+M1107)/(1+M1109))-1</f>
        <v>0.0416909620991255</v>
      </c>
      <c r="N1108" s="717">
        <f>((1+N1107)/(1+N1109))-1</f>
        <v>0.0675516224188792</v>
      </c>
    </row>
    <row r="1109" spans="2:14">
      <c r="B1109" s="137" t="s">
        <v>951</v>
      </c>
      <c r="C1109" s="717"/>
      <c r="D1109" s="717"/>
      <c r="E1109" s="717"/>
      <c r="F1109" s="717"/>
      <c r="G1109" s="717">
        <f>((1+G1107)/(1+G1108))-1</f>
        <v>-0.0521465662254076</v>
      </c>
      <c r="H1109" s="717">
        <f t="shared" ref="H1109:L1109" si="158">((1+H1107)/(1+H1108))-1</f>
        <v>-0.019317227409713</v>
      </c>
      <c r="I1109" s="717">
        <f t="shared" si="158"/>
        <v>-0.0404032696993282</v>
      </c>
      <c r="J1109" s="717">
        <f t="shared" si="158"/>
        <v>0.0546751040674993</v>
      </c>
      <c r="K1109" s="717">
        <f t="shared" si="158"/>
        <v>-0.0081249340508599</v>
      </c>
      <c r="L1109" s="717">
        <f t="shared" si="158"/>
        <v>-0.0554835484037509</v>
      </c>
      <c r="M1109" s="717">
        <f>Interim!IK218</f>
        <v>-0.0501371073360279</v>
      </c>
      <c r="N1109" s="717">
        <f>Interim!IM218</f>
        <v>-0.0720720720720721</v>
      </c>
    </row>
    <row r="1110" spans="2:14">
      <c r="C1110" s="717"/>
      <c r="D1110" s="717"/>
      <c r="E1110" s="717"/>
      <c r="F1110" s="717"/>
      <c r="G1110" s="717"/>
      <c r="H1110" s="717"/>
      <c r="I1110" s="717"/>
      <c r="J1110" s="717"/>
      <c r="K1110" s="717"/>
      <c r="L1110" s="717"/>
      <c r="M1110" s="717"/>
      <c r="N1110" s="717"/>
    </row>
    <row r="1111" spans="2:14">
      <c r="B1111" s="137" t="s">
        <v>567</v>
      </c>
      <c r="G1111" s="137">
        <v>150</v>
      </c>
      <c r="H1111" s="137">
        <v>200</v>
      </c>
      <c r="I1111" s="137">
        <v>200</v>
      </c>
      <c r="J1111" s="137">
        <v>100</v>
      </c>
    </row>
    <row r="1112" spans="2:14">
      <c r="B1112" s="150" t="s">
        <v>952</v>
      </c>
      <c r="C1112" s="150"/>
      <c r="D1112" s="150"/>
      <c r="E1112" s="150"/>
      <c r="F1112" s="150"/>
      <c r="G1112" s="150">
        <f>G1106-G1111</f>
        <v>3090</v>
      </c>
      <c r="H1112" s="150">
        <f t="shared" ref="H1112:J1112" si="159">H1106-H1111</f>
        <v>3373</v>
      </c>
      <c r="I1112" s="150">
        <f t="shared" si="159"/>
        <v>3573</v>
      </c>
      <c r="J1112" s="150">
        <f t="shared" si="159"/>
        <v>3290</v>
      </c>
      <c r="K1112" s="150">
        <f t="shared" ref="K1112" si="160">K1106-K1111</f>
        <v>3760</v>
      </c>
      <c r="L1112" s="150">
        <f t="shared" ref="L1112" si="161">L1106-L1111</f>
        <v>3476</v>
      </c>
      <c r="M1112" s="150">
        <f>I1112*(1+M1113)</f>
        <v>3930.3</v>
      </c>
      <c r="N1112" s="150">
        <f>J1112*(1+N1113)</f>
        <v>3619</v>
      </c>
    </row>
    <row r="1113" spans="2:14">
      <c r="B1113" s="150" t="s">
        <v>933</v>
      </c>
      <c r="C1113" s="150"/>
      <c r="D1113" s="150"/>
      <c r="E1113" s="150"/>
      <c r="F1113" s="150"/>
      <c r="G1113" s="150"/>
      <c r="H1113" s="150"/>
      <c r="I1113" s="150"/>
      <c r="J1113" s="150"/>
      <c r="K1113" s="1023">
        <f>(K1112/G1112-1)+(K1108-K1107)</f>
        <v>0.226334651803907</v>
      </c>
      <c r="L1113" s="1023">
        <f>(L1112/H1112-1)+(L1108-L1107)</f>
        <v>0.0876846691458132</v>
      </c>
      <c r="M1113" s="1023">
        <v>0.1</v>
      </c>
      <c r="N1113" s="1023">
        <v>0.1</v>
      </c>
    </row>
    <row r="1117" spans="2:14">
      <c r="C1117" s="137">
        <v>2025</v>
      </c>
    </row>
    <row r="1118" spans="2:14">
      <c r="B1118" s="137" t="s">
        <v>710</v>
      </c>
      <c r="C1118" s="722">
        <f>'Profit and Loss'!AF325</f>
        <v>24811</v>
      </c>
    </row>
    <row r="1119" spans="2:14">
      <c r="B1119" s="137" t="s">
        <v>953</v>
      </c>
      <c r="C1119" s="722">
        <f>C1118*0.06</f>
        <v>1488.66</v>
      </c>
    </row>
    <row r="1120" spans="2:14">
      <c r="B1120" s="137" t="s">
        <v>954</v>
      </c>
      <c r="C1120" s="722">
        <f>C1118-C1119</f>
        <v>23322.34</v>
      </c>
    </row>
    <row r="1122" spans="2:4">
      <c r="B1122" s="137" t="s">
        <v>127</v>
      </c>
      <c r="C1122" s="722">
        <f>C1123+C1124</f>
        <v>12805</v>
      </c>
    </row>
    <row r="1123" spans="2:4">
      <c r="B1123" s="137" t="s">
        <v>953</v>
      </c>
      <c r="C1123" s="722">
        <f>(C1127)*C1119</f>
        <v>908.234039999999</v>
      </c>
    </row>
    <row r="1124" spans="2:4">
      <c r="B1124" s="137" t="s">
        <v>954</v>
      </c>
      <c r="C1124" s="722">
        <f>C1128*C1120</f>
        <v>11896.76596</v>
      </c>
    </row>
    <row r="1126" spans="2:4">
      <c r="B1126" s="137" t="s">
        <v>128</v>
      </c>
      <c r="C1126" s="717">
        <f>C1122/C1118</f>
        <v>0.516101729071782</v>
      </c>
      <c r="D1126" s="717"/>
    </row>
    <row r="1127" spans="2:4">
      <c r="B1127" s="137" t="s">
        <v>953</v>
      </c>
      <c r="C1127" s="717">
        <f>C1128+0.1</f>
        <v>0.610101729071782</v>
      </c>
    </row>
    <row r="1128" spans="2:4">
      <c r="B1128" s="137" t="s">
        <v>954</v>
      </c>
      <c r="C1128" s="717">
        <v>0.510101729071782</v>
      </c>
    </row>
  </sheetData>
  <sortState ref="C707:D712">
    <sortCondition ref="D707:D712" descending="1"/>
  </sortState>
  <mergeCells count="2">
    <mergeCell ref="D785:H785"/>
    <mergeCell ref="D791:H791"/>
  </mergeCells>
  <printOptions horizontalCentered="1" verticalCentered="1"/>
  <pageMargins left="0.7" right="0.7" top="0.75" bottom="0.75" header="0.3" footer="0.3"/>
  <pageSetup paperSize="9" scale="10" orientation="portrait"/>
  <headerFooter/>
  <customProperties>
    <customPr name="Qube.Worksheet.Visibility" r:id="rId4"/>
  </customPropertie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pageSetUpPr fitToPage="1"/>
  </sheetPr>
  <dimension ref="A1:AY223"/>
  <sheetViews>
    <sheetView showGridLines="0" tabSelected="1" zoomScale="85" zoomScaleNormal="85" zoomScaleSheetLayoutView="85" workbookViewId="0">
      <pane xSplit="1" ySplit="2" topLeftCell="AD104" activePane="bottomRight" state="frozen"/>
      <selection/>
      <selection pane="topRight"/>
      <selection pane="bottomLeft"/>
      <selection pane="bottomRight" activeCell="AO132" sqref="AO132"/>
    </sheetView>
  </sheetViews>
  <sheetFormatPr defaultColWidth="66.2857142857143" defaultRowHeight="15" customHeight="1"/>
  <cols>
    <col min="1" max="1" width="33.8571428571429" style="860" customWidth="1"/>
    <col min="2" max="6" width="77.7142857142857" style="861" hidden="1" customWidth="1" outlineLevel="1"/>
    <col min="7" max="12" width="69.2857142857143" style="861" hidden="1" customWidth="1" outlineLevel="1"/>
    <col min="13" max="13" width="71" style="861" hidden="1" customWidth="1" collapsed="1"/>
    <col min="14" max="14" width="73.2857142857143" style="861" hidden="1" customWidth="1"/>
    <col min="15" max="15" width="71" style="861" hidden="1" customWidth="1"/>
    <col min="16" max="17" width="73.2857142857143" style="861" hidden="1" customWidth="1"/>
    <col min="18" max="19" width="72.2857142857143" style="861" hidden="1" customWidth="1"/>
    <col min="20" max="20" width="20.2857142857143" style="861" hidden="1" customWidth="1"/>
    <col min="21" max="21" width="15.7142857142857" style="861" hidden="1" customWidth="1"/>
    <col min="22" max="28" width="10.7142857142857" style="861" hidden="1" customWidth="1"/>
    <col min="29" max="38" width="10.7142857142857" style="861" customWidth="1"/>
    <col min="39" max="63" width="15.7142857142857" style="860" customWidth="1"/>
    <col min="64" max="16384" width="66.2857142857143" style="860"/>
  </cols>
  <sheetData>
    <row r="1" ht="16.8" spans="1:47">
      <c r="A1" s="862">
        <f ca="1">TODAY()</f>
        <v>46294</v>
      </c>
      <c r="B1" s="863" t="s">
        <v>955</v>
      </c>
      <c r="C1" s="863" t="s">
        <v>956</v>
      </c>
      <c r="D1" s="863" t="s">
        <v>957</v>
      </c>
      <c r="E1" s="863" t="s">
        <v>958</v>
      </c>
      <c r="F1" s="863" t="s">
        <v>959</v>
      </c>
      <c r="G1" s="863" t="s">
        <v>960</v>
      </c>
      <c r="H1" s="863" t="s">
        <v>961</v>
      </c>
      <c r="I1" s="863" t="s">
        <v>962</v>
      </c>
      <c r="J1" s="863" t="s">
        <v>963</v>
      </c>
      <c r="K1" s="863" t="s">
        <v>964</v>
      </c>
      <c r="L1" s="863" t="s">
        <v>965</v>
      </c>
      <c r="M1" s="863" t="s">
        <v>966</v>
      </c>
      <c r="N1" s="863" t="s">
        <v>967</v>
      </c>
      <c r="O1" s="863">
        <v>2007</v>
      </c>
      <c r="P1" s="863">
        <v>2008</v>
      </c>
      <c r="Q1" s="863">
        <v>2009</v>
      </c>
      <c r="R1" s="863">
        <v>2010</v>
      </c>
      <c r="S1" s="863">
        <v>2011</v>
      </c>
      <c r="T1" s="863">
        <v>2012</v>
      </c>
      <c r="U1" s="863">
        <v>2013</v>
      </c>
      <c r="V1" s="863">
        <v>2014</v>
      </c>
      <c r="W1" s="863">
        <v>2015</v>
      </c>
      <c r="X1" s="863">
        <v>2016</v>
      </c>
      <c r="Y1" s="863">
        <v>2017</v>
      </c>
      <c r="Z1" s="863">
        <v>2018</v>
      </c>
      <c r="AA1" s="863">
        <v>2019</v>
      </c>
      <c r="AB1" s="863">
        <v>2020</v>
      </c>
      <c r="AC1" s="863">
        <v>2021</v>
      </c>
      <c r="AD1" s="863">
        <v>2022</v>
      </c>
      <c r="AE1" s="863">
        <v>2023</v>
      </c>
      <c r="AF1" s="863">
        <v>2024</v>
      </c>
      <c r="AG1" s="863">
        <v>2025</v>
      </c>
      <c r="AH1" s="863" t="s">
        <v>863</v>
      </c>
      <c r="AI1" s="863" t="s">
        <v>888</v>
      </c>
      <c r="AJ1" s="863" t="s">
        <v>889</v>
      </c>
      <c r="AK1" s="863" t="s">
        <v>892</v>
      </c>
      <c r="AL1" s="863" t="s">
        <v>968</v>
      </c>
      <c r="AN1" s="864"/>
      <c r="AO1" s="864"/>
    </row>
    <row r="2" ht="16.8" spans="1:47">
      <c r="A2" s="865" t="s">
        <v>50</v>
      </c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  <c r="M2" s="866" t="s">
        <v>51</v>
      </c>
      <c r="N2" s="866" t="s">
        <v>51</v>
      </c>
      <c r="O2" s="866" t="s">
        <v>51</v>
      </c>
      <c r="P2" s="866" t="s">
        <v>51</v>
      </c>
      <c r="Q2" s="866" t="s">
        <v>51</v>
      </c>
      <c r="R2" s="866" t="s">
        <v>51</v>
      </c>
      <c r="S2" s="866" t="s">
        <v>51</v>
      </c>
      <c r="T2" s="866" t="s">
        <v>51</v>
      </c>
      <c r="U2" s="866" t="s">
        <v>51</v>
      </c>
      <c r="V2" s="866" t="s">
        <v>51</v>
      </c>
      <c r="W2" s="866" t="s">
        <v>51</v>
      </c>
      <c r="X2" s="866" t="s">
        <v>51</v>
      </c>
      <c r="Y2" s="866" t="s">
        <v>51</v>
      </c>
      <c r="Z2" s="866" t="s">
        <v>51</v>
      </c>
      <c r="AA2" s="866" t="s">
        <v>51</v>
      </c>
      <c r="AB2" s="866" t="s">
        <v>51</v>
      </c>
      <c r="AC2" s="866" t="s">
        <v>51</v>
      </c>
      <c r="AD2" s="866" t="s">
        <v>51</v>
      </c>
      <c r="AE2" s="866" t="s">
        <v>51</v>
      </c>
      <c r="AF2" s="866" t="s">
        <v>51</v>
      </c>
      <c r="AG2" s="866" t="s">
        <v>51</v>
      </c>
      <c r="AH2" s="866" t="s">
        <v>51</v>
      </c>
      <c r="AI2" s="866" t="s">
        <v>51</v>
      </c>
      <c r="AJ2" s="866" t="s">
        <v>51</v>
      </c>
      <c r="AK2" s="866" t="s">
        <v>51</v>
      </c>
      <c r="AL2" s="866" t="s">
        <v>51</v>
      </c>
      <c r="AN2" s="864"/>
      <c r="AO2" s="864"/>
    </row>
    <row r="3" ht="16.8" spans="1:47">
      <c r="A3" s="858" t="s">
        <v>969</v>
      </c>
      <c r="B3" s="867"/>
      <c r="C3" s="867">
        <v>1789.672712</v>
      </c>
      <c r="D3" s="867">
        <v>2407.9325816</v>
      </c>
      <c r="E3" s="867">
        <v>3424.8290301</v>
      </c>
      <c r="F3" s="867">
        <v>5065.5094334</v>
      </c>
      <c r="G3" s="867">
        <v>5353.949</v>
      </c>
      <c r="H3" s="867">
        <v>5835</v>
      </c>
      <c r="I3" s="867">
        <v>6112.347</v>
      </c>
      <c r="J3" s="867">
        <v>6523.419</v>
      </c>
      <c r="K3" s="867">
        <v>6266.8</v>
      </c>
      <c r="L3" s="867">
        <v>5856</v>
      </c>
      <c r="M3" s="867">
        <v>6636</v>
      </c>
      <c r="N3" s="867">
        <f>'Profit and Loss'!M325</f>
        <v>10084</v>
      </c>
      <c r="O3" s="867">
        <f>'Profit and Loss'!N325</f>
        <v>10299</v>
      </c>
      <c r="P3" s="867">
        <f>'Profit and Loss'!O325</f>
        <v>10799</v>
      </c>
      <c r="Q3" s="867">
        <f>'Profit and Loss'!P325</f>
        <v>10381</v>
      </c>
      <c r="R3" s="867">
        <f>'Profit and Loss'!Q325</f>
        <v>11990</v>
      </c>
      <c r="S3" s="867">
        <f>'Profit and Loss'!R325</f>
        <v>13323</v>
      </c>
      <c r="T3" s="867">
        <f>'Profit and Loss'!S325</f>
        <v>14883</v>
      </c>
      <c r="U3" s="867">
        <f>'Profit and Loss'!T325</f>
        <v>14205</v>
      </c>
      <c r="V3" s="867">
        <f>'Profit and Loss'!U325</f>
        <v>14534</v>
      </c>
      <c r="W3" s="867">
        <f>'Profit and Loss'!V325</f>
        <v>16915</v>
      </c>
      <c r="X3" s="867">
        <f>'Profit and Loss'!W325</f>
        <v>19290</v>
      </c>
      <c r="Y3" s="867">
        <f>'Profit and Loss'!X325</f>
        <v>21218</v>
      </c>
      <c r="Z3" s="867">
        <f>'Profit and Loss'!Y325</f>
        <v>21915</v>
      </c>
      <c r="AA3" s="867">
        <f>'Profit and Loss'!Z325</f>
        <v>23641</v>
      </c>
      <c r="AB3" s="867">
        <f>'Profit and Loss'!AA325</f>
        <v>19844</v>
      </c>
      <c r="AC3" s="867">
        <f>'Profit and Loss'!AB325</f>
        <v>21234</v>
      </c>
      <c r="AD3" s="867">
        <f>'Profit and Loss'!AC325</f>
        <v>22511</v>
      </c>
      <c r="AE3" s="867">
        <f>'Profit and Loss'!AD325</f>
        <v>20678</v>
      </c>
      <c r="AF3" s="867">
        <f>'Profit and Loss'!AE325</f>
        <v>23033</v>
      </c>
      <c r="AG3" s="867">
        <f>'Profit and Loss'!AF325</f>
        <v>24811</v>
      </c>
      <c r="AH3" s="867">
        <f>'Profit and Loss'!AG325</f>
        <v>27132.9311563009</v>
      </c>
      <c r="AI3" s="867">
        <f>'Profit and Loss'!AH325</f>
        <v>29183.6508198389</v>
      </c>
      <c r="AJ3" s="867">
        <f>'Profit and Loss'!AI325</f>
        <v>31160.2093781161</v>
      </c>
      <c r="AK3" s="867">
        <f>'Profit and Loss'!AJ325</f>
        <v>33016.7762649976</v>
      </c>
      <c r="AL3" s="867">
        <f>'Profit and Loss'!AK325</f>
        <v>34986.3580579743</v>
      </c>
    </row>
    <row r="4" ht="16.8" spans="1:47">
      <c r="A4" s="858" t="s">
        <v>970</v>
      </c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68"/>
      <c r="X4" s="869"/>
      <c r="Y4" s="869"/>
      <c r="Z4" s="868"/>
      <c r="AA4" s="868"/>
      <c r="AB4" s="868"/>
      <c r="AC4" s="868"/>
      <c r="AD4" s="868"/>
      <c r="AE4" s="868"/>
      <c r="AF4" s="868"/>
      <c r="AG4" s="868"/>
      <c r="AH4" s="868"/>
      <c r="AI4" s="868"/>
      <c r="AJ4" s="868"/>
      <c r="AK4" s="868"/>
      <c r="AL4" s="868"/>
      <c r="AN4" s="870"/>
      <c r="AO4" s="870"/>
    </row>
    <row r="5" customHeight="1" spans="1:47">
      <c r="A5" s="858"/>
      <c r="I5" s="868"/>
      <c r="J5" s="868"/>
      <c r="K5" s="868"/>
      <c r="L5" s="868"/>
      <c r="M5" s="868"/>
      <c r="N5" s="868"/>
      <c r="O5" s="868"/>
      <c r="P5" s="868"/>
      <c r="Q5" s="868"/>
      <c r="R5" s="868"/>
      <c r="S5" s="868"/>
      <c r="T5" s="868"/>
      <c r="U5" s="868"/>
      <c r="V5" s="868"/>
      <c r="W5" s="868"/>
      <c r="X5" s="868"/>
      <c r="Y5" s="868"/>
      <c r="Z5" s="868"/>
      <c r="AA5" s="871"/>
      <c r="AB5" s="868"/>
      <c r="AC5" s="871"/>
      <c r="AD5" s="868"/>
      <c r="AE5" s="868"/>
      <c r="AF5" s="868"/>
      <c r="AG5" s="871"/>
      <c r="AH5" s="868"/>
      <c r="AI5" s="868"/>
      <c r="AJ5" s="868"/>
      <c r="AK5" s="868"/>
      <c r="AL5" s="868"/>
    </row>
    <row r="6" customHeight="1" spans="1:47">
      <c r="A6" s="872" t="s">
        <v>971</v>
      </c>
      <c r="B6" s="2132" t="s">
        <v>955</v>
      </c>
      <c r="C6" s="2132" t="s">
        <v>956</v>
      </c>
      <c r="D6" s="2132" t="s">
        <v>957</v>
      </c>
      <c r="E6" s="2132" t="s">
        <v>958</v>
      </c>
      <c r="F6" s="2132" t="s">
        <v>959</v>
      </c>
      <c r="G6" s="2132" t="s">
        <v>960</v>
      </c>
      <c r="H6" s="2132" t="s">
        <v>961</v>
      </c>
      <c r="I6" s="2132" t="s">
        <v>962</v>
      </c>
      <c r="J6" s="2132" t="str">
        <f t="shared" ref="J6:T6" si="0">J1</f>
        <v>2002</v>
      </c>
      <c r="K6" s="2132" t="str">
        <f t="shared" si="0"/>
        <v>2003</v>
      </c>
      <c r="L6" s="2132" t="str">
        <f t="shared" si="0"/>
        <v>2004</v>
      </c>
      <c r="M6" s="2132" t="str">
        <f t="shared" si="0"/>
        <v>2005</v>
      </c>
      <c r="N6" s="2132" t="str">
        <f t="shared" si="0"/>
        <v>2006</v>
      </c>
      <c r="O6" s="863">
        <f t="shared" si="0"/>
        <v>2007</v>
      </c>
      <c r="P6" s="863">
        <f t="shared" si="0"/>
        <v>2008</v>
      </c>
      <c r="Q6" s="863">
        <f t="shared" si="0"/>
        <v>2009</v>
      </c>
      <c r="R6" s="863">
        <f t="shared" si="0"/>
        <v>2010</v>
      </c>
      <c r="S6" s="863">
        <f t="shared" si="0"/>
        <v>2011</v>
      </c>
      <c r="T6" s="863">
        <f t="shared" si="0"/>
        <v>2012</v>
      </c>
      <c r="U6" s="863">
        <f t="shared" ref="U6:AB6" si="1">U1</f>
        <v>2013</v>
      </c>
      <c r="V6" s="863">
        <f t="shared" si="1"/>
        <v>2014</v>
      </c>
      <c r="W6" s="863">
        <f t="shared" si="1"/>
        <v>2015</v>
      </c>
      <c r="X6" s="863">
        <f t="shared" si="1"/>
        <v>2016</v>
      </c>
      <c r="Y6" s="863">
        <f t="shared" si="1"/>
        <v>2017</v>
      </c>
      <c r="Z6" s="863">
        <f t="shared" si="1"/>
        <v>2018</v>
      </c>
      <c r="AA6" s="863">
        <f t="shared" si="1"/>
        <v>2019</v>
      </c>
      <c r="AB6" s="863">
        <f t="shared" si="1"/>
        <v>2020</v>
      </c>
      <c r="AC6" s="863">
        <f t="shared" ref="AC6:AH6" si="2">AC1</f>
        <v>2021</v>
      </c>
      <c r="AD6" s="863">
        <f t="shared" si="2"/>
        <v>2022</v>
      </c>
      <c r="AE6" s="863">
        <f t="shared" si="2"/>
        <v>2023</v>
      </c>
      <c r="AF6" s="863">
        <f t="shared" si="2"/>
        <v>2024</v>
      </c>
      <c r="AG6" s="863">
        <f t="shared" si="2"/>
        <v>2025</v>
      </c>
      <c r="AH6" s="2132" t="str">
        <f t="shared" si="2"/>
        <v>2026E</v>
      </c>
      <c r="AI6" s="2132" t="str">
        <f t="shared" ref="AI6:AJ6" si="3">AI1</f>
        <v>2027E</v>
      </c>
      <c r="AJ6" s="2132" t="str">
        <f t="shared" si="3"/>
        <v>2028E</v>
      </c>
      <c r="AK6" s="2132" t="str">
        <f t="shared" ref="AK6:AL6" si="4">AK1</f>
        <v>2029E</v>
      </c>
      <c r="AL6" s="2132" t="str">
        <f t="shared" si="4"/>
        <v>2030E</v>
      </c>
      <c r="AM6" s="873"/>
    </row>
    <row r="7" customHeight="1" spans="1:47">
      <c r="A7" s="858" t="s">
        <v>972</v>
      </c>
      <c r="B7" s="867">
        <v>19.7765727</v>
      </c>
      <c r="C7" s="867">
        <v>20.86104</v>
      </c>
      <c r="D7" s="867">
        <v>42.9369288</v>
      </c>
      <c r="E7" s="867">
        <v>32.5053862</v>
      </c>
      <c r="F7" s="867">
        <v>51.8396844</v>
      </c>
      <c r="G7" s="867">
        <v>69</v>
      </c>
      <c r="H7" s="867">
        <v>104.706</v>
      </c>
      <c r="I7" s="867">
        <v>85</v>
      </c>
      <c r="J7" s="867">
        <v>67.455</v>
      </c>
      <c r="K7" s="867">
        <v>189.503</v>
      </c>
      <c r="L7" s="867">
        <f>195.997+258.95</f>
        <v>454.947</v>
      </c>
      <c r="M7" s="867">
        <f>1525+61</f>
        <v>1586</v>
      </c>
      <c r="N7" s="867">
        <v>311</v>
      </c>
      <c r="O7" s="867">
        <v>295</v>
      </c>
      <c r="P7" s="867">
        <v>244</v>
      </c>
      <c r="Q7" s="867">
        <v>775</v>
      </c>
      <c r="R7" s="867">
        <v>1150</v>
      </c>
      <c r="S7" s="867">
        <v>906</v>
      </c>
      <c r="T7" s="867">
        <v>1670</v>
      </c>
      <c r="U7" s="867">
        <v>1587</v>
      </c>
      <c r="V7" s="867">
        <v>1683</v>
      </c>
      <c r="W7" s="867">
        <v>1365</v>
      </c>
      <c r="X7" s="867">
        <v>1510</v>
      </c>
      <c r="Y7" s="867">
        <v>1598</v>
      </c>
      <c r="Z7" s="867">
        <v>2629</v>
      </c>
      <c r="AA7" s="867">
        <f>2220+292</f>
        <v>2512</v>
      </c>
      <c r="AB7" s="867">
        <v>3994</v>
      </c>
      <c r="AC7" s="867">
        <v>3828</v>
      </c>
      <c r="AD7" s="867">
        <v>798</v>
      </c>
      <c r="AE7" s="867">
        <v>1431</v>
      </c>
      <c r="AF7" s="867">
        <v>2455</v>
      </c>
      <c r="AG7" s="867">
        <v>1617</v>
      </c>
      <c r="AH7" s="867">
        <f>IF((AH136+AG7)&lt;0,AG7,AG7+AH136)</f>
        <v>1611.63409005125</v>
      </c>
      <c r="AI7" s="867">
        <f>IF((AI136+AH7)&lt;0,AH7,AH7+AI136)</f>
        <v>1660.9251421383</v>
      </c>
      <c r="AJ7" s="867">
        <f>IF((AJ136+AI7)&lt;0,AI7,AI7+AJ136)</f>
        <v>1925.97907716862</v>
      </c>
      <c r="AK7" s="867">
        <f>IF((AK136+AJ7)&lt;0,AJ7,AJ7+AK136)</f>
        <v>2343.32251088851</v>
      </c>
      <c r="AL7" s="867">
        <f>IF((AL136+AK7)&lt;0,AK7,AK7+AL136)</f>
        <v>2720.64154548699</v>
      </c>
      <c r="AM7" s="867"/>
      <c r="AN7" s="867"/>
      <c r="AO7" s="867"/>
      <c r="AP7" s="874"/>
    </row>
    <row r="8" customHeight="1" spans="1:47">
      <c r="A8" s="875" t="s">
        <v>61</v>
      </c>
      <c r="B8" s="876" t="s">
        <v>173</v>
      </c>
      <c r="C8" s="868">
        <f t="shared" ref="C8:P8" si="5">C7/B7-1</f>
        <v>0.0548359574963158</v>
      </c>
      <c r="D8" s="868">
        <f t="shared" si="5"/>
        <v>1.05823529411765</v>
      </c>
      <c r="E8" s="868">
        <f t="shared" si="5"/>
        <v>-0.242950366771459</v>
      </c>
      <c r="F8" s="868">
        <f t="shared" si="5"/>
        <v>0.594802906848712</v>
      </c>
      <c r="G8" s="868">
        <f t="shared" si="5"/>
        <v>0.331026621759295</v>
      </c>
      <c r="H8" s="868">
        <f t="shared" si="5"/>
        <v>0.517478260869565</v>
      </c>
      <c r="I8" s="868">
        <f t="shared" si="5"/>
        <v>-0.188203159322293</v>
      </c>
      <c r="J8" s="868">
        <f t="shared" si="5"/>
        <v>-0.206411764705882</v>
      </c>
      <c r="K8" s="868">
        <f t="shared" si="5"/>
        <v>1.80932473500852</v>
      </c>
      <c r="L8" s="868">
        <f t="shared" si="5"/>
        <v>1.40073771919178</v>
      </c>
      <c r="M8" s="868">
        <f t="shared" si="5"/>
        <v>2.48612036127285</v>
      </c>
      <c r="N8" s="868">
        <f t="shared" si="5"/>
        <v>-0.80390920554855</v>
      </c>
      <c r="O8" s="868">
        <f t="shared" si="5"/>
        <v>-0.0514469453376206</v>
      </c>
      <c r="P8" s="868">
        <f t="shared" si="5"/>
        <v>-0.172881355932203</v>
      </c>
      <c r="Q8" s="868">
        <f t="shared" ref="Q8:Y8" si="6">Q7/P7-1</f>
        <v>2.17622950819672</v>
      </c>
      <c r="R8" s="868">
        <f t="shared" si="6"/>
        <v>0.483870967741935</v>
      </c>
      <c r="S8" s="868">
        <f t="shared" si="6"/>
        <v>-0.212173913043478</v>
      </c>
      <c r="T8" s="868">
        <f t="shared" si="6"/>
        <v>0.843267108167771</v>
      </c>
      <c r="U8" s="868">
        <f t="shared" si="6"/>
        <v>-0.0497005988023952</v>
      </c>
      <c r="V8" s="868">
        <f t="shared" si="6"/>
        <v>0.0604914933837428</v>
      </c>
      <c r="W8" s="868">
        <f t="shared" si="6"/>
        <v>-0.188948306595365</v>
      </c>
      <c r="X8" s="868">
        <f t="shared" si="6"/>
        <v>0.106227106227106</v>
      </c>
      <c r="Y8" s="868">
        <f t="shared" si="6"/>
        <v>0.0582781456953643</v>
      </c>
      <c r="Z8" s="868">
        <f t="shared" ref="Z8:AL8" si="7">Z7/Y7-1</f>
        <v>0.645181476846058</v>
      </c>
      <c r="AA8" s="868">
        <f t="shared" si="7"/>
        <v>-0.0445036135412704</v>
      </c>
      <c r="AB8" s="868">
        <f t="shared" si="7"/>
        <v>0.589968152866242</v>
      </c>
      <c r="AC8" s="868">
        <f t="shared" si="7"/>
        <v>-0.0415623435152729</v>
      </c>
      <c r="AD8" s="868">
        <f t="shared" si="7"/>
        <v>-0.79153605015674</v>
      </c>
      <c r="AE8" s="868">
        <f t="shared" si="7"/>
        <v>0.793233082706767</v>
      </c>
      <c r="AF8" s="868">
        <f t="shared" si="7"/>
        <v>0.715583508036338</v>
      </c>
      <c r="AG8" s="868">
        <f t="shared" si="7"/>
        <v>-0.341344195519348</v>
      </c>
      <c r="AH8" s="868">
        <f t="shared" si="7"/>
        <v>-0.00331843534245624</v>
      </c>
      <c r="AI8" s="868">
        <f t="shared" si="7"/>
        <v>0.0305845181554107</v>
      </c>
      <c r="AJ8" s="868">
        <f t="shared" si="7"/>
        <v>0.159582107769823</v>
      </c>
      <c r="AK8" s="868">
        <f t="shared" si="7"/>
        <v>0.216691571921658</v>
      </c>
      <c r="AL8" s="868">
        <f t="shared" si="7"/>
        <v>0.161018823847432</v>
      </c>
      <c r="AM8" s="877"/>
      <c r="AN8" s="874"/>
      <c r="AO8" s="874"/>
      <c r="AP8" s="874"/>
    </row>
    <row r="9" customHeight="1" spans="1:47">
      <c r="A9" s="858" t="s">
        <v>973</v>
      </c>
      <c r="B9" s="867">
        <v>242.6266777</v>
      </c>
      <c r="C9" s="867">
        <v>287.75964</v>
      </c>
      <c r="D9" s="867">
        <v>418.1447191</v>
      </c>
      <c r="E9" s="867">
        <v>454.1652928</v>
      </c>
      <c r="F9" s="867">
        <v>801.6585779</v>
      </c>
      <c r="G9" s="867">
        <v>1033</v>
      </c>
      <c r="H9" s="867">
        <v>1133</v>
      </c>
      <c r="I9" s="867">
        <v>1253</v>
      </c>
      <c r="J9" s="867">
        <v>1293</v>
      </c>
      <c r="K9" s="867">
        <v>1075.092</v>
      </c>
      <c r="L9" s="867">
        <v>1046.322</v>
      </c>
      <c r="M9" s="867">
        <v>964.814</v>
      </c>
      <c r="N9" s="867">
        <f>1415+36</f>
        <v>1451</v>
      </c>
      <c r="O9" s="867">
        <f>1459+86</f>
        <v>1545</v>
      </c>
      <c r="P9" s="867">
        <f>1624+141</f>
        <v>1765</v>
      </c>
      <c r="Q9" s="867">
        <f>1429+75</f>
        <v>1504</v>
      </c>
      <c r="R9" s="867">
        <f>1620+233</f>
        <v>1853</v>
      </c>
      <c r="S9" s="867">
        <f>1595+465</f>
        <v>2060</v>
      </c>
      <c r="T9" s="867">
        <f>1688+265</f>
        <v>1953</v>
      </c>
      <c r="U9" s="867">
        <f>1809+41</f>
        <v>1850</v>
      </c>
      <c r="V9" s="867">
        <f>1946+5</f>
        <v>1951</v>
      </c>
      <c r="W9" s="867">
        <f>2049+5</f>
        <v>2054</v>
      </c>
      <c r="X9" s="867">
        <f>2200+5+1</f>
        <v>2206</v>
      </c>
      <c r="Y9" s="867">
        <f>2315+5</f>
        <v>2320</v>
      </c>
      <c r="Z9" s="867">
        <f>2418+6</f>
        <v>2424</v>
      </c>
      <c r="AA9" s="867">
        <f>2625</f>
        <v>2625</v>
      </c>
      <c r="AB9" s="867">
        <v>1952</v>
      </c>
      <c r="AC9" s="867">
        <v>2175</v>
      </c>
      <c r="AD9" s="867">
        <v>2529</v>
      </c>
      <c r="AE9" s="867">
        <v>1906</v>
      </c>
      <c r="AF9" s="867">
        <v>2413</v>
      </c>
      <c r="AG9" s="867">
        <v>2634</v>
      </c>
      <c r="AH9" s="867">
        <f>AH11*AH3</f>
        <v>2880.50222343705</v>
      </c>
      <c r="AI9" s="867">
        <f>AI11*AI3</f>
        <v>3098.21193258859</v>
      </c>
      <c r="AJ9" s="867">
        <f>AJ11*AJ3</f>
        <v>3308.04850678964</v>
      </c>
      <c r="AK9" s="867">
        <f>AK11*AK3</f>
        <v>3505.14645447599</v>
      </c>
      <c r="AL9" s="867">
        <f>AL11*AL3</f>
        <v>3714.24235720867</v>
      </c>
      <c r="AN9" s="874"/>
      <c r="AO9" s="874"/>
      <c r="AP9" s="874"/>
      <c r="AQ9" s="878"/>
    </row>
    <row r="10" customHeight="1" spans="1:47">
      <c r="A10" s="875" t="s">
        <v>61</v>
      </c>
      <c r="B10" s="876" t="s">
        <v>173</v>
      </c>
      <c r="C10" s="868">
        <f t="shared" ref="C10:M10" si="8">C9/B9-1</f>
        <v>0.186018135877892</v>
      </c>
      <c r="D10" s="868">
        <f t="shared" si="8"/>
        <v>0.453104122245913</v>
      </c>
      <c r="E10" s="868">
        <f t="shared" si="8"/>
        <v>0.0861437967637841</v>
      </c>
      <c r="F10" s="868">
        <f t="shared" si="8"/>
        <v>0.765125144102601</v>
      </c>
      <c r="G10" s="868">
        <f t="shared" si="8"/>
        <v>0.288578490242086</v>
      </c>
      <c r="H10" s="868">
        <f t="shared" si="8"/>
        <v>0.0968054211035818</v>
      </c>
      <c r="I10" s="868">
        <f t="shared" si="8"/>
        <v>0.105913503971756</v>
      </c>
      <c r="J10" s="868">
        <f t="shared" si="8"/>
        <v>0.0319233838786912</v>
      </c>
      <c r="K10" s="868">
        <f t="shared" si="8"/>
        <v>-0.168529002320186</v>
      </c>
      <c r="L10" s="868">
        <f t="shared" si="8"/>
        <v>-0.0267605004967019</v>
      </c>
      <c r="M10" s="868">
        <f t="shared" si="8"/>
        <v>-0.0778995376184386</v>
      </c>
      <c r="N10" s="868">
        <f t="shared" ref="N10:T10" si="9">N9/M9-1</f>
        <v>0.503916817127446</v>
      </c>
      <c r="O10" s="868">
        <f t="shared" si="9"/>
        <v>0.0647829083390765</v>
      </c>
      <c r="P10" s="868">
        <f t="shared" si="9"/>
        <v>0.142394822006473</v>
      </c>
      <c r="Q10" s="868">
        <f t="shared" si="9"/>
        <v>-0.147875354107649</v>
      </c>
      <c r="R10" s="868">
        <f t="shared" si="9"/>
        <v>0.232047872340426</v>
      </c>
      <c r="S10" s="868">
        <f t="shared" si="9"/>
        <v>0.111710739341608</v>
      </c>
      <c r="T10" s="868">
        <f t="shared" si="9"/>
        <v>-0.0519417475728156</v>
      </c>
      <c r="U10" s="868">
        <f t="shared" ref="U10:AL10" si="10">U9/T9-1</f>
        <v>-0.0527393753200205</v>
      </c>
      <c r="V10" s="868">
        <f t="shared" si="10"/>
        <v>0.0545945945945947</v>
      </c>
      <c r="W10" s="868">
        <f t="shared" si="10"/>
        <v>0.0527934392619169</v>
      </c>
      <c r="X10" s="868">
        <f t="shared" si="10"/>
        <v>0.0740019474196689</v>
      </c>
      <c r="Y10" s="879">
        <f t="shared" si="10"/>
        <v>0.0516772438803264</v>
      </c>
      <c r="Z10" s="879">
        <f t="shared" si="10"/>
        <v>0.0448275862068965</v>
      </c>
      <c r="AA10" s="879">
        <f t="shared" si="10"/>
        <v>0.0829207920792079</v>
      </c>
      <c r="AB10" s="879">
        <f t="shared" si="10"/>
        <v>-0.256380952380952</v>
      </c>
      <c r="AC10" s="879">
        <f t="shared" si="10"/>
        <v>0.114241803278688</v>
      </c>
      <c r="AD10" s="879">
        <f t="shared" si="10"/>
        <v>0.162758620689655</v>
      </c>
      <c r="AE10" s="879">
        <f t="shared" si="10"/>
        <v>-0.24634242783709</v>
      </c>
      <c r="AF10" s="879">
        <f t="shared" si="10"/>
        <v>0.266002098635887</v>
      </c>
      <c r="AG10" s="879">
        <f t="shared" si="10"/>
        <v>0.0915872358060505</v>
      </c>
      <c r="AH10" s="879">
        <f t="shared" si="10"/>
        <v>0.0935847469388953</v>
      </c>
      <c r="AI10" s="879">
        <f t="shared" si="10"/>
        <v>0.0755804690515973</v>
      </c>
      <c r="AJ10" s="879">
        <f t="shared" si="10"/>
        <v>0.0677282828827417</v>
      </c>
      <c r="AK10" s="879">
        <f t="shared" si="10"/>
        <v>0.0595813354253467</v>
      </c>
      <c r="AL10" s="879">
        <f t="shared" si="10"/>
        <v>0.059653970368533</v>
      </c>
      <c r="AN10" s="874"/>
      <c r="AO10" s="874"/>
      <c r="AP10" s="874"/>
    </row>
    <row r="11" customHeight="1" spans="1:47">
      <c r="A11" s="875" t="s">
        <v>218</v>
      </c>
      <c r="B11" s="876" t="s">
        <v>173</v>
      </c>
      <c r="C11" s="868">
        <f t="shared" ref="C11:N11" si="11">C9/C$3</f>
        <v>0.160788974470322</v>
      </c>
      <c r="D11" s="868">
        <f t="shared" si="11"/>
        <v>0.173653001041315</v>
      </c>
      <c r="E11" s="868">
        <f t="shared" si="11"/>
        <v>0.132609624833371</v>
      </c>
      <c r="F11" s="868">
        <f t="shared" si="11"/>
        <v>0.158258234130249</v>
      </c>
      <c r="G11" s="868">
        <f t="shared" si="11"/>
        <v>0.192941695933226</v>
      </c>
      <c r="H11" s="868">
        <f t="shared" si="11"/>
        <v>0.194173093401885</v>
      </c>
      <c r="I11" s="868">
        <f t="shared" si="11"/>
        <v>0.204994906211967</v>
      </c>
      <c r="J11" s="868">
        <f t="shared" si="11"/>
        <v>0.198208945339859</v>
      </c>
      <c r="K11" s="868">
        <f t="shared" si="11"/>
        <v>0.171553583966299</v>
      </c>
      <c r="L11" s="868">
        <f t="shared" si="11"/>
        <v>0.178675204918033</v>
      </c>
      <c r="M11" s="868">
        <f t="shared" si="11"/>
        <v>0.145390898131404</v>
      </c>
      <c r="N11" s="868">
        <f t="shared" si="11"/>
        <v>0.143891312971043</v>
      </c>
      <c r="O11" s="868">
        <f t="shared" ref="O11:W11" si="12">O9/O$3</f>
        <v>0.150014564520827</v>
      </c>
      <c r="P11" s="868">
        <f t="shared" si="12"/>
        <v>0.163441059357348</v>
      </c>
      <c r="Q11" s="868">
        <f t="shared" si="12"/>
        <v>0.14488006935748</v>
      </c>
      <c r="R11" s="765">
        <f t="shared" si="12"/>
        <v>0.154545454545455</v>
      </c>
      <c r="S11" s="765">
        <f t="shared" si="12"/>
        <v>0.154619830368536</v>
      </c>
      <c r="T11" s="765">
        <f t="shared" si="12"/>
        <v>0.131223543640395</v>
      </c>
      <c r="U11" s="868">
        <f t="shared" si="12"/>
        <v>0.130235832453361</v>
      </c>
      <c r="V11" s="868">
        <f t="shared" si="12"/>
        <v>0.134236961607266</v>
      </c>
      <c r="W11" s="868">
        <f t="shared" si="12"/>
        <v>0.121430682825894</v>
      </c>
      <c r="X11" s="868">
        <f t="shared" ref="X11:AG11" si="13">X9/X$3</f>
        <v>0.11435977190254</v>
      </c>
      <c r="Y11" s="868">
        <f t="shared" si="13"/>
        <v>0.109341125459516</v>
      </c>
      <c r="Z11" s="868">
        <f t="shared" si="13"/>
        <v>0.110609171800137</v>
      </c>
      <c r="AA11" s="868">
        <f t="shared" si="13"/>
        <v>0.111035912186456</v>
      </c>
      <c r="AB11" s="868">
        <f t="shared" si="13"/>
        <v>0.0983672646643822</v>
      </c>
      <c r="AC11" s="868">
        <f t="shared" si="13"/>
        <v>0.10243006499011</v>
      </c>
      <c r="AD11" s="868">
        <f t="shared" si="13"/>
        <v>0.112345075740749</v>
      </c>
      <c r="AE11" s="868">
        <f t="shared" si="13"/>
        <v>0.092175258729084</v>
      </c>
      <c r="AF11" s="868">
        <f t="shared" si="13"/>
        <v>0.104762731732731</v>
      </c>
      <c r="AG11" s="868">
        <f t="shared" si="13"/>
        <v>0.106162589174157</v>
      </c>
      <c r="AH11" s="879">
        <f>AG11</f>
        <v>0.106162589174157</v>
      </c>
      <c r="AI11" s="879">
        <f>AH11</f>
        <v>0.106162589174157</v>
      </c>
      <c r="AJ11" s="879">
        <f>AI11</f>
        <v>0.106162589174157</v>
      </c>
      <c r="AK11" s="879">
        <f>AJ11</f>
        <v>0.106162589174157</v>
      </c>
      <c r="AL11" s="879">
        <f>AK11</f>
        <v>0.106162589174157</v>
      </c>
      <c r="AN11" s="874"/>
      <c r="AO11" s="874"/>
      <c r="AP11" s="874"/>
    </row>
    <row r="12" customHeight="1" spans="1:47">
      <c r="A12" s="858" t="s">
        <v>861</v>
      </c>
      <c r="B12" s="867">
        <v>351.2677017</v>
      </c>
      <c r="C12" s="867">
        <v>431.0259</v>
      </c>
      <c r="D12" s="867">
        <v>556.3189424</v>
      </c>
      <c r="E12" s="867">
        <v>821.1994413</v>
      </c>
      <c r="F12" s="867">
        <v>974.5214384</v>
      </c>
      <c r="G12" s="867">
        <v>1045</v>
      </c>
      <c r="H12" s="867">
        <v>1294</v>
      </c>
      <c r="I12" s="867">
        <v>1273</v>
      </c>
      <c r="J12" s="867">
        <v>1190</v>
      </c>
      <c r="K12" s="867">
        <v>1163.518</v>
      </c>
      <c r="L12" s="867">
        <v>1155.374</v>
      </c>
      <c r="M12" s="867">
        <v>1230</v>
      </c>
      <c r="N12" s="867">
        <v>1607</v>
      </c>
      <c r="O12" s="867">
        <v>1629</v>
      </c>
      <c r="P12" s="867">
        <v>1995</v>
      </c>
      <c r="Q12" s="867">
        <v>1471</v>
      </c>
      <c r="R12" s="867">
        <v>2135</v>
      </c>
      <c r="S12" s="867">
        <v>2502</v>
      </c>
      <c r="T12" s="867">
        <v>2486</v>
      </c>
      <c r="U12" s="867">
        <v>2634</v>
      </c>
      <c r="V12" s="867">
        <v>2526</v>
      </c>
      <c r="W12" s="867">
        <v>3113</v>
      </c>
      <c r="X12" s="867">
        <v>3763</v>
      </c>
      <c r="Y12" s="880">
        <v>3692</v>
      </c>
      <c r="Z12" s="880">
        <v>3445</v>
      </c>
      <c r="AA12" s="880">
        <v>4085</v>
      </c>
      <c r="AB12" s="880">
        <v>4397</v>
      </c>
      <c r="AC12" s="880">
        <v>4009</v>
      </c>
      <c r="AD12" s="880">
        <v>5973</v>
      </c>
      <c r="AE12" s="880">
        <v>4525</v>
      </c>
      <c r="AF12" s="880">
        <v>4989</v>
      </c>
      <c r="AG12" s="880">
        <v>5832</v>
      </c>
      <c r="AH12" s="880">
        <f>AH14*AH3</f>
        <v>6023.51071669881</v>
      </c>
      <c r="AI12" s="880">
        <f>AI14*AI3</f>
        <v>6420.40318036455</v>
      </c>
      <c r="AJ12" s="880">
        <f>AJ14*AJ3</f>
        <v>6699.44501629495</v>
      </c>
      <c r="AK12" s="880">
        <f>AK14*AK3</f>
        <v>6933.5230156495</v>
      </c>
      <c r="AL12" s="880">
        <f>AL14*AL3</f>
        <v>7347.1351921746</v>
      </c>
      <c r="AN12" s="874"/>
      <c r="AP12" s="859"/>
      <c r="AQ12" s="881"/>
    </row>
    <row r="13" customHeight="1" spans="1:47">
      <c r="A13" s="875" t="s">
        <v>61</v>
      </c>
      <c r="B13" s="876" t="s">
        <v>173</v>
      </c>
      <c r="C13" s="868">
        <f t="shared" ref="C13:M13" si="14">C12/B12-1</f>
        <v>0.22705816081012</v>
      </c>
      <c r="D13" s="868">
        <f t="shared" si="14"/>
        <v>0.290685646500593</v>
      </c>
      <c r="E13" s="868">
        <f t="shared" si="14"/>
        <v>0.476130648647854</v>
      </c>
      <c r="F13" s="868">
        <f t="shared" si="14"/>
        <v>0.186704945703913</v>
      </c>
      <c r="G13" s="868">
        <f t="shared" si="14"/>
        <v>0.072321201794918</v>
      </c>
      <c r="H13" s="868">
        <f t="shared" si="14"/>
        <v>0.238277511961722</v>
      </c>
      <c r="I13" s="868">
        <f t="shared" si="14"/>
        <v>-0.0162287480680062</v>
      </c>
      <c r="J13" s="868">
        <f t="shared" si="14"/>
        <v>-0.0652003142183818</v>
      </c>
      <c r="K13" s="868">
        <f t="shared" si="14"/>
        <v>-0.022253781512605</v>
      </c>
      <c r="L13" s="868">
        <f t="shared" si="14"/>
        <v>-0.0069994619765229</v>
      </c>
      <c r="M13" s="868">
        <f t="shared" si="14"/>
        <v>0.0645903404438735</v>
      </c>
      <c r="N13" s="868">
        <f t="shared" ref="N13:T13" si="15">N12/M12-1</f>
        <v>0.30650406504065</v>
      </c>
      <c r="O13" s="868">
        <f t="shared" si="15"/>
        <v>0.013690105787181</v>
      </c>
      <c r="P13" s="868">
        <f t="shared" si="15"/>
        <v>0.224677716390424</v>
      </c>
      <c r="Q13" s="868">
        <f t="shared" si="15"/>
        <v>-0.26265664160401</v>
      </c>
      <c r="R13" s="868">
        <f t="shared" si="15"/>
        <v>0.451393609789259</v>
      </c>
      <c r="S13" s="868">
        <f t="shared" si="15"/>
        <v>0.171896955503513</v>
      </c>
      <c r="T13" s="868">
        <f t="shared" si="15"/>
        <v>-0.00639488409272582</v>
      </c>
      <c r="U13" s="868">
        <f t="shared" ref="U13:AL13" si="16">U12/T12-1</f>
        <v>0.0595333869670154</v>
      </c>
      <c r="V13" s="868">
        <f t="shared" si="16"/>
        <v>-0.041002277904328</v>
      </c>
      <c r="W13" s="868">
        <f t="shared" si="16"/>
        <v>0.232383214568488</v>
      </c>
      <c r="X13" s="868">
        <f t="shared" si="16"/>
        <v>0.208801798907806</v>
      </c>
      <c r="Y13" s="879">
        <f t="shared" si="16"/>
        <v>-0.0188679245283019</v>
      </c>
      <c r="Z13" s="879">
        <f t="shared" si="16"/>
        <v>-0.0669014084507042</v>
      </c>
      <c r="AA13" s="879">
        <f t="shared" si="16"/>
        <v>0.18577648766328</v>
      </c>
      <c r="AB13" s="879">
        <f t="shared" si="16"/>
        <v>0.0763769889840882</v>
      </c>
      <c r="AC13" s="879">
        <f t="shared" si="16"/>
        <v>-0.0882419831703434</v>
      </c>
      <c r="AD13" s="879">
        <f t="shared" si="16"/>
        <v>0.489897730107259</v>
      </c>
      <c r="AE13" s="879">
        <f t="shared" si="16"/>
        <v>-0.242424242424242</v>
      </c>
      <c r="AF13" s="879">
        <f t="shared" si="16"/>
        <v>0.102541436464088</v>
      </c>
      <c r="AG13" s="879">
        <f t="shared" si="16"/>
        <v>0.168971737823211</v>
      </c>
      <c r="AH13" s="879">
        <f t="shared" si="16"/>
        <v>0.032837914385941</v>
      </c>
      <c r="AI13" s="879">
        <f t="shared" si="16"/>
        <v>0.0658905549159974</v>
      </c>
      <c r="AJ13" s="879">
        <f t="shared" si="16"/>
        <v>0.043461730999043</v>
      </c>
      <c r="AK13" s="879">
        <f t="shared" si="16"/>
        <v>0.0349399090201059</v>
      </c>
      <c r="AL13" s="879">
        <f t="shared" si="16"/>
        <v>0.0596539703685333</v>
      </c>
      <c r="AN13" s="874"/>
      <c r="AR13" s="874"/>
    </row>
    <row r="14" customHeight="1" spans="1:47">
      <c r="A14" s="875" t="s">
        <v>218</v>
      </c>
      <c r="B14" s="876" t="s">
        <v>173</v>
      </c>
      <c r="C14" s="868">
        <f t="shared" ref="C14:N14" si="17">C12/C$3</f>
        <v>0.240840628071218</v>
      </c>
      <c r="D14" s="868">
        <f t="shared" si="17"/>
        <v>0.231035929598304</v>
      </c>
      <c r="E14" s="868">
        <f t="shared" si="17"/>
        <v>0.239778229535745</v>
      </c>
      <c r="F14" s="868">
        <f t="shared" si="17"/>
        <v>0.192383698266236</v>
      </c>
      <c r="G14" s="868">
        <f t="shared" si="17"/>
        <v>0.195183032188017</v>
      </c>
      <c r="H14" s="868">
        <f t="shared" si="17"/>
        <v>0.221765209940017</v>
      </c>
      <c r="I14" s="868">
        <f t="shared" si="17"/>
        <v>0.208266971754058</v>
      </c>
      <c r="J14" s="868">
        <f t="shared" si="17"/>
        <v>0.182419679005748</v>
      </c>
      <c r="K14" s="868">
        <f t="shared" si="17"/>
        <v>0.185663815663497</v>
      </c>
      <c r="L14" s="868">
        <f t="shared" si="17"/>
        <v>0.197297472677596</v>
      </c>
      <c r="M14" s="868">
        <f t="shared" si="17"/>
        <v>0.185352622061483</v>
      </c>
      <c r="N14" s="868">
        <f t="shared" si="17"/>
        <v>0.159361364537882</v>
      </c>
      <c r="O14" s="868">
        <f t="shared" ref="O14:V14" si="18">O12/O$3</f>
        <v>0.158170696184096</v>
      </c>
      <c r="P14" s="868">
        <f t="shared" si="18"/>
        <v>0.184739327715529</v>
      </c>
      <c r="Q14" s="868">
        <f t="shared" si="18"/>
        <v>0.14170118485695</v>
      </c>
      <c r="R14" s="765">
        <f t="shared" si="18"/>
        <v>0.178065054211843</v>
      </c>
      <c r="S14" s="765">
        <f t="shared" si="18"/>
        <v>0.187795541544697</v>
      </c>
      <c r="T14" s="765">
        <f t="shared" si="18"/>
        <v>0.167036215816704</v>
      </c>
      <c r="U14" s="765">
        <f t="shared" si="18"/>
        <v>0.185427666314678</v>
      </c>
      <c r="V14" s="765">
        <f t="shared" si="18"/>
        <v>0.173799367001514</v>
      </c>
      <c r="W14" s="765">
        <f t="shared" ref="W14:AG14" si="19">W12/W$3</f>
        <v>0.184037836240024</v>
      </c>
      <c r="X14" s="868">
        <f t="shared" si="19"/>
        <v>0.195075168481078</v>
      </c>
      <c r="Y14" s="868">
        <f t="shared" si="19"/>
        <v>0.174003204826091</v>
      </c>
      <c r="Z14" s="868">
        <f t="shared" si="19"/>
        <v>0.157198266027835</v>
      </c>
      <c r="AA14" s="868">
        <f t="shared" si="19"/>
        <v>0.172793029059684</v>
      </c>
      <c r="AB14" s="868">
        <f t="shared" si="19"/>
        <v>0.221578310824431</v>
      </c>
      <c r="AC14" s="868">
        <f t="shared" si="19"/>
        <v>0.188800979561081</v>
      </c>
      <c r="AD14" s="868">
        <f t="shared" si="19"/>
        <v>0.265336946381769</v>
      </c>
      <c r="AE14" s="868">
        <f t="shared" si="19"/>
        <v>0.218831608472773</v>
      </c>
      <c r="AF14" s="868">
        <f t="shared" si="19"/>
        <v>0.21660226631355</v>
      </c>
      <c r="AG14" s="868">
        <f t="shared" si="19"/>
        <v>0.235057031155536</v>
      </c>
      <c r="AH14" s="879">
        <v>0.222</v>
      </c>
      <c r="AI14" s="879">
        <v>0.22</v>
      </c>
      <c r="AJ14" s="879">
        <f t="shared" ref="AJ14:AK14" si="20">AI14-0.005</f>
        <v>0.215</v>
      </c>
      <c r="AK14" s="879">
        <f t="shared" si="20"/>
        <v>0.21</v>
      </c>
      <c r="AL14" s="879">
        <f>AK14</f>
        <v>0.21</v>
      </c>
      <c r="AN14" s="874"/>
      <c r="AQ14" s="859"/>
      <c r="AR14" s="859"/>
      <c r="AS14" s="859"/>
      <c r="AT14" s="859"/>
      <c r="AU14" s="859"/>
    </row>
    <row r="15" customHeight="1" spans="1:47">
      <c r="A15" s="860" t="s">
        <v>974</v>
      </c>
      <c r="B15" s="876">
        <v>0</v>
      </c>
      <c r="C15" s="876">
        <v>0</v>
      </c>
      <c r="D15" s="876">
        <v>0</v>
      </c>
      <c r="E15" s="876">
        <v>0</v>
      </c>
      <c r="F15" s="876">
        <v>0</v>
      </c>
      <c r="G15" s="876">
        <v>0</v>
      </c>
      <c r="H15" s="876">
        <v>0</v>
      </c>
      <c r="I15" s="876">
        <v>0</v>
      </c>
      <c r="J15" s="876">
        <v>0</v>
      </c>
      <c r="K15" s="876">
        <v>0</v>
      </c>
      <c r="L15" s="876">
        <v>0</v>
      </c>
      <c r="M15" s="876">
        <v>49</v>
      </c>
      <c r="N15" s="876">
        <v>84</v>
      </c>
      <c r="O15" s="876">
        <v>60</v>
      </c>
      <c r="P15" s="876">
        <v>110</v>
      </c>
      <c r="Q15" s="876">
        <v>89</v>
      </c>
      <c r="R15" s="876">
        <v>71</v>
      </c>
      <c r="S15" s="876">
        <v>77</v>
      </c>
      <c r="T15" s="876">
        <v>76</v>
      </c>
      <c r="U15" s="876">
        <v>86</v>
      </c>
      <c r="V15" s="876">
        <v>92</v>
      </c>
      <c r="W15" s="876">
        <v>97</v>
      </c>
      <c r="X15" s="876">
        <v>98</v>
      </c>
      <c r="Y15" s="882">
        <v>71</v>
      </c>
      <c r="Z15" s="882">
        <v>48</v>
      </c>
      <c r="AA15" s="882">
        <v>94</v>
      </c>
      <c r="AB15" s="882">
        <v>109</v>
      </c>
      <c r="AC15" s="882">
        <v>91</v>
      </c>
      <c r="AD15" s="882">
        <v>102</v>
      </c>
      <c r="AE15" s="882">
        <v>156</v>
      </c>
      <c r="AF15" s="882">
        <v>101</v>
      </c>
      <c r="AG15" s="882">
        <v>167</v>
      </c>
      <c r="AH15" s="882">
        <f>+AG15</f>
        <v>167</v>
      </c>
      <c r="AI15" s="882">
        <f>+AH15</f>
        <v>167</v>
      </c>
      <c r="AJ15" s="882">
        <f>+AI15</f>
        <v>167</v>
      </c>
      <c r="AK15" s="882">
        <f>+AJ15</f>
        <v>167</v>
      </c>
      <c r="AL15" s="882">
        <f>+AK15</f>
        <v>167</v>
      </c>
      <c r="AN15" s="874"/>
      <c r="AQ15" s="859"/>
      <c r="AR15" s="859"/>
      <c r="AS15" s="859"/>
      <c r="AT15" s="859"/>
      <c r="AU15" s="859"/>
    </row>
    <row r="16" customHeight="1" spans="1:47">
      <c r="A16" s="860" t="s">
        <v>975</v>
      </c>
      <c r="B16" s="876">
        <v>0</v>
      </c>
      <c r="C16" s="876">
        <v>0</v>
      </c>
      <c r="D16" s="876">
        <v>0</v>
      </c>
      <c r="E16" s="876">
        <v>137.7687624</v>
      </c>
      <c r="F16" s="876">
        <v>224.6314742</v>
      </c>
      <c r="G16" s="876">
        <v>201</v>
      </c>
      <c r="H16" s="876">
        <v>254</v>
      </c>
      <c r="I16" s="876">
        <v>267</v>
      </c>
      <c r="J16" s="876">
        <v>275.501</v>
      </c>
      <c r="K16" s="876">
        <v>348.838</v>
      </c>
      <c r="L16" s="876">
        <v>378.303</v>
      </c>
      <c r="M16" s="876">
        <v>537</v>
      </c>
      <c r="N16" s="876">
        <f>413+59</f>
        <v>472</v>
      </c>
      <c r="O16" s="876">
        <f>529+80</f>
        <v>609</v>
      </c>
      <c r="P16" s="876">
        <f>502+287+31</f>
        <v>820</v>
      </c>
      <c r="Q16" s="876">
        <f>360+160+126</f>
        <v>646</v>
      </c>
      <c r="R16" s="876">
        <f>390+47+178</f>
        <v>615</v>
      </c>
      <c r="S16" s="876">
        <f>469+25+289</f>
        <v>783</v>
      </c>
      <c r="T16" s="876">
        <f>489+11+192</f>
        <v>692</v>
      </c>
      <c r="U16" s="876">
        <f>506+11+183</f>
        <v>700</v>
      </c>
      <c r="V16" s="876">
        <f>425+272+398</f>
        <v>1095</v>
      </c>
      <c r="W16" s="876">
        <f>489+12+367</f>
        <v>868</v>
      </c>
      <c r="X16" s="876">
        <f>580+729</f>
        <v>1309</v>
      </c>
      <c r="Y16" s="882">
        <f>498+393+72+1</f>
        <v>964</v>
      </c>
      <c r="Z16" s="882">
        <f>725+542</f>
        <v>1267</v>
      </c>
      <c r="AA16" s="882">
        <f>1076+544</f>
        <v>1620</v>
      </c>
      <c r="AB16" s="882">
        <f>999+702+1</f>
        <v>1702</v>
      </c>
      <c r="AC16" s="882">
        <f>1062+745+2033+1</f>
        <v>3841</v>
      </c>
      <c r="AD16" s="882">
        <f>1316+1014</f>
        <v>2330</v>
      </c>
      <c r="AE16" s="882">
        <f>1003+755+34-1</f>
        <v>1791</v>
      </c>
      <c r="AF16" s="882">
        <f>950+997</f>
        <v>1947</v>
      </c>
      <c r="AG16" s="882">
        <f>518+1208+1</f>
        <v>1727</v>
      </c>
      <c r="AH16" s="882">
        <f t="shared" ref="AH16:AL16" si="21">AG16+200</f>
        <v>1927</v>
      </c>
      <c r="AI16" s="882">
        <f t="shared" si="21"/>
        <v>2127</v>
      </c>
      <c r="AJ16" s="882">
        <f t="shared" si="21"/>
        <v>2327</v>
      </c>
      <c r="AK16" s="882">
        <f t="shared" si="21"/>
        <v>2527</v>
      </c>
      <c r="AL16" s="882">
        <f t="shared" si="21"/>
        <v>2727</v>
      </c>
      <c r="AN16" s="874"/>
      <c r="AO16" s="874"/>
      <c r="AP16" s="874"/>
    </row>
    <row r="17" hidden="1" customHeight="1" spans="1:42">
      <c r="A17" s="875" t="s">
        <v>61</v>
      </c>
      <c r="B17" s="876" t="s">
        <v>173</v>
      </c>
      <c r="C17" s="876" t="s">
        <v>173</v>
      </c>
      <c r="D17" s="876" t="s">
        <v>173</v>
      </c>
      <c r="E17" s="876" t="s">
        <v>173</v>
      </c>
      <c r="F17" s="868">
        <f t="shared" ref="F17:Q17" si="22">F16/E16-1</f>
        <v>0.630496422315252</v>
      </c>
      <c r="G17" s="868">
        <f t="shared" si="22"/>
        <v>-0.105201082280036</v>
      </c>
      <c r="H17" s="868">
        <f t="shared" si="22"/>
        <v>0.263681592039801</v>
      </c>
      <c r="I17" s="868">
        <f t="shared" si="22"/>
        <v>0.0511811023622046</v>
      </c>
      <c r="J17" s="868">
        <f t="shared" si="22"/>
        <v>0.0318389513108612</v>
      </c>
      <c r="K17" s="868">
        <f t="shared" si="22"/>
        <v>0.266195041034334</v>
      </c>
      <c r="L17" s="868">
        <f t="shared" si="22"/>
        <v>0.0844661418767449</v>
      </c>
      <c r="M17" s="868">
        <f t="shared" si="22"/>
        <v>0.419497069809121</v>
      </c>
      <c r="N17" s="868">
        <f t="shared" si="22"/>
        <v>-0.121042830540037</v>
      </c>
      <c r="O17" s="868">
        <f t="shared" si="22"/>
        <v>0.290254237288136</v>
      </c>
      <c r="P17" s="868">
        <f t="shared" si="22"/>
        <v>0.346469622331691</v>
      </c>
      <c r="Q17" s="868">
        <f t="shared" si="22"/>
        <v>-0.212195121951219</v>
      </c>
      <c r="R17" s="868">
        <f t="shared" ref="R17:Y17" si="23">R16/Q16-1</f>
        <v>-0.0479876160990712</v>
      </c>
      <c r="S17" s="868">
        <f t="shared" si="23"/>
        <v>0.273170731707317</v>
      </c>
      <c r="T17" s="868">
        <f t="shared" si="23"/>
        <v>-0.116219667943806</v>
      </c>
      <c r="U17" s="868">
        <f t="shared" si="23"/>
        <v>0.0115606936416186</v>
      </c>
      <c r="V17" s="868">
        <f t="shared" si="23"/>
        <v>0.564285714285714</v>
      </c>
      <c r="W17" s="868">
        <f t="shared" si="23"/>
        <v>-0.207305936073059</v>
      </c>
      <c r="X17" s="868">
        <f t="shared" si="23"/>
        <v>0.508064516129032</v>
      </c>
      <c r="Y17" s="879">
        <f t="shared" si="23"/>
        <v>-0.263559969442322</v>
      </c>
      <c r="Z17" s="879">
        <f t="shared" ref="Z17:AL17" si="24">Z16/Y16-1</f>
        <v>0.314315352697095</v>
      </c>
      <c r="AA17" s="879">
        <f t="shared" si="24"/>
        <v>0.27861089187056</v>
      </c>
      <c r="AB17" s="879">
        <f t="shared" si="24"/>
        <v>0.0506172839506174</v>
      </c>
      <c r="AC17" s="879">
        <f t="shared" si="24"/>
        <v>1.25675675675676</v>
      </c>
      <c r="AD17" s="879">
        <f t="shared" si="24"/>
        <v>-0.393387138765946</v>
      </c>
      <c r="AE17" s="879">
        <f t="shared" si="24"/>
        <v>-0.231330472103004</v>
      </c>
      <c r="AF17" s="879">
        <f t="shared" si="24"/>
        <v>0.0871021775544389</v>
      </c>
      <c r="AG17" s="879">
        <f t="shared" si="24"/>
        <v>-0.112994350282486</v>
      </c>
      <c r="AH17" s="879">
        <f t="shared" si="24"/>
        <v>0.115807759119861</v>
      </c>
      <c r="AI17" s="879">
        <f t="shared" si="24"/>
        <v>0.103788271925273</v>
      </c>
      <c r="AJ17" s="879">
        <f t="shared" si="24"/>
        <v>0.0940291490362013</v>
      </c>
      <c r="AK17" s="879">
        <f t="shared" si="24"/>
        <v>0.0859475719810916</v>
      </c>
      <c r="AL17" s="879">
        <f t="shared" si="24"/>
        <v>0.0791452314998022</v>
      </c>
      <c r="AN17" s="874"/>
      <c r="AO17" s="874"/>
      <c r="AP17" s="874"/>
    </row>
    <row r="18" hidden="1" customHeight="1" spans="1:42">
      <c r="A18" s="875" t="s">
        <v>218</v>
      </c>
      <c r="B18" s="876" t="s">
        <v>173</v>
      </c>
      <c r="C18" s="876" t="s">
        <v>173</v>
      </c>
      <c r="D18" s="876" t="s">
        <v>173</v>
      </c>
      <c r="E18" s="868">
        <f t="shared" ref="E18:N18" si="25">E16/E$3</f>
        <v>0.0402264642086316</v>
      </c>
      <c r="F18" s="868">
        <f t="shared" si="25"/>
        <v>0.0443452879031016</v>
      </c>
      <c r="G18" s="868">
        <f t="shared" si="25"/>
        <v>0.0375423822677429</v>
      </c>
      <c r="H18" s="868">
        <f t="shared" si="25"/>
        <v>0.0435304198800343</v>
      </c>
      <c r="I18" s="868">
        <f t="shared" si="25"/>
        <v>0.0436820749869076</v>
      </c>
      <c r="J18" s="868">
        <f t="shared" si="25"/>
        <v>0.0422326083913972</v>
      </c>
      <c r="K18" s="868">
        <f t="shared" si="25"/>
        <v>0.0556644539477883</v>
      </c>
      <c r="L18" s="868">
        <f t="shared" si="25"/>
        <v>0.0646009221311475</v>
      </c>
      <c r="M18" s="868">
        <f t="shared" si="25"/>
        <v>0.0809222423146474</v>
      </c>
      <c r="N18" s="868">
        <f t="shared" si="25"/>
        <v>0.046806822689409</v>
      </c>
      <c r="O18" s="868">
        <f t="shared" ref="O18:Y18" si="26">O16/O$3</f>
        <v>0.059131954558695</v>
      </c>
      <c r="P18" s="868">
        <f t="shared" si="26"/>
        <v>0.0759329567552551</v>
      </c>
      <c r="Q18" s="868">
        <f t="shared" si="26"/>
        <v>0.0622290723437048</v>
      </c>
      <c r="R18" s="765">
        <f t="shared" si="26"/>
        <v>0.0512927439532944</v>
      </c>
      <c r="S18" s="765">
        <f t="shared" si="26"/>
        <v>0.0587705471740599</v>
      </c>
      <c r="T18" s="765">
        <f t="shared" si="26"/>
        <v>0.0464960021501041</v>
      </c>
      <c r="U18" s="765">
        <f t="shared" si="26"/>
        <v>0.0492784230904611</v>
      </c>
      <c r="V18" s="765">
        <f t="shared" si="26"/>
        <v>0.075340580707307</v>
      </c>
      <c r="W18" s="765">
        <f t="shared" si="26"/>
        <v>0.0513154005320721</v>
      </c>
      <c r="X18" s="883">
        <f t="shared" si="26"/>
        <v>0.0678589942975635</v>
      </c>
      <c r="Y18" s="883">
        <f t="shared" si="26"/>
        <v>0.045433122820247</v>
      </c>
      <c r="Z18" s="883">
        <f t="shared" ref="Z18:AC18" si="27">Z16/Z$3</f>
        <v>0.0578142824549395</v>
      </c>
      <c r="AA18" s="883">
        <f t="shared" si="27"/>
        <v>0.0685250200922127</v>
      </c>
      <c r="AB18" s="883">
        <f t="shared" si="27"/>
        <v>0.0857689981858496</v>
      </c>
      <c r="AC18" s="883">
        <f t="shared" si="27"/>
        <v>0.180889140058397</v>
      </c>
      <c r="AD18" s="883">
        <f t="shared" ref="AD18:AE18" si="28">AD16/AD$3</f>
        <v>0.103504953134023</v>
      </c>
      <c r="AE18" s="883">
        <f t="shared" si="28"/>
        <v>0.0866137924364058</v>
      </c>
      <c r="AF18" s="883">
        <f t="shared" ref="AF18:AG18" si="29">AF16/AF$3</f>
        <v>0.0845308904615117</v>
      </c>
      <c r="AG18" s="883">
        <f t="shared" si="29"/>
        <v>0.0696062230462295</v>
      </c>
      <c r="AH18" s="883">
        <f t="shared" ref="AH18:AI18" si="30">AH16/AH$3</f>
        <v>0.0710207087063096</v>
      </c>
      <c r="AI18" s="883">
        <f t="shared" si="30"/>
        <v>0.0728832733481748</v>
      </c>
      <c r="AJ18" s="883">
        <f t="shared" ref="AJ18:AK18" si="31">AJ16/AJ$3</f>
        <v>0.0746785739390526</v>
      </c>
      <c r="AK18" s="883">
        <f t="shared" si="31"/>
        <v>0.0765368484105752</v>
      </c>
      <c r="AL18" s="883">
        <f t="shared" ref="AL18" si="32">AL16/AL$3</f>
        <v>0.0779446661890676</v>
      </c>
      <c r="AN18" s="874"/>
      <c r="AO18" s="874"/>
      <c r="AP18" s="874"/>
    </row>
    <row r="19" customHeight="1" spans="1:42">
      <c r="A19" s="884" t="s">
        <v>976</v>
      </c>
      <c r="B19" s="885">
        <f>B7+B9+B12+B16+B15</f>
        <v>613.6709521</v>
      </c>
      <c r="C19" s="885">
        <f>C7+C9+C12+C16+C15</f>
        <v>739.64658</v>
      </c>
      <c r="D19" s="885">
        <f>D7+D9+D12+D16+D15</f>
        <v>1017.4005903</v>
      </c>
      <c r="E19" s="885">
        <f>E7+E9+E12+E16+E15</f>
        <v>1445.6388827</v>
      </c>
      <c r="F19" s="885">
        <f t="shared" ref="F19:M19" si="33">F7+F9+F12+F16+F15</f>
        <v>2052.6511749</v>
      </c>
      <c r="G19" s="885">
        <f t="shared" si="33"/>
        <v>2348</v>
      </c>
      <c r="H19" s="885">
        <f t="shared" si="33"/>
        <v>2785.706</v>
      </c>
      <c r="I19" s="885">
        <f t="shared" si="33"/>
        <v>2878</v>
      </c>
      <c r="J19" s="885">
        <f t="shared" si="33"/>
        <v>2825.956</v>
      </c>
      <c r="K19" s="885">
        <f t="shared" si="33"/>
        <v>2776.951</v>
      </c>
      <c r="L19" s="885">
        <f t="shared" si="33"/>
        <v>3034.946</v>
      </c>
      <c r="M19" s="885">
        <f t="shared" si="33"/>
        <v>4366.814</v>
      </c>
      <c r="N19" s="885">
        <f>+N7+N9+N12+N15+N16</f>
        <v>3925</v>
      </c>
      <c r="O19" s="885">
        <f>+O7+O9+O12+O15+O16</f>
        <v>4138</v>
      </c>
      <c r="P19" s="885">
        <f>+P7+P9+P12+P15+P16</f>
        <v>4934</v>
      </c>
      <c r="Q19" s="885">
        <f>+Q7+Q9+Q12+Q15+Q16</f>
        <v>4485</v>
      </c>
      <c r="R19" s="885">
        <f t="shared" ref="R19:Y19" si="34">+R7+R9+R12+R15+R16</f>
        <v>5824</v>
      </c>
      <c r="S19" s="885">
        <f t="shared" si="34"/>
        <v>6328</v>
      </c>
      <c r="T19" s="885">
        <f t="shared" si="34"/>
        <v>6877</v>
      </c>
      <c r="U19" s="885">
        <f t="shared" si="34"/>
        <v>6857</v>
      </c>
      <c r="V19" s="885">
        <f t="shared" si="34"/>
        <v>7347</v>
      </c>
      <c r="W19" s="885">
        <f t="shared" si="34"/>
        <v>7497</v>
      </c>
      <c r="X19" s="885">
        <f t="shared" si="34"/>
        <v>8886</v>
      </c>
      <c r="Y19" s="886">
        <f t="shared" si="34"/>
        <v>8645</v>
      </c>
      <c r="Z19" s="886">
        <f t="shared" ref="Z19:AE19" si="35">+Z7+Z9+Z12+Z15+Z16</f>
        <v>9813</v>
      </c>
      <c r="AA19" s="886">
        <f t="shared" si="35"/>
        <v>10936</v>
      </c>
      <c r="AB19" s="886">
        <f t="shared" si="35"/>
        <v>12154</v>
      </c>
      <c r="AC19" s="886">
        <f t="shared" si="35"/>
        <v>13944</v>
      </c>
      <c r="AD19" s="886">
        <f t="shared" si="35"/>
        <v>11732</v>
      </c>
      <c r="AE19" s="886">
        <f t="shared" si="35"/>
        <v>9809</v>
      </c>
      <c r="AF19" s="886">
        <f t="shared" ref="AF19:AG19" si="36">+AF7+AF9+AF12+AF15+AF16</f>
        <v>11905</v>
      </c>
      <c r="AG19" s="886">
        <f t="shared" si="36"/>
        <v>11977</v>
      </c>
      <c r="AH19" s="886">
        <f t="shared" ref="AH19:AI19" si="37">+AH7+AH9+AH12+AH15+AH16</f>
        <v>12609.6470301871</v>
      </c>
      <c r="AI19" s="886">
        <f t="shared" si="37"/>
        <v>13473.5402550914</v>
      </c>
      <c r="AJ19" s="886">
        <f t="shared" ref="AJ19:AK19" si="38">+AJ7+AJ9+AJ12+AJ15+AJ16</f>
        <v>14427.4726002532</v>
      </c>
      <c r="AK19" s="886">
        <f t="shared" si="38"/>
        <v>15475.991981014</v>
      </c>
      <c r="AL19" s="886">
        <f t="shared" ref="AL19" si="39">+AL7+AL9+AL12+AL15+AL16</f>
        <v>16676.0190948703</v>
      </c>
      <c r="AN19" s="874"/>
      <c r="AO19" s="874"/>
      <c r="AP19" s="874"/>
    </row>
    <row r="20" hidden="1" customHeight="1" spans="1:42">
      <c r="A20" s="875" t="s">
        <v>61</v>
      </c>
      <c r="B20" s="876" t="s">
        <v>173</v>
      </c>
      <c r="C20" s="868">
        <f t="shared" ref="C20:M20" si="40">C19/B19-1</f>
        <v>0.205282044830226</v>
      </c>
      <c r="D20" s="868">
        <f t="shared" si="40"/>
        <v>0.375522604728328</v>
      </c>
      <c r="E20" s="868">
        <f t="shared" si="40"/>
        <v>0.420914137934327</v>
      </c>
      <c r="F20" s="868">
        <f t="shared" si="40"/>
        <v>0.419892062578098</v>
      </c>
      <c r="G20" s="868">
        <f t="shared" si="40"/>
        <v>0.143886515503244</v>
      </c>
      <c r="H20" s="868">
        <f t="shared" si="40"/>
        <v>0.186416524701874</v>
      </c>
      <c r="I20" s="868">
        <f t="shared" si="40"/>
        <v>0.0331312780314936</v>
      </c>
      <c r="J20" s="868">
        <f t="shared" si="40"/>
        <v>-0.0180833912439193</v>
      </c>
      <c r="K20" s="868">
        <f t="shared" si="40"/>
        <v>-0.0173410343260828</v>
      </c>
      <c r="L20" s="868">
        <f t="shared" si="40"/>
        <v>0.0929058524979374</v>
      </c>
      <c r="M20" s="868">
        <f t="shared" si="40"/>
        <v>0.438844051920529</v>
      </c>
      <c r="N20" s="868">
        <f t="shared" ref="N20:T20" si="41">N19/M19-1</f>
        <v>-0.101175364922802</v>
      </c>
      <c r="O20" s="868">
        <f t="shared" si="41"/>
        <v>0.0542675159235668</v>
      </c>
      <c r="P20" s="868">
        <f t="shared" si="41"/>
        <v>0.19236346060899</v>
      </c>
      <c r="Q20" s="868">
        <f t="shared" si="41"/>
        <v>-0.0910012160518848</v>
      </c>
      <c r="R20" s="868">
        <f t="shared" si="41"/>
        <v>0.298550724637681</v>
      </c>
      <c r="S20" s="868">
        <f t="shared" si="41"/>
        <v>0.0865384615384615</v>
      </c>
      <c r="T20" s="868">
        <f t="shared" si="41"/>
        <v>0.0867572692793932</v>
      </c>
      <c r="U20" s="868">
        <f t="shared" ref="U20:AE20" si="42">U19/T19-1</f>
        <v>-0.00290824487421837</v>
      </c>
      <c r="V20" s="868">
        <f t="shared" si="42"/>
        <v>0.0714598220796268</v>
      </c>
      <c r="W20" s="868">
        <f t="shared" si="42"/>
        <v>0.0204164965291955</v>
      </c>
      <c r="X20" s="868">
        <f t="shared" si="42"/>
        <v>0.185274109643857</v>
      </c>
      <c r="Y20" s="879">
        <f t="shared" si="42"/>
        <v>-0.0271213144271888</v>
      </c>
      <c r="Z20" s="879">
        <f t="shared" si="42"/>
        <v>0.135106998264893</v>
      </c>
      <c r="AA20" s="879">
        <f t="shared" si="42"/>
        <v>0.114440028533578</v>
      </c>
      <c r="AB20" s="879">
        <f t="shared" si="42"/>
        <v>0.111375274323336</v>
      </c>
      <c r="AC20" s="879">
        <f t="shared" si="42"/>
        <v>0.147276616751687</v>
      </c>
      <c r="AD20" s="879">
        <f t="shared" si="42"/>
        <v>-0.15863453815261</v>
      </c>
      <c r="AE20" s="879">
        <f t="shared" si="42"/>
        <v>-0.163910671667235</v>
      </c>
      <c r="AF20" s="879"/>
      <c r="AG20" s="879"/>
      <c r="AH20" s="879"/>
      <c r="AI20" s="879"/>
      <c r="AJ20" s="879"/>
      <c r="AK20" s="879"/>
      <c r="AL20" s="879"/>
      <c r="AN20" s="874"/>
      <c r="AO20" s="874"/>
      <c r="AP20" s="874"/>
    </row>
    <row r="21" ht="16.8" hidden="1" spans="1:42">
      <c r="A21" s="860" t="s">
        <v>977</v>
      </c>
      <c r="B21" s="876">
        <v>0</v>
      </c>
      <c r="C21" s="876">
        <v>223.6508008</v>
      </c>
      <c r="D21" s="876">
        <v>264.8104508</v>
      </c>
      <c r="E21" s="876">
        <v>306.8439125</v>
      </c>
      <c r="F21" s="876">
        <v>462.8701753</v>
      </c>
      <c r="G21" s="876">
        <v>547.667</v>
      </c>
      <c r="H21" s="876">
        <v>622</v>
      </c>
      <c r="I21" s="876">
        <v>731.636</v>
      </c>
      <c r="J21" s="876">
        <v>735.592</v>
      </c>
      <c r="K21" s="876">
        <v>732.526</v>
      </c>
      <c r="L21" s="876">
        <f>799.406+16.965</f>
        <v>816.371</v>
      </c>
      <c r="M21" s="876">
        <v>824</v>
      </c>
      <c r="N21" s="876">
        <v>1169</v>
      </c>
      <c r="O21" s="876">
        <v>1174</v>
      </c>
      <c r="P21" s="887">
        <f t="shared" ref="P21:U21" si="43">P23-P22</f>
        <v>1542</v>
      </c>
      <c r="Q21" s="887">
        <f t="shared" si="43"/>
        <v>1480</v>
      </c>
      <c r="R21" s="887">
        <f t="shared" si="43"/>
        <v>1798</v>
      </c>
      <c r="S21" s="887">
        <f t="shared" si="43"/>
        <v>2070</v>
      </c>
      <c r="T21" s="887">
        <f t="shared" si="43"/>
        <v>2262</v>
      </c>
      <c r="U21" s="887">
        <f t="shared" si="43"/>
        <v>2419</v>
      </c>
      <c r="V21" s="887">
        <f t="shared" ref="V21:AC21" si="44">V23-V22</f>
        <v>2823</v>
      </c>
      <c r="W21" s="887">
        <f t="shared" si="44"/>
        <v>3221</v>
      </c>
      <c r="X21" s="887">
        <f t="shared" si="44"/>
        <v>3648</v>
      </c>
      <c r="Y21" s="887">
        <f t="shared" si="44"/>
        <v>3629</v>
      </c>
      <c r="Z21" s="887">
        <f t="shared" si="44"/>
        <v>4061</v>
      </c>
      <c r="AA21" s="887">
        <f t="shared" si="44"/>
        <v>4811</v>
      </c>
      <c r="AB21" s="887">
        <f t="shared" si="44"/>
        <v>5273</v>
      </c>
      <c r="AC21" s="887">
        <f t="shared" si="44"/>
        <v>5946.5</v>
      </c>
      <c r="AD21" s="887">
        <f t="shared" ref="AD21" si="45">AD23-AD22</f>
        <v>6657</v>
      </c>
      <c r="AE21" s="882">
        <f>AD21-AE111+AE115+AE116-AE114</f>
        <v>7135</v>
      </c>
      <c r="AF21" s="882">
        <f>AE21-AF111+AF115+AF116-AF114</f>
        <v>7931</v>
      </c>
      <c r="AG21" s="882">
        <f>AF21-AG111+AG115+AG116-AG114</f>
        <v>8658</v>
      </c>
      <c r="AH21" s="882">
        <f t="shared" ref="AH21:AL21" si="46">AG21-AH111+AH115+AH116-AH114</f>
        <v>9200.65862312602</v>
      </c>
      <c r="AI21" s="882">
        <f t="shared" si="46"/>
        <v>9784.3316395228</v>
      </c>
      <c r="AJ21" s="882">
        <f t="shared" si="46"/>
        <v>10407.5358270851</v>
      </c>
      <c r="AK21" s="882">
        <f t="shared" si="46"/>
        <v>11067.8713523851</v>
      </c>
      <c r="AL21" s="882">
        <f t="shared" si="46"/>
        <v>11767.5985135446</v>
      </c>
      <c r="AN21" s="874"/>
      <c r="AO21" s="874"/>
      <c r="AP21" s="874"/>
    </row>
    <row r="22" ht="16.8" hidden="1" spans="1:42">
      <c r="A22" s="875" t="s">
        <v>978</v>
      </c>
      <c r="B22" s="876">
        <v>0</v>
      </c>
      <c r="C22" s="876">
        <v>-122.0902592</v>
      </c>
      <c r="D22" s="876">
        <v>-141.5406225</v>
      </c>
      <c r="E22" s="876">
        <v>-166.448602</v>
      </c>
      <c r="F22" s="876">
        <v>-209.1099401</v>
      </c>
      <c r="G22" s="876">
        <v>-263.471</v>
      </c>
      <c r="H22" s="876">
        <v>-312.211</v>
      </c>
      <c r="I22" s="876">
        <v>-353.771</v>
      </c>
      <c r="J22" s="876">
        <v>-369.836</v>
      </c>
      <c r="K22" s="876">
        <v>-387.972</v>
      </c>
      <c r="L22" s="876">
        <v>-448.443</v>
      </c>
      <c r="M22" s="876">
        <f>M23-M21</f>
        <v>-399.646</v>
      </c>
      <c r="N22" s="876">
        <f>+N23-N21</f>
        <v>-480</v>
      </c>
      <c r="O22" s="876">
        <f>-514+42</f>
        <v>-472</v>
      </c>
      <c r="P22" s="887">
        <v>-656</v>
      </c>
      <c r="Q22" s="876">
        <v>-757</v>
      </c>
      <c r="R22" s="876">
        <v>-943</v>
      </c>
      <c r="S22" s="876">
        <v>-1107</v>
      </c>
      <c r="T22" s="876">
        <v>-1167</v>
      </c>
      <c r="U22" s="876">
        <v>-1181</v>
      </c>
      <c r="V22" s="876">
        <v>-1369</v>
      </c>
      <c r="W22" s="876">
        <v>-1583</v>
      </c>
      <c r="X22" s="876">
        <v>-1733</v>
      </c>
      <c r="Y22" s="882">
        <v>-1629</v>
      </c>
      <c r="Z22" s="882">
        <v>-1824</v>
      </c>
      <c r="AA22" s="882">
        <f t="shared" ref="AA22:AG22" si="47">Z22-(AA92/2)</f>
        <v>-2431</v>
      </c>
      <c r="AB22" s="882">
        <f t="shared" si="47"/>
        <v>-3116</v>
      </c>
      <c r="AC22" s="882">
        <f t="shared" si="47"/>
        <v>-3690.5</v>
      </c>
      <c r="AD22" s="882">
        <f t="shared" si="47"/>
        <v>-4378</v>
      </c>
      <c r="AE22" s="882">
        <f t="shared" si="47"/>
        <v>-4984</v>
      </c>
      <c r="AF22" s="882">
        <f t="shared" si="47"/>
        <v>-5574</v>
      </c>
      <c r="AG22" s="882">
        <f t="shared" si="47"/>
        <v>-6151</v>
      </c>
      <c r="AH22" s="882">
        <f t="shared" ref="AH22" si="48">AG22-(AH92/2)</f>
        <v>-6734.35801986047</v>
      </c>
      <c r="AI22" s="882">
        <f t="shared" ref="AI22" si="49">AH22-(AI92/2)</f>
        <v>-7361.80651248701</v>
      </c>
      <c r="AJ22" s="882">
        <f t="shared" ref="AJ22" si="50">AI22-(AJ92/2)</f>
        <v>-8031.7510141165</v>
      </c>
      <c r="AK22" s="882">
        <f t="shared" ref="AK22:AL22" si="51">AJ22-(AK92/2)</f>
        <v>-8741.61170381395</v>
      </c>
      <c r="AL22" s="882">
        <f t="shared" si="51"/>
        <v>-9493.8184020604</v>
      </c>
      <c r="AN22" s="874"/>
      <c r="AO22" s="874"/>
      <c r="AP22" s="874"/>
    </row>
    <row r="23" customHeight="1" spans="1:42">
      <c r="A23" s="858" t="s">
        <v>979</v>
      </c>
      <c r="B23" s="867">
        <v>0</v>
      </c>
      <c r="C23" s="867">
        <f>C21+C22</f>
        <v>101.5605416</v>
      </c>
      <c r="D23" s="867">
        <f t="shared" ref="D23:L23" si="52">D21+D22</f>
        <v>123.2698283</v>
      </c>
      <c r="E23" s="867">
        <f t="shared" si="52"/>
        <v>140.3953105</v>
      </c>
      <c r="F23" s="867">
        <f t="shared" si="52"/>
        <v>253.7602352</v>
      </c>
      <c r="G23" s="867">
        <f t="shared" si="52"/>
        <v>284.196</v>
      </c>
      <c r="H23" s="867">
        <f t="shared" si="52"/>
        <v>309.789</v>
      </c>
      <c r="I23" s="867">
        <f t="shared" si="52"/>
        <v>377.865</v>
      </c>
      <c r="J23" s="867">
        <f t="shared" si="52"/>
        <v>365.756</v>
      </c>
      <c r="K23" s="867">
        <f t="shared" si="52"/>
        <v>344.554</v>
      </c>
      <c r="L23" s="867">
        <f t="shared" si="52"/>
        <v>367.928</v>
      </c>
      <c r="M23" s="867">
        <v>424.354</v>
      </c>
      <c r="N23" s="867">
        <v>689</v>
      </c>
      <c r="O23" s="867">
        <f>O21+O22</f>
        <v>702</v>
      </c>
      <c r="P23" s="867">
        <v>886</v>
      </c>
      <c r="Q23" s="867">
        <v>723</v>
      </c>
      <c r="R23" s="867">
        <v>855</v>
      </c>
      <c r="S23" s="867">
        <v>963</v>
      </c>
      <c r="T23" s="867">
        <v>1095</v>
      </c>
      <c r="U23" s="867">
        <v>1238</v>
      </c>
      <c r="V23" s="867">
        <v>1454</v>
      </c>
      <c r="W23" s="867">
        <v>1638</v>
      </c>
      <c r="X23" s="867">
        <v>1915</v>
      </c>
      <c r="Y23" s="880">
        <v>2000</v>
      </c>
      <c r="Z23" s="880">
        <v>2237</v>
      </c>
      <c r="AA23" s="880">
        <v>2380</v>
      </c>
      <c r="AB23" s="880">
        <v>2157</v>
      </c>
      <c r="AC23" s="880">
        <v>2256</v>
      </c>
      <c r="AD23" s="880">
        <v>2279</v>
      </c>
      <c r="AE23" s="880">
        <v>2157</v>
      </c>
      <c r="AF23" s="880">
        <v>2133</v>
      </c>
      <c r="AG23" s="880">
        <v>1973</v>
      </c>
      <c r="AH23" s="880">
        <f>AG23</f>
        <v>1973</v>
      </c>
      <c r="AI23" s="880">
        <f>AH23*(1+'Profit and Loss'!AH328)</f>
        <v>2122.1202654388</v>
      </c>
      <c r="AJ23" s="880">
        <f>AI23*(1+'Profit and Loss'!AI328)</f>
        <v>2265.84782708764</v>
      </c>
      <c r="AK23" s="880">
        <f>AJ23*(1+'Profit and Loss'!AJ328)</f>
        <v>2400.85006649614</v>
      </c>
      <c r="AL23" s="880">
        <f>AK23*(1+'Profit and Loss'!AK328)</f>
        <v>2544.07030522219</v>
      </c>
      <c r="AM23" s="888"/>
      <c r="AN23" s="874"/>
      <c r="AO23" s="874"/>
      <c r="AP23" s="874"/>
    </row>
    <row r="24" customHeight="1" spans="1:42">
      <c r="A24" s="860" t="s">
        <v>61</v>
      </c>
      <c r="B24" s="876" t="s">
        <v>173</v>
      </c>
      <c r="C24" s="876" t="s">
        <v>173</v>
      </c>
      <c r="D24" s="868">
        <f t="shared" ref="D24:M24" si="53">D23/C23-1</f>
        <v>0.21375709855411</v>
      </c>
      <c r="E24" s="868">
        <f t="shared" si="53"/>
        <v>0.138926795276473</v>
      </c>
      <c r="F24" s="868">
        <f t="shared" si="53"/>
        <v>0.807469453903163</v>
      </c>
      <c r="G24" s="868">
        <f t="shared" si="53"/>
        <v>0.119939062855976</v>
      </c>
      <c r="H24" s="868">
        <f t="shared" si="53"/>
        <v>0.0900540472068572</v>
      </c>
      <c r="I24" s="868">
        <f t="shared" si="53"/>
        <v>0.219749571482525</v>
      </c>
      <c r="J24" s="868">
        <f t="shared" si="53"/>
        <v>-0.03204583647599</v>
      </c>
      <c r="K24" s="868">
        <f t="shared" si="53"/>
        <v>-0.0579676068198471</v>
      </c>
      <c r="L24" s="868">
        <f t="shared" si="53"/>
        <v>0.0678384230048121</v>
      </c>
      <c r="M24" s="868">
        <f t="shared" si="53"/>
        <v>0.153361527255333</v>
      </c>
      <c r="N24" s="868">
        <f t="shared" ref="N24:T24" si="54">N23/M23-1</f>
        <v>0.623644410091575</v>
      </c>
      <c r="O24" s="868">
        <f t="shared" si="54"/>
        <v>0.0188679245283019</v>
      </c>
      <c r="P24" s="868">
        <f t="shared" si="54"/>
        <v>0.262108262108262</v>
      </c>
      <c r="Q24" s="868">
        <f t="shared" si="54"/>
        <v>-0.183972911963883</v>
      </c>
      <c r="R24" s="868">
        <f t="shared" si="54"/>
        <v>0.182572614107884</v>
      </c>
      <c r="S24" s="868">
        <f t="shared" si="54"/>
        <v>0.126315789473684</v>
      </c>
      <c r="T24" s="868">
        <f t="shared" si="54"/>
        <v>0.137071651090343</v>
      </c>
      <c r="U24" s="868">
        <f t="shared" ref="U24:AL24" si="55">U23/T23-1</f>
        <v>0.130593607305936</v>
      </c>
      <c r="V24" s="868">
        <f t="shared" si="55"/>
        <v>0.174474959612278</v>
      </c>
      <c r="W24" s="868">
        <f t="shared" si="55"/>
        <v>0.126547455295736</v>
      </c>
      <c r="X24" s="868">
        <f t="shared" si="55"/>
        <v>0.169108669108669</v>
      </c>
      <c r="Y24" s="879">
        <f t="shared" si="55"/>
        <v>0.0443864229765014</v>
      </c>
      <c r="Z24" s="879">
        <f t="shared" si="55"/>
        <v>0.1185</v>
      </c>
      <c r="AA24" s="879">
        <f t="shared" si="55"/>
        <v>0.0639248994188646</v>
      </c>
      <c r="AB24" s="879">
        <f t="shared" si="55"/>
        <v>-0.0936974789915966</v>
      </c>
      <c r="AC24" s="879">
        <f t="shared" si="55"/>
        <v>0.0458970792767732</v>
      </c>
      <c r="AD24" s="879">
        <f t="shared" si="55"/>
        <v>0.010195035460993</v>
      </c>
      <c r="AE24" s="879">
        <f t="shared" si="55"/>
        <v>-0.0535322509872751</v>
      </c>
      <c r="AF24" s="879">
        <f t="shared" si="55"/>
        <v>-0.0111265646731572</v>
      </c>
      <c r="AG24" s="879">
        <f t="shared" si="55"/>
        <v>-0.0750117205813409</v>
      </c>
      <c r="AH24" s="879">
        <f t="shared" si="55"/>
        <v>0</v>
      </c>
      <c r="AI24" s="879">
        <f t="shared" si="55"/>
        <v>0.0755804690515973</v>
      </c>
      <c r="AJ24" s="879">
        <f t="shared" si="55"/>
        <v>0.0677282828827417</v>
      </c>
      <c r="AK24" s="879">
        <f t="shared" si="55"/>
        <v>0.0595813354253465</v>
      </c>
      <c r="AL24" s="879">
        <f t="shared" si="55"/>
        <v>0.059653970368533</v>
      </c>
      <c r="AM24" s="888"/>
      <c r="AN24" s="874"/>
      <c r="AO24" s="874"/>
      <c r="AP24" s="874"/>
    </row>
    <row r="25" ht="16.8" spans="1:42">
      <c r="A25" s="858" t="s">
        <v>980</v>
      </c>
      <c r="B25" s="876"/>
      <c r="C25" s="876"/>
      <c r="D25" s="868"/>
      <c r="E25" s="868"/>
      <c r="F25" s="868"/>
      <c r="G25" s="868"/>
      <c r="H25" s="868"/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  <c r="U25" s="868"/>
      <c r="V25" s="868"/>
      <c r="W25" s="868"/>
      <c r="X25" s="868"/>
      <c r="Y25" s="879"/>
      <c r="Z25" s="879"/>
      <c r="AA25" s="880">
        <v>2930</v>
      </c>
      <c r="AB25" s="880">
        <v>2430</v>
      </c>
      <c r="AC25" s="880">
        <v>2569</v>
      </c>
      <c r="AD25" s="880">
        <v>2665</v>
      </c>
      <c r="AE25" s="880">
        <v>2247</v>
      </c>
      <c r="AF25" s="880">
        <v>2779</v>
      </c>
      <c r="AG25" s="880">
        <v>2605</v>
      </c>
      <c r="AH25" s="880">
        <f t="shared" ref="AH25:AL25" si="56">AG25</f>
        <v>2605</v>
      </c>
      <c r="AI25" s="880">
        <f t="shared" si="56"/>
        <v>2605</v>
      </c>
      <c r="AJ25" s="880">
        <f t="shared" si="56"/>
        <v>2605</v>
      </c>
      <c r="AK25" s="880">
        <f t="shared" si="56"/>
        <v>2605</v>
      </c>
      <c r="AL25" s="880">
        <f t="shared" si="56"/>
        <v>2605</v>
      </c>
      <c r="AM25" s="888"/>
      <c r="AN25" s="874"/>
      <c r="AO25" s="874"/>
      <c r="AP25" s="874"/>
    </row>
    <row r="26" ht="16.8" hidden="1" spans="1:42">
      <c r="A26" s="860" t="s">
        <v>981</v>
      </c>
      <c r="B26" s="876">
        <v>0</v>
      </c>
      <c r="C26" s="876">
        <v>88.7217986</v>
      </c>
      <c r="D26" s="876">
        <v>129.8062875</v>
      </c>
      <c r="E26" s="876">
        <v>134.9514994</v>
      </c>
      <c r="F26" s="876">
        <v>820.4314687</v>
      </c>
      <c r="G26" s="876">
        <v>857.695</v>
      </c>
      <c r="H26" s="876">
        <v>888.286</v>
      </c>
      <c r="I26" s="876">
        <v>939.334</v>
      </c>
      <c r="J26" s="876">
        <v>1091.663</v>
      </c>
      <c r="K26" s="876">
        <v>1089.958</v>
      </c>
      <c r="L26" s="876">
        <v>1127</v>
      </c>
      <c r="M26" s="876">
        <f>436+15+242</f>
        <v>693</v>
      </c>
      <c r="N26" s="876">
        <f>1516+1454+447</f>
        <v>3417</v>
      </c>
      <c r="O26" s="876">
        <f>1291+441+1436</f>
        <v>3168</v>
      </c>
      <c r="P26" s="887">
        <f t="shared" ref="P26:U26" si="57">P28-P27</f>
        <v>3406</v>
      </c>
      <c r="Q26" s="887">
        <f t="shared" si="57"/>
        <v>3358</v>
      </c>
      <c r="R26" s="876">
        <f t="shared" si="57"/>
        <v>3559</v>
      </c>
      <c r="S26" s="876">
        <f t="shared" si="57"/>
        <v>3725</v>
      </c>
      <c r="T26" s="876">
        <f t="shared" si="57"/>
        <v>3732</v>
      </c>
      <c r="U26" s="876">
        <f t="shared" si="57"/>
        <v>3620</v>
      </c>
      <c r="V26" s="876">
        <f t="shared" ref="V26:AB26" si="58">V28-V27</f>
        <v>3849</v>
      </c>
      <c r="W26" s="876">
        <f t="shared" si="58"/>
        <v>4391</v>
      </c>
      <c r="X26" s="876">
        <f t="shared" si="58"/>
        <v>4513</v>
      </c>
      <c r="Y26" s="882">
        <f t="shared" si="58"/>
        <v>4277</v>
      </c>
      <c r="Z26" s="882">
        <f t="shared" si="58"/>
        <v>3947</v>
      </c>
      <c r="AA26" s="882">
        <f t="shared" si="58"/>
        <v>4083</v>
      </c>
      <c r="AB26" s="882">
        <f t="shared" si="58"/>
        <v>3872</v>
      </c>
      <c r="AC26" s="882">
        <f t="shared" ref="AC26:AE26" si="59">AC28-AC27</f>
        <v>3242</v>
      </c>
      <c r="AD26" s="882">
        <f t="shared" si="59"/>
        <v>3351</v>
      </c>
      <c r="AE26" s="882">
        <f t="shared" si="59"/>
        <v>3342</v>
      </c>
      <c r="AF26" s="882">
        <f t="shared" ref="AF26:AG26" si="60">AF28-AF27</f>
        <v>3363</v>
      </c>
      <c r="AG26" s="882">
        <f t="shared" si="60"/>
        <v>3308</v>
      </c>
      <c r="AH26" s="882">
        <f t="shared" ref="AH26:AK26" si="61">AH28-AH27</f>
        <v>3308</v>
      </c>
      <c r="AI26" s="882">
        <f t="shared" si="61"/>
        <v>3308</v>
      </c>
      <c r="AJ26" s="882">
        <f t="shared" si="61"/>
        <v>3308</v>
      </c>
      <c r="AK26" s="882">
        <f t="shared" si="61"/>
        <v>3308</v>
      </c>
      <c r="AL26" s="882">
        <f t="shared" ref="AL26" si="62">AL28-AL27</f>
        <v>3308</v>
      </c>
      <c r="AM26" s="874"/>
      <c r="AN26" s="874"/>
      <c r="AO26" s="874"/>
      <c r="AP26" s="874"/>
    </row>
    <row r="27" ht="16.8" hidden="1" spans="1:42">
      <c r="A27" s="875" t="s">
        <v>982</v>
      </c>
      <c r="B27" s="876">
        <v>0</v>
      </c>
      <c r="C27" s="876">
        <v>-21.2296873</v>
      </c>
      <c r="D27" s="876">
        <v>-30.5276778</v>
      </c>
      <c r="E27" s="876">
        <v>-14.8931464</v>
      </c>
      <c r="F27" s="876">
        <v>-93.4370072</v>
      </c>
      <c r="G27" s="876">
        <v>-148.702</v>
      </c>
      <c r="H27" s="876">
        <v>-209.643</v>
      </c>
      <c r="I27" s="876">
        <v>-268.392</v>
      </c>
      <c r="J27" s="876">
        <v>-337.662</v>
      </c>
      <c r="K27" s="876">
        <v>-395.344</v>
      </c>
      <c r="L27" s="876">
        <v>-406.344</v>
      </c>
      <c r="M27" s="876">
        <f>+M28-M26</f>
        <v>-166</v>
      </c>
      <c r="N27" s="876">
        <f>+N28-N26</f>
        <v>-224</v>
      </c>
      <c r="O27" s="876">
        <f>+O28-O26</f>
        <v>-247</v>
      </c>
      <c r="P27" s="887">
        <v>-313</v>
      </c>
      <c r="Q27" s="887">
        <v>-378</v>
      </c>
      <c r="R27" s="876">
        <v>-458</v>
      </c>
      <c r="S27" s="876">
        <f>-509</f>
        <v>-509</v>
      </c>
      <c r="T27" s="876">
        <f>-535-265</f>
        <v>-800</v>
      </c>
      <c r="U27" s="876">
        <f>-556-329+52</f>
        <v>-833</v>
      </c>
      <c r="V27" s="876">
        <f>-609-419-58</f>
        <v>-1086</v>
      </c>
      <c r="W27" s="876">
        <f>-697-486</f>
        <v>-1183</v>
      </c>
      <c r="X27" s="876">
        <f>-758-496</f>
        <v>-1254</v>
      </c>
      <c r="Y27" s="882">
        <f>-685-526-383</f>
        <v>-1594</v>
      </c>
      <c r="Z27" s="882">
        <f>-716-550-396</f>
        <v>-1662</v>
      </c>
      <c r="AA27" s="882">
        <f t="shared" ref="AA27:AL28" si="63">Z27</f>
        <v>-1662</v>
      </c>
      <c r="AB27" s="882">
        <f t="shared" si="63"/>
        <v>-1662</v>
      </c>
      <c r="AC27" s="882">
        <f t="shared" si="63"/>
        <v>-1662</v>
      </c>
      <c r="AD27" s="882">
        <f t="shared" si="63"/>
        <v>-1662</v>
      </c>
      <c r="AE27" s="882">
        <f t="shared" si="63"/>
        <v>-1662</v>
      </c>
      <c r="AF27" s="882">
        <f t="shared" si="63"/>
        <v>-1662</v>
      </c>
      <c r="AG27" s="882">
        <f t="shared" si="63"/>
        <v>-1662</v>
      </c>
      <c r="AH27" s="882">
        <f t="shared" ref="AH27" si="64">AG27</f>
        <v>-1662</v>
      </c>
      <c r="AI27" s="882">
        <f t="shared" ref="AI27" si="65">AH27</f>
        <v>-1662</v>
      </c>
      <c r="AJ27" s="882">
        <f t="shared" ref="AJ27" si="66">AI27</f>
        <v>-1662</v>
      </c>
      <c r="AK27" s="882">
        <f t="shared" ref="AK27:AL27" si="67">AJ27</f>
        <v>-1662</v>
      </c>
      <c r="AL27" s="882">
        <f t="shared" si="67"/>
        <v>-1662</v>
      </c>
      <c r="AN27" s="874"/>
      <c r="AO27" s="874"/>
      <c r="AP27" s="874"/>
    </row>
    <row r="28" customHeight="1" spans="1:42">
      <c r="A28" s="858" t="s">
        <v>983</v>
      </c>
      <c r="B28" s="867">
        <v>0</v>
      </c>
      <c r="C28" s="867">
        <f t="shared" ref="C28:K28" si="68">C26+C27</f>
        <v>67.4921113</v>
      </c>
      <c r="D28" s="867">
        <f t="shared" si="68"/>
        <v>99.2786097</v>
      </c>
      <c r="E28" s="867">
        <f t="shared" si="68"/>
        <v>120.058353</v>
      </c>
      <c r="F28" s="867">
        <f t="shared" si="68"/>
        <v>726.9944615</v>
      </c>
      <c r="G28" s="867">
        <f t="shared" si="68"/>
        <v>708.993</v>
      </c>
      <c r="H28" s="867">
        <f t="shared" si="68"/>
        <v>678.643</v>
      </c>
      <c r="I28" s="867">
        <f t="shared" si="68"/>
        <v>670.942</v>
      </c>
      <c r="J28" s="867">
        <f t="shared" si="68"/>
        <v>754.001</v>
      </c>
      <c r="K28" s="867">
        <f t="shared" si="68"/>
        <v>694.614</v>
      </c>
      <c r="L28" s="867">
        <f>572.426+96.312</f>
        <v>668.738</v>
      </c>
      <c r="M28" s="867">
        <f>436+15+76</f>
        <v>527</v>
      </c>
      <c r="N28" s="867">
        <f>1516+1454+223</f>
        <v>3193</v>
      </c>
      <c r="O28" s="867">
        <f>1436+1291+194</f>
        <v>2921</v>
      </c>
      <c r="P28" s="889">
        <f>1499+1390+204</f>
        <v>3093</v>
      </c>
      <c r="Q28" s="889">
        <f>1478+1342+160</f>
        <v>2980</v>
      </c>
      <c r="R28" s="867">
        <f>1512+1447+142</f>
        <v>3101</v>
      </c>
      <c r="S28" s="867">
        <f>1553+1503+160</f>
        <v>3216</v>
      </c>
      <c r="T28" s="867">
        <f>1281+1484+167</f>
        <v>2932</v>
      </c>
      <c r="U28" s="867">
        <f>1204+1419+164</f>
        <v>2787</v>
      </c>
      <c r="V28" s="867">
        <f>1169+1432+162</f>
        <v>2763</v>
      </c>
      <c r="W28" s="867">
        <f>1392+1628+188</f>
        <v>3208</v>
      </c>
      <c r="X28" s="867">
        <f>1412+1680+167</f>
        <v>3259</v>
      </c>
      <c r="Y28" s="880">
        <f>1220+1309+154</f>
        <v>2683</v>
      </c>
      <c r="Z28" s="880">
        <f>1245+844+196</f>
        <v>2285</v>
      </c>
      <c r="AA28" s="880">
        <f>1257+859+305</f>
        <v>2421</v>
      </c>
      <c r="AB28" s="880">
        <f>1208+750+252</f>
        <v>2210</v>
      </c>
      <c r="AC28" s="880">
        <f>1228+16+336</f>
        <v>1580</v>
      </c>
      <c r="AD28" s="880">
        <f>1260+429</f>
        <v>1689</v>
      </c>
      <c r="AE28" s="880">
        <f>1238+442</f>
        <v>1680</v>
      </c>
      <c r="AF28" s="880">
        <f>1275+426</f>
        <v>1701</v>
      </c>
      <c r="AG28" s="880">
        <f>1203+443</f>
        <v>1646</v>
      </c>
      <c r="AH28" s="880">
        <f t="shared" si="63"/>
        <v>1646</v>
      </c>
      <c r="AI28" s="880">
        <f t="shared" si="63"/>
        <v>1646</v>
      </c>
      <c r="AJ28" s="880">
        <f t="shared" si="63"/>
        <v>1646</v>
      </c>
      <c r="AK28" s="880">
        <f t="shared" si="63"/>
        <v>1646</v>
      </c>
      <c r="AL28" s="880">
        <f t="shared" si="63"/>
        <v>1646</v>
      </c>
      <c r="AM28" s="874"/>
      <c r="AN28" s="874"/>
      <c r="AO28" s="874"/>
      <c r="AP28" s="874"/>
    </row>
    <row r="29" customHeight="1" spans="1:42">
      <c r="A29" s="875" t="s">
        <v>61</v>
      </c>
      <c r="B29" s="876" t="s">
        <v>173</v>
      </c>
      <c r="C29" s="876" t="s">
        <v>173</v>
      </c>
      <c r="D29" s="868">
        <f t="shared" ref="D29:M29" si="69">D28/C28-1</f>
        <v>0.470966129044477</v>
      </c>
      <c r="E29" s="868">
        <f t="shared" si="69"/>
        <v>0.209307355963104</v>
      </c>
      <c r="F29" s="868">
        <f t="shared" si="69"/>
        <v>5.05534261743537</v>
      </c>
      <c r="G29" s="868">
        <f t="shared" si="69"/>
        <v>-0.0247614836884145</v>
      </c>
      <c r="H29" s="868">
        <f t="shared" si="69"/>
        <v>-0.0428071927367407</v>
      </c>
      <c r="I29" s="868">
        <f t="shared" si="69"/>
        <v>-0.0113476452273139</v>
      </c>
      <c r="J29" s="868">
        <f t="shared" si="69"/>
        <v>0.123794605196872</v>
      </c>
      <c r="K29" s="868">
        <f t="shared" si="69"/>
        <v>-0.0787624950099534</v>
      </c>
      <c r="L29" s="868">
        <f t="shared" si="69"/>
        <v>-0.037252344467575</v>
      </c>
      <c r="M29" s="868">
        <f t="shared" si="69"/>
        <v>-0.211948476084805</v>
      </c>
      <c r="N29" s="868">
        <f t="shared" ref="N29:T29" si="70">N28/M28-1</f>
        <v>5.05882352941176</v>
      </c>
      <c r="O29" s="868">
        <f t="shared" si="70"/>
        <v>-0.0851863451299718</v>
      </c>
      <c r="P29" s="868">
        <f t="shared" si="70"/>
        <v>0.0588839438548443</v>
      </c>
      <c r="Q29" s="868">
        <f t="shared" si="70"/>
        <v>-0.0365341092790171</v>
      </c>
      <c r="R29" s="868">
        <f t="shared" si="70"/>
        <v>0.0406040268456376</v>
      </c>
      <c r="S29" s="868">
        <f t="shared" si="70"/>
        <v>0.037084811351177</v>
      </c>
      <c r="T29" s="868">
        <f t="shared" si="70"/>
        <v>-0.0883084577114428</v>
      </c>
      <c r="U29" s="868">
        <f t="shared" ref="U29:AL29" si="71">U28/T28-1</f>
        <v>-0.0494542974079127</v>
      </c>
      <c r="V29" s="868">
        <f t="shared" si="71"/>
        <v>-0.00861141011840694</v>
      </c>
      <c r="W29" s="868">
        <f t="shared" si="71"/>
        <v>0.161056822294607</v>
      </c>
      <c r="X29" s="868">
        <f t="shared" si="71"/>
        <v>0.0158977556109725</v>
      </c>
      <c r="Y29" s="879">
        <f t="shared" si="71"/>
        <v>-0.176741331696839</v>
      </c>
      <c r="Z29" s="879">
        <f t="shared" si="71"/>
        <v>-0.148341408870667</v>
      </c>
      <c r="AA29" s="879">
        <f t="shared" si="71"/>
        <v>0.0595185995623633</v>
      </c>
      <c r="AB29" s="879">
        <f t="shared" si="71"/>
        <v>-0.0871540685667079</v>
      </c>
      <c r="AC29" s="879">
        <f t="shared" si="71"/>
        <v>-0.285067873303167</v>
      </c>
      <c r="AD29" s="879">
        <f t="shared" si="71"/>
        <v>0.0689873417721518</v>
      </c>
      <c r="AE29" s="879">
        <f t="shared" si="71"/>
        <v>-0.00532859680284192</v>
      </c>
      <c r="AF29" s="879">
        <f t="shared" si="71"/>
        <v>0.0125</v>
      </c>
      <c r="AG29" s="879">
        <f t="shared" si="71"/>
        <v>-0.0323339212228101</v>
      </c>
      <c r="AH29" s="879">
        <f t="shared" si="71"/>
        <v>0</v>
      </c>
      <c r="AI29" s="879">
        <f t="shared" si="71"/>
        <v>0</v>
      </c>
      <c r="AJ29" s="879">
        <f t="shared" si="71"/>
        <v>0</v>
      </c>
      <c r="AK29" s="879">
        <f t="shared" si="71"/>
        <v>0</v>
      </c>
      <c r="AL29" s="879">
        <f t="shared" si="71"/>
        <v>0</v>
      </c>
      <c r="AN29" s="874"/>
      <c r="AO29" s="874"/>
      <c r="AP29" s="874"/>
    </row>
    <row r="30" s="858" customFormat="1" hidden="1" customHeight="1" spans="1:42">
      <c r="A30" s="860" t="s">
        <v>984</v>
      </c>
      <c r="B30" s="876">
        <v>0</v>
      </c>
      <c r="C30" s="876">
        <v>0</v>
      </c>
      <c r="D30" s="876">
        <v>0</v>
      </c>
      <c r="E30" s="876">
        <v>0</v>
      </c>
      <c r="F30" s="876">
        <v>0</v>
      </c>
      <c r="G30" s="876">
        <v>0</v>
      </c>
      <c r="H30" s="876">
        <v>0</v>
      </c>
      <c r="I30" s="876">
        <v>0</v>
      </c>
      <c r="J30" s="876">
        <v>0</v>
      </c>
      <c r="K30" s="876">
        <v>0</v>
      </c>
      <c r="L30" s="876">
        <v>0</v>
      </c>
      <c r="M30" s="876">
        <v>0</v>
      </c>
      <c r="N30" s="876">
        <v>0</v>
      </c>
      <c r="O30" s="876">
        <v>0</v>
      </c>
      <c r="P30" s="876">
        <v>0</v>
      </c>
      <c r="Q30" s="876">
        <v>0</v>
      </c>
      <c r="R30" s="876">
        <v>0</v>
      </c>
      <c r="S30" s="876">
        <v>0</v>
      </c>
      <c r="T30" s="876">
        <v>0</v>
      </c>
      <c r="U30" s="876">
        <v>0</v>
      </c>
      <c r="V30" s="876">
        <v>0</v>
      </c>
      <c r="W30" s="876">
        <v>0</v>
      </c>
      <c r="X30" s="876">
        <v>0</v>
      </c>
      <c r="Y30" s="882">
        <v>0</v>
      </c>
      <c r="Z30" s="882">
        <v>0</v>
      </c>
      <c r="AA30" s="882">
        <v>0</v>
      </c>
      <c r="AB30" s="882">
        <v>0</v>
      </c>
      <c r="AC30" s="882">
        <v>0</v>
      </c>
      <c r="AD30" s="882">
        <v>0</v>
      </c>
      <c r="AE30" s="882">
        <v>0</v>
      </c>
      <c r="AF30" s="882">
        <v>0</v>
      </c>
      <c r="AG30" s="882">
        <v>0</v>
      </c>
      <c r="AH30" s="882">
        <v>0</v>
      </c>
      <c r="AI30" s="882">
        <v>0</v>
      </c>
      <c r="AJ30" s="882">
        <v>0</v>
      </c>
      <c r="AK30" s="882">
        <v>0</v>
      </c>
      <c r="AL30" s="882">
        <v>0</v>
      </c>
      <c r="AN30" s="881"/>
      <c r="AO30" s="874"/>
      <c r="AP30" s="874"/>
    </row>
    <row r="31" s="858" customFormat="1" customHeight="1" spans="1:42">
      <c r="A31" s="860" t="s">
        <v>985</v>
      </c>
      <c r="B31" s="876">
        <v>0</v>
      </c>
      <c r="C31" s="876">
        <v>0</v>
      </c>
      <c r="D31" s="876">
        <v>0</v>
      </c>
      <c r="E31" s="876">
        <v>0</v>
      </c>
      <c r="F31" s="876">
        <v>0</v>
      </c>
      <c r="G31" s="876">
        <v>0</v>
      </c>
      <c r="H31" s="876">
        <v>16.388</v>
      </c>
      <c r="I31" s="876">
        <v>15</v>
      </c>
      <c r="J31" s="876">
        <v>87.408</v>
      </c>
      <c r="K31" s="876">
        <v>88.408</v>
      </c>
      <c r="L31" s="876">
        <v>93.134</v>
      </c>
      <c r="M31" s="876">
        <v>114.27</v>
      </c>
      <c r="N31" s="876">
        <v>106</v>
      </c>
      <c r="O31" s="876">
        <v>103</v>
      </c>
      <c r="P31" s="876">
        <v>96</v>
      </c>
      <c r="Q31" s="876">
        <v>91</v>
      </c>
      <c r="R31" s="876">
        <v>93</v>
      </c>
      <c r="S31" s="876">
        <v>97</v>
      </c>
      <c r="T31" s="876">
        <v>112</v>
      </c>
      <c r="U31" s="876">
        <v>120</v>
      </c>
      <c r="V31" s="876">
        <v>129</v>
      </c>
      <c r="W31" s="876">
        <v>140</v>
      </c>
      <c r="X31" s="876">
        <v>194</v>
      </c>
      <c r="Y31" s="882">
        <v>236</v>
      </c>
      <c r="Z31" s="882">
        <v>276</v>
      </c>
      <c r="AA31" s="882">
        <v>367</v>
      </c>
      <c r="AB31" s="882">
        <v>353</v>
      </c>
      <c r="AC31" s="882">
        <v>290</v>
      </c>
      <c r="AD31" s="882">
        <v>301</v>
      </c>
      <c r="AE31" s="882">
        <v>301</v>
      </c>
      <c r="AF31" s="882">
        <v>340</v>
      </c>
      <c r="AG31" s="882">
        <v>353</v>
      </c>
      <c r="AH31" s="882">
        <f>AG31</f>
        <v>353</v>
      </c>
      <c r="AI31" s="882">
        <f>AH31</f>
        <v>353</v>
      </c>
      <c r="AJ31" s="882">
        <f>AI31</f>
        <v>353</v>
      </c>
      <c r="AK31" s="882">
        <f>AJ31</f>
        <v>353</v>
      </c>
      <c r="AL31" s="882">
        <f>AK31</f>
        <v>353</v>
      </c>
      <c r="AM31" s="860"/>
      <c r="AN31" s="874"/>
      <c r="AO31" s="874"/>
      <c r="AP31" s="874"/>
    </row>
    <row r="32" hidden="1" customHeight="1" spans="1:42">
      <c r="A32" s="858" t="s">
        <v>986</v>
      </c>
      <c r="B32" s="867">
        <v>0</v>
      </c>
      <c r="C32" s="867">
        <v>0</v>
      </c>
      <c r="D32" s="867">
        <v>0</v>
      </c>
      <c r="E32" s="867">
        <v>0</v>
      </c>
      <c r="F32" s="867">
        <v>0</v>
      </c>
      <c r="G32" s="867">
        <v>0</v>
      </c>
      <c r="H32" s="867">
        <f t="shared" ref="H32:Q32" si="72">+H31</f>
        <v>16.388</v>
      </c>
      <c r="I32" s="867">
        <f t="shared" si="72"/>
        <v>15</v>
      </c>
      <c r="J32" s="867">
        <f t="shared" si="72"/>
        <v>87.408</v>
      </c>
      <c r="K32" s="867">
        <f t="shared" si="72"/>
        <v>88.408</v>
      </c>
      <c r="L32" s="867">
        <f t="shared" si="72"/>
        <v>93.134</v>
      </c>
      <c r="M32" s="867">
        <f t="shared" si="72"/>
        <v>114.27</v>
      </c>
      <c r="N32" s="867">
        <f t="shared" si="72"/>
        <v>106</v>
      </c>
      <c r="O32" s="867">
        <f t="shared" si="72"/>
        <v>103</v>
      </c>
      <c r="P32" s="867">
        <f t="shared" si="72"/>
        <v>96</v>
      </c>
      <c r="Q32" s="867">
        <f t="shared" si="72"/>
        <v>91</v>
      </c>
      <c r="R32" s="867">
        <f t="shared" ref="R32:AB32" si="73">+R31</f>
        <v>93</v>
      </c>
      <c r="S32" s="867">
        <f t="shared" si="73"/>
        <v>97</v>
      </c>
      <c r="T32" s="867">
        <f t="shared" si="73"/>
        <v>112</v>
      </c>
      <c r="U32" s="867">
        <f t="shared" si="73"/>
        <v>120</v>
      </c>
      <c r="V32" s="867">
        <f t="shared" si="73"/>
        <v>129</v>
      </c>
      <c r="W32" s="867">
        <f t="shared" si="73"/>
        <v>140</v>
      </c>
      <c r="X32" s="867">
        <f t="shared" si="73"/>
        <v>194</v>
      </c>
      <c r="Y32" s="880">
        <f t="shared" si="73"/>
        <v>236</v>
      </c>
      <c r="Z32" s="880">
        <f t="shared" si="73"/>
        <v>276</v>
      </c>
      <c r="AA32" s="880">
        <f t="shared" si="73"/>
        <v>367</v>
      </c>
      <c r="AB32" s="880">
        <f t="shared" si="73"/>
        <v>353</v>
      </c>
      <c r="AC32" s="880">
        <f t="shared" ref="AC32:AH32" si="74">+AC31</f>
        <v>290</v>
      </c>
      <c r="AD32" s="880">
        <f t="shared" si="74"/>
        <v>301</v>
      </c>
      <c r="AE32" s="880">
        <f t="shared" si="74"/>
        <v>301</v>
      </c>
      <c r="AF32" s="880">
        <f t="shared" si="74"/>
        <v>340</v>
      </c>
      <c r="AG32" s="880">
        <f t="shared" si="74"/>
        <v>353</v>
      </c>
      <c r="AH32" s="880">
        <f t="shared" si="74"/>
        <v>353</v>
      </c>
      <c r="AI32" s="880">
        <f t="shared" ref="AI32:AJ32" si="75">+AI31</f>
        <v>353</v>
      </c>
      <c r="AJ32" s="880">
        <f t="shared" si="75"/>
        <v>353</v>
      </c>
      <c r="AK32" s="880">
        <f t="shared" ref="AK32:AL32" si="76">+AK31</f>
        <v>353</v>
      </c>
      <c r="AL32" s="880">
        <f t="shared" si="76"/>
        <v>353</v>
      </c>
      <c r="AN32" s="874"/>
      <c r="AO32" s="874"/>
      <c r="AP32" s="874"/>
    </row>
    <row r="33" s="858" customFormat="1" customHeight="1" spans="1:42">
      <c r="A33" s="860" t="s">
        <v>987</v>
      </c>
      <c r="B33" s="876">
        <v>0</v>
      </c>
      <c r="C33" s="876">
        <v>0</v>
      </c>
      <c r="D33" s="876">
        <v>0</v>
      </c>
      <c r="E33" s="876">
        <v>27.993675</v>
      </c>
      <c r="F33" s="876">
        <v>112.3801609</v>
      </c>
      <c r="G33" s="876">
        <v>134.349</v>
      </c>
      <c r="H33" s="876">
        <v>131.063</v>
      </c>
      <c r="I33" s="876">
        <v>147.873</v>
      </c>
      <c r="J33" s="876">
        <v>169.692</v>
      </c>
      <c r="K33" s="876">
        <v>178.484</v>
      </c>
      <c r="L33" s="876">
        <v>166.539</v>
      </c>
      <c r="M33" s="876">
        <v>195.211</v>
      </c>
      <c r="N33" s="876">
        <v>332</v>
      </c>
      <c r="O33" s="876">
        <v>315</v>
      </c>
      <c r="P33" s="876">
        <v>344</v>
      </c>
      <c r="Q33" s="876">
        <v>412</v>
      </c>
      <c r="R33" s="876">
        <v>501</v>
      </c>
      <c r="S33" s="876">
        <v>484</v>
      </c>
      <c r="T33" s="876">
        <v>528</v>
      </c>
      <c r="U33" s="876">
        <v>486</v>
      </c>
      <c r="V33" s="876">
        <v>577</v>
      </c>
      <c r="W33" s="876">
        <v>637</v>
      </c>
      <c r="X33" s="876">
        <v>732</v>
      </c>
      <c r="Y33" s="882">
        <v>630</v>
      </c>
      <c r="Z33" s="882">
        <v>651</v>
      </c>
      <c r="AA33" s="882">
        <v>1093</v>
      </c>
      <c r="AB33" s="882">
        <v>1233</v>
      </c>
      <c r="AC33" s="882">
        <v>1263</v>
      </c>
      <c r="AD33" s="882">
        <v>1216</v>
      </c>
      <c r="AE33" s="882">
        <v>1358</v>
      </c>
      <c r="AF33" s="882">
        <v>1272</v>
      </c>
      <c r="AG33" s="882">
        <v>1077</v>
      </c>
      <c r="AH33" s="882">
        <f t="shared" ref="AH33:AL34" si="77">AG33</f>
        <v>1077</v>
      </c>
      <c r="AI33" s="882">
        <f t="shared" si="77"/>
        <v>1077</v>
      </c>
      <c r="AJ33" s="882">
        <f t="shared" si="77"/>
        <v>1077</v>
      </c>
      <c r="AK33" s="882">
        <f t="shared" si="77"/>
        <v>1077</v>
      </c>
      <c r="AL33" s="882">
        <f t="shared" si="77"/>
        <v>1077</v>
      </c>
      <c r="AN33" s="874"/>
      <c r="AO33" s="874"/>
      <c r="AP33" s="874"/>
    </row>
    <row r="34" s="858" customFormat="1" customHeight="1" spans="1:42">
      <c r="A34" s="860" t="s">
        <v>988</v>
      </c>
      <c r="B34" s="876">
        <v>26.79212</v>
      </c>
      <c r="C34" s="876">
        <v>0</v>
      </c>
      <c r="D34" s="876">
        <v>15.5721528</v>
      </c>
      <c r="E34" s="876">
        <v>489.5625918</v>
      </c>
      <c r="F34" s="876">
        <v>59.9642414</v>
      </c>
      <c r="G34" s="876">
        <v>111.185</v>
      </c>
      <c r="H34" s="876">
        <f>112.643-H32</f>
        <v>96.255</v>
      </c>
      <c r="I34" s="876">
        <f>107.76-I32</f>
        <v>92.76</v>
      </c>
      <c r="J34" s="876">
        <f>145.308-J31</f>
        <v>57.9</v>
      </c>
      <c r="K34" s="876">
        <f>192.977-K31</f>
        <v>104.569</v>
      </c>
      <c r="L34" s="876">
        <f>102.599</f>
        <v>102.599</v>
      </c>
      <c r="M34" s="876">
        <f>122.234</f>
        <v>122.234</v>
      </c>
      <c r="N34" s="876">
        <f>134</f>
        <v>134</v>
      </c>
      <c r="O34" s="876">
        <v>146</v>
      </c>
      <c r="P34" s="876">
        <f>120+60</f>
        <v>180</v>
      </c>
      <c r="Q34" s="876">
        <f>126+58</f>
        <v>184</v>
      </c>
      <c r="R34" s="876">
        <f>100+54</f>
        <v>154</v>
      </c>
      <c r="S34" s="876">
        <f>107+42</f>
        <v>149</v>
      </c>
      <c r="T34" s="876">
        <f>86+21</f>
        <v>107</v>
      </c>
      <c r="U34" s="876">
        <f>81+30</f>
        <v>111</v>
      </c>
      <c r="V34" s="876">
        <f>105+42</f>
        <v>147</v>
      </c>
      <c r="W34" s="876">
        <f>124+99</f>
        <v>223</v>
      </c>
      <c r="X34" s="876">
        <f>94+96</f>
        <v>190</v>
      </c>
      <c r="Y34" s="882">
        <f>108+219+1</f>
        <v>328</v>
      </c>
      <c r="Z34" s="882">
        <f>94+256</f>
        <v>350</v>
      </c>
      <c r="AA34" s="882">
        <f>103+450</f>
        <v>553</v>
      </c>
      <c r="AB34" s="882">
        <f>103+414-1</f>
        <v>516</v>
      </c>
      <c r="AC34" s="882">
        <f>160+74+1</f>
        <v>235</v>
      </c>
      <c r="AD34" s="882">
        <f>336+76+2</f>
        <v>414</v>
      </c>
      <c r="AE34" s="882">
        <f>418+49+1</f>
        <v>468</v>
      </c>
      <c r="AF34" s="882">
        <f>234+291</f>
        <v>525</v>
      </c>
      <c r="AG34" s="882">
        <f>217+415</f>
        <v>632</v>
      </c>
      <c r="AH34" s="882">
        <f t="shared" si="77"/>
        <v>632</v>
      </c>
      <c r="AI34" s="882">
        <f t="shared" si="77"/>
        <v>632</v>
      </c>
      <c r="AJ34" s="882">
        <f t="shared" si="77"/>
        <v>632</v>
      </c>
      <c r="AK34" s="882">
        <f t="shared" si="77"/>
        <v>632</v>
      </c>
      <c r="AL34" s="882">
        <f t="shared" si="77"/>
        <v>632</v>
      </c>
      <c r="AN34" s="874"/>
      <c r="AO34" s="874"/>
      <c r="AP34" s="874"/>
    </row>
    <row r="35" hidden="1" customHeight="1" spans="1:42">
      <c r="A35" s="875" t="s">
        <v>61</v>
      </c>
      <c r="B35" s="876" t="s">
        <v>173</v>
      </c>
      <c r="C35" s="876" t="s">
        <v>173</v>
      </c>
      <c r="D35" s="868" t="e">
        <f t="shared" ref="D35:Q35" si="78">D34/C34-1</f>
        <v>#DIV/0!</v>
      </c>
      <c r="E35" s="868">
        <f t="shared" si="78"/>
        <v>30.4383372734437</v>
      </c>
      <c r="F35" s="868">
        <f t="shared" si="78"/>
        <v>-0.87751465817777</v>
      </c>
      <c r="G35" s="868">
        <f t="shared" si="78"/>
        <v>0.854188386347201</v>
      </c>
      <c r="H35" s="868">
        <f t="shared" si="78"/>
        <v>-0.134280703332284</v>
      </c>
      <c r="I35" s="868">
        <f t="shared" si="78"/>
        <v>-0.0363098020882031</v>
      </c>
      <c r="J35" s="868">
        <f t="shared" si="78"/>
        <v>-0.375808538163001</v>
      </c>
      <c r="K35" s="868">
        <f t="shared" si="78"/>
        <v>0.806027633851468</v>
      </c>
      <c r="L35" s="868">
        <f t="shared" si="78"/>
        <v>-0.0188392353374327</v>
      </c>
      <c r="M35" s="868">
        <f t="shared" si="78"/>
        <v>0.191376134270314</v>
      </c>
      <c r="N35" s="868">
        <f t="shared" si="78"/>
        <v>0.096257996956657</v>
      </c>
      <c r="O35" s="868">
        <f t="shared" si="78"/>
        <v>0.0895522388059702</v>
      </c>
      <c r="P35" s="868">
        <f t="shared" si="78"/>
        <v>0.232876712328767</v>
      </c>
      <c r="Q35" s="868">
        <f t="shared" si="78"/>
        <v>0.0222222222222221</v>
      </c>
      <c r="R35" s="868">
        <f t="shared" ref="R35:Y35" si="79">R34/Q34-1</f>
        <v>-0.16304347826087</v>
      </c>
      <c r="S35" s="868">
        <f t="shared" si="79"/>
        <v>-0.0324675324675324</v>
      </c>
      <c r="T35" s="868">
        <f t="shared" si="79"/>
        <v>-0.281879194630873</v>
      </c>
      <c r="U35" s="868">
        <f t="shared" si="79"/>
        <v>0.0373831775700935</v>
      </c>
      <c r="V35" s="868">
        <f t="shared" si="79"/>
        <v>0.324324324324324</v>
      </c>
      <c r="W35" s="868">
        <f t="shared" si="79"/>
        <v>0.517006802721088</v>
      </c>
      <c r="X35" s="868">
        <f t="shared" si="79"/>
        <v>-0.147982062780269</v>
      </c>
      <c r="Y35" s="879">
        <f t="shared" si="79"/>
        <v>0.726315789473684</v>
      </c>
      <c r="Z35" s="879">
        <f t="shared" ref="Z35:AL35" si="80">Z34/Y34-1</f>
        <v>0.0670731707317074</v>
      </c>
      <c r="AA35" s="879">
        <f t="shared" si="80"/>
        <v>0.58</v>
      </c>
      <c r="AB35" s="879">
        <f t="shared" si="80"/>
        <v>-0.0669077757685352</v>
      </c>
      <c r="AC35" s="879">
        <f t="shared" si="80"/>
        <v>-0.544573643410853</v>
      </c>
      <c r="AD35" s="879">
        <f t="shared" si="80"/>
        <v>0.761702127659575</v>
      </c>
      <c r="AE35" s="879">
        <f t="shared" si="80"/>
        <v>0.130434782608696</v>
      </c>
      <c r="AF35" s="879">
        <f t="shared" si="80"/>
        <v>0.121794871794872</v>
      </c>
      <c r="AG35" s="879">
        <f t="shared" si="80"/>
        <v>0.203809523809524</v>
      </c>
      <c r="AH35" s="879">
        <f t="shared" si="80"/>
        <v>0</v>
      </c>
      <c r="AI35" s="879">
        <f t="shared" si="80"/>
        <v>0</v>
      </c>
      <c r="AJ35" s="879">
        <f t="shared" si="80"/>
        <v>0</v>
      </c>
      <c r="AK35" s="879">
        <f t="shared" si="80"/>
        <v>0</v>
      </c>
      <c r="AL35" s="879">
        <f t="shared" si="80"/>
        <v>0</v>
      </c>
      <c r="AN35" s="874"/>
      <c r="AO35" s="874"/>
      <c r="AP35" s="874"/>
    </row>
    <row r="36" hidden="1" customHeight="1" spans="1:42">
      <c r="A36" s="875" t="s">
        <v>218</v>
      </c>
      <c r="B36" s="876" t="s">
        <v>173</v>
      </c>
      <c r="C36" s="876" t="s">
        <v>173</v>
      </c>
      <c r="D36" s="868">
        <f t="shared" ref="D36:U36" si="81">D34/D$3</f>
        <v>0.0064670219253617</v>
      </c>
      <c r="E36" s="868">
        <f t="shared" si="81"/>
        <v>0.14294511857303</v>
      </c>
      <c r="F36" s="868">
        <f t="shared" si="81"/>
        <v>0.0118377514025774</v>
      </c>
      <c r="G36" s="868">
        <f t="shared" si="81"/>
        <v>0.0207669142907413</v>
      </c>
      <c r="H36" s="868">
        <f t="shared" si="81"/>
        <v>0.0164961439588689</v>
      </c>
      <c r="I36" s="868">
        <f t="shared" si="81"/>
        <v>0.0151758399842156</v>
      </c>
      <c r="J36" s="868">
        <f t="shared" si="81"/>
        <v>0.00887571379364103</v>
      </c>
      <c r="K36" s="868">
        <f t="shared" si="81"/>
        <v>0.0166861875279249</v>
      </c>
      <c r="L36" s="868">
        <f t="shared" si="81"/>
        <v>0.0175203210382514</v>
      </c>
      <c r="M36" s="868">
        <f t="shared" si="81"/>
        <v>0.0184198312236287</v>
      </c>
      <c r="N36" s="868">
        <f t="shared" si="81"/>
        <v>0.0132883776279254</v>
      </c>
      <c r="O36" s="868">
        <f t="shared" si="81"/>
        <v>0.0141761336052044</v>
      </c>
      <c r="P36" s="868">
        <f t="shared" si="81"/>
        <v>0.0166682100194462</v>
      </c>
      <c r="Q36" s="868">
        <f t="shared" si="81"/>
        <v>0.0177246893362874</v>
      </c>
      <c r="R36" s="868">
        <f t="shared" si="81"/>
        <v>0.0128440366972477</v>
      </c>
      <c r="S36" s="868">
        <f t="shared" si="81"/>
        <v>0.0111836673421902</v>
      </c>
      <c r="T36" s="868">
        <f t="shared" si="81"/>
        <v>0.00718941073708258</v>
      </c>
      <c r="U36" s="868">
        <f t="shared" si="81"/>
        <v>0.00781414994720169</v>
      </c>
      <c r="V36" s="868">
        <f t="shared" ref="V36:AB36" si="82">V34/V$3</f>
        <v>0.0101142149442686</v>
      </c>
      <c r="W36" s="868">
        <f t="shared" si="82"/>
        <v>0.0131835648832397</v>
      </c>
      <c r="X36" s="868">
        <f t="shared" si="82"/>
        <v>0.00984966303784344</v>
      </c>
      <c r="Y36" s="879">
        <f t="shared" si="82"/>
        <v>0.0154585729097936</v>
      </c>
      <c r="Z36" s="879">
        <f t="shared" si="82"/>
        <v>0.0159707962582706</v>
      </c>
      <c r="AA36" s="879">
        <f t="shared" si="82"/>
        <v>0.0233915655006133</v>
      </c>
      <c r="AB36" s="879">
        <f t="shared" si="82"/>
        <v>0.0260028220116912</v>
      </c>
      <c r="AC36" s="879">
        <f t="shared" ref="AC36:AH36" si="83">AC34/AC$3</f>
        <v>0.0110671564472073</v>
      </c>
      <c r="AD36" s="879">
        <f t="shared" si="83"/>
        <v>0.0183910088401226</v>
      </c>
      <c r="AE36" s="879">
        <f t="shared" si="83"/>
        <v>0.0226327497823774</v>
      </c>
      <c r="AF36" s="879">
        <f t="shared" si="83"/>
        <v>0.0227933834064169</v>
      </c>
      <c r="AG36" s="879">
        <f t="shared" si="83"/>
        <v>0.0254725726492282</v>
      </c>
      <c r="AH36" s="879">
        <f t="shared" si="83"/>
        <v>0.0232927285430138</v>
      </c>
      <c r="AI36" s="879">
        <f t="shared" ref="AI36:AJ36" si="84">AI34/AI$3</f>
        <v>0.0216559608632094</v>
      </c>
      <c r="AJ36" s="879">
        <f t="shared" si="84"/>
        <v>0.0202822770646675</v>
      </c>
      <c r="AK36" s="879">
        <f t="shared" ref="AK36:AL36" si="85">AK34/AK$3</f>
        <v>0.0191417840108759</v>
      </c>
      <c r="AL36" s="879">
        <f t="shared" si="85"/>
        <v>0.0180641837299196</v>
      </c>
      <c r="AN36" s="874"/>
      <c r="AO36" s="874"/>
      <c r="AP36" s="874"/>
    </row>
    <row r="37" customHeight="1" spans="1:42">
      <c r="A37" s="884" t="s">
        <v>989</v>
      </c>
      <c r="B37" s="885">
        <f t="shared" ref="B37:K37" si="86">B34+B28+B23+B19+B33+B32</f>
        <v>640.4630721</v>
      </c>
      <c r="C37" s="885">
        <f t="shared" si="86"/>
        <v>908.6992329</v>
      </c>
      <c r="D37" s="885">
        <f t="shared" si="86"/>
        <v>1255.5211811</v>
      </c>
      <c r="E37" s="885">
        <f t="shared" si="86"/>
        <v>2223.648813</v>
      </c>
      <c r="F37" s="885">
        <f t="shared" si="86"/>
        <v>3205.7502739</v>
      </c>
      <c r="G37" s="885">
        <f t="shared" si="86"/>
        <v>3586.723</v>
      </c>
      <c r="H37" s="885">
        <f t="shared" si="86"/>
        <v>4017.844</v>
      </c>
      <c r="I37" s="885">
        <f t="shared" si="86"/>
        <v>4182.44</v>
      </c>
      <c r="J37" s="885">
        <f t="shared" si="86"/>
        <v>4260.713</v>
      </c>
      <c r="K37" s="885">
        <f t="shared" si="86"/>
        <v>4187.58</v>
      </c>
      <c r="L37" s="885">
        <f t="shared" ref="L37:Q37" si="87">L34+L28+L23+L19+L33+L32</f>
        <v>4433.884</v>
      </c>
      <c r="M37" s="885">
        <f t="shared" si="87"/>
        <v>5749.883</v>
      </c>
      <c r="N37" s="885">
        <f t="shared" si="87"/>
        <v>8379</v>
      </c>
      <c r="O37" s="885">
        <f t="shared" si="87"/>
        <v>8325</v>
      </c>
      <c r="P37" s="885">
        <f t="shared" si="87"/>
        <v>9533</v>
      </c>
      <c r="Q37" s="885">
        <f t="shared" si="87"/>
        <v>8875</v>
      </c>
      <c r="R37" s="885">
        <f t="shared" ref="R37:Z37" si="88">R34+R28+R23+R19+R33+R32</f>
        <v>10528</v>
      </c>
      <c r="S37" s="885">
        <f t="shared" si="88"/>
        <v>11237</v>
      </c>
      <c r="T37" s="885">
        <f t="shared" si="88"/>
        <v>11651</v>
      </c>
      <c r="U37" s="885">
        <f t="shared" si="88"/>
        <v>11599</v>
      </c>
      <c r="V37" s="885">
        <f t="shared" si="88"/>
        <v>12417</v>
      </c>
      <c r="W37" s="885">
        <f t="shared" si="88"/>
        <v>13343</v>
      </c>
      <c r="X37" s="885">
        <f t="shared" si="88"/>
        <v>15176</v>
      </c>
      <c r="Y37" s="886">
        <f t="shared" si="88"/>
        <v>14522</v>
      </c>
      <c r="Z37" s="886">
        <f t="shared" si="88"/>
        <v>15612</v>
      </c>
      <c r="AA37" s="886">
        <f>AA34+AA28+AA23+AA19+AA33+AA32+AA25</f>
        <v>20680</v>
      </c>
      <c r="AB37" s="886">
        <f>AB34+AB28+AB23+AB19+AB33+AB32+AB25</f>
        <v>21053</v>
      </c>
      <c r="AC37" s="886">
        <f t="shared" ref="AC37:AE37" si="89">AC34+AC28+AC23+AC19+AC33+AC32+AC25</f>
        <v>22137</v>
      </c>
      <c r="AD37" s="886">
        <f t="shared" si="89"/>
        <v>20296</v>
      </c>
      <c r="AE37" s="886">
        <f t="shared" si="89"/>
        <v>18020</v>
      </c>
      <c r="AF37" s="886">
        <f t="shared" ref="AF37:AG37" si="90">AF34+AF28+AF23+AF19+AF33+AF32+AF25</f>
        <v>20655</v>
      </c>
      <c r="AG37" s="886">
        <f t="shared" si="90"/>
        <v>20263</v>
      </c>
      <c r="AH37" s="886">
        <f t="shared" ref="AH37:AI37" si="91">AH34+AH28+AH23+AH19+AH33+AH32+AH25</f>
        <v>20895.6470301871</v>
      </c>
      <c r="AI37" s="886">
        <f t="shared" si="91"/>
        <v>21908.6605205302</v>
      </c>
      <c r="AJ37" s="886">
        <f t="shared" ref="AJ37:AK37" si="92">AJ34+AJ28+AJ23+AJ19+AJ33+AJ32+AJ25</f>
        <v>23006.3204273409</v>
      </c>
      <c r="AK37" s="886">
        <f t="shared" si="92"/>
        <v>24189.8420475101</v>
      </c>
      <c r="AL37" s="886">
        <f t="shared" ref="AL37" si="93">AL34+AL28+AL23+AL19+AL33+AL32+AL25</f>
        <v>25533.0894000925</v>
      </c>
      <c r="AN37" s="874"/>
      <c r="AO37" s="874"/>
      <c r="AP37" s="874"/>
    </row>
    <row r="38" customHeight="1" spans="1:42">
      <c r="A38" s="875" t="s">
        <v>61</v>
      </c>
      <c r="B38" s="876" t="s">
        <v>173</v>
      </c>
      <c r="C38" s="868">
        <f t="shared" ref="C38:M38" si="94">C37/B37-1</f>
        <v>0.418815966891716</v>
      </c>
      <c r="D38" s="868">
        <f t="shared" si="94"/>
        <v>0.38166858256627</v>
      </c>
      <c r="E38" s="868">
        <f t="shared" si="94"/>
        <v>0.77109621603659</v>
      </c>
      <c r="F38" s="868">
        <f t="shared" si="94"/>
        <v>0.441662125403253</v>
      </c>
      <c r="G38" s="868">
        <f t="shared" si="94"/>
        <v>0.118840425344961</v>
      </c>
      <c r="H38" s="868">
        <f t="shared" si="94"/>
        <v>0.120199134418799</v>
      </c>
      <c r="I38" s="868">
        <f t="shared" si="94"/>
        <v>0.0409662495607095</v>
      </c>
      <c r="J38" s="868">
        <f t="shared" si="94"/>
        <v>0.0187146737311237</v>
      </c>
      <c r="K38" s="868">
        <f t="shared" si="94"/>
        <v>-0.0171644980546682</v>
      </c>
      <c r="L38" s="868">
        <f t="shared" si="94"/>
        <v>0.0588177419894065</v>
      </c>
      <c r="M38" s="868">
        <f t="shared" si="94"/>
        <v>0.296805013392322</v>
      </c>
      <c r="N38" s="868">
        <f t="shared" ref="N38:T38" si="95">N37/M37-1</f>
        <v>0.457247043113747</v>
      </c>
      <c r="O38" s="868">
        <f t="shared" si="95"/>
        <v>-0.00644468313641244</v>
      </c>
      <c r="P38" s="868">
        <f t="shared" si="95"/>
        <v>0.145105105105105</v>
      </c>
      <c r="Q38" s="868">
        <f t="shared" si="95"/>
        <v>-0.0690233924263086</v>
      </c>
      <c r="R38" s="868">
        <f t="shared" si="95"/>
        <v>0.186253521126761</v>
      </c>
      <c r="S38" s="868">
        <f t="shared" si="95"/>
        <v>0.0673442249240122</v>
      </c>
      <c r="T38" s="868">
        <f t="shared" si="95"/>
        <v>0.0368425736406515</v>
      </c>
      <c r="U38" s="868">
        <f t="shared" ref="U38:AL38" si="96">U37/T37-1</f>
        <v>-0.00446313621148398</v>
      </c>
      <c r="V38" s="868">
        <f t="shared" si="96"/>
        <v>0.0705233209759462</v>
      </c>
      <c r="W38" s="868">
        <f t="shared" si="96"/>
        <v>0.0745751791898204</v>
      </c>
      <c r="X38" s="868">
        <f t="shared" si="96"/>
        <v>0.137375402832946</v>
      </c>
      <c r="Y38" s="879">
        <f t="shared" si="96"/>
        <v>-0.0430943595150237</v>
      </c>
      <c r="Z38" s="879">
        <f t="shared" si="96"/>
        <v>0.0750585318826609</v>
      </c>
      <c r="AA38" s="879">
        <f t="shared" si="96"/>
        <v>0.324622085575199</v>
      </c>
      <c r="AB38" s="879">
        <f t="shared" si="96"/>
        <v>0.018036750483559</v>
      </c>
      <c r="AC38" s="879">
        <f t="shared" si="96"/>
        <v>0.0514890989407686</v>
      </c>
      <c r="AD38" s="879">
        <f t="shared" si="96"/>
        <v>-0.0831639336856846</v>
      </c>
      <c r="AE38" s="879">
        <f t="shared" si="96"/>
        <v>-0.112140323216397</v>
      </c>
      <c r="AF38" s="879">
        <f t="shared" si="96"/>
        <v>0.14622641509434</v>
      </c>
      <c r="AG38" s="879">
        <f t="shared" si="96"/>
        <v>-0.0189784555797627</v>
      </c>
      <c r="AH38" s="879">
        <f t="shared" si="96"/>
        <v>0.03122178503613</v>
      </c>
      <c r="AI38" s="879">
        <f t="shared" si="96"/>
        <v>0.0484796421417186</v>
      </c>
      <c r="AJ38" s="879">
        <f t="shared" si="96"/>
        <v>0.0501016438582365</v>
      </c>
      <c r="AK38" s="879">
        <f t="shared" si="96"/>
        <v>0.0514433250596122</v>
      </c>
      <c r="AL38" s="879">
        <f t="shared" si="96"/>
        <v>0.0555293974199624</v>
      </c>
      <c r="AN38" s="874"/>
      <c r="AO38" s="874"/>
      <c r="AP38" s="874"/>
    </row>
    <row r="39" customHeight="1" spans="1:42">
      <c r="A39" s="858" t="s">
        <v>990</v>
      </c>
      <c r="C39" s="890"/>
      <c r="D39" s="890"/>
      <c r="E39" s="890"/>
      <c r="F39" s="890"/>
      <c r="G39" s="890"/>
      <c r="H39" s="890"/>
      <c r="I39" s="890"/>
      <c r="J39" s="890"/>
      <c r="K39" s="890"/>
      <c r="N39" s="890"/>
      <c r="O39" s="890"/>
      <c r="P39" s="890"/>
      <c r="Q39" s="890"/>
      <c r="R39" s="891"/>
      <c r="S39" s="891"/>
      <c r="T39" s="891"/>
      <c r="U39" s="890"/>
      <c r="V39" s="890"/>
      <c r="W39" s="890"/>
      <c r="X39" s="890"/>
      <c r="Y39" s="892"/>
      <c r="Z39" s="892"/>
      <c r="AA39" s="892"/>
      <c r="AB39" s="892"/>
      <c r="AC39" s="892"/>
      <c r="AD39" s="893"/>
      <c r="AE39" s="892"/>
      <c r="AF39" s="892"/>
      <c r="AG39" s="892"/>
      <c r="AH39" s="892"/>
      <c r="AI39" s="892"/>
      <c r="AJ39" s="892"/>
      <c r="AK39" s="892"/>
      <c r="AL39" s="892"/>
      <c r="AN39" s="874"/>
      <c r="AO39" s="874"/>
      <c r="AP39" s="874"/>
    </row>
    <row r="40" customHeight="1" spans="1:42">
      <c r="A40" s="858" t="s">
        <v>991</v>
      </c>
      <c r="B40" s="867">
        <v>147.1240185</v>
      </c>
      <c r="C40" s="867">
        <v>183.30105</v>
      </c>
      <c r="D40" s="867">
        <v>270.651542</v>
      </c>
      <c r="E40" s="867">
        <v>350.3974691</v>
      </c>
      <c r="F40" s="867">
        <v>374.1841677</v>
      </c>
      <c r="G40" s="867">
        <v>487.7802</v>
      </c>
      <c r="H40" s="867">
        <v>532.299</v>
      </c>
      <c r="I40" s="867">
        <v>629.7</v>
      </c>
      <c r="J40" s="867">
        <v>669</v>
      </c>
      <c r="K40" s="867">
        <v>592.273</v>
      </c>
      <c r="L40" s="867">
        <v>591.689</v>
      </c>
      <c r="M40" s="867">
        <v>684</v>
      </c>
      <c r="N40" s="867">
        <v>752</v>
      </c>
      <c r="O40" s="867">
        <v>849</v>
      </c>
      <c r="P40" s="867">
        <v>1218</v>
      </c>
      <c r="Q40" s="867">
        <v>1166</v>
      </c>
      <c r="R40" s="867">
        <v>1697</v>
      </c>
      <c r="S40" s="867">
        <v>1887</v>
      </c>
      <c r="T40" s="867">
        <v>1790</v>
      </c>
      <c r="U40" s="867">
        <v>1825</v>
      </c>
      <c r="V40" s="867">
        <v>1652</v>
      </c>
      <c r="W40" s="867">
        <v>2024</v>
      </c>
      <c r="X40" s="867">
        <v>2496</v>
      </c>
      <c r="Y40" s="880">
        <v>1975</v>
      </c>
      <c r="Z40" s="880">
        <v>2300</v>
      </c>
      <c r="AA40" s="880">
        <v>2703</v>
      </c>
      <c r="AB40" s="880">
        <v>2390</v>
      </c>
      <c r="AC40" s="880">
        <v>2294</v>
      </c>
      <c r="AD40" s="880">
        <v>2908</v>
      </c>
      <c r="AE40" s="880">
        <v>2276</v>
      </c>
      <c r="AF40" s="880">
        <v>3096</v>
      </c>
      <c r="AG40" s="880">
        <v>2910</v>
      </c>
      <c r="AH40" s="880">
        <f>AH44*AH3</f>
        <v>3182.33161359219</v>
      </c>
      <c r="AI40" s="880">
        <f>AI44*AI3</f>
        <v>3422.85372962521</v>
      </c>
      <c r="AJ40" s="880">
        <f>AJ44*AJ3</f>
        <v>3654.67773529151</v>
      </c>
      <c r="AK40" s="880">
        <f>AK44*AK3</f>
        <v>3872.42831530946</v>
      </c>
      <c r="AL40" s="880">
        <f>AL44*AL3</f>
        <v>4103.4340392852</v>
      </c>
      <c r="AN40" s="874"/>
      <c r="AO40" s="874"/>
      <c r="AP40" s="874"/>
    </row>
    <row r="41" customHeight="1" spans="1:42">
      <c r="A41" s="875" t="s">
        <v>61</v>
      </c>
      <c r="B41" s="876" t="s">
        <v>173</v>
      </c>
      <c r="C41" s="868">
        <f t="shared" ref="C41:M41" si="97">C40/B40-1</f>
        <v>0.245894802689882</v>
      </c>
      <c r="D41" s="868">
        <f t="shared" si="97"/>
        <v>0.476541143654114</v>
      </c>
      <c r="E41" s="868">
        <f t="shared" si="97"/>
        <v>0.294644274001587</v>
      </c>
      <c r="F41" s="868">
        <f t="shared" si="97"/>
        <v>0.0678849041378535</v>
      </c>
      <c r="G41" s="868">
        <f t="shared" si="97"/>
        <v>0.303583214111493</v>
      </c>
      <c r="H41" s="868">
        <f t="shared" si="97"/>
        <v>0.0912681572560756</v>
      </c>
      <c r="I41" s="868">
        <f t="shared" si="97"/>
        <v>0.18298174522214</v>
      </c>
      <c r="J41" s="868">
        <f t="shared" si="97"/>
        <v>0.0624106717484516</v>
      </c>
      <c r="K41" s="868">
        <f t="shared" si="97"/>
        <v>-0.11468908819133</v>
      </c>
      <c r="L41" s="868">
        <f t="shared" si="97"/>
        <v>-0.000986031779264041</v>
      </c>
      <c r="M41" s="868">
        <f t="shared" si="97"/>
        <v>0.156012702619112</v>
      </c>
      <c r="N41" s="868">
        <f t="shared" ref="N41:T41" si="98">N40/M40-1</f>
        <v>0.0994152046783625</v>
      </c>
      <c r="O41" s="868">
        <f t="shared" si="98"/>
        <v>0.128989361702128</v>
      </c>
      <c r="P41" s="868">
        <f t="shared" si="98"/>
        <v>0.434628975265018</v>
      </c>
      <c r="Q41" s="868">
        <f t="shared" si="98"/>
        <v>-0.0426929392446633</v>
      </c>
      <c r="R41" s="767">
        <f t="shared" si="98"/>
        <v>0.455403087478559</v>
      </c>
      <c r="S41" s="767">
        <f t="shared" si="98"/>
        <v>0.111962286387743</v>
      </c>
      <c r="T41" s="767">
        <f t="shared" si="98"/>
        <v>-0.0514043455219926</v>
      </c>
      <c r="U41" s="868">
        <f t="shared" ref="U41:AL41" si="99">U40/T40-1</f>
        <v>0.0195530726256983</v>
      </c>
      <c r="V41" s="868">
        <f t="shared" si="99"/>
        <v>-0.0947945205479452</v>
      </c>
      <c r="W41" s="868">
        <f t="shared" si="99"/>
        <v>0.225181598062954</v>
      </c>
      <c r="X41" s="868">
        <f t="shared" si="99"/>
        <v>0.233201581027668</v>
      </c>
      <c r="Y41" s="879">
        <f t="shared" si="99"/>
        <v>-0.208733974358974</v>
      </c>
      <c r="Z41" s="879">
        <f t="shared" si="99"/>
        <v>0.164556962025316</v>
      </c>
      <c r="AA41" s="879">
        <f t="shared" si="99"/>
        <v>0.175217391304348</v>
      </c>
      <c r="AB41" s="879">
        <f t="shared" si="99"/>
        <v>-0.115797262301147</v>
      </c>
      <c r="AC41" s="879">
        <f t="shared" si="99"/>
        <v>-0.0401673640167364</v>
      </c>
      <c r="AD41" s="879">
        <f t="shared" si="99"/>
        <v>0.267654751525719</v>
      </c>
      <c r="AE41" s="879">
        <f t="shared" si="99"/>
        <v>-0.217331499312242</v>
      </c>
      <c r="AF41" s="879">
        <f t="shared" si="99"/>
        <v>0.360281195079086</v>
      </c>
      <c r="AG41" s="879">
        <f t="shared" si="99"/>
        <v>-0.060077519379845</v>
      </c>
      <c r="AH41" s="879">
        <f t="shared" si="99"/>
        <v>0.0935847469388953</v>
      </c>
      <c r="AI41" s="879">
        <f t="shared" si="99"/>
        <v>0.0755804690515973</v>
      </c>
      <c r="AJ41" s="879">
        <f t="shared" si="99"/>
        <v>0.0677282828827417</v>
      </c>
      <c r="AK41" s="879">
        <f t="shared" si="99"/>
        <v>0.0595813354253465</v>
      </c>
      <c r="AL41" s="879">
        <f t="shared" si="99"/>
        <v>0.059653970368533</v>
      </c>
      <c r="AN41" s="874"/>
      <c r="AO41" s="874"/>
      <c r="AP41" s="874"/>
    </row>
    <row r="42" hidden="1" customHeight="1" spans="1:42">
      <c r="A42" s="875" t="s">
        <v>992</v>
      </c>
      <c r="B42" s="876"/>
      <c r="C42" s="868"/>
      <c r="D42" s="868"/>
      <c r="E42" s="868"/>
      <c r="F42" s="868"/>
      <c r="G42" s="868"/>
      <c r="H42" s="868"/>
      <c r="I42" s="868"/>
      <c r="J42" s="868"/>
      <c r="K42" s="868"/>
      <c r="L42" s="868"/>
      <c r="M42" s="894">
        <f>M41/M13</f>
        <v>2.41541849055094</v>
      </c>
      <c r="N42" s="894">
        <f t="shared" ref="N42:U42" si="100">N41/N13</f>
        <v>0.324351994043464</v>
      </c>
      <c r="O42" s="894">
        <f t="shared" si="100"/>
        <v>9.42208655706002</v>
      </c>
      <c r="P42" s="894">
        <f t="shared" si="100"/>
        <v>1.93445519318774</v>
      </c>
      <c r="Q42" s="894">
        <f t="shared" si="100"/>
        <v>0.162542774414319</v>
      </c>
      <c r="R42" s="894">
        <f t="shared" si="100"/>
        <v>1.0088824422906</v>
      </c>
      <c r="S42" s="894">
        <f t="shared" si="100"/>
        <v>0.651333736887824</v>
      </c>
      <c r="T42" s="894">
        <f t="shared" si="100"/>
        <v>8.03835453100159</v>
      </c>
      <c r="U42" s="894">
        <f t="shared" si="100"/>
        <v>0.328438773969499</v>
      </c>
      <c r="V42" s="894">
        <f t="shared" ref="V42:AB42" si="101">V41/V13</f>
        <v>2.31193302891933</v>
      </c>
      <c r="W42" s="894">
        <f t="shared" si="101"/>
        <v>0.969009738853529</v>
      </c>
      <c r="X42" s="894">
        <f t="shared" si="101"/>
        <v>1.11685618729097</v>
      </c>
      <c r="Y42" s="895">
        <f t="shared" si="101"/>
        <v>11.0629006410256</v>
      </c>
      <c r="Z42" s="895">
        <f t="shared" si="101"/>
        <v>-2.45969353764157</v>
      </c>
      <c r="AA42" s="895">
        <f t="shared" si="101"/>
        <v>0.943162364130434</v>
      </c>
      <c r="AB42" s="895">
        <f t="shared" si="101"/>
        <v>-1.51612761698777</v>
      </c>
      <c r="AC42" s="895">
        <f t="shared" ref="AC42:AH42" si="102">AC41/AC13</f>
        <v>0.455195617478325</v>
      </c>
      <c r="AD42" s="895">
        <f t="shared" si="102"/>
        <v>0.546348217345524</v>
      </c>
      <c r="AE42" s="895">
        <f t="shared" si="102"/>
        <v>0.896492434662998</v>
      </c>
      <c r="AF42" s="895">
        <f t="shared" si="102"/>
        <v>3.51351812011393</v>
      </c>
      <c r="AG42" s="895">
        <f t="shared" si="102"/>
        <v>-0.355547739247979</v>
      </c>
      <c r="AH42" s="895">
        <f t="shared" si="102"/>
        <v>2.84989923047494</v>
      </c>
      <c r="AI42" s="895">
        <f t="shared" ref="AI42:AJ42" si="103">AI41/AI13</f>
        <v>1.14706074562513</v>
      </c>
      <c r="AJ42" s="895">
        <f t="shared" si="103"/>
        <v>1.55834296807536</v>
      </c>
      <c r="AK42" s="895">
        <f t="shared" ref="AK42:AL42" si="104">AK41/AK13</f>
        <v>1.70525159041086</v>
      </c>
      <c r="AL42" s="895">
        <f t="shared" si="104"/>
        <v>0.999999999999996</v>
      </c>
      <c r="AN42" s="874"/>
      <c r="AO42" s="874"/>
      <c r="AP42" s="874"/>
    </row>
    <row r="43" hidden="1" customHeight="1" spans="1:42">
      <c r="A43" s="875"/>
      <c r="B43" s="876"/>
      <c r="C43" s="868"/>
      <c r="D43" s="868"/>
      <c r="E43" s="868"/>
      <c r="F43" s="868"/>
      <c r="G43" s="868"/>
      <c r="H43" s="868"/>
      <c r="I43" s="868"/>
      <c r="J43" s="868"/>
      <c r="K43" s="868"/>
      <c r="L43" s="868"/>
      <c r="M43" s="894">
        <f>M40/M12</f>
        <v>0.55609756097561</v>
      </c>
      <c r="N43" s="894">
        <f t="shared" ref="N43:W43" si="105">N40/N12</f>
        <v>0.467952706907281</v>
      </c>
      <c r="O43" s="894">
        <f t="shared" si="105"/>
        <v>0.521178637200737</v>
      </c>
      <c r="P43" s="894">
        <f t="shared" si="105"/>
        <v>0.610526315789474</v>
      </c>
      <c r="Q43" s="894">
        <f t="shared" si="105"/>
        <v>0.792658055744392</v>
      </c>
      <c r="R43" s="894">
        <f t="shared" si="105"/>
        <v>0.794847775175644</v>
      </c>
      <c r="S43" s="894">
        <f t="shared" si="105"/>
        <v>0.754196642685851</v>
      </c>
      <c r="T43" s="894">
        <f t="shared" si="105"/>
        <v>0.720032180209171</v>
      </c>
      <c r="U43" s="894">
        <f t="shared" si="105"/>
        <v>0.692862566438876</v>
      </c>
      <c r="V43" s="894">
        <f t="shared" si="105"/>
        <v>0.653998416468725</v>
      </c>
      <c r="W43" s="894">
        <f t="shared" si="105"/>
        <v>0.65017667844523</v>
      </c>
      <c r="X43" s="894">
        <f t="shared" ref="X43:AC43" si="106">X40/X12</f>
        <v>0.663300558065373</v>
      </c>
      <c r="Y43" s="895">
        <f t="shared" si="106"/>
        <v>0.534940411700975</v>
      </c>
      <c r="Z43" s="895">
        <f t="shared" si="106"/>
        <v>0.667634252539913</v>
      </c>
      <c r="AA43" s="895">
        <f t="shared" si="106"/>
        <v>0.661689106487148</v>
      </c>
      <c r="AB43" s="895">
        <f t="shared" si="106"/>
        <v>0.543552422105981</v>
      </c>
      <c r="AC43" s="895">
        <f t="shared" si="106"/>
        <v>0.572212521825892</v>
      </c>
      <c r="AD43" s="895">
        <f t="shared" ref="AD43:AE43" si="107">AD40/AD12</f>
        <v>0.486857525531559</v>
      </c>
      <c r="AE43" s="895">
        <f t="shared" si="107"/>
        <v>0.502983425414365</v>
      </c>
      <c r="AF43" s="895">
        <f t="shared" ref="AF43:AG43" si="108">AF40/AF12</f>
        <v>0.620565243535779</v>
      </c>
      <c r="AG43" s="895">
        <f t="shared" si="108"/>
        <v>0.498971193415638</v>
      </c>
      <c r="AH43" s="895">
        <f t="shared" ref="AH43:AI43" si="109">AH40/AH12</f>
        <v>0.528318411515381</v>
      </c>
      <c r="AI43" s="895">
        <f t="shared" si="109"/>
        <v>0.53312130616552</v>
      </c>
      <c r="AJ43" s="895">
        <f t="shared" ref="AJ43:AK43" si="110">AJ40/AJ12</f>
        <v>0.545519476076347</v>
      </c>
      <c r="AK43" s="895">
        <f t="shared" si="110"/>
        <v>0.558508035030545</v>
      </c>
      <c r="AL43" s="895">
        <f t="shared" ref="AL43" si="111">AL40/AL12</f>
        <v>0.558508035030545</v>
      </c>
      <c r="AN43" s="874"/>
      <c r="AO43" s="874"/>
      <c r="AP43" s="874"/>
    </row>
    <row r="44" customHeight="1" spans="1:42">
      <c r="A44" s="875" t="s">
        <v>218</v>
      </c>
      <c r="B44" s="876" t="s">
        <v>173</v>
      </c>
      <c r="C44" s="868">
        <f t="shared" ref="C44:N44" si="112">C40/C$3</f>
        <v>0.102421548236692</v>
      </c>
      <c r="D44" s="868">
        <f t="shared" si="112"/>
        <v>0.112399966705114</v>
      </c>
      <c r="E44" s="868">
        <f t="shared" si="112"/>
        <v>0.102310937573946</v>
      </c>
      <c r="F44" s="868">
        <f t="shared" si="112"/>
        <v>0.0738690101399822</v>
      </c>
      <c r="G44" s="868">
        <f t="shared" si="112"/>
        <v>0.0911066205524184</v>
      </c>
      <c r="H44" s="868">
        <f t="shared" si="112"/>
        <v>0.0912251928020566</v>
      </c>
      <c r="I44" s="868">
        <f t="shared" si="112"/>
        <v>0.103020983592718</v>
      </c>
      <c r="J44" s="868">
        <f t="shared" si="112"/>
        <v>0.102553584247769</v>
      </c>
      <c r="K44" s="868">
        <f t="shared" si="112"/>
        <v>0.0945096380928065</v>
      </c>
      <c r="L44" s="868">
        <f t="shared" si="112"/>
        <v>0.101039788251366</v>
      </c>
      <c r="M44" s="868">
        <f t="shared" si="112"/>
        <v>0.103074141048825</v>
      </c>
      <c r="N44" s="868">
        <f t="shared" si="112"/>
        <v>0.0745735819119397</v>
      </c>
      <c r="O44" s="868">
        <f t="shared" ref="O44:V44" si="113">O40/O$3</f>
        <v>0.0824351878823187</v>
      </c>
      <c r="P44" s="868">
        <f t="shared" si="113"/>
        <v>0.112788221131586</v>
      </c>
      <c r="Q44" s="868">
        <f t="shared" si="113"/>
        <v>0.112320585685387</v>
      </c>
      <c r="R44" s="765">
        <f t="shared" si="113"/>
        <v>0.141534612176814</v>
      </c>
      <c r="S44" s="765">
        <f t="shared" si="113"/>
        <v>0.141634766944382</v>
      </c>
      <c r="T44" s="765">
        <f t="shared" si="113"/>
        <v>0.120271450648391</v>
      </c>
      <c r="U44" s="883">
        <f t="shared" si="113"/>
        <v>0.128475888771559</v>
      </c>
      <c r="V44" s="883">
        <f t="shared" si="113"/>
        <v>0.113664510802257</v>
      </c>
      <c r="W44" s="883">
        <f t="shared" ref="W44:AG44" si="114">W40/W$3</f>
        <v>0.119657109074786</v>
      </c>
      <c r="X44" s="883">
        <f t="shared" si="114"/>
        <v>0.129393468118196</v>
      </c>
      <c r="Y44" s="883">
        <f t="shared" si="114"/>
        <v>0.0930813460269582</v>
      </c>
      <c r="Z44" s="883">
        <f t="shared" si="114"/>
        <v>0.104950946840064</v>
      </c>
      <c r="AA44" s="883">
        <f t="shared" si="114"/>
        <v>0.11433526500571</v>
      </c>
      <c r="AB44" s="883">
        <f t="shared" si="114"/>
        <v>0.120439427534771</v>
      </c>
      <c r="AC44" s="883">
        <f t="shared" si="114"/>
        <v>0.108034284637845</v>
      </c>
      <c r="AD44" s="883">
        <f t="shared" si="114"/>
        <v>0.129181289147528</v>
      </c>
      <c r="AE44" s="883">
        <f t="shared" si="114"/>
        <v>0.11006867201857</v>
      </c>
      <c r="AF44" s="883">
        <f t="shared" si="114"/>
        <v>0.13441583814527</v>
      </c>
      <c r="AG44" s="883">
        <f t="shared" si="114"/>
        <v>0.117286687356414</v>
      </c>
      <c r="AH44" s="879">
        <f t="shared" ref="AH44:AL44" si="115">AG44</f>
        <v>0.117286687356414</v>
      </c>
      <c r="AI44" s="879">
        <f t="shared" si="115"/>
        <v>0.117286687356414</v>
      </c>
      <c r="AJ44" s="879">
        <f t="shared" si="115"/>
        <v>0.117286687356414</v>
      </c>
      <c r="AK44" s="879">
        <f t="shared" si="115"/>
        <v>0.117286687356414</v>
      </c>
      <c r="AL44" s="879">
        <f t="shared" si="115"/>
        <v>0.117286687356414</v>
      </c>
      <c r="AM44" s="888"/>
      <c r="AN44" s="874"/>
      <c r="AO44" s="874"/>
      <c r="AP44" s="874"/>
    </row>
    <row r="45" hidden="1" customHeight="1" spans="1:42">
      <c r="A45" s="860" t="s">
        <v>993</v>
      </c>
      <c r="B45" s="876">
        <v>0</v>
      </c>
      <c r="C45" s="876">
        <v>0</v>
      </c>
      <c r="D45" s="876">
        <v>0</v>
      </c>
      <c r="E45" s="876">
        <v>0</v>
      </c>
      <c r="F45" s="876">
        <v>0</v>
      </c>
      <c r="G45" s="876">
        <v>0</v>
      </c>
      <c r="H45" s="876">
        <v>0</v>
      </c>
      <c r="I45" s="876">
        <v>0</v>
      </c>
      <c r="J45" s="876">
        <v>0</v>
      </c>
      <c r="K45" s="876">
        <v>0</v>
      </c>
      <c r="L45" s="876">
        <v>0</v>
      </c>
      <c r="M45" s="876">
        <v>0</v>
      </c>
      <c r="N45" s="876">
        <v>0</v>
      </c>
      <c r="O45" s="876">
        <v>0</v>
      </c>
      <c r="P45" s="876">
        <v>0</v>
      </c>
      <c r="Q45" s="876">
        <v>0</v>
      </c>
      <c r="R45" s="876">
        <v>0</v>
      </c>
      <c r="S45" s="876">
        <v>0</v>
      </c>
      <c r="T45" s="876">
        <v>0</v>
      </c>
      <c r="U45" s="876">
        <v>0</v>
      </c>
      <c r="V45" s="876">
        <v>0</v>
      </c>
      <c r="W45" s="876">
        <v>0</v>
      </c>
      <c r="X45" s="876">
        <v>0</v>
      </c>
      <c r="Y45" s="882">
        <v>0</v>
      </c>
      <c r="Z45" s="882">
        <v>0</v>
      </c>
      <c r="AA45" s="882">
        <v>0</v>
      </c>
      <c r="AB45" s="882">
        <v>0</v>
      </c>
      <c r="AC45" s="882">
        <v>0</v>
      </c>
      <c r="AD45" s="882">
        <v>0</v>
      </c>
      <c r="AE45" s="882">
        <v>0</v>
      </c>
      <c r="AF45" s="882">
        <v>0</v>
      </c>
      <c r="AG45" s="882">
        <v>0</v>
      </c>
      <c r="AH45" s="882">
        <v>0</v>
      </c>
      <c r="AI45" s="882">
        <v>0</v>
      </c>
      <c r="AJ45" s="882">
        <v>0</v>
      </c>
      <c r="AK45" s="882">
        <v>0</v>
      </c>
      <c r="AL45" s="882">
        <v>0</v>
      </c>
      <c r="AN45" s="874"/>
      <c r="AO45" s="874"/>
      <c r="AP45" s="874"/>
    </row>
    <row r="46" customHeight="1" spans="1:42">
      <c r="A46" s="858" t="s">
        <v>994</v>
      </c>
      <c r="B46" s="867">
        <v>126.7906401</v>
      </c>
      <c r="C46" s="867">
        <v>219.29657</v>
      </c>
      <c r="D46" s="867">
        <v>238.235122</v>
      </c>
      <c r="E46" s="867">
        <v>779.6430225</v>
      </c>
      <c r="F46" s="867">
        <v>1460.1485541</v>
      </c>
      <c r="G46" s="867">
        <v>177</v>
      </c>
      <c r="H46" s="867">
        <v>279.422</v>
      </c>
      <c r="I46" s="867">
        <v>196.038</v>
      </c>
      <c r="J46" s="867">
        <v>0</v>
      </c>
      <c r="K46" s="867">
        <v>0</v>
      </c>
      <c r="L46" s="867">
        <v>185.837</v>
      </c>
      <c r="M46" s="867">
        <v>0</v>
      </c>
      <c r="N46" s="867">
        <v>0</v>
      </c>
      <c r="O46" s="867">
        <v>0</v>
      </c>
      <c r="P46" s="867">
        <v>0</v>
      </c>
      <c r="Q46" s="867">
        <v>0</v>
      </c>
      <c r="R46" s="867">
        <v>284</v>
      </c>
      <c r="S46" s="867">
        <v>289</v>
      </c>
      <c r="T46" s="867">
        <v>280</v>
      </c>
      <c r="U46" s="867">
        <v>681</v>
      </c>
      <c r="V46" s="867">
        <v>288</v>
      </c>
      <c r="W46" s="867">
        <v>366</v>
      </c>
      <c r="X46" s="867">
        <v>636</v>
      </c>
      <c r="Y46" s="880">
        <v>137</v>
      </c>
      <c r="Z46" s="880">
        <v>66</v>
      </c>
      <c r="AA46" s="880">
        <v>43</v>
      </c>
      <c r="AB46" s="880">
        <v>686</v>
      </c>
      <c r="AC46" s="880">
        <v>29</v>
      </c>
      <c r="AD46" s="880">
        <v>527</v>
      </c>
      <c r="AE46" s="880">
        <v>549</v>
      </c>
      <c r="AF46" s="880">
        <v>570</v>
      </c>
      <c r="AG46" s="880">
        <v>645</v>
      </c>
      <c r="AH46" s="880">
        <f t="shared" ref="AH46:AL48" si="116">AG46</f>
        <v>645</v>
      </c>
      <c r="AI46" s="880">
        <f t="shared" si="116"/>
        <v>645</v>
      </c>
      <c r="AJ46" s="880">
        <f t="shared" si="116"/>
        <v>645</v>
      </c>
      <c r="AK46" s="880">
        <f t="shared" si="116"/>
        <v>645</v>
      </c>
      <c r="AL46" s="880">
        <f t="shared" si="116"/>
        <v>645</v>
      </c>
      <c r="AM46" s="867"/>
      <c r="AN46" s="874"/>
      <c r="AO46" s="874"/>
      <c r="AP46" s="874"/>
    </row>
    <row r="47" customHeight="1" spans="1:42">
      <c r="A47" s="860" t="s">
        <v>995</v>
      </c>
      <c r="B47" s="876">
        <v>0</v>
      </c>
      <c r="C47" s="876">
        <v>0</v>
      </c>
      <c r="D47" s="876">
        <v>0</v>
      </c>
      <c r="E47" s="876">
        <v>0</v>
      </c>
      <c r="F47" s="876">
        <v>0</v>
      </c>
      <c r="G47" s="876">
        <v>0</v>
      </c>
      <c r="H47" s="876">
        <v>0</v>
      </c>
      <c r="I47" s="876">
        <v>0</v>
      </c>
      <c r="J47" s="876">
        <v>0</v>
      </c>
      <c r="K47" s="876">
        <v>157.764</v>
      </c>
      <c r="L47" s="876">
        <v>0</v>
      </c>
      <c r="M47" s="876">
        <v>283</v>
      </c>
      <c r="N47" s="876">
        <v>283</v>
      </c>
      <c r="O47" s="876">
        <v>285</v>
      </c>
      <c r="P47" s="876">
        <v>321</v>
      </c>
      <c r="Q47" s="876">
        <v>194</v>
      </c>
      <c r="R47" s="876">
        <v>265</v>
      </c>
      <c r="S47" s="876">
        <v>252</v>
      </c>
      <c r="T47" s="876">
        <v>275</v>
      </c>
      <c r="U47" s="876">
        <v>240</v>
      </c>
      <c r="V47" s="876">
        <v>294</v>
      </c>
      <c r="W47" s="876">
        <v>359</v>
      </c>
      <c r="X47" s="876">
        <v>402</v>
      </c>
      <c r="Y47" s="882">
        <v>424</v>
      </c>
      <c r="Z47" s="882">
        <v>268</v>
      </c>
      <c r="AA47" s="882">
        <v>618</v>
      </c>
      <c r="AB47" s="882">
        <v>562</v>
      </c>
      <c r="AC47" s="882">
        <v>536</v>
      </c>
      <c r="AD47" s="882">
        <v>302</v>
      </c>
      <c r="AE47" s="882">
        <v>323</v>
      </c>
      <c r="AF47" s="882">
        <v>334</v>
      </c>
      <c r="AG47" s="882">
        <v>357</v>
      </c>
      <c r="AH47" s="882">
        <f t="shared" si="116"/>
        <v>357</v>
      </c>
      <c r="AI47" s="882">
        <f t="shared" si="116"/>
        <v>357</v>
      </c>
      <c r="AJ47" s="882">
        <f t="shared" si="116"/>
        <v>357</v>
      </c>
      <c r="AK47" s="882">
        <f t="shared" si="116"/>
        <v>357</v>
      </c>
      <c r="AL47" s="882">
        <f t="shared" si="116"/>
        <v>357</v>
      </c>
      <c r="AN47" s="874"/>
      <c r="AO47" s="874"/>
      <c r="AP47" s="874"/>
    </row>
    <row r="48" customHeight="1" spans="1:42">
      <c r="A48" s="860" t="s">
        <v>996</v>
      </c>
      <c r="B48" s="876"/>
      <c r="C48" s="876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O48" s="876"/>
      <c r="P48" s="876"/>
      <c r="Q48" s="876"/>
      <c r="R48" s="876"/>
      <c r="S48" s="876"/>
      <c r="T48" s="876"/>
      <c r="U48" s="876"/>
      <c r="V48" s="876"/>
      <c r="W48" s="876"/>
      <c r="X48" s="876"/>
      <c r="Y48" s="882"/>
      <c r="Z48" s="882"/>
      <c r="AA48" s="882">
        <v>733</v>
      </c>
      <c r="AB48" s="882">
        <v>563</v>
      </c>
      <c r="AC48" s="882">
        <v>573</v>
      </c>
      <c r="AD48" s="882">
        <v>643</v>
      </c>
      <c r="AE48" s="882">
        <v>545</v>
      </c>
      <c r="AF48" s="882">
        <v>607</v>
      </c>
      <c r="AG48" s="882">
        <v>603</v>
      </c>
      <c r="AH48" s="882">
        <f t="shared" si="116"/>
        <v>603</v>
      </c>
      <c r="AI48" s="882">
        <f t="shared" si="116"/>
        <v>603</v>
      </c>
      <c r="AJ48" s="882">
        <f t="shared" si="116"/>
        <v>603</v>
      </c>
      <c r="AK48" s="882">
        <f t="shared" si="116"/>
        <v>603</v>
      </c>
      <c r="AL48" s="882">
        <f t="shared" si="116"/>
        <v>603</v>
      </c>
      <c r="AN48" s="874"/>
      <c r="AO48" s="874"/>
      <c r="AP48" s="874"/>
    </row>
    <row r="49" customHeight="1" spans="1:44">
      <c r="A49" s="860" t="s">
        <v>997</v>
      </c>
      <c r="B49" s="876">
        <v>159.4310095</v>
      </c>
      <c r="C49" s="876">
        <v>161.72419</v>
      </c>
      <c r="D49" s="876">
        <v>224.522056</v>
      </c>
      <c r="E49" s="876">
        <v>304.8856335</v>
      </c>
      <c r="F49" s="876">
        <v>545.996818</v>
      </c>
      <c r="G49" s="876">
        <v>587.4509768</v>
      </c>
      <c r="H49" s="876">
        <v>556.956</v>
      </c>
      <c r="I49" s="876">
        <f>567.936-0.7</f>
        <v>567.236</v>
      </c>
      <c r="J49" s="876">
        <v>712</v>
      </c>
      <c r="K49" s="876">
        <v>593.668</v>
      </c>
      <c r="L49" s="876">
        <f>167.334+558.121+195.884</f>
        <v>921.339</v>
      </c>
      <c r="M49" s="876">
        <f>566+190</f>
        <v>756</v>
      </c>
      <c r="N49" s="876">
        <f>921+232+4</f>
        <v>1157</v>
      </c>
      <c r="O49" s="876">
        <f>1025+266+4</f>
        <v>1295</v>
      </c>
      <c r="P49" s="876">
        <f>1008+295+6</f>
        <v>1309</v>
      </c>
      <c r="Q49" s="876">
        <f>101+320+625+232</f>
        <v>1278</v>
      </c>
      <c r="R49" s="876">
        <f>132+485+842+241</f>
        <v>1700</v>
      </c>
      <c r="S49" s="876">
        <f>66+549+992+303</f>
        <v>1910</v>
      </c>
      <c r="T49" s="876">
        <f>83+563+1084+299</f>
        <v>2029</v>
      </c>
      <c r="U49" s="876">
        <f>113+450+1147+276</f>
        <v>1986</v>
      </c>
      <c r="V49" s="876">
        <f>91+470+1249+287+47</f>
        <v>2144</v>
      </c>
      <c r="W49" s="876">
        <f>143+456+1684+331+0</f>
        <v>2614</v>
      </c>
      <c r="X49" s="896">
        <f>201+573+2023+434</f>
        <v>3231</v>
      </c>
      <c r="Y49" s="882">
        <f>362+741+2180+473-1</f>
        <v>3755</v>
      </c>
      <c r="Z49" s="882">
        <v>4200</v>
      </c>
      <c r="AA49" s="882">
        <v>4657</v>
      </c>
      <c r="AB49" s="882">
        <f>AB37-AB69-AB59-AB55-AB53-AB40-AB47-AB46-AB48-AB58</f>
        <v>4910</v>
      </c>
      <c r="AC49" s="882">
        <f>AC37-AC69-AC59-AC55-AC53-AC40-AC47-AC46-AC48-AC58</f>
        <v>5800</v>
      </c>
      <c r="AD49" s="882">
        <f t="shared" ref="AD49:AF49" si="117">AD37-AD69-AD59-AD55-AD53-AD40-AD47-AD46-AD48-AD58</f>
        <v>4996</v>
      </c>
      <c r="AE49" s="882">
        <f t="shared" si="117"/>
        <v>4350</v>
      </c>
      <c r="AF49" s="882">
        <f t="shared" si="117"/>
        <v>4985</v>
      </c>
      <c r="AG49" s="882">
        <f t="shared" ref="AG49:AH49" si="118">AG37-AG69-AG59-AG55-AG53-AG40-AG47-AG46-AG48-AG58</f>
        <v>4580</v>
      </c>
      <c r="AH49" s="882">
        <f t="shared" si="118"/>
        <v>4716.04741659492</v>
      </c>
      <c r="AI49" s="882">
        <f t="shared" ref="AI49:AJ49" si="119">AI37-AI69-AI59-AI55-AI53-AI40-AI47-AI46-AI48-AI58</f>
        <v>5013.98115089002</v>
      </c>
      <c r="AJ49" s="882">
        <f t="shared" si="119"/>
        <v>5315.86250323552</v>
      </c>
      <c r="AK49" s="882">
        <f t="shared" ref="AK49:AL49" si="120">AK37-AK69-AK59-AK55-AK53-AK40-AK47-AK46-AK48-AK58</f>
        <v>5613.79302048897</v>
      </c>
      <c r="AL49" s="882">
        <f t="shared" si="120"/>
        <v>5925.41903948593</v>
      </c>
      <c r="AM49" s="858"/>
      <c r="AN49" s="874"/>
      <c r="AO49" s="874"/>
      <c r="AP49" s="874"/>
      <c r="AR49" s="874"/>
    </row>
    <row r="50" hidden="1" customHeight="1" spans="1:44">
      <c r="A50" s="875" t="s">
        <v>61</v>
      </c>
      <c r="B50" s="876" t="s">
        <v>173</v>
      </c>
      <c r="C50" s="868">
        <f t="shared" ref="C50:U50" si="121">C49/B49-1</f>
        <v>0.0143835286948992</v>
      </c>
      <c r="D50" s="868">
        <f t="shared" si="121"/>
        <v>0.388302244704395</v>
      </c>
      <c r="E50" s="868">
        <f t="shared" si="121"/>
        <v>0.357931772636181</v>
      </c>
      <c r="F50" s="868">
        <f t="shared" si="121"/>
        <v>0.790825011110273</v>
      </c>
      <c r="G50" s="868">
        <f t="shared" si="121"/>
        <v>0.0759238102372968</v>
      </c>
      <c r="H50" s="868">
        <f t="shared" si="121"/>
        <v>-0.0519106751104816</v>
      </c>
      <c r="I50" s="868">
        <f t="shared" si="121"/>
        <v>0.0184574724035651</v>
      </c>
      <c r="J50" s="868">
        <f t="shared" si="121"/>
        <v>0.255209471895296</v>
      </c>
      <c r="K50" s="868">
        <f t="shared" si="121"/>
        <v>-0.166196629213483</v>
      </c>
      <c r="L50" s="868">
        <f t="shared" si="121"/>
        <v>0.551943173625663</v>
      </c>
      <c r="M50" s="868">
        <f t="shared" si="121"/>
        <v>-0.179455119125534</v>
      </c>
      <c r="N50" s="868">
        <f t="shared" si="121"/>
        <v>0.53042328042328</v>
      </c>
      <c r="O50" s="868">
        <f t="shared" si="121"/>
        <v>0.119273984442524</v>
      </c>
      <c r="P50" s="868">
        <f t="shared" si="121"/>
        <v>0.0108108108108107</v>
      </c>
      <c r="Q50" s="868">
        <f t="shared" si="121"/>
        <v>-0.0236822001527884</v>
      </c>
      <c r="R50" s="868">
        <f t="shared" si="121"/>
        <v>0.330203442879499</v>
      </c>
      <c r="S50" s="868">
        <f t="shared" si="121"/>
        <v>0.123529411764706</v>
      </c>
      <c r="T50" s="868">
        <f t="shared" si="121"/>
        <v>0.0623036649214659</v>
      </c>
      <c r="U50" s="868">
        <f t="shared" si="121"/>
        <v>-0.0211927057663874</v>
      </c>
      <c r="V50" s="868">
        <f t="shared" ref="V50:AL50" si="122">V49/U49-1</f>
        <v>0.0795568982880162</v>
      </c>
      <c r="W50" s="868">
        <f t="shared" si="122"/>
        <v>0.219216417910448</v>
      </c>
      <c r="X50" s="868">
        <f t="shared" si="122"/>
        <v>0.236036725325172</v>
      </c>
      <c r="Y50" s="879">
        <f t="shared" si="122"/>
        <v>0.162178891983906</v>
      </c>
      <c r="Z50" s="879">
        <f t="shared" si="122"/>
        <v>0.118508655126498</v>
      </c>
      <c r="AA50" s="879">
        <f t="shared" si="122"/>
        <v>0.108809523809524</v>
      </c>
      <c r="AB50" s="879">
        <f t="shared" si="122"/>
        <v>0.0543268198410993</v>
      </c>
      <c r="AC50" s="879">
        <f t="shared" si="122"/>
        <v>0.181262729124236</v>
      </c>
      <c r="AD50" s="879">
        <f t="shared" si="122"/>
        <v>-0.138620689655172</v>
      </c>
      <c r="AE50" s="879">
        <f t="shared" si="122"/>
        <v>-0.129303442754203</v>
      </c>
      <c r="AF50" s="879">
        <f t="shared" si="122"/>
        <v>0.145977011494253</v>
      </c>
      <c r="AG50" s="879">
        <f t="shared" si="122"/>
        <v>-0.0812437311935807</v>
      </c>
      <c r="AH50" s="879">
        <f t="shared" si="122"/>
        <v>0.029704676112428</v>
      </c>
      <c r="AI50" s="879">
        <f t="shared" si="122"/>
        <v>0.0631744569078592</v>
      </c>
      <c r="AJ50" s="879">
        <f t="shared" si="122"/>
        <v>0.0602079152794424</v>
      </c>
      <c r="AK50" s="879">
        <f t="shared" si="122"/>
        <v>0.0560455649618685</v>
      </c>
      <c r="AL50" s="879">
        <f t="shared" si="122"/>
        <v>0.0555107781600781</v>
      </c>
      <c r="AN50" s="874"/>
      <c r="AO50" s="874"/>
      <c r="AP50" s="874"/>
    </row>
    <row r="51" hidden="1" customHeight="1" spans="1:44">
      <c r="A51" s="875" t="s">
        <v>218</v>
      </c>
      <c r="B51" s="876" t="s">
        <v>173</v>
      </c>
      <c r="C51" s="868">
        <f t="shared" ref="C51:R51" si="123">C49/C$3</f>
        <v>0.0903652320983704</v>
      </c>
      <c r="D51" s="868">
        <f t="shared" si="123"/>
        <v>0.0932426670562395</v>
      </c>
      <c r="E51" s="868">
        <f t="shared" si="123"/>
        <v>0.0890221470387086</v>
      </c>
      <c r="F51" s="868">
        <f t="shared" si="123"/>
        <v>0.107787148593567</v>
      </c>
      <c r="G51" s="868">
        <f t="shared" si="123"/>
        <v>0.109722931017834</v>
      </c>
      <c r="H51" s="868">
        <f t="shared" si="123"/>
        <v>0.0954508997429306</v>
      </c>
      <c r="I51" s="868">
        <f t="shared" si="123"/>
        <v>0.0928016684916612</v>
      </c>
      <c r="J51" s="868">
        <f t="shared" si="123"/>
        <v>0.109145219707641</v>
      </c>
      <c r="K51" s="868">
        <f t="shared" si="123"/>
        <v>0.09473223973958</v>
      </c>
      <c r="L51" s="868">
        <f t="shared" si="123"/>
        <v>0.157332479508197</v>
      </c>
      <c r="M51" s="868">
        <f t="shared" si="123"/>
        <v>0.113924050632911</v>
      </c>
      <c r="N51" s="868">
        <f t="shared" si="123"/>
        <v>0.114736215787386</v>
      </c>
      <c r="O51" s="868">
        <f t="shared" si="123"/>
        <v>0.125740363142053</v>
      </c>
      <c r="P51" s="868">
        <f t="shared" si="123"/>
        <v>0.121214927308084</v>
      </c>
      <c r="Q51" s="868">
        <f t="shared" si="123"/>
        <v>0.123109527020518</v>
      </c>
      <c r="R51" s="868">
        <f t="shared" si="123"/>
        <v>0.141784820683903</v>
      </c>
      <c r="S51" s="868">
        <f t="shared" ref="S51:AB51" si="124">S49/S$3</f>
        <v>0.143361104856264</v>
      </c>
      <c r="T51" s="868">
        <f t="shared" si="124"/>
        <v>0.13633004098636</v>
      </c>
      <c r="U51" s="868">
        <f t="shared" si="124"/>
        <v>0.139809926082365</v>
      </c>
      <c r="V51" s="868">
        <f t="shared" si="124"/>
        <v>0.147516168983074</v>
      </c>
      <c r="W51" s="868">
        <f t="shared" si="124"/>
        <v>0.154537392846586</v>
      </c>
      <c r="X51" s="868">
        <f t="shared" si="124"/>
        <v>0.167496111975117</v>
      </c>
      <c r="Y51" s="879">
        <f t="shared" si="124"/>
        <v>0.176972381939862</v>
      </c>
      <c r="Z51" s="879">
        <f t="shared" si="124"/>
        <v>0.191649555099247</v>
      </c>
      <c r="AA51" s="879">
        <f t="shared" si="124"/>
        <v>0.196988283067552</v>
      </c>
      <c r="AB51" s="879">
        <f t="shared" si="124"/>
        <v>0.247429953638379</v>
      </c>
      <c r="AC51" s="879">
        <f t="shared" ref="AC51:AH51" si="125">AC49/AC$3</f>
        <v>0.273146839973627</v>
      </c>
      <c r="AD51" s="879">
        <f t="shared" si="125"/>
        <v>0.221935942428146</v>
      </c>
      <c r="AE51" s="879">
        <f t="shared" si="125"/>
        <v>0.21036850759261</v>
      </c>
      <c r="AF51" s="879">
        <f t="shared" si="125"/>
        <v>0.216428602439977</v>
      </c>
      <c r="AG51" s="879">
        <f t="shared" si="125"/>
        <v>0.184595542299786</v>
      </c>
      <c r="AH51" s="879">
        <f t="shared" si="125"/>
        <v>0.173812677643556</v>
      </c>
      <c r="AI51" s="879">
        <f t="shared" ref="AI51:AJ51" si="126">AI49/AI$3</f>
        <v>0.171807879070481</v>
      </c>
      <c r="AJ51" s="879">
        <f t="shared" si="126"/>
        <v>0.170597778684019</v>
      </c>
      <c r="AK51" s="879">
        <f t="shared" ref="AK51:AL51" si="127">AK49/AK$3</f>
        <v>0.170028502341713</v>
      </c>
      <c r="AL51" s="879">
        <f t="shared" si="127"/>
        <v>0.169363699693097</v>
      </c>
      <c r="AN51" s="874"/>
      <c r="AO51" s="874"/>
      <c r="AP51" s="874"/>
    </row>
    <row r="52" customHeight="1" spans="1:44">
      <c r="A52" s="884" t="s">
        <v>998</v>
      </c>
      <c r="B52" s="885">
        <f t="shared" ref="B52:Q52" si="128">B49+B47+B46+B40</f>
        <v>433.3456681</v>
      </c>
      <c r="C52" s="885">
        <f t="shared" si="128"/>
        <v>564.32181</v>
      </c>
      <c r="D52" s="885">
        <f t="shared" si="128"/>
        <v>733.40872</v>
      </c>
      <c r="E52" s="885">
        <f t="shared" si="128"/>
        <v>1434.9261251</v>
      </c>
      <c r="F52" s="885">
        <f t="shared" si="128"/>
        <v>2380.3295398</v>
      </c>
      <c r="G52" s="885">
        <f t="shared" si="128"/>
        <v>1252.2311768</v>
      </c>
      <c r="H52" s="885">
        <f t="shared" si="128"/>
        <v>1368.677</v>
      </c>
      <c r="I52" s="885">
        <f t="shared" si="128"/>
        <v>1392.974</v>
      </c>
      <c r="J52" s="885">
        <f t="shared" si="128"/>
        <v>1381</v>
      </c>
      <c r="K52" s="885">
        <f t="shared" si="128"/>
        <v>1343.705</v>
      </c>
      <c r="L52" s="885">
        <f t="shared" si="128"/>
        <v>1698.865</v>
      </c>
      <c r="M52" s="885">
        <f t="shared" si="128"/>
        <v>1723</v>
      </c>
      <c r="N52" s="885">
        <f t="shared" si="128"/>
        <v>2192</v>
      </c>
      <c r="O52" s="885">
        <f t="shared" si="128"/>
        <v>2429</v>
      </c>
      <c r="P52" s="885">
        <f t="shared" si="128"/>
        <v>2848</v>
      </c>
      <c r="Q52" s="885">
        <f t="shared" si="128"/>
        <v>2638</v>
      </c>
      <c r="R52" s="885">
        <f t="shared" ref="R52:W52" si="129">R49+R47+R46+R40</f>
        <v>3946</v>
      </c>
      <c r="S52" s="885">
        <f t="shared" si="129"/>
        <v>4338</v>
      </c>
      <c r="T52" s="885">
        <f t="shared" si="129"/>
        <v>4374</v>
      </c>
      <c r="U52" s="885">
        <f t="shared" si="129"/>
        <v>4732</v>
      </c>
      <c r="V52" s="885">
        <f t="shared" si="129"/>
        <v>4378</v>
      </c>
      <c r="W52" s="885">
        <f t="shared" si="129"/>
        <v>5363</v>
      </c>
      <c r="X52" s="885">
        <f t="shared" ref="X52:Z52" si="130">X49+X47+X46+X40</f>
        <v>6765</v>
      </c>
      <c r="Y52" s="886">
        <f t="shared" si="130"/>
        <v>6291</v>
      </c>
      <c r="Z52" s="886">
        <f t="shared" si="130"/>
        <v>6834</v>
      </c>
      <c r="AA52" s="886">
        <f>AA49+AA47+AA46+AA40+AA48</f>
        <v>8754</v>
      </c>
      <c r="AB52" s="886">
        <f>AB49+AB47+AB46+AB40+AB48</f>
        <v>9111</v>
      </c>
      <c r="AC52" s="886">
        <f t="shared" ref="AC52:AE52" si="131">AC49+AC47+AC46+AC40+AC48</f>
        <v>9232</v>
      </c>
      <c r="AD52" s="886">
        <f t="shared" si="131"/>
        <v>9376</v>
      </c>
      <c r="AE52" s="886">
        <f t="shared" si="131"/>
        <v>8043</v>
      </c>
      <c r="AF52" s="886">
        <f t="shared" ref="AF52:AG52" si="132">AF49+AF47+AF46+AF40+AF48</f>
        <v>9592</v>
      </c>
      <c r="AG52" s="886">
        <f t="shared" si="132"/>
        <v>9095</v>
      </c>
      <c r="AH52" s="886">
        <f t="shared" ref="AH52:AI52" si="133">AH49+AH47+AH46+AH40+AH48</f>
        <v>9503.3790301871</v>
      </c>
      <c r="AI52" s="886">
        <f t="shared" si="133"/>
        <v>10041.8348805152</v>
      </c>
      <c r="AJ52" s="886">
        <f t="shared" ref="AJ52:AK52" si="134">AJ49+AJ47+AJ46+AJ40+AJ48</f>
        <v>10575.540238527</v>
      </c>
      <c r="AK52" s="886">
        <f t="shared" si="134"/>
        <v>11091.2213357984</v>
      </c>
      <c r="AL52" s="886">
        <f t="shared" ref="AL52" si="135">AL49+AL47+AL46+AL40+AL48</f>
        <v>11633.8530787711</v>
      </c>
      <c r="AN52" s="874"/>
      <c r="AO52" s="874"/>
      <c r="AP52" s="874"/>
    </row>
    <row r="53" customHeight="1" spans="1:44">
      <c r="A53" s="858" t="s">
        <v>999</v>
      </c>
      <c r="B53" s="867">
        <v>46.472057</v>
      </c>
      <c r="C53" s="867">
        <v>9.76583</v>
      </c>
      <c r="D53" s="867">
        <v>2.5263333</v>
      </c>
      <c r="E53" s="867">
        <v>0</v>
      </c>
      <c r="F53" s="867">
        <v>247.7079771</v>
      </c>
      <c r="G53" s="867">
        <v>1484</v>
      </c>
      <c r="H53" s="867">
        <v>1617</v>
      </c>
      <c r="I53" s="867">
        <v>1570</v>
      </c>
      <c r="J53" s="867">
        <v>1574</v>
      </c>
      <c r="K53" s="867">
        <v>1225.385</v>
      </c>
      <c r="L53" s="867">
        <v>933.949</v>
      </c>
      <c r="M53" s="867">
        <v>1035.115</v>
      </c>
      <c r="N53" s="867">
        <v>2578</v>
      </c>
      <c r="O53" s="867">
        <v>2146</v>
      </c>
      <c r="P53" s="867">
        <f>1776+797</f>
        <v>2573</v>
      </c>
      <c r="Q53" s="867">
        <f>1569+198</f>
        <v>1767</v>
      </c>
      <c r="R53" s="867">
        <f>1337</f>
        <v>1337</v>
      </c>
      <c r="S53" s="867">
        <v>991</v>
      </c>
      <c r="T53" s="867">
        <v>1207</v>
      </c>
      <c r="U53" s="867">
        <v>653</v>
      </c>
      <c r="V53" s="867">
        <v>1584</v>
      </c>
      <c r="W53" s="867">
        <v>1463</v>
      </c>
      <c r="X53" s="867">
        <v>982</v>
      </c>
      <c r="Y53" s="880">
        <v>983</v>
      </c>
      <c r="Z53" s="880">
        <v>1609</v>
      </c>
      <c r="AA53" s="880">
        <v>1595</v>
      </c>
      <c r="AB53" s="880">
        <v>2482</v>
      </c>
      <c r="AC53" s="880">
        <v>2466</v>
      </c>
      <c r="AD53" s="880">
        <v>2946</v>
      </c>
      <c r="AE53" s="880">
        <v>2430</v>
      </c>
      <c r="AF53" s="880">
        <v>1915</v>
      </c>
      <c r="AG53" s="880">
        <v>1996</v>
      </c>
      <c r="AH53" s="880">
        <f>+AG53+AH130</f>
        <v>1996</v>
      </c>
      <c r="AI53" s="880">
        <f>+AH53+AI130</f>
        <v>1996</v>
      </c>
      <c r="AJ53" s="880">
        <f>+AI53+AJ130</f>
        <v>1996</v>
      </c>
      <c r="AK53" s="880">
        <f>+AJ53+AK130</f>
        <v>1996</v>
      </c>
      <c r="AL53" s="880">
        <f>+AK53+AL130</f>
        <v>1996</v>
      </c>
      <c r="AM53" s="874"/>
      <c r="AN53" s="874"/>
      <c r="AO53" s="874"/>
      <c r="AP53" s="874"/>
      <c r="AQ53" s="874"/>
    </row>
    <row r="54" hidden="1" customHeight="1" spans="1:44">
      <c r="A54" s="860" t="s">
        <v>1000</v>
      </c>
      <c r="B54" s="876">
        <v>0</v>
      </c>
      <c r="C54" s="876">
        <v>0</v>
      </c>
      <c r="D54" s="876">
        <v>0</v>
      </c>
      <c r="E54" s="876">
        <v>0</v>
      </c>
      <c r="F54" s="876">
        <v>0</v>
      </c>
      <c r="G54" s="876">
        <v>0</v>
      </c>
      <c r="H54" s="876">
        <v>0</v>
      </c>
      <c r="I54" s="876">
        <v>0</v>
      </c>
      <c r="J54" s="876">
        <v>0</v>
      </c>
      <c r="K54" s="876">
        <v>0</v>
      </c>
      <c r="L54" s="876">
        <v>0</v>
      </c>
      <c r="M54" s="876">
        <v>0</v>
      </c>
      <c r="N54" s="876">
        <v>0</v>
      </c>
      <c r="O54" s="876">
        <v>0</v>
      </c>
      <c r="P54" s="876">
        <v>0</v>
      </c>
      <c r="Q54" s="876">
        <v>0</v>
      </c>
      <c r="R54" s="876">
        <v>0</v>
      </c>
      <c r="S54" s="876">
        <v>0</v>
      </c>
      <c r="T54" s="876">
        <v>0</v>
      </c>
      <c r="U54" s="876">
        <v>0</v>
      </c>
      <c r="V54" s="876">
        <v>0</v>
      </c>
      <c r="W54" s="876">
        <v>0</v>
      </c>
      <c r="X54" s="876">
        <v>0</v>
      </c>
      <c r="Y54" s="882">
        <v>0</v>
      </c>
      <c r="Z54" s="882">
        <v>0</v>
      </c>
      <c r="AA54" s="882">
        <v>0</v>
      </c>
      <c r="AB54" s="882">
        <v>0</v>
      </c>
      <c r="AC54" s="882">
        <v>0</v>
      </c>
      <c r="AD54" s="882">
        <v>0</v>
      </c>
      <c r="AE54" s="882">
        <v>0</v>
      </c>
      <c r="AF54" s="882">
        <v>0</v>
      </c>
      <c r="AG54" s="882">
        <v>0</v>
      </c>
      <c r="AH54" s="882">
        <v>0</v>
      </c>
      <c r="AI54" s="882">
        <v>0</v>
      </c>
      <c r="AJ54" s="882">
        <v>0</v>
      </c>
      <c r="AK54" s="882">
        <v>0</v>
      </c>
      <c r="AL54" s="882">
        <v>0</v>
      </c>
      <c r="AN54" s="874"/>
      <c r="AO54" s="874"/>
      <c r="AP54" s="874"/>
    </row>
    <row r="55" customHeight="1" spans="1:44">
      <c r="A55" s="860" t="s">
        <v>995</v>
      </c>
      <c r="B55" s="876">
        <v>28.7550007</v>
      </c>
      <c r="C55" s="876">
        <v>1.4122106</v>
      </c>
      <c r="D55" s="876">
        <v>1.7261488</v>
      </c>
      <c r="E55" s="876">
        <v>5.2873533</v>
      </c>
      <c r="F55" s="876">
        <v>2.6352402</v>
      </c>
      <c r="G55" s="876">
        <v>11.8938606</v>
      </c>
      <c r="H55" s="876">
        <v>31.748</v>
      </c>
      <c r="I55" s="876">
        <v>41.552</v>
      </c>
      <c r="J55" s="876">
        <v>51</v>
      </c>
      <c r="K55" s="876">
        <v>65.807</v>
      </c>
      <c r="L55" s="876">
        <v>77.915</v>
      </c>
      <c r="M55" s="876">
        <v>42.185</v>
      </c>
      <c r="N55" s="876">
        <v>522</v>
      </c>
      <c r="O55" s="876">
        <v>450</v>
      </c>
      <c r="P55" s="876">
        <v>463</v>
      </c>
      <c r="Q55" s="876">
        <v>433</v>
      </c>
      <c r="R55" s="876">
        <v>451</v>
      </c>
      <c r="S55" s="876">
        <v>430</v>
      </c>
      <c r="T55" s="876">
        <v>368</v>
      </c>
      <c r="U55" s="876">
        <v>338</v>
      </c>
      <c r="V55" s="876">
        <v>390</v>
      </c>
      <c r="W55" s="876">
        <v>368</v>
      </c>
      <c r="X55" s="876">
        <v>387</v>
      </c>
      <c r="Y55" s="882">
        <v>275</v>
      </c>
      <c r="Z55" s="882">
        <v>241</v>
      </c>
      <c r="AA55" s="882">
        <v>280</v>
      </c>
      <c r="AB55" s="882">
        <v>241</v>
      </c>
      <c r="AC55" s="882">
        <v>122</v>
      </c>
      <c r="AD55" s="882">
        <v>135</v>
      </c>
      <c r="AE55" s="882">
        <v>147</v>
      </c>
      <c r="AF55" s="882">
        <v>133</v>
      </c>
      <c r="AG55" s="882">
        <v>45</v>
      </c>
      <c r="AH55" s="882">
        <f>AG55</f>
        <v>45</v>
      </c>
      <c r="AI55" s="882">
        <f>AH55</f>
        <v>45</v>
      </c>
      <c r="AJ55" s="882">
        <f>AI55</f>
        <v>45</v>
      </c>
      <c r="AK55" s="882">
        <f>AJ55</f>
        <v>45</v>
      </c>
      <c r="AL55" s="882">
        <f>AK55</f>
        <v>45</v>
      </c>
      <c r="AN55" s="874"/>
      <c r="AO55" s="874"/>
      <c r="AP55" s="874"/>
      <c r="AQ55" s="897"/>
    </row>
    <row r="56" hidden="1" customHeight="1" spans="1:44">
      <c r="A56" s="875" t="s">
        <v>61</v>
      </c>
      <c r="B56" s="876" t="s">
        <v>173</v>
      </c>
      <c r="C56" s="868">
        <f t="shared" ref="C56:R56" si="136">C55/B55-1</f>
        <v>-0.950888173687299</v>
      </c>
      <c r="D56" s="868">
        <f t="shared" si="136"/>
        <v>0.222302679217958</v>
      </c>
      <c r="E56" s="868">
        <f t="shared" si="136"/>
        <v>2.06309241706161</v>
      </c>
      <c r="F56" s="868">
        <f t="shared" si="136"/>
        <v>-0.501595590368436</v>
      </c>
      <c r="G56" s="868">
        <f t="shared" si="136"/>
        <v>3.51338766006985</v>
      </c>
      <c r="H56" s="868">
        <f t="shared" si="136"/>
        <v>1.6692762819164</v>
      </c>
      <c r="I56" s="868">
        <f t="shared" si="136"/>
        <v>0.308806853975053</v>
      </c>
      <c r="J56" s="868">
        <f t="shared" si="136"/>
        <v>0.22737774355025</v>
      </c>
      <c r="K56" s="868">
        <f t="shared" si="136"/>
        <v>0.290333333333333</v>
      </c>
      <c r="L56" s="868">
        <f t="shared" si="136"/>
        <v>0.183992584375522</v>
      </c>
      <c r="M56" s="868">
        <f t="shared" si="136"/>
        <v>-0.458576654046076</v>
      </c>
      <c r="N56" s="868">
        <f t="shared" si="136"/>
        <v>11.3740666113547</v>
      </c>
      <c r="O56" s="868">
        <f t="shared" si="136"/>
        <v>-0.137931034482759</v>
      </c>
      <c r="P56" s="868">
        <f t="shared" si="136"/>
        <v>0.028888888888889</v>
      </c>
      <c r="Q56" s="868">
        <f t="shared" si="136"/>
        <v>-0.0647948164146869</v>
      </c>
      <c r="R56" s="868">
        <f t="shared" si="136"/>
        <v>0.0415704387990763</v>
      </c>
      <c r="S56" s="868">
        <f t="shared" ref="S56:Y56" si="137">S55/R55-1</f>
        <v>-0.0465631929046563</v>
      </c>
      <c r="T56" s="868">
        <f t="shared" si="137"/>
        <v>-0.144186046511628</v>
      </c>
      <c r="U56" s="868">
        <f t="shared" si="137"/>
        <v>-0.0815217391304348</v>
      </c>
      <c r="V56" s="868">
        <f t="shared" si="137"/>
        <v>0.153846153846154</v>
      </c>
      <c r="W56" s="868">
        <f t="shared" si="137"/>
        <v>-0.0564102564102564</v>
      </c>
      <c r="X56" s="868">
        <f t="shared" si="137"/>
        <v>0.0516304347826086</v>
      </c>
      <c r="Y56" s="879">
        <f t="shared" si="137"/>
        <v>-0.289405684754522</v>
      </c>
      <c r="Z56" s="879">
        <f t="shared" ref="Z56:AL56" si="138">Z55/Y55-1</f>
        <v>-0.123636363636364</v>
      </c>
      <c r="AA56" s="879">
        <f t="shared" si="138"/>
        <v>0.161825726141079</v>
      </c>
      <c r="AB56" s="879">
        <f t="shared" si="138"/>
        <v>-0.139285714285714</v>
      </c>
      <c r="AC56" s="879">
        <f t="shared" si="138"/>
        <v>-0.493775933609959</v>
      </c>
      <c r="AD56" s="879">
        <f t="shared" si="138"/>
        <v>0.10655737704918</v>
      </c>
      <c r="AE56" s="879">
        <f t="shared" si="138"/>
        <v>0.0888888888888888</v>
      </c>
      <c r="AF56" s="879">
        <f t="shared" si="138"/>
        <v>-0.0952380952380952</v>
      </c>
      <c r="AG56" s="879">
        <f t="shared" si="138"/>
        <v>-0.661654135338346</v>
      </c>
      <c r="AH56" s="879">
        <f t="shared" si="138"/>
        <v>0</v>
      </c>
      <c r="AI56" s="879">
        <f t="shared" si="138"/>
        <v>0</v>
      </c>
      <c r="AJ56" s="879">
        <f t="shared" si="138"/>
        <v>0</v>
      </c>
      <c r="AK56" s="879">
        <f t="shared" si="138"/>
        <v>0</v>
      </c>
      <c r="AL56" s="879">
        <f t="shared" si="138"/>
        <v>0</v>
      </c>
      <c r="AN56" s="874"/>
      <c r="AO56" s="874"/>
      <c r="AP56" s="874"/>
    </row>
    <row r="57" hidden="1" customHeight="1" spans="1:44">
      <c r="A57" s="875" t="s">
        <v>218</v>
      </c>
      <c r="B57" s="876" t="s">
        <v>173</v>
      </c>
      <c r="C57" s="868">
        <f t="shared" ref="C57:V57" si="139">C55/C$3</f>
        <v>0.000789088748200123</v>
      </c>
      <c r="D57" s="868">
        <f t="shared" si="139"/>
        <v>0.000716859273050338</v>
      </c>
      <c r="E57" s="868">
        <f t="shared" si="139"/>
        <v>0.00154382985355786</v>
      </c>
      <c r="F57" s="868">
        <f t="shared" si="139"/>
        <v>0.00052023201903924</v>
      </c>
      <c r="G57" s="868">
        <f t="shared" si="139"/>
        <v>0.00222151174768381</v>
      </c>
      <c r="H57" s="868">
        <f t="shared" si="139"/>
        <v>0.00544095972579263</v>
      </c>
      <c r="I57" s="868">
        <f t="shared" si="139"/>
        <v>0.00679804337024714</v>
      </c>
      <c r="J57" s="868">
        <f t="shared" si="139"/>
        <v>0.0078179862431035</v>
      </c>
      <c r="K57" s="868">
        <f t="shared" si="139"/>
        <v>0.0105008935980086</v>
      </c>
      <c r="L57" s="868">
        <f t="shared" si="139"/>
        <v>0.0133051571038251</v>
      </c>
      <c r="M57" s="868">
        <f t="shared" si="139"/>
        <v>0.00635699216395419</v>
      </c>
      <c r="N57" s="868">
        <f t="shared" si="139"/>
        <v>0.0517651725505752</v>
      </c>
      <c r="O57" s="868">
        <f t="shared" si="139"/>
        <v>0.0436935624817943</v>
      </c>
      <c r="P57" s="868">
        <f t="shared" si="139"/>
        <v>0.0428743402166867</v>
      </c>
      <c r="Q57" s="868">
        <f t="shared" si="139"/>
        <v>0.0417108178402851</v>
      </c>
      <c r="R57" s="868">
        <f t="shared" si="139"/>
        <v>0.0376146788990826</v>
      </c>
      <c r="S57" s="868">
        <f t="shared" si="139"/>
        <v>0.0322750131351798</v>
      </c>
      <c r="T57" s="868">
        <f t="shared" si="139"/>
        <v>0.0247261976751999</v>
      </c>
      <c r="U57" s="868">
        <f t="shared" si="139"/>
        <v>0.0237944385779655</v>
      </c>
      <c r="V57" s="868">
        <f t="shared" si="139"/>
        <v>0.0268336314847943</v>
      </c>
      <c r="W57" s="868">
        <f t="shared" ref="W57:AB57" si="140">W55/W$3</f>
        <v>0.0217558380135974</v>
      </c>
      <c r="X57" s="868">
        <f t="shared" si="140"/>
        <v>0.0200622083981337</v>
      </c>
      <c r="Y57" s="879">
        <f t="shared" si="140"/>
        <v>0.0129606937505891</v>
      </c>
      <c r="Z57" s="879">
        <f t="shared" si="140"/>
        <v>0.0109970339949806</v>
      </c>
      <c r="AA57" s="879">
        <f t="shared" si="140"/>
        <v>0.0118438306332219</v>
      </c>
      <c r="AB57" s="879">
        <f t="shared" si="140"/>
        <v>0.0121447288853054</v>
      </c>
      <c r="AC57" s="879">
        <f t="shared" ref="AC57:AH57" si="141">AC55/AC$3</f>
        <v>0.00574550249599699</v>
      </c>
      <c r="AD57" s="879">
        <f t="shared" si="141"/>
        <v>0.00599706810003998</v>
      </c>
      <c r="AE57" s="879">
        <f t="shared" si="141"/>
        <v>0.00710900473933649</v>
      </c>
      <c r="AF57" s="879">
        <f t="shared" si="141"/>
        <v>0.00577432379629228</v>
      </c>
      <c r="AG57" s="879">
        <f t="shared" si="141"/>
        <v>0.00181371166015074</v>
      </c>
      <c r="AH57" s="879">
        <f t="shared" si="141"/>
        <v>0.00165850124119561</v>
      </c>
      <c r="AI57" s="879">
        <f t="shared" ref="AI57:AJ57" si="142">AI55/AI$3</f>
        <v>0.00154195923867789</v>
      </c>
      <c r="AJ57" s="879">
        <f t="shared" si="142"/>
        <v>0.0014441494745412</v>
      </c>
      <c r="AK57" s="879">
        <f t="shared" ref="AK57:AL57" si="143">AK55/AK$3</f>
        <v>0.00136294348178705</v>
      </c>
      <c r="AL57" s="879">
        <f t="shared" si="143"/>
        <v>0.00128621561368098</v>
      </c>
      <c r="AN57" s="874"/>
      <c r="AO57" s="874"/>
      <c r="AP57" s="874"/>
    </row>
    <row r="58" customHeight="1" spans="1:44">
      <c r="A58" s="860" t="s">
        <v>996</v>
      </c>
      <c r="B58" s="876"/>
      <c r="C58" s="868"/>
      <c r="D58" s="868"/>
      <c r="E58" s="868"/>
      <c r="F58" s="868"/>
      <c r="G58" s="868"/>
      <c r="H58" s="868"/>
      <c r="I58" s="868"/>
      <c r="J58" s="868"/>
      <c r="K58" s="868"/>
      <c r="L58" s="868"/>
      <c r="M58" s="868"/>
      <c r="N58" s="868"/>
      <c r="O58" s="868"/>
      <c r="P58" s="868"/>
      <c r="Q58" s="868"/>
      <c r="R58" s="868"/>
      <c r="S58" s="868"/>
      <c r="T58" s="868"/>
      <c r="U58" s="868"/>
      <c r="V58" s="868"/>
      <c r="W58" s="868"/>
      <c r="X58" s="868"/>
      <c r="Y58" s="879"/>
      <c r="Z58" s="879"/>
      <c r="AA58" s="882">
        <v>2400</v>
      </c>
      <c r="AB58" s="882">
        <v>2159</v>
      </c>
      <c r="AC58" s="882">
        <v>2263</v>
      </c>
      <c r="AD58" s="882">
        <v>2343</v>
      </c>
      <c r="AE58" s="882">
        <v>2039</v>
      </c>
      <c r="AF58" s="882">
        <v>2495</v>
      </c>
      <c r="AG58" s="882">
        <v>2310</v>
      </c>
      <c r="AH58" s="882">
        <f t="shared" ref="AH58:AL58" si="144">AG58</f>
        <v>2310</v>
      </c>
      <c r="AI58" s="882">
        <f t="shared" si="144"/>
        <v>2310</v>
      </c>
      <c r="AJ58" s="882">
        <f t="shared" si="144"/>
        <v>2310</v>
      </c>
      <c r="AK58" s="882">
        <f t="shared" si="144"/>
        <v>2310</v>
      </c>
      <c r="AL58" s="882">
        <f t="shared" si="144"/>
        <v>2310</v>
      </c>
      <c r="AN58" s="874"/>
      <c r="AO58" s="874"/>
      <c r="AP58" s="874"/>
    </row>
    <row r="59" customHeight="1" spans="1:44">
      <c r="A59" s="860" t="s">
        <v>1001</v>
      </c>
      <c r="B59" s="876">
        <v>2.6618278</v>
      </c>
      <c r="C59" s="876">
        <v>27.9277173</v>
      </c>
      <c r="D59" s="876">
        <v>32.1188434</v>
      </c>
      <c r="E59" s="876">
        <v>43.8766982</v>
      </c>
      <c r="F59" s="876">
        <v>73.4876151</v>
      </c>
      <c r="G59" s="876">
        <v>96</v>
      </c>
      <c r="H59" s="876">
        <v>95.591</v>
      </c>
      <c r="I59" s="876">
        <v>105.107</v>
      </c>
      <c r="J59" s="876">
        <v>118</v>
      </c>
      <c r="K59" s="876">
        <v>140.542</v>
      </c>
      <c r="L59" s="876">
        <f>128.676+30.784</f>
        <v>159.46</v>
      </c>
      <c r="M59" s="876">
        <f>148+67+23</f>
        <v>238</v>
      </c>
      <c r="N59" s="876">
        <f>134+74+43</f>
        <v>251</v>
      </c>
      <c r="O59" s="876">
        <f>124+73+69</f>
        <v>266</v>
      </c>
      <c r="P59" s="876">
        <f>132+65+52</f>
        <v>249</v>
      </c>
      <c r="Q59" s="876">
        <f>157+25+29+22+28</f>
        <v>261</v>
      </c>
      <c r="R59" s="876">
        <f>180+17+61+39+36</f>
        <v>333</v>
      </c>
      <c r="S59" s="876">
        <f>205+9+55+45+36</f>
        <v>350</v>
      </c>
      <c r="T59" s="876">
        <f>251+17+69+40+34</f>
        <v>411</v>
      </c>
      <c r="U59" s="876">
        <f>255+22+25+64+29</f>
        <v>395</v>
      </c>
      <c r="V59" s="876">
        <f>10+284+38+81+35</f>
        <v>448</v>
      </c>
      <c r="W59" s="876">
        <f>18+273+50+120+40</f>
        <v>501</v>
      </c>
      <c r="X59" s="876">
        <f>22+355+44+120+46</f>
        <v>587</v>
      </c>
      <c r="Y59" s="882">
        <f>22+298+80+85+53</f>
        <v>538</v>
      </c>
      <c r="Z59" s="882">
        <f>103+246+128+19+68</f>
        <v>564</v>
      </c>
      <c r="AA59" s="882">
        <f>92+229+257+9+7</f>
        <v>594</v>
      </c>
      <c r="AB59" s="882">
        <f>115+229+8+17</f>
        <v>369</v>
      </c>
      <c r="AC59" s="882">
        <f>51+149+8+9</f>
        <v>217</v>
      </c>
      <c r="AD59" s="882">
        <f>44+88+7+6</f>
        <v>145</v>
      </c>
      <c r="AE59" s="882">
        <f>6+188+103+139</f>
        <v>436</v>
      </c>
      <c r="AF59" s="882">
        <f>1+144+353+154</f>
        <v>652</v>
      </c>
      <c r="AG59" s="882">
        <f>7+106+436+143</f>
        <v>692</v>
      </c>
      <c r="AH59" s="882">
        <f>AG59</f>
        <v>692</v>
      </c>
      <c r="AI59" s="882">
        <f>AH59</f>
        <v>692</v>
      </c>
      <c r="AJ59" s="882">
        <f>AI59</f>
        <v>692</v>
      </c>
      <c r="AK59" s="882">
        <f>AJ59</f>
        <v>692</v>
      </c>
      <c r="AL59" s="882">
        <f>AK59</f>
        <v>692</v>
      </c>
      <c r="AM59" s="898"/>
      <c r="AN59" s="874"/>
      <c r="AO59" s="874"/>
      <c r="AP59" s="874"/>
    </row>
    <row r="60" hidden="1" customHeight="1" spans="1:44">
      <c r="A60" s="875" t="s">
        <v>61</v>
      </c>
      <c r="B60" s="876" t="s">
        <v>173</v>
      </c>
      <c r="C60" s="868">
        <f t="shared" ref="C60:Q60" si="145">C59/B59-1</f>
        <v>9.4919323857088</v>
      </c>
      <c r="D60" s="868">
        <f t="shared" si="145"/>
        <v>0.150070485710624</v>
      </c>
      <c r="E60" s="868">
        <f t="shared" si="145"/>
        <v>0.366073418446942</v>
      </c>
      <c r="F60" s="868">
        <f t="shared" si="145"/>
        <v>0.674866571888037</v>
      </c>
      <c r="G60" s="868">
        <f t="shared" si="145"/>
        <v>0.306342570368704</v>
      </c>
      <c r="H60" s="868">
        <f t="shared" si="145"/>
        <v>-0.00426041666666654</v>
      </c>
      <c r="I60" s="868">
        <f t="shared" si="145"/>
        <v>0.0995491207331234</v>
      </c>
      <c r="J60" s="868">
        <f t="shared" si="145"/>
        <v>0.122665474231022</v>
      </c>
      <c r="K60" s="868">
        <f t="shared" si="145"/>
        <v>0.191033898305085</v>
      </c>
      <c r="L60" s="868">
        <f t="shared" si="145"/>
        <v>0.134607448307267</v>
      </c>
      <c r="M60" s="868">
        <f t="shared" si="145"/>
        <v>0.492537313432836</v>
      </c>
      <c r="N60" s="868">
        <f t="shared" si="145"/>
        <v>0.0546218487394958</v>
      </c>
      <c r="O60" s="868">
        <f t="shared" si="145"/>
        <v>0.0597609561752988</v>
      </c>
      <c r="P60" s="868">
        <f t="shared" si="145"/>
        <v>-0.0639097744360902</v>
      </c>
      <c r="Q60" s="868">
        <f t="shared" si="145"/>
        <v>0.0481927710843373</v>
      </c>
      <c r="R60" s="868">
        <f t="shared" ref="R60:Y60" si="146">R59/Q59-1</f>
        <v>0.275862068965517</v>
      </c>
      <c r="S60" s="868">
        <f t="shared" si="146"/>
        <v>0.0510510510510511</v>
      </c>
      <c r="T60" s="868">
        <f t="shared" si="146"/>
        <v>0.174285714285714</v>
      </c>
      <c r="U60" s="868">
        <f t="shared" si="146"/>
        <v>-0.0389294403892944</v>
      </c>
      <c r="V60" s="868">
        <f t="shared" si="146"/>
        <v>0.134177215189873</v>
      </c>
      <c r="W60" s="868">
        <f t="shared" si="146"/>
        <v>0.118303571428571</v>
      </c>
      <c r="X60" s="868">
        <f t="shared" si="146"/>
        <v>0.171656686626747</v>
      </c>
      <c r="Y60" s="879">
        <f t="shared" si="146"/>
        <v>-0.0834752981260647</v>
      </c>
      <c r="Z60" s="879">
        <f t="shared" ref="Z60:AL60" si="147">Z59/Y59-1</f>
        <v>0.0483271375464684</v>
      </c>
      <c r="AA60" s="879">
        <f t="shared" si="147"/>
        <v>0.053191489361702</v>
      </c>
      <c r="AB60" s="879">
        <f t="shared" si="147"/>
        <v>-0.378787878787879</v>
      </c>
      <c r="AC60" s="879">
        <f t="shared" si="147"/>
        <v>-0.411924119241192</v>
      </c>
      <c r="AD60" s="879">
        <f t="shared" si="147"/>
        <v>-0.331797235023041</v>
      </c>
      <c r="AE60" s="879">
        <f t="shared" si="147"/>
        <v>2.00689655172414</v>
      </c>
      <c r="AF60" s="879">
        <f t="shared" si="147"/>
        <v>0.495412844036697</v>
      </c>
      <c r="AG60" s="879">
        <f t="shared" si="147"/>
        <v>0.0613496932515338</v>
      </c>
      <c r="AH60" s="879">
        <f t="shared" si="147"/>
        <v>0</v>
      </c>
      <c r="AI60" s="879">
        <f t="shared" si="147"/>
        <v>0</v>
      </c>
      <c r="AJ60" s="879">
        <f t="shared" si="147"/>
        <v>0</v>
      </c>
      <c r="AK60" s="879">
        <f t="shared" si="147"/>
        <v>0</v>
      </c>
      <c r="AL60" s="879">
        <f t="shared" si="147"/>
        <v>0</v>
      </c>
      <c r="AN60" s="874"/>
      <c r="AO60" s="874"/>
      <c r="AP60" s="874"/>
    </row>
    <row r="61" hidden="1" customHeight="1" spans="1:44">
      <c r="A61" s="875" t="s">
        <v>218</v>
      </c>
      <c r="B61" s="876" t="s">
        <v>173</v>
      </c>
      <c r="C61" s="868">
        <f t="shared" ref="C61:O61" si="148">C59/C$3</f>
        <v>0.0156049299476607</v>
      </c>
      <c r="D61" s="868">
        <f t="shared" si="148"/>
        <v>0.0133387635706387</v>
      </c>
      <c r="E61" s="868">
        <f t="shared" si="148"/>
        <v>0.0128113543229102</v>
      </c>
      <c r="F61" s="868">
        <f t="shared" si="148"/>
        <v>0.0145074480792497</v>
      </c>
      <c r="G61" s="868">
        <f t="shared" si="148"/>
        <v>0.017930690038325</v>
      </c>
      <c r="H61" s="868">
        <f t="shared" si="148"/>
        <v>0.0163823479005998</v>
      </c>
      <c r="I61" s="868">
        <f t="shared" si="148"/>
        <v>0.0171958496466251</v>
      </c>
      <c r="J61" s="868">
        <f t="shared" si="148"/>
        <v>0.0180886740526708</v>
      </c>
      <c r="K61" s="868">
        <f t="shared" si="148"/>
        <v>0.0224264377353673</v>
      </c>
      <c r="L61" s="868">
        <f t="shared" si="148"/>
        <v>0.0272301912568306</v>
      </c>
      <c r="M61" s="868">
        <f t="shared" si="148"/>
        <v>0.0358649789029536</v>
      </c>
      <c r="N61" s="868">
        <f t="shared" si="148"/>
        <v>0.0248909163030543</v>
      </c>
      <c r="O61" s="868">
        <f t="shared" si="148"/>
        <v>0.0258277502670162</v>
      </c>
      <c r="P61" s="868">
        <f t="shared" ref="P61:AB61" si="149">P59/P$3</f>
        <v>0.0230576905269006</v>
      </c>
      <c r="Q61" s="868">
        <f t="shared" si="149"/>
        <v>0.0251420865041903</v>
      </c>
      <c r="R61" s="868">
        <f t="shared" si="149"/>
        <v>0.0277731442869058</v>
      </c>
      <c r="S61" s="868">
        <f t="shared" si="149"/>
        <v>0.0262703595286347</v>
      </c>
      <c r="T61" s="868">
        <f t="shared" si="149"/>
        <v>0.0276154001209434</v>
      </c>
      <c r="U61" s="868">
        <f t="shared" si="149"/>
        <v>0.0278071101724745</v>
      </c>
      <c r="V61" s="868">
        <f t="shared" si="149"/>
        <v>0.0308242741158662</v>
      </c>
      <c r="W61" s="868">
        <f t="shared" si="149"/>
        <v>0.0296186816435117</v>
      </c>
      <c r="X61" s="868">
        <f t="shared" si="149"/>
        <v>0.0304302747537584</v>
      </c>
      <c r="Y61" s="868">
        <f t="shared" si="149"/>
        <v>0.025355829955698</v>
      </c>
      <c r="Z61" s="868">
        <f t="shared" si="149"/>
        <v>0.0257357973990417</v>
      </c>
      <c r="AA61" s="868">
        <f t="shared" si="149"/>
        <v>0.025125840700478</v>
      </c>
      <c r="AB61" s="868">
        <f t="shared" si="149"/>
        <v>0.0185950413223141</v>
      </c>
      <c r="AC61" s="879">
        <f t="shared" ref="AC61:AL61" si="150">AB61</f>
        <v>0.0185950413223141</v>
      </c>
      <c r="AD61" s="879">
        <f t="shared" si="150"/>
        <v>0.0185950413223141</v>
      </c>
      <c r="AE61" s="879">
        <f t="shared" si="150"/>
        <v>0.0185950413223141</v>
      </c>
      <c r="AF61" s="879">
        <f t="shared" si="150"/>
        <v>0.0185950413223141</v>
      </c>
      <c r="AG61" s="879">
        <f t="shared" si="150"/>
        <v>0.0185950413223141</v>
      </c>
      <c r="AH61" s="879">
        <f t="shared" si="150"/>
        <v>0.0185950413223141</v>
      </c>
      <c r="AI61" s="879">
        <f t="shared" si="150"/>
        <v>0.0185950413223141</v>
      </c>
      <c r="AJ61" s="879">
        <f t="shared" si="150"/>
        <v>0.0185950413223141</v>
      </c>
      <c r="AK61" s="879">
        <f t="shared" si="150"/>
        <v>0.0185950413223141</v>
      </c>
      <c r="AL61" s="879">
        <f t="shared" si="150"/>
        <v>0.0185950413223141</v>
      </c>
      <c r="AN61" s="874"/>
      <c r="AO61" s="874"/>
      <c r="AP61" s="874"/>
    </row>
    <row r="62" customHeight="1" spans="1:44">
      <c r="A62" s="884" t="s">
        <v>1002</v>
      </c>
      <c r="B62" s="885">
        <f>B52+B53+B55+B59</f>
        <v>511.2345536</v>
      </c>
      <c r="C62" s="885">
        <f>C52+C53+C55+C59</f>
        <v>603.4275679</v>
      </c>
      <c r="D62" s="885">
        <f t="shared" ref="D62:M62" si="151">D52+D53+D55+D59</f>
        <v>769.7800455</v>
      </c>
      <c r="E62" s="885">
        <f t="shared" si="151"/>
        <v>1484.0901766</v>
      </c>
      <c r="F62" s="885">
        <f t="shared" si="151"/>
        <v>2704.1603722</v>
      </c>
      <c r="G62" s="885">
        <f t="shared" si="151"/>
        <v>2844.1250374</v>
      </c>
      <c r="H62" s="885">
        <f t="shared" si="151"/>
        <v>3113.016</v>
      </c>
      <c r="I62" s="885">
        <f t="shared" si="151"/>
        <v>3109.633</v>
      </c>
      <c r="J62" s="885">
        <f t="shared" si="151"/>
        <v>3124</v>
      </c>
      <c r="K62" s="885">
        <f t="shared" si="151"/>
        <v>2775.439</v>
      </c>
      <c r="L62" s="885">
        <f t="shared" si="151"/>
        <v>2870.189</v>
      </c>
      <c r="M62" s="885">
        <f t="shared" si="151"/>
        <v>3038.3</v>
      </c>
      <c r="N62" s="885">
        <f t="shared" ref="N62:Y62" si="152">N52+N53+N55+N59</f>
        <v>5543</v>
      </c>
      <c r="O62" s="885">
        <f t="shared" si="152"/>
        <v>5291</v>
      </c>
      <c r="P62" s="885">
        <f t="shared" si="152"/>
        <v>6133</v>
      </c>
      <c r="Q62" s="885">
        <f t="shared" si="152"/>
        <v>5099</v>
      </c>
      <c r="R62" s="885">
        <f t="shared" si="152"/>
        <v>6067</v>
      </c>
      <c r="S62" s="885">
        <f t="shared" si="152"/>
        <v>6109</v>
      </c>
      <c r="T62" s="885">
        <f t="shared" si="152"/>
        <v>6360</v>
      </c>
      <c r="U62" s="885">
        <f t="shared" si="152"/>
        <v>6118</v>
      </c>
      <c r="V62" s="885">
        <f t="shared" si="152"/>
        <v>6800</v>
      </c>
      <c r="W62" s="885">
        <f t="shared" si="152"/>
        <v>7695</v>
      </c>
      <c r="X62" s="885">
        <f t="shared" si="152"/>
        <v>8721</v>
      </c>
      <c r="Y62" s="886">
        <f t="shared" si="152"/>
        <v>8087</v>
      </c>
      <c r="Z62" s="886">
        <f t="shared" ref="Z62" si="153">Z52+Z53+Z55+Z59</f>
        <v>9248</v>
      </c>
      <c r="AA62" s="886">
        <f>AA52+AA53+AA55+AA59+AA58</f>
        <v>13623</v>
      </c>
      <c r="AB62" s="886">
        <f>AB52+AB53+AB55+AB59+AB58</f>
        <v>14362</v>
      </c>
      <c r="AC62" s="886">
        <f>AC52+AC53+AC55+AC59+AC58</f>
        <v>14300</v>
      </c>
      <c r="AD62" s="886">
        <f>AD52+AD53+AD55+AD59+AD58</f>
        <v>14945</v>
      </c>
      <c r="AE62" s="886">
        <f>AE52+AE53+AE55+AE59+AE58</f>
        <v>13095</v>
      </c>
      <c r="AF62" s="886">
        <f t="shared" ref="AF62" si="154">AF52+AF53+AF55+AF59+AF58</f>
        <v>14787</v>
      </c>
      <c r="AG62" s="886">
        <f t="shared" ref="AG62:AH62" si="155">AG52+AG53+AG55+AG59+AG58</f>
        <v>14138</v>
      </c>
      <c r="AH62" s="886">
        <f t="shared" si="155"/>
        <v>14546.3790301871</v>
      </c>
      <c r="AI62" s="886">
        <f t="shared" ref="AI62:AJ62" si="156">AI52+AI53+AI55+AI59+AI58</f>
        <v>15084.8348805152</v>
      </c>
      <c r="AJ62" s="886">
        <f t="shared" si="156"/>
        <v>15618.540238527</v>
      </c>
      <c r="AK62" s="886">
        <f t="shared" ref="AK62:AL62" si="157">AK52+AK53+AK55+AK59+AK58</f>
        <v>16134.2213357984</v>
      </c>
      <c r="AL62" s="886">
        <f t="shared" si="157"/>
        <v>16676.8530787711</v>
      </c>
      <c r="AN62" s="874"/>
      <c r="AO62" s="874"/>
      <c r="AP62" s="874"/>
    </row>
    <row r="63" customHeight="1" spans="1:44">
      <c r="A63" s="875" t="s">
        <v>61</v>
      </c>
      <c r="B63" s="876" t="s">
        <v>173</v>
      </c>
      <c r="C63" s="868">
        <f t="shared" ref="C63:K63" si="158">C62/B62-1</f>
        <v>0.180334082762594</v>
      </c>
      <c r="D63" s="868">
        <f t="shared" si="158"/>
        <v>0.275679280247215</v>
      </c>
      <c r="E63" s="868">
        <f t="shared" si="158"/>
        <v>0.927940565978207</v>
      </c>
      <c r="F63" s="868">
        <f t="shared" si="158"/>
        <v>0.822099771858298</v>
      </c>
      <c r="G63" s="868">
        <f t="shared" si="158"/>
        <v>0.0517590105375778</v>
      </c>
      <c r="H63" s="868">
        <f t="shared" si="158"/>
        <v>0.0945425953726038</v>
      </c>
      <c r="I63" s="868">
        <f t="shared" si="158"/>
        <v>-0.00108672746943794</v>
      </c>
      <c r="J63" s="868">
        <f t="shared" si="158"/>
        <v>0.00462015935642568</v>
      </c>
      <c r="K63" s="868">
        <f t="shared" si="158"/>
        <v>-0.111575224071703</v>
      </c>
      <c r="L63" s="868">
        <f t="shared" ref="L63:Y63" si="159">L62/K62-1</f>
        <v>0.0341387434564406</v>
      </c>
      <c r="M63" s="868">
        <f t="shared" si="159"/>
        <v>0.0585714041827907</v>
      </c>
      <c r="N63" s="868">
        <f t="shared" si="159"/>
        <v>0.824375473126419</v>
      </c>
      <c r="O63" s="868">
        <f t="shared" si="159"/>
        <v>-0.0454627458055205</v>
      </c>
      <c r="P63" s="868">
        <f t="shared" si="159"/>
        <v>0.159138159138159</v>
      </c>
      <c r="Q63" s="868">
        <f t="shared" si="159"/>
        <v>-0.168596119354313</v>
      </c>
      <c r="R63" s="868">
        <f t="shared" si="159"/>
        <v>0.189841145322612</v>
      </c>
      <c r="S63" s="868">
        <f t="shared" si="159"/>
        <v>0.00692269655513433</v>
      </c>
      <c r="T63" s="868">
        <f t="shared" si="159"/>
        <v>0.0410869209363234</v>
      </c>
      <c r="U63" s="868">
        <f t="shared" si="159"/>
        <v>-0.0380503144654089</v>
      </c>
      <c r="V63" s="868">
        <f t="shared" si="159"/>
        <v>0.11147433801896</v>
      </c>
      <c r="W63" s="868">
        <f t="shared" si="159"/>
        <v>0.131617647058824</v>
      </c>
      <c r="X63" s="868">
        <f t="shared" si="159"/>
        <v>0.133333333333333</v>
      </c>
      <c r="Y63" s="879">
        <f t="shared" si="159"/>
        <v>-0.0726980850819861</v>
      </c>
      <c r="Z63" s="879">
        <f t="shared" ref="Z63:AL63" si="160">Z62/Y62-1</f>
        <v>0.143563744280945</v>
      </c>
      <c r="AA63" s="879">
        <f t="shared" si="160"/>
        <v>0.473075259515571</v>
      </c>
      <c r="AB63" s="879">
        <f t="shared" si="160"/>
        <v>0.0542464948983337</v>
      </c>
      <c r="AC63" s="879">
        <f t="shared" si="160"/>
        <v>-0.00431694750034817</v>
      </c>
      <c r="AD63" s="879">
        <f t="shared" si="160"/>
        <v>0.0451048951048951</v>
      </c>
      <c r="AE63" s="879">
        <f t="shared" si="160"/>
        <v>-0.123787219805955</v>
      </c>
      <c r="AF63" s="879">
        <f t="shared" si="160"/>
        <v>0.129209621993127</v>
      </c>
      <c r="AG63" s="879">
        <f t="shared" si="160"/>
        <v>-0.0438899032934335</v>
      </c>
      <c r="AH63" s="879">
        <f t="shared" si="160"/>
        <v>0.0288852051341848</v>
      </c>
      <c r="AI63" s="879">
        <f t="shared" si="160"/>
        <v>0.0370164870041334</v>
      </c>
      <c r="AJ63" s="879">
        <f t="shared" si="160"/>
        <v>0.0353802585337666</v>
      </c>
      <c r="AK63" s="879">
        <f t="shared" si="160"/>
        <v>0.0330172403691953</v>
      </c>
      <c r="AL63" s="879">
        <f t="shared" si="160"/>
        <v>0.033632347770556</v>
      </c>
      <c r="AN63" s="874"/>
      <c r="AO63" s="874"/>
      <c r="AP63" s="874"/>
    </row>
    <row r="64" customHeight="1" spans="1:44">
      <c r="A64" s="860" t="s">
        <v>1003</v>
      </c>
      <c r="B64" s="876">
        <v>0</v>
      </c>
      <c r="C64" s="876">
        <v>0</v>
      </c>
      <c r="D64" s="876">
        <v>0</v>
      </c>
      <c r="E64" s="876">
        <v>0</v>
      </c>
      <c r="F64" s="876">
        <v>0</v>
      </c>
      <c r="G64" s="876">
        <v>0</v>
      </c>
      <c r="H64" s="876">
        <v>0</v>
      </c>
      <c r="I64" s="876">
        <v>0</v>
      </c>
      <c r="J64" s="876">
        <v>116.282</v>
      </c>
      <c r="K64" s="876">
        <v>116.362</v>
      </c>
      <c r="L64" s="876">
        <v>117.39904</v>
      </c>
      <c r="M64" s="876">
        <v>129.95</v>
      </c>
      <c r="N64" s="876">
        <v>204</v>
      </c>
      <c r="O64" s="876">
        <v>204</v>
      </c>
      <c r="P64" s="876">
        <v>194</v>
      </c>
      <c r="Q64" s="876">
        <v>209</v>
      </c>
      <c r="R64" s="876">
        <v>209</v>
      </c>
      <c r="S64" s="876">
        <v>209</v>
      </c>
      <c r="T64" s="876">
        <v>209</v>
      </c>
      <c r="U64" s="876">
        <v>209</v>
      </c>
      <c r="V64" s="876">
        <v>204</v>
      </c>
      <c r="W64" s="876">
        <v>200</v>
      </c>
      <c r="X64" s="876">
        <v>201</v>
      </c>
      <c r="Y64" s="882">
        <v>204</v>
      </c>
      <c r="Z64" s="882">
        <v>199</v>
      </c>
      <c r="AA64" s="882">
        <v>196</v>
      </c>
      <c r="AB64" s="882">
        <v>195</v>
      </c>
      <c r="AC64" s="882">
        <v>192</v>
      </c>
      <c r="AD64" s="882">
        <v>179</v>
      </c>
      <c r="AE64" s="882">
        <v>179</v>
      </c>
      <c r="AF64" s="882">
        <v>179</v>
      </c>
      <c r="AG64" s="882">
        <v>179</v>
      </c>
      <c r="AH64" s="882">
        <f>AG64</f>
        <v>179</v>
      </c>
      <c r="AI64" s="882">
        <f>AH64</f>
        <v>179</v>
      </c>
      <c r="AJ64" s="882">
        <f>AI64</f>
        <v>179</v>
      </c>
      <c r="AK64" s="882">
        <f>AJ64</f>
        <v>179</v>
      </c>
      <c r="AL64" s="882">
        <f>AK64</f>
        <v>179</v>
      </c>
      <c r="AN64" s="874"/>
      <c r="AO64" s="874"/>
      <c r="AP64" s="874"/>
    </row>
    <row r="65" customHeight="1" spans="1:42">
      <c r="A65" s="860" t="s">
        <v>1004</v>
      </c>
      <c r="B65" s="876">
        <v>0</v>
      </c>
      <c r="C65" s="876">
        <v>0</v>
      </c>
      <c r="D65" s="876">
        <v>0</v>
      </c>
      <c r="E65" s="876">
        <v>0</v>
      </c>
      <c r="F65" s="876">
        <v>0</v>
      </c>
      <c r="G65" s="876">
        <v>0</v>
      </c>
      <c r="H65" s="876">
        <v>0</v>
      </c>
      <c r="I65" s="876">
        <v>0</v>
      </c>
      <c r="J65" s="876">
        <v>1050.447</v>
      </c>
      <c r="K65" s="876">
        <v>1265.109</v>
      </c>
      <c r="L65" s="876">
        <v>1531.403</v>
      </c>
      <c r="M65" s="876">
        <v>1853.15</v>
      </c>
      <c r="N65" s="876">
        <v>2199</v>
      </c>
      <c r="O65" s="876">
        <v>2658</v>
      </c>
      <c r="P65" s="876">
        <v>3202</v>
      </c>
      <c r="Q65" s="876">
        <v>3350</v>
      </c>
      <c r="R65" s="876">
        <v>3691</v>
      </c>
      <c r="S65" s="876">
        <v>4137</v>
      </c>
      <c r="T65" s="876">
        <v>4454</v>
      </c>
      <c r="U65" s="876">
        <v>4959</v>
      </c>
      <c r="V65" s="876">
        <v>4839</v>
      </c>
      <c r="W65" s="876">
        <v>4874</v>
      </c>
      <c r="X65" s="876">
        <v>5522</v>
      </c>
      <c r="Y65" s="882">
        <v>6327</v>
      </c>
      <c r="Z65" s="882">
        <v>6054</v>
      </c>
      <c r="AA65" s="882">
        <v>6555</v>
      </c>
      <c r="AB65" s="882">
        <v>6733</v>
      </c>
      <c r="AC65" s="882">
        <f>7259-1</f>
        <v>7258</v>
      </c>
      <c r="AD65" s="882">
        <v>4347</v>
      </c>
      <c r="AE65" s="882">
        <v>4144</v>
      </c>
      <c r="AF65" s="882">
        <v>4775</v>
      </c>
      <c r="AG65" s="882">
        <v>5758</v>
      </c>
      <c r="AH65" s="882">
        <f>AG65+AH91+AH122+AH124+AH117</f>
        <v>5912.268</v>
      </c>
      <c r="AI65" s="882">
        <f>AH65+AI91+AI122+AI124+AI117</f>
        <v>6316.82564001501</v>
      </c>
      <c r="AJ65" s="882">
        <f>AI65+AJ91+AJ122+AJ124+AJ117</f>
        <v>6810.78018881382</v>
      </c>
      <c r="AK65" s="882">
        <f>AJ65+AK91+AK122+AK124+AK117</f>
        <v>7408.62071171171</v>
      </c>
      <c r="AL65" s="882">
        <f>AK65+AL91+AL122+AL124+AL117</f>
        <v>8139.23632132132</v>
      </c>
      <c r="AN65" s="874"/>
      <c r="AO65" s="874"/>
      <c r="AP65" s="874"/>
    </row>
    <row r="66" customHeight="1" spans="1:42">
      <c r="A66" s="860" t="s">
        <v>1005</v>
      </c>
      <c r="B66" s="876">
        <v>0</v>
      </c>
      <c r="C66" s="876">
        <v>0</v>
      </c>
      <c r="D66" s="876">
        <v>0</v>
      </c>
      <c r="E66" s="876">
        <v>0</v>
      </c>
      <c r="F66" s="876">
        <v>0</v>
      </c>
      <c r="G66" s="876">
        <v>0</v>
      </c>
      <c r="H66" s="876">
        <v>0</v>
      </c>
      <c r="I66" s="876">
        <v>0</v>
      </c>
      <c r="J66" s="876">
        <v>-85.37</v>
      </c>
      <c r="K66" s="876">
        <v>-25.681</v>
      </c>
      <c r="L66" s="876">
        <v>-104.905</v>
      </c>
      <c r="M66" s="876">
        <v>700</v>
      </c>
      <c r="N66" s="876">
        <v>425</v>
      </c>
      <c r="O66" s="876">
        <v>161</v>
      </c>
      <c r="P66" s="876">
        <v>-10</v>
      </c>
      <c r="Q66" s="876">
        <v>212</v>
      </c>
      <c r="R66" s="876">
        <v>563</v>
      </c>
      <c r="S66" s="876">
        <v>791</v>
      </c>
      <c r="T66" s="876">
        <v>641</v>
      </c>
      <c r="U66" s="876">
        <v>321</v>
      </c>
      <c r="V66" s="876">
        <v>581</v>
      </c>
      <c r="W66" s="876">
        <v>592</v>
      </c>
      <c r="X66" s="876">
        <v>749</v>
      </c>
      <c r="Y66" s="882">
        <v>-81</v>
      </c>
      <c r="Z66" s="882">
        <v>124</v>
      </c>
      <c r="AA66" s="882">
        <v>45</v>
      </c>
      <c r="AB66" s="882">
        <v>-474</v>
      </c>
      <c r="AC66" s="882">
        <v>69</v>
      </c>
      <c r="AD66" s="882">
        <v>465</v>
      </c>
      <c r="AE66" s="882">
        <v>257</v>
      </c>
      <c r="AF66" s="882">
        <v>522</v>
      </c>
      <c r="AG66" s="882">
        <v>-161</v>
      </c>
      <c r="AH66" s="882">
        <f>AG66</f>
        <v>-161</v>
      </c>
      <c r="AI66" s="882">
        <f>AH66</f>
        <v>-161</v>
      </c>
      <c r="AJ66" s="882">
        <f>AI66</f>
        <v>-161</v>
      </c>
      <c r="AK66" s="882">
        <f>AJ66</f>
        <v>-161</v>
      </c>
      <c r="AL66" s="882">
        <f>AK66</f>
        <v>-161</v>
      </c>
      <c r="AN66" s="874"/>
      <c r="AO66" s="874"/>
      <c r="AP66" s="874"/>
    </row>
    <row r="67" customHeight="1" spans="1:42">
      <c r="A67" s="884" t="s">
        <v>1006</v>
      </c>
      <c r="B67" s="885">
        <v>216.2937051</v>
      </c>
      <c r="C67" s="885">
        <v>294.81558</v>
      </c>
      <c r="D67" s="885">
        <v>462.3829064</v>
      </c>
      <c r="E67" s="885">
        <v>716.5363313</v>
      </c>
      <c r="F67" s="885">
        <v>463.2158141</v>
      </c>
      <c r="G67" s="885">
        <v>680</v>
      </c>
      <c r="H67" s="885">
        <v>815</v>
      </c>
      <c r="I67" s="885">
        <v>1014.613</v>
      </c>
      <c r="J67" s="885">
        <f t="shared" ref="J67:P67" si="161">J64+J65+J66</f>
        <v>1081.359</v>
      </c>
      <c r="K67" s="885">
        <f t="shared" si="161"/>
        <v>1355.79</v>
      </c>
      <c r="L67" s="885">
        <f t="shared" si="161"/>
        <v>1543.89704</v>
      </c>
      <c r="M67" s="885">
        <f t="shared" si="161"/>
        <v>2683.1</v>
      </c>
      <c r="N67" s="885">
        <f t="shared" si="161"/>
        <v>2828</v>
      </c>
      <c r="O67" s="885">
        <f t="shared" si="161"/>
        <v>3023</v>
      </c>
      <c r="P67" s="885">
        <f t="shared" si="161"/>
        <v>3386</v>
      </c>
      <c r="Q67" s="885">
        <f t="shared" ref="Q67:Y67" si="162">Q64+Q65+Q66</f>
        <v>3771</v>
      </c>
      <c r="R67" s="885">
        <f t="shared" si="162"/>
        <v>4463</v>
      </c>
      <c r="S67" s="885">
        <f t="shared" si="162"/>
        <v>5137</v>
      </c>
      <c r="T67" s="885">
        <f t="shared" si="162"/>
        <v>5304</v>
      </c>
      <c r="U67" s="885">
        <f t="shared" si="162"/>
        <v>5489</v>
      </c>
      <c r="V67" s="885">
        <f t="shared" si="162"/>
        <v>5624</v>
      </c>
      <c r="W67" s="885">
        <f t="shared" si="162"/>
        <v>5666</v>
      </c>
      <c r="X67" s="885">
        <f t="shared" si="162"/>
        <v>6472</v>
      </c>
      <c r="Y67" s="886">
        <f t="shared" si="162"/>
        <v>6450</v>
      </c>
      <c r="Z67" s="886">
        <f t="shared" ref="Z67:AE67" si="163">Z64+Z65+Z66</f>
        <v>6377</v>
      </c>
      <c r="AA67" s="886">
        <f t="shared" si="163"/>
        <v>6796</v>
      </c>
      <c r="AB67" s="886">
        <f t="shared" si="163"/>
        <v>6454</v>
      </c>
      <c r="AC67" s="886">
        <f t="shared" si="163"/>
        <v>7519</v>
      </c>
      <c r="AD67" s="886">
        <f t="shared" si="163"/>
        <v>4991</v>
      </c>
      <c r="AE67" s="886">
        <f t="shared" si="163"/>
        <v>4580</v>
      </c>
      <c r="AF67" s="886">
        <f t="shared" ref="AF67:AG67" si="164">AF64+AF65+AF66</f>
        <v>5476</v>
      </c>
      <c r="AG67" s="886">
        <f t="shared" si="164"/>
        <v>5776</v>
      </c>
      <c r="AH67" s="886">
        <f t="shared" ref="AH67:AI67" si="165">AH64+AH65+AH66</f>
        <v>5930.268</v>
      </c>
      <c r="AI67" s="886">
        <f t="shared" si="165"/>
        <v>6334.82564001501</v>
      </c>
      <c r="AJ67" s="886">
        <f t="shared" ref="AJ67:AK67" si="166">AJ64+AJ65+AJ66</f>
        <v>6828.78018881382</v>
      </c>
      <c r="AK67" s="886">
        <f t="shared" si="166"/>
        <v>7426.62071171171</v>
      </c>
      <c r="AL67" s="886">
        <f t="shared" ref="AL67" si="167">AL64+AL65+AL66</f>
        <v>8157.23632132132</v>
      </c>
      <c r="AN67" s="874"/>
      <c r="AO67" s="874"/>
      <c r="AP67" s="874"/>
    </row>
    <row r="68" customHeight="1" spans="1:42">
      <c r="A68" s="860" t="s">
        <v>169</v>
      </c>
      <c r="B68" s="876">
        <v>9.7341294</v>
      </c>
      <c r="C68" s="876">
        <v>10.53278</v>
      </c>
      <c r="D68" s="876">
        <v>23.3582292</v>
      </c>
      <c r="E68" s="876">
        <v>23.0223051</v>
      </c>
      <c r="F68" s="876">
        <v>38.3740876</v>
      </c>
      <c r="G68" s="876">
        <v>63</v>
      </c>
      <c r="H68" s="876">
        <v>90</v>
      </c>
      <c r="I68" s="876">
        <v>58.157</v>
      </c>
      <c r="J68" s="876">
        <v>55.513</v>
      </c>
      <c r="K68" s="876">
        <v>56.579</v>
      </c>
      <c r="L68" s="876">
        <v>19.798</v>
      </c>
      <c r="M68" s="876">
        <v>28.476</v>
      </c>
      <c r="N68" s="876">
        <v>8</v>
      </c>
      <c r="O68" s="876">
        <v>11</v>
      </c>
      <c r="P68" s="876">
        <v>14</v>
      </c>
      <c r="Q68" s="876">
        <v>5</v>
      </c>
      <c r="R68" s="876">
        <v>-2</v>
      </c>
      <c r="S68" s="876">
        <v>-9</v>
      </c>
      <c r="T68" s="876">
        <v>-13</v>
      </c>
      <c r="U68" s="876">
        <v>-8</v>
      </c>
      <c r="V68" s="876">
        <v>-7</v>
      </c>
      <c r="W68" s="876">
        <v>-18</v>
      </c>
      <c r="X68" s="876">
        <v>-17</v>
      </c>
      <c r="Y68" s="882">
        <v>-15</v>
      </c>
      <c r="Z68" s="882">
        <v>-13</v>
      </c>
      <c r="AA68" s="882">
        <v>261</v>
      </c>
      <c r="AB68" s="882">
        <v>237</v>
      </c>
      <c r="AC68" s="882">
        <v>318</v>
      </c>
      <c r="AD68" s="882">
        <v>360</v>
      </c>
      <c r="AE68" s="882">
        <v>345</v>
      </c>
      <c r="AF68" s="882">
        <v>392</v>
      </c>
      <c r="AG68" s="882">
        <v>349</v>
      </c>
      <c r="AH68" s="882">
        <f>AG68+AH96</f>
        <v>419</v>
      </c>
      <c r="AI68" s="882">
        <f>AH68+AI96</f>
        <v>489</v>
      </c>
      <c r="AJ68" s="882">
        <f>AI68+AJ96</f>
        <v>559</v>
      </c>
      <c r="AK68" s="882">
        <f>AJ68+AK96</f>
        <v>629</v>
      </c>
      <c r="AL68" s="882">
        <f>AK68+AL96</f>
        <v>699</v>
      </c>
      <c r="AN68" s="874"/>
      <c r="AO68" s="874"/>
      <c r="AP68" s="874"/>
    </row>
    <row r="69" customHeight="1" spans="1:42">
      <c r="A69" s="884" t="s">
        <v>1007</v>
      </c>
      <c r="B69" s="885">
        <f t="shared" ref="B69:K69" si="168">B67+B68</f>
        <v>226.0278345</v>
      </c>
      <c r="C69" s="885">
        <f t="shared" si="168"/>
        <v>305.34836</v>
      </c>
      <c r="D69" s="885">
        <f t="shared" si="168"/>
        <v>485.7411356</v>
      </c>
      <c r="E69" s="885">
        <f t="shared" si="168"/>
        <v>739.5586364</v>
      </c>
      <c r="F69" s="885">
        <f t="shared" si="168"/>
        <v>501.5899017</v>
      </c>
      <c r="G69" s="885">
        <f t="shared" si="168"/>
        <v>743</v>
      </c>
      <c r="H69" s="885">
        <f t="shared" si="168"/>
        <v>905</v>
      </c>
      <c r="I69" s="885">
        <f t="shared" si="168"/>
        <v>1072.77</v>
      </c>
      <c r="J69" s="885">
        <f t="shared" si="168"/>
        <v>1136.872</v>
      </c>
      <c r="K69" s="885">
        <f t="shared" si="168"/>
        <v>1412.369</v>
      </c>
      <c r="L69" s="885">
        <f t="shared" ref="L69:Y69" si="169">L67+L68</f>
        <v>1563.69504</v>
      </c>
      <c r="M69" s="899">
        <f t="shared" si="169"/>
        <v>2711.576</v>
      </c>
      <c r="N69" s="885">
        <f t="shared" si="169"/>
        <v>2836</v>
      </c>
      <c r="O69" s="885">
        <f t="shared" si="169"/>
        <v>3034</v>
      </c>
      <c r="P69" s="885">
        <f t="shared" si="169"/>
        <v>3400</v>
      </c>
      <c r="Q69" s="885">
        <f t="shared" si="169"/>
        <v>3776</v>
      </c>
      <c r="R69" s="885">
        <f t="shared" si="169"/>
        <v>4461</v>
      </c>
      <c r="S69" s="885">
        <f t="shared" si="169"/>
        <v>5128</v>
      </c>
      <c r="T69" s="885">
        <f t="shared" si="169"/>
        <v>5291</v>
      </c>
      <c r="U69" s="885">
        <f t="shared" si="169"/>
        <v>5481</v>
      </c>
      <c r="V69" s="885">
        <f t="shared" si="169"/>
        <v>5617</v>
      </c>
      <c r="W69" s="885">
        <f t="shared" si="169"/>
        <v>5648</v>
      </c>
      <c r="X69" s="885">
        <f t="shared" si="169"/>
        <v>6455</v>
      </c>
      <c r="Y69" s="886">
        <f t="shared" si="169"/>
        <v>6435</v>
      </c>
      <c r="Z69" s="886">
        <f t="shared" ref="Z69:AE69" si="170">Z67+Z68</f>
        <v>6364</v>
      </c>
      <c r="AA69" s="886">
        <f t="shared" si="170"/>
        <v>7057</v>
      </c>
      <c r="AB69" s="886">
        <f t="shared" si="170"/>
        <v>6691</v>
      </c>
      <c r="AC69" s="886">
        <f t="shared" si="170"/>
        <v>7837</v>
      </c>
      <c r="AD69" s="886">
        <f t="shared" si="170"/>
        <v>5351</v>
      </c>
      <c r="AE69" s="886">
        <f t="shared" si="170"/>
        <v>4925</v>
      </c>
      <c r="AF69" s="886">
        <f t="shared" ref="AF69:AG69" si="171">AF67+AF68</f>
        <v>5868</v>
      </c>
      <c r="AG69" s="886">
        <f t="shared" si="171"/>
        <v>6125</v>
      </c>
      <c r="AH69" s="886">
        <f t="shared" ref="AH69:AI69" si="172">AH67+AH68</f>
        <v>6349.268</v>
      </c>
      <c r="AI69" s="886">
        <f t="shared" si="172"/>
        <v>6823.82564001501</v>
      </c>
      <c r="AJ69" s="886">
        <f t="shared" ref="AJ69:AK69" si="173">AJ67+AJ68</f>
        <v>7387.78018881382</v>
      </c>
      <c r="AK69" s="886">
        <f t="shared" si="173"/>
        <v>8055.62071171171</v>
      </c>
      <c r="AL69" s="886">
        <f t="shared" ref="AL69" si="174">AL67+AL68</f>
        <v>8856.23632132132</v>
      </c>
      <c r="AM69" s="900"/>
      <c r="AN69" s="874"/>
      <c r="AO69" s="874"/>
      <c r="AP69" s="874"/>
    </row>
    <row r="70" customHeight="1" spans="1:42">
      <c r="B70" s="876"/>
      <c r="C70" s="876"/>
      <c r="D70" s="876"/>
      <c r="E70" s="876"/>
      <c r="F70" s="876"/>
      <c r="G70" s="876"/>
      <c r="H70" s="876"/>
      <c r="I70" s="876">
        <f>I71-I37</f>
        <v>-0.0369999999993524</v>
      </c>
      <c r="J70" s="876"/>
      <c r="K70" s="876"/>
      <c r="L70" s="876"/>
      <c r="M70" s="876"/>
      <c r="N70" s="876"/>
      <c r="O70" s="876"/>
      <c r="P70" s="876"/>
      <c r="Q70" s="876"/>
      <c r="R70" s="876"/>
      <c r="S70" s="876"/>
      <c r="T70" s="876"/>
      <c r="U70" s="876"/>
      <c r="V70" s="876"/>
      <c r="W70" s="876"/>
      <c r="X70" s="876"/>
      <c r="Y70" s="876"/>
      <c r="Z70" s="876"/>
      <c r="AA70" s="876"/>
      <c r="AB70" s="876"/>
      <c r="AC70" s="876"/>
      <c r="AD70" s="876"/>
      <c r="AE70" s="876"/>
      <c r="AF70" s="876"/>
      <c r="AG70" s="876"/>
      <c r="AH70" s="876"/>
      <c r="AI70" s="876"/>
      <c r="AJ70" s="876"/>
      <c r="AK70" s="876"/>
      <c r="AL70" s="876"/>
      <c r="AN70" s="874"/>
      <c r="AO70" s="874"/>
      <c r="AP70" s="874"/>
    </row>
    <row r="71" customHeight="1" spans="1:42">
      <c r="A71" s="884" t="s">
        <v>1008</v>
      </c>
      <c r="B71" s="885">
        <v>737.2623881</v>
      </c>
      <c r="C71" s="885">
        <f t="shared" ref="C71:P71" si="175">C62+C69</f>
        <v>908.7759279</v>
      </c>
      <c r="D71" s="885">
        <f t="shared" si="175"/>
        <v>1255.5211811</v>
      </c>
      <c r="E71" s="885">
        <f t="shared" si="175"/>
        <v>2223.648813</v>
      </c>
      <c r="F71" s="885">
        <f t="shared" si="175"/>
        <v>3205.7502739</v>
      </c>
      <c r="G71" s="885">
        <f t="shared" si="175"/>
        <v>3587.1250374</v>
      </c>
      <c r="H71" s="885">
        <f t="shared" si="175"/>
        <v>4018.016</v>
      </c>
      <c r="I71" s="885">
        <f t="shared" si="175"/>
        <v>4182.403</v>
      </c>
      <c r="J71" s="885">
        <f t="shared" si="175"/>
        <v>4260.872</v>
      </c>
      <c r="K71" s="885">
        <f t="shared" si="175"/>
        <v>4187.808</v>
      </c>
      <c r="L71" s="885">
        <f t="shared" si="175"/>
        <v>4433.88404</v>
      </c>
      <c r="M71" s="885">
        <f t="shared" si="175"/>
        <v>5749.876</v>
      </c>
      <c r="N71" s="885">
        <f t="shared" si="175"/>
        <v>8379</v>
      </c>
      <c r="O71" s="885">
        <f t="shared" si="175"/>
        <v>8325</v>
      </c>
      <c r="P71" s="885">
        <f t="shared" si="175"/>
        <v>9533</v>
      </c>
      <c r="Q71" s="885">
        <f t="shared" ref="Q71:Y71" si="176">Q62+Q69</f>
        <v>8875</v>
      </c>
      <c r="R71" s="885">
        <f t="shared" si="176"/>
        <v>10528</v>
      </c>
      <c r="S71" s="885">
        <f t="shared" si="176"/>
        <v>11237</v>
      </c>
      <c r="T71" s="885">
        <f t="shared" si="176"/>
        <v>11651</v>
      </c>
      <c r="U71" s="885">
        <f t="shared" si="176"/>
        <v>11599</v>
      </c>
      <c r="V71" s="885">
        <f t="shared" si="176"/>
        <v>12417</v>
      </c>
      <c r="W71" s="885">
        <f t="shared" si="176"/>
        <v>13343</v>
      </c>
      <c r="X71" s="885">
        <f t="shared" si="176"/>
        <v>15176</v>
      </c>
      <c r="Y71" s="885">
        <f t="shared" si="176"/>
        <v>14522</v>
      </c>
      <c r="Z71" s="885">
        <f t="shared" ref="Z71:AE71" si="177">Z62+Z69</f>
        <v>15612</v>
      </c>
      <c r="AA71" s="885">
        <f t="shared" si="177"/>
        <v>20680</v>
      </c>
      <c r="AB71" s="885">
        <f t="shared" si="177"/>
        <v>21053</v>
      </c>
      <c r="AC71" s="885">
        <f t="shared" si="177"/>
        <v>22137</v>
      </c>
      <c r="AD71" s="885">
        <f t="shared" si="177"/>
        <v>20296</v>
      </c>
      <c r="AE71" s="885">
        <f t="shared" si="177"/>
        <v>18020</v>
      </c>
      <c r="AF71" s="885">
        <f t="shared" ref="AF71:AG71" si="178">AF62+AF69</f>
        <v>20655</v>
      </c>
      <c r="AG71" s="885">
        <f t="shared" si="178"/>
        <v>20263</v>
      </c>
      <c r="AH71" s="885">
        <f t="shared" ref="AH71:AI71" si="179">AH62+AH69</f>
        <v>20895.6470301871</v>
      </c>
      <c r="AI71" s="885">
        <f t="shared" si="179"/>
        <v>21908.6605205302</v>
      </c>
      <c r="AJ71" s="885">
        <f t="shared" ref="AJ71:AK71" si="180">AJ62+AJ69</f>
        <v>23006.3204273409</v>
      </c>
      <c r="AK71" s="885">
        <f t="shared" si="180"/>
        <v>24189.8420475101</v>
      </c>
      <c r="AL71" s="885">
        <f t="shared" ref="AL71" si="181">AL62+AL69</f>
        <v>25533.0894000925</v>
      </c>
      <c r="AN71" s="874"/>
      <c r="AO71" s="874"/>
      <c r="AP71" s="874"/>
    </row>
    <row r="72" customHeight="1" spans="1:42">
      <c r="A72" s="875" t="s">
        <v>61</v>
      </c>
      <c r="B72" s="876" t="s">
        <v>173</v>
      </c>
      <c r="C72" s="868">
        <f t="shared" ref="C72:M72" si="182">C71/B71-1</f>
        <v>0.232635683805881</v>
      </c>
      <c r="D72" s="868">
        <f t="shared" si="182"/>
        <v>0.3815519783862</v>
      </c>
      <c r="E72" s="868">
        <f t="shared" si="182"/>
        <v>0.77109621603659</v>
      </c>
      <c r="F72" s="868" t="s">
        <v>1009</v>
      </c>
      <c r="G72" s="868">
        <f t="shared" si="182"/>
        <v>0.118965836673246</v>
      </c>
      <c r="H72" s="868">
        <f t="shared" si="182"/>
        <v>0.120121534127597</v>
      </c>
      <c r="I72" s="868">
        <f t="shared" si="182"/>
        <v>0.0409124801892278</v>
      </c>
      <c r="J72" s="868">
        <f t="shared" si="182"/>
        <v>0.0187617023036755</v>
      </c>
      <c r="K72" s="868">
        <f t="shared" si="182"/>
        <v>-0.0171476636707226</v>
      </c>
      <c r="L72" s="868">
        <f t="shared" si="182"/>
        <v>0.0587601055253726</v>
      </c>
      <c r="M72" s="868">
        <f t="shared" si="182"/>
        <v>0.296803422942022</v>
      </c>
      <c r="N72" s="868">
        <f t="shared" ref="N72:T72" si="183">N71/M71-1</f>
        <v>0.457248817191884</v>
      </c>
      <c r="O72" s="868">
        <f t="shared" si="183"/>
        <v>-0.00644468313641244</v>
      </c>
      <c r="P72" s="868">
        <f t="shared" si="183"/>
        <v>0.145105105105105</v>
      </c>
      <c r="Q72" s="868">
        <f t="shared" si="183"/>
        <v>-0.0690233924263086</v>
      </c>
      <c r="R72" s="868">
        <f t="shared" si="183"/>
        <v>0.186253521126761</v>
      </c>
      <c r="S72" s="868">
        <f t="shared" si="183"/>
        <v>0.0673442249240122</v>
      </c>
      <c r="T72" s="868">
        <f t="shared" si="183"/>
        <v>0.0368425736406515</v>
      </c>
      <c r="U72" s="868">
        <f t="shared" ref="U72:AL72" si="184">U71/T71-1</f>
        <v>-0.00446313621148398</v>
      </c>
      <c r="V72" s="868">
        <f t="shared" si="184"/>
        <v>0.0705233209759462</v>
      </c>
      <c r="W72" s="868">
        <f t="shared" si="184"/>
        <v>0.0745751791898204</v>
      </c>
      <c r="X72" s="868">
        <f t="shared" si="184"/>
        <v>0.137375402832946</v>
      </c>
      <c r="Y72" s="868">
        <f t="shared" si="184"/>
        <v>-0.0430943595150237</v>
      </c>
      <c r="Z72" s="868">
        <f t="shared" si="184"/>
        <v>0.0750585318826609</v>
      </c>
      <c r="AA72" s="868">
        <f t="shared" si="184"/>
        <v>0.324622085575199</v>
      </c>
      <c r="AB72" s="868">
        <f t="shared" si="184"/>
        <v>0.018036750483559</v>
      </c>
      <c r="AC72" s="868">
        <f t="shared" si="184"/>
        <v>0.0514890989407686</v>
      </c>
      <c r="AD72" s="868">
        <f t="shared" si="184"/>
        <v>-0.0831639336856846</v>
      </c>
      <c r="AE72" s="868">
        <f t="shared" si="184"/>
        <v>-0.112140323216397</v>
      </c>
      <c r="AF72" s="868">
        <f t="shared" si="184"/>
        <v>0.14622641509434</v>
      </c>
      <c r="AG72" s="868">
        <f t="shared" si="184"/>
        <v>-0.0189784555797627</v>
      </c>
      <c r="AH72" s="868">
        <f t="shared" si="184"/>
        <v>0.03122178503613</v>
      </c>
      <c r="AI72" s="868">
        <f t="shared" si="184"/>
        <v>0.0484796421417186</v>
      </c>
      <c r="AJ72" s="868">
        <f t="shared" si="184"/>
        <v>0.0501016438582365</v>
      </c>
      <c r="AK72" s="868">
        <f t="shared" si="184"/>
        <v>0.0514433250596122</v>
      </c>
      <c r="AL72" s="868">
        <f t="shared" si="184"/>
        <v>0.0555293974199624</v>
      </c>
      <c r="AO72" s="874"/>
    </row>
    <row r="73" customHeight="1" spans="1:42">
      <c r="B73" s="901"/>
      <c r="C73" s="901"/>
      <c r="D73" s="901"/>
      <c r="E73" s="901"/>
      <c r="F73" s="901"/>
      <c r="G73" s="901"/>
      <c r="H73" s="901"/>
      <c r="I73" s="901"/>
      <c r="J73" s="901"/>
      <c r="K73" s="901"/>
      <c r="L73" s="901"/>
      <c r="M73" s="902">
        <f t="shared" ref="M73:U73" si="185">M71-M37</f>
        <v>-0.00700000000051659</v>
      </c>
      <c r="N73" s="902">
        <f t="shared" si="185"/>
        <v>0</v>
      </c>
      <c r="O73" s="902">
        <f t="shared" si="185"/>
        <v>0</v>
      </c>
      <c r="P73" s="902">
        <f t="shared" si="185"/>
        <v>0</v>
      </c>
      <c r="Q73" s="902">
        <f t="shared" si="185"/>
        <v>0</v>
      </c>
      <c r="R73" s="902">
        <f t="shared" si="185"/>
        <v>0</v>
      </c>
      <c r="S73" s="902">
        <f t="shared" si="185"/>
        <v>0</v>
      </c>
      <c r="T73" s="902">
        <f t="shared" si="185"/>
        <v>0</v>
      </c>
      <c r="U73" s="902">
        <f t="shared" si="185"/>
        <v>0</v>
      </c>
      <c r="V73" s="902">
        <f t="shared" ref="V73:AB73" si="186">V71-V37</f>
        <v>0</v>
      </c>
      <c r="W73" s="902">
        <f t="shared" si="186"/>
        <v>0</v>
      </c>
      <c r="X73" s="902">
        <f t="shared" si="186"/>
        <v>0</v>
      </c>
      <c r="Y73" s="902">
        <f t="shared" si="186"/>
        <v>0</v>
      </c>
      <c r="Z73" s="902">
        <f t="shared" si="186"/>
        <v>0</v>
      </c>
      <c r="AA73" s="902">
        <f t="shared" si="186"/>
        <v>0</v>
      </c>
      <c r="AB73" s="902">
        <f t="shared" si="186"/>
        <v>0</v>
      </c>
      <c r="AC73" s="902">
        <f t="shared" ref="AC73:AH73" si="187">AC71-AC37</f>
        <v>0</v>
      </c>
      <c r="AD73" s="902">
        <f t="shared" si="187"/>
        <v>0</v>
      </c>
      <c r="AE73" s="902">
        <f t="shared" si="187"/>
        <v>0</v>
      </c>
      <c r="AF73" s="902">
        <f t="shared" si="187"/>
        <v>0</v>
      </c>
      <c r="AG73" s="902">
        <f t="shared" si="187"/>
        <v>0</v>
      </c>
      <c r="AH73" s="902">
        <f t="shared" si="187"/>
        <v>0</v>
      </c>
      <c r="AI73" s="902">
        <f t="shared" ref="AI73:AJ73" si="188">AI71-AI37</f>
        <v>0</v>
      </c>
      <c r="AJ73" s="902">
        <f t="shared" si="188"/>
        <v>0</v>
      </c>
      <c r="AK73" s="902">
        <f t="shared" ref="AK73:AL73" si="189">AK71-AK37</f>
        <v>0</v>
      </c>
      <c r="AL73" s="902">
        <f t="shared" si="189"/>
        <v>0</v>
      </c>
    </row>
    <row r="74" customHeight="1" spans="1:42">
      <c r="A74" s="860" t="s">
        <v>1010</v>
      </c>
    </row>
    <row r="75" customHeight="1" spans="1:42">
      <c r="A75" s="860" t="s">
        <v>1011</v>
      </c>
      <c r="B75" s="903" t="e">
        <f t="shared" ref="B75:R75" si="190">+B59/B3</f>
        <v>#DIV/0!</v>
      </c>
      <c r="C75" s="903">
        <f t="shared" si="190"/>
        <v>0.0156049299476607</v>
      </c>
      <c r="D75" s="903">
        <f t="shared" si="190"/>
        <v>0.0133387635706387</v>
      </c>
      <c r="E75" s="903">
        <f t="shared" si="190"/>
        <v>0.0128113543229102</v>
      </c>
      <c r="F75" s="903">
        <f t="shared" si="190"/>
        <v>0.0145074480792497</v>
      </c>
      <c r="G75" s="903">
        <f t="shared" si="190"/>
        <v>0.017930690038325</v>
      </c>
      <c r="H75" s="903">
        <f t="shared" si="190"/>
        <v>0.0163823479005998</v>
      </c>
      <c r="I75" s="903">
        <f t="shared" si="190"/>
        <v>0.0171958496466251</v>
      </c>
      <c r="J75" s="903">
        <f t="shared" si="190"/>
        <v>0.0180886740526708</v>
      </c>
      <c r="K75" s="903">
        <f t="shared" si="190"/>
        <v>0.0224264377353673</v>
      </c>
      <c r="L75" s="903">
        <f t="shared" si="190"/>
        <v>0.0272301912568306</v>
      </c>
      <c r="M75" s="903">
        <f t="shared" si="190"/>
        <v>0.0358649789029536</v>
      </c>
      <c r="N75" s="903">
        <f t="shared" si="190"/>
        <v>0.0248909163030543</v>
      </c>
      <c r="O75" s="903">
        <f t="shared" si="190"/>
        <v>0.0258277502670162</v>
      </c>
      <c r="P75" s="903">
        <f t="shared" si="190"/>
        <v>0.0230576905269006</v>
      </c>
      <c r="Q75" s="903">
        <f t="shared" si="190"/>
        <v>0.0251420865041903</v>
      </c>
      <c r="R75" s="903">
        <f t="shared" si="190"/>
        <v>0.0277731442869058</v>
      </c>
      <c r="S75" s="903"/>
      <c r="T75" s="903"/>
      <c r="U75" s="903"/>
      <c r="V75" s="903"/>
      <c r="W75" s="903"/>
      <c r="X75" s="903"/>
      <c r="Y75" s="903"/>
      <c r="Z75" s="903"/>
      <c r="AA75" s="903"/>
      <c r="AB75" s="903"/>
      <c r="AC75" s="903"/>
      <c r="AD75" s="903"/>
      <c r="AE75" s="903"/>
      <c r="AF75" s="903"/>
      <c r="AG75" s="903"/>
      <c r="AH75" s="903"/>
      <c r="AI75" s="903"/>
      <c r="AJ75" s="903"/>
      <c r="AK75" s="903"/>
      <c r="AL75" s="903"/>
    </row>
    <row r="76" customHeight="1" spans="1:42">
      <c r="B76" s="903"/>
      <c r="C76" s="903"/>
      <c r="D76" s="903"/>
      <c r="E76" s="903"/>
      <c r="F76" s="903"/>
      <c r="G76" s="903"/>
      <c r="H76" s="903"/>
      <c r="I76" s="903"/>
      <c r="J76" s="903"/>
      <c r="K76" s="903"/>
      <c r="L76" s="903"/>
      <c r="M76" s="903"/>
      <c r="N76" s="903"/>
      <c r="O76" s="903"/>
      <c r="P76" s="903"/>
      <c r="Q76" s="903"/>
      <c r="R76" s="903"/>
      <c r="S76" s="903"/>
      <c r="T76" s="903"/>
      <c r="U76" s="903"/>
      <c r="V76" s="903"/>
      <c r="W76" s="903"/>
      <c r="X76" s="903"/>
      <c r="Y76" s="903"/>
      <c r="Z76" s="903"/>
      <c r="AA76" s="871"/>
      <c r="AB76" s="871"/>
      <c r="AC76" s="903"/>
      <c r="AD76" s="903"/>
      <c r="AE76" s="903"/>
      <c r="AF76" s="903"/>
      <c r="AG76" s="903"/>
      <c r="AH76" s="903"/>
      <c r="AI76" s="903"/>
      <c r="AJ76" s="903"/>
      <c r="AK76" s="903"/>
      <c r="AL76" s="903"/>
    </row>
    <row r="77" customHeight="1" spans="1:42">
      <c r="A77" s="860" t="s">
        <v>1012</v>
      </c>
      <c r="B77" s="903"/>
      <c r="C77" s="903"/>
      <c r="D77" s="903"/>
      <c r="E77" s="903"/>
      <c r="F77" s="903"/>
      <c r="G77" s="903"/>
      <c r="H77" s="903"/>
      <c r="I77" s="903"/>
      <c r="J77" s="903"/>
      <c r="K77" s="903"/>
      <c r="L77" s="903"/>
      <c r="M77" s="903"/>
      <c r="N77" s="903"/>
      <c r="O77" s="903"/>
      <c r="P77" s="903"/>
      <c r="Q77" s="903"/>
      <c r="R77" s="903"/>
      <c r="S77" s="903"/>
      <c r="T77" s="903"/>
      <c r="U77" s="903"/>
      <c r="V77" s="903"/>
      <c r="W77" s="903"/>
      <c r="X77" s="903"/>
      <c r="Y77" s="903"/>
      <c r="Z77" s="903"/>
      <c r="AA77" s="871"/>
      <c r="AB77" s="903"/>
      <c r="AC77" s="903"/>
      <c r="AD77" s="903"/>
      <c r="AE77" s="903"/>
      <c r="AF77" s="903"/>
      <c r="AG77" s="903"/>
      <c r="AH77" s="903"/>
      <c r="AI77" s="903"/>
      <c r="AJ77" s="903"/>
      <c r="AK77" s="903"/>
      <c r="AL77" s="903"/>
    </row>
    <row r="78" customHeight="1" spans="1:42">
      <c r="A78" s="860" t="s">
        <v>1013</v>
      </c>
      <c r="B78" s="903"/>
      <c r="C78" s="903" t="e">
        <f>+#REF!</f>
        <v>#REF!</v>
      </c>
      <c r="D78" s="903" t="e">
        <f>+#REF!</f>
        <v>#REF!</v>
      </c>
      <c r="E78" s="903" t="e">
        <f>+#REF!</f>
        <v>#REF!</v>
      </c>
      <c r="F78" s="903" t="e">
        <f>+#REF!</f>
        <v>#REF!</v>
      </c>
      <c r="G78" s="903" t="e">
        <f>+#REF!</f>
        <v>#REF!</v>
      </c>
      <c r="H78" s="903" t="e">
        <f>+#REF!</f>
        <v>#REF!</v>
      </c>
      <c r="I78" s="903" t="e">
        <f>+#REF!</f>
        <v>#REF!</v>
      </c>
      <c r="J78" s="903" t="e">
        <f>+#REF!</f>
        <v>#REF!</v>
      </c>
      <c r="K78" s="903" t="e">
        <f>+#REF!</f>
        <v>#REF!</v>
      </c>
      <c r="L78" s="903" t="e">
        <f>+#REF!</f>
        <v>#REF!</v>
      </c>
      <c r="M78" s="903" t="e">
        <f>+#REF!</f>
        <v>#REF!</v>
      </c>
      <c r="N78" s="903" t="e">
        <f>+#REF!</f>
        <v>#REF!</v>
      </c>
      <c r="O78" s="903" t="e">
        <f>+#REF!</f>
        <v>#REF!</v>
      </c>
      <c r="P78" s="903" t="e">
        <f>+#REF!</f>
        <v>#REF!</v>
      </c>
      <c r="Q78" s="903" t="e">
        <f>+#REF!</f>
        <v>#REF!</v>
      </c>
      <c r="R78" s="903" t="e">
        <f>+#REF!</f>
        <v>#REF!</v>
      </c>
      <c r="S78" s="903"/>
      <c r="T78" s="903"/>
      <c r="U78" s="903"/>
      <c r="V78" s="903"/>
      <c r="W78" s="903"/>
      <c r="X78" s="903"/>
      <c r="Y78" s="903"/>
      <c r="Z78" s="903"/>
      <c r="AA78" s="903"/>
      <c r="AB78" s="903"/>
      <c r="AC78" s="903"/>
      <c r="AD78" s="903"/>
      <c r="AE78" s="903"/>
      <c r="AF78" s="903"/>
      <c r="AG78" s="903"/>
      <c r="AH78" s="903"/>
      <c r="AI78" s="903"/>
      <c r="AJ78" s="903"/>
      <c r="AK78" s="903"/>
      <c r="AL78" s="903"/>
    </row>
    <row r="79" customHeight="1" spans="1:42">
      <c r="A79" s="860" t="s">
        <v>1014</v>
      </c>
      <c r="B79" s="903"/>
      <c r="C79" s="903" t="str">
        <f>+IF(ISERROR(C33/B33),"NA ",C33/B33)</f>
        <v>NA </v>
      </c>
      <c r="D79" s="903" t="str">
        <f t="shared" ref="D79:R79" si="191">+IF(ISERROR(D33/C33-1),"NA ",D33/C33-1)</f>
        <v>NA </v>
      </c>
      <c r="E79" s="903" t="str">
        <f t="shared" si="191"/>
        <v>NA </v>
      </c>
      <c r="F79" s="903">
        <f t="shared" si="191"/>
        <v>3.01448401826484</v>
      </c>
      <c r="G79" s="903">
        <f t="shared" si="191"/>
        <v>0.195486809451614</v>
      </c>
      <c r="H79" s="903">
        <f t="shared" si="191"/>
        <v>-0.024458685959702</v>
      </c>
      <c r="I79" s="903">
        <f t="shared" si="191"/>
        <v>0.12825892891205</v>
      </c>
      <c r="J79" s="903">
        <f t="shared" si="191"/>
        <v>0.147552291493376</v>
      </c>
      <c r="K79" s="903">
        <f t="shared" si="191"/>
        <v>0.0518115173372935</v>
      </c>
      <c r="L79" s="903">
        <f t="shared" si="191"/>
        <v>-0.0669247663656127</v>
      </c>
      <c r="M79" s="903">
        <f t="shared" si="191"/>
        <v>0.172163877530188</v>
      </c>
      <c r="N79" s="903">
        <f t="shared" si="191"/>
        <v>0.700723832161097</v>
      </c>
      <c r="O79" s="903">
        <f t="shared" si="191"/>
        <v>-0.0512048192771084</v>
      </c>
      <c r="P79" s="903">
        <f t="shared" si="191"/>
        <v>0.092063492063492</v>
      </c>
      <c r="Q79" s="903">
        <f t="shared" si="191"/>
        <v>0.197674418604651</v>
      </c>
      <c r="R79" s="903">
        <f t="shared" si="191"/>
        <v>0.216019417475728</v>
      </c>
      <c r="S79" s="903"/>
      <c r="T79" s="903"/>
      <c r="U79" s="903"/>
      <c r="V79" s="903"/>
      <c r="W79" s="903"/>
      <c r="X79" s="903"/>
      <c r="Y79" s="903"/>
      <c r="Z79" s="903"/>
      <c r="AA79" s="903"/>
      <c r="AB79" s="903"/>
      <c r="AC79" s="903"/>
      <c r="AD79" s="903"/>
      <c r="AE79" s="903"/>
      <c r="AF79" s="903"/>
      <c r="AG79" s="903"/>
      <c r="AH79" s="903"/>
      <c r="AI79" s="903"/>
      <c r="AJ79" s="903"/>
      <c r="AK79" s="903"/>
      <c r="AL79" s="903"/>
    </row>
    <row r="80" customHeight="1" spans="1:42">
      <c r="A80" s="860" t="s">
        <v>1015</v>
      </c>
      <c r="B80" s="903"/>
      <c r="C80" s="903" t="e">
        <f t="shared" ref="C80:J80" si="192">+C47/B47-1</f>
        <v>#DIV/0!</v>
      </c>
      <c r="D80" s="903" t="e">
        <f t="shared" si="192"/>
        <v>#DIV/0!</v>
      </c>
      <c r="E80" s="903" t="e">
        <f t="shared" si="192"/>
        <v>#DIV/0!</v>
      </c>
      <c r="F80" s="903" t="e">
        <f t="shared" si="192"/>
        <v>#DIV/0!</v>
      </c>
      <c r="G80" s="903" t="e">
        <f t="shared" si="192"/>
        <v>#DIV/0!</v>
      </c>
      <c r="H80" s="903" t="e">
        <f t="shared" si="192"/>
        <v>#DIV/0!</v>
      </c>
      <c r="I80" s="903" t="e">
        <f t="shared" si="192"/>
        <v>#DIV/0!</v>
      </c>
      <c r="J80" s="903" t="e">
        <f t="shared" si="192"/>
        <v>#DIV/0!</v>
      </c>
      <c r="K80" s="903" t="str">
        <f t="shared" ref="K80:R80" si="193">+IF(ISERROR(K47/J47-1),"NA ",K47/J47-1)</f>
        <v>NA </v>
      </c>
      <c r="L80" s="903">
        <f t="shared" si="193"/>
        <v>-1</v>
      </c>
      <c r="M80" s="903" t="str">
        <f t="shared" si="193"/>
        <v>NA </v>
      </c>
      <c r="N80" s="903">
        <f t="shared" si="193"/>
        <v>0</v>
      </c>
      <c r="O80" s="903">
        <f t="shared" si="193"/>
        <v>0.00706713780918733</v>
      </c>
      <c r="P80" s="903">
        <f t="shared" si="193"/>
        <v>0.126315789473684</v>
      </c>
      <c r="Q80" s="903">
        <f t="shared" si="193"/>
        <v>-0.395638629283489</v>
      </c>
      <c r="R80" s="903">
        <f t="shared" si="193"/>
        <v>0.365979381443299</v>
      </c>
      <c r="S80" s="903"/>
      <c r="T80" s="903"/>
      <c r="U80" s="903"/>
      <c r="V80" s="903"/>
      <c r="W80" s="903"/>
      <c r="X80" s="903"/>
      <c r="Y80" s="903"/>
      <c r="Z80" s="903"/>
      <c r="AA80" s="903"/>
      <c r="AB80" s="903"/>
      <c r="AC80" s="903"/>
      <c r="AD80" s="903"/>
      <c r="AE80" s="903"/>
      <c r="AF80" s="903"/>
      <c r="AG80" s="903"/>
      <c r="AH80" s="903"/>
      <c r="AI80" s="903"/>
      <c r="AJ80" s="903"/>
      <c r="AK80" s="903"/>
      <c r="AL80" s="903"/>
    </row>
    <row r="81" customHeight="1" spans="1:40">
      <c r="A81" s="860" t="s">
        <v>1016</v>
      </c>
      <c r="B81" s="903"/>
      <c r="C81" s="903">
        <f>+C55/B55-1</f>
        <v>-0.950888173687299</v>
      </c>
      <c r="D81" s="903">
        <f t="shared" ref="D81:R81" si="194">+IF(ISERROR(D55/C55-1),"NA ",D55/C55-1)</f>
        <v>0.222302679217958</v>
      </c>
      <c r="E81" s="903">
        <f t="shared" si="194"/>
        <v>2.06309241706161</v>
      </c>
      <c r="F81" s="903">
        <f t="shared" si="194"/>
        <v>-0.501595590368436</v>
      </c>
      <c r="G81" s="903">
        <f t="shared" si="194"/>
        <v>3.51338766006985</v>
      </c>
      <c r="H81" s="903">
        <f t="shared" si="194"/>
        <v>1.6692762819164</v>
      </c>
      <c r="I81" s="903">
        <f t="shared" si="194"/>
        <v>0.308806853975053</v>
      </c>
      <c r="J81" s="903">
        <f t="shared" si="194"/>
        <v>0.22737774355025</v>
      </c>
      <c r="K81" s="903">
        <f t="shared" si="194"/>
        <v>0.290333333333333</v>
      </c>
      <c r="L81" s="903">
        <f t="shared" si="194"/>
        <v>0.183992584375522</v>
      </c>
      <c r="M81" s="903">
        <f t="shared" si="194"/>
        <v>-0.458576654046076</v>
      </c>
      <c r="N81" s="903">
        <f t="shared" si="194"/>
        <v>11.3740666113547</v>
      </c>
      <c r="O81" s="903">
        <f t="shared" si="194"/>
        <v>-0.137931034482759</v>
      </c>
      <c r="P81" s="903">
        <f t="shared" si="194"/>
        <v>0.028888888888889</v>
      </c>
      <c r="Q81" s="903">
        <f t="shared" si="194"/>
        <v>-0.0647948164146869</v>
      </c>
      <c r="R81" s="903">
        <f t="shared" si="194"/>
        <v>0.0415704387990763</v>
      </c>
      <c r="S81" s="903"/>
      <c r="T81" s="903"/>
      <c r="U81" s="903"/>
      <c r="V81" s="903"/>
      <c r="W81" s="903"/>
      <c r="X81" s="903"/>
      <c r="Y81" s="903"/>
      <c r="Z81" s="903"/>
      <c r="AA81" s="903"/>
      <c r="AB81" s="903"/>
      <c r="AC81" s="903"/>
      <c r="AD81" s="903"/>
      <c r="AE81" s="903"/>
      <c r="AF81" s="903"/>
      <c r="AG81" s="903"/>
      <c r="AH81" s="903"/>
      <c r="AI81" s="903"/>
      <c r="AJ81" s="903"/>
      <c r="AK81" s="903"/>
      <c r="AL81" s="903"/>
    </row>
    <row r="82" customHeight="1" spans="1:40">
      <c r="B82" s="903"/>
      <c r="C82" s="903"/>
      <c r="D82" s="903"/>
      <c r="E82" s="903"/>
      <c r="F82" s="903"/>
      <c r="G82" s="903"/>
      <c r="H82" s="903"/>
      <c r="I82" s="903"/>
      <c r="J82" s="903"/>
      <c r="K82" s="903"/>
      <c r="L82" s="903"/>
      <c r="M82" s="903"/>
      <c r="N82" s="903"/>
      <c r="O82" s="903"/>
      <c r="P82" s="903"/>
      <c r="Q82" s="903"/>
      <c r="R82" s="903"/>
      <c r="S82" s="903"/>
      <c r="T82" s="903"/>
      <c r="U82" s="903"/>
      <c r="V82" s="903"/>
      <c r="W82" s="903"/>
      <c r="X82" s="903"/>
      <c r="Y82" s="903"/>
      <c r="Z82" s="903"/>
      <c r="AA82" s="903"/>
      <c r="AB82" s="903"/>
      <c r="AC82" s="903"/>
      <c r="AD82" s="903"/>
      <c r="AE82" s="903"/>
      <c r="AF82" s="903"/>
      <c r="AG82" s="903"/>
      <c r="AH82" s="903"/>
      <c r="AI82" s="903"/>
      <c r="AJ82" s="903"/>
      <c r="AK82" s="903"/>
      <c r="AL82" s="903"/>
    </row>
    <row r="83" customHeight="1" spans="1:40">
      <c r="A83" s="860" t="s">
        <v>1017</v>
      </c>
      <c r="B83" s="903" t="e">
        <f t="shared" ref="B83:R83" si="195">+B15/B$3</f>
        <v>#DIV/0!</v>
      </c>
      <c r="C83" s="903">
        <f t="shared" si="195"/>
        <v>0</v>
      </c>
      <c r="D83" s="903">
        <f t="shared" si="195"/>
        <v>0</v>
      </c>
      <c r="E83" s="903">
        <f t="shared" si="195"/>
        <v>0</v>
      </c>
      <c r="F83" s="903">
        <f t="shared" si="195"/>
        <v>0</v>
      </c>
      <c r="G83" s="903">
        <f t="shared" si="195"/>
        <v>0</v>
      </c>
      <c r="H83" s="903">
        <f t="shared" si="195"/>
        <v>0</v>
      </c>
      <c r="I83" s="903">
        <f t="shared" si="195"/>
        <v>0</v>
      </c>
      <c r="J83" s="903">
        <f t="shared" si="195"/>
        <v>0</v>
      </c>
      <c r="K83" s="903">
        <f t="shared" si="195"/>
        <v>0</v>
      </c>
      <c r="L83" s="903">
        <f t="shared" si="195"/>
        <v>0</v>
      </c>
      <c r="M83" s="903">
        <f t="shared" si="195"/>
        <v>0.00738396624472574</v>
      </c>
      <c r="N83" s="903">
        <f t="shared" si="195"/>
        <v>0.00833002776675922</v>
      </c>
      <c r="O83" s="903">
        <f t="shared" si="195"/>
        <v>0.00582580833090591</v>
      </c>
      <c r="P83" s="903">
        <f t="shared" si="195"/>
        <v>0.0101861283452171</v>
      </c>
      <c r="Q83" s="903">
        <f t="shared" si="195"/>
        <v>0.00857335516809556</v>
      </c>
      <c r="R83" s="903">
        <f t="shared" si="195"/>
        <v>0.00592160133444537</v>
      </c>
      <c r="S83" s="903"/>
      <c r="T83" s="903"/>
      <c r="U83" s="903"/>
      <c r="V83" s="903"/>
      <c r="W83" s="903"/>
      <c r="X83" s="903"/>
      <c r="Y83" s="903"/>
      <c r="Z83" s="903"/>
      <c r="AA83" s="903"/>
      <c r="AB83" s="903"/>
      <c r="AC83" s="903"/>
      <c r="AD83" s="903"/>
      <c r="AE83" s="903"/>
      <c r="AF83" s="903"/>
      <c r="AG83" s="903"/>
      <c r="AH83" s="903"/>
      <c r="AI83" s="903"/>
      <c r="AJ83" s="903"/>
      <c r="AK83" s="903"/>
      <c r="AL83" s="903"/>
    </row>
    <row r="84" customHeight="1" spans="1:40">
      <c r="A84" s="860" t="s">
        <v>1018</v>
      </c>
      <c r="B84" s="903" t="e">
        <f t="shared" ref="B84:R84" si="196">+B33/B$3</f>
        <v>#DIV/0!</v>
      </c>
      <c r="C84" s="903">
        <f t="shared" si="196"/>
        <v>0</v>
      </c>
      <c r="D84" s="903">
        <f t="shared" si="196"/>
        <v>0</v>
      </c>
      <c r="E84" s="903">
        <f t="shared" si="196"/>
        <v>0.0081737437851555</v>
      </c>
      <c r="F84" s="903">
        <f t="shared" si="196"/>
        <v>0.0221853620800721</v>
      </c>
      <c r="G84" s="903">
        <f t="shared" si="196"/>
        <v>0.0250934403745721</v>
      </c>
      <c r="H84" s="903">
        <f t="shared" si="196"/>
        <v>0.0224615252784919</v>
      </c>
      <c r="I84" s="903">
        <f t="shared" si="196"/>
        <v>0.0241925073952771</v>
      </c>
      <c r="J84" s="903">
        <f t="shared" si="196"/>
        <v>0.0260127396385239</v>
      </c>
      <c r="K84" s="903">
        <f t="shared" si="196"/>
        <v>0.0284808833854599</v>
      </c>
      <c r="L84" s="903">
        <f t="shared" si="196"/>
        <v>0.0284390368852459</v>
      </c>
      <c r="M84" s="903">
        <f t="shared" si="196"/>
        <v>0.029416968053044</v>
      </c>
      <c r="N84" s="903">
        <f t="shared" si="196"/>
        <v>0.0329234430781436</v>
      </c>
      <c r="O84" s="903">
        <f t="shared" si="196"/>
        <v>0.030585493737256</v>
      </c>
      <c r="P84" s="903">
        <f t="shared" si="196"/>
        <v>0.0318548013704973</v>
      </c>
      <c r="Q84" s="903">
        <f t="shared" si="196"/>
        <v>0.039687891339948</v>
      </c>
      <c r="R84" s="903">
        <f t="shared" si="196"/>
        <v>0.0417848206839033</v>
      </c>
      <c r="S84" s="903"/>
      <c r="T84" s="903"/>
      <c r="U84" s="903"/>
      <c r="V84" s="903"/>
      <c r="W84" s="903"/>
      <c r="X84" s="903"/>
      <c r="Y84" s="903"/>
      <c r="Z84" s="903"/>
      <c r="AA84" s="903"/>
      <c r="AB84" s="903"/>
      <c r="AC84" s="903"/>
      <c r="AD84" s="903"/>
      <c r="AE84" s="903"/>
      <c r="AF84" s="903"/>
      <c r="AG84" s="903"/>
      <c r="AH84" s="903"/>
      <c r="AI84" s="903"/>
      <c r="AJ84" s="903"/>
      <c r="AK84" s="903"/>
      <c r="AL84" s="903"/>
    </row>
    <row r="85" customHeight="1" spans="1:40">
      <c r="A85" s="860" t="s">
        <v>1019</v>
      </c>
      <c r="B85" s="903" t="e">
        <f t="shared" ref="B85:R85" si="197">+B47/B$3</f>
        <v>#DIV/0!</v>
      </c>
      <c r="C85" s="903">
        <f t="shared" si="197"/>
        <v>0</v>
      </c>
      <c r="D85" s="903">
        <f t="shared" si="197"/>
        <v>0</v>
      </c>
      <c r="E85" s="903">
        <f t="shared" si="197"/>
        <v>0</v>
      </c>
      <c r="F85" s="903">
        <f t="shared" si="197"/>
        <v>0</v>
      </c>
      <c r="G85" s="903">
        <f t="shared" si="197"/>
        <v>0</v>
      </c>
      <c r="H85" s="903">
        <f t="shared" si="197"/>
        <v>0</v>
      </c>
      <c r="I85" s="903">
        <f t="shared" si="197"/>
        <v>0</v>
      </c>
      <c r="J85" s="903">
        <f t="shared" si="197"/>
        <v>0</v>
      </c>
      <c r="K85" s="903">
        <f t="shared" si="197"/>
        <v>0.0251745707538137</v>
      </c>
      <c r="L85" s="903">
        <f t="shared" si="197"/>
        <v>0</v>
      </c>
      <c r="M85" s="903">
        <f t="shared" si="197"/>
        <v>0.0426461723930078</v>
      </c>
      <c r="N85" s="903">
        <f t="shared" si="197"/>
        <v>0.0280642602142007</v>
      </c>
      <c r="O85" s="903">
        <f t="shared" si="197"/>
        <v>0.0276725895718031</v>
      </c>
      <c r="P85" s="903">
        <f t="shared" si="197"/>
        <v>0.0297249745346791</v>
      </c>
      <c r="Q85" s="903">
        <f t="shared" si="197"/>
        <v>0.0186879876697813</v>
      </c>
      <c r="R85" s="903">
        <f t="shared" si="197"/>
        <v>0.0221017514595496</v>
      </c>
      <c r="S85" s="903"/>
      <c r="T85" s="903"/>
      <c r="U85" s="903"/>
      <c r="V85" s="903"/>
      <c r="W85" s="903"/>
      <c r="X85" s="903"/>
      <c r="Y85" s="903"/>
      <c r="Z85" s="903"/>
      <c r="AA85" s="903"/>
      <c r="AB85" s="903"/>
      <c r="AC85" s="903"/>
      <c r="AD85" s="903"/>
      <c r="AE85" s="903"/>
      <c r="AF85" s="903"/>
      <c r="AG85" s="903"/>
      <c r="AH85" s="903"/>
      <c r="AI85" s="903"/>
      <c r="AJ85" s="903"/>
      <c r="AK85" s="903"/>
      <c r="AL85" s="903"/>
    </row>
    <row r="86" customHeight="1" spans="1:40">
      <c r="A86" s="860" t="s">
        <v>1020</v>
      </c>
      <c r="B86" s="903" t="e">
        <f t="shared" ref="B86:R86" si="198">+B55/B$3</f>
        <v>#DIV/0!</v>
      </c>
      <c r="C86" s="903">
        <f t="shared" si="198"/>
        <v>0.000789088748200123</v>
      </c>
      <c r="D86" s="903">
        <f t="shared" si="198"/>
        <v>0.000716859273050338</v>
      </c>
      <c r="E86" s="903">
        <f t="shared" si="198"/>
        <v>0.00154382985355786</v>
      </c>
      <c r="F86" s="903">
        <f t="shared" si="198"/>
        <v>0.00052023201903924</v>
      </c>
      <c r="G86" s="903">
        <f t="shared" si="198"/>
        <v>0.00222151174768381</v>
      </c>
      <c r="H86" s="903">
        <f t="shared" si="198"/>
        <v>0.00544095972579263</v>
      </c>
      <c r="I86" s="903">
        <f t="shared" si="198"/>
        <v>0.00679804337024714</v>
      </c>
      <c r="J86" s="903">
        <f t="shared" si="198"/>
        <v>0.0078179862431035</v>
      </c>
      <c r="K86" s="903">
        <f t="shared" si="198"/>
        <v>0.0105008935980086</v>
      </c>
      <c r="L86" s="903">
        <f t="shared" si="198"/>
        <v>0.0133051571038251</v>
      </c>
      <c r="M86" s="903">
        <f t="shared" si="198"/>
        <v>0.00635699216395419</v>
      </c>
      <c r="N86" s="903">
        <f t="shared" si="198"/>
        <v>0.0517651725505752</v>
      </c>
      <c r="O86" s="903">
        <f t="shared" si="198"/>
        <v>0.0436935624817943</v>
      </c>
      <c r="P86" s="903">
        <f t="shared" si="198"/>
        <v>0.0428743402166867</v>
      </c>
      <c r="Q86" s="903">
        <f t="shared" si="198"/>
        <v>0.0417108178402851</v>
      </c>
      <c r="R86" s="903">
        <f t="shared" si="198"/>
        <v>0.0376146788990826</v>
      </c>
      <c r="S86" s="903"/>
      <c r="T86" s="903"/>
      <c r="U86" s="903"/>
      <c r="V86" s="903"/>
      <c r="W86" s="903"/>
      <c r="X86" s="903"/>
      <c r="Y86" s="903"/>
      <c r="Z86" s="903"/>
      <c r="AA86" s="903"/>
      <c r="AB86" s="903"/>
      <c r="AC86" s="903"/>
      <c r="AD86" s="903"/>
      <c r="AE86" s="903"/>
      <c r="AF86" s="903"/>
      <c r="AG86" s="903"/>
      <c r="AH86" s="903"/>
      <c r="AI86" s="903"/>
      <c r="AJ86" s="903"/>
      <c r="AK86" s="903"/>
      <c r="AL86" s="903"/>
    </row>
    <row r="87" customHeight="1" spans="1:40">
      <c r="AA87" s="867"/>
      <c r="AB87" s="867"/>
      <c r="AC87" s="867"/>
    </row>
    <row r="88" customHeight="1" spans="1:40">
      <c r="AD88" s="869"/>
      <c r="AE88" s="869"/>
      <c r="AF88" s="869"/>
      <c r="AH88" s="869"/>
      <c r="AI88" s="869"/>
      <c r="AJ88" s="869"/>
      <c r="AK88" s="869"/>
      <c r="AL88" s="869"/>
    </row>
    <row r="89" customHeight="1" spans="1:40">
      <c r="A89" s="872" t="s">
        <v>1021</v>
      </c>
      <c r="B89" s="2132" t="s">
        <v>955</v>
      </c>
      <c r="C89" s="2132" t="s">
        <v>956</v>
      </c>
      <c r="D89" s="2132" t="s">
        <v>957</v>
      </c>
      <c r="E89" s="2132" t="s">
        <v>958</v>
      </c>
      <c r="F89" s="2132" t="s">
        <v>959</v>
      </c>
      <c r="G89" s="2132" t="s">
        <v>960</v>
      </c>
      <c r="H89" s="2132" t="s">
        <v>961</v>
      </c>
      <c r="I89" s="2132" t="s">
        <v>962</v>
      </c>
      <c r="J89" s="2132" t="str">
        <f t="shared" ref="J89:T89" si="199">J1</f>
        <v>2002</v>
      </c>
      <c r="K89" s="2132" t="str">
        <f t="shared" si="199"/>
        <v>2003</v>
      </c>
      <c r="L89" s="2132" t="str">
        <f t="shared" si="199"/>
        <v>2004</v>
      </c>
      <c r="M89" s="2132" t="str">
        <f t="shared" si="199"/>
        <v>2005</v>
      </c>
      <c r="N89" s="2132" t="str">
        <f t="shared" si="199"/>
        <v>2006</v>
      </c>
      <c r="O89" s="863">
        <f t="shared" si="199"/>
        <v>2007</v>
      </c>
      <c r="P89" s="863">
        <f t="shared" si="199"/>
        <v>2008</v>
      </c>
      <c r="Q89" s="863">
        <f t="shared" si="199"/>
        <v>2009</v>
      </c>
      <c r="R89" s="863">
        <f t="shared" si="199"/>
        <v>2010</v>
      </c>
      <c r="S89" s="863">
        <f t="shared" si="199"/>
        <v>2011</v>
      </c>
      <c r="T89" s="863">
        <f t="shared" si="199"/>
        <v>2012</v>
      </c>
      <c r="U89" s="863">
        <f t="shared" ref="U89:AB89" si="200">U1</f>
        <v>2013</v>
      </c>
      <c r="V89" s="863">
        <f t="shared" si="200"/>
        <v>2014</v>
      </c>
      <c r="W89" s="863">
        <f t="shared" si="200"/>
        <v>2015</v>
      </c>
      <c r="X89" s="863">
        <f t="shared" si="200"/>
        <v>2016</v>
      </c>
      <c r="Y89" s="863">
        <f t="shared" si="200"/>
        <v>2017</v>
      </c>
      <c r="Z89" s="863">
        <f t="shared" si="200"/>
        <v>2018</v>
      </c>
      <c r="AA89" s="863">
        <f t="shared" si="200"/>
        <v>2019</v>
      </c>
      <c r="AB89" s="863">
        <f t="shared" si="200"/>
        <v>2020</v>
      </c>
      <c r="AC89" s="863">
        <f t="shared" ref="AC89:AH89" si="201">AC1</f>
        <v>2021</v>
      </c>
      <c r="AD89" s="863">
        <f t="shared" si="201"/>
        <v>2022</v>
      </c>
      <c r="AE89" s="863">
        <f t="shared" si="201"/>
        <v>2023</v>
      </c>
      <c r="AF89" s="863">
        <f t="shared" si="201"/>
        <v>2024</v>
      </c>
      <c r="AG89" s="863">
        <f t="shared" si="201"/>
        <v>2025</v>
      </c>
      <c r="AH89" s="2132" t="str">
        <f t="shared" si="201"/>
        <v>2026E</v>
      </c>
      <c r="AI89" s="2132" t="str">
        <f t="shared" ref="AI89:AJ89" si="202">AI1</f>
        <v>2027E</v>
      </c>
      <c r="AJ89" s="2132" t="str">
        <f t="shared" si="202"/>
        <v>2028E</v>
      </c>
      <c r="AK89" s="2132" t="str">
        <f t="shared" ref="AK89:AL89" si="203">AK1</f>
        <v>2029E</v>
      </c>
      <c r="AL89" s="2132" t="str">
        <f t="shared" si="203"/>
        <v>2030E</v>
      </c>
    </row>
    <row r="90" customHeight="1" spans="1:40">
      <c r="A90" s="858" t="s">
        <v>1022</v>
      </c>
      <c r="B90" s="867"/>
      <c r="C90" s="867"/>
      <c r="D90" s="867"/>
      <c r="E90" s="867"/>
      <c r="F90" s="867"/>
      <c r="G90" s="867"/>
      <c r="H90" s="867"/>
      <c r="I90" s="867"/>
      <c r="J90" s="867"/>
      <c r="K90" s="867"/>
      <c r="L90" s="867"/>
      <c r="M90" s="867"/>
      <c r="N90" s="867"/>
      <c r="O90" s="904"/>
      <c r="P90" s="904"/>
      <c r="Q90" s="904"/>
      <c r="R90" s="904"/>
      <c r="S90" s="904"/>
      <c r="T90" s="904"/>
      <c r="U90" s="904"/>
      <c r="V90" s="904"/>
      <c r="W90" s="904"/>
      <c r="X90" s="904"/>
      <c r="Y90" s="904"/>
      <c r="Z90" s="904"/>
      <c r="AA90" s="904"/>
      <c r="AB90" s="904"/>
      <c r="AC90" s="904"/>
      <c r="AD90" s="904"/>
      <c r="AE90" s="904"/>
      <c r="AF90" s="904"/>
      <c r="AG90" s="904"/>
      <c r="AH90" s="904"/>
      <c r="AI90" s="904"/>
      <c r="AJ90" s="904"/>
      <c r="AK90" s="904"/>
      <c r="AL90" s="904"/>
    </row>
    <row r="91" customHeight="1" spans="1:40">
      <c r="A91" s="858" t="s">
        <v>168</v>
      </c>
      <c r="B91" s="867">
        <v>0</v>
      </c>
      <c r="C91" s="867">
        <v>125.2245282</v>
      </c>
      <c r="D91" s="867">
        <v>160.5834797</v>
      </c>
      <c r="E91" s="867">
        <v>236.7390582</v>
      </c>
      <c r="F91" s="867">
        <v>204.9566502</v>
      </c>
      <c r="G91" s="867">
        <v>227.281</v>
      </c>
      <c r="H91" s="867">
        <v>181.488</v>
      </c>
      <c r="I91" s="867">
        <v>208.492999999999</v>
      </c>
      <c r="J91" s="867">
        <v>228.571</v>
      </c>
      <c r="K91" s="867">
        <v>260.084999999999</v>
      </c>
      <c r="L91" s="867">
        <v>325.6</v>
      </c>
      <c r="M91" s="867">
        <f>'Profit and Loss'!L394</f>
        <v>426</v>
      </c>
      <c r="N91" s="867">
        <f>'Profit and Loss'!M394</f>
        <v>483</v>
      </c>
      <c r="O91" s="867">
        <f>'Profit and Loss'!N394</f>
        <v>550</v>
      </c>
      <c r="P91" s="867">
        <f>'Profit and Loss'!O394</f>
        <v>642</v>
      </c>
      <c r="Q91" s="867">
        <f>'Profit and Loss'!P394</f>
        <v>245</v>
      </c>
      <c r="R91" s="867">
        <f>'Profit and Loss'!Q394</f>
        <v>567</v>
      </c>
      <c r="S91" s="867">
        <f>'Profit and Loss'!R394</f>
        <v>613</v>
      </c>
      <c r="T91" s="867">
        <f>'Profit and Loss'!S394</f>
        <v>526</v>
      </c>
      <c r="U91" s="867">
        <f>'Profit and Loss'!T401</f>
        <v>822</v>
      </c>
      <c r="V91" s="867">
        <f>'Profit and Loss'!U401</f>
        <v>636</v>
      </c>
      <c r="W91" s="867">
        <f>'Profit and Loss'!V401</f>
        <v>667</v>
      </c>
      <c r="X91" s="867">
        <f>'Profit and Loss'!W401</f>
        <v>1018</v>
      </c>
      <c r="Y91" s="867">
        <f>'Profit and Loss'!X401</f>
        <v>1427.261</v>
      </c>
      <c r="Z91" s="867">
        <f>'Profit and Loss'!Y401</f>
        <v>1705.85</v>
      </c>
      <c r="AA91" s="867">
        <f>'Profit and Loss'!Z401</f>
        <v>1916</v>
      </c>
      <c r="AB91" s="867">
        <f>'Profit and Loss'!AA401</f>
        <v>418</v>
      </c>
      <c r="AC91" s="867">
        <f>'Profit and Loss'!AB401</f>
        <v>1450</v>
      </c>
      <c r="AD91" s="867">
        <f>'Profit and Loss'!AC401</f>
        <v>228</v>
      </c>
      <c r="AE91" s="867">
        <f>'Profit and Loss'!AD401</f>
        <v>-74.999999999983</v>
      </c>
      <c r="AF91" s="867">
        <f>'Profit and Loss'!AE401</f>
        <v>608.934999999994</v>
      </c>
      <c r="AG91" s="867">
        <f>'Profit and Loss'!AF401</f>
        <v>1332</v>
      </c>
      <c r="AH91" s="867">
        <f>'Profit and Loss'!AG401</f>
        <v>1654.25</v>
      </c>
      <c r="AI91" s="867">
        <f>'Profit and Loss'!AH401</f>
        <v>2025.5</v>
      </c>
      <c r="AJ91" s="867">
        <f>'Profit and Loss'!AI401</f>
        <v>2254.25</v>
      </c>
      <c r="AK91" s="867">
        <f>'Profit and Loss'!AJ401</f>
        <v>2444</v>
      </c>
      <c r="AL91" s="867">
        <f>'Profit and Loss'!AK401</f>
        <v>2648</v>
      </c>
      <c r="AM91" s="874"/>
    </row>
    <row r="92" customHeight="1" spans="1:40">
      <c r="A92" s="858" t="s">
        <v>913</v>
      </c>
      <c r="B92" s="867">
        <v>0</v>
      </c>
      <c r="C92" s="867">
        <v>26.2900234</v>
      </c>
      <c r="D92" s="867">
        <v>31.761956</v>
      </c>
      <c r="E92" s="867">
        <v>32.3356346</v>
      </c>
      <c r="F92" s="867">
        <v>13.4942296</v>
      </c>
      <c r="G92" s="867">
        <v>63.264</v>
      </c>
      <c r="H92" s="867">
        <v>78.812</v>
      </c>
      <c r="I92" s="867">
        <v>89.962</v>
      </c>
      <c r="J92" s="867">
        <v>97.147</v>
      </c>
      <c r="K92" s="867">
        <v>95.519</v>
      </c>
      <c r="L92" s="867">
        <v>118.1768</v>
      </c>
      <c r="M92" s="867">
        <v>128.485</v>
      </c>
      <c r="N92" s="889">
        <v>217</v>
      </c>
      <c r="O92" s="867">
        <f>'Profit and Loss'!N364</f>
        <v>215</v>
      </c>
      <c r="P92" s="867">
        <f>'Profit and Loss'!O364</f>
        <v>234</v>
      </c>
      <c r="Q92" s="867">
        <f>'Profit and Loss'!P364</f>
        <v>299</v>
      </c>
      <c r="R92" s="867">
        <f>'Profit and Loss'!Q364</f>
        <v>260</v>
      </c>
      <c r="S92" s="867">
        <f>'Profit and Loss'!R364</f>
        <v>249</v>
      </c>
      <c r="T92" s="867">
        <f>'Profit and Loss'!S364</f>
        <v>263</v>
      </c>
      <c r="U92" s="867">
        <f>'Profit and Loss'!T364</f>
        <v>286</v>
      </c>
      <c r="V92" s="867">
        <f>'Profit and Loss'!U364</f>
        <v>323</v>
      </c>
      <c r="W92" s="867">
        <f>'Profit and Loss'!V364</f>
        <v>354</v>
      </c>
      <c r="X92" s="867">
        <f>'Profit and Loss'!W364</f>
        <v>388</v>
      </c>
      <c r="Y92" s="867">
        <f>'Profit and Loss'!X364</f>
        <v>451</v>
      </c>
      <c r="Z92" s="867">
        <f>'Profit and Loss'!Y364</f>
        <v>514</v>
      </c>
      <c r="AA92" s="867">
        <f>'Profit and Loss'!Z364</f>
        <v>1214</v>
      </c>
      <c r="AB92" s="867">
        <f>'Profit and Loss'!AA364</f>
        <v>1370</v>
      </c>
      <c r="AC92" s="867">
        <f>'Profit and Loss'!AB364</f>
        <v>1149</v>
      </c>
      <c r="AD92" s="867">
        <f>'Profit and Loss'!AC364</f>
        <v>1375</v>
      </c>
      <c r="AE92" s="867">
        <v>1212</v>
      </c>
      <c r="AF92" s="867">
        <f>'Profit and Loss'!AE364</f>
        <v>1180</v>
      </c>
      <c r="AG92" s="867">
        <f>'Profit and Loss'!AF364</f>
        <v>1154</v>
      </c>
      <c r="AH92" s="867">
        <f>'Profit and Loss'!AG364</f>
        <v>1166.71603972094</v>
      </c>
      <c r="AI92" s="867">
        <f>'Profit and Loss'!AH364</f>
        <v>1254.89698525307</v>
      </c>
      <c r="AJ92" s="867">
        <f>'Profit and Loss'!AI364</f>
        <v>1339.88900325899</v>
      </c>
      <c r="AK92" s="867">
        <f>'Profit and Loss'!AJ364</f>
        <v>1419.7213793949</v>
      </c>
      <c r="AL92" s="867">
        <f>'Profit and Loss'!AK364</f>
        <v>1504.41339649289</v>
      </c>
      <c r="AN92" s="898"/>
    </row>
    <row r="93" customHeight="1" spans="1:40">
      <c r="A93" s="875" t="s">
        <v>61</v>
      </c>
      <c r="B93" s="876" t="s">
        <v>173</v>
      </c>
      <c r="C93" s="876" t="s">
        <v>173</v>
      </c>
      <c r="D93" s="868">
        <f t="shared" ref="D93:R93" si="204">D92/C92-1</f>
        <v>0.20813722820802</v>
      </c>
      <c r="E93" s="868">
        <f t="shared" si="204"/>
        <v>0.0180618158403094</v>
      </c>
      <c r="F93" s="868">
        <f t="shared" si="204"/>
        <v>-0.582682394611176</v>
      </c>
      <c r="G93" s="868">
        <f t="shared" si="204"/>
        <v>3.68822614371405</v>
      </c>
      <c r="H93" s="868">
        <f t="shared" si="204"/>
        <v>0.245763783510369</v>
      </c>
      <c r="I93" s="868">
        <f t="shared" si="204"/>
        <v>0.141475917372989</v>
      </c>
      <c r="J93" s="868">
        <f t="shared" si="204"/>
        <v>0.0798670549787688</v>
      </c>
      <c r="K93" s="868">
        <f t="shared" si="204"/>
        <v>-0.0167581088453581</v>
      </c>
      <c r="L93" s="868">
        <f t="shared" si="204"/>
        <v>0.237207257194904</v>
      </c>
      <c r="M93" s="868">
        <f t="shared" si="204"/>
        <v>0.0872269345590675</v>
      </c>
      <c r="N93" s="868">
        <f t="shared" si="204"/>
        <v>0.688913102696813</v>
      </c>
      <c r="O93" s="868">
        <f t="shared" si="204"/>
        <v>-0.00921658986175111</v>
      </c>
      <c r="P93" s="868">
        <f t="shared" si="204"/>
        <v>0.0883720930232559</v>
      </c>
      <c r="Q93" s="868">
        <f t="shared" si="204"/>
        <v>0.277777777777778</v>
      </c>
      <c r="R93" s="868">
        <f t="shared" si="204"/>
        <v>-0.130434782608696</v>
      </c>
      <c r="S93" s="868">
        <f t="shared" ref="S93:Y93" si="205">S92/R92-1</f>
        <v>-0.0423076923076923</v>
      </c>
      <c r="T93" s="868">
        <f t="shared" si="205"/>
        <v>0.0562248995983936</v>
      </c>
      <c r="U93" s="868">
        <f t="shared" si="205"/>
        <v>0.0874524714828897</v>
      </c>
      <c r="V93" s="868">
        <f t="shared" si="205"/>
        <v>0.129370629370629</v>
      </c>
      <c r="W93" s="868">
        <f t="shared" si="205"/>
        <v>0.0959752321981424</v>
      </c>
      <c r="X93" s="868">
        <f t="shared" si="205"/>
        <v>0.0960451977401129</v>
      </c>
      <c r="Y93" s="868">
        <f t="shared" si="205"/>
        <v>0.162371134020619</v>
      </c>
      <c r="Z93" s="868">
        <f t="shared" ref="Z93:AL93" si="206">Z92/Y92-1</f>
        <v>0.139689578713968</v>
      </c>
      <c r="AA93" s="868">
        <f t="shared" si="206"/>
        <v>1.36186770428016</v>
      </c>
      <c r="AB93" s="868">
        <f t="shared" si="206"/>
        <v>0.128500823723229</v>
      </c>
      <c r="AC93" s="868">
        <f t="shared" si="206"/>
        <v>-0.161313868613138</v>
      </c>
      <c r="AD93" s="868">
        <f t="shared" si="206"/>
        <v>0.19669277632724</v>
      </c>
      <c r="AE93" s="868">
        <f t="shared" si="206"/>
        <v>-0.118545454545455</v>
      </c>
      <c r="AF93" s="868">
        <f t="shared" si="206"/>
        <v>-0.0264026402640258</v>
      </c>
      <c r="AG93" s="868">
        <f t="shared" si="206"/>
        <v>-0.0220338983050853</v>
      </c>
      <c r="AH93" s="868">
        <f t="shared" si="206"/>
        <v>0.0110190985450087</v>
      </c>
      <c r="AI93" s="868">
        <f t="shared" si="206"/>
        <v>0.0755804690515973</v>
      </c>
      <c r="AJ93" s="868">
        <f t="shared" si="206"/>
        <v>0.0677282828827417</v>
      </c>
      <c r="AK93" s="868">
        <f t="shared" si="206"/>
        <v>0.0595813354253465</v>
      </c>
      <c r="AL93" s="868">
        <f t="shared" si="206"/>
        <v>0.059653970368533</v>
      </c>
    </row>
    <row r="94" customHeight="1" spans="1:40">
      <c r="A94" s="875" t="s">
        <v>218</v>
      </c>
      <c r="B94" s="876" t="s">
        <v>173</v>
      </c>
      <c r="C94" s="868">
        <f t="shared" ref="C94:T94" si="207">C92/C$3</f>
        <v>0.0146898498388682</v>
      </c>
      <c r="D94" s="868">
        <f t="shared" si="207"/>
        <v>0.0131905503678575</v>
      </c>
      <c r="E94" s="868">
        <f t="shared" si="207"/>
        <v>0.0094415325015672</v>
      </c>
      <c r="F94" s="868">
        <f t="shared" si="207"/>
        <v>0.00266394323757928</v>
      </c>
      <c r="G94" s="868">
        <f t="shared" si="207"/>
        <v>0.0118163247352562</v>
      </c>
      <c r="H94" s="868">
        <f t="shared" si="207"/>
        <v>0.0135067694944302</v>
      </c>
      <c r="I94" s="868">
        <f t="shared" si="207"/>
        <v>0.0147180780148771</v>
      </c>
      <c r="J94" s="868">
        <f t="shared" si="207"/>
        <v>0.0148920374423289</v>
      </c>
      <c r="K94" s="868">
        <f t="shared" si="207"/>
        <v>0.0152420693176741</v>
      </c>
      <c r="L94" s="868">
        <f t="shared" si="207"/>
        <v>0.0201804644808743</v>
      </c>
      <c r="M94" s="868">
        <f t="shared" si="207"/>
        <v>0.0193618143459916</v>
      </c>
      <c r="N94" s="868">
        <f t="shared" si="207"/>
        <v>0.0215192383974613</v>
      </c>
      <c r="O94" s="868">
        <f t="shared" si="207"/>
        <v>0.0208758131857462</v>
      </c>
      <c r="P94" s="868">
        <f t="shared" si="207"/>
        <v>0.0216686730252801</v>
      </c>
      <c r="Q94" s="868">
        <f t="shared" si="207"/>
        <v>0.0288026201714671</v>
      </c>
      <c r="R94" s="868">
        <f t="shared" si="207"/>
        <v>0.0216847372810676</v>
      </c>
      <c r="S94" s="868">
        <f t="shared" si="207"/>
        <v>0.0186894843503715</v>
      </c>
      <c r="T94" s="868">
        <f t="shared" si="207"/>
        <v>0.0176711684472217</v>
      </c>
      <c r="U94" s="868">
        <f t="shared" ref="U94:AB94" si="208">U92/U$3</f>
        <v>0.020133755719817</v>
      </c>
      <c r="V94" s="868">
        <f t="shared" si="208"/>
        <v>0.0222237512040732</v>
      </c>
      <c r="W94" s="868">
        <f t="shared" si="208"/>
        <v>0.0209281702630801</v>
      </c>
      <c r="X94" s="868">
        <f t="shared" si="208"/>
        <v>0.0201140487299119</v>
      </c>
      <c r="Y94" s="868">
        <f t="shared" si="208"/>
        <v>0.0212555377509662</v>
      </c>
      <c r="Z94" s="868">
        <f t="shared" si="208"/>
        <v>0.0234542550764317</v>
      </c>
      <c r="AA94" s="868">
        <f t="shared" si="208"/>
        <v>0.0513514656740408</v>
      </c>
      <c r="AB94" s="868">
        <f t="shared" si="208"/>
        <v>0.0690385003023584</v>
      </c>
      <c r="AC94" s="868">
        <f t="shared" ref="AC94:AH94" si="209">AC92/AC$3</f>
        <v>0.0541113308844307</v>
      </c>
      <c r="AD94" s="868">
        <f t="shared" si="209"/>
        <v>0.0610812491670739</v>
      </c>
      <c r="AE94" s="868">
        <f t="shared" si="209"/>
        <v>0.0586130186671825</v>
      </c>
      <c r="AF94" s="868">
        <f t="shared" si="209"/>
        <v>0.0512308427039465</v>
      </c>
      <c r="AG94" s="868">
        <f t="shared" si="209"/>
        <v>0.0465116279069767</v>
      </c>
      <c r="AH94" s="868">
        <f t="shared" si="209"/>
        <v>0.043</v>
      </c>
      <c r="AI94" s="868">
        <f t="shared" ref="AI94:AJ94" si="210">AI92/AI$3</f>
        <v>0.043</v>
      </c>
      <c r="AJ94" s="868">
        <f t="shared" si="210"/>
        <v>0.043</v>
      </c>
      <c r="AK94" s="868">
        <f t="shared" ref="AK94:AL94" si="211">AK92/AK$3</f>
        <v>0.043</v>
      </c>
      <c r="AL94" s="868">
        <f t="shared" si="211"/>
        <v>0.043</v>
      </c>
    </row>
    <row r="95" hidden="1" customHeight="1" spans="1:40">
      <c r="A95" s="858" t="s">
        <v>1023</v>
      </c>
      <c r="B95" s="867">
        <v>0</v>
      </c>
      <c r="C95" s="867">
        <v>0</v>
      </c>
      <c r="D95" s="867">
        <v>0</v>
      </c>
      <c r="E95" s="867">
        <v>8.6921</v>
      </c>
      <c r="F95" s="867">
        <v>39.6293291</v>
      </c>
      <c r="G95" s="867">
        <v>39.012</v>
      </c>
      <c r="H95" s="867">
        <v>39.545</v>
      </c>
      <c r="I95" s="867">
        <v>40.39</v>
      </c>
      <c r="J95" s="867">
        <v>45.396</v>
      </c>
      <c r="K95" s="867">
        <v>44.809</v>
      </c>
      <c r="L95" s="867">
        <v>0</v>
      </c>
      <c r="M95" s="867">
        <v>0</v>
      </c>
      <c r="N95" s="867">
        <v>0</v>
      </c>
      <c r="O95" s="867">
        <v>0</v>
      </c>
      <c r="P95" s="867">
        <v>0</v>
      </c>
      <c r="Q95" s="867">
        <v>0</v>
      </c>
      <c r="R95" s="867">
        <v>0</v>
      </c>
      <c r="S95" s="867">
        <v>0</v>
      </c>
      <c r="T95" s="867">
        <v>0</v>
      </c>
      <c r="U95" s="867">
        <v>0</v>
      </c>
      <c r="V95" s="867">
        <v>0</v>
      </c>
      <c r="W95" s="867">
        <v>0</v>
      </c>
      <c r="X95" s="867">
        <v>0</v>
      </c>
      <c r="Y95" s="867">
        <v>0</v>
      </c>
      <c r="Z95" s="867">
        <v>0</v>
      </c>
      <c r="AA95" s="867">
        <v>0</v>
      </c>
      <c r="AB95" s="867">
        <v>0</v>
      </c>
      <c r="AC95" s="867">
        <v>0</v>
      </c>
      <c r="AD95" s="867">
        <v>0</v>
      </c>
      <c r="AE95" s="867">
        <v>0</v>
      </c>
      <c r="AF95" s="867">
        <v>0</v>
      </c>
      <c r="AG95" s="867">
        <v>0</v>
      </c>
      <c r="AH95" s="867">
        <v>0</v>
      </c>
      <c r="AI95" s="867">
        <v>0</v>
      </c>
      <c r="AJ95" s="867">
        <v>0</v>
      </c>
      <c r="AK95" s="867">
        <v>0</v>
      </c>
      <c r="AL95" s="867">
        <v>0</v>
      </c>
    </row>
    <row r="96" customHeight="1" spans="1:40">
      <c r="A96" s="858" t="s">
        <v>1024</v>
      </c>
      <c r="B96" s="867">
        <v>0</v>
      </c>
      <c r="C96" s="867">
        <v>0</v>
      </c>
      <c r="D96" s="867">
        <v>0</v>
      </c>
      <c r="E96" s="867">
        <f>'Profit and Loss'!D392</f>
        <v>14</v>
      </c>
      <c r="F96" s="867">
        <f>'Profit and Loss'!E392</f>
        <v>9</v>
      </c>
      <c r="G96" s="867">
        <f>'Profit and Loss'!F392</f>
        <v>18</v>
      </c>
      <c r="H96" s="867">
        <f>'Profit and Loss'!G392</f>
        <v>25</v>
      </c>
      <c r="I96" s="867">
        <f>'Profit and Loss'!H392</f>
        <v>21</v>
      </c>
      <c r="J96" s="867">
        <f>'Profit and Loss'!I392</f>
        <v>14</v>
      </c>
      <c r="K96" s="867">
        <f>'Profit and Loss'!J392</f>
        <v>11</v>
      </c>
      <c r="L96" s="867">
        <f>'Profit and Loss'!K392</f>
        <v>7</v>
      </c>
      <c r="M96" s="867">
        <f>'Profit and Loss'!L392</f>
        <v>8</v>
      </c>
      <c r="N96" s="889">
        <f>'Profit and Loss'!M392</f>
        <v>13</v>
      </c>
      <c r="O96" s="889">
        <f>'Profit and Loss'!N392</f>
        <v>4</v>
      </c>
      <c r="P96" s="889">
        <f>'Profit and Loss'!O392</f>
        <v>2</v>
      </c>
      <c r="Q96" s="889">
        <f>'Profit and Loss'!P392</f>
        <v>0</v>
      </c>
      <c r="R96" s="867">
        <f>'Profit and Loss'!Q392</f>
        <v>1</v>
      </c>
      <c r="S96" s="867">
        <f>'Profit and Loss'!R392</f>
        <v>-5</v>
      </c>
      <c r="T96" s="867">
        <f>'Profit and Loss'!S392</f>
        <v>-2</v>
      </c>
      <c r="U96" s="905">
        <f>'Profit and Loss'!T392</f>
        <v>3</v>
      </c>
      <c r="V96" s="905">
        <f>'Profit and Loss'!U392</f>
        <v>6</v>
      </c>
      <c r="W96" s="905">
        <f>'Profit and Loss'!V392</f>
        <v>6</v>
      </c>
      <c r="X96" s="905">
        <f>'Profit and Loss'!W392</f>
        <v>2</v>
      </c>
      <c r="Y96" s="905">
        <f>'Profit and Loss'!X392</f>
        <v>3</v>
      </c>
      <c r="Z96" s="905">
        <f>'Profit and Loss'!Y392</f>
        <v>3.15</v>
      </c>
      <c r="AA96" s="905">
        <f>'Profit and Loss'!Z392</f>
        <v>2</v>
      </c>
      <c r="AB96" s="905">
        <f>'Profit and Loss'!AA392</f>
        <v>11</v>
      </c>
      <c r="AC96" s="905">
        <f>'Profit and Loss'!AB392</f>
        <v>42</v>
      </c>
      <c r="AD96" s="905">
        <f>'Profit and Loss'!AC392</f>
        <v>26</v>
      </c>
      <c r="AE96" s="905">
        <f>'Profit and Loss'!AD392</f>
        <v>61</v>
      </c>
      <c r="AF96" s="905">
        <f>'Profit and Loss'!AE392</f>
        <v>68</v>
      </c>
      <c r="AG96" s="905">
        <f>'Profit and Loss'!AF392</f>
        <v>45</v>
      </c>
      <c r="AH96" s="905">
        <f>'Profit and Loss'!AG392</f>
        <v>70</v>
      </c>
      <c r="AI96" s="905">
        <f>'Profit and Loss'!AH392</f>
        <v>70</v>
      </c>
      <c r="AJ96" s="905">
        <f>'Profit and Loss'!AI392</f>
        <v>70</v>
      </c>
      <c r="AK96" s="905">
        <f>'Profit and Loss'!AJ392</f>
        <v>70</v>
      </c>
      <c r="AL96" s="905">
        <f>'Profit and Loss'!AK392</f>
        <v>70</v>
      </c>
    </row>
    <row r="97" customHeight="1" spans="1:51">
      <c r="A97" s="875" t="s">
        <v>61</v>
      </c>
      <c r="B97" s="876" t="s">
        <v>173</v>
      </c>
      <c r="C97" s="876" t="s">
        <v>173</v>
      </c>
      <c r="D97" s="876" t="s">
        <v>173</v>
      </c>
      <c r="E97" s="876" t="s">
        <v>173</v>
      </c>
      <c r="F97" s="876" t="s">
        <v>173</v>
      </c>
      <c r="G97" s="868">
        <f t="shared" ref="G97:N97" si="212">G96/F96-1</f>
        <v>1</v>
      </c>
      <c r="H97" s="868">
        <f t="shared" si="212"/>
        <v>0.388888888888889</v>
      </c>
      <c r="I97" s="868">
        <f t="shared" si="212"/>
        <v>-0.16</v>
      </c>
      <c r="J97" s="868">
        <f t="shared" si="212"/>
        <v>-0.333333333333333</v>
      </c>
      <c r="K97" s="868">
        <f t="shared" si="212"/>
        <v>-0.214285714285714</v>
      </c>
      <c r="L97" s="868">
        <f t="shared" si="212"/>
        <v>-0.363636363636364</v>
      </c>
      <c r="M97" s="868">
        <f t="shared" si="212"/>
        <v>0.142857142857143</v>
      </c>
      <c r="N97" s="868">
        <f t="shared" si="212"/>
        <v>0.625</v>
      </c>
      <c r="O97" s="868">
        <f t="shared" ref="O97:T97" si="213">O96/N96-1</f>
        <v>-0.692307692307692</v>
      </c>
      <c r="P97" s="868">
        <f t="shared" si="213"/>
        <v>-0.5</v>
      </c>
      <c r="Q97" s="868">
        <f t="shared" si="213"/>
        <v>-1</v>
      </c>
      <c r="R97" s="868"/>
      <c r="S97" s="868">
        <f t="shared" si="213"/>
        <v>-6</v>
      </c>
      <c r="T97" s="868">
        <f t="shared" si="213"/>
        <v>-0.6</v>
      </c>
      <c r="U97" s="868">
        <f t="shared" ref="U97:AL97" si="214">U96/T96-1</f>
        <v>-2.5</v>
      </c>
      <c r="V97" s="868">
        <f t="shared" si="214"/>
        <v>1</v>
      </c>
      <c r="W97" s="868">
        <f t="shared" si="214"/>
        <v>0</v>
      </c>
      <c r="X97" s="868">
        <f t="shared" si="214"/>
        <v>-0.666666666666667</v>
      </c>
      <c r="Y97" s="868">
        <f t="shared" si="214"/>
        <v>0.5</v>
      </c>
      <c r="Z97" s="868">
        <f t="shared" si="214"/>
        <v>0.05</v>
      </c>
      <c r="AA97" s="868">
        <f t="shared" si="214"/>
        <v>-0.365079365079365</v>
      </c>
      <c r="AB97" s="868">
        <f t="shared" si="214"/>
        <v>4.5</v>
      </c>
      <c r="AC97" s="868">
        <f t="shared" si="214"/>
        <v>2.81818181818182</v>
      </c>
      <c r="AD97" s="868">
        <f t="shared" si="214"/>
        <v>-0.380952380952381</v>
      </c>
      <c r="AE97" s="868">
        <f t="shared" si="214"/>
        <v>1.34615384615385</v>
      </c>
      <c r="AF97" s="868">
        <f t="shared" si="214"/>
        <v>0.114754098360656</v>
      </c>
      <c r="AG97" s="868">
        <f t="shared" si="214"/>
        <v>-0.338235294117647</v>
      </c>
      <c r="AH97" s="868">
        <f t="shared" si="214"/>
        <v>0.555555555555555</v>
      </c>
      <c r="AI97" s="868">
        <f t="shared" si="214"/>
        <v>0</v>
      </c>
      <c r="AJ97" s="868">
        <f t="shared" si="214"/>
        <v>0</v>
      </c>
      <c r="AK97" s="868">
        <f t="shared" si="214"/>
        <v>0</v>
      </c>
      <c r="AL97" s="868">
        <f t="shared" si="214"/>
        <v>0</v>
      </c>
    </row>
    <row r="98" customHeight="1" spans="1:51">
      <c r="A98" s="875" t="s">
        <v>1025</v>
      </c>
      <c r="B98" s="876" t="s">
        <v>173</v>
      </c>
      <c r="C98" s="876" t="s">
        <v>173</v>
      </c>
      <c r="D98" s="876" t="s">
        <v>173</v>
      </c>
      <c r="E98" s="876" t="s">
        <v>173</v>
      </c>
      <c r="F98" s="876" t="s">
        <v>173</v>
      </c>
      <c r="G98" s="868">
        <f t="shared" ref="G98:M98" si="215">G96/G$91</f>
        <v>0.0791971172249331</v>
      </c>
      <c r="H98" s="868">
        <f t="shared" si="215"/>
        <v>0.137750154280173</v>
      </c>
      <c r="I98" s="868">
        <f t="shared" si="215"/>
        <v>0.10072280604145</v>
      </c>
      <c r="J98" s="868">
        <f t="shared" si="215"/>
        <v>0.0612501148439653</v>
      </c>
      <c r="K98" s="868">
        <f t="shared" si="215"/>
        <v>0.0422938654670589</v>
      </c>
      <c r="L98" s="868">
        <f t="shared" si="215"/>
        <v>0.0214987714987715</v>
      </c>
      <c r="M98" s="868">
        <f t="shared" si="215"/>
        <v>0.0187793427230047</v>
      </c>
      <c r="N98" s="868">
        <f t="shared" ref="N98:T98" si="216">N96/N$91</f>
        <v>0.0269151138716356</v>
      </c>
      <c r="O98" s="868">
        <f t="shared" si="216"/>
        <v>0.00727272727272727</v>
      </c>
      <c r="P98" s="868">
        <f t="shared" si="216"/>
        <v>0.00311526479750779</v>
      </c>
      <c r="Q98" s="868">
        <f t="shared" si="216"/>
        <v>0</v>
      </c>
      <c r="R98" s="868">
        <f t="shared" si="216"/>
        <v>0.0017636684303351</v>
      </c>
      <c r="S98" s="868">
        <f t="shared" si="216"/>
        <v>-0.00815660685154975</v>
      </c>
      <c r="T98" s="868">
        <f t="shared" si="216"/>
        <v>-0.00380228136882129</v>
      </c>
      <c r="U98" s="868">
        <f t="shared" ref="U98:AB98" si="217">U96/U$91</f>
        <v>0.00364963503649635</v>
      </c>
      <c r="V98" s="868">
        <f t="shared" si="217"/>
        <v>0.00943396226415094</v>
      </c>
      <c r="W98" s="868">
        <f t="shared" si="217"/>
        <v>0.00899550224887556</v>
      </c>
      <c r="X98" s="868">
        <f t="shared" si="217"/>
        <v>0.00196463654223969</v>
      </c>
      <c r="Y98" s="868">
        <f t="shared" si="217"/>
        <v>0.00210192809864489</v>
      </c>
      <c r="Z98" s="868">
        <f t="shared" si="217"/>
        <v>0.00184658674561069</v>
      </c>
      <c r="AA98" s="868">
        <f t="shared" si="217"/>
        <v>0.00104384133611691</v>
      </c>
      <c r="AB98" s="868">
        <f t="shared" si="217"/>
        <v>0.0263157894736842</v>
      </c>
      <c r="AC98" s="868">
        <f t="shared" ref="AC98:AH98" si="218">AC96/AC$91</f>
        <v>0.0289655172413793</v>
      </c>
      <c r="AD98" s="868">
        <f t="shared" si="218"/>
        <v>0.114035087719298</v>
      </c>
      <c r="AE98" s="868">
        <f t="shared" si="218"/>
        <v>-0.813333333333518</v>
      </c>
      <c r="AF98" s="868">
        <f t="shared" si="218"/>
        <v>0.111670375327417</v>
      </c>
      <c r="AG98" s="868">
        <f t="shared" si="218"/>
        <v>0.0337837837837838</v>
      </c>
      <c r="AH98" s="868">
        <f t="shared" si="218"/>
        <v>0.0423152486020855</v>
      </c>
      <c r="AI98" s="868">
        <f t="shared" ref="AI98:AJ98" si="219">AI96/AI$91</f>
        <v>0.0345593680572698</v>
      </c>
      <c r="AJ98" s="868">
        <f t="shared" si="219"/>
        <v>0.0310524564711101</v>
      </c>
      <c r="AK98" s="868">
        <f t="shared" ref="AK98:AL98" si="220">AK96/AK$91</f>
        <v>0.0286415711947627</v>
      </c>
      <c r="AL98" s="868">
        <f t="shared" si="220"/>
        <v>0.0264350453172205</v>
      </c>
    </row>
    <row r="99" customHeight="1" spans="1:51">
      <c r="A99" s="858" t="s">
        <v>1026</v>
      </c>
      <c r="B99" s="867">
        <v>0</v>
      </c>
      <c r="C99" s="867">
        <v>0</v>
      </c>
      <c r="D99" s="867">
        <v>0</v>
      </c>
      <c r="E99" s="867">
        <v>0</v>
      </c>
      <c r="F99" s="867">
        <v>0</v>
      </c>
      <c r="G99" s="867">
        <v>0</v>
      </c>
      <c r="H99" s="867">
        <v>0</v>
      </c>
      <c r="I99" s="867">
        <v>0</v>
      </c>
      <c r="J99" s="867">
        <v>0</v>
      </c>
      <c r="K99" s="867">
        <v>0</v>
      </c>
      <c r="L99" s="867">
        <v>0</v>
      </c>
      <c r="M99" s="867">
        <v>0</v>
      </c>
      <c r="N99" s="867">
        <v>0</v>
      </c>
      <c r="O99" s="867">
        <v>0</v>
      </c>
      <c r="P99" s="867">
        <v>0</v>
      </c>
      <c r="Q99" s="867">
        <v>0</v>
      </c>
      <c r="R99" s="867">
        <v>0</v>
      </c>
      <c r="S99" s="867">
        <v>0</v>
      </c>
      <c r="T99" s="867">
        <v>0</v>
      </c>
      <c r="U99" s="867">
        <v>0</v>
      </c>
      <c r="V99" s="867">
        <v>0</v>
      </c>
      <c r="W99" s="867">
        <f t="shared" ref="W99:AL99" si="221">+(V33-W33)+(W55-V55)</f>
        <v>-82</v>
      </c>
      <c r="X99" s="867">
        <f t="shared" si="221"/>
        <v>-76</v>
      </c>
      <c r="Y99" s="867">
        <f t="shared" si="221"/>
        <v>-10</v>
      </c>
      <c r="Z99" s="867">
        <f t="shared" si="221"/>
        <v>-55</v>
      </c>
      <c r="AA99" s="867">
        <f t="shared" si="221"/>
        <v>-403</v>
      </c>
      <c r="AB99" s="867">
        <f t="shared" si="221"/>
        <v>-179</v>
      </c>
      <c r="AC99" s="867">
        <f t="shared" si="221"/>
        <v>-149</v>
      </c>
      <c r="AD99" s="867">
        <f t="shared" si="221"/>
        <v>60</v>
      </c>
      <c r="AE99" s="867">
        <f t="shared" si="221"/>
        <v>-130</v>
      </c>
      <c r="AF99" s="867">
        <f t="shared" si="221"/>
        <v>72</v>
      </c>
      <c r="AG99" s="867">
        <f t="shared" si="221"/>
        <v>107</v>
      </c>
      <c r="AH99" s="867">
        <f t="shared" si="221"/>
        <v>0</v>
      </c>
      <c r="AI99" s="867">
        <f t="shared" si="221"/>
        <v>0</v>
      </c>
      <c r="AJ99" s="867">
        <f t="shared" si="221"/>
        <v>0</v>
      </c>
      <c r="AK99" s="867">
        <f t="shared" si="221"/>
        <v>0</v>
      </c>
      <c r="AL99" s="867">
        <f t="shared" si="221"/>
        <v>0</v>
      </c>
    </row>
    <row r="100" customHeight="1" spans="1:51">
      <c r="A100" s="858" t="s">
        <v>1027</v>
      </c>
      <c r="B100" s="867"/>
      <c r="C100" s="867"/>
      <c r="D100" s="867"/>
      <c r="E100" s="867"/>
      <c r="F100" s="867"/>
      <c r="G100" s="867"/>
      <c r="H100" s="867"/>
      <c r="I100" s="867"/>
      <c r="J100" s="867"/>
      <c r="K100" s="867"/>
      <c r="L100" s="867"/>
      <c r="M100" s="867"/>
      <c r="N100" s="867"/>
      <c r="O100" s="867"/>
      <c r="P100" s="867"/>
      <c r="Q100" s="867"/>
      <c r="R100" s="867"/>
      <c r="S100" s="867"/>
      <c r="T100" s="867"/>
      <c r="U100" s="867"/>
      <c r="V100" s="867"/>
      <c r="W100" s="867"/>
      <c r="X100" s="867"/>
      <c r="Y100" s="867"/>
      <c r="Z100" s="867"/>
      <c r="AA100" s="867"/>
      <c r="AB100" s="867"/>
      <c r="AC100" s="867"/>
      <c r="AD100" s="867"/>
      <c r="AE100" s="867"/>
      <c r="AF100" s="867"/>
      <c r="AG100" s="867"/>
      <c r="AH100" s="867"/>
      <c r="AI100" s="867"/>
      <c r="AJ100" s="867"/>
      <c r="AK100" s="867"/>
      <c r="AL100" s="867"/>
    </row>
    <row r="101" customHeight="1" spans="1:51">
      <c r="A101" s="875" t="s">
        <v>1028</v>
      </c>
      <c r="B101" s="876">
        <v>-2.058</v>
      </c>
      <c r="C101" s="876">
        <v>-31.4919896</v>
      </c>
      <c r="D101" s="876">
        <v>-76.2496577</v>
      </c>
      <c r="E101" s="876">
        <v>-167.2881566</v>
      </c>
      <c r="F101" s="876">
        <v>-103.7560638</v>
      </c>
      <c r="G101" s="876">
        <v>-123.771</v>
      </c>
      <c r="H101" s="876">
        <v>-115.767</v>
      </c>
      <c r="I101" s="876">
        <v>-128.157</v>
      </c>
      <c r="J101" s="876">
        <v>-176.339</v>
      </c>
      <c r="K101" s="876">
        <v>194.244</v>
      </c>
      <c r="L101" s="876">
        <v>-130.401</v>
      </c>
      <c r="M101" s="876">
        <v>-303.485</v>
      </c>
      <c r="N101" s="887">
        <v>52</v>
      </c>
      <c r="O101" s="876">
        <v>-66</v>
      </c>
      <c r="P101" s="876">
        <v>-236</v>
      </c>
      <c r="Q101" s="876">
        <v>464</v>
      </c>
      <c r="R101" s="876">
        <v>-100</v>
      </c>
      <c r="S101" s="876">
        <v>-41</v>
      </c>
      <c r="T101" s="876">
        <v>-135</v>
      </c>
      <c r="U101" s="876">
        <v>-302</v>
      </c>
      <c r="V101" s="876">
        <v>-36</v>
      </c>
      <c r="W101" s="876">
        <v>-183</v>
      </c>
      <c r="X101" s="876">
        <v>-411</v>
      </c>
      <c r="Y101" s="876">
        <v>-477</v>
      </c>
      <c r="Z101" s="876">
        <v>-209</v>
      </c>
      <c r="AA101" s="876">
        <v>-694</v>
      </c>
      <c r="AB101" s="876">
        <v>394</v>
      </c>
      <c r="AC101" s="876">
        <v>-170</v>
      </c>
      <c r="AD101" s="876">
        <v>-820</v>
      </c>
      <c r="AE101" s="876">
        <v>995</v>
      </c>
      <c r="AF101" s="876">
        <v>-839</v>
      </c>
      <c r="AG101" s="876">
        <v>-562</v>
      </c>
      <c r="AH101" s="876">
        <f>+AG9-AH9</f>
        <v>-246.50222343705</v>
      </c>
      <c r="AI101" s="876">
        <f>+AH9-AI9</f>
        <v>-217.709709151541</v>
      </c>
      <c r="AJ101" s="876">
        <f>+AI9-AJ9</f>
        <v>-209.836574201046</v>
      </c>
      <c r="AK101" s="876">
        <f>+AJ9-AK9</f>
        <v>-197.09794768635</v>
      </c>
      <c r="AL101" s="876">
        <f>+AK9-AL9</f>
        <v>-209.095902732679</v>
      </c>
      <c r="AM101" s="898"/>
      <c r="AN101" s="898"/>
      <c r="AO101" s="898"/>
      <c r="AP101" s="898"/>
      <c r="AQ101" s="898"/>
    </row>
    <row r="102" customHeight="1" spans="1:51">
      <c r="A102" s="875" t="s">
        <v>861</v>
      </c>
      <c r="B102" s="876">
        <v>0</v>
      </c>
      <c r="C102" s="876">
        <v>-65.1258149</v>
      </c>
      <c r="D102" s="876">
        <v>-95.1002661</v>
      </c>
      <c r="E102" s="876">
        <v>-238.2417689</v>
      </c>
      <c r="F102" s="876">
        <v>-42.5841318</v>
      </c>
      <c r="G102" s="876">
        <v>-3.68</v>
      </c>
      <c r="H102" s="876">
        <v>-230.394</v>
      </c>
      <c r="I102" s="876">
        <v>32.165</v>
      </c>
      <c r="J102" s="876">
        <v>1.942</v>
      </c>
      <c r="K102" s="876">
        <v>-10.623</v>
      </c>
      <c r="L102" s="876">
        <v>-83.499</v>
      </c>
      <c r="M102" s="876">
        <v>-141.552</v>
      </c>
      <c r="N102" s="887">
        <v>98</v>
      </c>
      <c r="O102" s="876">
        <v>26</v>
      </c>
      <c r="P102" s="876">
        <v>-324</v>
      </c>
      <c r="Q102" s="876">
        <v>617</v>
      </c>
      <c r="R102" s="876">
        <v>-561</v>
      </c>
      <c r="S102" s="876">
        <v>-353</v>
      </c>
      <c r="T102" s="876">
        <v>23</v>
      </c>
      <c r="U102" s="876">
        <v>-299</v>
      </c>
      <c r="V102" s="876">
        <v>-76</v>
      </c>
      <c r="W102" s="876">
        <v>-639</v>
      </c>
      <c r="X102" s="876">
        <v>-621</v>
      </c>
      <c r="Y102" s="876">
        <v>-216</v>
      </c>
      <c r="Z102" s="876">
        <v>180</v>
      </c>
      <c r="AA102" s="876">
        <v>-505</v>
      </c>
      <c r="AB102" s="876">
        <v>-503</v>
      </c>
      <c r="AC102" s="876">
        <v>125</v>
      </c>
      <c r="AD102" s="876">
        <v>-1901</v>
      </c>
      <c r="AE102" s="876">
        <v>1297</v>
      </c>
      <c r="AF102" s="876">
        <v>-500</v>
      </c>
      <c r="AG102" s="876">
        <v>-1104</v>
      </c>
      <c r="AH102" s="876">
        <f>+AG12-AH12</f>
        <v>-191.510716698807</v>
      </c>
      <c r="AI102" s="876">
        <f>+AH12-AI12</f>
        <v>-396.892463665741</v>
      </c>
      <c r="AJ102" s="876">
        <f>+AI12-AJ12</f>
        <v>-279.041835930404</v>
      </c>
      <c r="AK102" s="876">
        <f>+AJ12-AK12</f>
        <v>-234.077999354548</v>
      </c>
      <c r="AL102" s="876">
        <f>+AK12-AL12</f>
        <v>-413.612176525098</v>
      </c>
    </row>
    <row r="103" customHeight="1" spans="1:51">
      <c r="A103" s="875" t="s">
        <v>975</v>
      </c>
      <c r="B103" s="876">
        <v>0</v>
      </c>
      <c r="C103" s="876">
        <v>0</v>
      </c>
      <c r="D103" s="876">
        <v>0</v>
      </c>
      <c r="E103" s="876">
        <v>0</v>
      </c>
      <c r="F103" s="876">
        <v>0</v>
      </c>
      <c r="G103" s="876">
        <v>0</v>
      </c>
      <c r="H103" s="876">
        <v>0</v>
      </c>
      <c r="I103" s="876">
        <v>0</v>
      </c>
      <c r="J103" s="876">
        <v>0</v>
      </c>
      <c r="K103" s="876">
        <v>0</v>
      </c>
      <c r="L103" s="876">
        <v>0</v>
      </c>
      <c r="M103" s="876">
        <v>0</v>
      </c>
      <c r="N103" s="887"/>
      <c r="O103" s="876">
        <f>+N16-O16</f>
        <v>-137</v>
      </c>
      <c r="P103" s="876">
        <f>P108-P107-P106-P105-P104-P102-P101-P96-P92-P91</f>
        <v>-14</v>
      </c>
      <c r="Q103" s="876">
        <v>232</v>
      </c>
      <c r="R103" s="876">
        <v>12</v>
      </c>
      <c r="S103" s="876">
        <v>-168</v>
      </c>
      <c r="T103" s="876">
        <f>+S16-T16</f>
        <v>91</v>
      </c>
      <c r="U103" s="876">
        <f>+T16-U16</f>
        <v>-8</v>
      </c>
      <c r="V103" s="876">
        <f>+U16-V16+211</f>
        <v>-184</v>
      </c>
      <c r="W103" s="876">
        <f>+V16-W16-211</f>
        <v>16</v>
      </c>
      <c r="X103" s="876">
        <f>+W16-X16</f>
        <v>-441</v>
      </c>
      <c r="Y103" s="876">
        <f>+X16-Y16</f>
        <v>345</v>
      </c>
      <c r="Z103" s="876"/>
      <c r="AA103" s="876"/>
      <c r="AB103" s="876"/>
      <c r="AC103" s="876"/>
      <c r="AD103" s="876"/>
      <c r="AE103" s="876"/>
      <c r="AF103" s="876"/>
      <c r="AG103" s="876"/>
      <c r="AH103" s="876"/>
      <c r="AI103" s="876"/>
      <c r="AJ103" s="876"/>
      <c r="AK103" s="876"/>
      <c r="AL103" s="876"/>
      <c r="AM103" s="906"/>
      <c r="AN103" s="863">
        <v>2012</v>
      </c>
      <c r="AO103" s="863">
        <v>2013</v>
      </c>
      <c r="AP103" s="863">
        <v>2014</v>
      </c>
      <c r="AQ103" s="863">
        <v>2015</v>
      </c>
      <c r="AR103" s="907">
        <v>2016</v>
      </c>
      <c r="AS103" s="863" t="s">
        <v>1029</v>
      </c>
      <c r="AT103" s="863" t="s">
        <v>257</v>
      </c>
      <c r="AU103" s="863" t="s">
        <v>803</v>
      </c>
      <c r="AV103" s="863" t="s">
        <v>778</v>
      </c>
      <c r="AW103" s="863" t="s">
        <v>779</v>
      </c>
      <c r="AX103" s="863" t="s">
        <v>780</v>
      </c>
      <c r="AY103" s="863" t="s">
        <v>781</v>
      </c>
    </row>
    <row r="104" customHeight="1" spans="1:51">
      <c r="A104" s="875" t="s">
        <v>991</v>
      </c>
      <c r="B104" s="876">
        <v>0</v>
      </c>
      <c r="C104" s="876">
        <v>10.5588563</v>
      </c>
      <c r="D104" s="876">
        <v>52.525849</v>
      </c>
      <c r="E104" s="876">
        <v>131.3718881</v>
      </c>
      <c r="F104" s="876">
        <v>-40.1902252</v>
      </c>
      <c r="G104" s="876">
        <v>117.632</v>
      </c>
      <c r="H104" s="876">
        <v>8.014</v>
      </c>
      <c r="I104" s="876">
        <v>71.161</v>
      </c>
      <c r="J104" s="876">
        <v>273.898</v>
      </c>
      <c r="K104" s="876">
        <v>-25</v>
      </c>
      <c r="L104" s="876">
        <v>255.792</v>
      </c>
      <c r="M104" s="876">
        <v>288.54</v>
      </c>
      <c r="N104" s="887">
        <v>-98</v>
      </c>
      <c r="O104" s="876">
        <v>97</v>
      </c>
      <c r="P104" s="876">
        <v>374</v>
      </c>
      <c r="Q104" s="876">
        <v>-312</v>
      </c>
      <c r="R104" s="876">
        <v>757</v>
      </c>
      <c r="S104" s="876">
        <v>449</v>
      </c>
      <c r="T104" s="876">
        <v>94</v>
      </c>
      <c r="U104" s="876">
        <v>151</v>
      </c>
      <c r="V104" s="876">
        <v>-117</v>
      </c>
      <c r="W104" s="876">
        <v>823</v>
      </c>
      <c r="X104" s="876">
        <v>1006</v>
      </c>
      <c r="Y104" s="876">
        <v>422</v>
      </c>
      <c r="Z104" s="876">
        <v>741</v>
      </c>
      <c r="AA104" s="876">
        <v>951</v>
      </c>
      <c r="AB104" s="876">
        <v>-141</v>
      </c>
      <c r="AC104" s="876">
        <v>226</v>
      </c>
      <c r="AD104" s="876">
        <v>721</v>
      </c>
      <c r="AE104" s="876">
        <v>-868</v>
      </c>
      <c r="AF104" s="876">
        <v>2024</v>
      </c>
      <c r="AG104" s="876">
        <v>-377</v>
      </c>
      <c r="AH104" s="876">
        <f>-(+AG40-AH40)</f>
        <v>272.331613592185</v>
      </c>
      <c r="AI104" s="876">
        <f>-(+AH40-AI40)</f>
        <v>240.522116033024</v>
      </c>
      <c r="AJ104" s="876">
        <f>-(+AI40-AJ40)</f>
        <v>231.824005666304</v>
      </c>
      <c r="AK104" s="876">
        <f>-(+AJ40-AK40)</f>
        <v>217.750580017949</v>
      </c>
      <c r="AL104" s="876">
        <f>-(+AK40-AL40)</f>
        <v>231.005723975739</v>
      </c>
      <c r="AM104" s="860" t="s">
        <v>1030</v>
      </c>
      <c r="AN104" s="859">
        <f>(T108+T111)/'Profit and Loss'!S32</f>
        <v>0.0349391923671303</v>
      </c>
      <c r="AO104" s="859">
        <f>(U108+U111)/'Profit and Loss'!T32</f>
        <v>0.0125307990144315</v>
      </c>
      <c r="AP104" s="859">
        <f>(V108+V111)/'Profit and Loss'!U32</f>
        <v>0.00694922251272877</v>
      </c>
      <c r="AQ104" s="859">
        <f>(W108+W111)/'Profit and Loss'!V32</f>
        <v>0.0249482707655927</v>
      </c>
      <c r="AR104" s="859">
        <f>(X108+X111)/'Profit and Loss'!W32</f>
        <v>0.00896837739761534</v>
      </c>
      <c r="AS104" s="859">
        <f>(Y108+Y111)/'Profit and Loss'!X32</f>
        <v>0.0491092468658686</v>
      </c>
      <c r="AT104" s="859">
        <f>(Z108+Z111)/'Profit and Loss'!Y32</f>
        <v>0.0946840063883185</v>
      </c>
      <c r="AU104" s="859">
        <f>(AA108+AA111)/'Profit and Loss'!Z32</f>
        <v>0.0939469565585212</v>
      </c>
      <c r="AV104" s="859">
        <f>(AB108+AB111)/'Profit and Loss'!AA32</f>
        <v>0.0563394476919976</v>
      </c>
      <c r="AW104" s="859">
        <f>(AC108+AC111)/'Profit and Loss'!AB32</f>
        <v>0.132900065931996</v>
      </c>
      <c r="AX104" s="859">
        <f>(AD108+AD111)/'Profit and Loss'!AC32</f>
        <v>-0.023899426946826</v>
      </c>
      <c r="AY104" s="859">
        <f>(AE108+AE111)/'Profit and Loss'!AD32</f>
        <v>0.109633426830449</v>
      </c>
    </row>
    <row r="105" customHeight="1" spans="1:51">
      <c r="A105" s="875" t="s">
        <v>995</v>
      </c>
      <c r="B105" s="876">
        <v>0</v>
      </c>
      <c r="C105" s="876">
        <v>0</v>
      </c>
      <c r="D105" s="876">
        <v>0</v>
      </c>
      <c r="E105" s="876">
        <v>0</v>
      </c>
      <c r="F105" s="876">
        <v>0</v>
      </c>
      <c r="G105" s="876">
        <v>0</v>
      </c>
      <c r="H105" s="876">
        <v>0</v>
      </c>
      <c r="I105" s="876">
        <v>0</v>
      </c>
      <c r="J105" s="876">
        <v>0</v>
      </c>
      <c r="K105" s="876">
        <v>0</v>
      </c>
      <c r="L105" s="876">
        <f>-198.925+'Profit and Loss'!K386</f>
        <v>-5.92500000000001</v>
      </c>
      <c r="M105" s="876">
        <f>-159+'Profit and Loss'!L386</f>
        <v>62</v>
      </c>
      <c r="N105" s="876">
        <f>-297+'Profit and Loss'!M386</f>
        <v>-70</v>
      </c>
      <c r="O105" s="876">
        <f>-255+'Profit and Loss'!N386</f>
        <v>5</v>
      </c>
      <c r="P105" s="876">
        <f>-346+'Profit and Loss'!O386</f>
        <v>-86</v>
      </c>
      <c r="Q105" s="876">
        <f>-262+'Profit and Loss'!P386</f>
        <v>-149</v>
      </c>
      <c r="R105" s="876">
        <f>-235+'Profit and Loss'!Q386</f>
        <v>3</v>
      </c>
      <c r="S105" s="876">
        <f>-314+'Profit and Loss'!R386</f>
        <v>-53</v>
      </c>
      <c r="T105" s="876">
        <f>-380+'Profit and Loss'!S386</f>
        <v>-53</v>
      </c>
      <c r="U105" s="876">
        <f>-390+'Profit and Loss'!T386</f>
        <v>-50</v>
      </c>
      <c r="V105" s="876">
        <f>-284+'Profit and Loss'!U386</f>
        <v>-13</v>
      </c>
      <c r="W105" s="876">
        <f>-386+'Profit and Loss'!V386</f>
        <v>-33</v>
      </c>
      <c r="X105" s="876">
        <f>-439+'Profit and Loss'!W386</f>
        <v>-13</v>
      </c>
      <c r="Y105" s="876">
        <v>0</v>
      </c>
      <c r="Z105" s="876">
        <v>0</v>
      </c>
      <c r="AA105" s="876">
        <v>0</v>
      </c>
      <c r="AB105" s="876">
        <v>0</v>
      </c>
      <c r="AC105" s="876">
        <v>0</v>
      </c>
      <c r="AD105" s="876">
        <v>0</v>
      </c>
      <c r="AE105" s="876">
        <v>0</v>
      </c>
      <c r="AF105" s="876">
        <v>0</v>
      </c>
      <c r="AG105" s="876">
        <v>0</v>
      </c>
      <c r="AH105" s="876">
        <v>0</v>
      </c>
      <c r="AI105" s="876">
        <v>0</v>
      </c>
      <c r="AJ105" s="876">
        <v>0</v>
      </c>
      <c r="AK105" s="876">
        <v>0</v>
      </c>
      <c r="AL105" s="876">
        <v>0</v>
      </c>
      <c r="AM105" s="860" t="s">
        <v>1031</v>
      </c>
      <c r="AN105" s="859">
        <f t="shared" ref="AN105:AW105" si="222">((T108+T111)/(S108+S111))-1</f>
        <v>0.0236220472440944</v>
      </c>
      <c r="AO105" s="859">
        <f t="shared" si="222"/>
        <v>-0.657692307692308</v>
      </c>
      <c r="AP105" s="859">
        <f t="shared" si="222"/>
        <v>-0.432584269662921</v>
      </c>
      <c r="AQ105" s="859">
        <f t="shared" si="222"/>
        <v>3.17821782178218</v>
      </c>
      <c r="AR105" s="859">
        <f t="shared" si="222"/>
        <v>-0.590047393364929</v>
      </c>
      <c r="AS105" s="859">
        <f t="shared" si="222"/>
        <v>5.02312138728324</v>
      </c>
      <c r="AT105" s="859">
        <f t="shared" si="222"/>
        <v>0.991362763915547</v>
      </c>
      <c r="AU105" s="859">
        <f t="shared" si="222"/>
        <v>0.0703614457831325</v>
      </c>
      <c r="AV105" s="859">
        <f t="shared" si="222"/>
        <v>-0.496623142728501</v>
      </c>
      <c r="AW105" s="859">
        <f t="shared" si="222"/>
        <v>1.52415026833632</v>
      </c>
      <c r="AX105" s="859">
        <f t="shared" ref="AX105" si="223">((AD108+AD111)/(AC108+AC111))-1</f>
        <v>-1.19064493267186</v>
      </c>
      <c r="AY105" s="859">
        <f t="shared" ref="AY105" si="224">((AE108+AE111)/(AD108+AD111))-1</f>
        <v>-5.21375464684018</v>
      </c>
    </row>
    <row r="106" hidden="1" customHeight="1" spans="1:51">
      <c r="A106" s="875" t="s">
        <v>997</v>
      </c>
      <c r="B106" s="876">
        <v>0</v>
      </c>
      <c r="C106" s="876">
        <v>0</v>
      </c>
      <c r="D106" s="876">
        <v>0</v>
      </c>
      <c r="E106" s="876">
        <v>0</v>
      </c>
      <c r="F106" s="876">
        <v>0</v>
      </c>
      <c r="G106" s="876">
        <v>0</v>
      </c>
      <c r="H106" s="876">
        <v>0</v>
      </c>
      <c r="I106" s="876">
        <v>0</v>
      </c>
      <c r="J106" s="876">
        <v>0</v>
      </c>
      <c r="K106" s="876">
        <v>0</v>
      </c>
      <c r="L106" s="876">
        <v>0</v>
      </c>
      <c r="M106" s="876">
        <v>0</v>
      </c>
      <c r="N106" s="887">
        <v>0</v>
      </c>
      <c r="O106" s="876">
        <f t="shared" ref="O106:V106" si="225">-(+N49-O49)</f>
        <v>138</v>
      </c>
      <c r="P106" s="876">
        <f t="shared" si="225"/>
        <v>14</v>
      </c>
      <c r="Q106" s="876">
        <f t="shared" si="225"/>
        <v>-31</v>
      </c>
      <c r="R106" s="876">
        <f t="shared" si="225"/>
        <v>422</v>
      </c>
      <c r="S106" s="876">
        <f t="shared" si="225"/>
        <v>210</v>
      </c>
      <c r="T106" s="876">
        <f t="shared" si="225"/>
        <v>119</v>
      </c>
      <c r="U106" s="876">
        <f t="shared" si="225"/>
        <v>-43</v>
      </c>
      <c r="V106" s="876">
        <f t="shared" si="225"/>
        <v>158</v>
      </c>
      <c r="W106" s="876"/>
      <c r="X106" s="876">
        <v>0</v>
      </c>
      <c r="Y106" s="876">
        <v>0</v>
      </c>
      <c r="Z106" s="876">
        <v>0</v>
      </c>
      <c r="AA106" s="876">
        <v>0</v>
      </c>
      <c r="AB106" s="876">
        <v>0</v>
      </c>
      <c r="AC106" s="876">
        <v>0</v>
      </c>
      <c r="AD106" s="876">
        <v>0</v>
      </c>
      <c r="AE106" s="876">
        <v>0</v>
      </c>
      <c r="AF106" s="876">
        <v>0</v>
      </c>
      <c r="AG106" s="876">
        <v>0</v>
      </c>
      <c r="AH106" s="876">
        <v>0</v>
      </c>
      <c r="AI106" s="876">
        <v>0</v>
      </c>
      <c r="AJ106" s="876">
        <v>0</v>
      </c>
      <c r="AK106" s="876">
        <v>0</v>
      </c>
      <c r="AL106" s="876">
        <v>0</v>
      </c>
      <c r="AM106" s="860" t="s">
        <v>1032</v>
      </c>
      <c r="AN106" s="898">
        <f t="shared" ref="AN106:AW106" si="226">-T137</f>
        <v>183</v>
      </c>
      <c r="AO106" s="898">
        <f t="shared" si="226"/>
        <v>253</v>
      </c>
      <c r="AP106" s="898">
        <f t="shared" si="226"/>
        <v>-189</v>
      </c>
      <c r="AQ106" s="898">
        <f t="shared" si="226"/>
        <v>-464</v>
      </c>
      <c r="AR106" s="898">
        <f t="shared" si="226"/>
        <v>-108</v>
      </c>
      <c r="AS106" s="898">
        <f t="shared" si="226"/>
        <v>478</v>
      </c>
      <c r="AT106" s="898">
        <f t="shared" si="226"/>
        <v>959</v>
      </c>
      <c r="AU106" s="898">
        <f t="shared" si="226"/>
        <v>874</v>
      </c>
      <c r="AV106" s="898">
        <f t="shared" si="226"/>
        <v>826</v>
      </c>
      <c r="AW106" s="898">
        <f t="shared" si="226"/>
        <v>1333</v>
      </c>
      <c r="AX106" s="898">
        <f t="shared" ref="AX106" si="227">-AD137</f>
        <v>-2675</v>
      </c>
      <c r="AY106" s="898">
        <f t="shared" ref="AY106" si="228">-AE137</f>
        <v>-1548</v>
      </c>
    </row>
    <row r="107" customHeight="1" spans="1:51">
      <c r="A107" s="875" t="s">
        <v>1033</v>
      </c>
      <c r="B107" s="876">
        <v>0</v>
      </c>
      <c r="C107" s="876">
        <v>5.46324050000005</v>
      </c>
      <c r="D107" s="876">
        <v>33.9723059000003</v>
      </c>
      <c r="E107" s="876">
        <v>38.3577260000004</v>
      </c>
      <c r="F107" s="876">
        <v>-315.2200291</v>
      </c>
      <c r="G107" s="876">
        <v>19.0690000000001</v>
      </c>
      <c r="H107" s="876">
        <v>42.3019999999999</v>
      </c>
      <c r="I107" s="876">
        <v>84.2920000000007</v>
      </c>
      <c r="J107" s="876">
        <v>62.4619999999998</v>
      </c>
      <c r="K107" s="876">
        <v>83.5470000000005</v>
      </c>
      <c r="L107" s="876">
        <f>51.618-13.31+70.564+1.705-64.961+45.075+13.908</f>
        <v>104.599</v>
      </c>
      <c r="M107" s="876">
        <f>-28-36+74-68+3+37-61</f>
        <v>-79</v>
      </c>
      <c r="N107" s="887">
        <f>76-37+184-158+2+37</f>
        <v>104</v>
      </c>
      <c r="O107" s="876">
        <f>-23+166-7-161+27-27-1</f>
        <v>-26</v>
      </c>
      <c r="P107" s="876">
        <f>-46+178-7-176+37-37-21</f>
        <v>-72</v>
      </c>
      <c r="Q107" s="876">
        <f>15+138+23-131+16-16+5</f>
        <v>50</v>
      </c>
      <c r="R107" s="876">
        <f>-19+112+5-111+23-23</f>
        <v>-13</v>
      </c>
      <c r="S107" s="876">
        <f>-31-23+108+12-113+30</f>
        <v>-17</v>
      </c>
      <c r="T107" s="876">
        <f>-26+97+12-90+35</f>
        <v>28</v>
      </c>
      <c r="U107" s="876">
        <f>10+73+7-68+73-2-1-25+25</f>
        <v>92</v>
      </c>
      <c r="V107" s="876">
        <f>10+62+16-1-1-59-65-17+7</f>
        <v>-48</v>
      </c>
      <c r="W107" s="876">
        <f>65+15-1-1-55+0-20+3</f>
        <v>6</v>
      </c>
      <c r="X107" s="876">
        <f>70-21-7-2-46-21-1</f>
        <v>-28</v>
      </c>
      <c r="Y107" s="876">
        <v>-297.261</v>
      </c>
      <c r="Z107" s="876">
        <v>-193.999999999998</v>
      </c>
      <c r="AA107" s="876">
        <v>338</v>
      </c>
      <c r="AB107" s="876">
        <v>116</v>
      </c>
      <c r="AC107" s="876">
        <v>643</v>
      </c>
      <c r="AD107" s="876">
        <v>277</v>
      </c>
      <c r="AE107" s="876">
        <v>138</v>
      </c>
      <c r="AF107" s="876">
        <v>296.064999999999</v>
      </c>
      <c r="AG107" s="876">
        <v>156</v>
      </c>
      <c r="AH107" s="876">
        <v>0</v>
      </c>
      <c r="AI107" s="876">
        <v>0</v>
      </c>
      <c r="AJ107" s="876">
        <v>0</v>
      </c>
      <c r="AK107" s="876">
        <v>0</v>
      </c>
      <c r="AL107" s="876">
        <v>0</v>
      </c>
    </row>
    <row r="108" customHeight="1" spans="1:51">
      <c r="A108" s="884" t="s">
        <v>1034</v>
      </c>
      <c r="B108" s="885">
        <f t="shared" ref="B108:K108" si="229">B91+B92+B95+B96+B101+B102+B103+B104+B105+B106+B107</f>
        <v>-2.058</v>
      </c>
      <c r="C108" s="885">
        <f t="shared" si="229"/>
        <v>70.9188439</v>
      </c>
      <c r="D108" s="885">
        <f t="shared" si="229"/>
        <v>107.4936668</v>
      </c>
      <c r="E108" s="885">
        <f t="shared" si="229"/>
        <v>55.9664813999999</v>
      </c>
      <c r="F108" s="885">
        <f t="shared" si="229"/>
        <v>-234.670241</v>
      </c>
      <c r="G108" s="885">
        <f t="shared" si="229"/>
        <v>356.807</v>
      </c>
      <c r="H108" s="885">
        <f t="shared" si="229"/>
        <v>29</v>
      </c>
      <c r="I108" s="885">
        <f t="shared" si="229"/>
        <v>419.306</v>
      </c>
      <c r="J108" s="885">
        <f t="shared" si="229"/>
        <v>547.077</v>
      </c>
      <c r="K108" s="885">
        <f t="shared" si="229"/>
        <v>653.581</v>
      </c>
      <c r="L108" s="885">
        <f>L91+L92+L95+L96+L101+L102+L103+L104+L105+L106+L107+L99</f>
        <v>591.3428</v>
      </c>
      <c r="M108" s="885">
        <f>M91+M92+M95+M96+M101+M102+M103+M104+M105+M106+M107+M99</f>
        <v>388.988</v>
      </c>
      <c r="N108" s="885">
        <f>N91+N92+N95+N96+N101+N102+N103+N104+N105+N106+N107+N99</f>
        <v>799</v>
      </c>
      <c r="O108" s="885">
        <f>O91+O92+O95+O96+O101+O102+O103+O104+O105+O106+O107+O99</f>
        <v>806</v>
      </c>
      <c r="P108" s="885">
        <f>497+37</f>
        <v>534</v>
      </c>
      <c r="Q108" s="885">
        <f t="shared" ref="Q108:AC108" si="230">Q91+Q92+Q95+Q96+Q101+Q102+Q103+Q104+Q105+Q106+Q107+Q99</f>
        <v>1415</v>
      </c>
      <c r="R108" s="885">
        <f t="shared" si="230"/>
        <v>1348</v>
      </c>
      <c r="S108" s="885">
        <f t="shared" si="230"/>
        <v>884</v>
      </c>
      <c r="T108" s="885">
        <f t="shared" si="230"/>
        <v>954</v>
      </c>
      <c r="U108" s="885">
        <f t="shared" si="230"/>
        <v>652</v>
      </c>
      <c r="V108" s="885">
        <f t="shared" si="230"/>
        <v>649</v>
      </c>
      <c r="W108" s="885">
        <f t="shared" si="230"/>
        <v>935</v>
      </c>
      <c r="X108" s="885">
        <f t="shared" si="230"/>
        <v>824</v>
      </c>
      <c r="Y108" s="885">
        <f t="shared" si="230"/>
        <v>1648</v>
      </c>
      <c r="Z108" s="885">
        <f t="shared" si="230"/>
        <v>2686</v>
      </c>
      <c r="AA108" s="885">
        <f t="shared" si="230"/>
        <v>2819</v>
      </c>
      <c r="AB108" s="885">
        <f t="shared" si="230"/>
        <v>1486</v>
      </c>
      <c r="AC108" s="885">
        <f t="shared" si="230"/>
        <v>3316</v>
      </c>
      <c r="AD108" s="885">
        <f t="shared" ref="AD108:AF108" si="231">AD91+AD92+AD95+AD96+AD101+AD102+AD103+AD104+AD105+AD106+AD107+AD99</f>
        <v>-34</v>
      </c>
      <c r="AE108" s="885">
        <f t="shared" si="231"/>
        <v>2630.00000000002</v>
      </c>
      <c r="AF108" s="885">
        <f t="shared" si="231"/>
        <v>2909.99999999999</v>
      </c>
      <c r="AG108" s="885">
        <f t="shared" ref="AG108:AH108" si="232">AG91+AG92+AG95+AG96+AG101+AG102+AG103+AG104+AG105+AG106+AG107+AG99</f>
        <v>751</v>
      </c>
      <c r="AH108" s="885">
        <f t="shared" si="232"/>
        <v>2725.28471317727</v>
      </c>
      <c r="AI108" s="885">
        <f t="shared" ref="AI108:AJ108" si="233">AI91+AI92+AI95+AI96+AI101+AI102+AI103+AI104+AI105+AI106+AI107+AI99</f>
        <v>2976.31692846881</v>
      </c>
      <c r="AJ108" s="885">
        <f t="shared" si="233"/>
        <v>3407.08459879385</v>
      </c>
      <c r="AK108" s="885">
        <f t="shared" ref="AK108:AL108" si="234">AK91+AK92+AK95+AK96+AK101+AK102+AK103+AK104+AK105+AK106+AK107+AK99</f>
        <v>3720.29601237195</v>
      </c>
      <c r="AL108" s="885">
        <f t="shared" si="234"/>
        <v>3830.71104121086</v>
      </c>
    </row>
    <row r="109" customHeight="1" spans="1:51">
      <c r="B109" s="876"/>
      <c r="C109" s="876"/>
      <c r="D109" s="876"/>
      <c r="E109" s="876"/>
      <c r="F109" s="876"/>
      <c r="G109" s="876"/>
      <c r="H109" s="876"/>
      <c r="I109" s="876"/>
      <c r="J109" s="876"/>
      <c r="K109" s="876"/>
      <c r="N109" s="876"/>
      <c r="O109" s="876"/>
      <c r="P109" s="876"/>
      <c r="Q109" s="876"/>
      <c r="R109" s="891"/>
      <c r="S109" s="891"/>
      <c r="T109" s="891"/>
      <c r="U109" s="876"/>
      <c r="V109" s="876"/>
      <c r="W109" s="876"/>
      <c r="X109" s="876"/>
      <c r="Y109" s="876"/>
      <c r="Z109" s="876"/>
      <c r="AA109" s="876"/>
      <c r="AB109" s="876"/>
      <c r="AC109" s="876"/>
      <c r="AD109" s="876"/>
      <c r="AE109" s="876"/>
      <c r="AF109" s="876"/>
      <c r="AG109" s="876"/>
      <c r="AH109" s="876"/>
      <c r="AI109" s="876"/>
      <c r="AJ109" s="876"/>
      <c r="AK109" s="876"/>
      <c r="AL109" s="876"/>
    </row>
    <row r="110" customHeight="1" spans="1:51">
      <c r="A110" s="858" t="s">
        <v>1035</v>
      </c>
      <c r="B110" s="867"/>
      <c r="C110" s="867"/>
      <c r="D110" s="867"/>
      <c r="E110" s="867"/>
      <c r="F110" s="867"/>
      <c r="G110" s="867"/>
      <c r="H110" s="867"/>
      <c r="I110" s="867"/>
      <c r="J110" s="867"/>
      <c r="K110" s="867"/>
      <c r="L110" s="867"/>
      <c r="M110" s="867"/>
      <c r="N110" s="867"/>
      <c r="O110" s="867"/>
      <c r="P110" s="867"/>
      <c r="Q110" s="867"/>
      <c r="R110" s="891"/>
      <c r="S110" s="891"/>
      <c r="T110" s="891"/>
      <c r="U110" s="867"/>
      <c r="V110" s="867"/>
      <c r="W110" s="867"/>
      <c r="X110" s="867"/>
      <c r="Y110" s="867"/>
      <c r="Z110" s="867"/>
      <c r="AA110" s="867"/>
      <c r="AB110" s="867"/>
      <c r="AC110" s="867"/>
      <c r="AD110" s="867"/>
      <c r="AE110" s="867"/>
      <c r="AF110" s="867"/>
      <c r="AG110" s="867"/>
      <c r="AH110" s="867"/>
      <c r="AI110" s="867"/>
      <c r="AJ110" s="867"/>
      <c r="AK110" s="867"/>
      <c r="AL110" s="867"/>
    </row>
    <row r="111" customHeight="1" spans="1:51">
      <c r="A111" s="858" t="s">
        <v>1036</v>
      </c>
      <c r="B111" s="867">
        <v>0</v>
      </c>
      <c r="C111" s="867">
        <v>-84.0096578</v>
      </c>
      <c r="D111" s="867">
        <v>-79.271952</v>
      </c>
      <c r="E111" s="867">
        <v>-76.0845078</v>
      </c>
      <c r="F111" s="867">
        <v>-120.6652661</v>
      </c>
      <c r="G111" s="867">
        <v>-132.536</v>
      </c>
      <c r="H111" s="867">
        <v>-149.377</v>
      </c>
      <c r="I111" s="867">
        <v>-202.071</v>
      </c>
      <c r="J111" s="867">
        <v>-264.78</v>
      </c>
      <c r="K111" s="867">
        <v>-144.705</v>
      </c>
      <c r="L111" s="867">
        <f>-43.148-116.763-9.809+0.96</f>
        <v>-168.76</v>
      </c>
      <c r="M111" s="867">
        <f>-27-188+0</f>
        <v>-215</v>
      </c>
      <c r="N111" s="889">
        <f>-75-202</f>
        <v>-277</v>
      </c>
      <c r="O111" s="867">
        <f>-55-230</f>
        <v>-285</v>
      </c>
      <c r="P111" s="867">
        <f>-316-60</f>
        <v>-376</v>
      </c>
      <c r="Q111" s="867">
        <f>-195-46</f>
        <v>-241</v>
      </c>
      <c r="R111" s="867">
        <f>-227-42</f>
        <v>-269</v>
      </c>
      <c r="S111" s="867">
        <f>-318-58</f>
        <v>-376</v>
      </c>
      <c r="T111" s="867">
        <f>-376-58</f>
        <v>-434</v>
      </c>
      <c r="U111" s="867">
        <f>-422-52</f>
        <v>-474</v>
      </c>
      <c r="V111" s="867">
        <f>-499-49</f>
        <v>-548</v>
      </c>
      <c r="W111" s="867">
        <f>-464-49</f>
        <v>-513</v>
      </c>
      <c r="X111" s="867">
        <f>-586-65</f>
        <v>-651</v>
      </c>
      <c r="Y111" s="908">
        <v>-606</v>
      </c>
      <c r="Z111" s="908">
        <v>-611</v>
      </c>
      <c r="AA111" s="908">
        <v>-598</v>
      </c>
      <c r="AB111" s="908">
        <v>-368</v>
      </c>
      <c r="AC111" s="908">
        <f>-494</f>
        <v>-494</v>
      </c>
      <c r="AD111" s="908">
        <v>-504</v>
      </c>
      <c r="AE111" s="908">
        <v>-363</v>
      </c>
      <c r="AF111" s="908">
        <v>-419</v>
      </c>
      <c r="AG111" s="908">
        <v>-363</v>
      </c>
      <c r="AH111" s="908">
        <f>AH113*AH3</f>
        <v>-542.658623126019</v>
      </c>
      <c r="AI111" s="908">
        <f>AI113*AI3</f>
        <v>-583.673016396777</v>
      </c>
      <c r="AJ111" s="908">
        <f>AJ113*AJ3</f>
        <v>-623.204187562321</v>
      </c>
      <c r="AK111" s="908">
        <f>AK113*AK3</f>
        <v>-660.335525299952</v>
      </c>
      <c r="AL111" s="908">
        <f>AL113*AL3</f>
        <v>-699.727161159486</v>
      </c>
    </row>
    <row r="112" customHeight="1" spans="1:51">
      <c r="A112" s="875" t="s">
        <v>61</v>
      </c>
      <c r="B112" s="876" t="s">
        <v>173</v>
      </c>
      <c r="C112" s="876" t="s">
        <v>173</v>
      </c>
      <c r="D112" s="868">
        <f t="shared" ref="D112:Q112" si="235">D111/C111-1</f>
        <v>-0.0563947756016212</v>
      </c>
      <c r="E112" s="868">
        <f t="shared" si="235"/>
        <v>-0.0402089783281736</v>
      </c>
      <c r="F112" s="868">
        <f t="shared" si="235"/>
        <v>0.585937394997514</v>
      </c>
      <c r="G112" s="868">
        <f t="shared" si="235"/>
        <v>0.0983773896471771</v>
      </c>
      <c r="H112" s="868">
        <f t="shared" si="235"/>
        <v>0.127067362829722</v>
      </c>
      <c r="I112" s="868">
        <f t="shared" si="235"/>
        <v>0.352758456790537</v>
      </c>
      <c r="J112" s="868">
        <f t="shared" si="235"/>
        <v>0.310331517140015</v>
      </c>
      <c r="K112" s="868">
        <f t="shared" si="235"/>
        <v>-0.453489689553592</v>
      </c>
      <c r="L112" s="868">
        <f t="shared" si="235"/>
        <v>0.166234753463944</v>
      </c>
      <c r="M112" s="868">
        <f t="shared" si="235"/>
        <v>0.273998577862053</v>
      </c>
      <c r="N112" s="868">
        <f t="shared" si="235"/>
        <v>0.288372093023256</v>
      </c>
      <c r="O112" s="868">
        <f t="shared" si="235"/>
        <v>0.0288808664259927</v>
      </c>
      <c r="P112" s="868">
        <f t="shared" si="235"/>
        <v>0.319298245614035</v>
      </c>
      <c r="Q112" s="868">
        <f t="shared" si="235"/>
        <v>-0.359042553191489</v>
      </c>
      <c r="R112" s="767">
        <f t="shared" ref="R112:AL112" si="236">R111/Q111-1</f>
        <v>0.116182572614108</v>
      </c>
      <c r="S112" s="767">
        <f t="shared" si="236"/>
        <v>0.397769516728625</v>
      </c>
      <c r="T112" s="767">
        <f t="shared" si="236"/>
        <v>0.154255319148936</v>
      </c>
      <c r="U112" s="868">
        <f t="shared" si="236"/>
        <v>0.0921658986175116</v>
      </c>
      <c r="V112" s="868">
        <f t="shared" si="236"/>
        <v>0.156118143459916</v>
      </c>
      <c r="W112" s="868">
        <f t="shared" si="236"/>
        <v>-0.0638686131386861</v>
      </c>
      <c r="X112" s="868">
        <f t="shared" si="236"/>
        <v>0.269005847953216</v>
      </c>
      <c r="Y112" s="868">
        <f t="shared" si="236"/>
        <v>-0.0691244239631337</v>
      </c>
      <c r="Z112" s="868">
        <f t="shared" si="236"/>
        <v>0.00825082508250818</v>
      </c>
      <c r="AA112" s="868">
        <f t="shared" si="236"/>
        <v>-0.0212765957446809</v>
      </c>
      <c r="AB112" s="909">
        <f t="shared" si="236"/>
        <v>-0.384615384615385</v>
      </c>
      <c r="AC112" s="868">
        <f t="shared" si="236"/>
        <v>0.342391304347826</v>
      </c>
      <c r="AD112" s="868">
        <f t="shared" si="236"/>
        <v>0.0202429149797572</v>
      </c>
      <c r="AE112" s="868">
        <f t="shared" si="236"/>
        <v>-0.279761904761905</v>
      </c>
      <c r="AF112" s="868">
        <f t="shared" si="236"/>
        <v>0.154269972451791</v>
      </c>
      <c r="AG112" s="868">
        <f t="shared" si="236"/>
        <v>-0.133651551312649</v>
      </c>
      <c r="AH112" s="868">
        <f t="shared" si="236"/>
        <v>0.494927336435313</v>
      </c>
      <c r="AI112" s="868">
        <f t="shared" si="236"/>
        <v>0.0755804690515973</v>
      </c>
      <c r="AJ112" s="868">
        <f t="shared" si="236"/>
        <v>0.0677282828827417</v>
      </c>
      <c r="AK112" s="868">
        <f t="shared" si="236"/>
        <v>0.0595813354253465</v>
      </c>
      <c r="AL112" s="868">
        <f t="shared" si="236"/>
        <v>0.0596539703685333</v>
      </c>
    </row>
    <row r="113" customHeight="1" spans="1:38">
      <c r="A113" s="875" t="s">
        <v>218</v>
      </c>
      <c r="B113" s="876" t="s">
        <v>173</v>
      </c>
      <c r="C113" s="868">
        <f t="shared" ref="C113:N113" si="237">C111/C$3</f>
        <v>-0.0469413525929651</v>
      </c>
      <c r="D113" s="868">
        <f t="shared" si="237"/>
        <v>-0.032921167563307</v>
      </c>
      <c r="E113" s="868">
        <f t="shared" si="237"/>
        <v>-0.022215563793495</v>
      </c>
      <c r="F113" s="868">
        <f t="shared" si="237"/>
        <v>-0.0238209537829266</v>
      </c>
      <c r="G113" s="868">
        <f t="shared" si="237"/>
        <v>-0.0247548118220775</v>
      </c>
      <c r="H113" s="868">
        <f t="shared" si="237"/>
        <v>-0.0256001713796058</v>
      </c>
      <c r="I113" s="868">
        <f t="shared" si="237"/>
        <v>-0.0330594778077881</v>
      </c>
      <c r="J113" s="868">
        <f t="shared" si="237"/>
        <v>-0.0405891450480185</v>
      </c>
      <c r="K113" s="868">
        <f t="shared" si="237"/>
        <v>-0.0230907321120827</v>
      </c>
      <c r="L113" s="868">
        <f t="shared" si="237"/>
        <v>-0.028818306010929</v>
      </c>
      <c r="M113" s="868">
        <f t="shared" si="237"/>
        <v>-0.0323990355635925</v>
      </c>
      <c r="N113" s="868">
        <f t="shared" si="237"/>
        <v>-0.0274692582308608</v>
      </c>
      <c r="O113" s="868">
        <f t="shared" ref="O113:V113" si="238">O111/O$3</f>
        <v>-0.0276725895718031</v>
      </c>
      <c r="P113" s="868">
        <f t="shared" si="238"/>
        <v>-0.0348180387072877</v>
      </c>
      <c r="Q113" s="868">
        <f t="shared" si="238"/>
        <v>-0.0232154898372026</v>
      </c>
      <c r="R113" s="765">
        <f t="shared" si="238"/>
        <v>-0.0224353628023353</v>
      </c>
      <c r="S113" s="765">
        <f t="shared" si="238"/>
        <v>-0.0282218719507618</v>
      </c>
      <c r="T113" s="765">
        <f t="shared" si="238"/>
        <v>-0.0291607874756434</v>
      </c>
      <c r="U113" s="883">
        <f t="shared" si="238"/>
        <v>-0.0333685322069694</v>
      </c>
      <c r="V113" s="883">
        <f t="shared" si="238"/>
        <v>-0.0377046924453007</v>
      </c>
      <c r="W113" s="883">
        <f t="shared" ref="W113:AG113" si="239">W111/W$3</f>
        <v>-0.0303281111439551</v>
      </c>
      <c r="X113" s="883">
        <f t="shared" si="239"/>
        <v>-0.0337480559875583</v>
      </c>
      <c r="Y113" s="883">
        <f t="shared" si="239"/>
        <v>-0.0285606560467528</v>
      </c>
      <c r="Z113" s="883">
        <f t="shared" si="239"/>
        <v>-0.0278804471822952</v>
      </c>
      <c r="AA113" s="883">
        <f t="shared" si="239"/>
        <v>-0.0252950382809526</v>
      </c>
      <c r="AB113" s="910">
        <f t="shared" si="239"/>
        <v>-0.0185446482563999</v>
      </c>
      <c r="AC113" s="883">
        <f t="shared" si="239"/>
        <v>-0.0232645756805124</v>
      </c>
      <c r="AD113" s="883">
        <f t="shared" si="239"/>
        <v>-0.0223890542401493</v>
      </c>
      <c r="AE113" s="883">
        <f t="shared" si="239"/>
        <v>-0.0175548892542799</v>
      </c>
      <c r="AF113" s="883">
        <f t="shared" si="239"/>
        <v>-0.0181912907567403</v>
      </c>
      <c r="AG113" s="883">
        <f t="shared" si="239"/>
        <v>-0.0146306073918826</v>
      </c>
      <c r="AH113" s="879">
        <v>-0.02</v>
      </c>
      <c r="AI113" s="879">
        <f t="shared" ref="AI113:AL113" si="240">AH113</f>
        <v>-0.02</v>
      </c>
      <c r="AJ113" s="879">
        <f t="shared" si="240"/>
        <v>-0.02</v>
      </c>
      <c r="AK113" s="879">
        <f t="shared" si="240"/>
        <v>-0.02</v>
      </c>
      <c r="AL113" s="879">
        <f t="shared" si="240"/>
        <v>-0.02</v>
      </c>
    </row>
    <row r="114" customHeight="1" spans="1:38">
      <c r="A114" s="860" t="s">
        <v>1037</v>
      </c>
      <c r="B114" s="876">
        <v>0</v>
      </c>
      <c r="C114" s="876">
        <v>0</v>
      </c>
      <c r="D114" s="876">
        <v>0</v>
      </c>
      <c r="E114" s="876">
        <v>-478.6862182</v>
      </c>
      <c r="F114" s="876">
        <v>-643.4465076</v>
      </c>
      <c r="G114" s="876">
        <v>0</v>
      </c>
      <c r="H114" s="876">
        <v>0</v>
      </c>
      <c r="I114" s="876">
        <v>0</v>
      </c>
      <c r="J114" s="876">
        <v>-85.658</v>
      </c>
      <c r="K114" s="876">
        <v>0</v>
      </c>
      <c r="L114" s="876">
        <v>0</v>
      </c>
      <c r="M114" s="876">
        <v>0</v>
      </c>
      <c r="N114" s="887">
        <v>-2432</v>
      </c>
      <c r="O114" s="876">
        <v>-2</v>
      </c>
      <c r="P114" s="876">
        <v>-50</v>
      </c>
      <c r="Q114" s="876">
        <v>-8</v>
      </c>
      <c r="R114" s="876">
        <v>0</v>
      </c>
      <c r="S114" s="876">
        <v>-20</v>
      </c>
      <c r="T114" s="876">
        <v>-57</v>
      </c>
      <c r="U114" s="876">
        <v>0</v>
      </c>
      <c r="V114" s="876">
        <v>-6</v>
      </c>
      <c r="W114" s="876">
        <v>-214</v>
      </c>
      <c r="X114" s="876">
        <v>0</v>
      </c>
      <c r="Y114" s="882">
        <f>-74-132</f>
        <v>-206</v>
      </c>
      <c r="Z114" s="882">
        <f>-96-56</f>
        <v>-152</v>
      </c>
      <c r="AA114" s="882">
        <f>-110-80-284</f>
        <v>-474</v>
      </c>
      <c r="AB114" s="911">
        <f>-64+289-49</f>
        <v>176</v>
      </c>
      <c r="AC114" s="882">
        <f>-173+49</f>
        <v>-124</v>
      </c>
      <c r="AD114" s="882">
        <f>-191-13</f>
        <v>-204</v>
      </c>
      <c r="AE114" s="882">
        <f>-141+57</f>
        <v>-84</v>
      </c>
      <c r="AF114" s="882">
        <f>-121-50</f>
        <v>-171</v>
      </c>
      <c r="AG114" s="882">
        <f>-114-88</f>
        <v>-202</v>
      </c>
      <c r="AH114" s="882">
        <f>-(AH26-AG26)</f>
        <v>0</v>
      </c>
      <c r="AI114" s="882">
        <f>-(AI26-AH26)</f>
        <v>0</v>
      </c>
      <c r="AJ114" s="882">
        <f>-(AJ26-AI26)</f>
        <v>0</v>
      </c>
      <c r="AK114" s="882">
        <f>-(AK26-AJ26)</f>
        <v>0</v>
      </c>
      <c r="AL114" s="882">
        <f>-(AL26-AK26)</f>
        <v>0</v>
      </c>
    </row>
    <row r="115" customHeight="1" spans="1:38">
      <c r="A115" s="860" t="s">
        <v>1038</v>
      </c>
      <c r="B115" s="876">
        <v>0</v>
      </c>
      <c r="C115" s="876">
        <v>5.0061383</v>
      </c>
      <c r="D115" s="876">
        <v>26.4367665</v>
      </c>
      <c r="E115" s="876">
        <v>0</v>
      </c>
      <c r="F115" s="876">
        <v>0</v>
      </c>
      <c r="G115" s="876">
        <v>18.112</v>
      </c>
      <c r="H115" s="876">
        <v>14.141</v>
      </c>
      <c r="I115" s="876">
        <v>3.774</v>
      </c>
      <c r="J115" s="876">
        <v>0</v>
      </c>
      <c r="K115" s="876">
        <v>28.347</v>
      </c>
      <c r="L115" s="876">
        <v>0</v>
      </c>
      <c r="M115" s="876">
        <f>450+201+14+6</f>
        <v>671</v>
      </c>
      <c r="N115" s="887">
        <f>19+36+33+22</f>
        <v>110</v>
      </c>
      <c r="O115" s="876">
        <f>10+30-47</f>
        <v>-7</v>
      </c>
      <c r="P115" s="876">
        <f>8+27-59</f>
        <v>-24</v>
      </c>
      <c r="Q115" s="876">
        <f>10+16+60</f>
        <v>86</v>
      </c>
      <c r="R115" s="891">
        <f>17+1-146</f>
        <v>-128</v>
      </c>
      <c r="S115" s="891">
        <f>2-192</f>
        <v>-190</v>
      </c>
      <c r="T115" s="891">
        <f>19+195</f>
        <v>214</v>
      </c>
      <c r="U115" s="876">
        <f>4+226</f>
        <v>230</v>
      </c>
      <c r="V115" s="876">
        <f>37+4</f>
        <v>41</v>
      </c>
      <c r="W115" s="876">
        <f>6+164</f>
        <v>170</v>
      </c>
      <c r="X115" s="876">
        <f>5+14+29</f>
        <v>48</v>
      </c>
      <c r="Y115" s="882">
        <v>174</v>
      </c>
      <c r="Z115" s="882">
        <v>0</v>
      </c>
      <c r="AA115" s="882">
        <f>13+8+54+20</f>
        <v>95</v>
      </c>
      <c r="AB115" s="911">
        <f>16+1+41+4</f>
        <v>62</v>
      </c>
      <c r="AC115" s="882">
        <f>1+1+12+177</f>
        <v>191</v>
      </c>
      <c r="AD115" s="882">
        <f>1165+1+1+12</f>
        <v>1179</v>
      </c>
      <c r="AE115" s="882">
        <f>-19+10+1</f>
        <v>-8</v>
      </c>
      <c r="AF115" s="882">
        <f>49+100</f>
        <v>149</v>
      </c>
      <c r="AG115" s="882">
        <f>4+100</f>
        <v>104</v>
      </c>
      <c r="AH115" s="882">
        <v>0</v>
      </c>
      <c r="AI115" s="882">
        <v>0</v>
      </c>
      <c r="AJ115" s="882">
        <v>0</v>
      </c>
      <c r="AK115" s="882">
        <v>0</v>
      </c>
      <c r="AL115" s="882">
        <v>0</v>
      </c>
    </row>
    <row r="116" customHeight="1" spans="1:38">
      <c r="A116" s="860" t="s">
        <v>1039</v>
      </c>
      <c r="B116" s="876">
        <v>0</v>
      </c>
      <c r="C116" s="876">
        <v>0</v>
      </c>
      <c r="D116" s="876">
        <v>0</v>
      </c>
      <c r="E116" s="876">
        <v>0</v>
      </c>
      <c r="F116" s="876">
        <v>0</v>
      </c>
      <c r="G116" s="876">
        <v>0</v>
      </c>
      <c r="H116" s="876">
        <v>0</v>
      </c>
      <c r="I116" s="876">
        <v>0</v>
      </c>
      <c r="J116" s="876">
        <v>0</v>
      </c>
      <c r="K116" s="876">
        <v>0</v>
      </c>
      <c r="L116" s="876">
        <v>0</v>
      </c>
      <c r="M116" s="876"/>
      <c r="N116" s="887">
        <v>0</v>
      </c>
      <c r="O116" s="876">
        <v>0</v>
      </c>
      <c r="P116" s="876">
        <v>0</v>
      </c>
      <c r="Q116" s="876">
        <v>0</v>
      </c>
      <c r="R116" s="876">
        <v>0</v>
      </c>
      <c r="S116" s="876">
        <v>0</v>
      </c>
      <c r="T116" s="876">
        <f>1</f>
        <v>1</v>
      </c>
      <c r="U116" s="876">
        <v>1</v>
      </c>
      <c r="V116" s="876">
        <v>1</v>
      </c>
      <c r="W116" s="876">
        <v>0</v>
      </c>
      <c r="X116" s="876">
        <v>0</v>
      </c>
      <c r="Y116" s="882">
        <v>0</v>
      </c>
      <c r="Z116" s="882">
        <v>127</v>
      </c>
      <c r="AA116" s="882">
        <v>52</v>
      </c>
      <c r="AB116" s="911">
        <v>25</v>
      </c>
      <c r="AC116" s="882">
        <v>13</v>
      </c>
      <c r="AD116" s="882">
        <v>23</v>
      </c>
      <c r="AE116" s="882">
        <v>39</v>
      </c>
      <c r="AF116" s="882">
        <v>57</v>
      </c>
      <c r="AG116" s="882">
        <v>58</v>
      </c>
      <c r="AH116" s="882">
        <v>0</v>
      </c>
      <c r="AI116" s="882">
        <v>0</v>
      </c>
      <c r="AJ116" s="882">
        <v>0</v>
      </c>
      <c r="AK116" s="882">
        <v>0</v>
      </c>
      <c r="AL116" s="882">
        <v>0</v>
      </c>
    </row>
    <row r="117" customHeight="1" spans="1:38">
      <c r="A117" s="860" t="s">
        <v>1040</v>
      </c>
      <c r="B117" s="876">
        <v>0</v>
      </c>
      <c r="C117" s="876">
        <v>1.6070159</v>
      </c>
      <c r="D117" s="876">
        <v>-9.1323293</v>
      </c>
      <c r="E117" s="876">
        <v>-0.6554866</v>
      </c>
      <c r="F117" s="876">
        <v>-23.8332269</v>
      </c>
      <c r="G117" s="876">
        <v>-26.538</v>
      </c>
      <c r="H117" s="876">
        <v>1.808</v>
      </c>
      <c r="I117" s="876">
        <v>9.3</v>
      </c>
      <c r="J117" s="876">
        <v>26.419</v>
      </c>
      <c r="K117" s="876">
        <v>-130.354</v>
      </c>
      <c r="L117" s="876">
        <f>-168.357-41.634</f>
        <v>-209.991</v>
      </c>
      <c r="M117" s="876">
        <v>-53</v>
      </c>
      <c r="N117" s="887">
        <f>-170-223-32-1</f>
        <v>-426</v>
      </c>
      <c r="O117" s="876">
        <f>-7-11</f>
        <v>-18</v>
      </c>
      <c r="P117" s="876">
        <f>-6-25</f>
        <v>-31</v>
      </c>
      <c r="Q117" s="876">
        <f>-14-1</f>
        <v>-15</v>
      </c>
      <c r="R117" s="876">
        <f>44</f>
        <v>44</v>
      </c>
      <c r="S117" s="876">
        <v>-10</v>
      </c>
      <c r="T117" s="876">
        <v>10</v>
      </c>
      <c r="U117" s="876">
        <f>-20-6</f>
        <v>-26</v>
      </c>
      <c r="V117" s="876">
        <f>-36-6</f>
        <v>-42</v>
      </c>
      <c r="W117" s="876">
        <v>-48</v>
      </c>
      <c r="X117" s="876">
        <v>-33</v>
      </c>
      <c r="Y117" s="882">
        <f>-(Y32-X32)</f>
        <v>-42</v>
      </c>
      <c r="Z117" s="882">
        <v>-1000</v>
      </c>
      <c r="AA117" s="882">
        <f>-809</f>
        <v>-809</v>
      </c>
      <c r="AB117" s="911">
        <v>-257</v>
      </c>
      <c r="AC117" s="882">
        <v>-1000</v>
      </c>
      <c r="AD117" s="882">
        <v>-2500</v>
      </c>
      <c r="AE117" s="882">
        <v>-34</v>
      </c>
      <c r="AF117" s="882">
        <v>28</v>
      </c>
      <c r="AG117" s="882">
        <v>-1</v>
      </c>
      <c r="AH117" s="882">
        <v>-1000</v>
      </c>
      <c r="AI117" s="882">
        <v>-1000</v>
      </c>
      <c r="AJ117" s="882">
        <v>-1000</v>
      </c>
      <c r="AK117" s="882">
        <v>-1000</v>
      </c>
      <c r="AL117" s="882">
        <v>-1000</v>
      </c>
    </row>
    <row r="118" customHeight="1" spans="1:38">
      <c r="A118" s="884" t="s">
        <v>1041</v>
      </c>
      <c r="B118" s="885">
        <f t="shared" ref="B118:Q118" si="241">B117+B116+B115+B114+B111</f>
        <v>0</v>
      </c>
      <c r="C118" s="885">
        <f t="shared" si="241"/>
        <v>-77.3965036</v>
      </c>
      <c r="D118" s="885">
        <f t="shared" si="241"/>
        <v>-61.9675148</v>
      </c>
      <c r="E118" s="885">
        <f t="shared" si="241"/>
        <v>-555.4262126</v>
      </c>
      <c r="F118" s="885">
        <f t="shared" si="241"/>
        <v>-787.9450006</v>
      </c>
      <c r="G118" s="885">
        <f t="shared" si="241"/>
        <v>-140.962</v>
      </c>
      <c r="H118" s="885">
        <f t="shared" si="241"/>
        <v>-133.428</v>
      </c>
      <c r="I118" s="885">
        <f t="shared" si="241"/>
        <v>-188.997</v>
      </c>
      <c r="J118" s="885">
        <f t="shared" si="241"/>
        <v>-324.019</v>
      </c>
      <c r="K118" s="885">
        <f t="shared" si="241"/>
        <v>-246.712</v>
      </c>
      <c r="L118" s="885">
        <f t="shared" si="241"/>
        <v>-378.751</v>
      </c>
      <c r="M118" s="885">
        <f t="shared" si="241"/>
        <v>403</v>
      </c>
      <c r="N118" s="885">
        <f t="shared" si="241"/>
        <v>-3025</v>
      </c>
      <c r="O118" s="885">
        <f t="shared" si="241"/>
        <v>-312</v>
      </c>
      <c r="P118" s="885">
        <f t="shared" si="241"/>
        <v>-481</v>
      </c>
      <c r="Q118" s="885">
        <f t="shared" si="241"/>
        <v>-178</v>
      </c>
      <c r="R118" s="885">
        <f t="shared" ref="R118:AB118" si="242">R117+R116+R115+R114+R111</f>
        <v>-353</v>
      </c>
      <c r="S118" s="885">
        <f t="shared" si="242"/>
        <v>-596</v>
      </c>
      <c r="T118" s="885">
        <f t="shared" si="242"/>
        <v>-266</v>
      </c>
      <c r="U118" s="885">
        <f t="shared" si="242"/>
        <v>-269</v>
      </c>
      <c r="V118" s="885">
        <f t="shared" si="242"/>
        <v>-554</v>
      </c>
      <c r="W118" s="885">
        <f t="shared" si="242"/>
        <v>-605</v>
      </c>
      <c r="X118" s="885">
        <f t="shared" si="242"/>
        <v>-636</v>
      </c>
      <c r="Y118" s="886">
        <f t="shared" si="242"/>
        <v>-680</v>
      </c>
      <c r="Z118" s="886">
        <f t="shared" si="242"/>
        <v>-1636</v>
      </c>
      <c r="AA118" s="886">
        <f t="shared" si="242"/>
        <v>-1734</v>
      </c>
      <c r="AB118" s="885">
        <f t="shared" si="242"/>
        <v>-362</v>
      </c>
      <c r="AC118" s="886">
        <f t="shared" ref="AC118:AH118" si="243">AC117+AC116+AC115+AC114+AC111</f>
        <v>-1414</v>
      </c>
      <c r="AD118" s="886">
        <f t="shared" si="243"/>
        <v>-2006</v>
      </c>
      <c r="AE118" s="886">
        <f t="shared" si="243"/>
        <v>-450</v>
      </c>
      <c r="AF118" s="886">
        <f t="shared" si="243"/>
        <v>-356</v>
      </c>
      <c r="AG118" s="886">
        <f t="shared" si="243"/>
        <v>-404</v>
      </c>
      <c r="AH118" s="886">
        <f t="shared" si="243"/>
        <v>-1542.65862312602</v>
      </c>
      <c r="AI118" s="886">
        <f t="shared" ref="AI118:AJ118" si="244">AI117+AI116+AI115+AI114+AI111</f>
        <v>-1583.67301639678</v>
      </c>
      <c r="AJ118" s="886">
        <f t="shared" si="244"/>
        <v>-1623.20418756232</v>
      </c>
      <c r="AK118" s="886">
        <f t="shared" ref="AK118:AL118" si="245">AK117+AK116+AK115+AK114+AK111</f>
        <v>-1660.33552529995</v>
      </c>
      <c r="AL118" s="886">
        <f t="shared" si="245"/>
        <v>-1699.72716115949</v>
      </c>
    </row>
    <row r="119" customHeight="1" spans="1:38">
      <c r="B119" s="876"/>
      <c r="C119" s="876"/>
      <c r="D119" s="876"/>
      <c r="E119" s="876"/>
      <c r="F119" s="876"/>
      <c r="G119" s="876"/>
      <c r="H119" s="876"/>
      <c r="I119" s="876"/>
      <c r="J119" s="876"/>
      <c r="K119" s="876"/>
      <c r="N119" s="876"/>
      <c r="O119" s="876"/>
      <c r="P119" s="876"/>
      <c r="Q119" s="876"/>
      <c r="R119" s="891"/>
      <c r="S119" s="891"/>
      <c r="T119" s="891"/>
      <c r="U119" s="876"/>
      <c r="V119" s="876"/>
      <c r="W119" s="876"/>
      <c r="X119" s="876"/>
      <c r="Y119" s="882"/>
      <c r="Z119" s="882"/>
      <c r="AA119" s="880"/>
      <c r="AB119" s="911"/>
      <c r="AC119" s="880"/>
      <c r="AD119" s="882"/>
      <c r="AE119" s="882"/>
      <c r="AF119" s="882"/>
      <c r="AG119" s="882"/>
      <c r="AH119" s="882"/>
      <c r="AI119" s="882"/>
      <c r="AJ119" s="882"/>
      <c r="AK119" s="882"/>
      <c r="AL119" s="882"/>
    </row>
    <row r="120" customHeight="1" spans="1:38">
      <c r="A120" s="858" t="s">
        <v>1042</v>
      </c>
      <c r="B120" s="867"/>
      <c r="C120" s="867"/>
      <c r="D120" s="867"/>
      <c r="E120" s="867"/>
      <c r="F120" s="867"/>
      <c r="G120" s="867"/>
      <c r="H120" s="867"/>
      <c r="I120" s="867"/>
      <c r="J120" s="867"/>
      <c r="K120" s="867"/>
      <c r="L120" s="867"/>
      <c r="M120" s="867"/>
      <c r="N120" s="867"/>
      <c r="O120" s="867"/>
      <c r="P120" s="867"/>
      <c r="Q120" s="867"/>
      <c r="R120" s="891"/>
      <c r="S120" s="891"/>
      <c r="T120" s="891"/>
      <c r="U120" s="867"/>
      <c r="V120" s="867"/>
      <c r="W120" s="867"/>
      <c r="X120" s="867"/>
      <c r="Y120" s="880"/>
      <c r="Z120" s="880"/>
      <c r="AA120" s="880"/>
      <c r="AB120" s="912"/>
      <c r="AC120" s="880"/>
      <c r="AD120" s="880"/>
      <c r="AE120" s="880"/>
      <c r="AF120" s="880"/>
      <c r="AG120" s="880"/>
      <c r="AH120" s="880"/>
      <c r="AI120" s="880"/>
      <c r="AJ120" s="880"/>
      <c r="AK120" s="880"/>
      <c r="AL120" s="880"/>
    </row>
    <row r="121" hidden="1" customHeight="1" spans="1:38">
      <c r="A121" s="860" t="s">
        <v>1043</v>
      </c>
      <c r="B121" s="876">
        <v>0</v>
      </c>
      <c r="C121" s="876">
        <v>0</v>
      </c>
      <c r="D121" s="876">
        <v>0</v>
      </c>
      <c r="E121" s="876">
        <v>0</v>
      </c>
      <c r="F121" s="876">
        <v>0</v>
      </c>
      <c r="G121" s="876">
        <v>0</v>
      </c>
      <c r="H121" s="876">
        <v>0</v>
      </c>
      <c r="I121" s="876">
        <v>0</v>
      </c>
      <c r="J121" s="876">
        <v>0</v>
      </c>
      <c r="K121" s="876">
        <v>0</v>
      </c>
      <c r="L121" s="876">
        <v>0</v>
      </c>
      <c r="M121" s="876">
        <v>0</v>
      </c>
      <c r="N121" s="876">
        <v>0</v>
      </c>
      <c r="O121" s="876">
        <v>0</v>
      </c>
      <c r="P121" s="876">
        <v>0</v>
      </c>
      <c r="Q121" s="876">
        <v>0</v>
      </c>
      <c r="R121" s="876">
        <v>0</v>
      </c>
      <c r="S121" s="876">
        <v>-3</v>
      </c>
      <c r="T121" s="876">
        <v>-3</v>
      </c>
      <c r="U121" s="876">
        <v>-1</v>
      </c>
      <c r="V121" s="876">
        <v>-4</v>
      </c>
      <c r="W121" s="876">
        <v>-6</v>
      </c>
      <c r="X121" s="876">
        <v>-2</v>
      </c>
      <c r="Y121" s="882">
        <v>0</v>
      </c>
      <c r="Z121" s="882">
        <v>0</v>
      </c>
      <c r="AA121" s="882">
        <v>0</v>
      </c>
      <c r="AB121" s="911">
        <v>0</v>
      </c>
      <c r="AC121" s="882">
        <v>0</v>
      </c>
      <c r="AD121" s="882">
        <v>0</v>
      </c>
      <c r="AE121" s="882">
        <v>0</v>
      </c>
      <c r="AF121" s="882">
        <v>0</v>
      </c>
      <c r="AG121" s="882">
        <v>0</v>
      </c>
      <c r="AH121" s="882">
        <v>0</v>
      </c>
      <c r="AI121" s="882">
        <v>0</v>
      </c>
      <c r="AJ121" s="882">
        <v>0</v>
      </c>
      <c r="AK121" s="882">
        <v>0</v>
      </c>
      <c r="AL121" s="882">
        <v>0</v>
      </c>
    </row>
    <row r="122" customHeight="1" spans="1:38">
      <c r="A122" s="860" t="s">
        <v>1044</v>
      </c>
      <c r="B122" s="876">
        <v>0</v>
      </c>
      <c r="C122" s="876">
        <v>0</v>
      </c>
      <c r="D122" s="876">
        <v>-5.7971194</v>
      </c>
      <c r="E122" s="876">
        <v>-25.5056892</v>
      </c>
      <c r="F122" s="876">
        <v>-38.3</v>
      </c>
      <c r="G122" s="876">
        <v>-38.258</v>
      </c>
      <c r="H122" s="876">
        <v>-41.736</v>
      </c>
      <c r="I122" s="876">
        <v>-41.721</v>
      </c>
      <c r="J122" s="876">
        <v>-41.721</v>
      </c>
      <c r="K122" s="876">
        <v>-45.423</v>
      </c>
      <c r="L122" s="876">
        <f>-45.454-4.085</f>
        <v>-49.539</v>
      </c>
      <c r="M122" s="876">
        <f>-60-3</f>
        <v>-63</v>
      </c>
      <c r="N122" s="887">
        <f>-66-4</f>
        <v>-70</v>
      </c>
      <c r="O122" s="876">
        <f>-85-1</f>
        <v>-86</v>
      </c>
      <c r="P122" s="876">
        <v>-99</v>
      </c>
      <c r="Q122" s="876">
        <v>-97</v>
      </c>
      <c r="R122" s="876">
        <v>-73</v>
      </c>
      <c r="S122" s="876">
        <v>-167</v>
      </c>
      <c r="T122" s="876">
        <v>-209</v>
      </c>
      <c r="U122" s="876">
        <v>-282</v>
      </c>
      <c r="V122" s="876">
        <v>-314</v>
      </c>
      <c r="W122" s="876">
        <v>-303</v>
      </c>
      <c r="X122" s="876">
        <v>-320</v>
      </c>
      <c r="Y122" s="882">
        <v>-405</v>
      </c>
      <c r="Z122" s="882">
        <f>-'Profit and Loss'!Y420</f>
        <v>-528.38214</v>
      </c>
      <c r="AA122" s="882">
        <v>-664</v>
      </c>
      <c r="AB122" s="911">
        <f>-'Profit and Loss'!AA420</f>
        <v>0</v>
      </c>
      <c r="AC122" s="882">
        <v>-585</v>
      </c>
      <c r="AD122" s="882">
        <v>-610</v>
      </c>
      <c r="AE122" s="882">
        <v>-125</v>
      </c>
      <c r="AF122" s="882">
        <v>-125</v>
      </c>
      <c r="AG122" s="882">
        <v>-357</v>
      </c>
      <c r="AH122" s="882">
        <f>-'Profit and Loss'!AG420</f>
        <v>-499.982</v>
      </c>
      <c r="AI122" s="882">
        <f>-'Profit and Loss'!AH420</f>
        <v>-620.942359984985</v>
      </c>
      <c r="AJ122" s="882">
        <f>-'Profit and Loss'!AI420</f>
        <v>-760.295451201201</v>
      </c>
      <c r="AK122" s="882">
        <f>-'Profit and Loss'!AJ420</f>
        <v>-846.159477102102</v>
      </c>
      <c r="AL122" s="882">
        <f>-'Profit and Loss'!AK420</f>
        <v>-917.38439039039</v>
      </c>
    </row>
    <row r="123" customHeight="1" spans="1:38">
      <c r="A123" s="860" t="s">
        <v>1045</v>
      </c>
      <c r="B123" s="876"/>
      <c r="C123" s="876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87"/>
      <c r="O123" s="876"/>
      <c r="P123" s="876"/>
      <c r="Q123" s="876"/>
      <c r="R123" s="876"/>
      <c r="S123" s="876"/>
      <c r="T123" s="876"/>
      <c r="U123" s="876"/>
      <c r="V123" s="876"/>
      <c r="W123" s="876"/>
      <c r="X123" s="876"/>
      <c r="Y123" s="882"/>
      <c r="Z123" s="882"/>
      <c r="AA123" s="867">
        <v>-597</v>
      </c>
      <c r="AB123" s="908">
        <v>-582</v>
      </c>
      <c r="AC123" s="867">
        <v>-572</v>
      </c>
      <c r="AD123" s="867">
        <v>-631</v>
      </c>
      <c r="AE123" s="867">
        <v>-603</v>
      </c>
      <c r="AF123" s="867">
        <v>-656</v>
      </c>
      <c r="AG123" s="867">
        <v>-643</v>
      </c>
      <c r="AH123" s="867">
        <f t="shared" ref="AH123" si="246">AG123*1.07</f>
        <v>-688.01</v>
      </c>
      <c r="AI123" s="867">
        <f>AH123*1.05</f>
        <v>-722.4105</v>
      </c>
      <c r="AJ123" s="867">
        <f t="shared" ref="AJ123:AL123" si="247">AI123*1.05</f>
        <v>-758.531025</v>
      </c>
      <c r="AK123" s="867">
        <f t="shared" si="247"/>
        <v>-796.45757625</v>
      </c>
      <c r="AL123" s="867">
        <f t="shared" si="247"/>
        <v>-836.2804550625</v>
      </c>
    </row>
    <row r="124" hidden="1" customHeight="1" spans="1:38">
      <c r="A124" s="860" t="s">
        <v>1046</v>
      </c>
      <c r="B124" s="876">
        <v>0</v>
      </c>
      <c r="C124" s="876">
        <v>0</v>
      </c>
      <c r="D124" s="876">
        <v>0</v>
      </c>
      <c r="E124" s="876">
        <v>0</v>
      </c>
      <c r="F124" s="876">
        <v>0</v>
      </c>
      <c r="G124" s="876">
        <v>0</v>
      </c>
      <c r="H124" s="876">
        <v>0</v>
      </c>
      <c r="I124" s="876">
        <v>0</v>
      </c>
      <c r="J124" s="876">
        <v>0</v>
      </c>
      <c r="K124" s="876">
        <v>2.257</v>
      </c>
      <c r="L124" s="876">
        <v>0</v>
      </c>
      <c r="M124" s="876">
        <v>639</v>
      </c>
      <c r="N124" s="876">
        <v>0</v>
      </c>
      <c r="O124" s="876">
        <v>0</v>
      </c>
      <c r="P124" s="876">
        <v>-409</v>
      </c>
      <c r="Q124" s="876">
        <v>0</v>
      </c>
      <c r="R124" s="876">
        <v>0</v>
      </c>
      <c r="S124" s="876">
        <v>0</v>
      </c>
      <c r="T124" s="876">
        <v>0</v>
      </c>
      <c r="U124" s="876">
        <v>0</v>
      </c>
      <c r="V124" s="876">
        <v>-300</v>
      </c>
      <c r="W124" s="876">
        <v>-301</v>
      </c>
      <c r="X124" s="876">
        <v>-218</v>
      </c>
      <c r="Y124" s="882">
        <v>0</v>
      </c>
      <c r="Z124" s="882">
        <v>0</v>
      </c>
      <c r="AA124" s="882">
        <v>0</v>
      </c>
      <c r="AB124" s="911">
        <v>0</v>
      </c>
      <c r="AC124" s="882">
        <v>0</v>
      </c>
      <c r="AD124" s="882">
        <v>0</v>
      </c>
      <c r="AE124" s="882">
        <v>0</v>
      </c>
      <c r="AF124" s="882">
        <v>0</v>
      </c>
      <c r="AG124" s="882">
        <v>0</v>
      </c>
      <c r="AH124" s="882">
        <v>0</v>
      </c>
      <c r="AI124" s="882">
        <v>0</v>
      </c>
      <c r="AJ124" s="882">
        <v>0</v>
      </c>
      <c r="AK124" s="882">
        <v>0</v>
      </c>
      <c r="AL124" s="882">
        <v>0</v>
      </c>
    </row>
    <row r="125" hidden="1" customHeight="1" spans="1:38">
      <c r="A125" s="860" t="s">
        <v>1047</v>
      </c>
      <c r="B125" s="876">
        <v>0</v>
      </c>
      <c r="C125" s="876">
        <v>0</v>
      </c>
      <c r="D125" s="876">
        <v>0</v>
      </c>
      <c r="E125" s="876">
        <v>0</v>
      </c>
      <c r="F125" s="876">
        <v>0</v>
      </c>
      <c r="G125" s="876">
        <v>0</v>
      </c>
      <c r="H125" s="876">
        <v>0</v>
      </c>
      <c r="I125" s="876">
        <v>0</v>
      </c>
      <c r="J125" s="876">
        <v>0</v>
      </c>
      <c r="K125" s="876">
        <v>0</v>
      </c>
      <c r="L125" s="876">
        <v>0</v>
      </c>
      <c r="M125" s="876">
        <v>0</v>
      </c>
      <c r="N125" s="876">
        <v>0</v>
      </c>
      <c r="O125" s="876">
        <v>0</v>
      </c>
      <c r="P125" s="876">
        <v>0</v>
      </c>
      <c r="Q125" s="876">
        <v>0</v>
      </c>
      <c r="R125" s="876">
        <v>0</v>
      </c>
      <c r="S125" s="876">
        <v>0</v>
      </c>
      <c r="T125" s="876">
        <v>0</v>
      </c>
      <c r="U125" s="876">
        <v>0</v>
      </c>
      <c r="V125" s="876">
        <v>0</v>
      </c>
      <c r="W125" s="876">
        <v>0</v>
      </c>
      <c r="X125" s="876">
        <v>0</v>
      </c>
      <c r="Y125" s="882">
        <v>0</v>
      </c>
      <c r="Z125" s="882">
        <v>0</v>
      </c>
      <c r="AA125" s="882">
        <v>0</v>
      </c>
      <c r="AB125" s="911">
        <v>0</v>
      </c>
      <c r="AC125" s="882">
        <v>0</v>
      </c>
      <c r="AD125" s="882">
        <v>0</v>
      </c>
      <c r="AE125" s="882">
        <v>0</v>
      </c>
      <c r="AF125" s="882">
        <v>0</v>
      </c>
      <c r="AG125" s="882">
        <v>0</v>
      </c>
      <c r="AH125" s="882">
        <v>0</v>
      </c>
      <c r="AI125" s="882">
        <v>0</v>
      </c>
      <c r="AJ125" s="882">
        <v>0</v>
      </c>
      <c r="AK125" s="882">
        <v>0</v>
      </c>
      <c r="AL125" s="882">
        <v>0</v>
      </c>
    </row>
    <row r="126" hidden="1" customHeight="1" spans="1:38">
      <c r="A126" s="860" t="s">
        <v>1048</v>
      </c>
      <c r="B126" s="876">
        <v>0</v>
      </c>
      <c r="C126" s="876">
        <v>0</v>
      </c>
      <c r="D126" s="876">
        <v>0</v>
      </c>
      <c r="E126" s="876">
        <v>0</v>
      </c>
      <c r="F126" s="876">
        <v>0</v>
      </c>
      <c r="G126" s="876">
        <v>0</v>
      </c>
      <c r="H126" s="876">
        <v>0</v>
      </c>
      <c r="I126" s="876">
        <v>0</v>
      </c>
      <c r="J126" s="876">
        <v>0</v>
      </c>
      <c r="K126" s="876">
        <v>-5.022</v>
      </c>
      <c r="L126" s="876">
        <v>0</v>
      </c>
      <c r="M126" s="876">
        <v>0</v>
      </c>
      <c r="N126" s="876">
        <v>0</v>
      </c>
      <c r="O126" s="876">
        <v>0</v>
      </c>
      <c r="P126" s="876">
        <v>0</v>
      </c>
      <c r="Q126" s="876">
        <v>0</v>
      </c>
      <c r="R126" s="876">
        <v>0</v>
      </c>
      <c r="S126" s="876">
        <v>0</v>
      </c>
      <c r="T126" s="876">
        <v>-8</v>
      </c>
      <c r="U126" s="876">
        <v>0</v>
      </c>
      <c r="V126" s="876">
        <v>0</v>
      </c>
      <c r="W126" s="876">
        <v>0</v>
      </c>
      <c r="X126" s="876">
        <v>-24</v>
      </c>
      <c r="Y126" s="882">
        <v>0</v>
      </c>
      <c r="Z126" s="882">
        <v>0</v>
      </c>
      <c r="AA126" s="882">
        <v>0</v>
      </c>
      <c r="AB126" s="911">
        <v>0</v>
      </c>
      <c r="AC126" s="882">
        <v>0</v>
      </c>
      <c r="AD126" s="882">
        <v>0</v>
      </c>
      <c r="AE126" s="882">
        <v>0</v>
      </c>
      <c r="AF126" s="882">
        <v>0</v>
      </c>
      <c r="AG126" s="882">
        <v>0</v>
      </c>
      <c r="AH126" s="882">
        <v>0</v>
      </c>
      <c r="AI126" s="882">
        <v>0</v>
      </c>
      <c r="AJ126" s="882">
        <v>0</v>
      </c>
      <c r="AK126" s="882">
        <v>0</v>
      </c>
      <c r="AL126" s="882">
        <v>0</v>
      </c>
    </row>
    <row r="127" customHeight="1" spans="1:38">
      <c r="A127" s="860" t="s">
        <v>1049</v>
      </c>
      <c r="B127" s="876"/>
      <c r="C127" s="876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  <c r="O127" s="876"/>
      <c r="P127" s="876"/>
      <c r="Q127" s="876"/>
      <c r="R127" s="876"/>
      <c r="S127" s="876"/>
      <c r="T127" s="876">
        <v>496</v>
      </c>
      <c r="U127" s="876">
        <v>0</v>
      </c>
      <c r="V127" s="876"/>
      <c r="W127" s="876"/>
      <c r="X127" s="876"/>
      <c r="Y127" s="882"/>
      <c r="Z127" s="882"/>
      <c r="AA127" s="882"/>
      <c r="AB127" s="911">
        <v>1490</v>
      </c>
      <c r="AC127" s="882">
        <v>-600</v>
      </c>
      <c r="AD127" s="882">
        <v>0</v>
      </c>
      <c r="AE127" s="882">
        <v>0</v>
      </c>
      <c r="AF127" s="882"/>
      <c r="AG127" s="882">
        <v>0</v>
      </c>
      <c r="AH127" s="882"/>
      <c r="AI127" s="882"/>
      <c r="AJ127" s="882"/>
      <c r="AK127" s="882"/>
      <c r="AL127" s="882"/>
    </row>
    <row r="128" hidden="1" customHeight="1" spans="1:38">
      <c r="A128" s="860" t="s">
        <v>1050</v>
      </c>
      <c r="B128" s="876">
        <v>0</v>
      </c>
      <c r="C128" s="876">
        <v>0</v>
      </c>
      <c r="D128" s="876">
        <v>0</v>
      </c>
      <c r="E128" s="876">
        <v>0</v>
      </c>
      <c r="F128" s="876">
        <v>0</v>
      </c>
      <c r="G128" s="876">
        <v>0</v>
      </c>
      <c r="H128" s="876">
        <v>0</v>
      </c>
      <c r="I128" s="876">
        <v>0</v>
      </c>
      <c r="J128" s="876">
        <v>0</v>
      </c>
      <c r="K128" s="876">
        <v>0</v>
      </c>
      <c r="L128" s="876">
        <v>0</v>
      </c>
      <c r="M128" s="876">
        <v>0</v>
      </c>
      <c r="N128" s="876">
        <v>0</v>
      </c>
      <c r="O128" s="876">
        <v>0</v>
      </c>
      <c r="P128" s="876">
        <v>0</v>
      </c>
      <c r="Q128" s="876">
        <v>0</v>
      </c>
      <c r="R128" s="876">
        <v>0</v>
      </c>
      <c r="S128" s="876">
        <v>0</v>
      </c>
      <c r="T128" s="876">
        <v>0</v>
      </c>
      <c r="U128" s="876">
        <v>0</v>
      </c>
      <c r="V128" s="876">
        <v>0</v>
      </c>
      <c r="W128" s="876">
        <v>0</v>
      </c>
      <c r="X128" s="887">
        <v>0</v>
      </c>
      <c r="Y128" s="882">
        <v>0</v>
      </c>
      <c r="Z128" s="882">
        <v>0</v>
      </c>
      <c r="AA128" s="882">
        <v>0</v>
      </c>
      <c r="AB128" s="911">
        <v>0</v>
      </c>
      <c r="AC128" s="882">
        <v>0</v>
      </c>
      <c r="AD128" s="882">
        <v>0</v>
      </c>
      <c r="AE128" s="882">
        <v>0</v>
      </c>
      <c r="AF128" s="882">
        <v>0</v>
      </c>
      <c r="AG128" s="882">
        <v>0</v>
      </c>
      <c r="AH128" s="882">
        <v>0</v>
      </c>
      <c r="AI128" s="882">
        <v>0</v>
      </c>
      <c r="AJ128" s="882">
        <v>0</v>
      </c>
      <c r="AK128" s="882">
        <v>0</v>
      </c>
      <c r="AL128" s="882">
        <v>0</v>
      </c>
    </row>
    <row r="129" customHeight="1" spans="1:47">
      <c r="A129" s="860" t="s">
        <v>1051</v>
      </c>
      <c r="B129" s="876">
        <v>0</v>
      </c>
      <c r="C129" s="876">
        <v>0</v>
      </c>
      <c r="D129" s="876">
        <v>0</v>
      </c>
      <c r="E129" s="876">
        <v>0</v>
      </c>
      <c r="F129" s="876">
        <v>0</v>
      </c>
      <c r="G129" s="876">
        <v>0</v>
      </c>
      <c r="H129" s="876">
        <v>0</v>
      </c>
      <c r="I129" s="876">
        <v>0</v>
      </c>
      <c r="J129" s="876">
        <v>0</v>
      </c>
      <c r="K129" s="876">
        <v>0</v>
      </c>
      <c r="L129" s="876">
        <v>185.848</v>
      </c>
      <c r="M129" s="876">
        <v>-186</v>
      </c>
      <c r="N129" s="876">
        <v>0</v>
      </c>
      <c r="O129" s="876">
        <v>0</v>
      </c>
      <c r="P129" s="876">
        <v>0</v>
      </c>
      <c r="Q129" s="876">
        <v>0</v>
      </c>
      <c r="R129" s="876">
        <v>0</v>
      </c>
      <c r="S129" s="876">
        <v>-273</v>
      </c>
      <c r="T129" s="876">
        <v>-231</v>
      </c>
      <c r="U129" s="876">
        <f>-221+67</f>
        <v>-154</v>
      </c>
      <c r="V129" s="876">
        <f>-56+68</f>
        <v>12</v>
      </c>
      <c r="W129" s="876">
        <f>-103+35</f>
        <v>-68</v>
      </c>
      <c r="X129" s="876">
        <f>-138+150</f>
        <v>12</v>
      </c>
      <c r="Y129" s="882">
        <f>Y46-X46</f>
        <v>-499</v>
      </c>
      <c r="Z129" s="882">
        <f>-49+9</f>
        <v>-40</v>
      </c>
      <c r="AA129" s="882">
        <v>-42</v>
      </c>
      <c r="AB129" s="911">
        <v>0</v>
      </c>
      <c r="AC129" s="882">
        <v>0</v>
      </c>
      <c r="AD129" s="882">
        <v>0</v>
      </c>
      <c r="AE129" s="882">
        <v>0</v>
      </c>
      <c r="AF129" s="882">
        <f t="shared" ref="AF129:AL129" si="248">AF46-AE46</f>
        <v>21</v>
      </c>
      <c r="AG129" s="882">
        <v>166</v>
      </c>
      <c r="AH129" s="882">
        <f t="shared" si="248"/>
        <v>0</v>
      </c>
      <c r="AI129" s="882">
        <f t="shared" si="248"/>
        <v>0</v>
      </c>
      <c r="AJ129" s="882">
        <f t="shared" si="248"/>
        <v>0</v>
      </c>
      <c r="AK129" s="882">
        <f t="shared" si="248"/>
        <v>0</v>
      </c>
      <c r="AL129" s="882">
        <f t="shared" si="248"/>
        <v>0</v>
      </c>
      <c r="AM129" s="876"/>
    </row>
    <row r="130" customHeight="1" spans="1:47">
      <c r="A130" s="860" t="s">
        <v>1052</v>
      </c>
      <c r="B130" s="876">
        <v>0</v>
      </c>
      <c r="C130" s="876">
        <v>9.76838649999999</v>
      </c>
      <c r="D130" s="876">
        <v>-13.0529777</v>
      </c>
      <c r="E130" s="876">
        <v>534.9261504</v>
      </c>
      <c r="F130" s="876">
        <v>724.4410293</v>
      </c>
      <c r="G130" s="876">
        <v>-145.541</v>
      </c>
      <c r="H130" s="876">
        <v>204.484</v>
      </c>
      <c r="I130" s="876">
        <v>-135.95</v>
      </c>
      <c r="J130" s="876">
        <v>-166.225</v>
      </c>
      <c r="K130" s="876">
        <v>-225.633</v>
      </c>
      <c r="L130" s="876">
        <v>-367.078</v>
      </c>
      <c r="M130" s="876">
        <v>106</v>
      </c>
      <c r="N130" s="876">
        <v>1099</v>
      </c>
      <c r="O130" s="876">
        <v>-424</v>
      </c>
      <c r="P130" s="876">
        <f>588-186</f>
        <v>402</v>
      </c>
      <c r="Q130" s="876">
        <f>-508-404</f>
        <v>-912</v>
      </c>
      <c r="R130" s="876">
        <f>33-198</f>
        <v>-165</v>
      </c>
      <c r="S130" s="876">
        <v>-57</v>
      </c>
      <c r="T130" s="876">
        <f>-3</f>
        <v>-3</v>
      </c>
      <c r="U130" s="876">
        <f>0-2</f>
        <v>-2</v>
      </c>
      <c r="V130" s="876">
        <f>990-500</f>
        <v>490</v>
      </c>
      <c r="W130" s="876">
        <f>-10-2</f>
        <v>-12</v>
      </c>
      <c r="X130" s="913">
        <v>-3</v>
      </c>
      <c r="Y130" s="882">
        <f>Y53-X53</f>
        <v>1</v>
      </c>
      <c r="Z130" s="914">
        <v>141</v>
      </c>
      <c r="AA130" s="914">
        <v>0</v>
      </c>
      <c r="AB130" s="914">
        <v>0</v>
      </c>
      <c r="AC130" s="914">
        <v>0</v>
      </c>
      <c r="AD130" s="914">
        <v>994</v>
      </c>
      <c r="AE130" s="914">
        <v>-500</v>
      </c>
      <c r="AF130" s="914">
        <v>-500</v>
      </c>
      <c r="AG130" s="914">
        <v>-500</v>
      </c>
      <c r="AH130" s="914">
        <v>0</v>
      </c>
      <c r="AI130" s="914">
        <v>0</v>
      </c>
      <c r="AJ130" s="914">
        <v>0</v>
      </c>
      <c r="AK130" s="914">
        <v>0</v>
      </c>
      <c r="AL130" s="914">
        <v>0</v>
      </c>
      <c r="AM130" s="915"/>
    </row>
    <row r="131" hidden="1" customHeight="1" spans="1:47">
      <c r="A131" s="860" t="s">
        <v>1053</v>
      </c>
      <c r="B131" s="876">
        <v>0</v>
      </c>
      <c r="C131" s="876">
        <v>0</v>
      </c>
      <c r="D131" s="876">
        <v>0</v>
      </c>
      <c r="E131" s="876">
        <v>0</v>
      </c>
      <c r="F131" s="876">
        <v>0</v>
      </c>
      <c r="G131" s="876">
        <v>0</v>
      </c>
      <c r="H131" s="876">
        <v>0</v>
      </c>
      <c r="I131" s="876">
        <v>0</v>
      </c>
      <c r="J131" s="876">
        <v>0</v>
      </c>
      <c r="K131" s="876">
        <v>0</v>
      </c>
      <c r="L131" s="876">
        <v>0</v>
      </c>
      <c r="M131" s="876">
        <v>0</v>
      </c>
      <c r="N131" s="876">
        <v>0</v>
      </c>
      <c r="O131" s="876">
        <v>0</v>
      </c>
      <c r="P131" s="876">
        <v>0</v>
      </c>
      <c r="Q131" s="876">
        <v>0</v>
      </c>
      <c r="R131" s="876">
        <v>0</v>
      </c>
      <c r="S131" s="876">
        <v>0</v>
      </c>
      <c r="T131" s="876">
        <v>0</v>
      </c>
      <c r="U131" s="876">
        <v>0</v>
      </c>
      <c r="V131" s="876">
        <v>0</v>
      </c>
      <c r="W131" s="876">
        <v>0</v>
      </c>
      <c r="X131" s="876">
        <v>0</v>
      </c>
      <c r="Y131" s="876">
        <v>0</v>
      </c>
      <c r="Z131" s="876">
        <v>0</v>
      </c>
      <c r="AA131" s="876">
        <v>0</v>
      </c>
      <c r="AB131" s="916">
        <v>0</v>
      </c>
      <c r="AC131" s="876">
        <v>0</v>
      </c>
      <c r="AD131" s="876">
        <v>0</v>
      </c>
      <c r="AE131" s="876">
        <v>0</v>
      </c>
      <c r="AF131" s="876">
        <v>0</v>
      </c>
      <c r="AG131" s="876">
        <v>0</v>
      </c>
      <c r="AH131" s="876">
        <v>0</v>
      </c>
      <c r="AI131" s="876">
        <v>0</v>
      </c>
      <c r="AJ131" s="876">
        <v>0</v>
      </c>
      <c r="AK131" s="876">
        <v>0</v>
      </c>
      <c r="AL131" s="876">
        <v>0</v>
      </c>
    </row>
    <row r="132" customHeight="1" spans="1:47">
      <c r="A132" s="860" t="s">
        <v>1054</v>
      </c>
      <c r="B132" s="876">
        <v>0</v>
      </c>
      <c r="C132" s="876">
        <v>0</v>
      </c>
      <c r="D132" s="876">
        <v>0</v>
      </c>
      <c r="E132" s="876">
        <v>0</v>
      </c>
      <c r="F132" s="876">
        <v>0</v>
      </c>
      <c r="G132" s="876">
        <v>0</v>
      </c>
      <c r="H132" s="876">
        <v>0</v>
      </c>
      <c r="I132" s="876">
        <v>0</v>
      </c>
      <c r="J132" s="876">
        <v>0</v>
      </c>
      <c r="K132" s="876">
        <v>0</v>
      </c>
      <c r="L132" s="876">
        <f>-3.022+1.5</f>
        <v>-1.522</v>
      </c>
      <c r="M132" s="876">
        <f>20-2</f>
        <v>18</v>
      </c>
      <c r="N132" s="876">
        <v>6</v>
      </c>
      <c r="O132" s="876">
        <v>0</v>
      </c>
      <c r="P132" s="876">
        <v>0</v>
      </c>
      <c r="Q132" s="876">
        <v>0</v>
      </c>
      <c r="R132" s="876">
        <v>0</v>
      </c>
      <c r="S132" s="876">
        <v>0</v>
      </c>
      <c r="T132" s="876">
        <v>0</v>
      </c>
      <c r="U132" s="876">
        <v>0</v>
      </c>
      <c r="V132" s="876">
        <v>0</v>
      </c>
      <c r="W132" s="876">
        <v>0</v>
      </c>
      <c r="X132" s="876"/>
      <c r="Y132" s="876">
        <f t="shared" ref="Y132:AL132" si="249">+(Y59-X59)</f>
        <v>-49</v>
      </c>
      <c r="Z132" s="876">
        <f t="shared" si="249"/>
        <v>26</v>
      </c>
      <c r="AA132" s="876">
        <f t="shared" si="249"/>
        <v>30</v>
      </c>
      <c r="AB132" s="916">
        <f t="shared" si="249"/>
        <v>-225</v>
      </c>
      <c r="AC132" s="876">
        <f t="shared" si="249"/>
        <v>-152</v>
      </c>
      <c r="AD132" s="876">
        <f t="shared" si="249"/>
        <v>-72</v>
      </c>
      <c r="AE132" s="876">
        <f t="shared" si="249"/>
        <v>291</v>
      </c>
      <c r="AF132" s="876">
        <f t="shared" si="249"/>
        <v>216</v>
      </c>
      <c r="AG132" s="876">
        <f t="shared" si="249"/>
        <v>40</v>
      </c>
      <c r="AH132" s="876">
        <f t="shared" si="249"/>
        <v>0</v>
      </c>
      <c r="AI132" s="876">
        <f t="shared" si="249"/>
        <v>0</v>
      </c>
      <c r="AJ132" s="876">
        <f t="shared" si="249"/>
        <v>0</v>
      </c>
      <c r="AK132" s="876">
        <f t="shared" si="249"/>
        <v>0</v>
      </c>
      <c r="AL132" s="876">
        <f t="shared" si="249"/>
        <v>0</v>
      </c>
    </row>
    <row r="133" customHeight="1" spans="1:47">
      <c r="A133" s="860" t="s">
        <v>1055</v>
      </c>
      <c r="B133" s="876">
        <v>0</v>
      </c>
      <c r="C133" s="876">
        <v>-2.188364</v>
      </c>
      <c r="D133" s="876">
        <v>-4.6180616</v>
      </c>
      <c r="E133" s="876">
        <v>-6.3922726</v>
      </c>
      <c r="F133" s="876">
        <v>-4.6983357</v>
      </c>
      <c r="G133" s="876">
        <v>3.223</v>
      </c>
      <c r="H133" s="876">
        <v>2.278</v>
      </c>
      <c r="I133" s="876">
        <v>-51.349</v>
      </c>
      <c r="J133" s="876">
        <v>1.193</v>
      </c>
      <c r="K133" s="876">
        <v>0</v>
      </c>
      <c r="L133" s="876">
        <f>28.517-1.584</f>
        <v>26.933</v>
      </c>
      <c r="M133" s="876">
        <v>23</v>
      </c>
      <c r="N133" s="876">
        <v>-23</v>
      </c>
      <c r="O133" s="876">
        <v>0</v>
      </c>
      <c r="P133" s="876">
        <v>0</v>
      </c>
      <c r="Q133" s="876">
        <v>497</v>
      </c>
      <c r="R133" s="876">
        <v>0</v>
      </c>
      <c r="S133" s="876">
        <v>0</v>
      </c>
      <c r="T133" s="876">
        <v>0</v>
      </c>
      <c r="U133" s="876">
        <v>0</v>
      </c>
      <c r="V133" s="876">
        <v>0</v>
      </c>
      <c r="W133" s="876">
        <v>0</v>
      </c>
      <c r="X133" s="876">
        <v>0</v>
      </c>
      <c r="Y133" s="876">
        <v>183</v>
      </c>
      <c r="Z133" s="876">
        <f>410.38214+1</f>
        <v>411.38214</v>
      </c>
      <c r="AA133" s="876">
        <v>-192</v>
      </c>
      <c r="AB133" s="876">
        <v>41.9999999999997</v>
      </c>
      <c r="AC133" s="876">
        <f>AC136-AC108-AC118-AC122-AC123-AC127-AC132-AC135</f>
        <v>-216</v>
      </c>
      <c r="AD133" s="876">
        <f>AD136-AD108-AD118-AD122-AD123-AD127-AD132-AD135-AD130</f>
        <v>-652</v>
      </c>
      <c r="AE133" s="876">
        <f>AE136-AE108-AE118-AE122-AE123-AE127-AE132-AE135-AE130-AE129</f>
        <v>-570.000000000017</v>
      </c>
      <c r="AF133" s="876">
        <v>-515</v>
      </c>
      <c r="AG133" s="876">
        <v>191</v>
      </c>
      <c r="AH133" s="876">
        <v>0</v>
      </c>
      <c r="AI133" s="876">
        <v>0</v>
      </c>
      <c r="AJ133" s="876">
        <v>0</v>
      </c>
      <c r="AK133" s="876">
        <v>0</v>
      </c>
      <c r="AL133" s="876">
        <v>0</v>
      </c>
    </row>
    <row r="134" customHeight="1" spans="1:47">
      <c r="A134" s="884" t="s">
        <v>1056</v>
      </c>
      <c r="B134" s="885">
        <v>0</v>
      </c>
      <c r="C134" s="885">
        <f t="shared" ref="C134:S134" si="250">C121+C122+C124+C125+C126+C128+C129+C130+C131+C132+C133</f>
        <v>7.58002249999999</v>
      </c>
      <c r="D134" s="885">
        <f t="shared" si="250"/>
        <v>-23.4681587</v>
      </c>
      <c r="E134" s="885">
        <f t="shared" si="250"/>
        <v>503.0281886</v>
      </c>
      <c r="F134" s="885">
        <f t="shared" si="250"/>
        <v>681.4426936</v>
      </c>
      <c r="G134" s="885">
        <f t="shared" si="250"/>
        <v>-180.576</v>
      </c>
      <c r="H134" s="885">
        <f t="shared" si="250"/>
        <v>165.026</v>
      </c>
      <c r="I134" s="885">
        <f t="shared" si="250"/>
        <v>-229.02</v>
      </c>
      <c r="J134" s="885">
        <f t="shared" si="250"/>
        <v>-206.753</v>
      </c>
      <c r="K134" s="885">
        <f t="shared" si="250"/>
        <v>-273.821</v>
      </c>
      <c r="L134" s="885">
        <f t="shared" si="250"/>
        <v>-205.358</v>
      </c>
      <c r="M134" s="885">
        <f t="shared" si="250"/>
        <v>537</v>
      </c>
      <c r="N134" s="885">
        <f t="shared" si="250"/>
        <v>1012</v>
      </c>
      <c r="O134" s="885">
        <f t="shared" si="250"/>
        <v>-510</v>
      </c>
      <c r="P134" s="885">
        <f t="shared" si="250"/>
        <v>-106</v>
      </c>
      <c r="Q134" s="885">
        <f t="shared" si="250"/>
        <v>-512</v>
      </c>
      <c r="R134" s="885">
        <f t="shared" si="250"/>
        <v>-238</v>
      </c>
      <c r="S134" s="885">
        <f t="shared" si="250"/>
        <v>-500</v>
      </c>
      <c r="T134" s="885">
        <f t="shared" ref="T134:Z134" si="251">T121+T122+T124+T125+T126+T127+T128+T129+T130+T131+T132+T133</f>
        <v>42</v>
      </c>
      <c r="U134" s="885">
        <f t="shared" si="251"/>
        <v>-439</v>
      </c>
      <c r="V134" s="885">
        <f t="shared" si="251"/>
        <v>-116</v>
      </c>
      <c r="W134" s="885">
        <f t="shared" si="251"/>
        <v>-690</v>
      </c>
      <c r="X134" s="885">
        <f t="shared" si="251"/>
        <v>-555</v>
      </c>
      <c r="Y134" s="885">
        <f t="shared" si="251"/>
        <v>-769</v>
      </c>
      <c r="Z134" s="885">
        <f t="shared" si="251"/>
        <v>10.0000000000001</v>
      </c>
      <c r="AA134" s="885">
        <f>AA121+AA122+AA124+AA125+AA126+AA127+AA128+AA129+AA130+AA131+AA132+AA133+AA123</f>
        <v>-1465</v>
      </c>
      <c r="AB134" s="885">
        <f>AB121+AB122+AB124+AB125+AB126+AB127+AB128+AB129+AB130+AB131+AB132+AB133+AB123</f>
        <v>725</v>
      </c>
      <c r="AC134" s="885">
        <f t="shared" ref="AC134:AF134" si="252">AC121+AC122+AC124+AC125+AC126+AC127+AC128+AC129+AC130+AC131+AC132+AC133+AC123</f>
        <v>-2125</v>
      </c>
      <c r="AD134" s="885">
        <f t="shared" si="252"/>
        <v>-971</v>
      </c>
      <c r="AE134" s="885">
        <f t="shared" si="252"/>
        <v>-1507.00000000002</v>
      </c>
      <c r="AF134" s="885">
        <f t="shared" si="252"/>
        <v>-1559</v>
      </c>
      <c r="AG134" s="885">
        <f t="shared" ref="AG134:AH134" si="253">AG121+AG122+AG124+AG125+AG126+AG127+AG128+AG129+AG130+AG131+AG132+AG133+AG123</f>
        <v>-1103</v>
      </c>
      <c r="AH134" s="885">
        <f t="shared" si="253"/>
        <v>-1187.992</v>
      </c>
      <c r="AI134" s="885">
        <f t="shared" ref="AI134:AJ134" si="254">AI121+AI122+AI124+AI125+AI126+AI127+AI128+AI129+AI130+AI131+AI132+AI133+AI123</f>
        <v>-1343.35285998498</v>
      </c>
      <c r="AJ134" s="885">
        <f t="shared" si="254"/>
        <v>-1518.8264762012</v>
      </c>
      <c r="AK134" s="885">
        <f t="shared" ref="AK134:AL134" si="255">AK121+AK122+AK124+AK125+AK126+AK127+AK128+AK129+AK130+AK131+AK132+AK133+AK123</f>
        <v>-1642.6170533521</v>
      </c>
      <c r="AL134" s="885">
        <f t="shared" si="255"/>
        <v>-1753.66484545289</v>
      </c>
    </row>
    <row r="135" customHeight="1" spans="1:47">
      <c r="A135" s="860" t="s">
        <v>1057</v>
      </c>
      <c r="B135" s="890"/>
      <c r="C135" s="890"/>
      <c r="D135" s="890"/>
      <c r="E135" s="890"/>
      <c r="F135" s="890"/>
      <c r="G135" s="890"/>
      <c r="H135" s="890"/>
      <c r="I135" s="890"/>
      <c r="J135" s="890"/>
      <c r="K135" s="890"/>
      <c r="M135" s="876"/>
      <c r="N135" s="876"/>
      <c r="O135" s="876">
        <v>-1</v>
      </c>
      <c r="P135" s="876">
        <v>2</v>
      </c>
      <c r="Q135" s="876">
        <v>7</v>
      </c>
      <c r="R135" s="876">
        <v>55</v>
      </c>
      <c r="S135" s="876">
        <v>15</v>
      </c>
      <c r="T135" s="876">
        <v>-3</v>
      </c>
      <c r="U135" s="876">
        <v>-35</v>
      </c>
      <c r="V135" s="876">
        <v>50</v>
      </c>
      <c r="W135" s="876">
        <v>-126</v>
      </c>
      <c r="X135" s="876">
        <v>-35</v>
      </c>
      <c r="Y135" s="876">
        <v>-111</v>
      </c>
      <c r="Z135" s="876">
        <v>-29</v>
      </c>
      <c r="AA135" s="876">
        <v>-30</v>
      </c>
      <c r="AB135" s="876">
        <v>-75</v>
      </c>
      <c r="AC135" s="876">
        <v>57</v>
      </c>
      <c r="AD135" s="876">
        <v>-19</v>
      </c>
      <c r="AE135" s="876">
        <v>-40</v>
      </c>
      <c r="AF135" s="876">
        <v>29</v>
      </c>
      <c r="AG135" s="876">
        <v>-82</v>
      </c>
      <c r="AH135" s="876"/>
      <c r="AI135" s="876"/>
      <c r="AJ135" s="876"/>
      <c r="AK135" s="876"/>
      <c r="AL135" s="876"/>
    </row>
    <row r="136" customHeight="1" spans="1:47">
      <c r="A136" s="884" t="s">
        <v>1058</v>
      </c>
      <c r="B136" s="885"/>
      <c r="C136" s="885">
        <f t="shared" ref="C136:N136" si="256">C134+C118+C108</f>
        <v>1.10236279999997</v>
      </c>
      <c r="D136" s="885">
        <f t="shared" si="256"/>
        <v>22.0579933</v>
      </c>
      <c r="E136" s="885">
        <f t="shared" si="256"/>
        <v>3.56845739999992</v>
      </c>
      <c r="F136" s="885">
        <f t="shared" si="256"/>
        <v>-341.172548</v>
      </c>
      <c r="G136" s="885">
        <f t="shared" si="256"/>
        <v>35.2690000000001</v>
      </c>
      <c r="H136" s="885">
        <f t="shared" si="256"/>
        <v>60.5980000000001</v>
      </c>
      <c r="I136" s="885">
        <f t="shared" si="256"/>
        <v>1.2890000000001</v>
      </c>
      <c r="J136" s="885">
        <f t="shared" si="256"/>
        <v>16.3050000000001</v>
      </c>
      <c r="K136" s="885">
        <f t="shared" si="256"/>
        <v>133.048</v>
      </c>
      <c r="L136" s="885">
        <f t="shared" si="256"/>
        <v>7.23380000000009</v>
      </c>
      <c r="M136" s="885">
        <f t="shared" si="256"/>
        <v>1328.988</v>
      </c>
      <c r="N136" s="885">
        <f t="shared" si="256"/>
        <v>-1214</v>
      </c>
      <c r="O136" s="885">
        <f t="shared" ref="O136:U136" si="257">O134+O118+O108+O135</f>
        <v>-17</v>
      </c>
      <c r="P136" s="885">
        <f t="shared" si="257"/>
        <v>-51</v>
      </c>
      <c r="Q136" s="885">
        <f t="shared" si="257"/>
        <v>732</v>
      </c>
      <c r="R136" s="885">
        <f t="shared" si="257"/>
        <v>812</v>
      </c>
      <c r="S136" s="885">
        <f t="shared" si="257"/>
        <v>-197</v>
      </c>
      <c r="T136" s="885">
        <f t="shared" si="257"/>
        <v>727</v>
      </c>
      <c r="U136" s="885">
        <f t="shared" si="257"/>
        <v>-91</v>
      </c>
      <c r="V136" s="885">
        <f t="shared" ref="V136:AB136" si="258">V134+V118+V108+V135</f>
        <v>29</v>
      </c>
      <c r="W136" s="885">
        <f t="shared" si="258"/>
        <v>-486</v>
      </c>
      <c r="X136" s="885">
        <f t="shared" si="258"/>
        <v>-402</v>
      </c>
      <c r="Y136" s="885">
        <f t="shared" si="258"/>
        <v>88</v>
      </c>
      <c r="Z136" s="885">
        <f t="shared" si="258"/>
        <v>1031</v>
      </c>
      <c r="AA136" s="885">
        <f t="shared" si="258"/>
        <v>-410</v>
      </c>
      <c r="AB136" s="885">
        <f t="shared" si="258"/>
        <v>1774</v>
      </c>
      <c r="AC136" s="885">
        <f>AC7-AB7</f>
        <v>-166</v>
      </c>
      <c r="AD136" s="885">
        <f>AD7-AC7</f>
        <v>-3030</v>
      </c>
      <c r="AE136" s="885">
        <f>AE7-AD7</f>
        <v>633</v>
      </c>
      <c r="AF136" s="885">
        <f t="shared" ref="AF136:AH136" si="259">AF134+AF118+AF108+AF135</f>
        <v>1023.99999999999</v>
      </c>
      <c r="AG136" s="885">
        <f t="shared" si="259"/>
        <v>-837.999999999999</v>
      </c>
      <c r="AH136" s="885">
        <f t="shared" si="259"/>
        <v>-5.36590994875178</v>
      </c>
      <c r="AI136" s="885">
        <f t="shared" ref="AI136:AJ136" si="260">AI134+AI118+AI108+AI135</f>
        <v>49.2910520870514</v>
      </c>
      <c r="AJ136" s="885">
        <f t="shared" si="260"/>
        <v>265.053935030322</v>
      </c>
      <c r="AK136" s="885">
        <f t="shared" ref="AK136:AL136" si="261">AK134+AK118+AK108+AK135</f>
        <v>417.343433719892</v>
      </c>
      <c r="AL136" s="885">
        <f t="shared" si="261"/>
        <v>377.319034598479</v>
      </c>
      <c r="AM136" s="878"/>
      <c r="AN136" s="878"/>
      <c r="AO136" s="878"/>
      <c r="AP136" s="878"/>
      <c r="AQ136" s="878"/>
      <c r="AR136" s="878"/>
      <c r="AS136" s="878"/>
      <c r="AT136" s="878"/>
      <c r="AU136" s="878"/>
    </row>
    <row r="137" customHeight="1" spans="1:47">
      <c r="A137" s="860" t="s">
        <v>1059</v>
      </c>
      <c r="B137" s="876"/>
      <c r="C137" s="876">
        <f t="shared" ref="C137:M137" si="262">B7</f>
        <v>19.7765727</v>
      </c>
      <c r="D137" s="876">
        <f t="shared" si="262"/>
        <v>20.86104</v>
      </c>
      <c r="E137" s="876">
        <f t="shared" si="262"/>
        <v>42.9369288</v>
      </c>
      <c r="F137" s="876">
        <f t="shared" si="262"/>
        <v>32.5053862</v>
      </c>
      <c r="G137" s="876">
        <f t="shared" si="262"/>
        <v>51.8396844</v>
      </c>
      <c r="H137" s="876">
        <f t="shared" si="262"/>
        <v>69</v>
      </c>
      <c r="I137" s="876">
        <f t="shared" si="262"/>
        <v>104.706</v>
      </c>
      <c r="J137" s="876">
        <f t="shared" si="262"/>
        <v>85</v>
      </c>
      <c r="K137" s="876">
        <f t="shared" si="262"/>
        <v>67.455</v>
      </c>
      <c r="L137" s="876">
        <f t="shared" si="262"/>
        <v>189.503</v>
      </c>
      <c r="M137" s="876">
        <f t="shared" si="262"/>
        <v>454.947</v>
      </c>
      <c r="N137" s="876">
        <f t="shared" ref="N137:S137" si="263">M138</f>
        <v>0</v>
      </c>
      <c r="O137" s="876">
        <f t="shared" si="263"/>
        <v>0</v>
      </c>
      <c r="P137" s="876">
        <f t="shared" si="263"/>
        <v>0</v>
      </c>
      <c r="Q137" s="876">
        <f t="shared" si="263"/>
        <v>0</v>
      </c>
      <c r="R137" s="876">
        <f t="shared" si="263"/>
        <v>0</v>
      </c>
      <c r="S137" s="876">
        <f t="shared" si="263"/>
        <v>0</v>
      </c>
      <c r="T137" s="876">
        <f>T178</f>
        <v>-183</v>
      </c>
      <c r="U137" s="876">
        <f t="shared" ref="U137:AD137" si="264">U178</f>
        <v>-253</v>
      </c>
      <c r="V137" s="876">
        <f t="shared" si="264"/>
        <v>189</v>
      </c>
      <c r="W137" s="876">
        <f t="shared" si="264"/>
        <v>464</v>
      </c>
      <c r="X137" s="876">
        <f t="shared" si="264"/>
        <v>108</v>
      </c>
      <c r="Y137" s="876">
        <f t="shared" si="264"/>
        <v>-478</v>
      </c>
      <c r="Z137" s="876">
        <f t="shared" si="264"/>
        <v>-959</v>
      </c>
      <c r="AA137" s="876">
        <f t="shared" si="264"/>
        <v>-874</v>
      </c>
      <c r="AB137" s="876">
        <f t="shared" si="264"/>
        <v>-826</v>
      </c>
      <c r="AC137" s="876">
        <f t="shared" si="264"/>
        <v>-1333</v>
      </c>
      <c r="AD137" s="876">
        <f t="shared" si="264"/>
        <v>2675</v>
      </c>
      <c r="AE137" s="876">
        <f t="shared" ref="AE137" si="265">AE178</f>
        <v>1548</v>
      </c>
      <c r="AF137" s="876">
        <f t="shared" ref="AF137:AG137" si="266">AF178</f>
        <v>30</v>
      </c>
      <c r="AG137" s="876">
        <f t="shared" si="266"/>
        <v>1024</v>
      </c>
      <c r="AH137" s="876">
        <f t="shared" ref="AH137:AI137" si="267">AH178</f>
        <v>1029.36590994875</v>
      </c>
      <c r="AI137" s="876">
        <f t="shared" si="267"/>
        <v>980.0748578617</v>
      </c>
      <c r="AJ137" s="876">
        <f t="shared" ref="AJ137:AK137" si="268">AJ178</f>
        <v>715.020922831378</v>
      </c>
      <c r="AK137" s="876">
        <f t="shared" si="268"/>
        <v>297.677489111486</v>
      </c>
      <c r="AL137" s="876">
        <f t="shared" ref="AL137" si="269">AL178</f>
        <v>-79.6415454869939</v>
      </c>
      <c r="AN137" s="876"/>
    </row>
    <row r="138" customHeight="1" spans="1:47">
      <c r="A138" s="860" t="s">
        <v>1060</v>
      </c>
      <c r="C138" s="917"/>
      <c r="D138" s="917"/>
      <c r="E138" s="917"/>
      <c r="F138" s="917"/>
      <c r="G138" s="917"/>
      <c r="H138" s="917"/>
      <c r="I138" s="917"/>
      <c r="J138" s="917"/>
      <c r="K138" s="917"/>
      <c r="L138" s="917"/>
      <c r="M138" s="917"/>
      <c r="N138" s="917"/>
      <c r="O138" s="917"/>
      <c r="P138" s="917"/>
      <c r="Q138" s="917"/>
      <c r="R138" s="917"/>
      <c r="S138" s="917"/>
      <c r="T138" s="917"/>
      <c r="U138" s="917"/>
      <c r="V138" s="917"/>
      <c r="W138" s="917"/>
      <c r="X138" s="917"/>
      <c r="Y138" s="868"/>
      <c r="Z138" s="871"/>
      <c r="AA138" s="876">
        <f t="shared" ref="AA138:AF138" si="270">AA137+AA48+AA58</f>
        <v>2259</v>
      </c>
      <c r="AB138" s="918">
        <f t="shared" si="270"/>
        <v>1896</v>
      </c>
      <c r="AC138" s="918">
        <v>2082</v>
      </c>
      <c r="AD138" s="918">
        <v>6047</v>
      </c>
      <c r="AE138" s="918">
        <f t="shared" si="270"/>
        <v>4132</v>
      </c>
      <c r="AF138" s="918">
        <f t="shared" si="270"/>
        <v>3132</v>
      </c>
      <c r="AG138" s="918">
        <f t="shared" ref="AG138:AH138" si="271">AG137+AG48+AG58</f>
        <v>3937</v>
      </c>
      <c r="AH138" s="918">
        <f t="shared" si="271"/>
        <v>3942.36590994875</v>
      </c>
      <c r="AI138" s="918">
        <f t="shared" ref="AI138:AJ138" si="272">AI137+AI48+AI58</f>
        <v>3893.0748578617</v>
      </c>
      <c r="AJ138" s="918">
        <f t="shared" si="272"/>
        <v>3628.02092283138</v>
      </c>
      <c r="AK138" s="918">
        <f t="shared" ref="AK138:AL138" si="273">AK137+AK48+AK58</f>
        <v>3210.67748911149</v>
      </c>
      <c r="AL138" s="918">
        <f t="shared" si="273"/>
        <v>2833.35845451301</v>
      </c>
    </row>
    <row r="139" customHeight="1" spans="1:47">
      <c r="C139" s="917"/>
      <c r="D139" s="917"/>
      <c r="E139" s="917"/>
      <c r="F139" s="917"/>
      <c r="G139" s="917"/>
      <c r="H139" s="917"/>
      <c r="I139" s="917"/>
      <c r="J139" s="917"/>
      <c r="K139" s="917"/>
      <c r="L139" s="917"/>
      <c r="M139" s="917"/>
      <c r="N139" s="917"/>
      <c r="O139" s="917"/>
      <c r="P139" s="917"/>
      <c r="Q139" s="917"/>
      <c r="R139" s="917"/>
      <c r="S139" s="917"/>
      <c r="T139" s="917"/>
      <c r="U139" s="917"/>
      <c r="V139" s="917"/>
      <c r="W139" s="917"/>
      <c r="X139" s="917"/>
      <c r="Y139" s="868"/>
      <c r="Z139" s="918"/>
      <c r="AA139" s="918"/>
      <c r="AB139" s="918"/>
      <c r="AC139" s="918"/>
      <c r="AD139" s="918"/>
      <c r="AE139" s="918"/>
      <c r="AF139" s="918"/>
      <c r="AG139" s="918">
        <f t="shared" ref="AG139:AI139" si="274">0.03*AG136</f>
        <v>-25.14</v>
      </c>
      <c r="AH139" s="918">
        <f t="shared" si="274"/>
        <v>-0.160977298462553</v>
      </c>
      <c r="AI139" s="918">
        <f t="shared" si="274"/>
        <v>1.47873156261154</v>
      </c>
      <c r="AJ139" s="918">
        <f t="shared" ref="AJ139:AK139" si="275">0.03*AJ136</f>
        <v>7.95161805090967</v>
      </c>
      <c r="AK139" s="918">
        <f t="shared" si="275"/>
        <v>12.5203030115968</v>
      </c>
      <c r="AL139" s="918">
        <f t="shared" ref="AL139" si="276">0.03*AL136</f>
        <v>11.3195710379544</v>
      </c>
    </row>
    <row r="140" customHeight="1" spans="1:47">
      <c r="A140" s="858" t="s">
        <v>1061</v>
      </c>
      <c r="N140" s="919"/>
      <c r="U140" s="891"/>
      <c r="V140" s="891"/>
      <c r="W140" s="891"/>
      <c r="Z140" s="868"/>
      <c r="AA140" s="920"/>
      <c r="AB140" s="868"/>
      <c r="AC140" s="921"/>
      <c r="AD140" s="921"/>
      <c r="AE140" s="921"/>
      <c r="AF140" s="917"/>
      <c r="AG140" s="922"/>
      <c r="AH140" s="922"/>
      <c r="AI140" s="922"/>
      <c r="AJ140" s="922"/>
      <c r="AK140" s="922"/>
      <c r="AL140" s="922"/>
    </row>
    <row r="141" customHeight="1" spans="1:47">
      <c r="M141" s="919"/>
      <c r="N141" s="919"/>
      <c r="AE141" s="923"/>
      <c r="AF141" s="923"/>
      <c r="AG141" s="923"/>
      <c r="AH141" s="923"/>
      <c r="AI141" s="923"/>
      <c r="AJ141" s="923"/>
      <c r="AK141" s="923"/>
    </row>
    <row r="142" customHeight="1" spans="1:47">
      <c r="A142" s="872" t="s">
        <v>1062</v>
      </c>
      <c r="B142" s="2132" t="str">
        <f t="shared" ref="B142:AF142" si="277">B1</f>
        <v>1994</v>
      </c>
      <c r="C142" s="2132" t="str">
        <f t="shared" si="277"/>
        <v>1995</v>
      </c>
      <c r="D142" s="2132" t="str">
        <f t="shared" si="277"/>
        <v>1996</v>
      </c>
      <c r="E142" s="2132" t="str">
        <f t="shared" si="277"/>
        <v>1997</v>
      </c>
      <c r="F142" s="2132" t="str">
        <f t="shared" si="277"/>
        <v>1998</v>
      </c>
      <c r="G142" s="2132" t="str">
        <f t="shared" si="277"/>
        <v>1999</v>
      </c>
      <c r="H142" s="2132" t="str">
        <f t="shared" si="277"/>
        <v>2000</v>
      </c>
      <c r="I142" s="2132" t="str">
        <f t="shared" si="277"/>
        <v>2001</v>
      </c>
      <c r="J142" s="2132" t="str">
        <f t="shared" si="277"/>
        <v>2002</v>
      </c>
      <c r="K142" s="2132" t="str">
        <f t="shared" si="277"/>
        <v>2003</v>
      </c>
      <c r="L142" s="2132" t="str">
        <f t="shared" si="277"/>
        <v>2004</v>
      </c>
      <c r="M142" s="2132" t="str">
        <f t="shared" si="277"/>
        <v>2005</v>
      </c>
      <c r="N142" s="2132" t="str">
        <f t="shared" si="277"/>
        <v>2006</v>
      </c>
      <c r="O142" s="863">
        <f t="shared" si="277"/>
        <v>2007</v>
      </c>
      <c r="P142" s="863">
        <f t="shared" si="277"/>
        <v>2008</v>
      </c>
      <c r="Q142" s="863">
        <f t="shared" si="277"/>
        <v>2009</v>
      </c>
      <c r="R142" s="863">
        <f t="shared" si="277"/>
        <v>2010</v>
      </c>
      <c r="S142" s="863">
        <f t="shared" si="277"/>
        <v>2011</v>
      </c>
      <c r="T142" s="863">
        <f t="shared" si="277"/>
        <v>2012</v>
      </c>
      <c r="U142" s="863">
        <f t="shared" si="277"/>
        <v>2013</v>
      </c>
      <c r="V142" s="863">
        <f t="shared" si="277"/>
        <v>2014</v>
      </c>
      <c r="W142" s="863">
        <f t="shared" si="277"/>
        <v>2015</v>
      </c>
      <c r="X142" s="863">
        <f t="shared" si="277"/>
        <v>2016</v>
      </c>
      <c r="Y142" s="863">
        <f t="shared" si="277"/>
        <v>2017</v>
      </c>
      <c r="Z142" s="863">
        <f t="shared" si="277"/>
        <v>2018</v>
      </c>
      <c r="AA142" s="863">
        <f t="shared" si="277"/>
        <v>2019</v>
      </c>
      <c r="AB142" s="863">
        <f t="shared" si="277"/>
        <v>2020</v>
      </c>
      <c r="AC142" s="863">
        <f t="shared" si="277"/>
        <v>2021</v>
      </c>
      <c r="AD142" s="863">
        <f t="shared" si="277"/>
        <v>2022</v>
      </c>
      <c r="AE142" s="863">
        <f t="shared" si="277"/>
        <v>2023</v>
      </c>
      <c r="AF142" s="863">
        <f t="shared" si="277"/>
        <v>2024</v>
      </c>
      <c r="AG142" s="863">
        <f t="shared" ref="AG142:AH142" si="278">AG1</f>
        <v>2025</v>
      </c>
      <c r="AH142" s="2132" t="str">
        <f t="shared" si="278"/>
        <v>2026E</v>
      </c>
      <c r="AI142" s="2132" t="str">
        <f t="shared" ref="AI142:AJ142" si="279">AI1</f>
        <v>2027E</v>
      </c>
      <c r="AJ142" s="2132" t="str">
        <f t="shared" si="279"/>
        <v>2028E</v>
      </c>
      <c r="AK142" s="2132" t="str">
        <f t="shared" ref="AK142:AL142" si="280">AK1</f>
        <v>2029E</v>
      </c>
      <c r="AL142" s="2132" t="str">
        <f t="shared" si="280"/>
        <v>2030E</v>
      </c>
    </row>
    <row r="143" customHeight="1" spans="1:47">
      <c r="A143" s="860" t="s">
        <v>602</v>
      </c>
      <c r="B143" s="918">
        <f t="shared" ref="B143:AF143" si="281">B12</f>
        <v>351.2677017</v>
      </c>
      <c r="C143" s="918">
        <f t="shared" si="281"/>
        <v>431.0259</v>
      </c>
      <c r="D143" s="918">
        <f t="shared" si="281"/>
        <v>556.3189424</v>
      </c>
      <c r="E143" s="918">
        <f t="shared" si="281"/>
        <v>821.1994413</v>
      </c>
      <c r="F143" s="918">
        <f t="shared" si="281"/>
        <v>974.5214384</v>
      </c>
      <c r="G143" s="918">
        <f t="shared" si="281"/>
        <v>1045</v>
      </c>
      <c r="H143" s="918">
        <f t="shared" si="281"/>
        <v>1294</v>
      </c>
      <c r="I143" s="918">
        <f t="shared" si="281"/>
        <v>1273</v>
      </c>
      <c r="J143" s="918">
        <f t="shared" si="281"/>
        <v>1190</v>
      </c>
      <c r="K143" s="918">
        <f t="shared" si="281"/>
        <v>1163.518</v>
      </c>
      <c r="L143" s="918">
        <f t="shared" si="281"/>
        <v>1155.374</v>
      </c>
      <c r="M143" s="918">
        <f t="shared" si="281"/>
        <v>1230</v>
      </c>
      <c r="N143" s="918">
        <f t="shared" si="281"/>
        <v>1607</v>
      </c>
      <c r="O143" s="918">
        <f t="shared" si="281"/>
        <v>1629</v>
      </c>
      <c r="P143" s="918">
        <f t="shared" si="281"/>
        <v>1995</v>
      </c>
      <c r="Q143" s="918">
        <f t="shared" si="281"/>
        <v>1471</v>
      </c>
      <c r="R143" s="918">
        <f t="shared" si="281"/>
        <v>2135</v>
      </c>
      <c r="S143" s="918">
        <f t="shared" si="281"/>
        <v>2502</v>
      </c>
      <c r="T143" s="918">
        <f t="shared" si="281"/>
        <v>2486</v>
      </c>
      <c r="U143" s="918">
        <f t="shared" si="281"/>
        <v>2634</v>
      </c>
      <c r="V143" s="918">
        <f t="shared" si="281"/>
        <v>2526</v>
      </c>
      <c r="W143" s="918">
        <f t="shared" si="281"/>
        <v>3113</v>
      </c>
      <c r="X143" s="918">
        <f t="shared" si="281"/>
        <v>3763</v>
      </c>
      <c r="Y143" s="918">
        <f t="shared" si="281"/>
        <v>3692</v>
      </c>
      <c r="Z143" s="918">
        <f t="shared" si="281"/>
        <v>3445</v>
      </c>
      <c r="AA143" s="918">
        <f t="shared" si="281"/>
        <v>4085</v>
      </c>
      <c r="AB143" s="918">
        <f t="shared" si="281"/>
        <v>4397</v>
      </c>
      <c r="AC143" s="918">
        <f t="shared" si="281"/>
        <v>4009</v>
      </c>
      <c r="AD143" s="918">
        <f t="shared" si="281"/>
        <v>5973</v>
      </c>
      <c r="AE143" s="918">
        <f t="shared" si="281"/>
        <v>4525</v>
      </c>
      <c r="AF143" s="918">
        <f t="shared" si="281"/>
        <v>4989</v>
      </c>
      <c r="AG143" s="918">
        <f t="shared" ref="AG143:AH143" si="282">AG12</f>
        <v>5832</v>
      </c>
      <c r="AH143" s="918">
        <f t="shared" si="282"/>
        <v>6023.51071669881</v>
      </c>
      <c r="AI143" s="918">
        <f t="shared" ref="AI143:AJ143" si="283">AI12</f>
        <v>6420.40318036455</v>
      </c>
      <c r="AJ143" s="918">
        <f t="shared" si="283"/>
        <v>6699.44501629495</v>
      </c>
      <c r="AK143" s="918">
        <f t="shared" ref="AK143:AL143" si="284">AK12</f>
        <v>6933.5230156495</v>
      </c>
      <c r="AL143" s="918">
        <f t="shared" si="284"/>
        <v>7347.1351921746</v>
      </c>
    </row>
    <row r="144" customHeight="1" spans="1:47">
      <c r="A144" s="860" t="s">
        <v>603</v>
      </c>
      <c r="B144" s="918">
        <f t="shared" ref="B144:AF144" si="285">B9</f>
        <v>242.6266777</v>
      </c>
      <c r="C144" s="918">
        <f t="shared" si="285"/>
        <v>287.75964</v>
      </c>
      <c r="D144" s="918">
        <f t="shared" si="285"/>
        <v>418.1447191</v>
      </c>
      <c r="E144" s="918">
        <f t="shared" si="285"/>
        <v>454.1652928</v>
      </c>
      <c r="F144" s="918">
        <f t="shared" si="285"/>
        <v>801.6585779</v>
      </c>
      <c r="G144" s="918">
        <f t="shared" si="285"/>
        <v>1033</v>
      </c>
      <c r="H144" s="918">
        <f t="shared" si="285"/>
        <v>1133</v>
      </c>
      <c r="I144" s="918">
        <f t="shared" si="285"/>
        <v>1253</v>
      </c>
      <c r="J144" s="918">
        <f t="shared" si="285"/>
        <v>1293</v>
      </c>
      <c r="K144" s="918">
        <f t="shared" si="285"/>
        <v>1075.092</v>
      </c>
      <c r="L144" s="918">
        <f t="shared" si="285"/>
        <v>1046.322</v>
      </c>
      <c r="M144" s="918">
        <f t="shared" si="285"/>
        <v>964.814</v>
      </c>
      <c r="N144" s="918">
        <f t="shared" si="285"/>
        <v>1451</v>
      </c>
      <c r="O144" s="918">
        <f t="shared" si="285"/>
        <v>1545</v>
      </c>
      <c r="P144" s="918">
        <f t="shared" si="285"/>
        <v>1765</v>
      </c>
      <c r="Q144" s="918">
        <f t="shared" si="285"/>
        <v>1504</v>
      </c>
      <c r="R144" s="918">
        <f t="shared" si="285"/>
        <v>1853</v>
      </c>
      <c r="S144" s="918">
        <f t="shared" si="285"/>
        <v>2060</v>
      </c>
      <c r="T144" s="918">
        <f t="shared" si="285"/>
        <v>1953</v>
      </c>
      <c r="U144" s="918">
        <f t="shared" si="285"/>
        <v>1850</v>
      </c>
      <c r="V144" s="918">
        <f t="shared" si="285"/>
        <v>1951</v>
      </c>
      <c r="W144" s="918">
        <f t="shared" si="285"/>
        <v>2054</v>
      </c>
      <c r="X144" s="918">
        <f t="shared" si="285"/>
        <v>2206</v>
      </c>
      <c r="Y144" s="918">
        <f t="shared" si="285"/>
        <v>2320</v>
      </c>
      <c r="Z144" s="918">
        <f t="shared" si="285"/>
        <v>2424</v>
      </c>
      <c r="AA144" s="918">
        <f t="shared" si="285"/>
        <v>2625</v>
      </c>
      <c r="AB144" s="918">
        <f t="shared" si="285"/>
        <v>1952</v>
      </c>
      <c r="AC144" s="918">
        <f t="shared" si="285"/>
        <v>2175</v>
      </c>
      <c r="AD144" s="918">
        <f t="shared" si="285"/>
        <v>2529</v>
      </c>
      <c r="AE144" s="918">
        <f t="shared" si="285"/>
        <v>1906</v>
      </c>
      <c r="AF144" s="918">
        <f t="shared" si="285"/>
        <v>2413</v>
      </c>
      <c r="AG144" s="918">
        <f t="shared" ref="AG144:AH144" si="286">AG9</f>
        <v>2634</v>
      </c>
      <c r="AH144" s="918">
        <f t="shared" si="286"/>
        <v>2880.50222343705</v>
      </c>
      <c r="AI144" s="918">
        <f t="shared" ref="AI144:AJ144" si="287">AI9</f>
        <v>3098.21193258859</v>
      </c>
      <c r="AJ144" s="918">
        <f t="shared" si="287"/>
        <v>3308.04850678964</v>
      </c>
      <c r="AK144" s="918">
        <f t="shared" ref="AK144:AL144" si="288">AK9</f>
        <v>3505.14645447599</v>
      </c>
      <c r="AL144" s="918">
        <f t="shared" si="288"/>
        <v>3714.24235720867</v>
      </c>
    </row>
    <row r="145" customHeight="1" spans="1:45">
      <c r="A145" s="860" t="s">
        <v>975</v>
      </c>
      <c r="B145" s="918">
        <f t="shared" ref="B145:AF145" si="289">B15+B16</f>
        <v>0</v>
      </c>
      <c r="C145" s="918">
        <f t="shared" si="289"/>
        <v>0</v>
      </c>
      <c r="D145" s="918">
        <f t="shared" si="289"/>
        <v>0</v>
      </c>
      <c r="E145" s="918">
        <f t="shared" si="289"/>
        <v>137.7687624</v>
      </c>
      <c r="F145" s="918">
        <f t="shared" si="289"/>
        <v>224.6314742</v>
      </c>
      <c r="G145" s="918">
        <f t="shared" si="289"/>
        <v>201</v>
      </c>
      <c r="H145" s="918">
        <f t="shared" si="289"/>
        <v>254</v>
      </c>
      <c r="I145" s="918">
        <f t="shared" si="289"/>
        <v>267</v>
      </c>
      <c r="J145" s="918">
        <f t="shared" si="289"/>
        <v>275.501</v>
      </c>
      <c r="K145" s="918">
        <f t="shared" si="289"/>
        <v>348.838</v>
      </c>
      <c r="L145" s="918">
        <f t="shared" si="289"/>
        <v>378.303</v>
      </c>
      <c r="M145" s="918">
        <f t="shared" si="289"/>
        <v>586</v>
      </c>
      <c r="N145" s="918">
        <f t="shared" si="289"/>
        <v>556</v>
      </c>
      <c r="O145" s="918">
        <f t="shared" si="289"/>
        <v>669</v>
      </c>
      <c r="P145" s="918">
        <f t="shared" si="289"/>
        <v>930</v>
      </c>
      <c r="Q145" s="918">
        <f t="shared" si="289"/>
        <v>735</v>
      </c>
      <c r="R145" s="918">
        <f t="shared" si="289"/>
        <v>686</v>
      </c>
      <c r="S145" s="918">
        <f t="shared" si="289"/>
        <v>860</v>
      </c>
      <c r="T145" s="918">
        <f t="shared" si="289"/>
        <v>768</v>
      </c>
      <c r="U145" s="918">
        <f t="shared" si="289"/>
        <v>786</v>
      </c>
      <c r="V145" s="918">
        <f t="shared" si="289"/>
        <v>1187</v>
      </c>
      <c r="W145" s="918">
        <f t="shared" si="289"/>
        <v>965</v>
      </c>
      <c r="X145" s="918">
        <f t="shared" si="289"/>
        <v>1407</v>
      </c>
      <c r="Y145" s="918">
        <f t="shared" si="289"/>
        <v>1035</v>
      </c>
      <c r="Z145" s="918">
        <f t="shared" si="289"/>
        <v>1315</v>
      </c>
      <c r="AA145" s="918">
        <f t="shared" si="289"/>
        <v>1714</v>
      </c>
      <c r="AB145" s="918">
        <f t="shared" si="289"/>
        <v>1811</v>
      </c>
      <c r="AC145" s="918">
        <f t="shared" si="289"/>
        <v>3932</v>
      </c>
      <c r="AD145" s="918">
        <f t="shared" si="289"/>
        <v>2432</v>
      </c>
      <c r="AE145" s="918">
        <f t="shared" si="289"/>
        <v>1947</v>
      </c>
      <c r="AF145" s="918">
        <f t="shared" si="289"/>
        <v>2048</v>
      </c>
      <c r="AG145" s="918">
        <f t="shared" ref="AG145:AH145" si="290">AG15+AG16</f>
        <v>1894</v>
      </c>
      <c r="AH145" s="918">
        <f t="shared" si="290"/>
        <v>2094</v>
      </c>
      <c r="AI145" s="918">
        <f t="shared" ref="AI145:AJ145" si="291">AI15+AI16</f>
        <v>2294</v>
      </c>
      <c r="AJ145" s="918">
        <f t="shared" si="291"/>
        <v>2494</v>
      </c>
      <c r="AK145" s="918">
        <f t="shared" ref="AK145:AL145" si="292">AK15+AK16</f>
        <v>2694</v>
      </c>
      <c r="AL145" s="918">
        <f t="shared" si="292"/>
        <v>2894</v>
      </c>
    </row>
    <row r="146" customHeight="1" spans="1:45">
      <c r="A146" s="860" t="s">
        <v>605</v>
      </c>
      <c r="B146" s="918">
        <f t="shared" ref="B146:AF146" si="293">B40</f>
        <v>147.1240185</v>
      </c>
      <c r="C146" s="918">
        <f t="shared" si="293"/>
        <v>183.30105</v>
      </c>
      <c r="D146" s="918">
        <f t="shared" si="293"/>
        <v>270.651542</v>
      </c>
      <c r="E146" s="918">
        <f t="shared" si="293"/>
        <v>350.3974691</v>
      </c>
      <c r="F146" s="918">
        <f t="shared" si="293"/>
        <v>374.1841677</v>
      </c>
      <c r="G146" s="918">
        <f t="shared" si="293"/>
        <v>487.7802</v>
      </c>
      <c r="H146" s="918">
        <f t="shared" si="293"/>
        <v>532.299</v>
      </c>
      <c r="I146" s="918">
        <f t="shared" si="293"/>
        <v>629.7</v>
      </c>
      <c r="J146" s="918">
        <f t="shared" si="293"/>
        <v>669</v>
      </c>
      <c r="K146" s="918">
        <f t="shared" si="293"/>
        <v>592.273</v>
      </c>
      <c r="L146" s="918">
        <f t="shared" si="293"/>
        <v>591.689</v>
      </c>
      <c r="M146" s="918">
        <f t="shared" si="293"/>
        <v>684</v>
      </c>
      <c r="N146" s="918">
        <f t="shared" si="293"/>
        <v>752</v>
      </c>
      <c r="O146" s="918">
        <f t="shared" si="293"/>
        <v>849</v>
      </c>
      <c r="P146" s="918">
        <f t="shared" si="293"/>
        <v>1218</v>
      </c>
      <c r="Q146" s="918">
        <f t="shared" si="293"/>
        <v>1166</v>
      </c>
      <c r="R146" s="918">
        <f t="shared" si="293"/>
        <v>1697</v>
      </c>
      <c r="S146" s="918">
        <f t="shared" si="293"/>
        <v>1887</v>
      </c>
      <c r="T146" s="918">
        <f t="shared" si="293"/>
        <v>1790</v>
      </c>
      <c r="U146" s="918">
        <f t="shared" si="293"/>
        <v>1825</v>
      </c>
      <c r="V146" s="918">
        <f t="shared" si="293"/>
        <v>1652</v>
      </c>
      <c r="W146" s="918">
        <f t="shared" si="293"/>
        <v>2024</v>
      </c>
      <c r="X146" s="918">
        <f t="shared" si="293"/>
        <v>2496</v>
      </c>
      <c r="Y146" s="918">
        <f t="shared" si="293"/>
        <v>1975</v>
      </c>
      <c r="Z146" s="918">
        <f t="shared" si="293"/>
        <v>2300</v>
      </c>
      <c r="AA146" s="918">
        <f t="shared" si="293"/>
        <v>2703</v>
      </c>
      <c r="AB146" s="918">
        <f t="shared" si="293"/>
        <v>2390</v>
      </c>
      <c r="AC146" s="918">
        <f t="shared" si="293"/>
        <v>2294</v>
      </c>
      <c r="AD146" s="918">
        <f t="shared" si="293"/>
        <v>2908</v>
      </c>
      <c r="AE146" s="918">
        <f t="shared" si="293"/>
        <v>2276</v>
      </c>
      <c r="AF146" s="918">
        <f t="shared" si="293"/>
        <v>3096</v>
      </c>
      <c r="AG146" s="918">
        <f t="shared" ref="AG146:AH146" si="294">AG40</f>
        <v>2910</v>
      </c>
      <c r="AH146" s="918">
        <f t="shared" si="294"/>
        <v>3182.33161359219</v>
      </c>
      <c r="AI146" s="918">
        <f t="shared" ref="AI146:AJ146" si="295">AI40</f>
        <v>3422.85372962521</v>
      </c>
      <c r="AJ146" s="918">
        <f t="shared" si="295"/>
        <v>3654.67773529151</v>
      </c>
      <c r="AK146" s="918">
        <f t="shared" ref="AK146:AL146" si="296">AK40</f>
        <v>3872.42831530946</v>
      </c>
      <c r="AL146" s="918">
        <f t="shared" si="296"/>
        <v>4103.4340392852</v>
      </c>
    </row>
    <row r="147" s="859" customFormat="1" customHeight="1" spans="1:45">
      <c r="A147" s="860" t="s">
        <v>1063</v>
      </c>
      <c r="B147" s="918">
        <f t="shared" ref="B147:AF147" si="297">B45+B47+B49</f>
        <v>159.4310095</v>
      </c>
      <c r="C147" s="918">
        <f t="shared" si="297"/>
        <v>161.72419</v>
      </c>
      <c r="D147" s="918">
        <f t="shared" si="297"/>
        <v>224.522056</v>
      </c>
      <c r="E147" s="918">
        <f t="shared" si="297"/>
        <v>304.8856335</v>
      </c>
      <c r="F147" s="918">
        <f t="shared" si="297"/>
        <v>545.996818</v>
      </c>
      <c r="G147" s="918">
        <f t="shared" si="297"/>
        <v>587.4509768</v>
      </c>
      <c r="H147" s="918">
        <f t="shared" si="297"/>
        <v>556.956</v>
      </c>
      <c r="I147" s="918">
        <f t="shared" si="297"/>
        <v>567.236</v>
      </c>
      <c r="J147" s="918">
        <f t="shared" si="297"/>
        <v>712</v>
      </c>
      <c r="K147" s="918">
        <f t="shared" si="297"/>
        <v>751.432</v>
      </c>
      <c r="L147" s="918">
        <f t="shared" si="297"/>
        <v>921.339</v>
      </c>
      <c r="M147" s="918">
        <f t="shared" si="297"/>
        <v>1039</v>
      </c>
      <c r="N147" s="918">
        <f t="shared" si="297"/>
        <v>1440</v>
      </c>
      <c r="O147" s="918">
        <f t="shared" si="297"/>
        <v>1580</v>
      </c>
      <c r="P147" s="918">
        <f t="shared" si="297"/>
        <v>1630</v>
      </c>
      <c r="Q147" s="918">
        <f t="shared" si="297"/>
        <v>1472</v>
      </c>
      <c r="R147" s="918">
        <f t="shared" si="297"/>
        <v>1965</v>
      </c>
      <c r="S147" s="918">
        <f t="shared" si="297"/>
        <v>2162</v>
      </c>
      <c r="T147" s="918">
        <f t="shared" si="297"/>
        <v>2304</v>
      </c>
      <c r="U147" s="918">
        <f t="shared" si="297"/>
        <v>2226</v>
      </c>
      <c r="V147" s="918">
        <f t="shared" si="297"/>
        <v>2438</v>
      </c>
      <c r="W147" s="918">
        <f t="shared" si="297"/>
        <v>2973</v>
      </c>
      <c r="X147" s="918">
        <f t="shared" si="297"/>
        <v>3633</v>
      </c>
      <c r="Y147" s="918">
        <f t="shared" si="297"/>
        <v>4179</v>
      </c>
      <c r="Z147" s="918">
        <f t="shared" si="297"/>
        <v>4468</v>
      </c>
      <c r="AA147" s="918">
        <f t="shared" si="297"/>
        <v>5275</v>
      </c>
      <c r="AB147" s="918">
        <f t="shared" si="297"/>
        <v>5472</v>
      </c>
      <c r="AC147" s="918">
        <f t="shared" si="297"/>
        <v>6336</v>
      </c>
      <c r="AD147" s="918">
        <f t="shared" si="297"/>
        <v>5298</v>
      </c>
      <c r="AE147" s="918">
        <f t="shared" si="297"/>
        <v>4673</v>
      </c>
      <c r="AF147" s="918">
        <f t="shared" si="297"/>
        <v>5319</v>
      </c>
      <c r="AG147" s="918">
        <f t="shared" ref="AG147:AH147" si="298">AG45+AG47+AG49</f>
        <v>4937</v>
      </c>
      <c r="AH147" s="918">
        <f t="shared" si="298"/>
        <v>5073.04741659492</v>
      </c>
      <c r="AI147" s="918">
        <f t="shared" ref="AI147:AJ147" si="299">AI45+AI47+AI49</f>
        <v>5370.98115089002</v>
      </c>
      <c r="AJ147" s="918">
        <f t="shared" si="299"/>
        <v>5672.86250323552</v>
      </c>
      <c r="AK147" s="918">
        <f t="shared" ref="AK147:AL147" si="300">AK45+AK47+AK49</f>
        <v>5970.79302048897</v>
      </c>
      <c r="AL147" s="918">
        <f t="shared" si="300"/>
        <v>6282.41903948593</v>
      </c>
      <c r="AN147" s="860"/>
    </row>
    <row r="148" customHeight="1" spans="1:45">
      <c r="A148" s="858" t="s">
        <v>604</v>
      </c>
      <c r="B148" s="924">
        <f>B143+B144+B145-B146-B147</f>
        <v>287.3393514</v>
      </c>
      <c r="C148" s="924">
        <f t="shared" ref="C148:T148" si="301">C143+C144+C145-C146-C147</f>
        <v>373.7603</v>
      </c>
      <c r="D148" s="924">
        <f t="shared" si="301"/>
        <v>479.2900635</v>
      </c>
      <c r="E148" s="924">
        <f t="shared" si="301"/>
        <v>757.8503939</v>
      </c>
      <c r="F148" s="924">
        <f t="shared" si="301"/>
        <v>1080.6305048</v>
      </c>
      <c r="G148" s="924">
        <f t="shared" si="301"/>
        <v>1203.7688232</v>
      </c>
      <c r="H148" s="924">
        <f t="shared" si="301"/>
        <v>1591.745</v>
      </c>
      <c r="I148" s="924">
        <f t="shared" si="301"/>
        <v>1596.064</v>
      </c>
      <c r="J148" s="924">
        <f t="shared" si="301"/>
        <v>1377.501</v>
      </c>
      <c r="K148" s="924">
        <f t="shared" si="301"/>
        <v>1243.743</v>
      </c>
      <c r="L148" s="924">
        <f t="shared" si="301"/>
        <v>1066.971</v>
      </c>
      <c r="M148" s="924">
        <f t="shared" si="301"/>
        <v>1057.814</v>
      </c>
      <c r="N148" s="924">
        <f t="shared" si="301"/>
        <v>1422</v>
      </c>
      <c r="O148" s="924">
        <f t="shared" si="301"/>
        <v>1414</v>
      </c>
      <c r="P148" s="924">
        <f t="shared" si="301"/>
        <v>1842</v>
      </c>
      <c r="Q148" s="924">
        <f t="shared" si="301"/>
        <v>1072</v>
      </c>
      <c r="R148" s="924">
        <f t="shared" si="301"/>
        <v>1012</v>
      </c>
      <c r="S148" s="924">
        <f t="shared" si="301"/>
        <v>1373</v>
      </c>
      <c r="T148" s="924">
        <f t="shared" si="301"/>
        <v>1113</v>
      </c>
      <c r="U148" s="924">
        <f t="shared" ref="U148:AB148" si="302">U143+U144+U145-U146-U147</f>
        <v>1219</v>
      </c>
      <c r="V148" s="924">
        <f t="shared" si="302"/>
        <v>1574</v>
      </c>
      <c r="W148" s="924">
        <f t="shared" si="302"/>
        <v>1135</v>
      </c>
      <c r="X148" s="924">
        <f t="shared" si="302"/>
        <v>1247</v>
      </c>
      <c r="Y148" s="924">
        <f t="shared" si="302"/>
        <v>893</v>
      </c>
      <c r="Z148" s="924">
        <f t="shared" si="302"/>
        <v>416</v>
      </c>
      <c r="AA148" s="924">
        <f t="shared" si="302"/>
        <v>446</v>
      </c>
      <c r="AB148" s="924">
        <f t="shared" si="302"/>
        <v>298</v>
      </c>
      <c r="AC148" s="924">
        <f t="shared" ref="AC148:AH148" si="303">AC143+AC144+AC145-AC146-AC147</f>
        <v>1486</v>
      </c>
      <c r="AD148" s="924">
        <f t="shared" si="303"/>
        <v>2728</v>
      </c>
      <c r="AE148" s="924">
        <f t="shared" si="303"/>
        <v>1429</v>
      </c>
      <c r="AF148" s="924">
        <f t="shared" si="303"/>
        <v>1035</v>
      </c>
      <c r="AG148" s="924">
        <f t="shared" si="303"/>
        <v>2513</v>
      </c>
      <c r="AH148" s="924">
        <f t="shared" si="303"/>
        <v>2742.63390994875</v>
      </c>
      <c r="AI148" s="924">
        <f t="shared" ref="AI148:AJ148" si="304">AI143+AI144+AI145-AI146-AI147</f>
        <v>3018.78023243791</v>
      </c>
      <c r="AJ148" s="924">
        <f t="shared" si="304"/>
        <v>3173.95328455755</v>
      </c>
      <c r="AK148" s="924">
        <f t="shared" ref="AK148:AL148" si="305">AK143+AK144+AK145-AK146-AK147</f>
        <v>3289.44813432705</v>
      </c>
      <c r="AL148" s="924">
        <f t="shared" si="305"/>
        <v>3569.52447061213</v>
      </c>
      <c r="AM148" s="925"/>
      <c r="AN148" s="870"/>
      <c r="AO148" s="926"/>
    </row>
    <row r="149" customHeight="1" spans="1:45">
      <c r="A149" s="860" t="s">
        <v>1064</v>
      </c>
      <c r="B149" s="918"/>
      <c r="C149" s="918"/>
      <c r="D149" s="918"/>
      <c r="E149" s="918"/>
      <c r="F149" s="918"/>
      <c r="G149" s="918"/>
      <c r="H149" s="918"/>
      <c r="I149" s="918"/>
      <c r="J149" s="918"/>
      <c r="K149" s="918"/>
      <c r="L149" s="918"/>
      <c r="M149" s="868">
        <f>M148/L148-1</f>
        <v>-0.00858223887996967</v>
      </c>
      <c r="N149" s="868">
        <f>N148/M148-1</f>
        <v>0.344281697916647</v>
      </c>
      <c r="O149" s="868">
        <f t="shared" ref="O149:Y149" si="306">O148/N148-1</f>
        <v>-0.00562587904360057</v>
      </c>
      <c r="P149" s="868">
        <f t="shared" si="306"/>
        <v>0.302687411598303</v>
      </c>
      <c r="Q149" s="868">
        <f t="shared" si="306"/>
        <v>-0.418023887079262</v>
      </c>
      <c r="R149" s="868">
        <f t="shared" si="306"/>
        <v>-0.0559701492537313</v>
      </c>
      <c r="S149" s="868">
        <f t="shared" si="306"/>
        <v>0.356719367588933</v>
      </c>
      <c r="T149" s="868">
        <f t="shared" si="306"/>
        <v>-0.189366351056082</v>
      </c>
      <c r="U149" s="868">
        <f t="shared" si="306"/>
        <v>0.0952380952380953</v>
      </c>
      <c r="V149" s="868">
        <f t="shared" si="306"/>
        <v>0.291222313371616</v>
      </c>
      <c r="W149" s="868">
        <f t="shared" si="306"/>
        <v>-0.278907242693774</v>
      </c>
      <c r="X149" s="868">
        <f t="shared" si="306"/>
        <v>0.0986784140969164</v>
      </c>
      <c r="Y149" s="868">
        <f t="shared" si="306"/>
        <v>-0.283881315156375</v>
      </c>
      <c r="Z149" s="868">
        <f t="shared" ref="Z149:AL149" si="307">Z148/Y148-1</f>
        <v>-0.534154535274356</v>
      </c>
      <c r="AA149" s="868">
        <f t="shared" si="307"/>
        <v>0.0721153846153846</v>
      </c>
      <c r="AB149" s="868">
        <f t="shared" si="307"/>
        <v>-0.331838565022421</v>
      </c>
      <c r="AC149" s="868">
        <f t="shared" si="307"/>
        <v>3.98657718120805</v>
      </c>
      <c r="AD149" s="868">
        <f t="shared" si="307"/>
        <v>0.835800807537012</v>
      </c>
      <c r="AE149" s="868">
        <f t="shared" si="307"/>
        <v>-0.476173020527859</v>
      </c>
      <c r="AF149" s="868">
        <f t="shared" si="307"/>
        <v>-0.275717284814556</v>
      </c>
      <c r="AG149" s="868">
        <f t="shared" si="307"/>
        <v>1.4280193236715</v>
      </c>
      <c r="AH149" s="868">
        <f t="shared" si="307"/>
        <v>0.0913783963186439</v>
      </c>
      <c r="AI149" s="868">
        <f t="shared" si="307"/>
        <v>0.100686541316162</v>
      </c>
      <c r="AJ149" s="868">
        <f t="shared" si="307"/>
        <v>0.0514025666566404</v>
      </c>
      <c r="AK149" s="868">
        <f t="shared" si="307"/>
        <v>0.0363883269269989</v>
      </c>
      <c r="AL149" s="868">
        <f t="shared" si="307"/>
        <v>0.0851438675570961</v>
      </c>
      <c r="AM149" s="859"/>
      <c r="AN149" s="859"/>
      <c r="AO149" s="926"/>
    </row>
    <row r="150" customHeight="1" spans="1:45">
      <c r="A150" s="860" t="s">
        <v>1065</v>
      </c>
      <c r="B150" s="918"/>
      <c r="C150" s="918"/>
      <c r="D150" s="918"/>
      <c r="E150" s="918"/>
      <c r="F150" s="918"/>
      <c r="G150" s="918"/>
      <c r="H150" s="918"/>
      <c r="I150" s="918"/>
      <c r="J150" s="918"/>
      <c r="K150" s="918"/>
      <c r="L150" s="918"/>
      <c r="M150" s="927">
        <f>M149/'Profit and Loss'!L328</f>
        <v>-0.0648091750471936</v>
      </c>
      <c r="N150" s="927">
        <f>N149/'Profit and Loss'!M328</f>
        <v>0.662602478937028</v>
      </c>
      <c r="O150" s="927">
        <f>O149/'Profit and Loss'!N328</f>
        <v>-0.263866810584503</v>
      </c>
      <c r="P150" s="927">
        <f>P149/'Profit and Loss'!O328</f>
        <v>6.23475530410183</v>
      </c>
      <c r="Q150" s="927">
        <f>Q149/'Profit and Loss'!P328</f>
        <v>10.7996171209783</v>
      </c>
      <c r="R150" s="927">
        <f>R149/'Profit and Loss'!Q328</f>
        <v>-0.361110080424478</v>
      </c>
      <c r="S150" s="927">
        <f>S149/'Profit and Loss'!R328</f>
        <v>3.20860106330931</v>
      </c>
      <c r="T150" s="927">
        <f>T149/'Profit and Loss'!S328</f>
        <v>-1.61726147123088</v>
      </c>
      <c r="U150" s="927">
        <f>U149/'Profit and Loss'!T328</f>
        <v>-2.09060261272651</v>
      </c>
      <c r="V150" s="927">
        <f>V149/'Profit and Loss'!U328</f>
        <v>12.5738995788565</v>
      </c>
      <c r="W150" s="927">
        <f>W149/'Profit and Loss'!V328</f>
        <v>-1.70249385355368</v>
      </c>
      <c r="X150" s="927">
        <f>X149/'Profit and Loss'!W328</f>
        <v>0.702798052399722</v>
      </c>
      <c r="Y150" s="927">
        <f>Y149/'Profit and Loss'!X328</f>
        <v>-2.84028556502411</v>
      </c>
      <c r="Z150" s="927">
        <f>Z149/'Profit and Loss'!Y328</f>
        <v>-16.2606756520104</v>
      </c>
      <c r="AA150" s="927">
        <f>AA149/'Profit and Loss'!Z328</f>
        <v>0.915648119261969</v>
      </c>
      <c r="AB150" s="927">
        <f>AB149/'Profit and Loss'!AA328</f>
        <v>2.06610363858179</v>
      </c>
      <c r="AC150" s="927">
        <f>AC149/'Profit and Loss'!AB328</f>
        <v>26.2567168044196</v>
      </c>
      <c r="AD150" s="927">
        <f>AD149/'Profit and Loss'!AC328</f>
        <v>13.8977246258738</v>
      </c>
      <c r="AE150" s="927">
        <f>AE149/'Profit and Loss'!AD328</f>
        <v>5.84786190131078</v>
      </c>
      <c r="AF150" s="927">
        <f>AF149/'Profit and Loss'!AE328</f>
        <v>-2.42092654581545</v>
      </c>
      <c r="AG150" s="927">
        <f>AG149/'Profit and Loss'!AF328</f>
        <v>18.4991952092945</v>
      </c>
      <c r="AH150" s="927">
        <f>AH149/'Profit and Loss'!AG328</f>
        <v>0.976424036048395</v>
      </c>
      <c r="AI150" s="927">
        <f>AI149/'Profit and Loss'!AH328</f>
        <v>1.33217671945678</v>
      </c>
      <c r="AJ150" s="927">
        <f>AJ149/'Profit and Loss'!AI328</f>
        <v>0.758952751624221</v>
      </c>
      <c r="AK150" s="927">
        <f>AK149/'Profit and Loss'!AJ328</f>
        <v>0.610733657901849</v>
      </c>
      <c r="AL150" s="927">
        <f>AL149/'Profit and Loss'!AK328</f>
        <v>1.42729590387849</v>
      </c>
      <c r="AO150" s="926"/>
    </row>
    <row r="151" customHeight="1" spans="1:45">
      <c r="A151" s="860" t="s">
        <v>1066</v>
      </c>
      <c r="B151" s="924"/>
      <c r="C151" s="924"/>
      <c r="D151" s="924"/>
      <c r="E151" s="924"/>
      <c r="F151" s="924"/>
      <c r="G151" s="924"/>
      <c r="H151" s="924"/>
      <c r="I151" s="924"/>
      <c r="J151" s="924"/>
      <c r="K151" s="924"/>
      <c r="L151" s="924"/>
      <c r="M151" s="928">
        <f t="shared" ref="M151:AF151" si="308">M148/M3</f>
        <v>0.159405364677517</v>
      </c>
      <c r="N151" s="928">
        <f t="shared" si="308"/>
        <v>0.141015470051567</v>
      </c>
      <c r="O151" s="928">
        <f t="shared" si="308"/>
        <v>0.137294882998349</v>
      </c>
      <c r="P151" s="928">
        <f t="shared" si="308"/>
        <v>0.170571349199</v>
      </c>
      <c r="Q151" s="928">
        <f t="shared" si="308"/>
        <v>0.103265581350544</v>
      </c>
      <c r="R151" s="928">
        <f t="shared" si="308"/>
        <v>0.0844036697247706</v>
      </c>
      <c r="S151" s="928">
        <f t="shared" si="308"/>
        <v>0.10305486752233</v>
      </c>
      <c r="T151" s="928">
        <f t="shared" si="308"/>
        <v>0.0747833098165692</v>
      </c>
      <c r="U151" s="928">
        <f t="shared" si="308"/>
        <v>0.0858148539246744</v>
      </c>
      <c r="V151" s="928">
        <f t="shared" si="308"/>
        <v>0.108297784505298</v>
      </c>
      <c r="W151" s="928">
        <f t="shared" si="308"/>
        <v>0.0671002069169376</v>
      </c>
      <c r="X151" s="928">
        <f t="shared" si="308"/>
        <v>0.0646448937273199</v>
      </c>
      <c r="Y151" s="928">
        <f t="shared" si="308"/>
        <v>0.0420869073428221</v>
      </c>
      <c r="Z151" s="928">
        <f t="shared" si="308"/>
        <v>0.0189824321241159</v>
      </c>
      <c r="AA151" s="928">
        <f t="shared" si="308"/>
        <v>0.0188655302229178</v>
      </c>
      <c r="AB151" s="928">
        <f t="shared" si="308"/>
        <v>0.0150171336424108</v>
      </c>
      <c r="AC151" s="928">
        <f t="shared" si="308"/>
        <v>0.0699821041725534</v>
      </c>
      <c r="AD151" s="928">
        <f t="shared" si="308"/>
        <v>0.121185198347475</v>
      </c>
      <c r="AE151" s="928">
        <f t="shared" si="308"/>
        <v>0.069107263758584</v>
      </c>
      <c r="AF151" s="928">
        <f t="shared" si="308"/>
        <v>0.0449355272869361</v>
      </c>
      <c r="AG151" s="928">
        <f t="shared" ref="AG151:AH151" si="309">AG148/AG3</f>
        <v>0.101285720043529</v>
      </c>
      <c r="AH151" s="928">
        <f t="shared" si="309"/>
        <v>0.101081372084337</v>
      </c>
      <c r="AI151" s="928">
        <f t="shared" ref="AI151:AJ151" si="310">AI148/AI3</f>
        <v>0.103440801532129</v>
      </c>
      <c r="AJ151" s="928">
        <f t="shared" si="310"/>
        <v>0.101859177069158</v>
      </c>
      <c r="AK151" s="928">
        <f t="shared" ref="AK151:AL151" si="311">AK148/AK3</f>
        <v>0.0996295976301698</v>
      </c>
      <c r="AL151" s="928">
        <f t="shared" si="311"/>
        <v>0.102026180167059</v>
      </c>
      <c r="AO151" s="929"/>
    </row>
    <row r="152" customHeight="1" spans="1:45">
      <c r="A152" s="858"/>
      <c r="B152" s="924"/>
      <c r="C152" s="868"/>
      <c r="D152" s="868"/>
      <c r="E152" s="868"/>
      <c r="F152" s="868"/>
      <c r="G152" s="868"/>
      <c r="H152" s="868"/>
      <c r="I152" s="868"/>
      <c r="J152" s="868"/>
      <c r="K152" s="868"/>
      <c r="L152" s="868"/>
      <c r="M152" s="868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924"/>
      <c r="Z152" s="924"/>
      <c r="AA152" s="924"/>
      <c r="AB152" s="924"/>
      <c r="AC152" s="924"/>
      <c r="AD152" s="924"/>
      <c r="AE152" s="924"/>
      <c r="AF152" s="924"/>
      <c r="AG152" s="924"/>
      <c r="AH152" s="924"/>
      <c r="AI152" s="924"/>
      <c r="AJ152" s="924"/>
      <c r="AK152" s="924"/>
      <c r="AL152" s="924"/>
      <c r="AO152" s="926"/>
    </row>
    <row r="153" customHeight="1" spans="1:45">
      <c r="A153" s="860" t="s">
        <v>1067</v>
      </c>
      <c r="B153" s="869"/>
      <c r="C153" s="869" t="e">
        <f>C143/'Profit and Loss'!B330*365</f>
        <v>#DIV/0!</v>
      </c>
      <c r="D153" s="869">
        <f>D143/'Profit and Loss'!C330*365</f>
        <v>140.232330093923</v>
      </c>
      <c r="E153" s="869">
        <f>E143/'Profit and Loss'!D330*365</f>
        <v>150.773539272887</v>
      </c>
      <c r="F153" s="869">
        <f>F143/'Profit and Loss'!E330*365</f>
        <v>120.945367227474</v>
      </c>
      <c r="G153" s="869">
        <f>G143/'Profit and Loss'!F330*365</f>
        <v>127.056962025316</v>
      </c>
      <c r="H153" s="869">
        <f>H143/'Profit and Loss'!G330*365</f>
        <v>142.821288176595</v>
      </c>
      <c r="I153" s="869">
        <f>I143/'Profit and Loss'!H330*365</f>
        <v>132.339789233837</v>
      </c>
      <c r="J153" s="869">
        <f>J143/'Profit and Loss'!I330*365</f>
        <v>117.265118790497</v>
      </c>
      <c r="K153" s="869">
        <f>K143/'Profit and Loss'!J330*365</f>
        <v>122.989884158703</v>
      </c>
      <c r="L153" s="869">
        <f>L143/'Profit and Loss'!K330*365</f>
        <v>138.402202166065</v>
      </c>
      <c r="M153" s="869">
        <f>M143/'Profit and Loss'!L330*365</f>
        <v>130.546670543763</v>
      </c>
      <c r="N153" s="869">
        <f>N143/'Profit and Loss'!M330*365</f>
        <v>104.948112363571</v>
      </c>
      <c r="O153" s="869">
        <f>O143/'Profit and Loss'!N330*365</f>
        <v>109.762783828687</v>
      </c>
      <c r="P153" s="869">
        <f>P143/'Profit and Loss'!O330*365</f>
        <v>131.368392567202</v>
      </c>
      <c r="Q153" s="869">
        <f>Q143/'Profit and Loss'!P330*365</f>
        <v>94.7107073557947</v>
      </c>
      <c r="R153" s="869">
        <f>R143/'Profit and Loss'!Q330*365</f>
        <v>124.48482428115</v>
      </c>
      <c r="S153" s="869">
        <f>S143/'Profit and Loss'!R330*365</f>
        <v>130.573348584501</v>
      </c>
      <c r="T153" s="869">
        <f>T143/'Profit and Loss'!S330*365</f>
        <v>116.631105398458</v>
      </c>
      <c r="U153" s="869">
        <f>U143/'Profit and Loss'!T330*365</f>
        <v>133.455024986119</v>
      </c>
      <c r="V153" s="869">
        <f>V143/'Profit and Loss'!U330*365</f>
        <v>121.15505913272</v>
      </c>
      <c r="W153" s="869">
        <f>W143/'Profit and Loss'!V330*365</f>
        <v>129.901108951641</v>
      </c>
      <c r="X153" s="869">
        <f>X143/'Profit and Loss'!W330*365</f>
        <v>138.582887700535</v>
      </c>
      <c r="Y153" s="869">
        <f>Y143/'Profit and Loss'!X330*365</f>
        <v>128.157869709938</v>
      </c>
      <c r="Z153" s="869">
        <f>Z143/'Profit and Loss'!Y330*365</f>
        <v>119.164613343442</v>
      </c>
      <c r="AA153" s="869">
        <f>AA143/'Profit and Loss'!Z330*365</f>
        <v>131.390994007755</v>
      </c>
      <c r="AB153" s="869">
        <f>AB143/'Profit and Loss'!AA330*365</f>
        <v>160.667233957353</v>
      </c>
      <c r="AC153" s="869">
        <f>AC143/'Profit and Loss'!AB330*365</f>
        <v>139.773139745917</v>
      </c>
      <c r="AD153" s="869">
        <f>AD143/'Profit and Loss'!AC330*365</f>
        <v>183.714923738097</v>
      </c>
      <c r="AE153" s="869">
        <f>AE143/'Profit and Loss'!AD330*365</f>
        <v>148.875518298179</v>
      </c>
      <c r="AF153" s="869">
        <f>AF143/'Profit and Loss'!AE330*365</f>
        <v>159.716822635244</v>
      </c>
      <c r="AG153" s="869">
        <f>AG143/'Profit and Loss'!AF330*365</f>
        <v>177.301349325337</v>
      </c>
      <c r="AH153" s="869">
        <f>AH143/'Profit and Loss'!AG330*365</f>
        <v>167.417355371901</v>
      </c>
      <c r="AI153" s="869">
        <f>AI143/'Profit and Loss'!AH330*365</f>
        <v>169.052631578947</v>
      </c>
      <c r="AJ153" s="869">
        <f>AJ143/'Profit and Loss'!AI330*365</f>
        <v>165.210526315789</v>
      </c>
      <c r="AK153" s="869">
        <f>AK143/'Profit and Loss'!AJ330*365</f>
        <v>161.368421052632</v>
      </c>
      <c r="AL153" s="869">
        <f>AL143/'Profit and Loss'!AK330*365</f>
        <v>161.368421052632</v>
      </c>
      <c r="AM153" s="930"/>
      <c r="AN153" s="930"/>
      <c r="AO153" s="930"/>
      <c r="AP153" s="930"/>
      <c r="AQ153" s="930"/>
      <c r="AR153" s="930"/>
      <c r="AS153" s="930"/>
    </row>
    <row r="154" customHeight="1" spans="1:45">
      <c r="A154" s="860" t="s">
        <v>1068</v>
      </c>
      <c r="B154" s="869"/>
      <c r="C154" s="869" t="e">
        <f>C144/'Profit and Loss'!B325*365</f>
        <v>#DIV/0!</v>
      </c>
      <c r="D154" s="869">
        <f>D144/'Profit and Loss'!C325*365</f>
        <v>63.3815707938123</v>
      </c>
      <c r="E154" s="869">
        <f>E144/'Profit and Loss'!D325*365</f>
        <v>48.4000968969343</v>
      </c>
      <c r="F154" s="869">
        <f>F144/'Profit and Loss'!E325*365</f>
        <v>57.7700653373149</v>
      </c>
      <c r="G154" s="869">
        <f>G144/'Profit and Loss'!F325*365</f>
        <v>70.4230481882705</v>
      </c>
      <c r="H154" s="869">
        <f>H144/'Profit and Loss'!G325*365</f>
        <v>70.8731790916881</v>
      </c>
      <c r="I154" s="869">
        <f>I144/'Profit and Loss'!H325*365</f>
        <v>74.8273887434555</v>
      </c>
      <c r="J154" s="869">
        <f>J144/'Profit and Loss'!I325*365</f>
        <v>72.350912156983</v>
      </c>
      <c r="K154" s="869">
        <f>K144/'Profit and Loss'!J325*365</f>
        <v>62.6150598372427</v>
      </c>
      <c r="L154" s="869">
        <f>L144/'Profit and Loss'!K325*365</f>
        <v>65.171933447099</v>
      </c>
      <c r="M154" s="869">
        <f>M144/'Profit and Loss'!L325*365</f>
        <v>53.0676778179626</v>
      </c>
      <c r="N154" s="869">
        <f>N144/'Profit and Loss'!M325*365</f>
        <v>52.5203292344308</v>
      </c>
      <c r="O154" s="869">
        <f>O144/'Profit and Loss'!N325*365</f>
        <v>54.7553160501019</v>
      </c>
      <c r="P154" s="869">
        <f>P144/'Profit and Loss'!O325*365</f>
        <v>59.655986665432</v>
      </c>
      <c r="Q154" s="869">
        <f>Q144/'Profit and Loss'!P325*365</f>
        <v>52.8812253154802</v>
      </c>
      <c r="R154" s="869">
        <f>R144/'Profit and Loss'!Q325*365</f>
        <v>56.4090909090909</v>
      </c>
      <c r="S154" s="869">
        <f>S144/'Profit and Loss'!R325*365</f>
        <v>56.4362380845155</v>
      </c>
      <c r="T154" s="869">
        <f>T144/'Profit and Loss'!S325*365</f>
        <v>47.8965934287442</v>
      </c>
      <c r="U154" s="869">
        <f>U144/'Profit and Loss'!T325*365</f>
        <v>47.5360788454769</v>
      </c>
      <c r="V154" s="869">
        <f>V144/'Profit and Loss'!U325*365</f>
        <v>48.996490986652</v>
      </c>
      <c r="W154" s="869">
        <f>W144/'Profit and Loss'!V325*365</f>
        <v>44.3221992314514</v>
      </c>
      <c r="X154" s="869">
        <f>X144/'Profit and Loss'!W325*365</f>
        <v>41.7413167444272</v>
      </c>
      <c r="Y154" s="869">
        <f>Y144/'Profit and Loss'!X325*365</f>
        <v>39.9095107927232</v>
      </c>
      <c r="Z154" s="869">
        <f>Z144/'Profit and Loss'!Y325*365</f>
        <v>40.37234770705</v>
      </c>
      <c r="AA154" s="869">
        <f>AA144/'Profit and Loss'!Z325*365</f>
        <v>40.5281079480563</v>
      </c>
      <c r="AB154" s="869">
        <f>AB144/'Profit and Loss'!AA325*365</f>
        <v>35.9040516024995</v>
      </c>
      <c r="AC154" s="869">
        <f>AC144/'Profit and Loss'!AB325*365</f>
        <v>37.3869737213902</v>
      </c>
      <c r="AD154" s="869">
        <f>AD144/'Profit and Loss'!AC325*365</f>
        <v>41.0059526453734</v>
      </c>
      <c r="AE154" s="869">
        <f>AE144/'Profit and Loss'!AD325*365</f>
        <v>33.6439694361157</v>
      </c>
      <c r="AF154" s="869">
        <f>AF144/'Profit and Loss'!AE325*365</f>
        <v>38.2383970824469</v>
      </c>
      <c r="AG154" s="869">
        <f>AG144/'Profit and Loss'!AF325*365</f>
        <v>38.7493450485672</v>
      </c>
      <c r="AH154" s="869">
        <f>AH144/'Profit and Loss'!AG325*365</f>
        <v>38.7493450485672</v>
      </c>
      <c r="AI154" s="869">
        <f>AI144/'Profit and Loss'!AH325*365</f>
        <v>38.7493450485672</v>
      </c>
      <c r="AJ154" s="869">
        <f>AJ144/'Profit and Loss'!AI325*365</f>
        <v>38.7493450485672</v>
      </c>
      <c r="AK154" s="869">
        <f>AK144/'Profit and Loss'!AJ325*365</f>
        <v>38.7493450485672</v>
      </c>
      <c r="AL154" s="869">
        <f>AL144/'Profit and Loss'!AK325*365</f>
        <v>38.7493450485672</v>
      </c>
      <c r="AM154" s="930"/>
      <c r="AN154" s="930"/>
      <c r="AO154" s="930"/>
      <c r="AP154" s="930"/>
      <c r="AQ154" s="930"/>
      <c r="AR154" s="930"/>
      <c r="AS154" s="930"/>
    </row>
    <row r="155" s="859" customFormat="1" customHeight="1" spans="1:45">
      <c r="A155" s="859" t="s">
        <v>1069</v>
      </c>
      <c r="B155" s="869"/>
      <c r="C155" s="869" t="e">
        <f>C146/'Profit and Loss'!B330*365</f>
        <v>#DIV/0!</v>
      </c>
      <c r="D155" s="869">
        <f>D146/'Profit and Loss'!C330*365</f>
        <v>68.2236276450276</v>
      </c>
      <c r="E155" s="869">
        <f>E146/'Profit and Loss'!D330*365</f>
        <v>64.333539346831</v>
      </c>
      <c r="F155" s="869">
        <f>F146/'Profit and Loss'!E330*365</f>
        <v>46.4390415540632</v>
      </c>
      <c r="G155" s="869">
        <f>G146/'Profit and Loss'!F330*365</f>
        <v>59.3070529646902</v>
      </c>
      <c r="H155" s="869">
        <f>H146/'Profit and Loss'!G330*365</f>
        <v>58.750872391896</v>
      </c>
      <c r="I155" s="869">
        <f>I146/'Profit and Loss'!H330*365</f>
        <v>65.46297351182</v>
      </c>
      <c r="J155" s="869">
        <f>J146/'Profit and Loss'!I330*365</f>
        <v>65.9246760259179</v>
      </c>
      <c r="K155" s="869">
        <f>K146/'Profit and Loss'!J330*365</f>
        <v>62.6063263828555</v>
      </c>
      <c r="L155" s="869">
        <f>L146/'Profit and Loss'!K330*365</f>
        <v>70.8784000656383</v>
      </c>
      <c r="M155" s="869">
        <f>M146/'Profit and Loss'!L330*365</f>
        <v>72.5966850828729</v>
      </c>
      <c r="N155" s="869">
        <f>N146/'Profit and Loss'!M330*365</f>
        <v>49.1107532653426</v>
      </c>
      <c r="O155" s="869">
        <f>O146/'Profit and Loss'!N330*365</f>
        <v>57.2060180911944</v>
      </c>
      <c r="P155" s="869">
        <f>P146/'Profit and Loss'!O330*365</f>
        <v>80.203860725239</v>
      </c>
      <c r="Q155" s="869">
        <f>Q146/'Profit and Loss'!P330*365</f>
        <v>75.0732051508203</v>
      </c>
      <c r="R155" s="869">
        <f>R146/'Profit and Loss'!Q330*365</f>
        <v>98.9464856230032</v>
      </c>
      <c r="S155" s="869">
        <f>S146/'Profit and Loss'!R330*365</f>
        <v>98.47798112668</v>
      </c>
      <c r="T155" s="869">
        <f>T146/'Profit and Loss'!S330*365</f>
        <v>83.9781491002571</v>
      </c>
      <c r="U155" s="869">
        <f>U146/'Profit and Loss'!T330*365</f>
        <v>92.4659911160466</v>
      </c>
      <c r="V155" s="869">
        <f>V146/'Profit and Loss'!U330*365</f>
        <v>79.2352168199737</v>
      </c>
      <c r="W155" s="869">
        <f>W146/'Profit and Loss'!V330*365</f>
        <v>84.4586715445296</v>
      </c>
      <c r="X155" s="869">
        <f>X146/'Profit and Loss'!W330*365</f>
        <v>91.9221067500757</v>
      </c>
      <c r="Y155" s="869">
        <f>Y146/'Profit and Loss'!X330*365</f>
        <v>68.5568235853543</v>
      </c>
      <c r="Z155" s="869">
        <f>Z146/'Profit and Loss'!Y330*365</f>
        <v>79.5583775587566</v>
      </c>
      <c r="AA155" s="869">
        <f>AA146/'Profit and Loss'!Z330*365</f>
        <v>86.9399894254494</v>
      </c>
      <c r="AB155" s="869">
        <f>AB146/'Profit and Loss'!AA330*365</f>
        <v>87.3310641705876</v>
      </c>
      <c r="AC155" s="869">
        <f>AC146/'Profit and Loss'!AB330*365</f>
        <v>79.9799407775337</v>
      </c>
      <c r="AD155" s="869">
        <f>AD146/'Profit and Loss'!AC330*365</f>
        <v>89.442993174349</v>
      </c>
      <c r="AE155" s="869">
        <f>AE146/'Profit and Loss'!AD330*365</f>
        <v>74.8819181539571</v>
      </c>
      <c r="AF155" s="869">
        <f>AF146/'Profit and Loss'!AE330*365</f>
        <v>99.114708935401</v>
      </c>
      <c r="AG155" s="869">
        <f>AG146/'Profit and Loss'!AF330*365</f>
        <v>88.4682658670665</v>
      </c>
      <c r="AH155" s="869">
        <f>AH146/'Profit and Loss'!AG330*365</f>
        <v>88.4496712501886</v>
      </c>
      <c r="AI155" s="869">
        <f>AI146/'Profit and Loss'!AH330*365</f>
        <v>90.1255597580869</v>
      </c>
      <c r="AJ155" s="869">
        <f>AJ146/'Profit and Loss'!AI330*365</f>
        <v>90.1255597580869</v>
      </c>
      <c r="AK155" s="869">
        <f>AK146/'Profit and Loss'!AJ330*365</f>
        <v>90.1255597580869</v>
      </c>
      <c r="AL155" s="869">
        <f>AL146/'Profit and Loss'!AK330*365</f>
        <v>90.1255597580869</v>
      </c>
      <c r="AM155" s="930"/>
      <c r="AN155" s="931"/>
      <c r="AO155" s="931"/>
      <c r="AP155" s="931"/>
      <c r="AQ155" s="931"/>
      <c r="AR155" s="931"/>
      <c r="AS155" s="931"/>
    </row>
    <row r="156" customHeight="1" spans="1:45">
      <c r="B156" s="903"/>
      <c r="C156" s="903"/>
      <c r="D156" s="903"/>
      <c r="E156" s="903"/>
      <c r="F156" s="903"/>
      <c r="G156" s="903"/>
      <c r="H156" s="903"/>
      <c r="I156" s="903"/>
      <c r="J156" s="903"/>
      <c r="K156" s="903"/>
      <c r="L156" s="903"/>
      <c r="M156" s="903"/>
      <c r="N156" s="903"/>
      <c r="O156" s="903"/>
      <c r="P156" s="903"/>
      <c r="Q156" s="903"/>
      <c r="R156" s="903"/>
      <c r="S156" s="903"/>
      <c r="T156" s="903"/>
      <c r="U156" s="903"/>
      <c r="V156" s="903"/>
      <c r="W156" s="903"/>
      <c r="X156" s="903"/>
      <c r="Y156" s="903"/>
      <c r="Z156" s="903"/>
      <c r="AA156" s="903"/>
      <c r="AB156" s="903"/>
      <c r="AC156" s="903"/>
      <c r="AD156" s="903"/>
      <c r="AE156" s="903"/>
      <c r="AF156" s="903"/>
      <c r="AG156" s="903"/>
      <c r="AH156" s="903"/>
      <c r="AI156" s="903"/>
      <c r="AJ156" s="903"/>
      <c r="AK156" s="903"/>
      <c r="AL156" s="903"/>
    </row>
    <row r="157" customHeight="1" spans="1:45">
      <c r="A157" s="872" t="s">
        <v>1070</v>
      </c>
      <c r="B157" s="2132" t="str">
        <f>B$1</f>
        <v>1994</v>
      </c>
      <c r="C157" s="2132" t="str">
        <f t="shared" ref="C157:AL157" si="312">C$1</f>
        <v>1995</v>
      </c>
      <c r="D157" s="2132" t="str">
        <f t="shared" si="312"/>
        <v>1996</v>
      </c>
      <c r="E157" s="2132" t="str">
        <f t="shared" si="312"/>
        <v>1997</v>
      </c>
      <c r="F157" s="2132" t="str">
        <f t="shared" si="312"/>
        <v>1998</v>
      </c>
      <c r="G157" s="2132" t="str">
        <f t="shared" si="312"/>
        <v>1999</v>
      </c>
      <c r="H157" s="2132" t="str">
        <f t="shared" si="312"/>
        <v>2000</v>
      </c>
      <c r="I157" s="2132" t="str">
        <f t="shared" si="312"/>
        <v>2001</v>
      </c>
      <c r="J157" s="2132" t="str">
        <f t="shared" si="312"/>
        <v>2002</v>
      </c>
      <c r="K157" s="2132" t="str">
        <f t="shared" si="312"/>
        <v>2003</v>
      </c>
      <c r="L157" s="2132" t="str">
        <f t="shared" si="312"/>
        <v>2004</v>
      </c>
      <c r="M157" s="2132" t="str">
        <f t="shared" si="312"/>
        <v>2005</v>
      </c>
      <c r="N157" s="2132" t="str">
        <f t="shared" si="312"/>
        <v>2006</v>
      </c>
      <c r="O157" s="863">
        <f t="shared" si="312"/>
        <v>2007</v>
      </c>
      <c r="P157" s="863">
        <f t="shared" si="312"/>
        <v>2008</v>
      </c>
      <c r="Q157" s="863">
        <f t="shared" si="312"/>
        <v>2009</v>
      </c>
      <c r="R157" s="863">
        <f t="shared" si="312"/>
        <v>2010</v>
      </c>
      <c r="S157" s="863">
        <f t="shared" si="312"/>
        <v>2011</v>
      </c>
      <c r="T157" s="863">
        <f t="shared" si="312"/>
        <v>2012</v>
      </c>
      <c r="U157" s="863">
        <f t="shared" si="312"/>
        <v>2013</v>
      </c>
      <c r="V157" s="863">
        <f t="shared" si="312"/>
        <v>2014</v>
      </c>
      <c r="W157" s="863">
        <f t="shared" si="312"/>
        <v>2015</v>
      </c>
      <c r="X157" s="863">
        <f t="shared" si="312"/>
        <v>2016</v>
      </c>
      <c r="Y157" s="863">
        <f t="shared" si="312"/>
        <v>2017</v>
      </c>
      <c r="Z157" s="863">
        <f t="shared" si="312"/>
        <v>2018</v>
      </c>
      <c r="AA157" s="863">
        <f t="shared" si="312"/>
        <v>2019</v>
      </c>
      <c r="AB157" s="863">
        <f t="shared" si="312"/>
        <v>2020</v>
      </c>
      <c r="AC157" s="863">
        <f t="shared" si="312"/>
        <v>2021</v>
      </c>
      <c r="AD157" s="863">
        <f t="shared" si="312"/>
        <v>2022</v>
      </c>
      <c r="AE157" s="863">
        <f t="shared" si="312"/>
        <v>2023</v>
      </c>
      <c r="AF157" s="863">
        <f t="shared" si="312"/>
        <v>2024</v>
      </c>
      <c r="AG157" s="863">
        <f t="shared" si="312"/>
        <v>2025</v>
      </c>
      <c r="AH157" s="2132" t="str">
        <f t="shared" si="312"/>
        <v>2026E</v>
      </c>
      <c r="AI157" s="2132" t="str">
        <f t="shared" si="312"/>
        <v>2027E</v>
      </c>
      <c r="AJ157" s="2132" t="str">
        <f t="shared" si="312"/>
        <v>2028E</v>
      </c>
      <c r="AK157" s="2132" t="str">
        <f t="shared" si="312"/>
        <v>2029E</v>
      </c>
      <c r="AL157" s="2132" t="str">
        <f t="shared" si="312"/>
        <v>2030E</v>
      </c>
    </row>
    <row r="158" s="859" customFormat="1" customHeight="1" spans="1:45">
      <c r="A158" s="859" t="s">
        <v>1071</v>
      </c>
      <c r="B158" s="868"/>
      <c r="C158" s="868">
        <f t="shared" ref="C158:AF158" si="313">-C22/C21</f>
        <v>0.54589681218794</v>
      </c>
      <c r="D158" s="868">
        <f t="shared" si="313"/>
        <v>0.534497872241831</v>
      </c>
      <c r="E158" s="868">
        <f t="shared" si="313"/>
        <v>0.54245365548844</v>
      </c>
      <c r="F158" s="868">
        <f t="shared" si="313"/>
        <v>0.451768014572271</v>
      </c>
      <c r="G158" s="868">
        <f t="shared" si="313"/>
        <v>0.481078830749342</v>
      </c>
      <c r="H158" s="868">
        <f t="shared" si="313"/>
        <v>0.501946945337621</v>
      </c>
      <c r="I158" s="868">
        <f t="shared" si="313"/>
        <v>0.483534161796303</v>
      </c>
      <c r="J158" s="868">
        <f t="shared" si="313"/>
        <v>0.502773276490228</v>
      </c>
      <c r="K158" s="868">
        <f t="shared" si="313"/>
        <v>0.529635808148789</v>
      </c>
      <c r="L158" s="868">
        <f t="shared" si="313"/>
        <v>0.549312751187879</v>
      </c>
      <c r="M158" s="868">
        <f t="shared" si="313"/>
        <v>0.485007281553398</v>
      </c>
      <c r="N158" s="868">
        <f t="shared" si="313"/>
        <v>0.410607356715141</v>
      </c>
      <c r="O158" s="868">
        <f t="shared" si="313"/>
        <v>0.402044293015332</v>
      </c>
      <c r="P158" s="868">
        <f t="shared" si="313"/>
        <v>0.425421530479896</v>
      </c>
      <c r="Q158" s="868">
        <f t="shared" si="313"/>
        <v>0.511486486486487</v>
      </c>
      <c r="R158" s="868">
        <f t="shared" si="313"/>
        <v>0.524471635150167</v>
      </c>
      <c r="S158" s="868">
        <f t="shared" si="313"/>
        <v>0.534782608695652</v>
      </c>
      <c r="T158" s="868">
        <f t="shared" si="313"/>
        <v>0.515915119363395</v>
      </c>
      <c r="U158" s="868">
        <f t="shared" si="313"/>
        <v>0.488218272013229</v>
      </c>
      <c r="V158" s="868">
        <f t="shared" si="313"/>
        <v>0.484945093871768</v>
      </c>
      <c r="W158" s="868">
        <f t="shared" si="313"/>
        <v>0.491462278795405</v>
      </c>
      <c r="X158" s="868">
        <f t="shared" si="313"/>
        <v>0.475054824561404</v>
      </c>
      <c r="Y158" s="868">
        <f t="shared" si="313"/>
        <v>0.448883990079912</v>
      </c>
      <c r="Z158" s="868">
        <f t="shared" si="313"/>
        <v>0.44915045555282</v>
      </c>
      <c r="AA158" s="868">
        <f t="shared" si="313"/>
        <v>0.50530035335689</v>
      </c>
      <c r="AB158" s="868">
        <f t="shared" si="313"/>
        <v>0.590934951640432</v>
      </c>
      <c r="AC158" s="868">
        <f t="shared" si="313"/>
        <v>0.620617169763727</v>
      </c>
      <c r="AD158" s="868">
        <f t="shared" si="313"/>
        <v>0.657653597716689</v>
      </c>
      <c r="AE158" s="868">
        <f t="shared" si="313"/>
        <v>0.698528381219341</v>
      </c>
      <c r="AF158" s="868">
        <f t="shared" si="313"/>
        <v>0.702811751355441</v>
      </c>
      <c r="AG158" s="868">
        <f t="shared" ref="AG158:AH158" si="314">-AG22/AG21</f>
        <v>0.71044121044121</v>
      </c>
      <c r="AH158" s="868">
        <f t="shared" si="314"/>
        <v>0.731943037527068</v>
      </c>
      <c r="AI158" s="868">
        <f t="shared" ref="AI158:AJ158" si="315">-AI22/AI21</f>
        <v>0.752407704860468</v>
      </c>
      <c r="AJ158" s="868">
        <f t="shared" si="315"/>
        <v>0.771724560699013</v>
      </c>
      <c r="AK158" s="868">
        <f t="shared" ref="AK158:AL158" si="316">-AK22/AK21</f>
        <v>0.789818694624615</v>
      </c>
      <c r="AL158" s="868">
        <f t="shared" si="316"/>
        <v>0.806776199165273</v>
      </c>
    </row>
    <row r="159" s="859" customFormat="1" customHeight="1" spans="1:45">
      <c r="A159" s="859" t="s">
        <v>1072</v>
      </c>
      <c r="B159" s="868"/>
      <c r="C159" s="868">
        <f t="shared" ref="C159:AF159" si="317">+C92/-C111</f>
        <v>0.312940489087434</v>
      </c>
      <c r="D159" s="868">
        <f t="shared" si="317"/>
        <v>0.400670794633643</v>
      </c>
      <c r="E159" s="868">
        <f t="shared" si="317"/>
        <v>0.424996303912477</v>
      </c>
      <c r="F159" s="868">
        <f t="shared" si="317"/>
        <v>0.111831930066908</v>
      </c>
      <c r="G159" s="868">
        <f t="shared" si="317"/>
        <v>0.477334460071226</v>
      </c>
      <c r="H159" s="868">
        <f t="shared" si="317"/>
        <v>0.527604651318476</v>
      </c>
      <c r="I159" s="868">
        <f t="shared" si="317"/>
        <v>0.445199954471448</v>
      </c>
      <c r="J159" s="868">
        <f t="shared" si="317"/>
        <v>0.366897046604728</v>
      </c>
      <c r="K159" s="868">
        <f t="shared" si="317"/>
        <v>0.660094675374037</v>
      </c>
      <c r="L159" s="868">
        <f t="shared" si="317"/>
        <v>0.700265465750178</v>
      </c>
      <c r="M159" s="868">
        <f t="shared" si="317"/>
        <v>0.597604651162791</v>
      </c>
      <c r="N159" s="868">
        <f t="shared" si="317"/>
        <v>0.783393501805054</v>
      </c>
      <c r="O159" s="868">
        <f t="shared" si="317"/>
        <v>0.754385964912281</v>
      </c>
      <c r="P159" s="868">
        <f t="shared" si="317"/>
        <v>0.622340425531915</v>
      </c>
      <c r="Q159" s="868">
        <f t="shared" si="317"/>
        <v>1.24066390041494</v>
      </c>
      <c r="R159" s="868">
        <f t="shared" si="317"/>
        <v>0.966542750929368</v>
      </c>
      <c r="S159" s="868">
        <f t="shared" si="317"/>
        <v>0.662234042553192</v>
      </c>
      <c r="T159" s="868">
        <f t="shared" si="317"/>
        <v>0.605990783410138</v>
      </c>
      <c r="U159" s="868">
        <f t="shared" si="317"/>
        <v>0.60337552742616</v>
      </c>
      <c r="V159" s="868">
        <f t="shared" si="317"/>
        <v>0.589416058394161</v>
      </c>
      <c r="W159" s="868">
        <f t="shared" si="317"/>
        <v>0.690058479532164</v>
      </c>
      <c r="X159" s="868">
        <f t="shared" si="317"/>
        <v>0.596006144393241</v>
      </c>
      <c r="Y159" s="868">
        <f t="shared" si="317"/>
        <v>0.744224422442244</v>
      </c>
      <c r="Z159" s="868">
        <f t="shared" si="317"/>
        <v>0.841243862520458</v>
      </c>
      <c r="AA159" s="868">
        <f t="shared" si="317"/>
        <v>2.03010033444816</v>
      </c>
      <c r="AB159" s="868">
        <f t="shared" si="317"/>
        <v>3.72282608695652</v>
      </c>
      <c r="AC159" s="868">
        <f t="shared" si="317"/>
        <v>2.32591093117409</v>
      </c>
      <c r="AD159" s="868">
        <f t="shared" si="317"/>
        <v>2.7281746031746</v>
      </c>
      <c r="AE159" s="868">
        <f t="shared" si="317"/>
        <v>3.33884297520661</v>
      </c>
      <c r="AF159" s="868">
        <f t="shared" si="317"/>
        <v>2.81622911694511</v>
      </c>
      <c r="AG159" s="868">
        <f t="shared" ref="AG159:AH159" si="318">+AG92/-AG111</f>
        <v>3.17906336088154</v>
      </c>
      <c r="AH159" s="868">
        <f t="shared" si="318"/>
        <v>2.15</v>
      </c>
      <c r="AI159" s="868">
        <f t="shared" ref="AI159:AJ159" si="319">+AI92/-AI111</f>
        <v>2.15</v>
      </c>
      <c r="AJ159" s="868">
        <f t="shared" si="319"/>
        <v>2.15</v>
      </c>
      <c r="AK159" s="868">
        <f t="shared" ref="AK159:AL159" si="320">+AK92/-AK111</f>
        <v>2.15</v>
      </c>
      <c r="AL159" s="868">
        <f t="shared" si="320"/>
        <v>2.15</v>
      </c>
    </row>
    <row r="160" s="859" customFormat="1" customHeight="1" spans="1:45">
      <c r="A160" s="859" t="s">
        <v>1073</v>
      </c>
      <c r="B160" s="868"/>
      <c r="C160" s="868">
        <f t="shared" ref="C160:AF160" si="321">C92/C3</f>
        <v>0.0146898498388682</v>
      </c>
      <c r="D160" s="868">
        <f t="shared" si="321"/>
        <v>0.0131905503678575</v>
      </c>
      <c r="E160" s="868">
        <f t="shared" si="321"/>
        <v>0.0094415325015672</v>
      </c>
      <c r="F160" s="868">
        <f t="shared" si="321"/>
        <v>0.00266394323757928</v>
      </c>
      <c r="G160" s="868">
        <f t="shared" si="321"/>
        <v>0.0118163247352562</v>
      </c>
      <c r="H160" s="868">
        <f t="shared" si="321"/>
        <v>0.0135067694944302</v>
      </c>
      <c r="I160" s="868">
        <f t="shared" si="321"/>
        <v>0.0147180780148771</v>
      </c>
      <c r="J160" s="868">
        <f t="shared" si="321"/>
        <v>0.0148920374423289</v>
      </c>
      <c r="K160" s="868">
        <f t="shared" si="321"/>
        <v>0.0152420693176741</v>
      </c>
      <c r="L160" s="868">
        <f t="shared" si="321"/>
        <v>0.0201804644808743</v>
      </c>
      <c r="M160" s="868">
        <f t="shared" si="321"/>
        <v>0.0193618143459916</v>
      </c>
      <c r="N160" s="868">
        <f t="shared" si="321"/>
        <v>0.0215192383974613</v>
      </c>
      <c r="O160" s="868">
        <f t="shared" si="321"/>
        <v>0.0208758131857462</v>
      </c>
      <c r="P160" s="868">
        <f t="shared" si="321"/>
        <v>0.0216686730252801</v>
      </c>
      <c r="Q160" s="868">
        <f t="shared" si="321"/>
        <v>0.0288026201714671</v>
      </c>
      <c r="R160" s="868">
        <f t="shared" si="321"/>
        <v>0.0216847372810676</v>
      </c>
      <c r="S160" s="868">
        <f t="shared" si="321"/>
        <v>0.0186894843503715</v>
      </c>
      <c r="T160" s="868">
        <f t="shared" si="321"/>
        <v>0.0176711684472217</v>
      </c>
      <c r="U160" s="868">
        <f t="shared" si="321"/>
        <v>0.020133755719817</v>
      </c>
      <c r="V160" s="868">
        <f t="shared" si="321"/>
        <v>0.0222237512040732</v>
      </c>
      <c r="W160" s="868">
        <f t="shared" si="321"/>
        <v>0.0209281702630801</v>
      </c>
      <c r="X160" s="868">
        <f t="shared" si="321"/>
        <v>0.0201140487299119</v>
      </c>
      <c r="Y160" s="868">
        <f t="shared" si="321"/>
        <v>0.0212555377509662</v>
      </c>
      <c r="Z160" s="868">
        <f t="shared" si="321"/>
        <v>0.0234542550764317</v>
      </c>
      <c r="AA160" s="868">
        <f t="shared" si="321"/>
        <v>0.0513514656740408</v>
      </c>
      <c r="AB160" s="868">
        <f t="shared" si="321"/>
        <v>0.0690385003023584</v>
      </c>
      <c r="AC160" s="868">
        <f t="shared" si="321"/>
        <v>0.0541113308844307</v>
      </c>
      <c r="AD160" s="868">
        <f t="shared" si="321"/>
        <v>0.0610812491670739</v>
      </c>
      <c r="AE160" s="868">
        <f t="shared" si="321"/>
        <v>0.0586130186671825</v>
      </c>
      <c r="AF160" s="868">
        <f t="shared" si="321"/>
        <v>0.0512308427039465</v>
      </c>
      <c r="AG160" s="868">
        <f t="shared" ref="AG160:AH160" si="322">AG92/AG3</f>
        <v>0.0465116279069767</v>
      </c>
      <c r="AH160" s="868">
        <f t="shared" si="322"/>
        <v>0.043</v>
      </c>
      <c r="AI160" s="868">
        <f t="shared" ref="AI160:AJ160" si="323">AI92/AI3</f>
        <v>0.043</v>
      </c>
      <c r="AJ160" s="868">
        <f t="shared" si="323"/>
        <v>0.043</v>
      </c>
      <c r="AK160" s="868">
        <f t="shared" ref="AK160:AL160" si="324">AK92/AK3</f>
        <v>0.043</v>
      </c>
      <c r="AL160" s="868">
        <f t="shared" si="324"/>
        <v>0.043</v>
      </c>
    </row>
    <row r="161" s="859" customFormat="1" customHeight="1" spans="1:43">
      <c r="A161" s="859" t="s">
        <v>1074</v>
      </c>
      <c r="B161" s="868"/>
      <c r="C161" s="868">
        <f t="shared" ref="C161:AF161" si="325">C92/C23</f>
        <v>0.258860606548794</v>
      </c>
      <c r="D161" s="868">
        <f t="shared" si="325"/>
        <v>0.257662044622155</v>
      </c>
      <c r="E161" s="868">
        <f t="shared" si="325"/>
        <v>0.230318480616203</v>
      </c>
      <c r="F161" s="868">
        <f t="shared" si="325"/>
        <v>0.0531770850124117</v>
      </c>
      <c r="G161" s="868">
        <f t="shared" si="325"/>
        <v>0.222606933243255</v>
      </c>
      <c r="H161" s="868">
        <f t="shared" si="325"/>
        <v>0.254405417881203</v>
      </c>
      <c r="I161" s="868">
        <f t="shared" si="325"/>
        <v>0.238079737472378</v>
      </c>
      <c r="J161" s="868">
        <f t="shared" si="325"/>
        <v>0.265606032436925</v>
      </c>
      <c r="K161" s="868">
        <f t="shared" si="325"/>
        <v>0.277225050354952</v>
      </c>
      <c r="L161" s="868">
        <f t="shared" si="325"/>
        <v>0.321195451283947</v>
      </c>
      <c r="M161" s="868">
        <f t="shared" si="325"/>
        <v>0.302777869420343</v>
      </c>
      <c r="N161" s="868">
        <f t="shared" si="325"/>
        <v>0.314949201741655</v>
      </c>
      <c r="O161" s="868">
        <f t="shared" si="325"/>
        <v>0.306267806267806</v>
      </c>
      <c r="P161" s="868">
        <f t="shared" si="325"/>
        <v>0.26410835214447</v>
      </c>
      <c r="Q161" s="868">
        <f t="shared" si="325"/>
        <v>0.413554633471646</v>
      </c>
      <c r="R161" s="868">
        <f t="shared" si="325"/>
        <v>0.304093567251462</v>
      </c>
      <c r="S161" s="868">
        <f t="shared" si="325"/>
        <v>0.258566978193146</v>
      </c>
      <c r="T161" s="868">
        <f t="shared" si="325"/>
        <v>0.240182648401826</v>
      </c>
      <c r="U161" s="868">
        <f t="shared" si="325"/>
        <v>0.231017770597738</v>
      </c>
      <c r="V161" s="868">
        <f t="shared" si="325"/>
        <v>0.222145804676754</v>
      </c>
      <c r="W161" s="868">
        <f t="shared" si="325"/>
        <v>0.216117216117216</v>
      </c>
      <c r="X161" s="868">
        <f t="shared" si="325"/>
        <v>0.202610966057441</v>
      </c>
      <c r="Y161" s="868">
        <f t="shared" si="325"/>
        <v>0.2255</v>
      </c>
      <c r="Z161" s="868">
        <f t="shared" si="325"/>
        <v>0.229772016092982</v>
      </c>
      <c r="AA161" s="868">
        <f t="shared" si="325"/>
        <v>0.510084033613445</v>
      </c>
      <c r="AB161" s="868">
        <f t="shared" si="325"/>
        <v>0.635141400092721</v>
      </c>
      <c r="AC161" s="868">
        <f t="shared" si="325"/>
        <v>0.509308510638298</v>
      </c>
      <c r="AD161" s="868">
        <f t="shared" si="325"/>
        <v>0.603334795963142</v>
      </c>
      <c r="AE161" s="868">
        <f t="shared" si="325"/>
        <v>0.561891515994437</v>
      </c>
      <c r="AF161" s="868">
        <f t="shared" si="325"/>
        <v>0.553211439287389</v>
      </c>
      <c r="AG161" s="868">
        <f t="shared" ref="AG161:AH161" si="326">AG92/AG23</f>
        <v>0.584896097313735</v>
      </c>
      <c r="AH161" s="868">
        <f t="shared" si="326"/>
        <v>0.591341125048626</v>
      </c>
      <c r="AI161" s="868">
        <f t="shared" ref="AI161:AJ161" si="327">AI92/AI23</f>
        <v>0.591341125048626</v>
      </c>
      <c r="AJ161" s="868">
        <f t="shared" si="327"/>
        <v>0.591341125048626</v>
      </c>
      <c r="AK161" s="868">
        <f t="shared" ref="AK161:AL161" si="328">AK92/AK23</f>
        <v>0.591341125048626</v>
      </c>
      <c r="AL161" s="868">
        <f t="shared" si="328"/>
        <v>0.591341125048626</v>
      </c>
    </row>
    <row r="162" s="859" customFormat="1" customHeight="1" spans="1:43">
      <c r="A162" s="859" t="s">
        <v>1075</v>
      </c>
      <c r="B162" s="868"/>
      <c r="C162" s="868">
        <f t="shared" ref="C162:AF162" si="329">-C111/C3</f>
        <v>0.0469413525929651</v>
      </c>
      <c r="D162" s="868">
        <f t="shared" si="329"/>
        <v>0.032921167563307</v>
      </c>
      <c r="E162" s="868">
        <f t="shared" si="329"/>
        <v>0.022215563793495</v>
      </c>
      <c r="F162" s="868">
        <f t="shared" si="329"/>
        <v>0.0238209537829266</v>
      </c>
      <c r="G162" s="868">
        <f t="shared" si="329"/>
        <v>0.0247548118220775</v>
      </c>
      <c r="H162" s="868">
        <f t="shared" si="329"/>
        <v>0.0256001713796058</v>
      </c>
      <c r="I162" s="868">
        <f t="shared" si="329"/>
        <v>0.0330594778077881</v>
      </c>
      <c r="J162" s="868">
        <f t="shared" si="329"/>
        <v>0.0405891450480185</v>
      </c>
      <c r="K162" s="868">
        <f t="shared" si="329"/>
        <v>0.0230907321120827</v>
      </c>
      <c r="L162" s="868">
        <f t="shared" si="329"/>
        <v>0.028818306010929</v>
      </c>
      <c r="M162" s="868">
        <f t="shared" si="329"/>
        <v>0.0323990355635925</v>
      </c>
      <c r="N162" s="868">
        <f t="shared" si="329"/>
        <v>0.0274692582308608</v>
      </c>
      <c r="O162" s="868">
        <f t="shared" si="329"/>
        <v>0.0276725895718031</v>
      </c>
      <c r="P162" s="868">
        <f t="shared" si="329"/>
        <v>0.0348180387072877</v>
      </c>
      <c r="Q162" s="868">
        <f t="shared" si="329"/>
        <v>0.0232154898372026</v>
      </c>
      <c r="R162" s="868">
        <f t="shared" si="329"/>
        <v>0.0224353628023353</v>
      </c>
      <c r="S162" s="868">
        <f t="shared" si="329"/>
        <v>0.0282218719507618</v>
      </c>
      <c r="T162" s="868">
        <f t="shared" si="329"/>
        <v>0.0291607874756434</v>
      </c>
      <c r="U162" s="868">
        <f t="shared" si="329"/>
        <v>0.0333685322069694</v>
      </c>
      <c r="V162" s="868">
        <f t="shared" si="329"/>
        <v>0.0377046924453007</v>
      </c>
      <c r="W162" s="868">
        <f t="shared" si="329"/>
        <v>0.0303281111439551</v>
      </c>
      <c r="X162" s="868">
        <f t="shared" si="329"/>
        <v>0.0337480559875583</v>
      </c>
      <c r="Y162" s="868">
        <f t="shared" si="329"/>
        <v>0.0285606560467528</v>
      </c>
      <c r="Z162" s="868">
        <f t="shared" si="329"/>
        <v>0.0278804471822952</v>
      </c>
      <c r="AA162" s="868">
        <f t="shared" si="329"/>
        <v>0.0252950382809526</v>
      </c>
      <c r="AB162" s="868">
        <f t="shared" si="329"/>
        <v>0.0185446482563999</v>
      </c>
      <c r="AC162" s="868">
        <f t="shared" si="329"/>
        <v>0.0232645756805124</v>
      </c>
      <c r="AD162" s="868">
        <f t="shared" si="329"/>
        <v>0.0223890542401493</v>
      </c>
      <c r="AE162" s="868">
        <f t="shared" si="329"/>
        <v>0.0175548892542799</v>
      </c>
      <c r="AF162" s="868">
        <f t="shared" si="329"/>
        <v>0.0181912907567403</v>
      </c>
      <c r="AG162" s="868">
        <f t="shared" ref="AG162:AH162" si="330">-AG111/AG3</f>
        <v>0.0146306073918826</v>
      </c>
      <c r="AH162" s="868">
        <f t="shared" si="330"/>
        <v>0.02</v>
      </c>
      <c r="AI162" s="868">
        <f t="shared" ref="AI162:AJ162" si="331">-AI111/AI3</f>
        <v>0.02</v>
      </c>
      <c r="AJ162" s="868">
        <f t="shared" si="331"/>
        <v>0.02</v>
      </c>
      <c r="AK162" s="868">
        <f t="shared" ref="AK162:AL162" si="332">-AK111/AK3</f>
        <v>0.02</v>
      </c>
      <c r="AL162" s="868">
        <f t="shared" si="332"/>
        <v>0.02</v>
      </c>
    </row>
    <row r="163" s="859" customFormat="1" customHeight="1" spans="1:43">
      <c r="A163" s="859" t="s">
        <v>1076</v>
      </c>
      <c r="B163" s="868"/>
      <c r="C163" s="868">
        <f t="shared" ref="C163:AF163" si="333">-C111/C23</f>
        <v>0.827187965685287</v>
      </c>
      <c r="D163" s="868">
        <f t="shared" si="333"/>
        <v>0.643076680589487</v>
      </c>
      <c r="E163" s="868">
        <f t="shared" si="333"/>
        <v>0.541930549738696</v>
      </c>
      <c r="F163" s="868">
        <f t="shared" si="333"/>
        <v>0.475508962248944</v>
      </c>
      <c r="G163" s="868">
        <f t="shared" si="333"/>
        <v>0.466354206252023</v>
      </c>
      <c r="H163" s="868">
        <f t="shared" si="333"/>
        <v>0.482189490265955</v>
      </c>
      <c r="I163" s="868">
        <f t="shared" si="333"/>
        <v>0.534770354491684</v>
      </c>
      <c r="J163" s="868">
        <f t="shared" si="333"/>
        <v>0.723925239777338</v>
      </c>
      <c r="K163" s="868">
        <f t="shared" si="333"/>
        <v>0.419977710315364</v>
      </c>
      <c r="L163" s="868">
        <f t="shared" si="333"/>
        <v>0.458676697614751</v>
      </c>
      <c r="M163" s="868">
        <f t="shared" si="333"/>
        <v>0.506652464687501</v>
      </c>
      <c r="N163" s="868">
        <f t="shared" si="333"/>
        <v>0.402031930333817</v>
      </c>
      <c r="O163" s="868">
        <f t="shared" si="333"/>
        <v>0.405982905982906</v>
      </c>
      <c r="P163" s="868">
        <f t="shared" si="333"/>
        <v>0.424379232505643</v>
      </c>
      <c r="Q163" s="868">
        <f t="shared" si="333"/>
        <v>0.333333333333333</v>
      </c>
      <c r="R163" s="868">
        <f t="shared" si="333"/>
        <v>0.314619883040936</v>
      </c>
      <c r="S163" s="868">
        <f t="shared" si="333"/>
        <v>0.390446521287643</v>
      </c>
      <c r="T163" s="868">
        <f t="shared" si="333"/>
        <v>0.39634703196347</v>
      </c>
      <c r="U163" s="868">
        <f t="shared" si="333"/>
        <v>0.382875605815832</v>
      </c>
      <c r="V163" s="868">
        <f t="shared" si="333"/>
        <v>0.376891334250344</v>
      </c>
      <c r="W163" s="868">
        <f t="shared" si="333"/>
        <v>0.313186813186813</v>
      </c>
      <c r="X163" s="868">
        <f t="shared" si="333"/>
        <v>0.339947780678851</v>
      </c>
      <c r="Y163" s="868">
        <f t="shared" si="333"/>
        <v>0.303</v>
      </c>
      <c r="Z163" s="868">
        <f t="shared" si="333"/>
        <v>0.27313366115333</v>
      </c>
      <c r="AA163" s="868">
        <f t="shared" si="333"/>
        <v>0.251260504201681</v>
      </c>
      <c r="AB163" s="868">
        <f t="shared" si="333"/>
        <v>0.17060732498841</v>
      </c>
      <c r="AC163" s="868">
        <f t="shared" si="333"/>
        <v>0.218971631205674</v>
      </c>
      <c r="AD163" s="868">
        <f t="shared" si="333"/>
        <v>0.221149627029399</v>
      </c>
      <c r="AE163" s="868">
        <f t="shared" si="333"/>
        <v>0.168289290681502</v>
      </c>
      <c r="AF163" s="868">
        <f t="shared" si="333"/>
        <v>0.196436943272386</v>
      </c>
      <c r="AG163" s="868">
        <f t="shared" ref="AG163:AH163" si="334">-AG111/AG23</f>
        <v>0.183983781044095</v>
      </c>
      <c r="AH163" s="868">
        <f t="shared" si="334"/>
        <v>0.275042383743547</v>
      </c>
      <c r="AI163" s="868">
        <f t="shared" ref="AI163:AJ163" si="335">-AI111/AI23</f>
        <v>0.275042383743547</v>
      </c>
      <c r="AJ163" s="868">
        <f t="shared" si="335"/>
        <v>0.275042383743547</v>
      </c>
      <c r="AK163" s="868">
        <f t="shared" ref="AK163:AL163" si="336">-AK111/AK23</f>
        <v>0.275042383743547</v>
      </c>
      <c r="AL163" s="868">
        <f t="shared" si="336"/>
        <v>0.275042383743547</v>
      </c>
    </row>
    <row r="164" s="859" customFormat="1" customHeight="1" spans="1:43">
      <c r="A164" s="859" t="s">
        <v>1077</v>
      </c>
      <c r="B164" s="868"/>
      <c r="C164" s="868"/>
      <c r="D164" s="868"/>
      <c r="E164" s="868"/>
      <c r="F164" s="868"/>
      <c r="G164" s="868"/>
      <c r="H164" s="868"/>
      <c r="I164" s="868"/>
      <c r="J164" s="868"/>
      <c r="K164" s="868"/>
      <c r="L164" s="868"/>
      <c r="M164" s="932">
        <f>'Profit and Loss'!L325/L37</f>
        <v>1.49665620480824</v>
      </c>
      <c r="N164" s="932">
        <f>'Profit and Loss'!M325/M37</f>
        <v>1.75377481593973</v>
      </c>
      <c r="O164" s="932">
        <f>'Profit and Loss'!N325/N37</f>
        <v>1.22914428929467</v>
      </c>
      <c r="P164" s="932">
        <f>'Profit and Loss'!O325/O37</f>
        <v>1.29717717717718</v>
      </c>
      <c r="Q164" s="932">
        <f>'Profit and Loss'!P325/P37</f>
        <v>1.08895415923634</v>
      </c>
      <c r="R164" s="932">
        <f>'Profit and Loss'!Q325/Q37</f>
        <v>1.35098591549296</v>
      </c>
      <c r="S164" s="932">
        <f>'Profit and Loss'!R325/R37</f>
        <v>1.26548252279635</v>
      </c>
      <c r="T164" s="932">
        <f>'Profit and Loss'!S325/S37</f>
        <v>1.32446382486429</v>
      </c>
      <c r="U164" s="932">
        <f>'Profit and Loss'!T325/T37</f>
        <v>1.21920865161789</v>
      </c>
      <c r="V164" s="932">
        <f>'Profit and Loss'!U325/U37</f>
        <v>1.25303905509096</v>
      </c>
      <c r="W164" s="932">
        <f>'Profit and Loss'!V325/V37</f>
        <v>1.36224530885077</v>
      </c>
      <c r="X164" s="932">
        <f>'Profit and Loss'!W325/W37</f>
        <v>1.44570186614704</v>
      </c>
      <c r="Y164" s="932">
        <f>'Profit and Loss'!X325/X37</f>
        <v>1.39812862414338</v>
      </c>
      <c r="Z164" s="932">
        <f>'Profit and Loss'!Y325/Y37</f>
        <v>1.50908965707203</v>
      </c>
      <c r="AA164" s="932">
        <f>'Profit and Loss'!Z325/Z37</f>
        <v>1.51428388419165</v>
      </c>
      <c r="AB164" s="932">
        <f>'Profit and Loss'!AA325/AA37</f>
        <v>0.959574468085106</v>
      </c>
      <c r="AC164" s="932">
        <f>'Profit and Loss'!AB325/AB37</f>
        <v>1.00859734954638</v>
      </c>
      <c r="AD164" s="932">
        <f>'Profit and Loss'!AC325/AC37</f>
        <v>1.0168947915255</v>
      </c>
      <c r="AE164" s="932">
        <f>'Profit and Loss'!AD325/AD37</f>
        <v>1.0188214426488</v>
      </c>
      <c r="AF164" s="932">
        <f>'Profit and Loss'!AE325/AE37</f>
        <v>1.27819089900111</v>
      </c>
      <c r="AG164" s="932">
        <f>'Profit and Loss'!AF325/AF37</f>
        <v>1.20121036068748</v>
      </c>
      <c r="AH164" s="932">
        <f>'Profit and Loss'!AG325/AG37</f>
        <v>1.33903820541385</v>
      </c>
      <c r="AI164" s="932">
        <f>'Profit and Loss'!AH325/AH37</f>
        <v>1.39663781541095</v>
      </c>
      <c r="AJ164" s="932">
        <f>'Profit and Loss'!AI325/AI37</f>
        <v>1.42227816022419</v>
      </c>
      <c r="AK164" s="932">
        <f>'Profit and Loss'!AJ325/AJ37</f>
        <v>1.43511763948833</v>
      </c>
      <c r="AL164" s="932">
        <f>'Profit and Loss'!AK325/AK37</f>
        <v>1.44632436992599</v>
      </c>
    </row>
    <row r="165" customHeight="1" spans="1:43">
      <c r="B165" s="903"/>
      <c r="C165" s="903"/>
      <c r="D165" s="903"/>
      <c r="E165" s="903"/>
      <c r="F165" s="903"/>
      <c r="G165" s="903"/>
      <c r="H165" s="903"/>
      <c r="I165" s="903"/>
      <c r="J165" s="903"/>
      <c r="K165" s="903"/>
      <c r="L165" s="903"/>
      <c r="M165" s="903"/>
      <c r="N165" s="903"/>
      <c r="O165" s="903"/>
      <c r="P165" s="903"/>
      <c r="Q165" s="903"/>
      <c r="R165" s="903"/>
      <c r="S165" s="903"/>
      <c r="T165" s="903"/>
      <c r="U165" s="903"/>
      <c r="V165" s="903"/>
      <c r="W165" s="903"/>
      <c r="X165" s="903"/>
      <c r="Y165" s="903"/>
      <c r="Z165" s="903"/>
      <c r="AA165" s="903"/>
      <c r="AB165" s="903"/>
      <c r="AC165" s="903"/>
      <c r="AD165" s="903"/>
      <c r="AE165" s="903"/>
      <c r="AF165" s="903"/>
      <c r="AG165" s="903"/>
      <c r="AH165" s="903"/>
      <c r="AI165" s="903"/>
      <c r="AJ165" s="903"/>
      <c r="AK165" s="903"/>
      <c r="AL165" s="903"/>
    </row>
    <row r="166" customHeight="1" spans="1:43">
      <c r="A166" s="872" t="s">
        <v>1078</v>
      </c>
      <c r="B166" s="2132" t="str">
        <f>B$1</f>
        <v>1994</v>
      </c>
      <c r="C166" s="2132" t="str">
        <f t="shared" ref="C166:AL166" si="337">C$1</f>
        <v>1995</v>
      </c>
      <c r="D166" s="2132" t="str">
        <f t="shared" si="337"/>
        <v>1996</v>
      </c>
      <c r="E166" s="2132" t="str">
        <f t="shared" si="337"/>
        <v>1997</v>
      </c>
      <c r="F166" s="2132" t="str">
        <f t="shared" si="337"/>
        <v>1998</v>
      </c>
      <c r="G166" s="2132" t="str">
        <f t="shared" si="337"/>
        <v>1999</v>
      </c>
      <c r="H166" s="2132" t="str">
        <f t="shared" si="337"/>
        <v>2000</v>
      </c>
      <c r="I166" s="2132" t="str">
        <f t="shared" si="337"/>
        <v>2001</v>
      </c>
      <c r="J166" s="2132" t="str">
        <f t="shared" si="337"/>
        <v>2002</v>
      </c>
      <c r="K166" s="2132" t="str">
        <f t="shared" si="337"/>
        <v>2003</v>
      </c>
      <c r="L166" s="2132" t="str">
        <f t="shared" si="337"/>
        <v>2004</v>
      </c>
      <c r="M166" s="2132" t="str">
        <f t="shared" si="337"/>
        <v>2005</v>
      </c>
      <c r="N166" s="2132" t="str">
        <f t="shared" si="337"/>
        <v>2006</v>
      </c>
      <c r="O166" s="863">
        <f t="shared" si="337"/>
        <v>2007</v>
      </c>
      <c r="P166" s="863">
        <f t="shared" si="337"/>
        <v>2008</v>
      </c>
      <c r="Q166" s="863">
        <f t="shared" si="337"/>
        <v>2009</v>
      </c>
      <c r="R166" s="863">
        <f t="shared" si="337"/>
        <v>2010</v>
      </c>
      <c r="S166" s="863">
        <f t="shared" si="337"/>
        <v>2011</v>
      </c>
      <c r="T166" s="863">
        <f t="shared" si="337"/>
        <v>2012</v>
      </c>
      <c r="U166" s="863">
        <f t="shared" si="337"/>
        <v>2013</v>
      </c>
      <c r="V166" s="863">
        <f t="shared" si="337"/>
        <v>2014</v>
      </c>
      <c r="W166" s="863">
        <f t="shared" si="337"/>
        <v>2015</v>
      </c>
      <c r="X166" s="863">
        <f t="shared" si="337"/>
        <v>2016</v>
      </c>
      <c r="Y166" s="863">
        <f t="shared" si="337"/>
        <v>2017</v>
      </c>
      <c r="Z166" s="863">
        <f t="shared" si="337"/>
        <v>2018</v>
      </c>
      <c r="AA166" s="863">
        <f t="shared" si="337"/>
        <v>2019</v>
      </c>
      <c r="AB166" s="863">
        <f t="shared" si="337"/>
        <v>2020</v>
      </c>
      <c r="AC166" s="863">
        <f t="shared" si="337"/>
        <v>2021</v>
      </c>
      <c r="AD166" s="863">
        <f t="shared" si="337"/>
        <v>2022</v>
      </c>
      <c r="AE166" s="863">
        <f t="shared" si="337"/>
        <v>2023</v>
      </c>
      <c r="AF166" s="863">
        <f t="shared" si="337"/>
        <v>2024</v>
      </c>
      <c r="AG166" s="863">
        <f t="shared" si="337"/>
        <v>2025</v>
      </c>
      <c r="AH166" s="2132" t="str">
        <f t="shared" si="337"/>
        <v>2026E</v>
      </c>
      <c r="AI166" s="2132" t="str">
        <f t="shared" si="337"/>
        <v>2027E</v>
      </c>
      <c r="AJ166" s="2132" t="str">
        <f t="shared" si="337"/>
        <v>2028E</v>
      </c>
      <c r="AK166" s="2132" t="str">
        <f t="shared" si="337"/>
        <v>2029E</v>
      </c>
      <c r="AL166" s="2132" t="str">
        <f t="shared" si="337"/>
        <v>2030E</v>
      </c>
    </row>
    <row r="167" s="859" customFormat="1" customHeight="1" spans="1:43">
      <c r="A167" s="859" t="s">
        <v>1079</v>
      </c>
      <c r="B167" s="868"/>
      <c r="C167" s="868">
        <f t="shared" ref="C167:AF167" si="338">IF(ISERROR(-C27/C26),,-C27/C26)</f>
        <v>0.239283779578382</v>
      </c>
      <c r="D167" s="868">
        <f t="shared" si="338"/>
        <v>0.235178729689808</v>
      </c>
      <c r="E167" s="868">
        <f t="shared" si="338"/>
        <v>0.110359251036228</v>
      </c>
      <c r="F167" s="868">
        <f t="shared" si="338"/>
        <v>0.113887644202695</v>
      </c>
      <c r="G167" s="868">
        <f t="shared" si="338"/>
        <v>0.173373984924711</v>
      </c>
      <c r="H167" s="868">
        <f t="shared" si="338"/>
        <v>0.236008447729673</v>
      </c>
      <c r="I167" s="868">
        <f t="shared" si="338"/>
        <v>0.285725844055469</v>
      </c>
      <c r="J167" s="868">
        <f t="shared" si="338"/>
        <v>0.309309741193024</v>
      </c>
      <c r="K167" s="868">
        <f t="shared" si="338"/>
        <v>0.362714893601405</v>
      </c>
      <c r="L167" s="868">
        <f t="shared" si="338"/>
        <v>0.360553682342502</v>
      </c>
      <c r="M167" s="868">
        <f t="shared" si="338"/>
        <v>0.23953823953824</v>
      </c>
      <c r="N167" s="868">
        <f t="shared" si="338"/>
        <v>0.0655545800409716</v>
      </c>
      <c r="O167" s="868">
        <f t="shared" si="338"/>
        <v>0.0779671717171717</v>
      </c>
      <c r="P167" s="868">
        <f t="shared" si="338"/>
        <v>0.0918966529653552</v>
      </c>
      <c r="Q167" s="868">
        <f t="shared" si="338"/>
        <v>0.112567004169148</v>
      </c>
      <c r="R167" s="868">
        <f t="shared" si="338"/>
        <v>0.128687833661141</v>
      </c>
      <c r="S167" s="868">
        <f t="shared" si="338"/>
        <v>0.136644295302013</v>
      </c>
      <c r="T167" s="868">
        <f t="shared" si="338"/>
        <v>0.214362272240086</v>
      </c>
      <c r="U167" s="868">
        <f t="shared" si="338"/>
        <v>0.230110497237569</v>
      </c>
      <c r="V167" s="868">
        <f t="shared" si="338"/>
        <v>0.282151208106002</v>
      </c>
      <c r="W167" s="868">
        <f t="shared" si="338"/>
        <v>0.269414711910726</v>
      </c>
      <c r="X167" s="868">
        <f t="shared" si="338"/>
        <v>0.277863948592954</v>
      </c>
      <c r="Y167" s="868">
        <f t="shared" si="338"/>
        <v>0.372691138648585</v>
      </c>
      <c r="Z167" s="868">
        <f t="shared" si="338"/>
        <v>0.421079300734735</v>
      </c>
      <c r="AA167" s="868">
        <f t="shared" si="338"/>
        <v>0.407053637031594</v>
      </c>
      <c r="AB167" s="868">
        <f t="shared" si="338"/>
        <v>0.429235537190083</v>
      </c>
      <c r="AC167" s="868">
        <f t="shared" si="338"/>
        <v>0.512646514497224</v>
      </c>
      <c r="AD167" s="868">
        <f t="shared" si="338"/>
        <v>0.495971351835273</v>
      </c>
      <c r="AE167" s="868">
        <f t="shared" si="338"/>
        <v>0.497307001795332</v>
      </c>
      <c r="AF167" s="868">
        <f t="shared" si="338"/>
        <v>0.494201605709188</v>
      </c>
      <c r="AG167" s="868">
        <f t="shared" ref="AG167:AH167" si="339">IF(ISERROR(-AG27/AG26),,-AG27/AG26)</f>
        <v>0.502418379685611</v>
      </c>
      <c r="AH167" s="868">
        <f t="shared" si="339"/>
        <v>0.502418379685611</v>
      </c>
      <c r="AI167" s="868">
        <f t="shared" ref="AI167:AJ167" si="340">IF(ISERROR(-AI27/AI26),,-AI27/AI26)</f>
        <v>0.502418379685611</v>
      </c>
      <c r="AJ167" s="868">
        <f t="shared" si="340"/>
        <v>0.502418379685611</v>
      </c>
      <c r="AK167" s="868">
        <f t="shared" ref="AK167:AL167" si="341">IF(ISERROR(-AK27/AK26),,-AK27/AK26)</f>
        <v>0.502418379685611</v>
      </c>
      <c r="AL167" s="868">
        <f t="shared" si="341"/>
        <v>0.502418379685611</v>
      </c>
    </row>
    <row r="168" s="859" customFormat="1" customHeight="1" spans="1:43">
      <c r="A168" s="859" t="s">
        <v>1080</v>
      </c>
      <c r="B168" s="868"/>
      <c r="C168" s="868">
        <f t="shared" ref="C168:AF168" si="342">C95/C3</f>
        <v>0</v>
      </c>
      <c r="D168" s="868">
        <f t="shared" si="342"/>
        <v>0</v>
      </c>
      <c r="E168" s="868">
        <f t="shared" si="342"/>
        <v>0.00253796610680627</v>
      </c>
      <c r="F168" s="868">
        <f t="shared" si="342"/>
        <v>0.00782336497859418</v>
      </c>
      <c r="G168" s="868">
        <f t="shared" si="342"/>
        <v>0.00728658416432432</v>
      </c>
      <c r="H168" s="868">
        <f t="shared" si="342"/>
        <v>0.00677720651242502</v>
      </c>
      <c r="I168" s="868">
        <f t="shared" si="342"/>
        <v>0.00660793636225169</v>
      </c>
      <c r="J168" s="868">
        <f t="shared" si="342"/>
        <v>0.00695892751944954</v>
      </c>
      <c r="K168" s="868">
        <f t="shared" si="342"/>
        <v>0.00715022020808068</v>
      </c>
      <c r="L168" s="868">
        <f t="shared" si="342"/>
        <v>0</v>
      </c>
      <c r="M168" s="868">
        <f t="shared" si="342"/>
        <v>0</v>
      </c>
      <c r="N168" s="868">
        <f t="shared" si="342"/>
        <v>0</v>
      </c>
      <c r="O168" s="868">
        <f t="shared" si="342"/>
        <v>0</v>
      </c>
      <c r="P168" s="868">
        <f t="shared" si="342"/>
        <v>0</v>
      </c>
      <c r="Q168" s="868">
        <f t="shared" si="342"/>
        <v>0</v>
      </c>
      <c r="R168" s="868">
        <f t="shared" si="342"/>
        <v>0</v>
      </c>
      <c r="S168" s="868">
        <f t="shared" si="342"/>
        <v>0</v>
      </c>
      <c r="T168" s="868">
        <f t="shared" si="342"/>
        <v>0</v>
      </c>
      <c r="U168" s="868">
        <f t="shared" si="342"/>
        <v>0</v>
      </c>
      <c r="V168" s="868">
        <f t="shared" si="342"/>
        <v>0</v>
      </c>
      <c r="W168" s="868">
        <f t="shared" si="342"/>
        <v>0</v>
      </c>
      <c r="X168" s="868">
        <f t="shared" si="342"/>
        <v>0</v>
      </c>
      <c r="Y168" s="868">
        <f t="shared" si="342"/>
        <v>0</v>
      </c>
      <c r="Z168" s="868">
        <f t="shared" si="342"/>
        <v>0</v>
      </c>
      <c r="AA168" s="868">
        <f t="shared" si="342"/>
        <v>0</v>
      </c>
      <c r="AB168" s="868">
        <f t="shared" si="342"/>
        <v>0</v>
      </c>
      <c r="AC168" s="868">
        <f t="shared" si="342"/>
        <v>0</v>
      </c>
      <c r="AD168" s="868">
        <f t="shared" si="342"/>
        <v>0</v>
      </c>
      <c r="AE168" s="868">
        <f t="shared" si="342"/>
        <v>0</v>
      </c>
      <c r="AF168" s="868">
        <f t="shared" si="342"/>
        <v>0</v>
      </c>
      <c r="AG168" s="868">
        <f t="shared" ref="AG168:AH168" si="343">AG95/AG3</f>
        <v>0</v>
      </c>
      <c r="AH168" s="868">
        <f t="shared" si="343"/>
        <v>0</v>
      </c>
      <c r="AI168" s="868">
        <f t="shared" ref="AI168:AJ168" si="344">AI95/AI3</f>
        <v>0</v>
      </c>
      <c r="AJ168" s="868">
        <f t="shared" si="344"/>
        <v>0</v>
      </c>
      <c r="AK168" s="868">
        <f t="shared" ref="AK168:AL168" si="345">AK95/AK3</f>
        <v>0</v>
      </c>
      <c r="AL168" s="868">
        <f t="shared" si="345"/>
        <v>0</v>
      </c>
    </row>
    <row r="169" s="859" customFormat="1" customHeight="1" spans="1:43">
      <c r="A169" s="859" t="s">
        <v>1081</v>
      </c>
      <c r="B169" s="868"/>
      <c r="C169" s="868">
        <f t="shared" ref="C169:AF169" si="346">C95/C28</f>
        <v>0</v>
      </c>
      <c r="D169" s="868">
        <f t="shared" si="346"/>
        <v>0</v>
      </c>
      <c r="E169" s="868">
        <f t="shared" si="346"/>
        <v>0.0723989608619735</v>
      </c>
      <c r="F169" s="868">
        <f t="shared" si="346"/>
        <v>0.0545111843331423</v>
      </c>
      <c r="G169" s="868">
        <f t="shared" si="346"/>
        <v>0.0550245206934342</v>
      </c>
      <c r="H169" s="868">
        <f t="shared" si="346"/>
        <v>0.0582706960802661</v>
      </c>
      <c r="I169" s="868">
        <f t="shared" si="346"/>
        <v>0.0601989441710312</v>
      </c>
      <c r="J169" s="868">
        <f t="shared" si="346"/>
        <v>0.0602068167018346</v>
      </c>
      <c r="K169" s="868">
        <f t="shared" si="346"/>
        <v>0.0645092094314252</v>
      </c>
      <c r="L169" s="868">
        <f t="shared" si="346"/>
        <v>0</v>
      </c>
      <c r="M169" s="868">
        <f t="shared" si="346"/>
        <v>0</v>
      </c>
      <c r="N169" s="868">
        <f t="shared" si="346"/>
        <v>0</v>
      </c>
      <c r="O169" s="868">
        <f t="shared" si="346"/>
        <v>0</v>
      </c>
      <c r="P169" s="868">
        <f t="shared" si="346"/>
        <v>0</v>
      </c>
      <c r="Q169" s="868">
        <f t="shared" si="346"/>
        <v>0</v>
      </c>
      <c r="R169" s="868">
        <f t="shared" si="346"/>
        <v>0</v>
      </c>
      <c r="S169" s="868">
        <f t="shared" si="346"/>
        <v>0</v>
      </c>
      <c r="T169" s="868">
        <f t="shared" si="346"/>
        <v>0</v>
      </c>
      <c r="U169" s="868">
        <f t="shared" si="346"/>
        <v>0</v>
      </c>
      <c r="V169" s="868">
        <f t="shared" si="346"/>
        <v>0</v>
      </c>
      <c r="W169" s="868">
        <f t="shared" si="346"/>
        <v>0</v>
      </c>
      <c r="X169" s="868">
        <f t="shared" si="346"/>
        <v>0</v>
      </c>
      <c r="Y169" s="868">
        <f t="shared" si="346"/>
        <v>0</v>
      </c>
      <c r="Z169" s="868">
        <f t="shared" si="346"/>
        <v>0</v>
      </c>
      <c r="AA169" s="868">
        <f t="shared" si="346"/>
        <v>0</v>
      </c>
      <c r="AB169" s="868">
        <f t="shared" si="346"/>
        <v>0</v>
      </c>
      <c r="AC169" s="868">
        <f t="shared" si="346"/>
        <v>0</v>
      </c>
      <c r="AD169" s="868">
        <f t="shared" si="346"/>
        <v>0</v>
      </c>
      <c r="AE169" s="868">
        <f t="shared" si="346"/>
        <v>0</v>
      </c>
      <c r="AF169" s="868">
        <f t="shared" si="346"/>
        <v>0</v>
      </c>
      <c r="AG169" s="868">
        <f t="shared" ref="AG169:AH169" si="347">AG95/AG28</f>
        <v>0</v>
      </c>
      <c r="AH169" s="868">
        <f t="shared" si="347"/>
        <v>0</v>
      </c>
      <c r="AI169" s="868">
        <f t="shared" ref="AI169:AJ169" si="348">AI95/AI28</f>
        <v>0</v>
      </c>
      <c r="AJ169" s="868">
        <f t="shared" si="348"/>
        <v>0</v>
      </c>
      <c r="AK169" s="868">
        <f t="shared" ref="AK169:AL169" si="349">AK95/AK28</f>
        <v>0</v>
      </c>
      <c r="AL169" s="868">
        <f t="shared" si="349"/>
        <v>0</v>
      </c>
    </row>
    <row r="170" customHeight="1" spans="1:43">
      <c r="B170" s="903"/>
      <c r="C170" s="903"/>
      <c r="D170" s="903"/>
      <c r="E170" s="903"/>
      <c r="F170" s="903"/>
      <c r="G170" s="903"/>
      <c r="H170" s="903"/>
      <c r="I170" s="903"/>
      <c r="J170" s="903"/>
      <c r="K170" s="903"/>
      <c r="L170" s="903"/>
      <c r="M170" s="903"/>
      <c r="N170" s="903"/>
      <c r="O170" s="903"/>
      <c r="P170" s="903"/>
      <c r="Q170" s="903"/>
      <c r="R170" s="903"/>
      <c r="S170" s="903"/>
      <c r="T170" s="903"/>
      <c r="U170" s="903"/>
      <c r="V170" s="903"/>
      <c r="W170" s="903"/>
      <c r="X170" s="903"/>
      <c r="Y170" s="903"/>
      <c r="Z170" s="903"/>
      <c r="AA170" s="903"/>
      <c r="AB170" s="903"/>
      <c r="AC170" s="903"/>
      <c r="AD170" s="903"/>
      <c r="AE170" s="903"/>
      <c r="AF170" s="903"/>
      <c r="AG170" s="903"/>
      <c r="AH170" s="903"/>
      <c r="AI170" s="903"/>
      <c r="AJ170" s="903"/>
      <c r="AK170" s="903"/>
      <c r="AL170" s="903"/>
      <c r="AM170" s="878"/>
    </row>
    <row r="172" customHeight="1" spans="1:43">
      <c r="A172" s="872" t="s">
        <v>1082</v>
      </c>
      <c r="B172" s="2132" t="str">
        <f>B$1</f>
        <v>1994</v>
      </c>
      <c r="C172" s="2132" t="str">
        <f t="shared" ref="C172:AL172" si="350">C$1</f>
        <v>1995</v>
      </c>
      <c r="D172" s="2132" t="str">
        <f t="shared" si="350"/>
        <v>1996</v>
      </c>
      <c r="E172" s="2132" t="str">
        <f t="shared" si="350"/>
        <v>1997</v>
      </c>
      <c r="F172" s="2132" t="str">
        <f t="shared" si="350"/>
        <v>1998</v>
      </c>
      <c r="G172" s="2132" t="str">
        <f t="shared" si="350"/>
        <v>1999</v>
      </c>
      <c r="H172" s="2132" t="str">
        <f t="shared" si="350"/>
        <v>2000</v>
      </c>
      <c r="I172" s="2132" t="str">
        <f t="shared" si="350"/>
        <v>2001</v>
      </c>
      <c r="J172" s="2132" t="str">
        <f t="shared" si="350"/>
        <v>2002</v>
      </c>
      <c r="K172" s="2132" t="str">
        <f t="shared" si="350"/>
        <v>2003</v>
      </c>
      <c r="L172" s="2132" t="str">
        <f t="shared" si="350"/>
        <v>2004</v>
      </c>
      <c r="M172" s="2132" t="str">
        <f t="shared" si="350"/>
        <v>2005</v>
      </c>
      <c r="N172" s="2132" t="str">
        <f t="shared" si="350"/>
        <v>2006</v>
      </c>
      <c r="O172" s="863">
        <f t="shared" si="350"/>
        <v>2007</v>
      </c>
      <c r="P172" s="863">
        <f t="shared" si="350"/>
        <v>2008</v>
      </c>
      <c r="Q172" s="863">
        <f t="shared" si="350"/>
        <v>2009</v>
      </c>
      <c r="R172" s="863">
        <f t="shared" si="350"/>
        <v>2010</v>
      </c>
      <c r="S172" s="863">
        <f t="shared" si="350"/>
        <v>2011</v>
      </c>
      <c r="T172" s="863">
        <f t="shared" si="350"/>
        <v>2012</v>
      </c>
      <c r="U172" s="863">
        <f t="shared" si="350"/>
        <v>2013</v>
      </c>
      <c r="V172" s="863">
        <f t="shared" si="350"/>
        <v>2014</v>
      </c>
      <c r="W172" s="863">
        <f t="shared" si="350"/>
        <v>2015</v>
      </c>
      <c r="X172" s="863">
        <f t="shared" si="350"/>
        <v>2016</v>
      </c>
      <c r="Y172" s="863">
        <f t="shared" si="350"/>
        <v>2017</v>
      </c>
      <c r="Z172" s="863">
        <f t="shared" si="350"/>
        <v>2018</v>
      </c>
      <c r="AA172" s="863">
        <f t="shared" si="350"/>
        <v>2019</v>
      </c>
      <c r="AB172" s="863">
        <f t="shared" si="350"/>
        <v>2020</v>
      </c>
      <c r="AC172" s="863">
        <f t="shared" si="350"/>
        <v>2021</v>
      </c>
      <c r="AD172" s="863">
        <f t="shared" si="350"/>
        <v>2022</v>
      </c>
      <c r="AE172" s="863">
        <f t="shared" si="350"/>
        <v>2023</v>
      </c>
      <c r="AF172" s="863">
        <f t="shared" si="350"/>
        <v>2024</v>
      </c>
      <c r="AG172" s="863">
        <f t="shared" si="350"/>
        <v>2025</v>
      </c>
      <c r="AH172" s="2132" t="str">
        <f t="shared" si="350"/>
        <v>2026E</v>
      </c>
      <c r="AI172" s="2132" t="str">
        <f t="shared" si="350"/>
        <v>2027E</v>
      </c>
      <c r="AJ172" s="2132" t="str">
        <f t="shared" si="350"/>
        <v>2028E</v>
      </c>
      <c r="AK172" s="2132" t="str">
        <f t="shared" si="350"/>
        <v>2029E</v>
      </c>
      <c r="AL172" s="2132" t="str">
        <f t="shared" si="350"/>
        <v>2030E</v>
      </c>
    </row>
    <row r="173" customHeight="1" spans="1:43">
      <c r="A173" s="860" t="s">
        <v>993</v>
      </c>
      <c r="B173" s="876">
        <v>0</v>
      </c>
      <c r="C173" s="876">
        <v>0</v>
      </c>
      <c r="D173" s="876">
        <v>0</v>
      </c>
      <c r="E173" s="876">
        <v>0</v>
      </c>
      <c r="F173" s="876">
        <v>0</v>
      </c>
      <c r="G173" s="876">
        <v>0</v>
      </c>
      <c r="H173" s="876">
        <v>0</v>
      </c>
      <c r="I173" s="876">
        <v>0</v>
      </c>
      <c r="J173" s="876">
        <v>0</v>
      </c>
      <c r="K173" s="876">
        <v>0</v>
      </c>
      <c r="L173" s="876">
        <v>0</v>
      </c>
      <c r="M173" s="876">
        <v>0</v>
      </c>
      <c r="N173" s="876">
        <v>0</v>
      </c>
      <c r="O173" s="876">
        <v>0</v>
      </c>
      <c r="P173" s="876">
        <v>0</v>
      </c>
      <c r="Q173" s="876">
        <v>0</v>
      </c>
      <c r="R173" s="876">
        <v>0</v>
      </c>
      <c r="S173" s="876">
        <v>0</v>
      </c>
      <c r="T173" s="876">
        <v>0</v>
      </c>
      <c r="U173" s="876">
        <v>0</v>
      </c>
      <c r="V173" s="876">
        <v>0</v>
      </c>
      <c r="W173" s="876">
        <v>0</v>
      </c>
      <c r="X173" s="876">
        <v>0</v>
      </c>
      <c r="Y173" s="876">
        <v>0</v>
      </c>
      <c r="Z173" s="876">
        <v>0</v>
      </c>
      <c r="AA173" s="876">
        <v>0</v>
      </c>
      <c r="AB173" s="876">
        <v>0</v>
      </c>
      <c r="AC173" s="876">
        <v>0</v>
      </c>
      <c r="AD173" s="876">
        <v>0</v>
      </c>
      <c r="AE173" s="876">
        <v>0</v>
      </c>
      <c r="AF173" s="876">
        <v>0</v>
      </c>
      <c r="AG173" s="876">
        <v>0</v>
      </c>
      <c r="AH173" s="876">
        <v>0</v>
      </c>
      <c r="AI173" s="876">
        <v>0</v>
      </c>
      <c r="AJ173" s="876">
        <v>0</v>
      </c>
      <c r="AK173" s="876">
        <v>0</v>
      </c>
      <c r="AL173" s="876">
        <v>0</v>
      </c>
    </row>
    <row r="174" customHeight="1" spans="1:43">
      <c r="A174" s="860" t="s">
        <v>1083</v>
      </c>
      <c r="B174" s="876">
        <v>126.7906401</v>
      </c>
      <c r="C174" s="876">
        <v>219.29657</v>
      </c>
      <c r="D174" s="876">
        <v>238.235122</v>
      </c>
      <c r="E174" s="876">
        <v>779.6430225</v>
      </c>
      <c r="F174" s="876">
        <v>1460.1485541</v>
      </c>
      <c r="G174" s="876">
        <v>177</v>
      </c>
      <c r="H174" s="876">
        <v>279.422</v>
      </c>
      <c r="I174" s="876">
        <v>196.038</v>
      </c>
      <c r="J174" s="876">
        <f t="shared" ref="J174:AF174" si="351">J46</f>
        <v>0</v>
      </c>
      <c r="K174" s="876">
        <f t="shared" si="351"/>
        <v>0</v>
      </c>
      <c r="L174" s="876">
        <f t="shared" si="351"/>
        <v>185.837</v>
      </c>
      <c r="M174" s="876">
        <f t="shared" si="351"/>
        <v>0</v>
      </c>
      <c r="N174" s="876">
        <f t="shared" si="351"/>
        <v>0</v>
      </c>
      <c r="O174" s="876">
        <f t="shared" si="351"/>
        <v>0</v>
      </c>
      <c r="P174" s="876">
        <f t="shared" si="351"/>
        <v>0</v>
      </c>
      <c r="Q174" s="876">
        <f t="shared" si="351"/>
        <v>0</v>
      </c>
      <c r="R174" s="876">
        <f t="shared" si="351"/>
        <v>284</v>
      </c>
      <c r="S174" s="876">
        <f t="shared" si="351"/>
        <v>289</v>
      </c>
      <c r="T174" s="876">
        <f t="shared" si="351"/>
        <v>280</v>
      </c>
      <c r="U174" s="876">
        <f t="shared" si="351"/>
        <v>681</v>
      </c>
      <c r="V174" s="876">
        <f t="shared" si="351"/>
        <v>288</v>
      </c>
      <c r="W174" s="876">
        <f t="shared" si="351"/>
        <v>366</v>
      </c>
      <c r="X174" s="876">
        <f t="shared" si="351"/>
        <v>636</v>
      </c>
      <c r="Y174" s="876">
        <f t="shared" si="351"/>
        <v>137</v>
      </c>
      <c r="Z174" s="876">
        <f t="shared" si="351"/>
        <v>66</v>
      </c>
      <c r="AA174" s="876">
        <f t="shared" si="351"/>
        <v>43</v>
      </c>
      <c r="AB174" s="876">
        <f t="shared" si="351"/>
        <v>686</v>
      </c>
      <c r="AC174" s="876">
        <f t="shared" si="351"/>
        <v>29</v>
      </c>
      <c r="AD174" s="876">
        <f t="shared" si="351"/>
        <v>527</v>
      </c>
      <c r="AE174" s="876">
        <f t="shared" si="351"/>
        <v>549</v>
      </c>
      <c r="AF174" s="876">
        <f t="shared" si="351"/>
        <v>570</v>
      </c>
      <c r="AG174" s="876">
        <f t="shared" ref="AG174:AH174" si="352">AG46</f>
        <v>645</v>
      </c>
      <c r="AH174" s="876">
        <f t="shared" si="352"/>
        <v>645</v>
      </c>
      <c r="AI174" s="876">
        <f t="shared" ref="AI174:AJ174" si="353">AI46</f>
        <v>645</v>
      </c>
      <c r="AJ174" s="876">
        <f t="shared" si="353"/>
        <v>645</v>
      </c>
      <c r="AK174" s="876">
        <f t="shared" ref="AK174:AL174" si="354">AK46</f>
        <v>645</v>
      </c>
      <c r="AL174" s="876">
        <f t="shared" si="354"/>
        <v>645</v>
      </c>
    </row>
    <row r="175" customHeight="1" spans="1:43">
      <c r="A175" s="860" t="s">
        <v>1084</v>
      </c>
      <c r="B175" s="876">
        <v>46.472057</v>
      </c>
      <c r="C175" s="876">
        <v>9.76583</v>
      </c>
      <c r="D175" s="876">
        <v>2.5263333</v>
      </c>
      <c r="E175" s="876">
        <v>0</v>
      </c>
      <c r="F175" s="876">
        <v>247.7079771</v>
      </c>
      <c r="G175" s="876">
        <v>1484</v>
      </c>
      <c r="H175" s="876">
        <v>1617</v>
      </c>
      <c r="I175" s="876">
        <v>1570</v>
      </c>
      <c r="J175" s="876">
        <f t="shared" ref="J175:AF175" si="355">J53</f>
        <v>1574</v>
      </c>
      <c r="K175" s="876">
        <f t="shared" si="355"/>
        <v>1225.385</v>
      </c>
      <c r="L175" s="876">
        <f t="shared" si="355"/>
        <v>933.949</v>
      </c>
      <c r="M175" s="876">
        <f t="shared" si="355"/>
        <v>1035.115</v>
      </c>
      <c r="N175" s="876">
        <f t="shared" si="355"/>
        <v>2578</v>
      </c>
      <c r="O175" s="876">
        <f t="shared" si="355"/>
        <v>2146</v>
      </c>
      <c r="P175" s="876">
        <f t="shared" si="355"/>
        <v>2573</v>
      </c>
      <c r="Q175" s="876">
        <f t="shared" si="355"/>
        <v>1767</v>
      </c>
      <c r="R175" s="876">
        <f t="shared" si="355"/>
        <v>1337</v>
      </c>
      <c r="S175" s="876">
        <f t="shared" si="355"/>
        <v>991</v>
      </c>
      <c r="T175" s="876">
        <f t="shared" si="355"/>
        <v>1207</v>
      </c>
      <c r="U175" s="876">
        <f t="shared" si="355"/>
        <v>653</v>
      </c>
      <c r="V175" s="876">
        <f t="shared" si="355"/>
        <v>1584</v>
      </c>
      <c r="W175" s="876">
        <f t="shared" si="355"/>
        <v>1463</v>
      </c>
      <c r="X175" s="876">
        <f t="shared" si="355"/>
        <v>982</v>
      </c>
      <c r="Y175" s="876">
        <f t="shared" si="355"/>
        <v>983</v>
      </c>
      <c r="Z175" s="876">
        <f t="shared" si="355"/>
        <v>1609</v>
      </c>
      <c r="AA175" s="876">
        <f t="shared" si="355"/>
        <v>1595</v>
      </c>
      <c r="AB175" s="876">
        <f t="shared" si="355"/>
        <v>2482</v>
      </c>
      <c r="AC175" s="876">
        <f t="shared" si="355"/>
        <v>2466</v>
      </c>
      <c r="AD175" s="876">
        <f t="shared" si="355"/>
        <v>2946</v>
      </c>
      <c r="AE175" s="876">
        <f t="shared" si="355"/>
        <v>2430</v>
      </c>
      <c r="AF175" s="876">
        <f t="shared" si="355"/>
        <v>1915</v>
      </c>
      <c r="AG175" s="876">
        <f t="shared" ref="AG175:AH175" si="356">AG53</f>
        <v>1996</v>
      </c>
      <c r="AH175" s="876">
        <f t="shared" si="356"/>
        <v>1996</v>
      </c>
      <c r="AI175" s="876">
        <f t="shared" ref="AI175:AJ175" si="357">AI53</f>
        <v>1996</v>
      </c>
      <c r="AJ175" s="876">
        <f t="shared" si="357"/>
        <v>1996</v>
      </c>
      <c r="AK175" s="876">
        <f t="shared" ref="AK175:AL175" si="358">AK53</f>
        <v>1996</v>
      </c>
      <c r="AL175" s="876">
        <f t="shared" si="358"/>
        <v>1996</v>
      </c>
      <c r="AM175" s="933"/>
      <c r="AN175" s="934"/>
      <c r="AO175" s="934"/>
      <c r="AP175" s="934"/>
      <c r="AQ175" s="868"/>
    </row>
    <row r="176" customHeight="1" spans="1:43">
      <c r="A176" s="884" t="s">
        <v>1085</v>
      </c>
      <c r="B176" s="885">
        <v>173.2626971</v>
      </c>
      <c r="C176" s="885">
        <v>229.0624</v>
      </c>
      <c r="D176" s="885">
        <v>240.7614553</v>
      </c>
      <c r="E176" s="885">
        <v>779.6430225</v>
      </c>
      <c r="F176" s="885">
        <v>1707.8565312</v>
      </c>
      <c r="G176" s="885">
        <v>1661</v>
      </c>
      <c r="H176" s="885">
        <v>1896.422</v>
      </c>
      <c r="I176" s="885">
        <v>1766.038</v>
      </c>
      <c r="J176" s="885">
        <f t="shared" ref="J176:W176" si="359">J175+J174+J173</f>
        <v>1574</v>
      </c>
      <c r="K176" s="885">
        <f t="shared" si="359"/>
        <v>1225.385</v>
      </c>
      <c r="L176" s="885">
        <f t="shared" si="359"/>
        <v>1119.786</v>
      </c>
      <c r="M176" s="885">
        <f t="shared" si="359"/>
        <v>1035.115</v>
      </c>
      <c r="N176" s="885">
        <f t="shared" si="359"/>
        <v>2578</v>
      </c>
      <c r="O176" s="885">
        <f t="shared" si="359"/>
        <v>2146</v>
      </c>
      <c r="P176" s="885">
        <f t="shared" si="359"/>
        <v>2573</v>
      </c>
      <c r="Q176" s="885">
        <f t="shared" si="359"/>
        <v>1767</v>
      </c>
      <c r="R176" s="885">
        <f t="shared" si="359"/>
        <v>1621</v>
      </c>
      <c r="S176" s="885">
        <f t="shared" si="359"/>
        <v>1280</v>
      </c>
      <c r="T176" s="885">
        <f t="shared" si="359"/>
        <v>1487</v>
      </c>
      <c r="U176" s="885">
        <f t="shared" si="359"/>
        <v>1334</v>
      </c>
      <c r="V176" s="885">
        <f t="shared" si="359"/>
        <v>1872</v>
      </c>
      <c r="W176" s="885">
        <f t="shared" si="359"/>
        <v>1829</v>
      </c>
      <c r="X176" s="885">
        <f t="shared" ref="X176:AD176" si="360">X175+X174+X173</f>
        <v>1618</v>
      </c>
      <c r="Y176" s="885">
        <f t="shared" si="360"/>
        <v>1120</v>
      </c>
      <c r="Z176" s="885">
        <f t="shared" si="360"/>
        <v>1675</v>
      </c>
      <c r="AA176" s="885">
        <f t="shared" si="360"/>
        <v>1638</v>
      </c>
      <c r="AB176" s="885">
        <f t="shared" si="360"/>
        <v>3168</v>
      </c>
      <c r="AC176" s="885">
        <f t="shared" si="360"/>
        <v>2495</v>
      </c>
      <c r="AD176" s="885">
        <f t="shared" si="360"/>
        <v>3473</v>
      </c>
      <c r="AE176" s="885">
        <f t="shared" ref="AE176" si="361">AE175+AE174+AE173</f>
        <v>2979</v>
      </c>
      <c r="AF176" s="885">
        <f t="shared" ref="AF176:AG176" si="362">AF175+AF174+AF173</f>
        <v>2485</v>
      </c>
      <c r="AG176" s="885">
        <f t="shared" si="362"/>
        <v>2641</v>
      </c>
      <c r="AH176" s="885">
        <f t="shared" ref="AH176:AI176" si="363">AH175+AH174+AH173</f>
        <v>2641</v>
      </c>
      <c r="AI176" s="885">
        <f t="shared" si="363"/>
        <v>2641</v>
      </c>
      <c r="AJ176" s="885">
        <f t="shared" ref="AJ176:AK176" si="364">AJ175+AJ174+AJ173</f>
        <v>2641</v>
      </c>
      <c r="AK176" s="885">
        <f t="shared" si="364"/>
        <v>2641</v>
      </c>
      <c r="AL176" s="885">
        <f t="shared" ref="AL176" si="365">AL175+AL174+AL173</f>
        <v>2641</v>
      </c>
      <c r="AM176" s="933"/>
      <c r="AN176" s="935"/>
    </row>
    <row r="177" customHeight="1" spans="1:41">
      <c r="A177" s="860" t="s">
        <v>1086</v>
      </c>
      <c r="B177" s="876">
        <v>-19.7765727</v>
      </c>
      <c r="C177" s="876">
        <v>-20.86104</v>
      </c>
      <c r="D177" s="876">
        <v>-42.9369288</v>
      </c>
      <c r="E177" s="876">
        <v>-32.5053862</v>
      </c>
      <c r="F177" s="876">
        <v>-51.8396844</v>
      </c>
      <c r="G177" s="876">
        <v>-69</v>
      </c>
      <c r="H177" s="876">
        <v>-104.706</v>
      </c>
      <c r="I177" s="876">
        <v>-85</v>
      </c>
      <c r="J177" s="876">
        <f t="shared" ref="J177:Y177" si="366">-J7</f>
        <v>-67.455</v>
      </c>
      <c r="K177" s="876">
        <f t="shared" si="366"/>
        <v>-189.503</v>
      </c>
      <c r="L177" s="876">
        <f t="shared" si="366"/>
        <v>-454.947</v>
      </c>
      <c r="M177" s="876">
        <f t="shared" si="366"/>
        <v>-1586</v>
      </c>
      <c r="N177" s="876">
        <f t="shared" si="366"/>
        <v>-311</v>
      </c>
      <c r="O177" s="876">
        <f t="shared" si="366"/>
        <v>-295</v>
      </c>
      <c r="P177" s="876">
        <f t="shared" si="366"/>
        <v>-244</v>
      </c>
      <c r="Q177" s="876">
        <f t="shared" si="366"/>
        <v>-775</v>
      </c>
      <c r="R177" s="876">
        <f t="shared" si="366"/>
        <v>-1150</v>
      </c>
      <c r="S177" s="876">
        <f t="shared" si="366"/>
        <v>-906</v>
      </c>
      <c r="T177" s="876">
        <f t="shared" si="366"/>
        <v>-1670</v>
      </c>
      <c r="U177" s="876">
        <f t="shared" si="366"/>
        <v>-1587</v>
      </c>
      <c r="V177" s="876">
        <f t="shared" si="366"/>
        <v>-1683</v>
      </c>
      <c r="W177" s="876">
        <f t="shared" si="366"/>
        <v>-1365</v>
      </c>
      <c r="X177" s="876">
        <f t="shared" si="366"/>
        <v>-1510</v>
      </c>
      <c r="Y177" s="876">
        <f t="shared" si="366"/>
        <v>-1598</v>
      </c>
      <c r="Z177" s="876">
        <f>-Z7-5</f>
        <v>-2634</v>
      </c>
      <c r="AA177" s="876">
        <f t="shared" ref="AA177:AF177" si="367">-AA7</f>
        <v>-2512</v>
      </c>
      <c r="AB177" s="876">
        <f t="shared" si="367"/>
        <v>-3994</v>
      </c>
      <c r="AC177" s="876">
        <f t="shared" si="367"/>
        <v>-3828</v>
      </c>
      <c r="AD177" s="876">
        <f t="shared" si="367"/>
        <v>-798</v>
      </c>
      <c r="AE177" s="876">
        <f t="shared" si="367"/>
        <v>-1431</v>
      </c>
      <c r="AF177" s="876">
        <f t="shared" si="367"/>
        <v>-2455</v>
      </c>
      <c r="AG177" s="876">
        <f t="shared" ref="AG177:AH177" si="368">-AG7</f>
        <v>-1617</v>
      </c>
      <c r="AH177" s="876">
        <f t="shared" si="368"/>
        <v>-1611.63409005125</v>
      </c>
      <c r="AI177" s="876">
        <f t="shared" ref="AI177:AJ177" si="369">-AI7</f>
        <v>-1660.9251421383</v>
      </c>
      <c r="AJ177" s="876">
        <f t="shared" si="369"/>
        <v>-1925.97907716862</v>
      </c>
      <c r="AK177" s="876">
        <f t="shared" ref="AK177:AL177" si="370">-AK7</f>
        <v>-2343.32251088851</v>
      </c>
      <c r="AL177" s="876">
        <f t="shared" si="370"/>
        <v>-2720.64154548699</v>
      </c>
      <c r="AM177" s="936"/>
    </row>
    <row r="178" customHeight="1" spans="1:41">
      <c r="A178" s="884" t="s">
        <v>1087</v>
      </c>
      <c r="B178" s="885">
        <v>153.4861244</v>
      </c>
      <c r="C178" s="885">
        <v>208.20136</v>
      </c>
      <c r="D178" s="885">
        <v>197.8245265</v>
      </c>
      <c r="E178" s="885">
        <v>747.1376363</v>
      </c>
      <c r="F178" s="885">
        <v>1656.0168468</v>
      </c>
      <c r="G178" s="885">
        <v>1592</v>
      </c>
      <c r="H178" s="885">
        <v>1791.716</v>
      </c>
      <c r="I178" s="885">
        <v>1681.038</v>
      </c>
      <c r="J178" s="885">
        <f t="shared" ref="J178:W178" si="371">J176+J177</f>
        <v>1506.545</v>
      </c>
      <c r="K178" s="885">
        <f t="shared" si="371"/>
        <v>1035.882</v>
      </c>
      <c r="L178" s="885">
        <f t="shared" si="371"/>
        <v>664.839</v>
      </c>
      <c r="M178" s="885">
        <f t="shared" si="371"/>
        <v>-550.885</v>
      </c>
      <c r="N178" s="885">
        <f t="shared" si="371"/>
        <v>2267</v>
      </c>
      <c r="O178" s="885">
        <f t="shared" si="371"/>
        <v>1851</v>
      </c>
      <c r="P178" s="885">
        <f t="shared" si="371"/>
        <v>2329</v>
      </c>
      <c r="Q178" s="885">
        <f t="shared" si="371"/>
        <v>992</v>
      </c>
      <c r="R178" s="937">
        <f t="shared" si="371"/>
        <v>471</v>
      </c>
      <c r="S178" s="937">
        <f t="shared" si="371"/>
        <v>374</v>
      </c>
      <c r="T178" s="937">
        <f t="shared" si="371"/>
        <v>-183</v>
      </c>
      <c r="U178" s="937">
        <f t="shared" si="371"/>
        <v>-253</v>
      </c>
      <c r="V178" s="937">
        <f t="shared" si="371"/>
        <v>189</v>
      </c>
      <c r="W178" s="937">
        <f t="shared" si="371"/>
        <v>464</v>
      </c>
      <c r="X178" s="885">
        <f t="shared" ref="X178:AD178" si="372">X176+X177</f>
        <v>108</v>
      </c>
      <c r="Y178" s="885">
        <f t="shared" si="372"/>
        <v>-478</v>
      </c>
      <c r="Z178" s="885">
        <f t="shared" si="372"/>
        <v>-959</v>
      </c>
      <c r="AA178" s="885">
        <f t="shared" si="372"/>
        <v>-874</v>
      </c>
      <c r="AB178" s="885">
        <f t="shared" si="372"/>
        <v>-826</v>
      </c>
      <c r="AC178" s="885">
        <f t="shared" si="372"/>
        <v>-1333</v>
      </c>
      <c r="AD178" s="885">
        <f t="shared" si="372"/>
        <v>2675</v>
      </c>
      <c r="AE178" s="885">
        <f t="shared" ref="AE178:AF178" si="373">AE176+AE177</f>
        <v>1548</v>
      </c>
      <c r="AF178" s="885">
        <f t="shared" si="373"/>
        <v>30</v>
      </c>
      <c r="AG178" s="885">
        <f t="shared" ref="AG178" si="374">AG176+AG177</f>
        <v>1024</v>
      </c>
      <c r="AH178" s="885">
        <f t="shared" ref="AH178:AI178" si="375">AH176+AH177</f>
        <v>1029.36590994875</v>
      </c>
      <c r="AI178" s="885">
        <f t="shared" si="375"/>
        <v>980.0748578617</v>
      </c>
      <c r="AJ178" s="885">
        <f t="shared" ref="AJ178:AK178" si="376">AJ176+AJ177</f>
        <v>715.020922831378</v>
      </c>
      <c r="AK178" s="885">
        <f t="shared" si="376"/>
        <v>297.677489111486</v>
      </c>
      <c r="AL178" s="885">
        <f t="shared" ref="AL178" si="377">AL176+AL177</f>
        <v>-79.6415454869939</v>
      </c>
      <c r="AN178" s="935"/>
    </row>
    <row r="179" customHeight="1" spans="1:41">
      <c r="A179" s="860" t="s">
        <v>1088</v>
      </c>
      <c r="B179" s="890"/>
      <c r="C179" s="890"/>
      <c r="D179" s="890"/>
      <c r="E179" s="890"/>
      <c r="F179" s="890"/>
      <c r="G179" s="871">
        <v>1591</v>
      </c>
      <c r="H179" s="871">
        <v>1791</v>
      </c>
      <c r="I179" s="871">
        <v>1679</v>
      </c>
      <c r="J179" s="871">
        <v>1498</v>
      </c>
      <c r="K179" s="871">
        <v>1018</v>
      </c>
      <c r="L179" s="871">
        <v>665</v>
      </c>
      <c r="M179" s="928">
        <f t="shared" ref="M179:AF179" si="378">M178/M69</f>
        <v>-0.203160449863843</v>
      </c>
      <c r="N179" s="928">
        <f t="shared" si="378"/>
        <v>0.799365303244006</v>
      </c>
      <c r="O179" s="928">
        <f t="shared" si="378"/>
        <v>0.610085695451549</v>
      </c>
      <c r="P179" s="928">
        <f t="shared" si="378"/>
        <v>0.685</v>
      </c>
      <c r="Q179" s="928">
        <f t="shared" si="378"/>
        <v>0.26271186440678</v>
      </c>
      <c r="R179" s="934">
        <f t="shared" si="378"/>
        <v>0.105581708137189</v>
      </c>
      <c r="S179" s="934">
        <f t="shared" si="378"/>
        <v>0.0729329173166927</v>
      </c>
      <c r="T179" s="934">
        <f t="shared" si="378"/>
        <v>-0.0345870345870346</v>
      </c>
      <c r="U179" s="934">
        <f t="shared" si="378"/>
        <v>-0.0461594599525634</v>
      </c>
      <c r="V179" s="934">
        <f t="shared" si="378"/>
        <v>0.0336478547267225</v>
      </c>
      <c r="W179" s="934">
        <f t="shared" si="378"/>
        <v>0.0821529745042493</v>
      </c>
      <c r="X179" s="934">
        <f t="shared" si="378"/>
        <v>0.0167312161115414</v>
      </c>
      <c r="Y179" s="934">
        <f t="shared" si="378"/>
        <v>-0.0742812742812743</v>
      </c>
      <c r="Z179" s="934">
        <f t="shared" si="378"/>
        <v>-0.150691389063482</v>
      </c>
      <c r="AA179" s="934">
        <f t="shared" si="378"/>
        <v>-0.123848660904067</v>
      </c>
      <c r="AB179" s="934">
        <f t="shared" si="378"/>
        <v>-0.12344940965476</v>
      </c>
      <c r="AC179" s="934">
        <f t="shared" si="378"/>
        <v>-0.170090595891285</v>
      </c>
      <c r="AD179" s="934">
        <f t="shared" si="378"/>
        <v>0.499906559521585</v>
      </c>
      <c r="AE179" s="934">
        <f t="shared" si="378"/>
        <v>0.314314720812183</v>
      </c>
      <c r="AF179" s="934">
        <f t="shared" si="378"/>
        <v>0.00511247443762781</v>
      </c>
      <c r="AG179" s="934">
        <f t="shared" ref="AG179:AH179" si="379">AG178/AG69</f>
        <v>0.167183673469388</v>
      </c>
      <c r="AH179" s="934">
        <f t="shared" si="379"/>
        <v>0.162123556597194</v>
      </c>
      <c r="AI179" s="934">
        <f t="shared" ref="AI179:AJ179" si="380">AI178/AI69</f>
        <v>0.143625425027645</v>
      </c>
      <c r="AJ179" s="934">
        <f t="shared" si="380"/>
        <v>0.0967842713991443</v>
      </c>
      <c r="AK179" s="934">
        <f t="shared" ref="AK179:AL179" si="381">AK178/AK69</f>
        <v>0.0369527687268972</v>
      </c>
      <c r="AL179" s="934">
        <f t="shared" si="381"/>
        <v>-0.00899270780469775</v>
      </c>
      <c r="AM179" s="938"/>
      <c r="AN179" s="938"/>
      <c r="AO179" s="938"/>
    </row>
    <row r="180" customHeight="1" spans="1:41">
      <c r="A180" s="860" t="s">
        <v>1089</v>
      </c>
      <c r="B180" s="890"/>
      <c r="C180" s="890"/>
      <c r="D180" s="890"/>
      <c r="E180" s="890"/>
      <c r="F180" s="890"/>
      <c r="G180" s="932">
        <f>G178/'Profit and Loss'!F377</f>
        <v>2.71633046958392</v>
      </c>
      <c r="H180" s="932">
        <f>H178/'Profit and Loss'!G377</f>
        <v>3.21672531418312</v>
      </c>
      <c r="I180" s="932">
        <f>I178/'Profit and Loss'!H377</f>
        <v>2.92100434404865</v>
      </c>
      <c r="J180" s="932">
        <f>J178/'Profit and Loss'!I377</f>
        <v>2.43383683360258</v>
      </c>
      <c r="K180" s="932">
        <f>K178/'Profit and Loss'!J377</f>
        <v>1.64425714285714</v>
      </c>
      <c r="L180" s="932">
        <f>L178/'Profit and Loss'!K377</f>
        <v>0.930300146925068</v>
      </c>
      <c r="M180" s="932">
        <f>M178/'Profit and Loss'!L377</f>
        <v>-0.673020771484351</v>
      </c>
      <c r="N180" s="932">
        <f>N178/'Profit and Loss'!M377</f>
        <v>2.11080074487896</v>
      </c>
      <c r="O180" s="932">
        <f>O178/'Profit and Loss'!N377</f>
        <v>1.59020618556701</v>
      </c>
      <c r="P180" s="932">
        <f>P178/'Profit and Loss'!O377</f>
        <v>1.78604294478528</v>
      </c>
      <c r="Q180" s="932">
        <f>Q178/'Profit and Loss'!P377</f>
        <v>1.22924411400248</v>
      </c>
      <c r="R180" s="932">
        <f>R178/'Profit and Loss'!Q377</f>
        <v>0.408145580589255</v>
      </c>
      <c r="S180" s="932">
        <f>S178/'Profit and Loss'!R377</f>
        <v>0.311148086522463</v>
      </c>
      <c r="T180" s="932">
        <f>T178/'Profit and Loss'!S377</f>
        <v>-0.15469146238377</v>
      </c>
      <c r="U180" s="932">
        <f>U178/'Profit and Loss'!T377</f>
        <v>-0.172460804362645</v>
      </c>
      <c r="V180" s="932">
        <f>V178/'Profit and Loss'!U377</f>
        <v>0.156716417910448</v>
      </c>
      <c r="W180" s="932">
        <f>W178/'Profit and Loss'!V377</f>
        <v>0.328379334748762</v>
      </c>
      <c r="X180" s="932">
        <f>X178/'Profit and Loss'!W377</f>
        <v>0.05747738158595</v>
      </c>
      <c r="Y180" s="932">
        <f>Y178/'Profit and Loss'!X377</f>
        <v>-0.189607298690996</v>
      </c>
      <c r="Z180" s="932">
        <f>Z178/'Profit and Loss'!Y377</f>
        <v>-0.332755031228314</v>
      </c>
      <c r="AA180" s="932">
        <f>AA178/'Profit and Loss'!Z377</f>
        <v>-0.225606608156944</v>
      </c>
      <c r="AB180" s="932">
        <f>AB178/'Profit and Loss'!AA377</f>
        <v>-0.389438943894389</v>
      </c>
      <c r="AC180" s="932">
        <f>AC178/'Profit and Loss'!AB377</f>
        <v>-0.425199362041467</v>
      </c>
      <c r="AD180" s="932">
        <f>AD178/'Profit and Loss'!AC377</f>
        <v>1.3087084148728</v>
      </c>
      <c r="AE180" s="932">
        <f>AE178/'Profit and Loss'!AD377</f>
        <v>1.2</v>
      </c>
      <c r="AF180" s="932">
        <f>AF178/'Profit and Loss'!AE377</f>
        <v>0.0129477772982305</v>
      </c>
      <c r="AG180" s="932">
        <f>AG178/'Profit and Loss'!AF377</f>
        <v>0.319003115264798</v>
      </c>
      <c r="AH180" s="932">
        <f>AH178/'Profit and Loss'!AG377</f>
        <v>0.278831280324194</v>
      </c>
      <c r="AI180" s="932">
        <f>AI178/'Profit and Loss'!AH377</f>
        <v>0.229262801242374</v>
      </c>
      <c r="AJ180" s="932">
        <f>AJ178/'Profit and Loss'!AI377</f>
        <v>0.153277156719452</v>
      </c>
      <c r="AK180" s="932">
        <f>AK178/'Profit and Loss'!AJ377</f>
        <v>0.0595626419549477</v>
      </c>
      <c r="AL180" s="932">
        <f>AL178/'Profit and Loss'!AK377</f>
        <v>-0.014874000117204</v>
      </c>
      <c r="AM180" s="939"/>
      <c r="AN180" s="939"/>
      <c r="AO180" s="939"/>
    </row>
    <row r="181" customHeight="1" spans="1:41">
      <c r="A181" s="860" t="s">
        <v>1090</v>
      </c>
      <c r="B181" s="890"/>
      <c r="C181" s="890"/>
      <c r="D181" s="890"/>
      <c r="E181" s="890"/>
      <c r="F181" s="890"/>
      <c r="G181" s="876">
        <f>G178+('Profit and Loss'!F480*8)</f>
        <v>1592</v>
      </c>
      <c r="H181" s="876">
        <f>H178+('Profit and Loss'!G480*8)</f>
        <v>2271.716</v>
      </c>
      <c r="I181" s="876">
        <f>I178+('Profit and Loss'!H480*8)</f>
        <v>2097.038</v>
      </c>
      <c r="J181" s="876">
        <f>J178+('Profit and Loss'!I480*8)</f>
        <v>2002.545</v>
      </c>
      <c r="K181" s="876">
        <f>K178+('Profit and Loss'!J480*8)</f>
        <v>1619.882</v>
      </c>
      <c r="L181" s="876">
        <f>L178+('Profit and Loss'!K480*8)</f>
        <v>1416.839</v>
      </c>
      <c r="M181" s="876">
        <f>M178+('Profit and Loss'!L480*8)</f>
        <v>385.115</v>
      </c>
      <c r="N181" s="876">
        <f>N178+('Profit and Loss'!M480*8)</f>
        <v>4491</v>
      </c>
      <c r="O181" s="876">
        <f>O178+('Profit and Loss'!N480*8)</f>
        <v>4547</v>
      </c>
      <c r="P181" s="876">
        <f>P178+('Profit and Loss'!O480*8)</f>
        <v>5705</v>
      </c>
      <c r="Q181" s="876">
        <f>Q178+('Profit and Loss'!P480*8)</f>
        <v>4832</v>
      </c>
      <c r="R181" s="876">
        <f>R178+('Profit and Loss'!Q480*8)</f>
        <v>4823</v>
      </c>
      <c r="S181" s="876">
        <f>S178+('Profit and Loss'!R480*8)</f>
        <v>4758</v>
      </c>
      <c r="T181" s="876">
        <f>T178+('Profit and Loss'!S480*8)</f>
        <v>4913</v>
      </c>
      <c r="U181" s="876">
        <f>U178+('Profit and Loss'!T480*8)</f>
        <v>5123</v>
      </c>
      <c r="V181" s="876">
        <f>V178+('Profit and Loss'!U480*8)</f>
        <v>5333</v>
      </c>
      <c r="W181" s="876">
        <f>W178+('Profit and Loss'!V480*8)</f>
        <v>5904</v>
      </c>
      <c r="X181" s="876">
        <f>X178+('Profit and Loss'!W480*8)</f>
        <v>5764</v>
      </c>
      <c r="Y181" s="876">
        <f>Y178+('Profit and Loss'!X480*8)</f>
        <v>5754</v>
      </c>
      <c r="Z181" s="876">
        <f>Z178+('Profit and Loss'!Y480*8)</f>
        <v>5521</v>
      </c>
      <c r="AA181" s="876">
        <f>AA178+('Profit and Loss'!Z480*8)</f>
        <v>6521.80533050484</v>
      </c>
      <c r="AB181" s="876">
        <f>AB178+('Profit and Loss'!AA480*8)</f>
        <v>6170.88599534314</v>
      </c>
      <c r="AC181" s="876">
        <f>AC178+('Profit and Loss'!AB480*8)</f>
        <v>6280.39412983608</v>
      </c>
      <c r="AD181" s="876">
        <f>AD178+('Profit and Loss'!AC480*8)</f>
        <v>10631.890709926</v>
      </c>
      <c r="AE181" s="876">
        <f>AE178+('Profit and Loss'!AD480*8)</f>
        <v>9864.39336843941</v>
      </c>
      <c r="AF181" s="876">
        <f>AF178+('Profit and Loss'!AE480*8)</f>
        <v>9475.6868697291</v>
      </c>
      <c r="AG181" s="876">
        <f>AG178+('Profit and Loss'!AF480*8)</f>
        <v>10491.9276860957</v>
      </c>
      <c r="AH181" s="876">
        <f>AH178+('Profit and Loss'!AG480*8)</f>
        <v>11142.9341247789</v>
      </c>
      <c r="AI181" s="876">
        <f>AI178+('Profit and Loss'!AH480*8)</f>
        <v>11804.4559327536</v>
      </c>
      <c r="AJ181" s="876">
        <f>AJ178+('Profit and Loss'!AI480*8)</f>
        <v>12211.2444483078</v>
      </c>
      <c r="AK181" s="876">
        <f>AK178+('Profit and Loss'!AJ480*8)</f>
        <v>12505.9032987408</v>
      </c>
      <c r="AL181" s="876">
        <f>AL178+('Profit and Loss'!AK480*8)</f>
        <v>12883.0080391755</v>
      </c>
      <c r="AM181" s="940"/>
      <c r="AN181" s="940"/>
      <c r="AO181" s="940"/>
    </row>
    <row r="182" customHeight="1" spans="1:41">
      <c r="A182" s="860" t="s">
        <v>1091</v>
      </c>
      <c r="B182" s="890"/>
      <c r="C182" s="890"/>
      <c r="D182" s="890"/>
      <c r="E182" s="890"/>
      <c r="F182" s="890"/>
      <c r="G182" s="932">
        <f>G181/('Profit and Loss'!F377+'Profit and Loss'!F480)</f>
        <v>2.71633046958392</v>
      </c>
      <c r="H182" s="932">
        <f>H181/('Profit and Loss'!G377+'Profit and Loss'!G480)</f>
        <v>3.68187358184765</v>
      </c>
      <c r="I182" s="932">
        <f>I181/('Profit and Loss'!H377+'Profit and Loss'!H480)</f>
        <v>3.34189322709163</v>
      </c>
      <c r="J182" s="932">
        <f>J181/('Profit and Loss'!I377+'Profit and Loss'!I480)</f>
        <v>2.94059471365639</v>
      </c>
      <c r="K182" s="932">
        <f>K181/('Profit and Loss'!J377+'Profit and Loss'!J480)</f>
        <v>2.30424182076814</v>
      </c>
      <c r="L182" s="932">
        <f>L181/('Profit and Loss'!K377+'Profit and Loss'!K480)</f>
        <v>1.75210412415755</v>
      </c>
      <c r="M182" s="932">
        <f>M181/('Profit and Loss'!L377+'Profit and Loss'!L480)</f>
        <v>0.411656116452135</v>
      </c>
      <c r="N182" s="932">
        <f>N181/('Profit and Loss'!M377+'Profit and Loss'!M480)</f>
        <v>3.32174556213018</v>
      </c>
      <c r="O182" s="932">
        <f>O181/('Profit and Loss'!N377+'Profit and Loss'!N480)</f>
        <v>3.02931379080613</v>
      </c>
      <c r="P182" s="932">
        <f>P181/('Profit and Loss'!O377+'Profit and Loss'!O480)</f>
        <v>3.3053302433372</v>
      </c>
      <c r="Q182" s="932">
        <f>Q181/('Profit and Loss'!P377+'Profit and Loss'!P480)</f>
        <v>3.75446775446775</v>
      </c>
      <c r="R182" s="932">
        <f>R181/('Profit and Loss'!Q377+'Profit and Loss'!Q480)</f>
        <v>2.84040047114252</v>
      </c>
      <c r="S182" s="932">
        <f>S181/('Profit and Loss'!R377+'Profit and Loss'!R480)</f>
        <v>2.71885714285714</v>
      </c>
      <c r="T182" s="932">
        <f>T181/('Profit and Loss'!S377+'Profit and Loss'!S480)</f>
        <v>2.69945054945055</v>
      </c>
      <c r="U182" s="932">
        <f>U181/('Profit and Loss'!T377+'Profit and Loss'!T480)</f>
        <v>2.39504441327723</v>
      </c>
      <c r="V182" s="932">
        <f>V181/('Profit and Loss'!U377+'Profit and Loss'!U480)</f>
        <v>2.8842617631152</v>
      </c>
      <c r="W182" s="932">
        <f>W181/('Profit and Loss'!V377+'Profit and Loss'!V480)</f>
        <v>2.82083134257047</v>
      </c>
      <c r="X182" s="932">
        <f>X181/('Profit and Loss'!W377+'Profit and Loss'!W480)</f>
        <v>2.22892498066512</v>
      </c>
      <c r="Y182" s="932">
        <f>Y181/('Profit and Loss'!X377+'Profit and Loss'!X480)</f>
        <v>1.74363636363636</v>
      </c>
      <c r="Z182" s="932">
        <f>Z181/('Profit and Loss'!Y377+'Profit and Loss'!Y480)</f>
        <v>1.4953954496208</v>
      </c>
      <c r="AA182" s="932">
        <f>AA181/('Profit and Loss'!Z377+'Profit and Loss'!Z480)</f>
        <v>1.35914106562842</v>
      </c>
      <c r="AB182" s="932">
        <f>AB181/('Profit and Loss'!AA377+'Profit and Loss'!AA480)</f>
        <v>2.05997591527613</v>
      </c>
      <c r="AC182" s="932">
        <f>AC181/('Profit and Loss'!AB377+'Profit and Loss'!AB480)</f>
        <v>1.5367983158664</v>
      </c>
      <c r="AD182" s="932">
        <f>AD181/('Profit and Loss'!AC377+'Profit and Loss'!AC480)</f>
        <v>3.49893076958371</v>
      </c>
      <c r="AE182" s="932">
        <f>AE181/('Profit and Loss'!AD377+'Profit and Loss'!AD480)</f>
        <v>4.2344645440441</v>
      </c>
      <c r="AF182" s="932">
        <f>AF181/('Profit and Loss'!AE377+'Profit and Loss'!AE480)</f>
        <v>2.7091109735718</v>
      </c>
      <c r="AG182" s="932">
        <f>AG181/('Profit and Loss'!AF377+'Profit and Loss'!AF480)</f>
        <v>2.38806174402054</v>
      </c>
      <c r="AH182" s="932">
        <f>AH181/('Profit and Loss'!AG377+'Profit and Loss'!AG480)</f>
        <v>2.24841239616271</v>
      </c>
      <c r="AI182" s="932">
        <f>AI181/('Profit and Loss'!AH377+'Profit and Loss'!AH480)</f>
        <v>2.0974719423522</v>
      </c>
      <c r="AJ182" s="932">
        <f>AJ181/('Profit and Loss'!AI377+'Profit and Loss'!AI480)</f>
        <v>2.00121446432143</v>
      </c>
      <c r="AK182" s="932">
        <f>AK181/('Profit and Loss'!AJ377+'Profit and Loss'!AJ480)</f>
        <v>1.91698088596295</v>
      </c>
      <c r="AL182" s="932">
        <f>AL181/('Profit and Loss'!AK377+'Profit and Loss'!AK480)</f>
        <v>1.84709387770194</v>
      </c>
      <c r="AM182" s="939"/>
      <c r="AN182" s="939"/>
      <c r="AO182" s="939"/>
    </row>
    <row r="183" customHeight="1" spans="1:41">
      <c r="A183" s="860" t="s">
        <v>1092</v>
      </c>
      <c r="B183" s="890"/>
      <c r="C183" s="890"/>
      <c r="D183" s="890"/>
      <c r="E183" s="890"/>
      <c r="F183" s="890"/>
      <c r="G183" s="932"/>
      <c r="H183" s="932"/>
      <c r="I183" s="932"/>
      <c r="J183" s="932"/>
      <c r="K183" s="932"/>
      <c r="L183" s="932"/>
      <c r="M183" s="932">
        <f>AVERAGE($M$180:$AB$180)</f>
        <v>0.365036241899324</v>
      </c>
      <c r="N183" s="932">
        <f t="shared" ref="N183:AL183" si="382">AVERAGE($M$180:$AB$180)</f>
        <v>0.365036241899324</v>
      </c>
      <c r="O183" s="932">
        <f t="shared" si="382"/>
        <v>0.365036241899324</v>
      </c>
      <c r="P183" s="932">
        <f t="shared" si="382"/>
        <v>0.365036241899324</v>
      </c>
      <c r="Q183" s="932">
        <f t="shared" si="382"/>
        <v>0.365036241899324</v>
      </c>
      <c r="R183" s="932">
        <f t="shared" si="382"/>
        <v>0.365036241899324</v>
      </c>
      <c r="S183" s="932">
        <f t="shared" si="382"/>
        <v>0.365036241899324</v>
      </c>
      <c r="T183" s="932">
        <f t="shared" si="382"/>
        <v>0.365036241899324</v>
      </c>
      <c r="U183" s="932">
        <f t="shared" si="382"/>
        <v>0.365036241899324</v>
      </c>
      <c r="V183" s="932">
        <f t="shared" si="382"/>
        <v>0.365036241899324</v>
      </c>
      <c r="W183" s="932">
        <f t="shared" si="382"/>
        <v>0.365036241899324</v>
      </c>
      <c r="X183" s="932">
        <f t="shared" si="382"/>
        <v>0.365036241899324</v>
      </c>
      <c r="Y183" s="932">
        <f t="shared" si="382"/>
        <v>0.365036241899324</v>
      </c>
      <c r="Z183" s="932">
        <f t="shared" si="382"/>
        <v>0.365036241899324</v>
      </c>
      <c r="AA183" s="932">
        <f t="shared" si="382"/>
        <v>0.365036241899324</v>
      </c>
      <c r="AB183" s="932">
        <f t="shared" si="382"/>
        <v>0.365036241899324</v>
      </c>
      <c r="AC183" s="932">
        <f t="shared" si="382"/>
        <v>0.365036241899324</v>
      </c>
      <c r="AD183" s="932">
        <f t="shared" si="382"/>
        <v>0.365036241899324</v>
      </c>
      <c r="AE183" s="932">
        <f t="shared" si="382"/>
        <v>0.365036241899324</v>
      </c>
      <c r="AF183" s="932">
        <f t="shared" si="382"/>
        <v>0.365036241899324</v>
      </c>
      <c r="AG183" s="932">
        <f t="shared" si="382"/>
        <v>0.365036241899324</v>
      </c>
      <c r="AH183" s="932">
        <f t="shared" si="382"/>
        <v>0.365036241899324</v>
      </c>
      <c r="AI183" s="932">
        <f t="shared" si="382"/>
        <v>0.365036241899324</v>
      </c>
      <c r="AJ183" s="932">
        <f t="shared" si="382"/>
        <v>0.365036241899324</v>
      </c>
      <c r="AK183" s="932">
        <f t="shared" si="382"/>
        <v>0.365036241899324</v>
      </c>
      <c r="AL183" s="932">
        <f t="shared" si="382"/>
        <v>0.365036241899324</v>
      </c>
      <c r="AM183" s="939"/>
      <c r="AN183" s="939"/>
      <c r="AO183" s="939"/>
    </row>
    <row r="184" customHeight="1" spans="1:41">
      <c r="A184" s="860" t="s">
        <v>1093</v>
      </c>
      <c r="B184" s="890"/>
      <c r="C184" s="890"/>
      <c r="D184" s="890"/>
      <c r="E184" s="890"/>
      <c r="F184" s="890"/>
      <c r="G184" s="932"/>
      <c r="H184" s="932"/>
      <c r="I184" s="932"/>
      <c r="J184" s="932"/>
      <c r="K184" s="932"/>
      <c r="L184" s="932"/>
      <c r="M184" s="932">
        <f>AVERAGE($M$182:$AB$182)</f>
        <v>2.44177705777708</v>
      </c>
      <c r="N184" s="932">
        <f t="shared" ref="N184:AL184" si="383">AVERAGE($M$182:$AB$182)</f>
        <v>2.44177705777708</v>
      </c>
      <c r="O184" s="932">
        <f t="shared" si="383"/>
        <v>2.44177705777708</v>
      </c>
      <c r="P184" s="932">
        <f t="shared" si="383"/>
        <v>2.44177705777708</v>
      </c>
      <c r="Q184" s="932">
        <f t="shared" si="383"/>
        <v>2.44177705777708</v>
      </c>
      <c r="R184" s="932">
        <f t="shared" si="383"/>
        <v>2.44177705777708</v>
      </c>
      <c r="S184" s="932">
        <f t="shared" si="383"/>
        <v>2.44177705777708</v>
      </c>
      <c r="T184" s="932">
        <f t="shared" si="383"/>
        <v>2.44177705777708</v>
      </c>
      <c r="U184" s="932">
        <f t="shared" si="383"/>
        <v>2.44177705777708</v>
      </c>
      <c r="V184" s="932">
        <f t="shared" si="383"/>
        <v>2.44177705777708</v>
      </c>
      <c r="W184" s="932">
        <f t="shared" si="383"/>
        <v>2.44177705777708</v>
      </c>
      <c r="X184" s="932">
        <f t="shared" si="383"/>
        <v>2.44177705777708</v>
      </c>
      <c r="Y184" s="932">
        <f t="shared" si="383"/>
        <v>2.44177705777708</v>
      </c>
      <c r="Z184" s="932">
        <f t="shared" si="383"/>
        <v>2.44177705777708</v>
      </c>
      <c r="AA184" s="932">
        <f t="shared" si="383"/>
        <v>2.44177705777708</v>
      </c>
      <c r="AB184" s="932">
        <f t="shared" si="383"/>
        <v>2.44177705777708</v>
      </c>
      <c r="AC184" s="932">
        <f t="shared" si="383"/>
        <v>2.44177705777708</v>
      </c>
      <c r="AD184" s="932">
        <f t="shared" si="383"/>
        <v>2.44177705777708</v>
      </c>
      <c r="AE184" s="932">
        <f t="shared" si="383"/>
        <v>2.44177705777708</v>
      </c>
      <c r="AF184" s="932">
        <f t="shared" si="383"/>
        <v>2.44177705777708</v>
      </c>
      <c r="AG184" s="932">
        <f t="shared" si="383"/>
        <v>2.44177705777708</v>
      </c>
      <c r="AH184" s="932">
        <f t="shared" si="383"/>
        <v>2.44177705777708</v>
      </c>
      <c r="AI184" s="932">
        <f t="shared" si="383"/>
        <v>2.44177705777708</v>
      </c>
      <c r="AJ184" s="932">
        <f t="shared" si="383"/>
        <v>2.44177705777708</v>
      </c>
      <c r="AK184" s="932">
        <f t="shared" si="383"/>
        <v>2.44177705777708</v>
      </c>
      <c r="AL184" s="932">
        <f t="shared" si="383"/>
        <v>2.44177705777708</v>
      </c>
      <c r="AM184" s="939"/>
      <c r="AN184" s="939"/>
      <c r="AO184" s="939"/>
    </row>
    <row r="185" customHeight="1" spans="1:41">
      <c r="B185" s="890"/>
      <c r="C185" s="890"/>
      <c r="D185" s="890"/>
      <c r="E185" s="890"/>
      <c r="F185" s="890"/>
      <c r="G185" s="871"/>
      <c r="H185" s="871"/>
      <c r="I185" s="871"/>
      <c r="J185" s="871"/>
      <c r="K185" s="871"/>
      <c r="L185" s="871"/>
      <c r="M185" s="871"/>
      <c r="N185" s="871"/>
      <c r="O185" s="871"/>
      <c r="P185" s="871"/>
      <c r="Q185" s="871"/>
      <c r="R185" s="890"/>
      <c r="S185" s="890"/>
      <c r="T185" s="890"/>
      <c r="U185" s="890"/>
      <c r="V185" s="890"/>
      <c r="W185" s="890"/>
      <c r="Z185" s="890"/>
      <c r="AA185" s="890"/>
      <c r="AB185" s="890"/>
      <c r="AC185" s="890"/>
      <c r="AD185" s="890"/>
      <c r="AE185" s="890"/>
      <c r="AF185" s="890"/>
      <c r="AG185" s="890"/>
      <c r="AH185" s="890"/>
      <c r="AI185" s="890"/>
      <c r="AJ185" s="890"/>
      <c r="AK185" s="890"/>
      <c r="AL185" s="890"/>
    </row>
    <row r="186" customHeight="1" spans="1:41">
      <c r="A186" s="872" t="s">
        <v>1094</v>
      </c>
      <c r="B186" s="2132" t="str">
        <f>B$1</f>
        <v>1994</v>
      </c>
      <c r="C186" s="2132" t="str">
        <f t="shared" ref="C186:AL186" si="384">C$1</f>
        <v>1995</v>
      </c>
      <c r="D186" s="2132" t="str">
        <f t="shared" si="384"/>
        <v>1996</v>
      </c>
      <c r="E186" s="2132" t="str">
        <f t="shared" si="384"/>
        <v>1997</v>
      </c>
      <c r="F186" s="2132" t="str">
        <f t="shared" si="384"/>
        <v>1998</v>
      </c>
      <c r="G186" s="2132" t="str">
        <f t="shared" si="384"/>
        <v>1999</v>
      </c>
      <c r="H186" s="2132" t="str">
        <f t="shared" si="384"/>
        <v>2000</v>
      </c>
      <c r="I186" s="2132" t="str">
        <f t="shared" si="384"/>
        <v>2001</v>
      </c>
      <c r="J186" s="2132" t="str">
        <f t="shared" si="384"/>
        <v>2002</v>
      </c>
      <c r="K186" s="2132" t="str">
        <f t="shared" si="384"/>
        <v>2003</v>
      </c>
      <c r="L186" s="2132" t="str">
        <f t="shared" si="384"/>
        <v>2004</v>
      </c>
      <c r="M186" s="2132" t="str">
        <f t="shared" si="384"/>
        <v>2005</v>
      </c>
      <c r="N186" s="2132" t="str">
        <f t="shared" si="384"/>
        <v>2006</v>
      </c>
      <c r="O186" s="863">
        <f t="shared" si="384"/>
        <v>2007</v>
      </c>
      <c r="P186" s="863">
        <f t="shared" si="384"/>
        <v>2008</v>
      </c>
      <c r="Q186" s="863">
        <f t="shared" si="384"/>
        <v>2009</v>
      </c>
      <c r="R186" s="863">
        <f t="shared" si="384"/>
        <v>2010</v>
      </c>
      <c r="S186" s="863">
        <f t="shared" si="384"/>
        <v>2011</v>
      </c>
      <c r="T186" s="863">
        <f t="shared" si="384"/>
        <v>2012</v>
      </c>
      <c r="U186" s="863">
        <f t="shared" si="384"/>
        <v>2013</v>
      </c>
      <c r="V186" s="863">
        <f t="shared" si="384"/>
        <v>2014</v>
      </c>
      <c r="W186" s="863">
        <f t="shared" si="384"/>
        <v>2015</v>
      </c>
      <c r="X186" s="863">
        <f t="shared" si="384"/>
        <v>2016</v>
      </c>
      <c r="Y186" s="863">
        <f t="shared" si="384"/>
        <v>2017</v>
      </c>
      <c r="Z186" s="863">
        <f t="shared" si="384"/>
        <v>2018</v>
      </c>
      <c r="AA186" s="863">
        <f t="shared" si="384"/>
        <v>2019</v>
      </c>
      <c r="AB186" s="863">
        <f t="shared" si="384"/>
        <v>2020</v>
      </c>
      <c r="AC186" s="863">
        <f t="shared" si="384"/>
        <v>2021</v>
      </c>
      <c r="AD186" s="863">
        <f t="shared" si="384"/>
        <v>2022</v>
      </c>
      <c r="AE186" s="863">
        <f t="shared" si="384"/>
        <v>2023</v>
      </c>
      <c r="AF186" s="863">
        <f t="shared" si="384"/>
        <v>2024</v>
      </c>
      <c r="AG186" s="863">
        <f t="shared" si="384"/>
        <v>2025</v>
      </c>
      <c r="AH186" s="2132" t="str">
        <f t="shared" si="384"/>
        <v>2026E</v>
      </c>
      <c r="AI186" s="2132" t="str">
        <f t="shared" si="384"/>
        <v>2027E</v>
      </c>
      <c r="AJ186" s="2132" t="str">
        <f t="shared" si="384"/>
        <v>2028E</v>
      </c>
      <c r="AK186" s="2132" t="str">
        <f t="shared" si="384"/>
        <v>2029E</v>
      </c>
      <c r="AL186" s="2132" t="str">
        <f t="shared" si="384"/>
        <v>2030E</v>
      </c>
      <c r="AM186" s="941"/>
    </row>
    <row r="187" customHeight="1" spans="1:41">
      <c r="A187" s="860" t="s">
        <v>1095</v>
      </c>
      <c r="B187" s="876">
        <v>0</v>
      </c>
      <c r="C187" s="876">
        <v>0</v>
      </c>
      <c r="D187" s="876">
        <v>0</v>
      </c>
      <c r="E187" s="876">
        <v>0</v>
      </c>
      <c r="F187" s="876">
        <v>0</v>
      </c>
      <c r="G187" s="876">
        <v>0</v>
      </c>
      <c r="H187" s="876">
        <v>0</v>
      </c>
      <c r="I187" s="876">
        <v>0</v>
      </c>
      <c r="J187" s="876">
        <v>0</v>
      </c>
      <c r="K187" s="876">
        <v>0</v>
      </c>
      <c r="L187" s="876">
        <v>0</v>
      </c>
      <c r="M187" s="876">
        <v>0</v>
      </c>
      <c r="N187" s="876">
        <f t="shared" ref="N187:Y187" si="385">N205*(AVERAGE(M173:N173))</f>
        <v>0</v>
      </c>
      <c r="O187" s="876">
        <f t="shared" si="385"/>
        <v>0</v>
      </c>
      <c r="P187" s="876">
        <f t="shared" si="385"/>
        <v>0</v>
      </c>
      <c r="Q187" s="876">
        <f t="shared" si="385"/>
        <v>0</v>
      </c>
      <c r="R187" s="876">
        <f t="shared" si="385"/>
        <v>0</v>
      </c>
      <c r="S187" s="876">
        <f t="shared" si="385"/>
        <v>0</v>
      </c>
      <c r="T187" s="876">
        <f t="shared" si="385"/>
        <v>0</v>
      </c>
      <c r="U187" s="876">
        <f t="shared" si="385"/>
        <v>0</v>
      </c>
      <c r="V187" s="876">
        <f t="shared" si="385"/>
        <v>0</v>
      </c>
      <c r="W187" s="876">
        <f t="shared" si="385"/>
        <v>0</v>
      </c>
      <c r="X187" s="876">
        <f t="shared" si="385"/>
        <v>0</v>
      </c>
      <c r="Y187" s="876">
        <f t="shared" si="385"/>
        <v>0</v>
      </c>
      <c r="Z187" s="876">
        <f t="shared" ref="Z187:AL188" si="386">Z205*(AVERAGE(Y173:Z173))</f>
        <v>0</v>
      </c>
      <c r="AA187" s="876">
        <f t="shared" si="386"/>
        <v>0</v>
      </c>
      <c r="AB187" s="876">
        <f t="shared" si="386"/>
        <v>0</v>
      </c>
      <c r="AC187" s="876">
        <f t="shared" si="386"/>
        <v>0</v>
      </c>
      <c r="AD187" s="876">
        <f t="shared" si="386"/>
        <v>0</v>
      </c>
      <c r="AE187" s="876">
        <f t="shared" si="386"/>
        <v>0</v>
      </c>
      <c r="AF187" s="876">
        <f t="shared" si="386"/>
        <v>0</v>
      </c>
      <c r="AG187" s="876">
        <f t="shared" si="386"/>
        <v>0</v>
      </c>
      <c r="AH187" s="876">
        <f t="shared" si="386"/>
        <v>0</v>
      </c>
      <c r="AI187" s="876">
        <f t="shared" si="386"/>
        <v>0</v>
      </c>
      <c r="AJ187" s="876">
        <f t="shared" si="386"/>
        <v>0</v>
      </c>
      <c r="AK187" s="876">
        <f t="shared" si="386"/>
        <v>0</v>
      </c>
      <c r="AL187" s="876">
        <f t="shared" si="386"/>
        <v>0</v>
      </c>
      <c r="AM187" s="876"/>
    </row>
    <row r="188" customHeight="1" spans="1:41">
      <c r="A188" s="860" t="s">
        <v>1096</v>
      </c>
      <c r="B188" s="876">
        <v>0</v>
      </c>
      <c r="C188" s="876">
        <v>0</v>
      </c>
      <c r="D188" s="876">
        <v>0</v>
      </c>
      <c r="E188" s="876">
        <v>0</v>
      </c>
      <c r="F188" s="876">
        <v>0</v>
      </c>
      <c r="G188" s="876">
        <v>0</v>
      </c>
      <c r="H188" s="876">
        <v>0</v>
      </c>
      <c r="I188" s="876">
        <v>0</v>
      </c>
      <c r="J188" s="876">
        <v>0</v>
      </c>
      <c r="K188" s="876">
        <v>0</v>
      </c>
      <c r="L188" s="876">
        <v>0</v>
      </c>
      <c r="M188" s="876">
        <v>0</v>
      </c>
      <c r="N188" s="876">
        <f t="shared" ref="N188:Y188" si="387">N206*(AVERAGE(M174:N174))</f>
        <v>0</v>
      </c>
      <c r="O188" s="876">
        <f t="shared" si="387"/>
        <v>0</v>
      </c>
      <c r="P188" s="876">
        <f t="shared" si="387"/>
        <v>0</v>
      </c>
      <c r="Q188" s="876">
        <f t="shared" si="387"/>
        <v>0</v>
      </c>
      <c r="R188" s="876">
        <f t="shared" si="387"/>
        <v>0</v>
      </c>
      <c r="S188" s="876">
        <f t="shared" si="387"/>
        <v>0</v>
      </c>
      <c r="T188" s="876">
        <f t="shared" si="387"/>
        <v>0</v>
      </c>
      <c r="U188" s="876">
        <f t="shared" si="387"/>
        <v>0</v>
      </c>
      <c r="V188" s="876">
        <f t="shared" si="387"/>
        <v>0</v>
      </c>
      <c r="W188" s="876">
        <f t="shared" si="387"/>
        <v>0</v>
      </c>
      <c r="X188" s="876">
        <f t="shared" si="387"/>
        <v>0</v>
      </c>
      <c r="Y188" s="876">
        <f t="shared" si="387"/>
        <v>0</v>
      </c>
      <c r="Z188" s="876">
        <f t="shared" si="386"/>
        <v>0</v>
      </c>
      <c r="AA188" s="876">
        <f t="shared" si="386"/>
        <v>0</v>
      </c>
      <c r="AB188" s="876">
        <f t="shared" si="386"/>
        <v>0</v>
      </c>
      <c r="AC188" s="876">
        <f t="shared" si="386"/>
        <v>0</v>
      </c>
      <c r="AD188" s="876">
        <f t="shared" si="386"/>
        <v>0</v>
      </c>
      <c r="AE188" s="876">
        <f t="shared" si="386"/>
        <v>0</v>
      </c>
      <c r="AF188" s="876">
        <f t="shared" si="386"/>
        <v>0</v>
      </c>
      <c r="AG188" s="876">
        <f t="shared" si="386"/>
        <v>0</v>
      </c>
      <c r="AH188" s="876">
        <f t="shared" si="386"/>
        <v>0</v>
      </c>
      <c r="AI188" s="876">
        <f t="shared" si="386"/>
        <v>0</v>
      </c>
      <c r="AJ188" s="876">
        <f t="shared" si="386"/>
        <v>0</v>
      </c>
      <c r="AK188" s="876">
        <f t="shared" si="386"/>
        <v>0</v>
      </c>
      <c r="AL188" s="876">
        <f t="shared" si="386"/>
        <v>0</v>
      </c>
      <c r="AM188" s="876"/>
      <c r="AN188" s="942"/>
    </row>
    <row r="189" customHeight="1" spans="1:41">
      <c r="A189" s="860" t="s">
        <v>1097</v>
      </c>
      <c r="B189" s="876">
        <v>0</v>
      </c>
      <c r="C189" s="876">
        <v>0</v>
      </c>
      <c r="D189" s="876">
        <v>0</v>
      </c>
      <c r="E189" s="876">
        <v>0</v>
      </c>
      <c r="F189" s="876">
        <v>0</v>
      </c>
      <c r="G189" s="876">
        <v>0</v>
      </c>
      <c r="H189" s="876">
        <v>0</v>
      </c>
      <c r="I189" s="876">
        <v>0</v>
      </c>
      <c r="J189" s="876">
        <v>0</v>
      </c>
      <c r="K189" s="876">
        <v>0</v>
      </c>
      <c r="L189" s="876">
        <v>0</v>
      </c>
      <c r="M189" s="876">
        <v>0</v>
      </c>
      <c r="N189" s="876"/>
      <c r="O189" s="876"/>
      <c r="P189" s="876"/>
      <c r="Q189" s="876"/>
      <c r="R189" s="876"/>
      <c r="S189" s="876"/>
      <c r="T189" s="876"/>
      <c r="U189" s="876"/>
      <c r="V189" s="876"/>
      <c r="W189" s="876"/>
      <c r="X189" s="876"/>
      <c r="Y189" s="876"/>
      <c r="Z189" s="876"/>
      <c r="AA189" s="876"/>
      <c r="AB189" s="876"/>
      <c r="AC189" s="876"/>
      <c r="AD189" s="876"/>
      <c r="AE189" s="876"/>
      <c r="AF189" s="876"/>
      <c r="AG189" s="876"/>
      <c r="AH189" s="876"/>
      <c r="AI189" s="876"/>
      <c r="AJ189" s="876"/>
      <c r="AK189" s="876"/>
      <c r="AL189" s="876"/>
      <c r="AM189" s="876"/>
      <c r="AN189" s="942"/>
    </row>
    <row r="190" customHeight="1" spans="1:41">
      <c r="A190" s="884" t="s">
        <v>1098</v>
      </c>
      <c r="B190" s="885">
        <v>0</v>
      </c>
      <c r="C190" s="885">
        <f t="shared" ref="C190:K190" si="388">C192-C191</f>
        <v>4.7121408</v>
      </c>
      <c r="D190" s="885">
        <f t="shared" si="388"/>
        <v>10.6339119</v>
      </c>
      <c r="E190" s="885">
        <f t="shared" si="388"/>
        <v>23.2681295</v>
      </c>
      <c r="F190" s="885">
        <f t="shared" si="388"/>
        <v>121.2997273</v>
      </c>
      <c r="G190" s="885">
        <f t="shared" si="388"/>
        <v>91.284</v>
      </c>
      <c r="H190" s="885">
        <f t="shared" si="388"/>
        <v>106.612</v>
      </c>
      <c r="I190" s="885">
        <f t="shared" si="388"/>
        <v>113.727</v>
      </c>
      <c r="J190" s="885">
        <f t="shared" si="388"/>
        <v>95.791</v>
      </c>
      <c r="K190" s="885">
        <f t="shared" si="388"/>
        <v>58.06</v>
      </c>
      <c r="L190" s="885">
        <v>76.466</v>
      </c>
      <c r="M190" s="885">
        <v>93.727</v>
      </c>
      <c r="N190" s="885">
        <v>197</v>
      </c>
      <c r="O190" s="885">
        <v>170</v>
      </c>
      <c r="P190" s="885">
        <v>203</v>
      </c>
      <c r="Q190" s="885">
        <v>169</v>
      </c>
      <c r="R190" s="885">
        <v>113</v>
      </c>
      <c r="S190" s="885">
        <v>115</v>
      </c>
      <c r="T190" s="885">
        <v>105</v>
      </c>
      <c r="U190" s="885">
        <v>94</v>
      </c>
      <c r="V190" s="885">
        <v>67</v>
      </c>
      <c r="W190" s="885">
        <v>67</v>
      </c>
      <c r="X190" s="885">
        <v>74</v>
      </c>
      <c r="Y190" s="885">
        <f t="shared" ref="Y190" si="389">Y209*Y176</f>
        <v>45.2881926312736</v>
      </c>
      <c r="Z190" s="885">
        <v>47</v>
      </c>
      <c r="AA190" s="885">
        <v>166</v>
      </c>
      <c r="AB190" s="885">
        <v>196</v>
      </c>
      <c r="AC190" s="885">
        <v>153</v>
      </c>
      <c r="AD190" s="885">
        <f t="shared" ref="AD190:AE190" si="390">AD209*AD176</f>
        <v>187.663429277768</v>
      </c>
      <c r="AE190" s="885">
        <f t="shared" si="390"/>
        <v>160.970157160516</v>
      </c>
      <c r="AF190" s="885">
        <f t="shared" ref="AF190:AG190" si="391">AF209*AF176</f>
        <v>134.276885043263</v>
      </c>
      <c r="AG190" s="885">
        <f t="shared" si="391"/>
        <v>142.70633939608</v>
      </c>
      <c r="AH190" s="885">
        <f t="shared" ref="AH190:AI190" si="392">AH209*AH176</f>
        <v>142.70633939608</v>
      </c>
      <c r="AI190" s="885">
        <f t="shared" si="392"/>
        <v>142.70633939608</v>
      </c>
      <c r="AJ190" s="885">
        <f t="shared" ref="AJ190:AK190" si="393">AJ209*AJ176</f>
        <v>142.70633939608</v>
      </c>
      <c r="AK190" s="885">
        <f t="shared" si="393"/>
        <v>142.70633939608</v>
      </c>
      <c r="AL190" s="885">
        <f t="shared" ref="AL190" si="394">AL209*AL176</f>
        <v>142.70633939608</v>
      </c>
      <c r="AM190" s="876"/>
      <c r="AN190" s="889"/>
    </row>
    <row r="191" customHeight="1" spans="1:41">
      <c r="A191" s="860" t="s">
        <v>1099</v>
      </c>
      <c r="B191" s="876">
        <v>0</v>
      </c>
      <c r="C191" s="876">
        <v>-4.7121408</v>
      </c>
      <c r="D191" s="876">
        <v>-4.6339119</v>
      </c>
      <c r="E191" s="876">
        <v>-7.2681295</v>
      </c>
      <c r="F191" s="876">
        <v>-6.2997273</v>
      </c>
      <c r="G191" s="876">
        <v>-7.284</v>
      </c>
      <c r="H191" s="876">
        <v>-12.612</v>
      </c>
      <c r="I191" s="876">
        <v>-11.727</v>
      </c>
      <c r="J191" s="876">
        <v>-8.791</v>
      </c>
      <c r="K191" s="876">
        <v>-9.06</v>
      </c>
      <c r="L191" s="876">
        <v>-17.951</v>
      </c>
      <c r="M191" s="876">
        <v>-41.588</v>
      </c>
      <c r="N191" s="876">
        <v>-39</v>
      </c>
      <c r="O191" s="876">
        <v>-36</v>
      </c>
      <c r="P191" s="876">
        <v>-37</v>
      </c>
      <c r="Q191" s="876">
        <v>-19</v>
      </c>
      <c r="R191" s="876">
        <v>-25</v>
      </c>
      <c r="S191" s="876">
        <v>-31</v>
      </c>
      <c r="T191" s="876">
        <v>-36</v>
      </c>
      <c r="U191" s="876">
        <v>-26</v>
      </c>
      <c r="V191" s="876">
        <v>-19</v>
      </c>
      <c r="W191" s="876">
        <v>-46</v>
      </c>
      <c r="X191" s="876">
        <v>-28</v>
      </c>
      <c r="Y191" s="876">
        <f t="shared" ref="Y191" si="395">Y208*Y177</f>
        <v>-31.1262608695652</v>
      </c>
      <c r="Z191" s="876">
        <v>-57</v>
      </c>
      <c r="AA191" s="876">
        <v>-64</v>
      </c>
      <c r="AB191" s="876">
        <v>-29</v>
      </c>
      <c r="AC191" s="876">
        <v>-19</v>
      </c>
      <c r="AD191" s="876">
        <f t="shared" ref="AD191:AE191" si="396">AD208*AD177</f>
        <v>-3.87675786243927</v>
      </c>
      <c r="AE191" s="876">
        <f t="shared" si="396"/>
        <v>-6.95193045256968</v>
      </c>
      <c r="AF191" s="876">
        <f t="shared" ref="AF191:AG191" si="397">AF208*AF177</f>
        <v>-11.9266172334441</v>
      </c>
      <c r="AG191" s="876">
        <f t="shared" si="397"/>
        <v>-7.85553566862695</v>
      </c>
      <c r="AH191" s="876">
        <f t="shared" ref="AH191:AI191" si="398">AH208*AH177</f>
        <v>-7.82946758143025</v>
      </c>
      <c r="AI191" s="876">
        <f t="shared" si="398"/>
        <v>-8.06892807482171</v>
      </c>
      <c r="AJ191" s="876">
        <f t="shared" ref="AJ191:AK191" si="399">AJ208*AJ177</f>
        <v>-9.35658462444485</v>
      </c>
      <c r="AK191" s="876">
        <f t="shared" si="399"/>
        <v>-11.3840776545338</v>
      </c>
      <c r="AL191" s="876">
        <f t="shared" ref="AL191" si="400">AL208*AL177</f>
        <v>-13.2171284490547</v>
      </c>
      <c r="AM191" s="876"/>
      <c r="AN191" s="887"/>
    </row>
    <row r="192" customHeight="1" spans="1:41">
      <c r="A192" s="884" t="s">
        <v>1100</v>
      </c>
      <c r="B192" s="885"/>
      <c r="C192" s="885">
        <f>'Profit and Loss'!B380</f>
        <v>0</v>
      </c>
      <c r="D192" s="885">
        <f>'Profit and Loss'!C380</f>
        <v>6</v>
      </c>
      <c r="E192" s="885">
        <f>'Profit and Loss'!D380</f>
        <v>16</v>
      </c>
      <c r="F192" s="885">
        <f>'Profit and Loss'!E380</f>
        <v>115</v>
      </c>
      <c r="G192" s="885">
        <f>'Profit and Loss'!F380</f>
        <v>84</v>
      </c>
      <c r="H192" s="885">
        <f>'Profit and Loss'!G380</f>
        <v>94</v>
      </c>
      <c r="I192" s="885">
        <f>'Profit and Loss'!H380</f>
        <v>102</v>
      </c>
      <c r="J192" s="885">
        <f>'Profit and Loss'!I380</f>
        <v>87</v>
      </c>
      <c r="K192" s="885">
        <f>'Profit and Loss'!J380</f>
        <v>49</v>
      </c>
      <c r="L192" s="885">
        <f>L190+L191</f>
        <v>58.515</v>
      </c>
      <c r="M192" s="885">
        <f>'Profit and Loss'!L380</f>
        <v>52</v>
      </c>
      <c r="N192" s="885">
        <f>'Profit and Loss'!M380</f>
        <v>158</v>
      </c>
      <c r="O192" s="885">
        <f>'Profit and Loss'!N380</f>
        <v>135</v>
      </c>
      <c r="P192" s="885">
        <f>'Profit and Loss'!O380</f>
        <v>166</v>
      </c>
      <c r="Q192" s="885">
        <f>'Profit and Loss'!P380</f>
        <v>150</v>
      </c>
      <c r="R192" s="885">
        <f>R190+R191</f>
        <v>88</v>
      </c>
      <c r="S192" s="885">
        <f>S190+S191</f>
        <v>84</v>
      </c>
      <c r="T192" s="885">
        <f t="shared" ref="T192:AB192" si="401">+T191+T190</f>
        <v>69</v>
      </c>
      <c r="U192" s="885">
        <f t="shared" si="401"/>
        <v>68</v>
      </c>
      <c r="V192" s="885">
        <f t="shared" si="401"/>
        <v>48</v>
      </c>
      <c r="W192" s="885">
        <f t="shared" si="401"/>
        <v>21</v>
      </c>
      <c r="X192" s="885">
        <f t="shared" si="401"/>
        <v>46</v>
      </c>
      <c r="Y192" s="885">
        <f t="shared" si="401"/>
        <v>14.1619317617084</v>
      </c>
      <c r="Z192" s="885">
        <f t="shared" si="401"/>
        <v>-10</v>
      </c>
      <c r="AA192" s="885">
        <f t="shared" si="401"/>
        <v>102</v>
      </c>
      <c r="AB192" s="885">
        <f t="shared" si="401"/>
        <v>167</v>
      </c>
      <c r="AC192" s="885">
        <f t="shared" ref="AC192:AH192" si="402">+AC191+AC190</f>
        <v>134</v>
      </c>
      <c r="AD192" s="885">
        <f t="shared" si="402"/>
        <v>183.786671415329</v>
      </c>
      <c r="AE192" s="885">
        <f t="shared" si="402"/>
        <v>154.018226707946</v>
      </c>
      <c r="AF192" s="885">
        <f t="shared" si="402"/>
        <v>122.350267809819</v>
      </c>
      <c r="AG192" s="885">
        <f t="shared" si="402"/>
        <v>134.850803727453</v>
      </c>
      <c r="AH192" s="885">
        <f t="shared" si="402"/>
        <v>134.87687181465</v>
      </c>
      <c r="AI192" s="885">
        <f t="shared" ref="AI192:AJ192" si="403">+AI191+AI190</f>
        <v>134.637411321258</v>
      </c>
      <c r="AJ192" s="885">
        <f t="shared" si="403"/>
        <v>133.349754771635</v>
      </c>
      <c r="AK192" s="885">
        <f t="shared" ref="AK192:AL192" si="404">+AK191+AK190</f>
        <v>131.322261741546</v>
      </c>
      <c r="AL192" s="885">
        <f t="shared" si="404"/>
        <v>129.489210947025</v>
      </c>
      <c r="AM192" s="876"/>
      <c r="AN192" s="889"/>
    </row>
    <row r="193" customHeight="1" spans="1:40">
      <c r="C193" s="861">
        <f>'Profit and Loss'!B380</f>
        <v>0</v>
      </c>
      <c r="D193" s="861">
        <f>'Profit and Loss'!C380</f>
        <v>6</v>
      </c>
      <c r="E193" s="861">
        <f>'Profit and Loss'!D380</f>
        <v>16</v>
      </c>
      <c r="F193" s="861">
        <f>'Profit and Loss'!E380</f>
        <v>115</v>
      </c>
      <c r="G193" s="861">
        <f>'Profit and Loss'!F380</f>
        <v>84</v>
      </c>
      <c r="H193" s="861">
        <f>'Profit and Loss'!G380</f>
        <v>94</v>
      </c>
      <c r="I193" s="861">
        <f>'Profit and Loss'!H380</f>
        <v>102</v>
      </c>
      <c r="J193" s="861">
        <f>'Profit and Loss'!I380</f>
        <v>87</v>
      </c>
      <c r="K193" s="861">
        <f>'Profit and Loss'!J380</f>
        <v>49</v>
      </c>
      <c r="M193" s="919"/>
      <c r="N193" s="919"/>
      <c r="O193" s="919"/>
      <c r="AM193" s="876"/>
      <c r="AN193" s="942"/>
    </row>
    <row r="194" customHeight="1" spans="1:40">
      <c r="A194" s="858" t="s">
        <v>1101</v>
      </c>
      <c r="B194" s="867">
        <v>0</v>
      </c>
      <c r="C194" s="867">
        <v>0</v>
      </c>
      <c r="D194" s="867">
        <v>0</v>
      </c>
      <c r="E194" s="867">
        <v>0</v>
      </c>
      <c r="F194" s="867">
        <v>0</v>
      </c>
      <c r="G194" s="867">
        <v>0</v>
      </c>
      <c r="H194" s="867">
        <v>0</v>
      </c>
      <c r="I194" s="867">
        <v>0</v>
      </c>
      <c r="J194" s="867">
        <v>0</v>
      </c>
      <c r="K194" s="867">
        <v>0</v>
      </c>
      <c r="L194" s="867">
        <v>0</v>
      </c>
      <c r="M194" s="867">
        <v>0</v>
      </c>
      <c r="N194" s="867">
        <v>0</v>
      </c>
      <c r="O194" s="867">
        <v>0</v>
      </c>
      <c r="P194" s="867">
        <v>0</v>
      </c>
      <c r="Q194" s="867">
        <v>0</v>
      </c>
      <c r="R194" s="867">
        <v>0</v>
      </c>
      <c r="S194" s="867">
        <v>0</v>
      </c>
      <c r="T194" s="867"/>
      <c r="U194" s="867"/>
      <c r="V194" s="867"/>
      <c r="W194" s="867"/>
      <c r="X194" s="860"/>
      <c r="Y194" s="860"/>
      <c r="Z194" s="860"/>
      <c r="AA194" s="860"/>
      <c r="AB194" s="860"/>
      <c r="AC194" s="860"/>
      <c r="AD194" s="860"/>
      <c r="AE194" s="860"/>
      <c r="AF194" s="860"/>
      <c r="AG194" s="860"/>
      <c r="AH194" s="860"/>
      <c r="AI194" s="860"/>
      <c r="AJ194" s="860"/>
      <c r="AK194" s="860"/>
      <c r="AL194" s="860"/>
      <c r="AM194" s="876"/>
    </row>
    <row r="195" customHeight="1" spans="1:40">
      <c r="X195" s="861">
        <f t="shared" ref="X195:AC195" si="405">X108+X111</f>
        <v>173</v>
      </c>
      <c r="Y195" s="943">
        <f t="shared" si="405"/>
        <v>1042</v>
      </c>
      <c r="Z195" s="943">
        <f t="shared" si="405"/>
        <v>2075</v>
      </c>
      <c r="AA195" s="943">
        <f t="shared" si="405"/>
        <v>2221</v>
      </c>
      <c r="AB195" s="943">
        <f t="shared" si="405"/>
        <v>1118</v>
      </c>
      <c r="AC195" s="943">
        <f t="shared" si="405"/>
        <v>2822</v>
      </c>
      <c r="AD195" s="943">
        <f t="shared" ref="AD195:AE195" si="406">AD108+AD111</f>
        <v>-538</v>
      </c>
      <c r="AE195" s="943">
        <f t="shared" si="406"/>
        <v>2267.00000000002</v>
      </c>
      <c r="AF195" s="943">
        <f t="shared" ref="AF195:AG195" si="407">AF108+AF111</f>
        <v>2490.99999999999</v>
      </c>
      <c r="AG195" s="943">
        <f t="shared" si="407"/>
        <v>388</v>
      </c>
      <c r="AH195" s="943">
        <f t="shared" ref="AH195:AI195" si="408">AH108+AH111</f>
        <v>2182.62609005125</v>
      </c>
      <c r="AI195" s="943">
        <f t="shared" si="408"/>
        <v>2392.64391207204</v>
      </c>
      <c r="AJ195" s="943">
        <f t="shared" ref="AJ195:AK195" si="409">AJ108+AJ111</f>
        <v>2783.88041123152</v>
      </c>
      <c r="AK195" s="943">
        <f t="shared" si="409"/>
        <v>3059.96048707199</v>
      </c>
      <c r="AL195" s="943">
        <f t="shared" ref="AL195" si="410">AL108+AL111</f>
        <v>3130.98388005137</v>
      </c>
      <c r="AM195" s="876"/>
    </row>
    <row r="196" hidden="1" customHeight="1" spans="1:40">
      <c r="A196" s="944" t="s">
        <v>1102</v>
      </c>
      <c r="B196" s="2133" t="str">
        <f>B$1</f>
        <v>1994</v>
      </c>
      <c r="C196" s="2133" t="str">
        <f t="shared" ref="C196:AL196" si="411">C$1</f>
        <v>1995</v>
      </c>
      <c r="D196" s="2133" t="str">
        <f t="shared" si="411"/>
        <v>1996</v>
      </c>
      <c r="E196" s="2133" t="str">
        <f t="shared" si="411"/>
        <v>1997</v>
      </c>
      <c r="F196" s="2133" t="str">
        <f t="shared" si="411"/>
        <v>1998</v>
      </c>
      <c r="G196" s="2133" t="str">
        <f t="shared" si="411"/>
        <v>1999</v>
      </c>
      <c r="H196" s="2133" t="str">
        <f t="shared" si="411"/>
        <v>2000</v>
      </c>
      <c r="I196" s="2133" t="str">
        <f t="shared" si="411"/>
        <v>2001</v>
      </c>
      <c r="J196" s="2133" t="str">
        <f t="shared" si="411"/>
        <v>2002</v>
      </c>
      <c r="K196" s="2133" t="str">
        <f t="shared" si="411"/>
        <v>2003</v>
      </c>
      <c r="L196" s="2133" t="str">
        <f t="shared" si="411"/>
        <v>2004</v>
      </c>
      <c r="M196" s="2133" t="str">
        <f t="shared" si="411"/>
        <v>2005</v>
      </c>
      <c r="N196" s="2133" t="str">
        <f t="shared" si="411"/>
        <v>2006</v>
      </c>
      <c r="O196" s="945">
        <f t="shared" si="411"/>
        <v>2007</v>
      </c>
      <c r="P196" s="945">
        <f t="shared" si="411"/>
        <v>2008</v>
      </c>
      <c r="Q196" s="945">
        <f t="shared" si="411"/>
        <v>2009</v>
      </c>
      <c r="R196" s="945">
        <f t="shared" si="411"/>
        <v>2010</v>
      </c>
      <c r="S196" s="945">
        <f t="shared" si="411"/>
        <v>2011</v>
      </c>
      <c r="T196" s="945">
        <f t="shared" si="411"/>
        <v>2012</v>
      </c>
      <c r="U196" s="945">
        <f t="shared" si="411"/>
        <v>2013</v>
      </c>
      <c r="V196" s="945">
        <f t="shared" si="411"/>
        <v>2014</v>
      </c>
      <c r="W196" s="945">
        <f t="shared" si="411"/>
        <v>2015</v>
      </c>
      <c r="X196" s="945">
        <f t="shared" si="411"/>
        <v>2016</v>
      </c>
      <c r="Y196" s="945">
        <f t="shared" si="411"/>
        <v>2017</v>
      </c>
      <c r="Z196" s="945">
        <f t="shared" si="411"/>
        <v>2018</v>
      </c>
      <c r="AA196" s="945">
        <f t="shared" si="411"/>
        <v>2019</v>
      </c>
      <c r="AB196" s="945">
        <f t="shared" si="411"/>
        <v>2020</v>
      </c>
      <c r="AC196" s="945">
        <f t="shared" si="411"/>
        <v>2021</v>
      </c>
      <c r="AD196" s="945">
        <f t="shared" si="411"/>
        <v>2022</v>
      </c>
      <c r="AE196" s="945">
        <f t="shared" si="411"/>
        <v>2023</v>
      </c>
      <c r="AF196" s="945">
        <f t="shared" si="411"/>
        <v>2024</v>
      </c>
      <c r="AG196" s="945">
        <f t="shared" si="411"/>
        <v>2025</v>
      </c>
      <c r="AH196" s="2133" t="str">
        <f t="shared" si="411"/>
        <v>2026E</v>
      </c>
      <c r="AI196" s="2133" t="str">
        <f t="shared" si="411"/>
        <v>2027E</v>
      </c>
      <c r="AJ196" s="2133" t="str">
        <f t="shared" si="411"/>
        <v>2028E</v>
      </c>
      <c r="AK196" s="2133" t="str">
        <f t="shared" si="411"/>
        <v>2029E</v>
      </c>
      <c r="AL196" s="2133" t="str">
        <f t="shared" si="411"/>
        <v>2030E</v>
      </c>
      <c r="AM196" s="876"/>
    </row>
    <row r="197" hidden="1" customHeight="1" spans="1:40">
      <c r="A197" s="946" t="s">
        <v>168</v>
      </c>
      <c r="B197" s="947">
        <f t="shared" ref="B197:AF197" si="412">B91</f>
        <v>0</v>
      </c>
      <c r="C197" s="947">
        <f t="shared" si="412"/>
        <v>125.2245282</v>
      </c>
      <c r="D197" s="947">
        <f t="shared" si="412"/>
        <v>160.5834797</v>
      </c>
      <c r="E197" s="947">
        <f t="shared" si="412"/>
        <v>236.7390582</v>
      </c>
      <c r="F197" s="947">
        <f t="shared" si="412"/>
        <v>204.9566502</v>
      </c>
      <c r="G197" s="947">
        <f t="shared" si="412"/>
        <v>227.281</v>
      </c>
      <c r="H197" s="947">
        <f t="shared" si="412"/>
        <v>181.488</v>
      </c>
      <c r="I197" s="947">
        <f t="shared" si="412"/>
        <v>208.492999999999</v>
      </c>
      <c r="J197" s="947">
        <f t="shared" si="412"/>
        <v>228.571</v>
      </c>
      <c r="K197" s="947">
        <f t="shared" si="412"/>
        <v>260.084999999999</v>
      </c>
      <c r="L197" s="947">
        <f t="shared" si="412"/>
        <v>325.6</v>
      </c>
      <c r="M197" s="947">
        <f t="shared" si="412"/>
        <v>426</v>
      </c>
      <c r="N197" s="947">
        <f t="shared" si="412"/>
        <v>483</v>
      </c>
      <c r="O197" s="947">
        <f t="shared" si="412"/>
        <v>550</v>
      </c>
      <c r="P197" s="947">
        <f t="shared" si="412"/>
        <v>642</v>
      </c>
      <c r="Q197" s="947">
        <f t="shared" si="412"/>
        <v>245</v>
      </c>
      <c r="R197" s="947">
        <f t="shared" si="412"/>
        <v>567</v>
      </c>
      <c r="S197" s="947">
        <f t="shared" si="412"/>
        <v>613</v>
      </c>
      <c r="T197" s="947">
        <f t="shared" si="412"/>
        <v>526</v>
      </c>
      <c r="U197" s="947">
        <f t="shared" si="412"/>
        <v>822</v>
      </c>
      <c r="V197" s="947">
        <f t="shared" si="412"/>
        <v>636</v>
      </c>
      <c r="W197" s="947">
        <f t="shared" si="412"/>
        <v>667</v>
      </c>
      <c r="X197" s="947">
        <f t="shared" si="412"/>
        <v>1018</v>
      </c>
      <c r="Y197" s="947">
        <f t="shared" si="412"/>
        <v>1427.261</v>
      </c>
      <c r="Z197" s="947">
        <f t="shared" si="412"/>
        <v>1705.85</v>
      </c>
      <c r="AA197" s="947">
        <f t="shared" si="412"/>
        <v>1916</v>
      </c>
      <c r="AB197" s="947">
        <f t="shared" si="412"/>
        <v>418</v>
      </c>
      <c r="AC197" s="947">
        <f t="shared" si="412"/>
        <v>1450</v>
      </c>
      <c r="AD197" s="947">
        <f t="shared" si="412"/>
        <v>228</v>
      </c>
      <c r="AE197" s="947">
        <f t="shared" si="412"/>
        <v>-74.999999999983</v>
      </c>
      <c r="AF197" s="947">
        <f t="shared" si="412"/>
        <v>608.934999999994</v>
      </c>
      <c r="AG197" s="947">
        <f t="shared" ref="AG197:AH197" si="413">AG91</f>
        <v>1332</v>
      </c>
      <c r="AH197" s="947">
        <f t="shared" si="413"/>
        <v>1654.25</v>
      </c>
      <c r="AI197" s="947">
        <f t="shared" ref="AI197:AJ197" si="414">AI91</f>
        <v>2025.5</v>
      </c>
      <c r="AJ197" s="947">
        <f t="shared" si="414"/>
        <v>2254.25</v>
      </c>
      <c r="AK197" s="947">
        <f t="shared" ref="AK197:AL197" si="415">AK91</f>
        <v>2444</v>
      </c>
      <c r="AL197" s="947">
        <f t="shared" si="415"/>
        <v>2648</v>
      </c>
      <c r="AM197" s="876"/>
    </row>
    <row r="198" hidden="1" customHeight="1" spans="1:40">
      <c r="A198" s="946" t="s">
        <v>219</v>
      </c>
      <c r="B198" s="947">
        <f t="shared" ref="B198:AF198" si="416">B92</f>
        <v>0</v>
      </c>
      <c r="C198" s="947">
        <f t="shared" si="416"/>
        <v>26.2900234</v>
      </c>
      <c r="D198" s="947">
        <f t="shared" si="416"/>
        <v>31.761956</v>
      </c>
      <c r="E198" s="947">
        <f t="shared" si="416"/>
        <v>32.3356346</v>
      </c>
      <c r="F198" s="947">
        <f t="shared" si="416"/>
        <v>13.4942296</v>
      </c>
      <c r="G198" s="947">
        <f t="shared" si="416"/>
        <v>63.264</v>
      </c>
      <c r="H198" s="947">
        <f t="shared" si="416"/>
        <v>78.812</v>
      </c>
      <c r="I198" s="947">
        <f t="shared" si="416"/>
        <v>89.962</v>
      </c>
      <c r="J198" s="947">
        <f t="shared" si="416"/>
        <v>97.147</v>
      </c>
      <c r="K198" s="947">
        <f t="shared" si="416"/>
        <v>95.519</v>
      </c>
      <c r="L198" s="947">
        <f t="shared" si="416"/>
        <v>118.1768</v>
      </c>
      <c r="M198" s="947">
        <f t="shared" si="416"/>
        <v>128.485</v>
      </c>
      <c r="N198" s="947">
        <f t="shared" si="416"/>
        <v>217</v>
      </c>
      <c r="O198" s="947">
        <f t="shared" si="416"/>
        <v>215</v>
      </c>
      <c r="P198" s="947">
        <f t="shared" si="416"/>
        <v>234</v>
      </c>
      <c r="Q198" s="947">
        <f t="shared" si="416"/>
        <v>299</v>
      </c>
      <c r="R198" s="947">
        <f t="shared" si="416"/>
        <v>260</v>
      </c>
      <c r="S198" s="947">
        <f t="shared" si="416"/>
        <v>249</v>
      </c>
      <c r="T198" s="947">
        <f t="shared" si="416"/>
        <v>263</v>
      </c>
      <c r="U198" s="947">
        <f t="shared" si="416"/>
        <v>286</v>
      </c>
      <c r="V198" s="947">
        <f t="shared" si="416"/>
        <v>323</v>
      </c>
      <c r="W198" s="947">
        <f t="shared" si="416"/>
        <v>354</v>
      </c>
      <c r="X198" s="947">
        <f t="shared" si="416"/>
        <v>388</v>
      </c>
      <c r="Y198" s="947">
        <f t="shared" si="416"/>
        <v>451</v>
      </c>
      <c r="Z198" s="947">
        <f t="shared" si="416"/>
        <v>514</v>
      </c>
      <c r="AA198" s="947">
        <f t="shared" si="416"/>
        <v>1214</v>
      </c>
      <c r="AB198" s="947">
        <f t="shared" si="416"/>
        <v>1370</v>
      </c>
      <c r="AC198" s="947">
        <f t="shared" si="416"/>
        <v>1149</v>
      </c>
      <c r="AD198" s="947">
        <f t="shared" si="416"/>
        <v>1375</v>
      </c>
      <c r="AE198" s="947">
        <f t="shared" si="416"/>
        <v>1212</v>
      </c>
      <c r="AF198" s="947">
        <f t="shared" si="416"/>
        <v>1180</v>
      </c>
      <c r="AG198" s="947">
        <f t="shared" ref="AG198:AH198" si="417">AG92</f>
        <v>1154</v>
      </c>
      <c r="AH198" s="947">
        <f t="shared" si="417"/>
        <v>1166.71603972094</v>
      </c>
      <c r="AI198" s="947">
        <f t="shared" ref="AI198:AJ198" si="418">AI92</f>
        <v>1254.89698525307</v>
      </c>
      <c r="AJ198" s="947">
        <f t="shared" si="418"/>
        <v>1339.88900325899</v>
      </c>
      <c r="AK198" s="947">
        <f t="shared" ref="AK198:AL198" si="419">AK92</f>
        <v>1419.7213793949</v>
      </c>
      <c r="AL198" s="947">
        <f t="shared" si="419"/>
        <v>1504.41339649289</v>
      </c>
      <c r="AM198" s="876"/>
    </row>
    <row r="199" hidden="1" customHeight="1" spans="1:40">
      <c r="A199" s="946" t="s">
        <v>1027</v>
      </c>
      <c r="B199" s="947">
        <f t="shared" ref="B199:AB199" si="420">B101+B102+B103+B104</f>
        <v>-2.058</v>
      </c>
      <c r="C199" s="947">
        <f t="shared" si="420"/>
        <v>-86.0589482</v>
      </c>
      <c r="D199" s="947">
        <f t="shared" si="420"/>
        <v>-118.8240748</v>
      </c>
      <c r="E199" s="947">
        <f t="shared" si="420"/>
        <v>-274.1580374</v>
      </c>
      <c r="F199" s="947">
        <f t="shared" si="420"/>
        <v>-186.5304208</v>
      </c>
      <c r="G199" s="947">
        <f t="shared" si="420"/>
        <v>-9.819</v>
      </c>
      <c r="H199" s="947">
        <f t="shared" si="420"/>
        <v>-338.147</v>
      </c>
      <c r="I199" s="947">
        <f t="shared" si="420"/>
        <v>-24.831</v>
      </c>
      <c r="J199" s="947">
        <f t="shared" si="420"/>
        <v>99.501</v>
      </c>
      <c r="K199" s="947">
        <f t="shared" si="420"/>
        <v>158.621</v>
      </c>
      <c r="L199" s="947">
        <f t="shared" si="420"/>
        <v>41.892</v>
      </c>
      <c r="M199" s="947">
        <f t="shared" si="420"/>
        <v>-156.497</v>
      </c>
      <c r="N199" s="947">
        <f t="shared" si="420"/>
        <v>52</v>
      </c>
      <c r="O199" s="947">
        <f t="shared" si="420"/>
        <v>-80</v>
      </c>
      <c r="P199" s="947">
        <f t="shared" si="420"/>
        <v>-200</v>
      </c>
      <c r="Q199" s="947">
        <f t="shared" si="420"/>
        <v>1001</v>
      </c>
      <c r="R199" s="947">
        <f t="shared" si="420"/>
        <v>108</v>
      </c>
      <c r="S199" s="947">
        <f t="shared" si="420"/>
        <v>-113</v>
      </c>
      <c r="T199" s="947">
        <f t="shared" si="420"/>
        <v>73</v>
      </c>
      <c r="U199" s="947">
        <f t="shared" si="420"/>
        <v>-458</v>
      </c>
      <c r="V199" s="947">
        <f t="shared" si="420"/>
        <v>-413</v>
      </c>
      <c r="W199" s="947">
        <f t="shared" si="420"/>
        <v>17</v>
      </c>
      <c r="X199" s="947">
        <f t="shared" si="420"/>
        <v>-467</v>
      </c>
      <c r="Y199" s="947">
        <f t="shared" si="420"/>
        <v>74</v>
      </c>
      <c r="Z199" s="947">
        <f t="shared" si="420"/>
        <v>712</v>
      </c>
      <c r="AA199" s="947">
        <f t="shared" si="420"/>
        <v>-248</v>
      </c>
      <c r="AB199" s="947">
        <f t="shared" si="420"/>
        <v>-250</v>
      </c>
      <c r="AC199" s="947">
        <f t="shared" ref="AC199:AH199" si="421">AC101+AC102+AC103+AC104</f>
        <v>181</v>
      </c>
      <c r="AD199" s="947">
        <f t="shared" si="421"/>
        <v>-2000</v>
      </c>
      <c r="AE199" s="947">
        <f t="shared" si="421"/>
        <v>1424</v>
      </c>
      <c r="AF199" s="947">
        <f t="shared" si="421"/>
        <v>685</v>
      </c>
      <c r="AG199" s="947">
        <f t="shared" si="421"/>
        <v>-2043</v>
      </c>
      <c r="AH199" s="947">
        <f t="shared" si="421"/>
        <v>-165.681326543672</v>
      </c>
      <c r="AI199" s="947">
        <f t="shared" ref="AI199:AJ199" si="422">AI101+AI102+AI103+AI104</f>
        <v>-374.080056784258</v>
      </c>
      <c r="AJ199" s="947">
        <f t="shared" si="422"/>
        <v>-257.054404465146</v>
      </c>
      <c r="AK199" s="947">
        <f t="shared" ref="AK199:AL199" si="423">AK101+AK102+AK103+AK104</f>
        <v>-213.425367022949</v>
      </c>
      <c r="AL199" s="947">
        <f t="shared" si="423"/>
        <v>-391.702355282038</v>
      </c>
      <c r="AM199" s="876"/>
    </row>
    <row r="200" hidden="1" customHeight="1" spans="1:40">
      <c r="A200" s="946" t="s">
        <v>1036</v>
      </c>
      <c r="B200" s="947">
        <f t="shared" ref="B200:AB200" si="424">B111</f>
        <v>0</v>
      </c>
      <c r="C200" s="947">
        <f t="shared" si="424"/>
        <v>-84.0096578</v>
      </c>
      <c r="D200" s="947">
        <f t="shared" si="424"/>
        <v>-79.271952</v>
      </c>
      <c r="E200" s="947">
        <f t="shared" si="424"/>
        <v>-76.0845078</v>
      </c>
      <c r="F200" s="947">
        <f t="shared" si="424"/>
        <v>-120.6652661</v>
      </c>
      <c r="G200" s="947">
        <f t="shared" si="424"/>
        <v>-132.536</v>
      </c>
      <c r="H200" s="947">
        <f t="shared" si="424"/>
        <v>-149.377</v>
      </c>
      <c r="I200" s="947">
        <f t="shared" si="424"/>
        <v>-202.071</v>
      </c>
      <c r="J200" s="947">
        <f t="shared" si="424"/>
        <v>-264.78</v>
      </c>
      <c r="K200" s="947">
        <f t="shared" si="424"/>
        <v>-144.705</v>
      </c>
      <c r="L200" s="947">
        <f t="shared" si="424"/>
        <v>-168.76</v>
      </c>
      <c r="M200" s="947">
        <f t="shared" si="424"/>
        <v>-215</v>
      </c>
      <c r="N200" s="947">
        <f t="shared" si="424"/>
        <v>-277</v>
      </c>
      <c r="O200" s="947">
        <f t="shared" si="424"/>
        <v>-285</v>
      </c>
      <c r="P200" s="947">
        <f t="shared" si="424"/>
        <v>-376</v>
      </c>
      <c r="Q200" s="947">
        <f t="shared" si="424"/>
        <v>-241</v>
      </c>
      <c r="R200" s="947">
        <f t="shared" si="424"/>
        <v>-269</v>
      </c>
      <c r="S200" s="947">
        <f t="shared" si="424"/>
        <v>-376</v>
      </c>
      <c r="T200" s="947">
        <f t="shared" si="424"/>
        <v>-434</v>
      </c>
      <c r="U200" s="947">
        <f t="shared" si="424"/>
        <v>-474</v>
      </c>
      <c r="V200" s="947">
        <f t="shared" si="424"/>
        <v>-548</v>
      </c>
      <c r="W200" s="947">
        <f t="shared" si="424"/>
        <v>-513</v>
      </c>
      <c r="X200" s="947">
        <f t="shared" si="424"/>
        <v>-651</v>
      </c>
      <c r="Y200" s="947">
        <f t="shared" si="424"/>
        <v>-606</v>
      </c>
      <c r="Z200" s="947">
        <f t="shared" si="424"/>
        <v>-611</v>
      </c>
      <c r="AA200" s="947">
        <f t="shared" si="424"/>
        <v>-598</v>
      </c>
      <c r="AB200" s="947">
        <f t="shared" si="424"/>
        <v>-368</v>
      </c>
      <c r="AC200" s="947">
        <f t="shared" ref="AC200:AH200" si="425">AC111</f>
        <v>-494</v>
      </c>
      <c r="AD200" s="947">
        <f t="shared" si="425"/>
        <v>-504</v>
      </c>
      <c r="AE200" s="947">
        <f t="shared" si="425"/>
        <v>-363</v>
      </c>
      <c r="AF200" s="947">
        <f t="shared" si="425"/>
        <v>-419</v>
      </c>
      <c r="AG200" s="947">
        <f t="shared" si="425"/>
        <v>-363</v>
      </c>
      <c r="AH200" s="947">
        <f t="shared" si="425"/>
        <v>-542.658623126019</v>
      </c>
      <c r="AI200" s="947">
        <f t="shared" ref="AI200:AJ200" si="426">AI111</f>
        <v>-583.673016396777</v>
      </c>
      <c r="AJ200" s="947">
        <f t="shared" si="426"/>
        <v>-623.204187562321</v>
      </c>
      <c r="AK200" s="947">
        <f t="shared" ref="AK200:AL200" si="427">AK111</f>
        <v>-660.335525299952</v>
      </c>
      <c r="AL200" s="947">
        <f t="shared" si="427"/>
        <v>-699.727161159486</v>
      </c>
      <c r="AM200" s="876"/>
    </row>
    <row r="201" hidden="1" customHeight="1" spans="1:40">
      <c r="A201" s="946" t="s">
        <v>185</v>
      </c>
      <c r="B201" s="947">
        <f t="shared" ref="B201:AB201" si="428">B122</f>
        <v>0</v>
      </c>
      <c r="C201" s="947">
        <f t="shared" si="428"/>
        <v>0</v>
      </c>
      <c r="D201" s="947">
        <f t="shared" si="428"/>
        <v>-5.7971194</v>
      </c>
      <c r="E201" s="947">
        <f t="shared" si="428"/>
        <v>-25.5056892</v>
      </c>
      <c r="F201" s="947">
        <f t="shared" si="428"/>
        <v>-38.3</v>
      </c>
      <c r="G201" s="947">
        <f t="shared" si="428"/>
        <v>-38.258</v>
      </c>
      <c r="H201" s="947">
        <f t="shared" si="428"/>
        <v>-41.736</v>
      </c>
      <c r="I201" s="947">
        <f t="shared" si="428"/>
        <v>-41.721</v>
      </c>
      <c r="J201" s="947">
        <f t="shared" si="428"/>
        <v>-41.721</v>
      </c>
      <c r="K201" s="947">
        <f t="shared" si="428"/>
        <v>-45.423</v>
      </c>
      <c r="L201" s="947">
        <f t="shared" si="428"/>
        <v>-49.539</v>
      </c>
      <c r="M201" s="947">
        <f t="shared" si="428"/>
        <v>-63</v>
      </c>
      <c r="N201" s="947">
        <f t="shared" si="428"/>
        <v>-70</v>
      </c>
      <c r="O201" s="947">
        <f t="shared" si="428"/>
        <v>-86</v>
      </c>
      <c r="P201" s="947">
        <f t="shared" si="428"/>
        <v>-99</v>
      </c>
      <c r="Q201" s="947">
        <f t="shared" si="428"/>
        <v>-97</v>
      </c>
      <c r="R201" s="947">
        <f t="shared" si="428"/>
        <v>-73</v>
      </c>
      <c r="S201" s="947">
        <f t="shared" si="428"/>
        <v>-167</v>
      </c>
      <c r="T201" s="947">
        <f t="shared" si="428"/>
        <v>-209</v>
      </c>
      <c r="U201" s="947">
        <f t="shared" si="428"/>
        <v>-282</v>
      </c>
      <c r="V201" s="947">
        <f t="shared" si="428"/>
        <v>-314</v>
      </c>
      <c r="W201" s="947">
        <f t="shared" si="428"/>
        <v>-303</v>
      </c>
      <c r="X201" s="947">
        <f t="shared" si="428"/>
        <v>-320</v>
      </c>
      <c r="Y201" s="947">
        <f t="shared" si="428"/>
        <v>-405</v>
      </c>
      <c r="Z201" s="947">
        <f t="shared" si="428"/>
        <v>-528.38214</v>
      </c>
      <c r="AA201" s="947">
        <f t="shared" si="428"/>
        <v>-664</v>
      </c>
      <c r="AB201" s="947">
        <f t="shared" si="428"/>
        <v>0</v>
      </c>
      <c r="AC201" s="947">
        <f t="shared" ref="AC201:AH201" si="429">AC122</f>
        <v>-585</v>
      </c>
      <c r="AD201" s="947">
        <f t="shared" si="429"/>
        <v>-610</v>
      </c>
      <c r="AE201" s="947">
        <f t="shared" si="429"/>
        <v>-125</v>
      </c>
      <c r="AF201" s="947">
        <f t="shared" si="429"/>
        <v>-125</v>
      </c>
      <c r="AG201" s="947">
        <f t="shared" si="429"/>
        <v>-357</v>
      </c>
      <c r="AH201" s="947">
        <f t="shared" si="429"/>
        <v>-499.982</v>
      </c>
      <c r="AI201" s="947">
        <f t="shared" ref="AI201:AJ201" si="430">AI122</f>
        <v>-620.942359984985</v>
      </c>
      <c r="AJ201" s="947">
        <f t="shared" si="430"/>
        <v>-760.295451201201</v>
      </c>
      <c r="AK201" s="947">
        <f t="shared" ref="AK201:AL201" si="431">AK122</f>
        <v>-846.159477102102</v>
      </c>
      <c r="AL201" s="947">
        <f t="shared" si="431"/>
        <v>-917.38439039039</v>
      </c>
      <c r="AM201" s="876"/>
    </row>
    <row r="202" hidden="1" customHeight="1" spans="1:40">
      <c r="A202" s="948" t="s">
        <v>1103</v>
      </c>
      <c r="B202" s="949">
        <f t="shared" ref="B202:R202" si="432">B201+B200+B199+B198+B197</f>
        <v>-2.058</v>
      </c>
      <c r="C202" s="949">
        <f t="shared" si="432"/>
        <v>-18.5540544000001</v>
      </c>
      <c r="D202" s="949">
        <f t="shared" si="432"/>
        <v>-11.5477105000003</v>
      </c>
      <c r="E202" s="949">
        <f t="shared" si="432"/>
        <v>-106.6735416</v>
      </c>
      <c r="F202" s="949">
        <f t="shared" si="432"/>
        <v>-127.0448071</v>
      </c>
      <c r="G202" s="949">
        <f t="shared" si="432"/>
        <v>109.932</v>
      </c>
      <c r="H202" s="949">
        <f t="shared" si="432"/>
        <v>-268.96</v>
      </c>
      <c r="I202" s="949">
        <f t="shared" si="432"/>
        <v>29.8319999999994</v>
      </c>
      <c r="J202" s="949">
        <f t="shared" si="432"/>
        <v>118.718</v>
      </c>
      <c r="K202" s="949">
        <f t="shared" si="432"/>
        <v>324.096999999999</v>
      </c>
      <c r="L202" s="949">
        <f t="shared" si="432"/>
        <v>267.3698</v>
      </c>
      <c r="M202" s="949">
        <f t="shared" si="432"/>
        <v>119.988</v>
      </c>
      <c r="N202" s="949">
        <f t="shared" si="432"/>
        <v>405</v>
      </c>
      <c r="O202" s="949">
        <f t="shared" si="432"/>
        <v>314</v>
      </c>
      <c r="P202" s="949">
        <f t="shared" si="432"/>
        <v>201</v>
      </c>
      <c r="Q202" s="949">
        <f t="shared" si="432"/>
        <v>1207</v>
      </c>
      <c r="R202" s="949">
        <f t="shared" si="432"/>
        <v>593</v>
      </c>
      <c r="S202" s="949">
        <f t="shared" ref="S202:X202" si="433">S201+S200+S199+S198+S197</f>
        <v>206</v>
      </c>
      <c r="T202" s="949">
        <f t="shared" si="433"/>
        <v>219</v>
      </c>
      <c r="U202" s="949">
        <f t="shared" si="433"/>
        <v>-106</v>
      </c>
      <c r="V202" s="949">
        <f t="shared" si="433"/>
        <v>-316</v>
      </c>
      <c r="W202" s="949">
        <f t="shared" si="433"/>
        <v>222</v>
      </c>
      <c r="X202" s="949">
        <f t="shared" si="433"/>
        <v>-32</v>
      </c>
      <c r="Y202" s="949">
        <f t="shared" ref="Y202:AD202" si="434">Y201+Y200+Y199+Y198+Y197</f>
        <v>941.261</v>
      </c>
      <c r="Z202" s="949">
        <f t="shared" si="434"/>
        <v>1792.46786</v>
      </c>
      <c r="AA202" s="949">
        <f t="shared" si="434"/>
        <v>1620</v>
      </c>
      <c r="AB202" s="949">
        <f t="shared" si="434"/>
        <v>1170</v>
      </c>
      <c r="AC202" s="949">
        <f t="shared" si="434"/>
        <v>1701</v>
      </c>
      <c r="AD202" s="949">
        <f t="shared" si="434"/>
        <v>-1511</v>
      </c>
      <c r="AE202" s="949">
        <f t="shared" ref="AE202:AF202" si="435">AE201+AE200+AE199+AE198+AE197</f>
        <v>2073.00000000002</v>
      </c>
      <c r="AF202" s="949">
        <f t="shared" si="435"/>
        <v>1929.93499999999</v>
      </c>
      <c r="AG202" s="949">
        <f t="shared" ref="AG202:AH202" si="436">AG201+AG200+AG199+AG198+AG197</f>
        <v>-277</v>
      </c>
      <c r="AH202" s="949">
        <f t="shared" si="436"/>
        <v>1612.64409005125</v>
      </c>
      <c r="AI202" s="949">
        <f t="shared" ref="AI202:AJ202" si="437">AI201+AI200+AI199+AI198+AI197</f>
        <v>1701.70155208705</v>
      </c>
      <c r="AJ202" s="949">
        <f t="shared" si="437"/>
        <v>1953.58496003032</v>
      </c>
      <c r="AK202" s="949">
        <f t="shared" ref="AK202:AL202" si="438">AK201+AK200+AK199+AK198+AK197</f>
        <v>2143.80100996989</v>
      </c>
      <c r="AL202" s="949">
        <f t="shared" si="438"/>
        <v>2143.59948966098</v>
      </c>
      <c r="AM202" s="876"/>
    </row>
    <row r="203" customHeight="1" spans="1:40">
      <c r="A203" s="950"/>
      <c r="B203" s="951"/>
      <c r="C203" s="951"/>
      <c r="D203" s="951"/>
      <c r="E203" s="951"/>
      <c r="F203" s="951"/>
      <c r="G203" s="951"/>
      <c r="H203" s="951"/>
      <c r="I203" s="951"/>
      <c r="J203" s="951"/>
      <c r="K203" s="951"/>
      <c r="L203" s="951"/>
      <c r="M203" s="951"/>
      <c r="N203" s="951"/>
      <c r="O203" s="951"/>
      <c r="P203" s="951"/>
      <c r="Q203" s="951"/>
      <c r="R203" s="951"/>
      <c r="S203" s="951"/>
      <c r="T203" s="951"/>
      <c r="U203" s="951"/>
      <c r="V203" s="951"/>
      <c r="W203" s="951"/>
      <c r="X203" s="951"/>
      <c r="Y203" s="951"/>
      <c r="Z203" s="951"/>
      <c r="AA203" s="951"/>
      <c r="AB203" s="951"/>
      <c r="AC203" s="951"/>
      <c r="AD203" s="951"/>
      <c r="AE203" s="951"/>
      <c r="AF203" s="951"/>
      <c r="AG203" s="951"/>
      <c r="AH203" s="951"/>
      <c r="AI203" s="951"/>
      <c r="AJ203" s="951"/>
      <c r="AK203" s="951"/>
      <c r="AL203" s="951"/>
      <c r="AM203" s="876"/>
    </row>
    <row r="204" customHeight="1" spans="1:40">
      <c r="A204" s="872" t="s">
        <v>1104</v>
      </c>
      <c r="B204" s="2132" t="str">
        <f>B$1</f>
        <v>1994</v>
      </c>
      <c r="C204" s="2132" t="str">
        <f t="shared" ref="C204:AL204" si="439">C$1</f>
        <v>1995</v>
      </c>
      <c r="D204" s="2132" t="str">
        <f t="shared" si="439"/>
        <v>1996</v>
      </c>
      <c r="E204" s="2132" t="str">
        <f t="shared" si="439"/>
        <v>1997</v>
      </c>
      <c r="F204" s="2132" t="str">
        <f t="shared" si="439"/>
        <v>1998</v>
      </c>
      <c r="G204" s="2132" t="str">
        <f t="shared" si="439"/>
        <v>1999</v>
      </c>
      <c r="H204" s="2132" t="str">
        <f t="shared" si="439"/>
        <v>2000</v>
      </c>
      <c r="I204" s="2132" t="str">
        <f t="shared" si="439"/>
        <v>2001</v>
      </c>
      <c r="J204" s="2132" t="str">
        <f t="shared" si="439"/>
        <v>2002</v>
      </c>
      <c r="K204" s="2132" t="str">
        <f t="shared" si="439"/>
        <v>2003</v>
      </c>
      <c r="L204" s="2132" t="str">
        <f t="shared" si="439"/>
        <v>2004</v>
      </c>
      <c r="M204" s="2132" t="str">
        <f t="shared" si="439"/>
        <v>2005</v>
      </c>
      <c r="N204" s="2132" t="str">
        <f t="shared" si="439"/>
        <v>2006</v>
      </c>
      <c r="O204" s="863">
        <f t="shared" si="439"/>
        <v>2007</v>
      </c>
      <c r="P204" s="863">
        <f t="shared" si="439"/>
        <v>2008</v>
      </c>
      <c r="Q204" s="863">
        <f t="shared" si="439"/>
        <v>2009</v>
      </c>
      <c r="R204" s="863">
        <f t="shared" si="439"/>
        <v>2010</v>
      </c>
      <c r="S204" s="863">
        <f t="shared" si="439"/>
        <v>2011</v>
      </c>
      <c r="T204" s="863">
        <f t="shared" si="439"/>
        <v>2012</v>
      </c>
      <c r="U204" s="863">
        <f t="shared" si="439"/>
        <v>2013</v>
      </c>
      <c r="V204" s="863">
        <f t="shared" si="439"/>
        <v>2014</v>
      </c>
      <c r="W204" s="863">
        <f t="shared" si="439"/>
        <v>2015</v>
      </c>
      <c r="X204" s="863">
        <f t="shared" si="439"/>
        <v>2016</v>
      </c>
      <c r="Y204" s="863">
        <f t="shared" si="439"/>
        <v>2017</v>
      </c>
      <c r="Z204" s="863">
        <f t="shared" si="439"/>
        <v>2018</v>
      </c>
      <c r="AA204" s="863">
        <f t="shared" si="439"/>
        <v>2019</v>
      </c>
      <c r="AB204" s="863">
        <f t="shared" si="439"/>
        <v>2020</v>
      </c>
      <c r="AC204" s="863">
        <f t="shared" si="439"/>
        <v>2021</v>
      </c>
      <c r="AD204" s="863">
        <f t="shared" si="439"/>
        <v>2022</v>
      </c>
      <c r="AE204" s="863">
        <f t="shared" si="439"/>
        <v>2023</v>
      </c>
      <c r="AF204" s="863">
        <f t="shared" si="439"/>
        <v>2024</v>
      </c>
      <c r="AG204" s="863">
        <f t="shared" si="439"/>
        <v>2025</v>
      </c>
      <c r="AH204" s="2132" t="str">
        <f t="shared" si="439"/>
        <v>2026E</v>
      </c>
      <c r="AI204" s="2132" t="str">
        <f t="shared" si="439"/>
        <v>2027E</v>
      </c>
      <c r="AJ204" s="2132" t="str">
        <f t="shared" si="439"/>
        <v>2028E</v>
      </c>
      <c r="AK204" s="2132" t="str">
        <f t="shared" si="439"/>
        <v>2029E</v>
      </c>
      <c r="AL204" s="2132" t="str">
        <f t="shared" si="439"/>
        <v>2030E</v>
      </c>
      <c r="AM204" s="876"/>
    </row>
    <row r="205" customHeight="1" spans="1:40">
      <c r="A205" s="860" t="s">
        <v>993</v>
      </c>
      <c r="B205" s="903"/>
      <c r="C205" s="903"/>
      <c r="D205" s="903"/>
      <c r="E205" s="903"/>
      <c r="F205" s="903"/>
      <c r="G205" s="903"/>
      <c r="H205" s="903"/>
      <c r="I205" s="903"/>
      <c r="J205" s="903"/>
      <c r="K205" s="903"/>
      <c r="L205" s="903"/>
      <c r="M205" s="903"/>
      <c r="N205" s="903"/>
      <c r="O205" s="903"/>
      <c r="P205" s="952"/>
      <c r="Q205" s="952"/>
      <c r="R205" s="952"/>
      <c r="S205" s="952"/>
      <c r="T205" s="952"/>
      <c r="U205" s="952"/>
      <c r="V205" s="952"/>
      <c r="W205" s="952"/>
      <c r="X205" s="952"/>
      <c r="Y205" s="952"/>
      <c r="Z205" s="952"/>
      <c r="AA205" s="952"/>
      <c r="AB205" s="952"/>
      <c r="AC205" s="952"/>
      <c r="AD205" s="952"/>
      <c r="AE205" s="952"/>
      <c r="AF205" s="952"/>
      <c r="AG205" s="952"/>
      <c r="AH205" s="952"/>
      <c r="AI205" s="952"/>
      <c r="AJ205" s="952"/>
      <c r="AK205" s="952"/>
      <c r="AL205" s="952"/>
      <c r="AM205" s="876"/>
    </row>
    <row r="206" customHeight="1" spans="1:40">
      <c r="A206" s="860" t="s">
        <v>1083</v>
      </c>
      <c r="B206" s="903"/>
      <c r="C206" s="903"/>
      <c r="D206" s="903"/>
      <c r="E206" s="903"/>
      <c r="F206" s="903"/>
      <c r="G206" s="903"/>
      <c r="H206" s="903"/>
      <c r="I206" s="903"/>
      <c r="J206" s="903"/>
      <c r="K206" s="903"/>
      <c r="L206" s="903"/>
      <c r="M206" s="903"/>
      <c r="N206" s="903"/>
      <c r="O206" s="903"/>
      <c r="P206" s="952"/>
      <c r="Q206" s="952"/>
      <c r="R206" s="952"/>
      <c r="S206" s="952"/>
      <c r="T206" s="952"/>
      <c r="U206" s="952"/>
      <c r="V206" s="952"/>
      <c r="W206" s="952"/>
      <c r="X206" s="952"/>
      <c r="Y206" s="952"/>
      <c r="Z206" s="952"/>
      <c r="AA206" s="952"/>
      <c r="AB206" s="952"/>
      <c r="AC206" s="952"/>
      <c r="AD206" s="952"/>
      <c r="AE206" s="952"/>
      <c r="AF206" s="952"/>
      <c r="AG206" s="952"/>
      <c r="AH206" s="952"/>
      <c r="AI206" s="952"/>
      <c r="AJ206" s="952"/>
      <c r="AK206" s="952"/>
      <c r="AL206" s="952"/>
      <c r="AM206" s="876"/>
    </row>
    <row r="207" customHeight="1" spans="1:40">
      <c r="A207" s="860" t="s">
        <v>1084</v>
      </c>
      <c r="B207" s="903"/>
      <c r="C207" s="903"/>
      <c r="D207" s="903"/>
      <c r="E207" s="903"/>
      <c r="F207" s="903"/>
      <c r="G207" s="903"/>
      <c r="H207" s="903"/>
      <c r="I207" s="903"/>
      <c r="J207" s="903"/>
      <c r="K207" s="903"/>
      <c r="L207" s="903"/>
      <c r="M207" s="903"/>
      <c r="N207" s="903"/>
      <c r="O207" s="903"/>
      <c r="P207" s="952"/>
      <c r="Q207" s="952"/>
      <c r="R207" s="952"/>
      <c r="S207" s="952"/>
      <c r="T207" s="952"/>
      <c r="U207" s="952"/>
      <c r="V207" s="952"/>
      <c r="W207" s="952"/>
      <c r="X207" s="952"/>
      <c r="Y207" s="952"/>
      <c r="Z207" s="952"/>
      <c r="AA207" s="952"/>
      <c r="AB207" s="952"/>
      <c r="AC207" s="952"/>
      <c r="AD207" s="952"/>
      <c r="AE207" s="952"/>
      <c r="AF207" s="952"/>
      <c r="AG207" s="952"/>
      <c r="AH207" s="952"/>
      <c r="AI207" s="952"/>
      <c r="AJ207" s="952"/>
      <c r="AK207" s="952"/>
      <c r="AL207" s="952"/>
      <c r="AM207" s="876"/>
    </row>
    <row r="208" customHeight="1" spans="1:40">
      <c r="A208" s="860" t="s">
        <v>1105</v>
      </c>
      <c r="B208" s="903"/>
      <c r="C208" s="903"/>
      <c r="D208" s="903"/>
      <c r="E208" s="903"/>
      <c r="F208" s="903"/>
      <c r="G208" s="903"/>
      <c r="H208" s="903"/>
      <c r="I208" s="903"/>
      <c r="J208" s="903"/>
      <c r="K208" s="903"/>
      <c r="L208" s="903"/>
      <c r="M208" s="903"/>
      <c r="N208" s="903">
        <f>AVERAGE(M191:N191)/N177</f>
        <v>0.12956270096463</v>
      </c>
      <c r="O208" s="903">
        <f>AVERAGE(N191:O191)/O177</f>
        <v>0.127118644067797</v>
      </c>
      <c r="P208" s="903">
        <f>AVERAGE(O191:P191)/P177</f>
        <v>0.149590163934426</v>
      </c>
      <c r="Q208" s="903">
        <f>AVERAGE(P191:Q191)/Q177</f>
        <v>0.0361290322580645</v>
      </c>
      <c r="R208" s="903">
        <f>AVERAGE(Q191:R191)/R177</f>
        <v>0.0191304347826087</v>
      </c>
      <c r="S208" s="903">
        <f t="shared" ref="S208:X208" si="440">S191/AVERAGE(R177:S177)</f>
        <v>0.0301556420233463</v>
      </c>
      <c r="T208" s="903">
        <f t="shared" si="440"/>
        <v>0.0279503105590062</v>
      </c>
      <c r="U208" s="903">
        <f t="shared" si="440"/>
        <v>0.0159656125268652</v>
      </c>
      <c r="V208" s="903">
        <f t="shared" si="440"/>
        <v>0.0116207951070336</v>
      </c>
      <c r="W208" s="903">
        <f t="shared" si="440"/>
        <v>0.0301837270341207</v>
      </c>
      <c r="X208" s="903">
        <f t="shared" si="440"/>
        <v>0.0194782608695652</v>
      </c>
      <c r="Y208" s="952">
        <f t="shared" ref="Y208:AL209" si="441">X208</f>
        <v>0.0194782608695652</v>
      </c>
      <c r="Z208" s="903">
        <f t="shared" ref="Z208" si="442">Z191/AVERAGE(Y177:Z177)</f>
        <v>0.026937618147448</v>
      </c>
      <c r="AA208" s="903">
        <f t="shared" ref="AA208" si="443">AA191/AVERAGE(Z177:AA177)</f>
        <v>0.0248736883015935</v>
      </c>
      <c r="AB208" s="903">
        <f t="shared" ref="AB208" si="444">AB191/AVERAGE(AA177:AB177)</f>
        <v>0.00891484783276975</v>
      </c>
      <c r="AC208" s="903">
        <f t="shared" ref="AC208" si="445">AC191/AVERAGE(AB177:AC177)</f>
        <v>0.00485809255944771</v>
      </c>
      <c r="AD208" s="952">
        <f t="shared" si="441"/>
        <v>0.00485809255944771</v>
      </c>
      <c r="AE208" s="952">
        <f t="shared" si="441"/>
        <v>0.00485809255944771</v>
      </c>
      <c r="AF208" s="952">
        <f t="shared" si="441"/>
        <v>0.00485809255944771</v>
      </c>
      <c r="AG208" s="952">
        <f t="shared" si="441"/>
        <v>0.00485809255944771</v>
      </c>
      <c r="AH208" s="952">
        <f t="shared" si="441"/>
        <v>0.00485809255944771</v>
      </c>
      <c r="AI208" s="952">
        <f t="shared" si="441"/>
        <v>0.00485809255944771</v>
      </c>
      <c r="AJ208" s="952">
        <f t="shared" si="441"/>
        <v>0.00485809255944771</v>
      </c>
      <c r="AK208" s="952">
        <f t="shared" si="441"/>
        <v>0.00485809255944771</v>
      </c>
      <c r="AL208" s="952">
        <f t="shared" si="441"/>
        <v>0.00485809255944771</v>
      </c>
      <c r="AM208" s="876"/>
    </row>
    <row r="209" customHeight="1" spans="1:39">
      <c r="A209" s="953" t="s">
        <v>1106</v>
      </c>
      <c r="B209" s="903"/>
      <c r="C209" s="903"/>
      <c r="D209" s="903"/>
      <c r="E209" s="903"/>
      <c r="F209" s="903"/>
      <c r="G209" s="903"/>
      <c r="H209" s="903"/>
      <c r="I209" s="903"/>
      <c r="J209" s="903"/>
      <c r="K209" s="903"/>
      <c r="L209" s="903"/>
      <c r="M209" s="903"/>
      <c r="N209" s="903">
        <f>N190/AVERAGE(M175:N175)</f>
        <v>0.109047179511308</v>
      </c>
      <c r="O209" s="903">
        <f>O190/AVERAGE(N175:O175)</f>
        <v>0.0719729043183743</v>
      </c>
      <c r="P209" s="903">
        <f>P190/AVERAGE(O175:P175)</f>
        <v>0.0860351769442678</v>
      </c>
      <c r="Q209" s="903">
        <f>Q190/AVERAGE(P175:Q175)</f>
        <v>0.0778801843317972</v>
      </c>
      <c r="R209" s="903">
        <f>R190/AVERAGE(Q175:R175)</f>
        <v>0.0728092783505155</v>
      </c>
      <c r="S209" s="903">
        <f t="shared" ref="S209:X209" si="446">S190/AVERAGE(R176:S176)</f>
        <v>0.0792830058600483</v>
      </c>
      <c r="T209" s="903">
        <f t="shared" si="446"/>
        <v>0.0758944705457174</v>
      </c>
      <c r="U209" s="903">
        <f t="shared" si="446"/>
        <v>0.0666430343849699</v>
      </c>
      <c r="V209" s="903">
        <f t="shared" si="446"/>
        <v>0.041796631316282</v>
      </c>
      <c r="W209" s="903">
        <f t="shared" si="446"/>
        <v>0.0362064306944069</v>
      </c>
      <c r="X209" s="903">
        <f t="shared" si="446"/>
        <v>0.0429358862779228</v>
      </c>
      <c r="Y209" s="952">
        <f t="shared" ref="Y209" si="447">X209-0.25%</f>
        <v>0.0404358862779228</v>
      </c>
      <c r="Z209" s="903">
        <f t="shared" ref="Z209" si="448">Z190/AVERAGE(Y176:Z176)</f>
        <v>0.0336314847942755</v>
      </c>
      <c r="AA209" s="903">
        <f t="shared" ref="AA209" si="449">AA190/AVERAGE(Z176:AA176)</f>
        <v>0.100211288862059</v>
      </c>
      <c r="AB209" s="903">
        <f t="shared" ref="AB209" si="450">AB190/AVERAGE(AA176:AB176)</f>
        <v>0.0815647107781939</v>
      </c>
      <c r="AC209" s="903">
        <f t="shared" ref="AC209" si="451">AC190/AVERAGE(AB176:AC176)</f>
        <v>0.054034963800106</v>
      </c>
      <c r="AD209" s="952">
        <f t="shared" si="441"/>
        <v>0.054034963800106</v>
      </c>
      <c r="AE209" s="952">
        <f t="shared" si="441"/>
        <v>0.054034963800106</v>
      </c>
      <c r="AF209" s="952">
        <f t="shared" si="441"/>
        <v>0.054034963800106</v>
      </c>
      <c r="AG209" s="952">
        <f t="shared" si="441"/>
        <v>0.054034963800106</v>
      </c>
      <c r="AH209" s="952">
        <f t="shared" si="441"/>
        <v>0.054034963800106</v>
      </c>
      <c r="AI209" s="952">
        <f t="shared" si="441"/>
        <v>0.054034963800106</v>
      </c>
      <c r="AJ209" s="952">
        <f t="shared" si="441"/>
        <v>0.054034963800106</v>
      </c>
      <c r="AK209" s="952">
        <f t="shared" si="441"/>
        <v>0.054034963800106</v>
      </c>
      <c r="AL209" s="952">
        <f t="shared" si="441"/>
        <v>0.054034963800106</v>
      </c>
      <c r="AM209" s="876"/>
    </row>
    <row r="210" customHeight="1" spans="1:39">
      <c r="A210" s="858" t="s">
        <v>1107</v>
      </c>
      <c r="B210" s="954"/>
      <c r="C210" s="954"/>
      <c r="D210" s="954"/>
      <c r="E210" s="954"/>
      <c r="F210" s="954"/>
      <c r="G210" s="954"/>
      <c r="H210" s="954"/>
      <c r="I210" s="954"/>
      <c r="J210" s="954"/>
      <c r="K210" s="954"/>
      <c r="L210" s="954"/>
      <c r="M210" s="954"/>
      <c r="N210" s="954">
        <f>AVERAGE(M192:N192)/N178</f>
        <v>0.0463167181296868</v>
      </c>
      <c r="O210" s="954">
        <f>AVERAGE(N192:O192)/O178</f>
        <v>0.0791464073473798</v>
      </c>
      <c r="P210" s="954">
        <f>AVERAGE(O192:P192)/P178</f>
        <v>0.0646200085873766</v>
      </c>
      <c r="Q210" s="954">
        <f>AVERAGE(P192:Q192)/Q178</f>
        <v>0.159274193548387</v>
      </c>
      <c r="R210" s="954">
        <f>AVERAGE(Q192:R192)/R178</f>
        <v>0.252653927813163</v>
      </c>
      <c r="S210" s="954">
        <f t="shared" ref="S210:AA210" si="452">S192/S178</f>
        <v>0.224598930481283</v>
      </c>
      <c r="T210" s="954">
        <f t="shared" si="452"/>
        <v>-0.377049180327869</v>
      </c>
      <c r="U210" s="954">
        <f t="shared" si="452"/>
        <v>-0.268774703557312</v>
      </c>
      <c r="V210" s="954">
        <f t="shared" si="452"/>
        <v>0.253968253968254</v>
      </c>
      <c r="W210" s="954">
        <f t="shared" si="452"/>
        <v>0.0452586206896552</v>
      </c>
      <c r="X210" s="954">
        <f t="shared" si="452"/>
        <v>0.425925925925926</v>
      </c>
      <c r="Y210" s="954">
        <f t="shared" si="452"/>
        <v>-0.0296274723048292</v>
      </c>
      <c r="Z210" s="954">
        <f t="shared" si="452"/>
        <v>0.0104275286757039</v>
      </c>
      <c r="AA210" s="954">
        <f t="shared" si="452"/>
        <v>-0.116704805491991</v>
      </c>
      <c r="AB210" s="954">
        <f t="shared" ref="AB210:AG210" si="453">AB192/AB178</f>
        <v>-0.202179176755448</v>
      </c>
      <c r="AC210" s="954">
        <f t="shared" si="453"/>
        <v>-0.100525131282821</v>
      </c>
      <c r="AD210" s="954">
        <f t="shared" si="453"/>
        <v>0.0687052977253565</v>
      </c>
      <c r="AE210" s="954">
        <f t="shared" si="453"/>
        <v>0.0994949784935051</v>
      </c>
      <c r="AF210" s="954">
        <f t="shared" si="453"/>
        <v>4.07834226032731</v>
      </c>
      <c r="AG210" s="954">
        <f t="shared" si="453"/>
        <v>0.131690238015091</v>
      </c>
      <c r="AH210" s="954">
        <f t="shared" ref="AH210:AI210" si="454">AH192/AH178</f>
        <v>0.131029083546554</v>
      </c>
      <c r="AI210" s="954">
        <f t="shared" si="454"/>
        <v>0.137374620154022</v>
      </c>
      <c r="AJ210" s="954">
        <f t="shared" ref="AJ210:AK210" si="455">AJ192/AJ178</f>
        <v>0.186497696100402</v>
      </c>
      <c r="AK210" s="954">
        <f t="shared" si="455"/>
        <v>0.441156172519191</v>
      </c>
      <c r="AL210" s="954">
        <f t="shared" ref="AL210" si="456">AL192/AL178</f>
        <v>-1.62590027799212</v>
      </c>
      <c r="AM210" s="876"/>
    </row>
    <row r="211" customHeight="1" spans="1:39">
      <c r="AM211" s="876"/>
    </row>
    <row r="212" customHeight="1" spans="1:39">
      <c r="B212" s="903"/>
      <c r="C212" s="903"/>
      <c r="D212" s="903"/>
      <c r="E212" s="903"/>
      <c r="F212" s="903"/>
      <c r="G212" s="903"/>
      <c r="H212" s="903"/>
      <c r="I212" s="903"/>
      <c r="N212" s="903"/>
      <c r="O212" s="903"/>
      <c r="P212" s="903"/>
      <c r="Q212" s="903"/>
      <c r="R212" s="903"/>
      <c r="S212" s="903"/>
      <c r="T212" s="903"/>
      <c r="U212" s="903"/>
      <c r="V212" s="903"/>
      <c r="W212" s="903"/>
      <c r="X212" s="903"/>
      <c r="Y212" s="903"/>
      <c r="Z212" s="903"/>
      <c r="AA212" s="903"/>
      <c r="AB212" s="903"/>
      <c r="AC212" s="903"/>
      <c r="AD212" s="903"/>
      <c r="AE212" s="903"/>
      <c r="AF212" s="903"/>
      <c r="AG212" s="903"/>
      <c r="AH212" s="903"/>
      <c r="AI212" s="903"/>
      <c r="AJ212" s="903"/>
      <c r="AK212" s="903"/>
      <c r="AL212" s="903"/>
      <c r="AM212" s="876"/>
    </row>
    <row r="213" customHeight="1" spans="1:39">
      <c r="A213" s="872" t="str">
        <f>A196</f>
        <v>Cash Flow Analysis</v>
      </c>
      <c r="B213" s="2132" t="str">
        <f>B$1</f>
        <v>1994</v>
      </c>
      <c r="C213" s="2132" t="str">
        <f t="shared" ref="C213:AL213" si="457">C$1</f>
        <v>1995</v>
      </c>
      <c r="D213" s="2132" t="str">
        <f t="shared" si="457"/>
        <v>1996</v>
      </c>
      <c r="E213" s="2132" t="str">
        <f t="shared" si="457"/>
        <v>1997</v>
      </c>
      <c r="F213" s="2132" t="str">
        <f t="shared" si="457"/>
        <v>1998</v>
      </c>
      <c r="G213" s="2132" t="str">
        <f t="shared" si="457"/>
        <v>1999</v>
      </c>
      <c r="H213" s="2132" t="str">
        <f t="shared" si="457"/>
        <v>2000</v>
      </c>
      <c r="I213" s="2132" t="str">
        <f t="shared" si="457"/>
        <v>2001</v>
      </c>
      <c r="J213" s="2132" t="str">
        <f t="shared" si="457"/>
        <v>2002</v>
      </c>
      <c r="K213" s="2132" t="str">
        <f t="shared" si="457"/>
        <v>2003</v>
      </c>
      <c r="L213" s="2132" t="str">
        <f t="shared" si="457"/>
        <v>2004</v>
      </c>
      <c r="M213" s="2132" t="str">
        <f t="shared" si="457"/>
        <v>2005</v>
      </c>
      <c r="N213" s="2132" t="str">
        <f t="shared" si="457"/>
        <v>2006</v>
      </c>
      <c r="O213" s="863">
        <f t="shared" si="457"/>
        <v>2007</v>
      </c>
      <c r="P213" s="863">
        <f t="shared" si="457"/>
        <v>2008</v>
      </c>
      <c r="Q213" s="863">
        <f t="shared" si="457"/>
        <v>2009</v>
      </c>
      <c r="R213" s="863">
        <f t="shared" si="457"/>
        <v>2010</v>
      </c>
      <c r="S213" s="863">
        <f t="shared" si="457"/>
        <v>2011</v>
      </c>
      <c r="T213" s="863">
        <f t="shared" si="457"/>
        <v>2012</v>
      </c>
      <c r="U213" s="863">
        <f t="shared" si="457"/>
        <v>2013</v>
      </c>
      <c r="V213" s="863">
        <f t="shared" si="457"/>
        <v>2014</v>
      </c>
      <c r="W213" s="863">
        <f t="shared" si="457"/>
        <v>2015</v>
      </c>
      <c r="X213" s="863">
        <f t="shared" si="457"/>
        <v>2016</v>
      </c>
      <c r="Y213" s="863">
        <f t="shared" si="457"/>
        <v>2017</v>
      </c>
      <c r="Z213" s="863">
        <f t="shared" si="457"/>
        <v>2018</v>
      </c>
      <c r="AA213" s="863">
        <f t="shared" si="457"/>
        <v>2019</v>
      </c>
      <c r="AB213" s="863">
        <f t="shared" si="457"/>
        <v>2020</v>
      </c>
      <c r="AC213" s="863">
        <f t="shared" si="457"/>
        <v>2021</v>
      </c>
      <c r="AD213" s="863">
        <f t="shared" si="457"/>
        <v>2022</v>
      </c>
      <c r="AE213" s="863">
        <f t="shared" si="457"/>
        <v>2023</v>
      </c>
      <c r="AF213" s="863">
        <f t="shared" si="457"/>
        <v>2024</v>
      </c>
      <c r="AG213" s="863">
        <f t="shared" si="457"/>
        <v>2025</v>
      </c>
      <c r="AH213" s="2132" t="str">
        <f t="shared" si="457"/>
        <v>2026E</v>
      </c>
      <c r="AI213" s="2132" t="str">
        <f t="shared" si="457"/>
        <v>2027E</v>
      </c>
      <c r="AJ213" s="2132" t="str">
        <f t="shared" si="457"/>
        <v>2028E</v>
      </c>
      <c r="AK213" s="2132" t="str">
        <f t="shared" si="457"/>
        <v>2029E</v>
      </c>
      <c r="AL213" s="2132" t="str">
        <f t="shared" si="457"/>
        <v>2030E</v>
      </c>
      <c r="AM213" s="876"/>
    </row>
    <row r="214" customHeight="1" spans="1:39">
      <c r="A214" s="860" t="s">
        <v>1108</v>
      </c>
      <c r="C214" s="955"/>
      <c r="D214" s="955"/>
      <c r="E214" s="955"/>
      <c r="F214" s="955"/>
      <c r="G214" s="955"/>
      <c r="H214" s="955"/>
      <c r="I214" s="955"/>
      <c r="J214" s="955">
        <f t="shared" ref="J214:AB214" si="458">J108-SUM(J101:J107)</f>
        <v>385.114</v>
      </c>
      <c r="K214" s="955">
        <f t="shared" si="458"/>
        <v>411.412999999999</v>
      </c>
      <c r="L214" s="955">
        <f t="shared" si="458"/>
        <v>450.7768</v>
      </c>
      <c r="M214" s="955">
        <f t="shared" si="458"/>
        <v>562.485</v>
      </c>
      <c r="N214" s="955">
        <f t="shared" si="458"/>
        <v>713</v>
      </c>
      <c r="O214" s="955">
        <f t="shared" si="458"/>
        <v>769</v>
      </c>
      <c r="P214" s="955">
        <f t="shared" si="458"/>
        <v>878</v>
      </c>
      <c r="Q214" s="955">
        <f t="shared" si="458"/>
        <v>544</v>
      </c>
      <c r="R214" s="955">
        <f t="shared" si="458"/>
        <v>828</v>
      </c>
      <c r="S214" s="955">
        <f t="shared" si="458"/>
        <v>857</v>
      </c>
      <c r="T214" s="955">
        <f t="shared" si="458"/>
        <v>787</v>
      </c>
      <c r="U214" s="955">
        <f t="shared" si="458"/>
        <v>1111</v>
      </c>
      <c r="V214" s="955">
        <f t="shared" si="458"/>
        <v>965</v>
      </c>
      <c r="W214" s="955">
        <f t="shared" si="458"/>
        <v>945</v>
      </c>
      <c r="X214" s="955">
        <f t="shared" si="458"/>
        <v>1332</v>
      </c>
      <c r="Y214" s="955">
        <f t="shared" si="458"/>
        <v>1871.261</v>
      </c>
      <c r="Z214" s="955">
        <f t="shared" si="458"/>
        <v>2168</v>
      </c>
      <c r="AA214" s="955">
        <f t="shared" si="458"/>
        <v>2729</v>
      </c>
      <c r="AB214" s="955">
        <f t="shared" si="458"/>
        <v>1620</v>
      </c>
      <c r="AC214" s="955">
        <f t="shared" ref="AC214:AH214" si="459">AC108-SUM(AC101:AC107)</f>
        <v>2492</v>
      </c>
      <c r="AD214" s="955">
        <f t="shared" si="459"/>
        <v>1689</v>
      </c>
      <c r="AE214" s="955">
        <f t="shared" si="459"/>
        <v>1068.00000000002</v>
      </c>
      <c r="AF214" s="955">
        <f t="shared" si="459"/>
        <v>1928.93499999999</v>
      </c>
      <c r="AG214" s="955">
        <f t="shared" si="459"/>
        <v>2638</v>
      </c>
      <c r="AH214" s="955">
        <f t="shared" si="459"/>
        <v>2890.96603972094</v>
      </c>
      <c r="AI214" s="955">
        <f t="shared" ref="AI214:AJ214" si="460">AI108-SUM(AI101:AI107)</f>
        <v>3350.39698525307</v>
      </c>
      <c r="AJ214" s="955">
        <f t="shared" si="460"/>
        <v>3664.13900325899</v>
      </c>
      <c r="AK214" s="955">
        <f t="shared" ref="AK214:AL214" si="461">AK108-SUM(AK101:AK107)</f>
        <v>3933.7213793949</v>
      </c>
      <c r="AL214" s="955">
        <f t="shared" si="461"/>
        <v>4222.41339649289</v>
      </c>
      <c r="AM214" s="876"/>
    </row>
    <row r="215" customHeight="1" spans="1:39">
      <c r="A215" s="860" t="s">
        <v>1109</v>
      </c>
      <c r="C215" s="955"/>
      <c r="D215" s="955"/>
      <c r="E215" s="955"/>
      <c r="F215" s="955"/>
      <c r="G215" s="955"/>
      <c r="H215" s="955"/>
      <c r="I215" s="955"/>
      <c r="J215" s="955">
        <f t="shared" ref="J215:AB215" si="462">SUM(J101:J107)</f>
        <v>161.963</v>
      </c>
      <c r="K215" s="955">
        <f t="shared" si="462"/>
        <v>242.168</v>
      </c>
      <c r="L215" s="955">
        <f t="shared" si="462"/>
        <v>140.566</v>
      </c>
      <c r="M215" s="955">
        <f t="shared" si="462"/>
        <v>-173.497</v>
      </c>
      <c r="N215" s="955">
        <f t="shared" si="462"/>
        <v>86</v>
      </c>
      <c r="O215" s="955">
        <f t="shared" si="462"/>
        <v>37</v>
      </c>
      <c r="P215" s="955">
        <f t="shared" si="462"/>
        <v>-344</v>
      </c>
      <c r="Q215" s="955">
        <f t="shared" si="462"/>
        <v>871</v>
      </c>
      <c r="R215" s="955">
        <f t="shared" si="462"/>
        <v>520</v>
      </c>
      <c r="S215" s="955">
        <f t="shared" si="462"/>
        <v>27</v>
      </c>
      <c r="T215" s="955">
        <f t="shared" si="462"/>
        <v>167</v>
      </c>
      <c r="U215" s="955">
        <f t="shared" si="462"/>
        <v>-459</v>
      </c>
      <c r="V215" s="955">
        <f t="shared" si="462"/>
        <v>-316</v>
      </c>
      <c r="W215" s="955">
        <f t="shared" si="462"/>
        <v>-10</v>
      </c>
      <c r="X215" s="955">
        <f t="shared" si="462"/>
        <v>-508</v>
      </c>
      <c r="Y215" s="955">
        <f t="shared" si="462"/>
        <v>-223.261</v>
      </c>
      <c r="Z215" s="955">
        <f t="shared" si="462"/>
        <v>518.000000000002</v>
      </c>
      <c r="AA215" s="955">
        <f t="shared" si="462"/>
        <v>89.9999999999999</v>
      </c>
      <c r="AB215" s="955">
        <f t="shared" si="462"/>
        <v>-134</v>
      </c>
      <c r="AC215" s="955">
        <f t="shared" ref="AC215:AH215" si="463">SUM(AC101:AC107)</f>
        <v>824</v>
      </c>
      <c r="AD215" s="955">
        <f t="shared" si="463"/>
        <v>-1723</v>
      </c>
      <c r="AE215" s="955">
        <f t="shared" si="463"/>
        <v>1562</v>
      </c>
      <c r="AF215" s="955">
        <f t="shared" si="463"/>
        <v>981.064999999999</v>
      </c>
      <c r="AG215" s="955">
        <f t="shared" si="463"/>
        <v>-1887</v>
      </c>
      <c r="AH215" s="955">
        <f t="shared" si="463"/>
        <v>-165.681326543672</v>
      </c>
      <c r="AI215" s="955">
        <f t="shared" ref="AI215:AJ215" si="464">SUM(AI101:AI107)</f>
        <v>-374.080056784258</v>
      </c>
      <c r="AJ215" s="955">
        <f t="shared" si="464"/>
        <v>-257.054404465146</v>
      </c>
      <c r="AK215" s="955">
        <f t="shared" ref="AK215:AL215" si="465">SUM(AK101:AK107)</f>
        <v>-213.425367022949</v>
      </c>
      <c r="AL215" s="955">
        <f t="shared" si="465"/>
        <v>-391.702355282038</v>
      </c>
      <c r="AM215" s="876"/>
    </row>
    <row r="216" customHeight="1" spans="1:39">
      <c r="A216" s="860" t="str">
        <f>A111</f>
        <v>Capital Expenditures</v>
      </c>
      <c r="C216" s="955">
        <f t="shared" ref="C216:AB216" si="466">C111</f>
        <v>-84.0096578</v>
      </c>
      <c r="D216" s="955">
        <f t="shared" si="466"/>
        <v>-79.271952</v>
      </c>
      <c r="E216" s="955">
        <f t="shared" si="466"/>
        <v>-76.0845078</v>
      </c>
      <c r="F216" s="955">
        <f t="shared" si="466"/>
        <v>-120.6652661</v>
      </c>
      <c r="G216" s="955">
        <f t="shared" si="466"/>
        <v>-132.536</v>
      </c>
      <c r="H216" s="955">
        <f t="shared" si="466"/>
        <v>-149.377</v>
      </c>
      <c r="I216" s="955">
        <f t="shared" si="466"/>
        <v>-202.071</v>
      </c>
      <c r="J216" s="955">
        <f t="shared" si="466"/>
        <v>-264.78</v>
      </c>
      <c r="K216" s="955">
        <f t="shared" si="466"/>
        <v>-144.705</v>
      </c>
      <c r="L216" s="955">
        <f t="shared" si="466"/>
        <v>-168.76</v>
      </c>
      <c r="M216" s="955">
        <f t="shared" si="466"/>
        <v>-215</v>
      </c>
      <c r="N216" s="955">
        <f t="shared" si="466"/>
        <v>-277</v>
      </c>
      <c r="O216" s="955">
        <f t="shared" si="466"/>
        <v>-285</v>
      </c>
      <c r="P216" s="955">
        <f t="shared" si="466"/>
        <v>-376</v>
      </c>
      <c r="Q216" s="955">
        <f t="shared" si="466"/>
        <v>-241</v>
      </c>
      <c r="R216" s="955">
        <f t="shared" si="466"/>
        <v>-269</v>
      </c>
      <c r="S216" s="955">
        <f t="shared" si="466"/>
        <v>-376</v>
      </c>
      <c r="T216" s="955">
        <f t="shared" si="466"/>
        <v>-434</v>
      </c>
      <c r="U216" s="955">
        <f t="shared" si="466"/>
        <v>-474</v>
      </c>
      <c r="V216" s="955">
        <f t="shared" si="466"/>
        <v>-548</v>
      </c>
      <c r="W216" s="955">
        <f t="shared" si="466"/>
        <v>-513</v>
      </c>
      <c r="X216" s="955">
        <f t="shared" si="466"/>
        <v>-651</v>
      </c>
      <c r="Y216" s="955">
        <f t="shared" si="466"/>
        <v>-606</v>
      </c>
      <c r="Z216" s="955">
        <f t="shared" si="466"/>
        <v>-611</v>
      </c>
      <c r="AA216" s="955">
        <f t="shared" si="466"/>
        <v>-598</v>
      </c>
      <c r="AB216" s="955">
        <f t="shared" si="466"/>
        <v>-368</v>
      </c>
      <c r="AC216" s="955">
        <f t="shared" ref="AC216:AH216" si="467">AC111</f>
        <v>-494</v>
      </c>
      <c r="AD216" s="955">
        <f t="shared" si="467"/>
        <v>-504</v>
      </c>
      <c r="AE216" s="955">
        <f t="shared" si="467"/>
        <v>-363</v>
      </c>
      <c r="AF216" s="955">
        <f t="shared" si="467"/>
        <v>-419</v>
      </c>
      <c r="AG216" s="955">
        <f t="shared" si="467"/>
        <v>-363</v>
      </c>
      <c r="AH216" s="955">
        <f t="shared" si="467"/>
        <v>-542.658623126019</v>
      </c>
      <c r="AI216" s="955">
        <f t="shared" ref="AI216:AJ216" si="468">AI111</f>
        <v>-583.673016396777</v>
      </c>
      <c r="AJ216" s="955">
        <f t="shared" si="468"/>
        <v>-623.204187562321</v>
      </c>
      <c r="AK216" s="955">
        <f t="shared" ref="AK216:AL216" si="469">AK111</f>
        <v>-660.335525299952</v>
      </c>
      <c r="AL216" s="955">
        <f t="shared" si="469"/>
        <v>-699.727161159486</v>
      </c>
    </row>
    <row r="217" customHeight="1" spans="1:39">
      <c r="A217" s="860" t="s">
        <v>1110</v>
      </c>
      <c r="C217" s="955"/>
      <c r="D217" s="955"/>
      <c r="E217" s="955"/>
      <c r="F217" s="955"/>
      <c r="G217" s="955"/>
      <c r="H217" s="955"/>
      <c r="I217" s="955"/>
      <c r="J217" s="955">
        <f t="shared" ref="J217:AB217" si="470">J114+J115</f>
        <v>-85.658</v>
      </c>
      <c r="K217" s="955">
        <f t="shared" si="470"/>
        <v>28.347</v>
      </c>
      <c r="L217" s="955">
        <f t="shared" si="470"/>
        <v>0</v>
      </c>
      <c r="M217" s="955">
        <f t="shared" si="470"/>
        <v>671</v>
      </c>
      <c r="N217" s="955">
        <f t="shared" si="470"/>
        <v>-2322</v>
      </c>
      <c r="O217" s="955">
        <f t="shared" si="470"/>
        <v>-9</v>
      </c>
      <c r="P217" s="955">
        <f t="shared" si="470"/>
        <v>-74</v>
      </c>
      <c r="Q217" s="955">
        <f t="shared" si="470"/>
        <v>78</v>
      </c>
      <c r="R217" s="955">
        <f t="shared" si="470"/>
        <v>-128</v>
      </c>
      <c r="S217" s="955">
        <f t="shared" si="470"/>
        <v>-210</v>
      </c>
      <c r="T217" s="955">
        <f t="shared" si="470"/>
        <v>157</v>
      </c>
      <c r="U217" s="955">
        <f t="shared" si="470"/>
        <v>230</v>
      </c>
      <c r="V217" s="955">
        <f t="shared" si="470"/>
        <v>35</v>
      </c>
      <c r="W217" s="955">
        <f t="shared" si="470"/>
        <v>-44</v>
      </c>
      <c r="X217" s="955">
        <f t="shared" si="470"/>
        <v>48</v>
      </c>
      <c r="Y217" s="955">
        <f t="shared" si="470"/>
        <v>-32</v>
      </c>
      <c r="Z217" s="955">
        <f t="shared" si="470"/>
        <v>-152</v>
      </c>
      <c r="AA217" s="955">
        <f t="shared" si="470"/>
        <v>-379</v>
      </c>
      <c r="AB217" s="955">
        <f t="shared" si="470"/>
        <v>238</v>
      </c>
      <c r="AC217" s="955">
        <f t="shared" ref="AC217:AH217" si="471">AC114+AC115</f>
        <v>67</v>
      </c>
      <c r="AD217" s="955">
        <f t="shared" si="471"/>
        <v>975</v>
      </c>
      <c r="AE217" s="955">
        <f t="shared" si="471"/>
        <v>-92</v>
      </c>
      <c r="AF217" s="955">
        <f t="shared" si="471"/>
        <v>-22</v>
      </c>
      <c r="AG217" s="955">
        <f t="shared" si="471"/>
        <v>-98</v>
      </c>
      <c r="AH217" s="955">
        <f t="shared" si="471"/>
        <v>0</v>
      </c>
      <c r="AI217" s="955">
        <f t="shared" ref="AI217:AJ217" si="472">AI114+AI115</f>
        <v>0</v>
      </c>
      <c r="AJ217" s="955">
        <f t="shared" si="472"/>
        <v>0</v>
      </c>
      <c r="AK217" s="955">
        <f t="shared" ref="AK217:AL217" si="473">AK114+AK115</f>
        <v>0</v>
      </c>
      <c r="AL217" s="955">
        <f t="shared" si="473"/>
        <v>0</v>
      </c>
    </row>
    <row r="218" customHeight="1" spans="1:39">
      <c r="A218" s="860" t="str">
        <f>A122</f>
        <v>Common Dividends</v>
      </c>
      <c r="C218" s="955">
        <f t="shared" ref="C218:AE218" si="474">C122</f>
        <v>0</v>
      </c>
      <c r="D218" s="955">
        <f t="shared" si="474"/>
        <v>-5.7971194</v>
      </c>
      <c r="E218" s="955">
        <f t="shared" si="474"/>
        <v>-25.5056892</v>
      </c>
      <c r="F218" s="955">
        <f t="shared" si="474"/>
        <v>-38.3</v>
      </c>
      <c r="G218" s="955">
        <f t="shared" si="474"/>
        <v>-38.258</v>
      </c>
      <c r="H218" s="955">
        <f t="shared" si="474"/>
        <v>-41.736</v>
      </c>
      <c r="I218" s="955">
        <f t="shared" si="474"/>
        <v>-41.721</v>
      </c>
      <c r="J218" s="955">
        <f t="shared" si="474"/>
        <v>-41.721</v>
      </c>
      <c r="K218" s="955">
        <f t="shared" si="474"/>
        <v>-45.423</v>
      </c>
      <c r="L218" s="955">
        <f t="shared" si="474"/>
        <v>-49.539</v>
      </c>
      <c r="M218" s="955">
        <f t="shared" si="474"/>
        <v>-63</v>
      </c>
      <c r="N218" s="955">
        <f t="shared" si="474"/>
        <v>-70</v>
      </c>
      <c r="O218" s="955">
        <f t="shared" si="474"/>
        <v>-86</v>
      </c>
      <c r="P218" s="955">
        <f t="shared" si="474"/>
        <v>-99</v>
      </c>
      <c r="Q218" s="955">
        <f t="shared" si="474"/>
        <v>-97</v>
      </c>
      <c r="R218" s="955">
        <f t="shared" si="474"/>
        <v>-73</v>
      </c>
      <c r="S218" s="955">
        <f t="shared" si="474"/>
        <v>-167</v>
      </c>
      <c r="T218" s="955">
        <f t="shared" si="474"/>
        <v>-209</v>
      </c>
      <c r="U218" s="955">
        <f t="shared" si="474"/>
        <v>-282</v>
      </c>
      <c r="V218" s="955">
        <f t="shared" si="474"/>
        <v>-314</v>
      </c>
      <c r="W218" s="955">
        <f t="shared" si="474"/>
        <v>-303</v>
      </c>
      <c r="X218" s="955">
        <f t="shared" si="474"/>
        <v>-320</v>
      </c>
      <c r="Y218" s="955">
        <f t="shared" si="474"/>
        <v>-405</v>
      </c>
      <c r="Z218" s="955">
        <f t="shared" si="474"/>
        <v>-528.38214</v>
      </c>
      <c r="AA218" s="955">
        <f t="shared" si="474"/>
        <v>-664</v>
      </c>
      <c r="AB218" s="955">
        <f t="shared" si="474"/>
        <v>0</v>
      </c>
      <c r="AC218" s="955">
        <f t="shared" si="474"/>
        <v>-585</v>
      </c>
      <c r="AD218" s="955">
        <f t="shared" si="474"/>
        <v>-610</v>
      </c>
      <c r="AE218" s="955">
        <f t="shared" si="474"/>
        <v>-125</v>
      </c>
      <c r="AF218" s="955">
        <f t="shared" ref="AF218:AG218" si="475">AF122</f>
        <v>-125</v>
      </c>
      <c r="AG218" s="955">
        <f t="shared" si="475"/>
        <v>-357</v>
      </c>
      <c r="AH218" s="955">
        <f t="shared" ref="AH218:AI218" si="476">AH122</f>
        <v>-499.982</v>
      </c>
      <c r="AI218" s="955">
        <f t="shared" si="476"/>
        <v>-620.942359984985</v>
      </c>
      <c r="AJ218" s="955">
        <f t="shared" ref="AJ218:AK218" si="477">AJ122</f>
        <v>-760.295451201201</v>
      </c>
      <c r="AK218" s="955">
        <f t="shared" si="477"/>
        <v>-846.159477102102</v>
      </c>
      <c r="AL218" s="955">
        <f t="shared" ref="AL218" si="478">AL122</f>
        <v>-917.38439039039</v>
      </c>
    </row>
    <row r="219" customHeight="1" spans="1:39">
      <c r="A219" s="860" t="str">
        <f>A124</f>
        <v>Share Repurchase/Issuance</v>
      </c>
      <c r="C219" s="955">
        <f t="shared" ref="C219:AB219" si="479">C124</f>
        <v>0</v>
      </c>
      <c r="D219" s="955">
        <f t="shared" si="479"/>
        <v>0</v>
      </c>
      <c r="E219" s="955">
        <f t="shared" si="479"/>
        <v>0</v>
      </c>
      <c r="F219" s="955">
        <f t="shared" si="479"/>
        <v>0</v>
      </c>
      <c r="G219" s="955">
        <f t="shared" si="479"/>
        <v>0</v>
      </c>
      <c r="H219" s="955">
        <f t="shared" si="479"/>
        <v>0</v>
      </c>
      <c r="I219" s="955">
        <f t="shared" si="479"/>
        <v>0</v>
      </c>
      <c r="J219" s="955">
        <f t="shared" si="479"/>
        <v>0</v>
      </c>
      <c r="K219" s="955">
        <f t="shared" si="479"/>
        <v>2.257</v>
      </c>
      <c r="L219" s="955">
        <f t="shared" si="479"/>
        <v>0</v>
      </c>
      <c r="M219" s="955">
        <f t="shared" si="479"/>
        <v>639</v>
      </c>
      <c r="N219" s="955">
        <f t="shared" si="479"/>
        <v>0</v>
      </c>
      <c r="O219" s="955">
        <f t="shared" si="479"/>
        <v>0</v>
      </c>
      <c r="P219" s="955">
        <f t="shared" si="479"/>
        <v>-409</v>
      </c>
      <c r="Q219" s="955">
        <f t="shared" si="479"/>
        <v>0</v>
      </c>
      <c r="R219" s="955">
        <f t="shared" si="479"/>
        <v>0</v>
      </c>
      <c r="S219" s="955">
        <f t="shared" si="479"/>
        <v>0</v>
      </c>
      <c r="T219" s="955">
        <f t="shared" si="479"/>
        <v>0</v>
      </c>
      <c r="U219" s="955">
        <f t="shared" si="479"/>
        <v>0</v>
      </c>
      <c r="V219" s="955">
        <f t="shared" si="479"/>
        <v>-300</v>
      </c>
      <c r="W219" s="955">
        <f t="shared" si="479"/>
        <v>-301</v>
      </c>
      <c r="X219" s="955">
        <f t="shared" si="479"/>
        <v>-218</v>
      </c>
      <c r="Y219" s="955">
        <f t="shared" si="479"/>
        <v>0</v>
      </c>
      <c r="Z219" s="955">
        <f t="shared" si="479"/>
        <v>0</v>
      </c>
      <c r="AA219" s="955">
        <f t="shared" si="479"/>
        <v>0</v>
      </c>
      <c r="AB219" s="955">
        <f t="shared" si="479"/>
        <v>0</v>
      </c>
      <c r="AC219" s="955">
        <f t="shared" ref="AC219:AE219" si="480">AC124</f>
        <v>0</v>
      </c>
      <c r="AD219" s="955">
        <f t="shared" si="480"/>
        <v>0</v>
      </c>
      <c r="AE219" s="955">
        <f t="shared" si="480"/>
        <v>0</v>
      </c>
      <c r="AF219" s="955">
        <f t="shared" ref="AF219:AG219" si="481">AF124</f>
        <v>0</v>
      </c>
      <c r="AG219" s="955">
        <f t="shared" si="481"/>
        <v>0</v>
      </c>
      <c r="AH219" s="955">
        <f t="shared" ref="AH219:AI219" si="482">AH124</f>
        <v>0</v>
      </c>
      <c r="AI219" s="955">
        <f t="shared" si="482"/>
        <v>0</v>
      </c>
      <c r="AJ219" s="955">
        <f t="shared" ref="AJ219:AK219" si="483">AJ124</f>
        <v>0</v>
      </c>
      <c r="AK219" s="955">
        <f t="shared" si="483"/>
        <v>0</v>
      </c>
      <c r="AL219" s="955">
        <f t="shared" ref="AL219" si="484">AL124</f>
        <v>0</v>
      </c>
    </row>
    <row r="220" customHeight="1" spans="1:39">
      <c r="A220" s="860" t="str">
        <f>A130</f>
        <v>Change in LT Debt</v>
      </c>
      <c r="C220" s="955">
        <f t="shared" ref="C220:AB220" si="485">C130</f>
        <v>9.76838649999999</v>
      </c>
      <c r="D220" s="955">
        <f t="shared" si="485"/>
        <v>-13.0529777</v>
      </c>
      <c r="E220" s="955">
        <f t="shared" si="485"/>
        <v>534.9261504</v>
      </c>
      <c r="F220" s="955">
        <f t="shared" si="485"/>
        <v>724.4410293</v>
      </c>
      <c r="G220" s="955">
        <f t="shared" si="485"/>
        <v>-145.541</v>
      </c>
      <c r="H220" s="955">
        <f t="shared" si="485"/>
        <v>204.484</v>
      </c>
      <c r="I220" s="955">
        <f t="shared" si="485"/>
        <v>-135.95</v>
      </c>
      <c r="J220" s="955">
        <f t="shared" si="485"/>
        <v>-166.225</v>
      </c>
      <c r="K220" s="955">
        <f t="shared" si="485"/>
        <v>-225.633</v>
      </c>
      <c r="L220" s="955">
        <f t="shared" si="485"/>
        <v>-367.078</v>
      </c>
      <c r="M220" s="955">
        <f t="shared" si="485"/>
        <v>106</v>
      </c>
      <c r="N220" s="955">
        <f t="shared" si="485"/>
        <v>1099</v>
      </c>
      <c r="O220" s="955">
        <f t="shared" si="485"/>
        <v>-424</v>
      </c>
      <c r="P220" s="955">
        <f t="shared" si="485"/>
        <v>402</v>
      </c>
      <c r="Q220" s="955">
        <f t="shared" si="485"/>
        <v>-912</v>
      </c>
      <c r="R220" s="955">
        <f t="shared" si="485"/>
        <v>-165</v>
      </c>
      <c r="S220" s="955">
        <f t="shared" si="485"/>
        <v>-57</v>
      </c>
      <c r="T220" s="955">
        <f t="shared" si="485"/>
        <v>-3</v>
      </c>
      <c r="U220" s="955">
        <f t="shared" si="485"/>
        <v>-2</v>
      </c>
      <c r="V220" s="955">
        <f t="shared" si="485"/>
        <v>490</v>
      </c>
      <c r="W220" s="955">
        <f t="shared" si="485"/>
        <v>-12</v>
      </c>
      <c r="X220" s="955">
        <f t="shared" si="485"/>
        <v>-3</v>
      </c>
      <c r="Y220" s="955">
        <f t="shared" si="485"/>
        <v>1</v>
      </c>
      <c r="Z220" s="955">
        <f t="shared" si="485"/>
        <v>141</v>
      </c>
      <c r="AA220" s="955">
        <f t="shared" si="485"/>
        <v>0</v>
      </c>
      <c r="AB220" s="955">
        <f t="shared" si="485"/>
        <v>0</v>
      </c>
      <c r="AC220" s="955">
        <f t="shared" ref="AC220:AH220" si="486">AC130</f>
        <v>0</v>
      </c>
      <c r="AD220" s="955">
        <f t="shared" si="486"/>
        <v>994</v>
      </c>
      <c r="AE220" s="955">
        <f t="shared" si="486"/>
        <v>-500</v>
      </c>
      <c r="AF220" s="955">
        <f t="shared" si="486"/>
        <v>-500</v>
      </c>
      <c r="AG220" s="955">
        <f t="shared" si="486"/>
        <v>-500</v>
      </c>
      <c r="AH220" s="955">
        <f t="shared" si="486"/>
        <v>0</v>
      </c>
      <c r="AI220" s="955">
        <f t="shared" ref="AI220:AJ220" si="487">AI130</f>
        <v>0</v>
      </c>
      <c r="AJ220" s="955">
        <f t="shared" si="487"/>
        <v>0</v>
      </c>
      <c r="AK220" s="955">
        <f t="shared" ref="AK220:AL220" si="488">AK130</f>
        <v>0</v>
      </c>
      <c r="AL220" s="955">
        <f t="shared" si="488"/>
        <v>0</v>
      </c>
    </row>
    <row r="221" customHeight="1" spans="1:39">
      <c r="A221" s="860" t="s">
        <v>1111</v>
      </c>
      <c r="C221" s="955"/>
      <c r="D221" s="955"/>
      <c r="E221" s="955"/>
      <c r="F221" s="955"/>
      <c r="G221" s="955"/>
      <c r="H221" s="955"/>
      <c r="I221" s="955"/>
      <c r="J221" s="955">
        <f t="shared" ref="J221:AB221" si="489">J136-SUM(J214:J220)</f>
        <v>27.6120000000001</v>
      </c>
      <c r="K221" s="955">
        <f t="shared" si="489"/>
        <v>-135.376</v>
      </c>
      <c r="L221" s="955">
        <f t="shared" si="489"/>
        <v>1.26800000000003</v>
      </c>
      <c r="M221" s="955">
        <f t="shared" si="489"/>
        <v>-198</v>
      </c>
      <c r="N221" s="955">
        <f t="shared" si="489"/>
        <v>-443</v>
      </c>
      <c r="O221" s="955">
        <f t="shared" si="489"/>
        <v>-19</v>
      </c>
      <c r="P221" s="955">
        <f t="shared" si="489"/>
        <v>-29</v>
      </c>
      <c r="Q221" s="955">
        <f t="shared" si="489"/>
        <v>489</v>
      </c>
      <c r="R221" s="955">
        <f t="shared" si="489"/>
        <v>99</v>
      </c>
      <c r="S221" s="955">
        <f t="shared" si="489"/>
        <v>-271</v>
      </c>
      <c r="T221" s="955">
        <f t="shared" si="489"/>
        <v>262</v>
      </c>
      <c r="U221" s="955">
        <f t="shared" si="489"/>
        <v>-215</v>
      </c>
      <c r="V221" s="955">
        <f t="shared" si="489"/>
        <v>17</v>
      </c>
      <c r="W221" s="955">
        <f t="shared" si="489"/>
        <v>-248</v>
      </c>
      <c r="X221" s="955">
        <f t="shared" si="489"/>
        <v>-82</v>
      </c>
      <c r="Y221" s="955">
        <f t="shared" si="489"/>
        <v>-518</v>
      </c>
      <c r="Z221" s="955">
        <f t="shared" si="489"/>
        <v>-504.61786</v>
      </c>
      <c r="AA221" s="955">
        <f t="shared" si="489"/>
        <v>-1588</v>
      </c>
      <c r="AB221" s="955">
        <f t="shared" si="489"/>
        <v>418</v>
      </c>
      <c r="AC221" s="955">
        <f t="shared" ref="AC221:AH221" si="490">AC136-SUM(AC214:AC220)</f>
        <v>-2470</v>
      </c>
      <c r="AD221" s="955">
        <f t="shared" si="490"/>
        <v>-3851</v>
      </c>
      <c r="AE221" s="955">
        <f t="shared" si="490"/>
        <v>-917.000000000017</v>
      </c>
      <c r="AF221" s="955">
        <f t="shared" si="490"/>
        <v>-820</v>
      </c>
      <c r="AG221" s="955">
        <f t="shared" si="490"/>
        <v>-270.999999999999</v>
      </c>
      <c r="AH221" s="955">
        <f t="shared" si="490"/>
        <v>-1688.01</v>
      </c>
      <c r="AI221" s="955">
        <f t="shared" ref="AI221:AJ221" si="491">AI136-SUM(AI214:AI220)</f>
        <v>-1722.4105</v>
      </c>
      <c r="AJ221" s="955">
        <f t="shared" si="491"/>
        <v>-1758.531025</v>
      </c>
      <c r="AK221" s="955">
        <f t="shared" ref="AK221:AL221" si="492">AK136-SUM(AK214:AK220)</f>
        <v>-1796.45757625</v>
      </c>
      <c r="AL221" s="955">
        <f t="shared" si="492"/>
        <v>-1836.2804550625</v>
      </c>
    </row>
    <row r="222" customHeight="1" spans="1:39">
      <c r="A222" s="858" t="str">
        <f>A136</f>
        <v>Net Increase in Cash &amp; Equivalents</v>
      </c>
      <c r="B222" s="956"/>
      <c r="C222" s="905">
        <f t="shared" ref="C222:T222" si="493">C136</f>
        <v>1.10236279999997</v>
      </c>
      <c r="D222" s="905">
        <f t="shared" si="493"/>
        <v>22.0579933</v>
      </c>
      <c r="E222" s="905">
        <f t="shared" si="493"/>
        <v>3.56845739999992</v>
      </c>
      <c r="F222" s="905">
        <f t="shared" si="493"/>
        <v>-341.172548</v>
      </c>
      <c r="G222" s="905">
        <f t="shared" si="493"/>
        <v>35.2690000000001</v>
      </c>
      <c r="H222" s="905">
        <f t="shared" si="493"/>
        <v>60.5980000000001</v>
      </c>
      <c r="I222" s="905">
        <f t="shared" si="493"/>
        <v>1.2890000000001</v>
      </c>
      <c r="J222" s="905">
        <f t="shared" si="493"/>
        <v>16.3050000000001</v>
      </c>
      <c r="K222" s="905">
        <f t="shared" si="493"/>
        <v>133.048</v>
      </c>
      <c r="L222" s="905">
        <f t="shared" si="493"/>
        <v>7.23380000000009</v>
      </c>
      <c r="M222" s="905">
        <f t="shared" si="493"/>
        <v>1328.988</v>
      </c>
      <c r="N222" s="905">
        <f t="shared" si="493"/>
        <v>-1214</v>
      </c>
      <c r="O222" s="905">
        <f t="shared" si="493"/>
        <v>-17</v>
      </c>
      <c r="P222" s="905">
        <f t="shared" si="493"/>
        <v>-51</v>
      </c>
      <c r="Q222" s="905">
        <f t="shared" si="493"/>
        <v>732</v>
      </c>
      <c r="R222" s="905">
        <f t="shared" si="493"/>
        <v>812</v>
      </c>
      <c r="S222" s="905">
        <f t="shared" si="493"/>
        <v>-197</v>
      </c>
      <c r="T222" s="905">
        <f t="shared" si="493"/>
        <v>727</v>
      </c>
      <c r="U222" s="905">
        <f t="shared" ref="U222:AB222" si="494">U136</f>
        <v>-91</v>
      </c>
      <c r="V222" s="905">
        <f t="shared" si="494"/>
        <v>29</v>
      </c>
      <c r="W222" s="905">
        <f t="shared" si="494"/>
        <v>-486</v>
      </c>
      <c r="X222" s="905">
        <f t="shared" si="494"/>
        <v>-402</v>
      </c>
      <c r="Y222" s="905">
        <f t="shared" si="494"/>
        <v>88</v>
      </c>
      <c r="Z222" s="905">
        <f t="shared" si="494"/>
        <v>1031</v>
      </c>
      <c r="AA222" s="905">
        <f t="shared" si="494"/>
        <v>-410</v>
      </c>
      <c r="AB222" s="905">
        <f t="shared" si="494"/>
        <v>1774</v>
      </c>
      <c r="AC222" s="905">
        <f t="shared" ref="AC222:AH222" si="495">AC136</f>
        <v>-166</v>
      </c>
      <c r="AD222" s="905">
        <f t="shared" si="495"/>
        <v>-3030</v>
      </c>
      <c r="AE222" s="905">
        <f t="shared" si="495"/>
        <v>633</v>
      </c>
      <c r="AF222" s="905">
        <f t="shared" si="495"/>
        <v>1023.99999999999</v>
      </c>
      <c r="AG222" s="905">
        <f t="shared" si="495"/>
        <v>-837.999999999999</v>
      </c>
      <c r="AH222" s="905">
        <f t="shared" si="495"/>
        <v>-5.36590994875178</v>
      </c>
      <c r="AI222" s="905">
        <f t="shared" ref="AI222:AJ222" si="496">AI136</f>
        <v>49.2910520870514</v>
      </c>
      <c r="AJ222" s="905">
        <f t="shared" si="496"/>
        <v>265.053935030322</v>
      </c>
      <c r="AK222" s="905">
        <f t="shared" ref="AK222:AL222" si="497">AK136</f>
        <v>417.343433719892</v>
      </c>
      <c r="AL222" s="905">
        <f t="shared" si="497"/>
        <v>377.319034598479</v>
      </c>
    </row>
    <row r="223" customHeight="1" spans="1:39">
      <c r="A223" s="858" t="s">
        <v>1112</v>
      </c>
      <c r="B223" s="956"/>
      <c r="C223" s="957" t="e">
        <f>C178/'Profit and Loss'!B377</f>
        <v>#DIV/0!</v>
      </c>
      <c r="D223" s="957">
        <f>D178/'Profit and Loss'!C377</f>
        <v>1.03033607552083</v>
      </c>
      <c r="E223" s="957">
        <f>E178/'Profit and Loss'!D377</f>
        <v>2.3643596085443</v>
      </c>
      <c r="F223" s="957">
        <f>F178/'Profit and Loss'!E377</f>
        <v>3.98080972788462</v>
      </c>
      <c r="G223" s="957">
        <f>G178/'Profit and Loss'!F377</f>
        <v>2.71633046958392</v>
      </c>
      <c r="H223" s="957">
        <f>H178/'Profit and Loss'!G377</f>
        <v>3.21672531418312</v>
      </c>
      <c r="I223" s="957">
        <f>I178/'Profit and Loss'!H377</f>
        <v>2.92100434404865</v>
      </c>
      <c r="J223" s="957">
        <f>J178/'Profit and Loss'!I377</f>
        <v>2.43383683360258</v>
      </c>
      <c r="K223" s="957">
        <f>K178/'Profit and Loss'!J377</f>
        <v>1.64425714285714</v>
      </c>
      <c r="L223" s="957">
        <f>L178/'Profit and Loss'!K377</f>
        <v>0.930300146925068</v>
      </c>
      <c r="M223" s="957">
        <f>M178/'Profit and Loss'!L377</f>
        <v>-0.673020771484351</v>
      </c>
      <c r="N223" s="957">
        <f>N178/'Profit and Loss'!M377</f>
        <v>2.11080074487896</v>
      </c>
      <c r="O223" s="957">
        <f>O178/'Profit and Loss'!N377</f>
        <v>1.59020618556701</v>
      </c>
      <c r="P223" s="957">
        <f>P178/'Profit and Loss'!O377</f>
        <v>1.78604294478528</v>
      </c>
      <c r="Q223" s="957">
        <f>Q178/'Profit and Loss'!P377</f>
        <v>1.22924411400248</v>
      </c>
      <c r="R223" s="957">
        <f>R178/'Profit and Loss'!Q377</f>
        <v>0.408145580589255</v>
      </c>
      <c r="S223" s="957">
        <f>S178/'Profit and Loss'!R377</f>
        <v>0.311148086522463</v>
      </c>
      <c r="T223" s="957">
        <f>T178/'Profit and Loss'!S377</f>
        <v>-0.15469146238377</v>
      </c>
      <c r="U223" s="957">
        <f>U178/'Profit and Loss'!T377</f>
        <v>-0.172460804362645</v>
      </c>
      <c r="V223" s="957">
        <f>V178/'Profit and Loss'!U377</f>
        <v>0.156716417910448</v>
      </c>
      <c r="W223" s="957">
        <f>W178/'Profit and Loss'!V377</f>
        <v>0.328379334748762</v>
      </c>
      <c r="X223" s="957">
        <f>X178/'Profit and Loss'!W377</f>
        <v>0.05747738158595</v>
      </c>
      <c r="Y223" s="957">
        <f>Y178/'Profit and Loss'!X377</f>
        <v>-0.189607298690996</v>
      </c>
      <c r="Z223" s="957">
        <f>Z178/'Profit and Loss'!Y377</f>
        <v>-0.332755031228314</v>
      </c>
      <c r="AA223" s="957">
        <f>AA178/'Profit and Loss'!Z377</f>
        <v>-0.225606608156944</v>
      </c>
      <c r="AB223" s="957">
        <f>AB178/'Profit and Loss'!AA377</f>
        <v>-0.389438943894389</v>
      </c>
      <c r="AC223" s="957">
        <f>AC178/'Profit and Loss'!AB377</f>
        <v>-0.425199362041467</v>
      </c>
      <c r="AD223" s="957">
        <f>AD178/'Profit and Loss'!AC377</f>
        <v>1.3087084148728</v>
      </c>
      <c r="AE223" s="957">
        <f>AE178/'Profit and Loss'!AD377</f>
        <v>1.2</v>
      </c>
      <c r="AF223" s="957">
        <f>AF178/'Profit and Loss'!AE377</f>
        <v>0.0129477772982305</v>
      </c>
      <c r="AG223" s="957">
        <f>AG178/'Profit and Loss'!AF377</f>
        <v>0.319003115264798</v>
      </c>
      <c r="AH223" s="957">
        <f>AH178/'Profit and Loss'!AG377</f>
        <v>0.278831280324194</v>
      </c>
      <c r="AI223" s="957">
        <f>AI178/'Profit and Loss'!AH377</f>
        <v>0.229262801242374</v>
      </c>
      <c r="AJ223" s="957">
        <f>AJ178/'Profit and Loss'!AI377</f>
        <v>0.153277156719452</v>
      </c>
      <c r="AK223" s="957">
        <f>AK178/'Profit and Loss'!AJ377</f>
        <v>0.0595626419549477</v>
      </c>
      <c r="AL223" s="957">
        <f>AL178/'Profit and Loss'!AK377</f>
        <v>-0.014874000117204</v>
      </c>
    </row>
  </sheetData>
  <mergeCells count="1">
    <mergeCell ref="AN1:AO1"/>
  </mergeCells>
  <printOptions horizontalCentered="1" verticalCentered="1"/>
  <pageMargins left="0.511811023622047" right="0.511811023622047" top="0.511811023622047" bottom="0.511811023622047" header="0.511811023622047" footer="0.511811023622047"/>
  <pageSetup paperSize="1" scale="53" orientation="portrait" horizontalDpi="200" verticalDpi="200"/>
  <headerFooter alignWithMargins="0"/>
  <rowBreaks count="2" manualBreakCount="2">
    <brk id="88" max="16383" man="1"/>
    <brk id="139" max="16383" man="1"/>
  </rowBreaks>
  <customProperties>
    <customPr name="Qube.Worksheet.ID" r:id="rId4"/>
    <customPr name="Qube.Worksheet.Visibility" r:id="rId5"/>
  </customPropertie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Z442"/>
  <sheetViews>
    <sheetView zoomScale="90" zoomScaleNormal="90" topLeftCell="A18" workbookViewId="0">
      <selection activeCell="M31" sqref="M31"/>
    </sheetView>
  </sheetViews>
  <sheetFormatPr defaultColWidth="66.2857142857143" defaultRowHeight="16.8"/>
  <cols>
    <col min="1" max="1" width="28" style="755" customWidth="1"/>
    <col min="2" max="2" width="12.7142857142857" style="755" hidden="1" customWidth="1" outlineLevel="2"/>
    <col min="3" max="3" width="12.7142857142857" style="755" hidden="1" customWidth="1" outlineLevel="1" collapsed="1"/>
    <col min="4" max="4" width="27.8571428571429" style="755" hidden="1" customWidth="1" outlineLevel="1"/>
    <col min="5" max="5" width="15" style="755" hidden="1" customWidth="1" collapsed="1"/>
    <col min="6" max="6" width="15" style="755" hidden="1" customWidth="1"/>
    <col min="7" max="7" width="15.5714285714286" style="755" hidden="1" customWidth="1"/>
    <col min="8" max="8" width="10.7142857142857" style="755" hidden="1" customWidth="1"/>
    <col min="9" max="9" width="8.14285714285714" style="755" hidden="1" customWidth="1"/>
    <col min="10" max="11" width="10.7142857142857" style="755" hidden="1" customWidth="1"/>
    <col min="12" max="16" width="10.7142857142857" style="755" customWidth="1"/>
    <col min="17" max="17" width="12" style="755" customWidth="1"/>
    <col min="18" max="18" width="11.5714285714286" style="755" customWidth="1"/>
    <col min="19" max="19" width="13.1428571428571" style="755" customWidth="1"/>
    <col min="20" max="20" width="11.1428571428571" style="755" customWidth="1"/>
    <col min="21" max="23" width="15.7142857142857" style="755" customWidth="1"/>
    <col min="24" max="16384" width="66.2857142857143" style="755"/>
  </cols>
  <sheetData>
    <row r="1" spans="1:20">
      <c r="A1" s="756" t="s">
        <v>80</v>
      </c>
      <c r="G1" s="755">
        <v>0</v>
      </c>
      <c r="I1" s="755">
        <v>0</v>
      </c>
      <c r="J1" s="755">
        <v>0</v>
      </c>
      <c r="K1" s="755">
        <v>0</v>
      </c>
      <c r="L1" s="755">
        <v>0</v>
      </c>
      <c r="M1" s="755">
        <v>0</v>
      </c>
      <c r="N1" s="755">
        <f t="shared" ref="N1:R1" si="0">M1+1</f>
        <v>1</v>
      </c>
      <c r="O1" s="755">
        <f t="shared" si="0"/>
        <v>2</v>
      </c>
      <c r="P1" s="755">
        <f t="shared" si="0"/>
        <v>3</v>
      </c>
      <c r="Q1" s="755">
        <f t="shared" si="0"/>
        <v>4</v>
      </c>
      <c r="R1" s="755">
        <f t="shared" si="0"/>
        <v>5</v>
      </c>
      <c r="S1" s="755">
        <f t="shared" ref="S1" si="1">R1+1</f>
        <v>6</v>
      </c>
      <c r="T1" s="755">
        <f t="shared" ref="T1" si="2">S1+1</f>
        <v>7</v>
      </c>
    </row>
    <row r="2" spans="1:20">
      <c r="K2" s="757"/>
    </row>
    <row r="3" spans="1:20">
      <c r="A3" s="758"/>
      <c r="B3" s="758">
        <v>2016</v>
      </c>
      <c r="C3" s="758" t="s">
        <v>1029</v>
      </c>
      <c r="D3" s="759">
        <v>2018</v>
      </c>
      <c r="E3" s="759">
        <v>2019</v>
      </c>
      <c r="F3" s="759">
        <v>2020</v>
      </c>
      <c r="G3" s="759" t="s">
        <v>779</v>
      </c>
      <c r="H3" s="759">
        <v>2022</v>
      </c>
      <c r="I3" s="759">
        <v>2023</v>
      </c>
      <c r="J3" s="759">
        <v>2024</v>
      </c>
      <c r="K3" s="759" t="s">
        <v>865</v>
      </c>
      <c r="L3" s="759" t="s">
        <v>863</v>
      </c>
      <c r="M3" s="759" t="s">
        <v>888</v>
      </c>
      <c r="N3" s="759" t="s">
        <v>889</v>
      </c>
      <c r="O3" s="759" t="s">
        <v>892</v>
      </c>
      <c r="P3" s="759" t="s">
        <v>968</v>
      </c>
      <c r="Q3" s="759" t="s">
        <v>1113</v>
      </c>
      <c r="R3" s="759" t="s">
        <v>1114</v>
      </c>
      <c r="S3" s="759" t="s">
        <v>1115</v>
      </c>
      <c r="T3" s="759" t="s">
        <v>1116</v>
      </c>
    </row>
    <row r="4" spans="1:20">
      <c r="A4" s="760" t="s">
        <v>131</v>
      </c>
      <c r="B4" s="757">
        <f t="shared" ref="B4:K4" si="3">B37</f>
        <v>1491</v>
      </c>
      <c r="C4" s="757">
        <f t="shared" si="3"/>
        <v>2070</v>
      </c>
      <c r="D4" s="757">
        <f t="shared" si="3"/>
        <v>2368</v>
      </c>
      <c r="E4" s="757">
        <f t="shared" si="3"/>
        <v>2660</v>
      </c>
      <c r="F4" s="757">
        <f t="shared" si="3"/>
        <v>751</v>
      </c>
      <c r="G4" s="757">
        <f t="shared" si="3"/>
        <v>1986</v>
      </c>
      <c r="H4" s="757">
        <f t="shared" si="3"/>
        <v>669</v>
      </c>
      <c r="I4" s="757">
        <f t="shared" si="3"/>
        <v>200.000000000002</v>
      </c>
      <c r="J4" s="757">
        <f t="shared" si="3"/>
        <v>1136.99999999999</v>
      </c>
      <c r="K4" s="757">
        <f t="shared" si="3"/>
        <v>2056</v>
      </c>
      <c r="L4" s="757">
        <f t="shared" ref="L4:P4" si="4">L37</f>
        <v>2525</v>
      </c>
      <c r="M4" s="757">
        <f t="shared" si="4"/>
        <v>3020</v>
      </c>
      <c r="N4" s="757">
        <f t="shared" si="4"/>
        <v>3325</v>
      </c>
      <c r="O4" s="757">
        <f t="shared" si="4"/>
        <v>3578</v>
      </c>
      <c r="P4" s="757">
        <f t="shared" si="4"/>
        <v>3850</v>
      </c>
      <c r="Q4" s="757">
        <f t="shared" ref="Q4:R4" si="5">Q37</f>
        <v>4081</v>
      </c>
      <c r="R4" s="757">
        <f t="shared" si="5"/>
        <v>4325.86</v>
      </c>
      <c r="S4" s="757">
        <f t="shared" ref="S4:T4" si="6">S37</f>
        <v>4585.4116</v>
      </c>
      <c r="T4" s="757">
        <f t="shared" si="6"/>
        <v>4814.68218</v>
      </c>
    </row>
    <row r="5" spans="1:20">
      <c r="A5" s="760" t="s">
        <v>887</v>
      </c>
      <c r="B5" s="757">
        <f>-B4*'Profit and Loss'!W388</f>
        <v>-439.561245674741</v>
      </c>
      <c r="C5" s="757">
        <f>-C4*'Profit and Loss'!X388</f>
        <v>-606.51</v>
      </c>
      <c r="D5" s="757">
        <f>-D4*'Profit and Loss'!Y388</f>
        <v>-666.18671152229</v>
      </c>
      <c r="E5" s="757">
        <f>-E4*'Profit and Loss'!Z388</f>
        <v>-665.519937451134</v>
      </c>
      <c r="F5" s="757">
        <f>-F4*'Profit and Loss'!AA388</f>
        <v>-190.688695652174</v>
      </c>
      <c r="G5" s="757">
        <f>-G4*'Profit and Loss'!AB388</f>
        <v>-386.047516198704</v>
      </c>
      <c r="H5" s="757">
        <f>-H4*'Profit and Loss'!AC388</f>
        <v>-231.046391752577</v>
      </c>
      <c r="I5" s="757">
        <f>-I4*'Profit and Loss'!AD388</f>
        <v>733.333333332702</v>
      </c>
      <c r="J5" s="757">
        <f>-J4*0.26</f>
        <v>-295.619999999998</v>
      </c>
      <c r="K5" s="757">
        <f>-K4*0.255</f>
        <v>-524.28</v>
      </c>
      <c r="L5" s="757">
        <f t="shared" ref="L5:Q5" si="7">-L4*0.25</f>
        <v>-631.25</v>
      </c>
      <c r="M5" s="757">
        <f t="shared" si="7"/>
        <v>-755</v>
      </c>
      <c r="N5" s="757">
        <f t="shared" si="7"/>
        <v>-831.25</v>
      </c>
      <c r="O5" s="757">
        <f t="shared" si="7"/>
        <v>-894.5</v>
      </c>
      <c r="P5" s="757">
        <f t="shared" si="7"/>
        <v>-962.5</v>
      </c>
      <c r="Q5" s="757">
        <f t="shared" si="7"/>
        <v>-1020.25</v>
      </c>
      <c r="R5" s="757">
        <f t="shared" ref="R5:T5" si="8">-R4*0.25</f>
        <v>-1081.465</v>
      </c>
      <c r="S5" s="757">
        <f t="shared" si="8"/>
        <v>-1146.3529</v>
      </c>
      <c r="T5" s="757">
        <f t="shared" si="8"/>
        <v>-1203.670545</v>
      </c>
    </row>
    <row r="6" spans="1:20">
      <c r="A6" s="760" t="s">
        <v>913</v>
      </c>
      <c r="B6" s="757">
        <f t="shared" ref="B6:K6" si="9">B40</f>
        <v>388</v>
      </c>
      <c r="C6" s="757">
        <f t="shared" si="9"/>
        <v>451</v>
      </c>
      <c r="D6" s="757">
        <f t="shared" si="9"/>
        <v>514</v>
      </c>
      <c r="E6" s="757">
        <f t="shared" si="9"/>
        <v>1214</v>
      </c>
      <c r="F6" s="757">
        <f t="shared" si="9"/>
        <v>1370</v>
      </c>
      <c r="G6" s="757">
        <f t="shared" si="9"/>
        <v>1149</v>
      </c>
      <c r="H6" s="757">
        <f t="shared" si="9"/>
        <v>1375</v>
      </c>
      <c r="I6" s="757">
        <f t="shared" si="9"/>
        <v>1090</v>
      </c>
      <c r="J6" s="757">
        <f t="shared" si="9"/>
        <v>1180</v>
      </c>
      <c r="K6" s="757">
        <f t="shared" si="9"/>
        <v>1154</v>
      </c>
      <c r="L6" s="757">
        <f t="shared" ref="L6:P6" si="10">L40</f>
        <v>1166.71603972094</v>
      </c>
      <c r="M6" s="757">
        <f t="shared" si="10"/>
        <v>1254.89698525307</v>
      </c>
      <c r="N6" s="757">
        <f t="shared" si="10"/>
        <v>1339.88900325899</v>
      </c>
      <c r="O6" s="757">
        <f t="shared" si="10"/>
        <v>1419.7213793949</v>
      </c>
      <c r="P6" s="757">
        <f t="shared" si="10"/>
        <v>1504.41339649289</v>
      </c>
      <c r="Q6" s="757">
        <f t="shared" ref="Q6:R6" si="11">Q40</f>
        <v>1594.67820028247</v>
      </c>
      <c r="R6" s="757">
        <f t="shared" si="11"/>
        <v>1690.35889229942</v>
      </c>
      <c r="S6" s="757">
        <f t="shared" ref="S6:T6" si="12">S40</f>
        <v>1791.78042583738</v>
      </c>
      <c r="T6" s="757">
        <f t="shared" si="12"/>
        <v>1881.36944712925</v>
      </c>
    </row>
    <row r="7" spans="1:20">
      <c r="A7" s="760" t="s">
        <v>1045</v>
      </c>
      <c r="B7" s="757"/>
      <c r="C7" s="757"/>
      <c r="D7" s="757"/>
      <c r="E7" s="757" t="e">
        <f>'Balance Sheet &amp; Cash Flow'!#REF!</f>
        <v>#REF!</v>
      </c>
      <c r="F7" s="757">
        <f t="shared" ref="F7:J7" si="13">F45</f>
        <v>-582</v>
      </c>
      <c r="G7" s="757">
        <f t="shared" si="13"/>
        <v>-572</v>
      </c>
      <c r="H7" s="757">
        <f t="shared" si="13"/>
        <v>-631</v>
      </c>
      <c r="I7" s="757">
        <f t="shared" si="13"/>
        <v>-686</v>
      </c>
      <c r="J7" s="757">
        <f t="shared" si="13"/>
        <v>-742</v>
      </c>
      <c r="K7" s="757">
        <f t="shared" ref="K7:O7" si="14">K45</f>
        <v>-643</v>
      </c>
      <c r="L7" s="757">
        <f t="shared" si="14"/>
        <v>-688.01</v>
      </c>
      <c r="M7" s="757">
        <f t="shared" si="14"/>
        <v>-722.4105</v>
      </c>
      <c r="N7" s="757">
        <f t="shared" si="14"/>
        <v>-758.531025</v>
      </c>
      <c r="O7" s="757">
        <f t="shared" si="14"/>
        <v>-796.45757625</v>
      </c>
      <c r="P7" s="757">
        <f t="shared" ref="P7" si="15">P45</f>
        <v>-836.2804550625</v>
      </c>
      <c r="Q7" s="757">
        <f t="shared" ref="Q7:R7" si="16">Q45</f>
        <v>-878.094477815625</v>
      </c>
      <c r="R7" s="757">
        <f t="shared" si="16"/>
        <v>-921.999201706406</v>
      </c>
      <c r="S7" s="757">
        <f t="shared" ref="S7:T7" si="17">S45</f>
        <v>-968.099161791727</v>
      </c>
      <c r="T7" s="757">
        <f t="shared" si="17"/>
        <v>-1016.50411988131</v>
      </c>
    </row>
    <row r="8" spans="1:20">
      <c r="A8" s="760" t="s">
        <v>221</v>
      </c>
      <c r="B8" s="757">
        <f t="shared" ref="B8:K8" si="18">B42</f>
        <v>-651</v>
      </c>
      <c r="C8" s="757">
        <f t="shared" si="18"/>
        <v>-606</v>
      </c>
      <c r="D8" s="757">
        <f t="shared" si="18"/>
        <v>-611</v>
      </c>
      <c r="E8" s="757">
        <f t="shared" si="18"/>
        <v>-598</v>
      </c>
      <c r="F8" s="757">
        <f t="shared" si="18"/>
        <v>-368</v>
      </c>
      <c r="G8" s="757">
        <f t="shared" si="18"/>
        <v>-494</v>
      </c>
      <c r="H8" s="757">
        <f t="shared" si="18"/>
        <v>-504</v>
      </c>
      <c r="I8" s="757">
        <f t="shared" si="18"/>
        <v>-363</v>
      </c>
      <c r="J8" s="757">
        <f t="shared" si="18"/>
        <v>-419</v>
      </c>
      <c r="K8" s="757">
        <f t="shared" si="18"/>
        <v>-363</v>
      </c>
      <c r="L8" s="757">
        <f t="shared" ref="L8:P8" si="19">L42</f>
        <v>-542.658623126019</v>
      </c>
      <c r="M8" s="757">
        <f t="shared" si="19"/>
        <v>-583.673016396777</v>
      </c>
      <c r="N8" s="757">
        <f t="shared" si="19"/>
        <v>-623.204187562321</v>
      </c>
      <c r="O8" s="757">
        <f t="shared" si="19"/>
        <v>-660.335525299952</v>
      </c>
      <c r="P8" s="757">
        <f t="shared" si="19"/>
        <v>-699.727161159486</v>
      </c>
      <c r="Q8" s="757">
        <f t="shared" ref="Q8:R8" si="20">Q42</f>
        <v>-741.710790829055</v>
      </c>
      <c r="R8" s="757">
        <f t="shared" si="20"/>
        <v>-786.213438278798</v>
      </c>
      <c r="S8" s="757">
        <f t="shared" ref="S8:T8" si="21">S42</f>
        <v>-833.386244575526</v>
      </c>
      <c r="T8" s="757">
        <f t="shared" si="21"/>
        <v>-875.055556804302</v>
      </c>
    </row>
    <row r="9" spans="1:20">
      <c r="A9" s="761" t="s">
        <v>1117</v>
      </c>
      <c r="B9" s="762">
        <f>SUM('Balance Sheet &amp; Cash Flow'!X101:X107)</f>
        <v>-508</v>
      </c>
      <c r="C9" s="762">
        <f t="shared" ref="C9:K9" si="22">B48-C48</f>
        <v>-564</v>
      </c>
      <c r="D9" s="762">
        <f t="shared" si="22"/>
        <v>468</v>
      </c>
      <c r="E9" s="762">
        <f t="shared" si="22"/>
        <v>-438</v>
      </c>
      <c r="F9" s="762">
        <f t="shared" si="22"/>
        <v>48</v>
      </c>
      <c r="G9" s="762">
        <f t="shared" si="22"/>
        <v>69</v>
      </c>
      <c r="H9" s="762">
        <f t="shared" si="22"/>
        <v>-1704</v>
      </c>
      <c r="I9" s="762">
        <f t="shared" si="22"/>
        <v>1439</v>
      </c>
      <c r="J9" s="762">
        <f t="shared" si="22"/>
        <v>-151</v>
      </c>
      <c r="K9" s="762">
        <f t="shared" si="22"/>
        <v>-1250</v>
      </c>
      <c r="L9" s="762">
        <f t="shared" ref="L9:R9" si="23">K48-L48</f>
        <v>-165.681326543672</v>
      </c>
      <c r="M9" s="762">
        <f t="shared" si="23"/>
        <v>-374.080056784258</v>
      </c>
      <c r="N9" s="762">
        <f t="shared" si="23"/>
        <v>-257.054404465146</v>
      </c>
      <c r="O9" s="762">
        <f t="shared" si="23"/>
        <v>-213.425367022949</v>
      </c>
      <c r="P9" s="762">
        <f t="shared" si="23"/>
        <v>-391.702355282038</v>
      </c>
      <c r="Q9" s="762">
        <f t="shared" si="23"/>
        <v>-454.562150147337</v>
      </c>
      <c r="R9" s="762">
        <f t="shared" si="23"/>
        <v>-444.750339614725</v>
      </c>
      <c r="S9" s="762">
        <f t="shared" ref="S9" si="24">R48-S48</f>
        <v>-471.435359991608</v>
      </c>
      <c r="T9" s="762">
        <f t="shared" ref="T9" si="25">S48-T48</f>
        <v>-416.434567992588</v>
      </c>
    </row>
    <row r="10" spans="1:20">
      <c r="A10" s="763" t="s">
        <v>1118</v>
      </c>
      <c r="B10" s="764">
        <f t="shared" ref="B10:K10" si="26">SUM(B4:B9)</f>
        <v>280.438754325259</v>
      </c>
      <c r="C10" s="764">
        <f t="shared" si="26"/>
        <v>744.49</v>
      </c>
      <c r="D10" s="764">
        <f t="shared" si="26"/>
        <v>2072.81328847771</v>
      </c>
      <c r="E10" s="764" t="e">
        <f t="shared" si="26"/>
        <v>#REF!</v>
      </c>
      <c r="F10" s="764">
        <f t="shared" si="26"/>
        <v>1028.31130434783</v>
      </c>
      <c r="G10" s="764">
        <f t="shared" si="26"/>
        <v>1751.9524838013</v>
      </c>
      <c r="H10" s="764">
        <f t="shared" si="26"/>
        <v>-1026.04639175258</v>
      </c>
      <c r="I10" s="764">
        <f t="shared" si="26"/>
        <v>2413.3333333327</v>
      </c>
      <c r="J10" s="764">
        <f t="shared" si="26"/>
        <v>709.379999999995</v>
      </c>
      <c r="K10" s="764">
        <f t="shared" si="26"/>
        <v>429.72</v>
      </c>
      <c r="L10" s="764">
        <f t="shared" ref="L10:P10" si="27">SUM(L4:L9)</f>
        <v>1664.11609005125</v>
      </c>
      <c r="M10" s="764">
        <f t="shared" si="27"/>
        <v>1839.73341207204</v>
      </c>
      <c r="N10" s="764">
        <f t="shared" si="27"/>
        <v>2194.84938623152</v>
      </c>
      <c r="O10" s="764">
        <f t="shared" si="27"/>
        <v>2433.00291082199</v>
      </c>
      <c r="P10" s="764">
        <f t="shared" si="27"/>
        <v>2464.20342498887</v>
      </c>
      <c r="Q10" s="764">
        <f t="shared" ref="Q10:R10" si="28">SUM(Q4:Q9)</f>
        <v>2581.06078149045</v>
      </c>
      <c r="R10" s="764">
        <f t="shared" si="28"/>
        <v>2781.79091269949</v>
      </c>
      <c r="S10" s="764">
        <f t="shared" ref="S10:T10" si="29">SUM(S4:S9)</f>
        <v>2957.91835947852</v>
      </c>
      <c r="T10" s="764">
        <f t="shared" si="29"/>
        <v>3184.38683745105</v>
      </c>
    </row>
    <row r="11" spans="1:20">
      <c r="A11" s="760" t="s">
        <v>1119</v>
      </c>
      <c r="B11" s="765">
        <f t="shared" ref="B11:M11" si="30">B10/B32</f>
        <v>0.0145380380676651</v>
      </c>
      <c r="C11" s="765">
        <f t="shared" si="30"/>
        <v>0.0350876614195494</v>
      </c>
      <c r="D11" s="765">
        <f t="shared" si="30"/>
        <v>0.0945842248906096</v>
      </c>
      <c r="E11" s="765" t="e">
        <f t="shared" si="30"/>
        <v>#REF!</v>
      </c>
      <c r="F11" s="765">
        <f t="shared" si="30"/>
        <v>0.0518197593402452</v>
      </c>
      <c r="G11" s="765">
        <f t="shared" si="30"/>
        <v>0.0825069456438399</v>
      </c>
      <c r="H11" s="765">
        <f t="shared" si="30"/>
        <v>-0.0455797784084482</v>
      </c>
      <c r="I11" s="765">
        <f t="shared" si="30"/>
        <v>0.116710191185448</v>
      </c>
      <c r="J11" s="765">
        <f t="shared" si="30"/>
        <v>0.0307984196587503</v>
      </c>
      <c r="K11" s="765">
        <f t="shared" si="30"/>
        <v>0.0173197372133328</v>
      </c>
      <c r="L11" s="765">
        <f t="shared" si="30"/>
        <v>0.0613319689076349</v>
      </c>
      <c r="M11" s="765">
        <f t="shared" si="30"/>
        <v>0.0630398651433082</v>
      </c>
      <c r="N11" s="765">
        <f t="shared" ref="N11:O11" si="31">N10/N32</f>
        <v>0.0704375686182961</v>
      </c>
      <c r="O11" s="765">
        <f t="shared" si="31"/>
        <v>0.0736898990771948</v>
      </c>
      <c r="P11" s="765">
        <f t="shared" ref="P11" si="32">P10/P32</f>
        <v>0.070433264900152</v>
      </c>
      <c r="Q11" s="765">
        <f t="shared" ref="Q11:R11" si="33">Q10/Q32</f>
        <v>0.069597498469867</v>
      </c>
      <c r="R11" s="765">
        <f t="shared" si="33"/>
        <v>0.0707642677487036</v>
      </c>
      <c r="S11" s="765">
        <f t="shared" ref="S11:T11" si="34">S10/S32</f>
        <v>0.0709855335081777</v>
      </c>
      <c r="T11" s="765">
        <f t="shared" si="34"/>
        <v>0.0727813637131889</v>
      </c>
    </row>
    <row r="12" spans="1:20">
      <c r="A12" s="760" t="s">
        <v>1120</v>
      </c>
      <c r="B12" s="757"/>
      <c r="C12" s="757"/>
      <c r="D12" s="757"/>
      <c r="E12" s="757"/>
      <c r="F12" s="757"/>
      <c r="G12" s="757"/>
      <c r="H12" s="757"/>
      <c r="I12" s="757"/>
      <c r="J12" s="757"/>
      <c r="K12" s="757"/>
      <c r="L12" s="757"/>
      <c r="M12" s="757"/>
      <c r="N12" s="757"/>
      <c r="O12" s="757"/>
      <c r="P12" s="757"/>
      <c r="Q12" s="757"/>
      <c r="R12" s="757"/>
      <c r="S12" s="757"/>
      <c r="T12" s="757">
        <f>T10/($Q$27-$Q$28)</f>
        <v>39125.0379340342</v>
      </c>
    </row>
    <row r="13" spans="1:20">
      <c r="A13" s="761" t="s">
        <v>1121</v>
      </c>
      <c r="B13" s="762">
        <f t="shared" ref="B13:I13" si="35">B10</f>
        <v>280.438754325259</v>
      </c>
      <c r="C13" s="762">
        <f t="shared" si="35"/>
        <v>744.49</v>
      </c>
      <c r="D13" s="762">
        <f t="shared" si="35"/>
        <v>2072.81328847771</v>
      </c>
      <c r="E13" s="762" t="e">
        <f t="shared" si="35"/>
        <v>#REF!</v>
      </c>
      <c r="F13" s="762">
        <f t="shared" si="35"/>
        <v>1028.31130434783</v>
      </c>
      <c r="G13" s="762">
        <f t="shared" si="35"/>
        <v>1751.9524838013</v>
      </c>
      <c r="H13" s="762">
        <f t="shared" si="35"/>
        <v>-1026.04639175258</v>
      </c>
      <c r="I13" s="762">
        <f t="shared" si="35"/>
        <v>2413.3333333327</v>
      </c>
      <c r="J13" s="762">
        <f t="shared" ref="J13:O13" si="36">J10+J12</f>
        <v>709.379999999995</v>
      </c>
      <c r="K13" s="762">
        <f t="shared" si="36"/>
        <v>429.72</v>
      </c>
      <c r="L13" s="762">
        <f t="shared" si="36"/>
        <v>1664.11609005125</v>
      </c>
      <c r="M13" s="762">
        <f t="shared" si="36"/>
        <v>1839.73341207204</v>
      </c>
      <c r="N13" s="762">
        <f t="shared" si="36"/>
        <v>2194.84938623152</v>
      </c>
      <c r="O13" s="762">
        <f t="shared" si="36"/>
        <v>2433.00291082199</v>
      </c>
      <c r="P13" s="762">
        <f t="shared" ref="P13" si="37">P10+P12</f>
        <v>2464.20342498887</v>
      </c>
      <c r="Q13" s="762">
        <f t="shared" ref="Q13:R13" si="38">Q10+Q12</f>
        <v>2581.06078149045</v>
      </c>
      <c r="R13" s="762">
        <f t="shared" si="38"/>
        <v>2781.79091269949</v>
      </c>
      <c r="S13" s="762">
        <f t="shared" ref="S13:T13" si="39">S10+S12</f>
        <v>2957.91835947852</v>
      </c>
      <c r="T13" s="762">
        <f t="shared" si="39"/>
        <v>42309.4247714853</v>
      </c>
    </row>
    <row r="14" spans="1:20">
      <c r="A14" s="760" t="s">
        <v>1122</v>
      </c>
      <c r="B14" s="766"/>
      <c r="C14" s="766">
        <v>1</v>
      </c>
      <c r="D14" s="766"/>
      <c r="E14" s="766"/>
      <c r="F14" s="766"/>
      <c r="G14" s="766"/>
      <c r="H14" s="766"/>
      <c r="J14" s="766"/>
      <c r="K14" s="766"/>
      <c r="L14" s="766"/>
      <c r="M14" s="766">
        <f t="shared" ref="M14:T14" si="40">1/((1+$Q$27)^M1)</f>
        <v>1</v>
      </c>
      <c r="N14" s="766">
        <f t="shared" si="40"/>
        <v>0.899774156686672</v>
      </c>
      <c r="O14" s="766">
        <f t="shared" si="40"/>
        <v>0.809593533041211</v>
      </c>
      <c r="P14" s="766">
        <f t="shared" si="40"/>
        <v>0.728451338451139</v>
      </c>
      <c r="Q14" s="766">
        <f t="shared" si="40"/>
        <v>0.65544168874215</v>
      </c>
      <c r="R14" s="766">
        <f t="shared" si="40"/>
        <v>0.589749492745256</v>
      </c>
      <c r="S14" s="766">
        <f t="shared" si="40"/>
        <v>0.530641352491255</v>
      </c>
      <c r="T14" s="766">
        <f t="shared" si="40"/>
        <v>0.477457375440894</v>
      </c>
    </row>
    <row r="15" spans="1:20">
      <c r="A15" s="760" t="s">
        <v>1123</v>
      </c>
      <c r="B15" s="757"/>
      <c r="C15" s="757">
        <f t="shared" ref="C15" si="41">C13*C14</f>
        <v>744.49</v>
      </c>
      <c r="D15" s="757"/>
      <c r="E15" s="757"/>
      <c r="F15" s="757"/>
      <c r="G15" s="757"/>
      <c r="H15" s="757"/>
      <c r="J15" s="757"/>
      <c r="K15" s="757"/>
      <c r="L15" s="757"/>
      <c r="M15" s="757">
        <f t="shared" ref="M15:P15" si="42">M13*M14</f>
        <v>1839.73341207204</v>
      </c>
      <c r="N15" s="757">
        <f t="shared" si="42"/>
        <v>1974.86875555073</v>
      </c>
      <c r="O15" s="757">
        <f t="shared" si="42"/>
        <v>1969.74342247193</v>
      </c>
      <c r="P15" s="757">
        <f t="shared" si="42"/>
        <v>1795.05228314902</v>
      </c>
      <c r="Q15" s="757">
        <f t="shared" ref="Q15:R15" si="43">Q13*Q14</f>
        <v>1691.73483736624</v>
      </c>
      <c r="R15" s="757">
        <f t="shared" si="43"/>
        <v>1640.55977968789</v>
      </c>
      <c r="S15" s="757">
        <f t="shared" ref="S15:T15" si="44">S13*S14</f>
        <v>1569.5937988324</v>
      </c>
      <c r="T15" s="757">
        <f t="shared" si="44"/>
        <v>20200.9469078073</v>
      </c>
    </row>
    <row r="16" ht="17.55" spans="1:20">
      <c r="D16" s="767"/>
      <c r="E16" s="767"/>
      <c r="F16" s="767"/>
      <c r="G16" s="767"/>
      <c r="H16" s="767"/>
      <c r="I16" s="767"/>
      <c r="J16" s="767"/>
      <c r="K16" s="767"/>
      <c r="L16" s="767"/>
      <c r="M16" s="767"/>
      <c r="N16" s="767"/>
      <c r="O16" s="767"/>
      <c r="P16" s="767"/>
      <c r="Q16" s="767"/>
      <c r="R16" s="767"/>
      <c r="S16" s="767"/>
      <c r="T16" s="767"/>
    </row>
    <row r="17" spans="1:20">
      <c r="A17" s="768" t="s">
        <v>1124</v>
      </c>
      <c r="L17" s="769"/>
    </row>
    <row r="18" spans="1:20">
      <c r="A18" s="770" t="s">
        <v>1125</v>
      </c>
      <c r="L18" s="771">
        <f>SUM(L15:T15)</f>
        <v>32682.2331969376</v>
      </c>
    </row>
    <row r="19" spans="1:20">
      <c r="A19" s="770" t="s">
        <v>1126</v>
      </c>
      <c r="L19" s="772">
        <f>-('Balance Sheet &amp; Cash Flow'!AH137)</f>
        <v>-1029.36590994875</v>
      </c>
    </row>
    <row r="20" spans="1:20">
      <c r="A20" s="773" t="s">
        <v>1127</v>
      </c>
      <c r="L20" s="774">
        <f>L19+L18</f>
        <v>31652.8672869888</v>
      </c>
    </row>
    <row r="21" ht="17.55" hidden="1" spans="1:20">
      <c r="A21" s="775" t="s">
        <v>1128</v>
      </c>
      <c r="L21" s="776">
        <f>L20/(D4+D5+-D52)</f>
        <v>18.4908409696581</v>
      </c>
    </row>
    <row r="22" spans="1:20">
      <c r="A22" s="2134" t="s">
        <v>1129</v>
      </c>
      <c r="L22" s="778">
        <f>'Profit and Loss'!AG415</f>
        <v>174.907674242424</v>
      </c>
    </row>
    <row r="23" spans="1:20">
      <c r="A23" s="755" t="s">
        <v>1130</v>
      </c>
      <c r="L23" s="779">
        <f>MROUND(L20/L22,5)</f>
        <v>180</v>
      </c>
    </row>
    <row r="24" spans="1:20">
      <c r="J24" s="765"/>
    </row>
    <row r="25" hidden="1" spans="1:20">
      <c r="A25" s="755" t="s">
        <v>1131</v>
      </c>
    </row>
    <row r="26" spans="1:20">
      <c r="A26" s="780" t="s">
        <v>1131</v>
      </c>
      <c r="B26" s="781"/>
      <c r="C26" s="781"/>
      <c r="D26" s="781"/>
      <c r="L26" s="780" t="s">
        <v>1132</v>
      </c>
      <c r="M26" s="780" t="s">
        <v>1133</v>
      </c>
      <c r="N26" s="780" t="s">
        <v>1134</v>
      </c>
      <c r="O26" s="780" t="s">
        <v>1135</v>
      </c>
      <c r="P26" s="780" t="s">
        <v>999</v>
      </c>
      <c r="Q26" s="780" t="s">
        <v>1136</v>
      </c>
    </row>
    <row r="27" spans="1:20">
      <c r="A27" s="755" t="s">
        <v>1137</v>
      </c>
      <c r="L27" s="765">
        <v>0.03</v>
      </c>
      <c r="M27" s="765">
        <v>0.08</v>
      </c>
      <c r="N27" s="782">
        <v>1.05</v>
      </c>
      <c r="O27" s="765">
        <f>L27+(N27*M27)</f>
        <v>0.114</v>
      </c>
      <c r="P27" s="765">
        <v>0.027</v>
      </c>
      <c r="Q27" s="765">
        <f>((0.03*P27)+(0.97*O27))</f>
        <v>0.11139</v>
      </c>
    </row>
    <row r="28" spans="1:20">
      <c r="A28" s="755" t="s">
        <v>1138</v>
      </c>
      <c r="M28" s="765"/>
      <c r="N28" s="765"/>
      <c r="O28" s="765"/>
      <c r="P28" s="765"/>
      <c r="Q28" s="765">
        <v>0.03</v>
      </c>
    </row>
    <row r="30" spans="1:20">
      <c r="A30" s="755" t="s">
        <v>1139</v>
      </c>
    </row>
    <row r="31" spans="1:20">
      <c r="A31" s="758"/>
      <c r="B31" s="758">
        <f t="shared" ref="B31:M31" si="45">B3</f>
        <v>2016</v>
      </c>
      <c r="C31" s="758" t="str">
        <f t="shared" si="45"/>
        <v>2017E</v>
      </c>
      <c r="D31" s="759">
        <f t="shared" si="45"/>
        <v>2018</v>
      </c>
      <c r="E31" s="759">
        <f t="shared" si="45"/>
        <v>2019</v>
      </c>
      <c r="F31" s="759">
        <f t="shared" si="45"/>
        <v>2020</v>
      </c>
      <c r="G31" s="759" t="str">
        <f t="shared" si="45"/>
        <v>2021E</v>
      </c>
      <c r="H31" s="759">
        <f t="shared" si="45"/>
        <v>2022</v>
      </c>
      <c r="I31" s="759">
        <f t="shared" si="45"/>
        <v>2023</v>
      </c>
      <c r="J31" s="759">
        <f t="shared" si="45"/>
        <v>2024</v>
      </c>
      <c r="K31" s="759" t="str">
        <f t="shared" si="45"/>
        <v>2025E</v>
      </c>
      <c r="L31" s="759" t="str">
        <f t="shared" si="45"/>
        <v>2026E</v>
      </c>
      <c r="M31" s="759" t="str">
        <f t="shared" si="45"/>
        <v>2027E</v>
      </c>
      <c r="N31" s="759" t="str">
        <f t="shared" ref="N31:O31" si="46">N3</f>
        <v>2028E</v>
      </c>
      <c r="O31" s="759" t="str">
        <f t="shared" si="46"/>
        <v>2029E</v>
      </c>
      <c r="P31" s="759" t="str">
        <f t="shared" ref="P31:Q31" si="47">P3</f>
        <v>2030E</v>
      </c>
      <c r="Q31" s="759" t="str">
        <f t="shared" si="47"/>
        <v>2031E</v>
      </c>
      <c r="R31" s="759" t="str">
        <f t="shared" ref="R31:T31" si="48">R3</f>
        <v>2032E</v>
      </c>
      <c r="S31" s="759" t="str">
        <f t="shared" si="48"/>
        <v>2033E</v>
      </c>
      <c r="T31" s="759" t="str">
        <f t="shared" si="48"/>
        <v>2034E</v>
      </c>
    </row>
    <row r="32" spans="1:20">
      <c r="A32" s="783" t="s">
        <v>710</v>
      </c>
      <c r="B32" s="783">
        <f>'Profit and Loss'!W327</f>
        <v>19290</v>
      </c>
      <c r="C32" s="783">
        <f>'Profit and Loss'!X327</f>
        <v>21218</v>
      </c>
      <c r="D32" s="783">
        <f>'Profit and Loss'!Y327</f>
        <v>21915</v>
      </c>
      <c r="E32" s="783">
        <f>'Profit and Loss'!Z327</f>
        <v>23641</v>
      </c>
      <c r="F32" s="783">
        <f>'Profit and Loss'!AA327</f>
        <v>19844</v>
      </c>
      <c r="G32" s="783">
        <f>'Profit and Loss'!AB327</f>
        <v>21234</v>
      </c>
      <c r="H32" s="783">
        <f>'Profit and Loss'!AC327</f>
        <v>22511</v>
      </c>
      <c r="I32" s="783">
        <f>'Profit and Loss'!AD327</f>
        <v>20678</v>
      </c>
      <c r="J32" s="783">
        <f>'Profit and Loss'!AE327</f>
        <v>23033</v>
      </c>
      <c r="K32" s="783">
        <f>'Profit and Loss'!AF327</f>
        <v>24811</v>
      </c>
      <c r="L32" s="783">
        <f>'Profit and Loss'!AG327</f>
        <v>27132.9311563009</v>
      </c>
      <c r="M32" s="783">
        <f>'Profit and Loss'!AH327</f>
        <v>29183.6508198389</v>
      </c>
      <c r="N32" s="783">
        <f>'Profit and Loss'!AI327</f>
        <v>31160.2093781161</v>
      </c>
      <c r="O32" s="783">
        <f>'Profit and Loss'!AJ327</f>
        <v>33016.7762649976</v>
      </c>
      <c r="P32" s="783">
        <f>'Profit and Loss'!AK327</f>
        <v>34986.3580579743</v>
      </c>
      <c r="Q32" s="783">
        <f t="shared" ref="Q32:R32" si="49">P32*(1+Q34)</f>
        <v>37085.5395414527</v>
      </c>
      <c r="R32" s="783">
        <f t="shared" si="49"/>
        <v>39310.6719139399</v>
      </c>
      <c r="S32" s="783">
        <f t="shared" ref="S32" si="50">R32*(1+S34)</f>
        <v>41669.3122287763</v>
      </c>
      <c r="T32" s="783">
        <f t="shared" ref="T32" si="51">S32*(1+T34)</f>
        <v>43752.7778402151</v>
      </c>
    </row>
    <row r="33" spans="1:20">
      <c r="A33" s="2135" t="s">
        <v>1140</v>
      </c>
      <c r="B33" s="785">
        <f>'Profit and Loss'!W144</f>
        <v>0.140407921962755</v>
      </c>
      <c r="C33" s="785">
        <f t="shared" ref="C33:I33" si="52">C32/B32-1</f>
        <v>0.0999481596682219</v>
      </c>
      <c r="D33" s="785">
        <f t="shared" si="52"/>
        <v>0.0328494674333115</v>
      </c>
      <c r="E33" s="785">
        <f t="shared" si="52"/>
        <v>0.0787588409764999</v>
      </c>
      <c r="F33" s="785">
        <f t="shared" si="52"/>
        <v>-0.160610803265513</v>
      </c>
      <c r="G33" s="785">
        <f t="shared" si="52"/>
        <v>0.070046361620641</v>
      </c>
      <c r="H33" s="785">
        <f t="shared" si="52"/>
        <v>0.0601393990769521</v>
      </c>
      <c r="I33" s="785">
        <f t="shared" si="52"/>
        <v>-0.0814268579805427</v>
      </c>
      <c r="J33" s="785">
        <f t="shared" ref="J33" si="53">J32/I32-1</f>
        <v>0.113889157558758</v>
      </c>
      <c r="K33" s="785">
        <f t="shared" ref="K33" si="54">K32/J32-1</f>
        <v>0.0771935918030651</v>
      </c>
      <c r="L33" s="785">
        <f t="shared" ref="L33:N33" si="55">L32/K32-1</f>
        <v>0.0935847469388953</v>
      </c>
      <c r="M33" s="785">
        <f t="shared" si="55"/>
        <v>0.0755804690515973</v>
      </c>
      <c r="N33" s="785">
        <f t="shared" si="55"/>
        <v>0.0677282828827417</v>
      </c>
      <c r="O33" s="785">
        <f t="shared" ref="O33:P33" si="56">O32/N32-1</f>
        <v>0.0595813354253465</v>
      </c>
      <c r="P33" s="785">
        <f t="shared" si="56"/>
        <v>0.059653970368533</v>
      </c>
      <c r="Q33" s="785">
        <f t="shared" ref="Q33" si="57">Q32/P32-1</f>
        <v>0.0600000000000001</v>
      </c>
      <c r="R33" s="785">
        <f t="shared" ref="R33" si="58">R32/Q32-1</f>
        <v>0.0600000000000001</v>
      </c>
      <c r="S33" s="785">
        <f t="shared" ref="S33" si="59">S32/R32-1</f>
        <v>0.0600000000000001</v>
      </c>
      <c r="T33" s="785">
        <f t="shared" ref="T33" si="60">T32/S32-1</f>
        <v>0.05</v>
      </c>
    </row>
    <row r="34" spans="1:20">
      <c r="A34" s="2135" t="s">
        <v>1141</v>
      </c>
      <c r="B34" s="785" t="e">
        <f>B33-B35-#REF!</f>
        <v>#REF!</v>
      </c>
      <c r="C34" s="786" t="e">
        <f>C33-C35-#REF!</f>
        <v>#REF!</v>
      </c>
      <c r="D34" s="786">
        <f>D33-D35</f>
        <v>0.0842075596191913</v>
      </c>
      <c r="E34" s="786">
        <f t="shared" ref="E34:L34" si="61">E33-E35</f>
        <v>0.0605195710700433</v>
      </c>
      <c r="F34" s="786">
        <f t="shared" si="61"/>
        <v>-0.134484943113378</v>
      </c>
      <c r="G34" s="786">
        <f t="shared" si="61"/>
        <v>0.0782156049078665</v>
      </c>
      <c r="H34" s="786">
        <f t="shared" si="61"/>
        <v>0.0104352453612131</v>
      </c>
      <c r="I34" s="786">
        <f t="shared" si="61"/>
        <v>-0.044</v>
      </c>
      <c r="J34" s="786">
        <f t="shared" si="61"/>
        <v>0.13754569060045</v>
      </c>
      <c r="K34" s="786">
        <f t="shared" si="61"/>
        <v>0.128168148743108</v>
      </c>
      <c r="L34" s="786">
        <f t="shared" si="61"/>
        <v>0.105392366289146</v>
      </c>
      <c r="M34" s="786">
        <f t="shared" ref="M34:O34" si="62">M33-M35</f>
        <v>0.067494679244341</v>
      </c>
      <c r="N34" s="786">
        <f t="shared" si="62"/>
        <v>0.0677282828827417</v>
      </c>
      <c r="O34" s="786">
        <f t="shared" si="62"/>
        <v>0.0595813354253463</v>
      </c>
      <c r="P34" s="786">
        <f t="shared" ref="P34" si="63">P33-P35</f>
        <v>0.059653970368533</v>
      </c>
      <c r="Q34" s="786">
        <v>0.06</v>
      </c>
      <c r="R34" s="786">
        <v>0.06</v>
      </c>
      <c r="S34" s="786">
        <v>0.06</v>
      </c>
      <c r="T34" s="786">
        <v>0.05</v>
      </c>
    </row>
    <row r="35" spans="1:20">
      <c r="A35" s="2135" t="s">
        <v>1142</v>
      </c>
      <c r="B35" s="785">
        <f>'Profit and Loss'!W145</f>
        <v>-0.0411913686077446</v>
      </c>
      <c r="C35" s="786">
        <f>'Profit and Loss'!X145</f>
        <v>-0.0600496271562142</v>
      </c>
      <c r="D35" s="786">
        <f>'Profit and Loss'!Y145</f>
        <v>-0.0513580921858798</v>
      </c>
      <c r="E35" s="786">
        <f>'Profit and Loss'!Z145</f>
        <v>0.0182392699064566</v>
      </c>
      <c r="F35" s="786">
        <f>'Profit and Loss'!AA145</f>
        <v>-0.0261258601521352</v>
      </c>
      <c r="G35" s="786">
        <f>'Profit and Loss'!AB145</f>
        <v>-0.00816924328722543</v>
      </c>
      <c r="H35" s="786">
        <f>'Profit and Loss'!AC145</f>
        <v>0.049704153715739</v>
      </c>
      <c r="I35" s="786">
        <f>'Profit and Loss'!AD145</f>
        <v>-0.0374268579805427</v>
      </c>
      <c r="J35" s="786">
        <f>'Profit and Loss'!AE145</f>
        <v>-0.023656533041692</v>
      </c>
      <c r="K35" s="786">
        <f>'Profit and Loss'!AF145</f>
        <v>-0.0509745569400427</v>
      </c>
      <c r="L35" s="786">
        <f>'Profit and Loss'!AG145</f>
        <v>-0.0118076193502505</v>
      </c>
      <c r="M35" s="786">
        <f>'Profit and Loss'!AH145</f>
        <v>0.00808578980725629</v>
      </c>
      <c r="N35" s="786">
        <f>'Profit and Loss'!AI145</f>
        <v>0</v>
      </c>
      <c r="O35" s="786">
        <f>'Profit and Loss'!AJ145</f>
        <v>1.52655665885959e-16</v>
      </c>
      <c r="P35" s="786">
        <f>'Profit and Loss'!AK145</f>
        <v>0</v>
      </c>
      <c r="Q35" s="786">
        <v>0</v>
      </c>
      <c r="R35" s="786">
        <v>0</v>
      </c>
      <c r="S35" s="786">
        <v>0</v>
      </c>
      <c r="T35" s="786">
        <v>0</v>
      </c>
    </row>
    <row r="36" spans="1:20">
      <c r="A36" s="787" t="s">
        <v>126</v>
      </c>
      <c r="B36" s="787">
        <f>'Profit and Loss'!W330</f>
        <v>9911</v>
      </c>
      <c r="C36" s="788">
        <f>'Profit and Loss'!X330</f>
        <v>10515</v>
      </c>
      <c r="D36" s="788">
        <f>'Profit and Loss'!Y330</f>
        <v>10552</v>
      </c>
      <c r="E36" s="788">
        <f>'Profit and Loss'!Z330</f>
        <v>11348</v>
      </c>
      <c r="F36" s="788">
        <f>'Profit and Loss'!AA330</f>
        <v>9989</v>
      </c>
      <c r="G36" s="788">
        <f t="shared" ref="G36:R36" si="64">F36*G32/F32</f>
        <v>10688.6931062286</v>
      </c>
      <c r="H36" s="788">
        <f t="shared" si="64"/>
        <v>11331.5046865551</v>
      </c>
      <c r="I36" s="788">
        <f t="shared" si="64"/>
        <v>10408.8158637372</v>
      </c>
      <c r="J36" s="788">
        <f t="shared" si="64"/>
        <v>11594.2671336424</v>
      </c>
      <c r="K36" s="788">
        <f t="shared" si="64"/>
        <v>12489.2702580125</v>
      </c>
      <c r="L36" s="788">
        <f t="shared" si="64"/>
        <v>13658.0754545601</v>
      </c>
      <c r="M36" s="788">
        <f t="shared" si="64"/>
        <v>14690.3592037578</v>
      </c>
      <c r="N36" s="788">
        <f t="shared" si="64"/>
        <v>15685.312007559</v>
      </c>
      <c r="O36" s="788">
        <f t="shared" si="64"/>
        <v>16619.8638435326</v>
      </c>
      <c r="P36" s="788">
        <f t="shared" si="64"/>
        <v>17611.3047087838</v>
      </c>
      <c r="Q36" s="788">
        <f t="shared" si="64"/>
        <v>18667.9829913108</v>
      </c>
      <c r="R36" s="788">
        <f t="shared" si="64"/>
        <v>19788.0619707895</v>
      </c>
      <c r="S36" s="788">
        <f t="shared" ref="S36:T36" si="65">R36*S32/R32</f>
        <v>20975.3456890368</v>
      </c>
      <c r="T36" s="788">
        <f t="shared" si="65"/>
        <v>22024.1129734887</v>
      </c>
    </row>
    <row r="37" spans="1:20">
      <c r="A37" s="783" t="s">
        <v>131</v>
      </c>
      <c r="B37" s="783">
        <f>'Profit and Loss'!W373</f>
        <v>1491</v>
      </c>
      <c r="C37" s="757">
        <f>'Profit and Loss'!X373</f>
        <v>2070</v>
      </c>
      <c r="D37" s="757">
        <f>'Profit and Loss'!Y373</f>
        <v>2368</v>
      </c>
      <c r="E37" s="757">
        <f>'Profit and Loss'!Z373</f>
        <v>2660</v>
      </c>
      <c r="F37" s="757">
        <f>'Profit and Loss'!AA373</f>
        <v>751</v>
      </c>
      <c r="G37" s="757">
        <f>'Profit and Loss'!AB373</f>
        <v>1986</v>
      </c>
      <c r="H37" s="757">
        <f>'Profit and Loss'!AC373</f>
        <v>669</v>
      </c>
      <c r="I37" s="757">
        <f>'Profit and Loss'!AD373</f>
        <v>200.000000000002</v>
      </c>
      <c r="J37" s="757">
        <f>'Profit and Loss'!AE373</f>
        <v>1136.99999999999</v>
      </c>
      <c r="K37" s="757">
        <f>'Profit and Loss'!AF373</f>
        <v>2056</v>
      </c>
      <c r="L37" s="757">
        <f>'Profit and Loss'!AG373</f>
        <v>2525</v>
      </c>
      <c r="M37" s="757">
        <f>'Profit and Loss'!AH373</f>
        <v>3020</v>
      </c>
      <c r="N37" s="757">
        <f>'Profit and Loss'!AI373</f>
        <v>3325</v>
      </c>
      <c r="O37" s="757">
        <f>'Profit and Loss'!AJ373</f>
        <v>3578</v>
      </c>
      <c r="P37" s="757">
        <f>'Profit and Loss'!AK373</f>
        <v>3850</v>
      </c>
      <c r="Q37" s="757">
        <f t="shared" ref="Q37:R37" si="66">Q38*Q32</f>
        <v>4081</v>
      </c>
      <c r="R37" s="757">
        <f t="shared" si="66"/>
        <v>4325.86</v>
      </c>
      <c r="S37" s="757">
        <f t="shared" ref="S37:T37" si="67">S38*S32</f>
        <v>4585.4116</v>
      </c>
      <c r="T37" s="757">
        <f t="shared" si="67"/>
        <v>4814.68218</v>
      </c>
    </row>
    <row r="38" spans="1:20">
      <c r="A38" s="784" t="s">
        <v>1143</v>
      </c>
      <c r="B38" s="789">
        <f t="shared" ref="B38:K38" si="68">B37/B32</f>
        <v>0.077293934681182</v>
      </c>
      <c r="C38" s="790">
        <f t="shared" si="68"/>
        <v>0.0975586765953436</v>
      </c>
      <c r="D38" s="790">
        <f t="shared" si="68"/>
        <v>0.108053844398814</v>
      </c>
      <c r="E38" s="790">
        <f t="shared" si="68"/>
        <v>0.112516391015608</v>
      </c>
      <c r="F38" s="790">
        <f t="shared" si="68"/>
        <v>0.0378451925015118</v>
      </c>
      <c r="G38" s="790">
        <f t="shared" si="68"/>
        <v>0.0935292455495902</v>
      </c>
      <c r="H38" s="790">
        <f t="shared" si="68"/>
        <v>0.0297188041401981</v>
      </c>
      <c r="I38" s="790">
        <f t="shared" si="68"/>
        <v>0.00967211529161435</v>
      </c>
      <c r="J38" s="790">
        <f t="shared" si="68"/>
        <v>0.0493639560630396</v>
      </c>
      <c r="K38" s="790">
        <f t="shared" si="68"/>
        <v>0.0828664705171094</v>
      </c>
      <c r="L38" s="790">
        <f t="shared" ref="L38:M38" si="69">L37/L32</f>
        <v>0.0930603474226423</v>
      </c>
      <c r="M38" s="790">
        <f t="shared" si="69"/>
        <v>0.103482597795716</v>
      </c>
      <c r="N38" s="790">
        <f t="shared" ref="N38:P38" si="70">N37/N32</f>
        <v>0.106706600063322</v>
      </c>
      <c r="O38" s="790">
        <f t="shared" si="70"/>
        <v>0.108369150618535</v>
      </c>
      <c r="P38" s="790">
        <f t="shared" si="70"/>
        <v>0.110042891392706</v>
      </c>
      <c r="Q38" s="790">
        <f>P38</f>
        <v>0.110042891392706</v>
      </c>
      <c r="R38" s="790">
        <f>Q38</f>
        <v>0.110042891392706</v>
      </c>
      <c r="S38" s="790">
        <f>R38</f>
        <v>0.110042891392706</v>
      </c>
      <c r="T38" s="790">
        <f>S38</f>
        <v>0.110042891392706</v>
      </c>
    </row>
    <row r="39" spans="1:20">
      <c r="A39" s="2135" t="s">
        <v>1140</v>
      </c>
      <c r="B39" s="791"/>
      <c r="C39" s="792">
        <f t="shared" ref="C39:N39" si="71">(C37/B37)-1</f>
        <v>0.388329979879276</v>
      </c>
      <c r="D39" s="792">
        <f t="shared" si="71"/>
        <v>0.143961352657005</v>
      </c>
      <c r="E39" s="792">
        <f t="shared" si="71"/>
        <v>0.123310810810811</v>
      </c>
      <c r="F39" s="792">
        <f t="shared" si="71"/>
        <v>-0.717669172932331</v>
      </c>
      <c r="G39" s="792">
        <f t="shared" si="71"/>
        <v>1.64447403462051</v>
      </c>
      <c r="H39" s="792">
        <f t="shared" si="71"/>
        <v>-0.663141993957704</v>
      </c>
      <c r="I39" s="792">
        <f t="shared" si="71"/>
        <v>-0.701046337817636</v>
      </c>
      <c r="J39" s="792">
        <f t="shared" si="71"/>
        <v>4.68499999999992</v>
      </c>
      <c r="K39" s="792">
        <f t="shared" si="71"/>
        <v>0.80826737027266</v>
      </c>
      <c r="L39" s="792">
        <f t="shared" si="71"/>
        <v>0.228112840466926</v>
      </c>
      <c r="M39" s="792">
        <f t="shared" si="71"/>
        <v>0.196039603960397</v>
      </c>
      <c r="N39" s="792">
        <f t="shared" si="71"/>
        <v>0.100993377483444</v>
      </c>
      <c r="O39" s="792">
        <f t="shared" ref="O39:R39" si="72">(O37/N37)-1</f>
        <v>0.0760902255639089</v>
      </c>
      <c r="P39" s="792">
        <f t="shared" si="72"/>
        <v>0.0760201229737287</v>
      </c>
      <c r="Q39" s="792">
        <f t="shared" si="72"/>
        <v>0.0600000000000001</v>
      </c>
      <c r="R39" s="792">
        <f t="shared" si="72"/>
        <v>0.0600000000000003</v>
      </c>
      <c r="S39" s="792">
        <f t="shared" ref="S39" si="73">(S37/R37)-1</f>
        <v>0.0599999999999998</v>
      </c>
      <c r="T39" s="792">
        <f t="shared" ref="T39" si="74">(T37/S37)-1</f>
        <v>0.05</v>
      </c>
    </row>
    <row r="40" spans="1:20">
      <c r="A40" s="793" t="s">
        <v>913</v>
      </c>
      <c r="B40" s="793">
        <f>'Profit and Loss'!W364</f>
        <v>388</v>
      </c>
      <c r="C40" s="794">
        <f>'Profit and Loss'!X364</f>
        <v>451</v>
      </c>
      <c r="D40" s="794">
        <f>'Profit and Loss'!Y364</f>
        <v>514</v>
      </c>
      <c r="E40" s="794">
        <f>'Profit and Loss'!Z364</f>
        <v>1214</v>
      </c>
      <c r="F40" s="794">
        <f>'Profit and Loss'!AA364</f>
        <v>1370</v>
      </c>
      <c r="G40" s="794">
        <f>'Profit and Loss'!AB364</f>
        <v>1149</v>
      </c>
      <c r="H40" s="794">
        <f>'Profit and Loss'!AC364</f>
        <v>1375</v>
      </c>
      <c r="I40" s="794">
        <f>'Profit and Loss'!AD364</f>
        <v>1090</v>
      </c>
      <c r="J40" s="794">
        <f>'Profit and Loss'!AE364</f>
        <v>1180</v>
      </c>
      <c r="K40" s="794">
        <f>'Profit and Loss'!AF364</f>
        <v>1154</v>
      </c>
      <c r="L40" s="794">
        <f>'Profit and Loss'!AG364</f>
        <v>1166.71603972094</v>
      </c>
      <c r="M40" s="794">
        <f>'Profit and Loss'!AH364</f>
        <v>1254.89698525307</v>
      </c>
      <c r="N40" s="794">
        <f>'Profit and Loss'!AI364</f>
        <v>1339.88900325899</v>
      </c>
      <c r="O40" s="794">
        <f>'Profit and Loss'!AJ364</f>
        <v>1419.7213793949</v>
      </c>
      <c r="P40" s="794">
        <f>'Profit and Loss'!AK364</f>
        <v>1504.41339649289</v>
      </c>
      <c r="Q40" s="794">
        <f t="shared" ref="Q40" si="75">Q41*Q32</f>
        <v>1594.67820028247</v>
      </c>
      <c r="R40" s="794">
        <f t="shared" ref="R40:T40" si="76">R41*R32</f>
        <v>1690.35889229942</v>
      </c>
      <c r="S40" s="794">
        <f t="shared" si="76"/>
        <v>1791.78042583738</v>
      </c>
      <c r="T40" s="794">
        <f t="shared" si="76"/>
        <v>1881.36944712925</v>
      </c>
    </row>
    <row r="41" spans="1:20">
      <c r="A41" s="2135" t="s">
        <v>1144</v>
      </c>
      <c r="B41" s="785">
        <f t="shared" ref="B41:M41" si="77">B40/B32</f>
        <v>0.0201140487299119</v>
      </c>
      <c r="C41" s="786">
        <f t="shared" si="77"/>
        <v>0.0212555377509662</v>
      </c>
      <c r="D41" s="786">
        <f t="shared" si="77"/>
        <v>0.0234542550764317</v>
      </c>
      <c r="E41" s="786">
        <f t="shared" si="77"/>
        <v>0.0513514656740408</v>
      </c>
      <c r="F41" s="786">
        <f t="shared" si="77"/>
        <v>0.0690385003023584</v>
      </c>
      <c r="G41" s="786">
        <f t="shared" si="77"/>
        <v>0.0541113308844307</v>
      </c>
      <c r="H41" s="786">
        <f t="shared" si="77"/>
        <v>0.0610812491670739</v>
      </c>
      <c r="I41" s="786">
        <f t="shared" si="77"/>
        <v>0.0527130283392978</v>
      </c>
      <c r="J41" s="786">
        <f t="shared" si="77"/>
        <v>0.0512308427039465</v>
      </c>
      <c r="K41" s="786">
        <f t="shared" si="77"/>
        <v>0.0465116279069767</v>
      </c>
      <c r="L41" s="786">
        <f t="shared" si="77"/>
        <v>0.043</v>
      </c>
      <c r="M41" s="786">
        <f t="shared" si="77"/>
        <v>0.043</v>
      </c>
      <c r="N41" s="786">
        <f t="shared" ref="N41:P41" si="78">N40/N32</f>
        <v>0.043</v>
      </c>
      <c r="O41" s="786">
        <f t="shared" si="78"/>
        <v>0.043</v>
      </c>
      <c r="P41" s="786">
        <f t="shared" si="78"/>
        <v>0.043</v>
      </c>
      <c r="Q41" s="786">
        <f>P41</f>
        <v>0.043</v>
      </c>
      <c r="R41" s="786">
        <f t="shared" ref="R41:T41" si="79">Q41</f>
        <v>0.043</v>
      </c>
      <c r="S41" s="786">
        <f t="shared" si="79"/>
        <v>0.043</v>
      </c>
      <c r="T41" s="786">
        <f t="shared" si="79"/>
        <v>0.043</v>
      </c>
    </row>
    <row r="42" spans="1:20">
      <c r="A42" s="783" t="s">
        <v>221</v>
      </c>
      <c r="B42" s="783">
        <f>'Balance Sheet &amp; Cash Flow'!X111</f>
        <v>-651</v>
      </c>
      <c r="C42" s="757">
        <f>'Balance Sheet &amp; Cash Flow'!Y111</f>
        <v>-606</v>
      </c>
      <c r="D42" s="757">
        <f>'Balance Sheet &amp; Cash Flow'!Z111</f>
        <v>-611</v>
      </c>
      <c r="E42" s="757">
        <f>'Balance Sheet &amp; Cash Flow'!AA111</f>
        <v>-598</v>
      </c>
      <c r="F42" s="757">
        <f>'Balance Sheet &amp; Cash Flow'!AB111</f>
        <v>-368</v>
      </c>
      <c r="G42" s="757">
        <f>'Balance Sheet &amp; Cash Flow'!AC111</f>
        <v>-494</v>
      </c>
      <c r="H42" s="757">
        <f>'Balance Sheet &amp; Cash Flow'!AD111</f>
        <v>-504</v>
      </c>
      <c r="I42" s="757">
        <f>'Balance Sheet &amp; Cash Flow'!AE111</f>
        <v>-363</v>
      </c>
      <c r="J42" s="757">
        <f>'Balance Sheet &amp; Cash Flow'!AF111</f>
        <v>-419</v>
      </c>
      <c r="K42" s="757">
        <f>'Balance Sheet &amp; Cash Flow'!AG111</f>
        <v>-363</v>
      </c>
      <c r="L42" s="757">
        <f>'Balance Sheet &amp; Cash Flow'!AH111</f>
        <v>-542.658623126019</v>
      </c>
      <c r="M42" s="757">
        <f>'Balance Sheet &amp; Cash Flow'!AI111</f>
        <v>-583.673016396777</v>
      </c>
      <c r="N42" s="757">
        <f>'Balance Sheet &amp; Cash Flow'!AJ111</f>
        <v>-623.204187562321</v>
      </c>
      <c r="O42" s="757">
        <f>'Balance Sheet &amp; Cash Flow'!AK111</f>
        <v>-660.335525299952</v>
      </c>
      <c r="P42" s="757">
        <f>'Balance Sheet &amp; Cash Flow'!AL111</f>
        <v>-699.727161159486</v>
      </c>
      <c r="Q42" s="757">
        <f t="shared" ref="Q42" si="80">Q43*-Q32</f>
        <v>-741.710790829055</v>
      </c>
      <c r="R42" s="757">
        <f t="shared" ref="R42:T42" si="81">R43*-R32</f>
        <v>-786.213438278798</v>
      </c>
      <c r="S42" s="757">
        <f t="shared" si="81"/>
        <v>-833.386244575526</v>
      </c>
      <c r="T42" s="757">
        <f t="shared" si="81"/>
        <v>-875.055556804302</v>
      </c>
    </row>
    <row r="43" spans="1:20">
      <c r="A43" s="2135" t="s">
        <v>1145</v>
      </c>
      <c r="B43" s="789">
        <f t="shared" ref="B43:M43" si="82">-B42/B32</f>
        <v>0.0337480559875583</v>
      </c>
      <c r="C43" s="790">
        <f t="shared" si="82"/>
        <v>0.0285606560467528</v>
      </c>
      <c r="D43" s="790">
        <f t="shared" si="82"/>
        <v>0.0278804471822952</v>
      </c>
      <c r="E43" s="790">
        <f t="shared" si="82"/>
        <v>0.0252950382809526</v>
      </c>
      <c r="F43" s="790">
        <f t="shared" si="82"/>
        <v>0.0185446482563999</v>
      </c>
      <c r="G43" s="790">
        <f t="shared" si="82"/>
        <v>0.0232645756805124</v>
      </c>
      <c r="H43" s="790">
        <f t="shared" si="82"/>
        <v>0.0223890542401493</v>
      </c>
      <c r="I43" s="790">
        <f t="shared" si="82"/>
        <v>0.0175548892542799</v>
      </c>
      <c r="J43" s="790">
        <f t="shared" si="82"/>
        <v>0.0181912907567403</v>
      </c>
      <c r="K43" s="790">
        <f t="shared" si="82"/>
        <v>0.0146306073918826</v>
      </c>
      <c r="L43" s="790">
        <f t="shared" si="82"/>
        <v>0.02</v>
      </c>
      <c r="M43" s="790">
        <f t="shared" si="82"/>
        <v>0.02</v>
      </c>
      <c r="N43" s="790">
        <f t="shared" ref="N43:P43" si="83">-N42/N32</f>
        <v>0.02</v>
      </c>
      <c r="O43" s="790">
        <f t="shared" si="83"/>
        <v>0.02</v>
      </c>
      <c r="P43" s="790">
        <f t="shared" si="83"/>
        <v>0.02</v>
      </c>
      <c r="Q43" s="790">
        <f>P43</f>
        <v>0.02</v>
      </c>
      <c r="R43" s="790">
        <f t="shared" ref="R43:T43" si="84">Q43</f>
        <v>0.02</v>
      </c>
      <c r="S43" s="790">
        <f t="shared" si="84"/>
        <v>0.02</v>
      </c>
      <c r="T43" s="790">
        <f t="shared" si="84"/>
        <v>0.02</v>
      </c>
    </row>
    <row r="44" spans="1:20">
      <c r="A44" s="2135" t="s">
        <v>1140</v>
      </c>
      <c r="B44" s="789"/>
      <c r="C44" s="790">
        <f t="shared" ref="C44:R44" si="85">(C42/B42)-1</f>
        <v>-0.0691244239631337</v>
      </c>
      <c r="D44" s="790">
        <f t="shared" si="85"/>
        <v>0.00825082508250818</v>
      </c>
      <c r="E44" s="790">
        <f t="shared" si="85"/>
        <v>-0.0212765957446809</v>
      </c>
      <c r="F44" s="790"/>
      <c r="G44" s="790">
        <f t="shared" si="85"/>
        <v>0.342391304347826</v>
      </c>
      <c r="H44" s="790">
        <f t="shared" si="85"/>
        <v>0.0202429149797572</v>
      </c>
      <c r="I44" s="790">
        <f t="shared" si="85"/>
        <v>-0.279761904761905</v>
      </c>
      <c r="J44" s="790">
        <f t="shared" si="85"/>
        <v>0.154269972451791</v>
      </c>
      <c r="K44" s="790">
        <f t="shared" si="85"/>
        <v>-0.133651551312649</v>
      </c>
      <c r="L44" s="790">
        <f t="shared" si="85"/>
        <v>0.494927336435313</v>
      </c>
      <c r="M44" s="790">
        <f t="shared" si="85"/>
        <v>0.0755804690515973</v>
      </c>
      <c r="N44" s="790">
        <f t="shared" si="85"/>
        <v>0.0677282828827417</v>
      </c>
      <c r="O44" s="790">
        <f t="shared" si="85"/>
        <v>0.0595813354253465</v>
      </c>
      <c r="P44" s="790">
        <f t="shared" si="85"/>
        <v>0.0596539703685333</v>
      </c>
      <c r="Q44" s="790">
        <f t="shared" si="85"/>
        <v>0.0600000000000001</v>
      </c>
      <c r="R44" s="790">
        <f t="shared" si="85"/>
        <v>0.0600000000000001</v>
      </c>
      <c r="S44" s="790">
        <f t="shared" ref="S44" si="86">(S42/R42)-1</f>
        <v>0.0600000000000003</v>
      </c>
      <c r="T44" s="790">
        <f t="shared" ref="T44" si="87">(T42/S42)-1</f>
        <v>0.05</v>
      </c>
    </row>
    <row r="45" spans="1:20">
      <c r="A45" s="783" t="s">
        <v>1045</v>
      </c>
      <c r="B45" s="789"/>
      <c r="C45" s="790"/>
      <c r="D45" s="790"/>
      <c r="E45" s="757">
        <f>-'Profit and Loss'!Z480</f>
        <v>-924.475666313105</v>
      </c>
      <c r="F45" s="757">
        <f>'Balance Sheet &amp; Cash Flow'!AB123</f>
        <v>-582</v>
      </c>
      <c r="G45" s="757">
        <f>'Balance Sheet &amp; Cash Flow'!AC123</f>
        <v>-572</v>
      </c>
      <c r="H45" s="757">
        <f>'Balance Sheet &amp; Cash Flow'!AD123</f>
        <v>-631</v>
      </c>
      <c r="I45" s="757">
        <f>'Balance Sheet &amp; Cash Flow'!AE123-83</f>
        <v>-686</v>
      </c>
      <c r="J45" s="757">
        <f>'Balance Sheet &amp; Cash Flow'!AF123-86</f>
        <v>-742</v>
      </c>
      <c r="K45" s="757">
        <f>'Balance Sheet &amp; Cash Flow'!AG123</f>
        <v>-643</v>
      </c>
      <c r="L45" s="757">
        <f>'Balance Sheet &amp; Cash Flow'!AH123</f>
        <v>-688.01</v>
      </c>
      <c r="M45" s="757">
        <f>'Balance Sheet &amp; Cash Flow'!AI123</f>
        <v>-722.4105</v>
      </c>
      <c r="N45" s="757">
        <f>'Balance Sheet &amp; Cash Flow'!AJ123</f>
        <v>-758.531025</v>
      </c>
      <c r="O45" s="757">
        <f>'Balance Sheet &amp; Cash Flow'!AK123</f>
        <v>-796.45757625</v>
      </c>
      <c r="P45" s="757">
        <f>'Balance Sheet &amp; Cash Flow'!AL123</f>
        <v>-836.2804550625</v>
      </c>
      <c r="Q45" s="757">
        <f>P45*(1+0.05)</f>
        <v>-878.094477815625</v>
      </c>
      <c r="R45" s="757">
        <f t="shared" ref="R45:T45" si="88">Q45*(1+0.05)</f>
        <v>-921.999201706406</v>
      </c>
      <c r="S45" s="757">
        <f t="shared" si="88"/>
        <v>-968.099161791727</v>
      </c>
      <c r="T45" s="757">
        <f t="shared" si="88"/>
        <v>-1016.50411988131</v>
      </c>
    </row>
    <row r="46" spans="1:20">
      <c r="A46" s="2135" t="s">
        <v>1146</v>
      </c>
      <c r="B46" s="789"/>
      <c r="C46" s="790"/>
      <c r="D46" s="790"/>
      <c r="E46" s="790">
        <f t="shared" ref="E46:O46" si="89">-E45/E32</f>
        <v>0.0391047614869551</v>
      </c>
      <c r="F46" s="790">
        <f t="shared" si="89"/>
        <v>0.0293287643620238</v>
      </c>
      <c r="G46" s="790">
        <f t="shared" si="89"/>
        <v>0.0269379297353301</v>
      </c>
      <c r="H46" s="790">
        <f t="shared" si="89"/>
        <v>0.0280307405268535</v>
      </c>
      <c r="I46" s="790">
        <f t="shared" si="89"/>
        <v>0.033175355450237</v>
      </c>
      <c r="J46" s="790">
        <f t="shared" si="89"/>
        <v>0.0322146485477359</v>
      </c>
      <c r="K46" s="790">
        <f t="shared" si="89"/>
        <v>0.0259159243883761</v>
      </c>
      <c r="L46" s="790">
        <f t="shared" si="89"/>
        <v>0.0253570097545553</v>
      </c>
      <c r="M46" s="790">
        <f t="shared" si="89"/>
        <v>0.024753945435398</v>
      </c>
      <c r="N46" s="790">
        <f t="shared" ref="N46" si="90">-N45/N32</f>
        <v>0.0243429373594877</v>
      </c>
      <c r="O46" s="790">
        <f t="shared" si="89"/>
        <v>0.0241228147126634</v>
      </c>
      <c r="P46" s="790">
        <f t="shared" ref="P46:Q46" si="91">-P45/P32</f>
        <v>0.0239030439715028</v>
      </c>
      <c r="Q46" s="790">
        <f t="shared" si="91"/>
        <v>0.0236775435566773</v>
      </c>
      <c r="R46" s="790">
        <f t="shared" ref="R46:T46" si="92">-R45/R32</f>
        <v>0.0234541705042558</v>
      </c>
      <c r="S46" s="790">
        <f t="shared" si="92"/>
        <v>0.0232329047447817</v>
      </c>
      <c r="T46" s="790">
        <f t="shared" si="92"/>
        <v>0.0232329047447817</v>
      </c>
    </row>
    <row r="47" spans="1:20">
      <c r="A47" s="2135" t="s">
        <v>1140</v>
      </c>
      <c r="B47" s="789"/>
      <c r="C47" s="790"/>
      <c r="D47" s="790"/>
      <c r="E47" s="790"/>
      <c r="F47" s="790">
        <f t="shared" ref="F47" si="93">(F45/E45)-1</f>
        <v>-0.370453954379275</v>
      </c>
      <c r="G47" s="790">
        <f t="shared" ref="G47" si="94">(G45/F45)-1</f>
        <v>-0.0171821305841925</v>
      </c>
      <c r="H47" s="790">
        <f t="shared" ref="H47" si="95">(H45/G45)-1</f>
        <v>0.103146853146853</v>
      </c>
      <c r="I47" s="790">
        <f t="shared" ref="I47" si="96">(I45/H45)-1</f>
        <v>0.0871632329635499</v>
      </c>
      <c r="J47" s="790">
        <f t="shared" ref="J47" si="97">(J45/I45)-1</f>
        <v>0.0816326530612246</v>
      </c>
      <c r="K47" s="790">
        <f t="shared" ref="K47" si="98">(K45/J45)-1</f>
        <v>-0.133423180592992</v>
      </c>
      <c r="L47" s="790">
        <f t="shared" ref="L47" si="99">(L45/K45)-1</f>
        <v>0.0700000000000001</v>
      </c>
      <c r="M47" s="790">
        <f t="shared" ref="M47:N47" si="100">(M45/L45)-1</f>
        <v>0.05</v>
      </c>
      <c r="N47" s="790">
        <f t="shared" si="100"/>
        <v>0.05</v>
      </c>
      <c r="O47" s="790">
        <f t="shared" ref="O47:R47" si="101">(O45/N45)-1</f>
        <v>0.05</v>
      </c>
      <c r="P47" s="790">
        <f t="shared" si="101"/>
        <v>0.05</v>
      </c>
      <c r="Q47" s="790">
        <f t="shared" si="101"/>
        <v>0.05</v>
      </c>
      <c r="R47" s="790">
        <f t="shared" si="101"/>
        <v>0.05</v>
      </c>
      <c r="S47" s="790">
        <f t="shared" ref="S47" si="102">(S45/R45)-1</f>
        <v>0.05</v>
      </c>
      <c r="T47" s="790">
        <f t="shared" ref="T47" si="103">(T45/S45)-1</f>
        <v>0.05</v>
      </c>
    </row>
    <row r="48" spans="1:20">
      <c r="A48" s="783" t="s">
        <v>604</v>
      </c>
      <c r="B48" s="783">
        <f>'Balance Sheet &amp; Cash Flow'!X9+'Balance Sheet &amp; Cash Flow'!X12-'Balance Sheet &amp; Cash Flow'!X40</f>
        <v>3473</v>
      </c>
      <c r="C48" s="757">
        <f>'Balance Sheet &amp; Cash Flow'!Y9+'Balance Sheet &amp; Cash Flow'!Y12-'Balance Sheet &amp; Cash Flow'!Y40</f>
        <v>4037</v>
      </c>
      <c r="D48" s="757">
        <f>'Balance Sheet &amp; Cash Flow'!Z9+'Balance Sheet &amp; Cash Flow'!Z12-'Balance Sheet &amp; Cash Flow'!Z40</f>
        <v>3569</v>
      </c>
      <c r="E48" s="757">
        <f>'Balance Sheet &amp; Cash Flow'!AA9+'Balance Sheet &amp; Cash Flow'!AA12-'Balance Sheet &amp; Cash Flow'!AA40</f>
        <v>4007</v>
      </c>
      <c r="F48" s="757">
        <f>'Balance Sheet &amp; Cash Flow'!AB9+'Balance Sheet &amp; Cash Flow'!AB12-'Balance Sheet &amp; Cash Flow'!AB40</f>
        <v>3959</v>
      </c>
      <c r="G48" s="757">
        <f>'Balance Sheet &amp; Cash Flow'!AC9+'Balance Sheet &amp; Cash Flow'!AC12-'Balance Sheet &amp; Cash Flow'!AC40</f>
        <v>3890</v>
      </c>
      <c r="H48" s="757">
        <f>'Balance Sheet &amp; Cash Flow'!AD9+'Balance Sheet &amp; Cash Flow'!AD12-'Balance Sheet &amp; Cash Flow'!AD40</f>
        <v>5594</v>
      </c>
      <c r="I48" s="757">
        <f>'Balance Sheet &amp; Cash Flow'!AE9+'Balance Sheet &amp; Cash Flow'!AE12-'Balance Sheet &amp; Cash Flow'!AE40</f>
        <v>4155</v>
      </c>
      <c r="J48" s="757">
        <f>'Balance Sheet &amp; Cash Flow'!AF9+'Balance Sheet &amp; Cash Flow'!AF12-'Balance Sheet &amp; Cash Flow'!AF40</f>
        <v>4306</v>
      </c>
      <c r="K48" s="757">
        <f>'Balance Sheet &amp; Cash Flow'!AG9+'Balance Sheet &amp; Cash Flow'!AG12-'Balance Sheet &amp; Cash Flow'!AG40</f>
        <v>5556</v>
      </c>
      <c r="L48" s="757">
        <f>'Balance Sheet &amp; Cash Flow'!AH9+'Balance Sheet &amp; Cash Flow'!AH12-'Balance Sheet &amp; Cash Flow'!AH40</f>
        <v>5721.68132654367</v>
      </c>
      <c r="M48" s="757">
        <f>'Balance Sheet &amp; Cash Flow'!AI9+'Balance Sheet &amp; Cash Flow'!AI12-'Balance Sheet &amp; Cash Flow'!AI40</f>
        <v>6095.76138332793</v>
      </c>
      <c r="N48" s="757">
        <f>'Balance Sheet &amp; Cash Flow'!AJ9+'Balance Sheet &amp; Cash Flow'!AJ12-'Balance Sheet &amp; Cash Flow'!AJ40</f>
        <v>6352.81578779308</v>
      </c>
      <c r="O48" s="757">
        <f>'Balance Sheet &amp; Cash Flow'!AK9+'Balance Sheet &amp; Cash Flow'!AK12-'Balance Sheet &amp; Cash Flow'!AK40</f>
        <v>6566.24115481603</v>
      </c>
      <c r="P48" s="757">
        <f>'Balance Sheet &amp; Cash Flow'!AL9+'Balance Sheet &amp; Cash Flow'!AL12-'Balance Sheet &amp; Cash Flow'!AL40</f>
        <v>6957.94351009806</v>
      </c>
      <c r="Q48" s="757">
        <f t="shared" ref="Q48" si="104">Q49*Q32</f>
        <v>7412.5056602454</v>
      </c>
      <c r="R48" s="757">
        <f t="shared" ref="R48:T48" si="105">R49*R32</f>
        <v>7857.25599986013</v>
      </c>
      <c r="S48" s="757">
        <f t="shared" si="105"/>
        <v>8328.69135985173</v>
      </c>
      <c r="T48" s="757">
        <f t="shared" si="105"/>
        <v>8745.12592784432</v>
      </c>
    </row>
    <row r="49" spans="1:20">
      <c r="A49" s="2135" t="s">
        <v>1147</v>
      </c>
      <c r="B49" s="789">
        <f t="shared" ref="B49:M49" si="106">B48/B32</f>
        <v>0.180041472265422</v>
      </c>
      <c r="C49" s="790">
        <f t="shared" si="106"/>
        <v>0.190262984258648</v>
      </c>
      <c r="D49" s="790">
        <f t="shared" si="106"/>
        <v>0.162856490987908</v>
      </c>
      <c r="E49" s="790">
        <f t="shared" si="106"/>
        <v>0.16949367624043</v>
      </c>
      <c r="F49" s="790">
        <f t="shared" si="106"/>
        <v>0.199506147954042</v>
      </c>
      <c r="G49" s="790">
        <f t="shared" si="106"/>
        <v>0.183196759913347</v>
      </c>
      <c r="H49" s="790">
        <f t="shared" si="106"/>
        <v>0.24850073297499</v>
      </c>
      <c r="I49" s="790">
        <f t="shared" si="106"/>
        <v>0.200938195183287</v>
      </c>
      <c r="J49" s="790">
        <f t="shared" si="106"/>
        <v>0.186949159901012</v>
      </c>
      <c r="K49" s="790">
        <f t="shared" si="106"/>
        <v>0.223932932973278</v>
      </c>
      <c r="L49" s="790">
        <f t="shared" si="106"/>
        <v>0.210875901817742</v>
      </c>
      <c r="M49" s="790">
        <f t="shared" si="106"/>
        <v>0.208875901817742</v>
      </c>
      <c r="N49" s="790">
        <f t="shared" ref="N49:P49" si="107">N48/N32</f>
        <v>0.203875901817742</v>
      </c>
      <c r="O49" s="790">
        <f t="shared" si="107"/>
        <v>0.198875901817742</v>
      </c>
      <c r="P49" s="790">
        <f t="shared" si="107"/>
        <v>0.198875901817742</v>
      </c>
      <c r="Q49" s="790">
        <f>P49+0.001</f>
        <v>0.199875901817742</v>
      </c>
      <c r="R49" s="790">
        <f>Q49</f>
        <v>0.199875901817742</v>
      </c>
      <c r="S49" s="790">
        <f t="shared" ref="S49:T49" si="108">R49</f>
        <v>0.199875901817742</v>
      </c>
      <c r="T49" s="790">
        <f t="shared" si="108"/>
        <v>0.199875901817742</v>
      </c>
    </row>
    <row r="50" spans="1:20">
      <c r="A50" s="755" t="s">
        <v>1148</v>
      </c>
      <c r="B50" s="795">
        <f t="shared" ref="B50:D50" si="109">-B42/B40</f>
        <v>1.67783505154639</v>
      </c>
      <c r="C50" s="795">
        <f t="shared" si="109"/>
        <v>1.34368070953437</v>
      </c>
      <c r="D50" s="795">
        <f t="shared" si="109"/>
        <v>1.18871595330739</v>
      </c>
      <c r="E50" s="795">
        <f>-E42/(E40+E45)</f>
        <v>2.06545678694733</v>
      </c>
      <c r="F50" s="795">
        <f t="shared" ref="F50:O50" si="110">-F42/(F40+F45)</f>
        <v>0.467005076142132</v>
      </c>
      <c r="G50" s="795">
        <f t="shared" si="110"/>
        <v>0.856152512998265</v>
      </c>
      <c r="H50" s="795">
        <f t="shared" si="110"/>
        <v>0.67741935483871</v>
      </c>
      <c r="I50" s="795">
        <f t="shared" si="110"/>
        <v>0.898514851485148</v>
      </c>
      <c r="J50" s="795">
        <f t="shared" si="110"/>
        <v>0.956621004566209</v>
      </c>
      <c r="K50" s="795">
        <f t="shared" si="110"/>
        <v>0.710371819960861</v>
      </c>
      <c r="L50" s="795">
        <f t="shared" si="110"/>
        <v>1.13359468671496</v>
      </c>
      <c r="M50" s="795">
        <f t="shared" si="110"/>
        <v>1.09612738080926</v>
      </c>
      <c r="N50" s="795">
        <f t="shared" ref="N50" si="111">-N42/(N40+N45)</f>
        <v>1.07198010669545</v>
      </c>
      <c r="O50" s="795">
        <f t="shared" si="110"/>
        <v>1.05947998579092</v>
      </c>
      <c r="P50" s="795">
        <f t="shared" ref="P50:Q50" si="112">-P42/(P40+P45)</f>
        <v>1.04728732527609</v>
      </c>
      <c r="Q50" s="795">
        <f t="shared" si="112"/>
        <v>1.0350650839175</v>
      </c>
      <c r="R50" s="795">
        <f t="shared" ref="R50:T50" si="113">-R42/(R40+R45)</f>
        <v>1.02323618469887</v>
      </c>
      <c r="S50" s="795">
        <f t="shared" si="113"/>
        <v>1.01178244662529</v>
      </c>
      <c r="T50" s="795">
        <f t="shared" si="113"/>
        <v>1.01178244662529</v>
      </c>
    </row>
    <row r="51" spans="1:20">
      <c r="A51" s="755" t="s">
        <v>1031</v>
      </c>
      <c r="E51" s="765" t="e">
        <f t="shared" ref="E51:R51" si="114">E10/D10-1</f>
        <v>#REF!</v>
      </c>
      <c r="F51" s="765"/>
      <c r="G51" s="765">
        <f t="shared" si="114"/>
        <v>0.703718004843306</v>
      </c>
      <c r="H51" s="765">
        <f t="shared" si="114"/>
        <v>-1.58565880138845</v>
      </c>
      <c r="I51" s="765">
        <f t="shared" si="114"/>
        <v>-3.35207038661334</v>
      </c>
      <c r="J51" s="765">
        <f t="shared" si="114"/>
        <v>-0.706058011049649</v>
      </c>
      <c r="K51" s="765">
        <f t="shared" si="114"/>
        <v>-0.394231582508665</v>
      </c>
      <c r="L51" s="765">
        <f t="shared" si="114"/>
        <v>2.87255908510483</v>
      </c>
      <c r="M51" s="765">
        <f t="shared" si="114"/>
        <v>0.10553189352035</v>
      </c>
      <c r="N51" s="765">
        <f t="shared" si="114"/>
        <v>0.193025778533603</v>
      </c>
      <c r="O51" s="765">
        <f t="shared" si="114"/>
        <v>0.10850563418357</v>
      </c>
      <c r="P51" s="765">
        <f t="shared" si="114"/>
        <v>0.0128238704639831</v>
      </c>
      <c r="Q51" s="765">
        <f t="shared" si="114"/>
        <v>0.0474219601014105</v>
      </c>
      <c r="R51" s="765">
        <f t="shared" si="114"/>
        <v>0.0777704007005691</v>
      </c>
      <c r="S51" s="765">
        <f t="shared" ref="S51" si="115">S10/R10-1</f>
        <v>0.063314408705188</v>
      </c>
      <c r="T51" s="765">
        <f t="shared" ref="T51" si="116">T10/S10-1</f>
        <v>0.076563464724041</v>
      </c>
    </row>
    <row r="52" hidden="1" spans="1:20">
      <c r="A52" s="755" t="s">
        <v>1149</v>
      </c>
      <c r="B52" s="757">
        <f>'Profit and Loss'!W380</f>
        <v>46</v>
      </c>
      <c r="C52" s="757">
        <f>'Profit and Loss'!X380</f>
        <v>47</v>
      </c>
      <c r="D52" s="757">
        <f>'Profit and Loss'!Y380</f>
        <v>-10</v>
      </c>
      <c r="E52" s="757">
        <f>'Profit and Loss'!Z380</f>
        <v>102</v>
      </c>
      <c r="F52" s="757">
        <f>'Profit and Loss'!AA380</f>
        <v>176</v>
      </c>
      <c r="G52" s="757">
        <f>'Profit and Loss'!AB380</f>
        <v>134</v>
      </c>
      <c r="H52" s="757">
        <f>'Profit and Loss'!AC380</f>
        <v>281</v>
      </c>
      <c r="I52" s="757">
        <f t="shared" ref="I52:O52" si="117">I53*I32</f>
        <v>258.119052907468</v>
      </c>
      <c r="J52" s="757">
        <f t="shared" si="117"/>
        <v>287.516014392963</v>
      </c>
      <c r="K52" s="757">
        <f t="shared" si="117"/>
        <v>309.710408244858</v>
      </c>
      <c r="L52" s="757">
        <f t="shared" si="117"/>
        <v>338.694578424795</v>
      </c>
      <c r="M52" s="757">
        <f t="shared" si="117"/>
        <v>364.293273527374</v>
      </c>
      <c r="N52" s="757">
        <f t="shared" ref="N52" si="118">N53*N32</f>
        <v>388.966231409116</v>
      </c>
      <c r="O52" s="757">
        <f t="shared" si="117"/>
        <v>412.141358911836</v>
      </c>
      <c r="P52" s="757">
        <f t="shared" ref="P52:Q52" si="119">P53*P32</f>
        <v>436.727227324009</v>
      </c>
      <c r="Q52" s="757">
        <f t="shared" si="119"/>
        <v>462.93086096345</v>
      </c>
      <c r="R52" s="757">
        <f t="shared" ref="R52:T52" si="120">R53*R32</f>
        <v>490.706712621257</v>
      </c>
      <c r="S52" s="757">
        <f t="shared" si="120"/>
        <v>520.149115378532</v>
      </c>
      <c r="T52" s="757">
        <f t="shared" si="120"/>
        <v>546.156571147459</v>
      </c>
    </row>
    <row r="53" hidden="1" spans="1:20">
      <c r="A53" s="755" t="s">
        <v>130</v>
      </c>
      <c r="B53" s="765">
        <f t="shared" ref="B53:H53" si="121">B52/B32</f>
        <v>0.00238465526179368</v>
      </c>
      <c r="C53" s="765">
        <f t="shared" si="121"/>
        <v>0.00221510038646432</v>
      </c>
      <c r="D53" s="765">
        <f t="shared" si="121"/>
        <v>-0.000456308464522017</v>
      </c>
      <c r="E53" s="765">
        <f t="shared" si="121"/>
        <v>0.00431453830210228</v>
      </c>
      <c r="F53" s="765">
        <f t="shared" si="121"/>
        <v>0.00886917960088692</v>
      </c>
      <c r="G53" s="765">
        <f t="shared" si="121"/>
        <v>0.00631063388904587</v>
      </c>
      <c r="H53" s="765">
        <f t="shared" si="121"/>
        <v>0.0124827861934166</v>
      </c>
      <c r="I53" s="765">
        <f t="shared" ref="I53:R53" si="122">H53</f>
        <v>0.0124827861934166</v>
      </c>
      <c r="J53" s="765">
        <f t="shared" si="122"/>
        <v>0.0124827861934166</v>
      </c>
      <c r="K53" s="765">
        <f t="shared" si="122"/>
        <v>0.0124827861934166</v>
      </c>
      <c r="L53" s="765">
        <f t="shared" si="122"/>
        <v>0.0124827861934166</v>
      </c>
      <c r="M53" s="765">
        <f t="shared" si="122"/>
        <v>0.0124827861934166</v>
      </c>
      <c r="N53" s="765">
        <f t="shared" si="122"/>
        <v>0.0124827861934166</v>
      </c>
      <c r="O53" s="765">
        <f t="shared" si="122"/>
        <v>0.0124827861934166</v>
      </c>
      <c r="P53" s="765">
        <f t="shared" si="122"/>
        <v>0.0124827861934166</v>
      </c>
      <c r="Q53" s="765">
        <f t="shared" si="122"/>
        <v>0.0124827861934166</v>
      </c>
      <c r="R53" s="765">
        <f t="shared" si="122"/>
        <v>0.0124827861934166</v>
      </c>
      <c r="S53" s="765">
        <f t="shared" ref="S53" si="123">R53</f>
        <v>0.0124827861934166</v>
      </c>
      <c r="T53" s="765">
        <f t="shared" ref="T53" si="124">S53</f>
        <v>0.0124827861934166</v>
      </c>
    </row>
    <row r="54" spans="1:20">
      <c r="H54" s="765"/>
      <c r="I54" s="765"/>
      <c r="J54" s="765"/>
      <c r="K54" s="765"/>
      <c r="L54" s="765"/>
      <c r="M54" s="765"/>
      <c r="N54" s="765"/>
      <c r="O54" s="765"/>
      <c r="P54" s="765"/>
      <c r="Q54" s="765"/>
      <c r="R54" s="765"/>
      <c r="S54" s="765"/>
      <c r="T54" s="765"/>
    </row>
    <row r="55" spans="1:20">
      <c r="F55" s="786"/>
      <c r="K55" s="786"/>
      <c r="L55" s="786"/>
      <c r="M55" s="786"/>
      <c r="N55" s="786"/>
      <c r="O55" s="786"/>
      <c r="P55" s="786"/>
      <c r="Q55" s="786"/>
      <c r="R55" s="786"/>
      <c r="S55" s="786"/>
      <c r="T55" s="786"/>
    </row>
    <row r="56" spans="1:20">
      <c r="A56" s="758" t="s">
        <v>1124</v>
      </c>
      <c r="H56" s="796"/>
    </row>
    <row r="57" spans="1:20">
      <c r="A57" s="755" t="s">
        <v>1125</v>
      </c>
      <c r="H57" s="757">
        <f>L18</f>
        <v>32682.2331969376</v>
      </c>
    </row>
    <row r="58" spans="1:20">
      <c r="A58" s="755" t="s">
        <v>1126</v>
      </c>
      <c r="H58" s="757">
        <f>L19</f>
        <v>-1029.36590994875</v>
      </c>
    </row>
    <row r="59" ht="17.55" spans="1:20">
      <c r="A59" s="797" t="s">
        <v>1127</v>
      </c>
      <c r="H59" s="798">
        <f>L20</f>
        <v>31652.8672869888</v>
      </c>
    </row>
    <row r="60" ht="17.55" spans="1:20">
      <c r="A60" s="799" t="s">
        <v>1150</v>
      </c>
      <c r="H60" s="800">
        <f>'Stat Ab'!G12</f>
        <v>84.0406220095694</v>
      </c>
    </row>
    <row r="62" spans="1:20">
      <c r="A62" s="758" t="s">
        <v>1131</v>
      </c>
      <c r="H62" s="796"/>
    </row>
    <row r="63" spans="1:20">
      <c r="A63" s="755" t="s">
        <v>1151</v>
      </c>
      <c r="H63" s="786">
        <f>Q28</f>
        <v>0.03</v>
      </c>
    </row>
    <row r="64" spans="1:20">
      <c r="A64" s="755" t="s">
        <v>1152</v>
      </c>
      <c r="H64" s="786">
        <f>G38</f>
        <v>0.0935292455495902</v>
      </c>
    </row>
    <row r="65" spans="1:26">
      <c r="A65" s="755" t="s">
        <v>1153</v>
      </c>
      <c r="H65" s="786">
        <f>K43</f>
        <v>0.0146306073918826</v>
      </c>
    </row>
    <row r="66" spans="1:26">
      <c r="A66" s="755" t="s">
        <v>1154</v>
      </c>
      <c r="H66" s="786">
        <f>K49</f>
        <v>0.223932932973278</v>
      </c>
    </row>
    <row r="67" spans="1:26">
      <c r="A67" s="755" t="s">
        <v>1155</v>
      </c>
      <c r="H67" s="786">
        <f>-K5/K4</f>
        <v>0.255</v>
      </c>
    </row>
    <row r="68" spans="1:26">
      <c r="A68" s="755" t="s">
        <v>1136</v>
      </c>
      <c r="H68" s="786">
        <f>Q28</f>
        <v>0.03</v>
      </c>
    </row>
    <row r="70" spans="1:26">
      <c r="A70" s="755" t="s">
        <v>1156</v>
      </c>
      <c r="E70" s="765" t="e">
        <f>E10/DCF!E10-1</f>
        <v>#REF!</v>
      </c>
      <c r="F70" s="765">
        <f>F10/DCF!F10-1</f>
        <v>0</v>
      </c>
      <c r="G70" s="765">
        <f>G10/DCF!G10-1</f>
        <v>0</v>
      </c>
      <c r="H70" s="765">
        <f>H10/DCF!H10-1</f>
        <v>0</v>
      </c>
      <c r="I70" s="765">
        <f>I10/DCF!I10-1</f>
        <v>0</v>
      </c>
      <c r="J70" s="765">
        <f>J10/DCF!J10-1</f>
        <v>0</v>
      </c>
      <c r="K70" s="765">
        <f>K10/DCF!K10-1</f>
        <v>0</v>
      </c>
      <c r="L70" s="765">
        <f>L10/DCF!L10-1</f>
        <v>0</v>
      </c>
      <c r="M70" s="765">
        <f>M10/DCF!M10-1</f>
        <v>0</v>
      </c>
      <c r="N70" s="765">
        <f>N10/DCF!N10-1</f>
        <v>0</v>
      </c>
      <c r="O70" s="765">
        <f>O10/DCF!O10-1</f>
        <v>0</v>
      </c>
    </row>
    <row r="73" spans="1:26">
      <c r="A73" s="137" t="s">
        <v>1157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spans="1:2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spans="1:26">
      <c r="A75" s="801"/>
      <c r="D75" s="802">
        <v>2018</v>
      </c>
      <c r="E75" s="803">
        <v>2019</v>
      </c>
      <c r="F75" s="803" t="s">
        <v>778</v>
      </c>
      <c r="G75" s="803" t="s">
        <v>779</v>
      </c>
      <c r="H75" s="803" t="s">
        <v>780</v>
      </c>
      <c r="I75" s="803" t="s">
        <v>781</v>
      </c>
      <c r="J75" s="803" t="s">
        <v>864</v>
      </c>
      <c r="K75" s="803" t="s">
        <v>865</v>
      </c>
      <c r="L75" s="803" t="s">
        <v>863</v>
      </c>
      <c r="M75" s="803" t="s">
        <v>888</v>
      </c>
      <c r="N75" s="803" t="s">
        <v>889</v>
      </c>
      <c r="O75" s="803" t="s">
        <v>892</v>
      </c>
      <c r="P75" s="804" t="s">
        <v>968</v>
      </c>
      <c r="X75" s="137"/>
      <c r="Y75" s="137"/>
      <c r="Z75" s="137"/>
    </row>
    <row r="76" spans="1:26">
      <c r="A76" s="805" t="s">
        <v>710</v>
      </c>
      <c r="D76" s="806"/>
      <c r="E76" s="807"/>
      <c r="F76" s="807"/>
      <c r="G76" s="807"/>
      <c r="H76" s="807"/>
      <c r="I76" s="807"/>
      <c r="J76" s="807"/>
      <c r="K76" s="807"/>
      <c r="L76" s="807"/>
      <c r="M76" s="807"/>
      <c r="N76" s="807"/>
      <c r="O76" s="807"/>
      <c r="P76" s="808"/>
      <c r="X76" s="137"/>
      <c r="Y76" s="137"/>
      <c r="Z76" s="137"/>
    </row>
    <row r="77" spans="1:26">
      <c r="A77" s="2129" t="s">
        <v>1158</v>
      </c>
      <c r="D77" s="810">
        <f>'Profit and Loss'!Y10</f>
        <v>6488</v>
      </c>
      <c r="E77" s="811">
        <f>'Profit and Loss'!Z10</f>
        <v>7814</v>
      </c>
      <c r="F77" s="811">
        <f>'Profit and Loss'!AA10</f>
        <v>8131.00000000001</v>
      </c>
      <c r="G77" s="811">
        <f>'Profit and Loss'!AB10</f>
        <v>8293.99696633744</v>
      </c>
      <c r="H77" s="811">
        <f>'Profit and Loss'!AC10</f>
        <v>8838</v>
      </c>
      <c r="I77" s="811">
        <f>'Profit and Loss'!AD10</f>
        <v>8687</v>
      </c>
      <c r="J77" s="811">
        <f t="shared" ref="J77:O77" si="125">J79-J78</f>
        <v>10562.36</v>
      </c>
      <c r="K77" s="811">
        <f t="shared" si="125"/>
        <v>11841.5344</v>
      </c>
      <c r="L77" s="811">
        <f t="shared" si="125"/>
        <v>13644.6869323009</v>
      </c>
      <c r="M77" s="811">
        <f t="shared" si="125"/>
        <v>15155.8768268789</v>
      </c>
      <c r="N77" s="811">
        <f t="shared" si="125"/>
        <v>16571.3244254377</v>
      </c>
      <c r="O77" s="811">
        <f t="shared" si="125"/>
        <v>17844.3359142121</v>
      </c>
      <c r="P77" s="812">
        <f t="shared" ref="P77" si="126">P79-P78</f>
        <v>19207.0200931573</v>
      </c>
      <c r="X77" s="137"/>
      <c r="Y77" s="137"/>
      <c r="Z77" s="137"/>
    </row>
    <row r="78" spans="1:26">
      <c r="A78" s="2129" t="s">
        <v>1159</v>
      </c>
      <c r="D78" s="810">
        <f t="shared" ref="D78:I78" si="127">D79-D77</f>
        <v>15427</v>
      </c>
      <c r="E78" s="811">
        <f t="shared" si="127"/>
        <v>15827</v>
      </c>
      <c r="F78" s="811">
        <f t="shared" si="127"/>
        <v>11713</v>
      </c>
      <c r="G78" s="811">
        <f t="shared" si="127"/>
        <v>12940.0030336626</v>
      </c>
      <c r="H78" s="811">
        <f t="shared" si="127"/>
        <v>13673</v>
      </c>
      <c r="I78" s="811">
        <f t="shared" si="127"/>
        <v>11991</v>
      </c>
      <c r="J78" s="811">
        <f t="shared" ref="J78:P78" si="128">I78*(1+J82)</f>
        <v>12470.64</v>
      </c>
      <c r="K78" s="811">
        <f t="shared" si="128"/>
        <v>12969.4656</v>
      </c>
      <c r="L78" s="811">
        <f t="shared" si="128"/>
        <v>13488.244224</v>
      </c>
      <c r="M78" s="811">
        <f t="shared" si="128"/>
        <v>14027.77399296</v>
      </c>
      <c r="N78" s="811">
        <f t="shared" si="128"/>
        <v>14588.8849526784</v>
      </c>
      <c r="O78" s="811">
        <f t="shared" si="128"/>
        <v>15172.4403507855</v>
      </c>
      <c r="P78" s="812">
        <f t="shared" si="128"/>
        <v>15779.337964817</v>
      </c>
      <c r="X78" s="137"/>
      <c r="Y78" s="137"/>
      <c r="Z78" s="137"/>
    </row>
    <row r="79" spans="1:26">
      <c r="A79" s="2129" t="s">
        <v>1160</v>
      </c>
      <c r="D79" s="810">
        <f>'Profit and Loss'!Y327</f>
        <v>21915</v>
      </c>
      <c r="E79" s="811">
        <f>'Profit and Loss'!Z327</f>
        <v>23641</v>
      </c>
      <c r="F79" s="811">
        <f>'Profit and Loss'!AA327</f>
        <v>19844</v>
      </c>
      <c r="G79" s="811">
        <f>'Profit and Loss'!AB327</f>
        <v>21234</v>
      </c>
      <c r="H79" s="811">
        <f>'Profit and Loss'!AC327</f>
        <v>22511</v>
      </c>
      <c r="I79" s="811">
        <f>'Profit and Loss'!AD327</f>
        <v>20678</v>
      </c>
      <c r="J79" s="811">
        <f>DCF!J32</f>
        <v>23033</v>
      </c>
      <c r="K79" s="811">
        <f>DCF!K32</f>
        <v>24811</v>
      </c>
      <c r="L79" s="811">
        <f>DCF!L32</f>
        <v>27132.9311563009</v>
      </c>
      <c r="M79" s="811">
        <f>DCF!M32</f>
        <v>29183.6508198389</v>
      </c>
      <c r="N79" s="811">
        <f>DCF!N32</f>
        <v>31160.2093781161</v>
      </c>
      <c r="O79" s="811">
        <f>DCF!O32</f>
        <v>33016.7762649976</v>
      </c>
      <c r="P79" s="812">
        <f>DCF!P32</f>
        <v>34986.3580579743</v>
      </c>
      <c r="X79" s="137"/>
      <c r="Y79" s="137"/>
      <c r="Z79" s="137"/>
    </row>
    <row r="80" spans="1:26">
      <c r="A80" s="809" t="s">
        <v>61</v>
      </c>
      <c r="D80" s="813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814"/>
      <c r="X80" s="137"/>
      <c r="Y80" s="137"/>
      <c r="Z80" s="137"/>
    </row>
    <row r="81" spans="1:26">
      <c r="A81" s="2129" t="s">
        <v>1158</v>
      </c>
      <c r="D81" s="813"/>
      <c r="E81" s="161">
        <f t="shared" ref="E81:P81" si="129">E77/D77-1</f>
        <v>0.204377311960543</v>
      </c>
      <c r="F81" s="161">
        <f t="shared" si="129"/>
        <v>0.0405682109035075</v>
      </c>
      <c r="G81" s="161">
        <f t="shared" si="129"/>
        <v>0.020046361620641</v>
      </c>
      <c r="H81" s="161">
        <f t="shared" si="129"/>
        <v>0.0655899725874618</v>
      </c>
      <c r="I81" s="161">
        <f t="shared" si="129"/>
        <v>-0.0170853134193256</v>
      </c>
      <c r="J81" s="161">
        <f t="shared" si="129"/>
        <v>0.215881201795787</v>
      </c>
      <c r="K81" s="161">
        <f t="shared" si="129"/>
        <v>0.121106873842588</v>
      </c>
      <c r="L81" s="161">
        <f t="shared" si="129"/>
        <v>0.152273554371546</v>
      </c>
      <c r="M81" s="161">
        <f t="shared" si="129"/>
        <v>0.110752991407996</v>
      </c>
      <c r="N81" s="161">
        <f t="shared" si="129"/>
        <v>0.0933926565072445</v>
      </c>
      <c r="O81" s="161">
        <f t="shared" si="129"/>
        <v>0.076820141594736</v>
      </c>
      <c r="P81" s="815">
        <f t="shared" si="129"/>
        <v>0.0763650822029147</v>
      </c>
      <c r="X81" s="137"/>
      <c r="Y81" s="137"/>
      <c r="Z81" s="137"/>
    </row>
    <row r="82" spans="1:26">
      <c r="A82" s="2129" t="s">
        <v>1159</v>
      </c>
      <c r="D82" s="813"/>
      <c r="E82" s="161">
        <f t="shared" ref="E82:I83" si="130">E78/D78-1</f>
        <v>0.0259285667984699</v>
      </c>
      <c r="F82" s="161">
        <f t="shared" si="130"/>
        <v>-0.259935553168636</v>
      </c>
      <c r="G82" s="161">
        <f t="shared" si="130"/>
        <v>0.104755658982547</v>
      </c>
      <c r="H82" s="161">
        <f t="shared" si="130"/>
        <v>0.0566458110118362</v>
      </c>
      <c r="I82" s="161">
        <f t="shared" si="130"/>
        <v>-0.123016163241425</v>
      </c>
      <c r="J82" s="161">
        <v>0.04</v>
      </c>
      <c r="K82" s="161">
        <f t="shared" ref="K82:P82" si="131">J82</f>
        <v>0.04</v>
      </c>
      <c r="L82" s="161">
        <f t="shared" si="131"/>
        <v>0.04</v>
      </c>
      <c r="M82" s="161">
        <f t="shared" si="131"/>
        <v>0.04</v>
      </c>
      <c r="N82" s="161">
        <f t="shared" si="131"/>
        <v>0.04</v>
      </c>
      <c r="O82" s="161">
        <f t="shared" si="131"/>
        <v>0.04</v>
      </c>
      <c r="P82" s="815">
        <f t="shared" si="131"/>
        <v>0.04</v>
      </c>
      <c r="X82" s="137"/>
      <c r="Y82" s="137"/>
      <c r="Z82" s="137"/>
    </row>
    <row r="83" spans="1:26">
      <c r="A83" s="2129" t="s">
        <v>1160</v>
      </c>
      <c r="D83" s="813"/>
      <c r="E83" s="161">
        <f t="shared" si="130"/>
        <v>0.0787588409764999</v>
      </c>
      <c r="F83" s="161">
        <f t="shared" si="130"/>
        <v>-0.160610803265513</v>
      </c>
      <c r="G83" s="161">
        <f t="shared" si="130"/>
        <v>0.070046361620641</v>
      </c>
      <c r="H83" s="161">
        <f t="shared" si="130"/>
        <v>0.0601393990769521</v>
      </c>
      <c r="I83" s="161">
        <f t="shared" si="130"/>
        <v>-0.0814268579805427</v>
      </c>
      <c r="J83" s="161">
        <f t="shared" ref="J83:P83" si="132">J79/I79-1</f>
        <v>0.113889157558758</v>
      </c>
      <c r="K83" s="161">
        <f t="shared" si="132"/>
        <v>0.0771935918030651</v>
      </c>
      <c r="L83" s="161">
        <f t="shared" si="132"/>
        <v>0.0935847469388953</v>
      </c>
      <c r="M83" s="161">
        <f t="shared" si="132"/>
        <v>0.0755804690515973</v>
      </c>
      <c r="N83" s="161">
        <f t="shared" si="132"/>
        <v>0.0677282828827417</v>
      </c>
      <c r="O83" s="161">
        <f t="shared" si="132"/>
        <v>0.0595813354253465</v>
      </c>
      <c r="P83" s="815">
        <f t="shared" si="132"/>
        <v>0.059653970368533</v>
      </c>
      <c r="X83" s="137"/>
      <c r="Y83" s="137"/>
      <c r="Z83" s="137"/>
    </row>
    <row r="84" spans="1:26">
      <c r="A84" s="809" t="s">
        <v>732</v>
      </c>
      <c r="D84" s="813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814"/>
      <c r="X84" s="137"/>
      <c r="Y84" s="137"/>
      <c r="Z84" s="137"/>
    </row>
    <row r="85" spans="1:26">
      <c r="A85" s="2129" t="s">
        <v>1158</v>
      </c>
      <c r="D85" s="816">
        <f t="shared" ref="D85:O85" si="133">D77/D79</f>
        <v>0.296052931781885</v>
      </c>
      <c r="E85" s="161">
        <f t="shared" si="133"/>
        <v>0.33052747345713</v>
      </c>
      <c r="F85" s="161">
        <f t="shared" si="133"/>
        <v>0.409746018947793</v>
      </c>
      <c r="G85" s="161">
        <f t="shared" si="133"/>
        <v>0.390599838294124</v>
      </c>
      <c r="H85" s="161">
        <f t="shared" si="133"/>
        <v>0.392608058282618</v>
      </c>
      <c r="I85" s="161">
        <f t="shared" si="133"/>
        <v>0.420108327691266</v>
      </c>
      <c r="J85" s="161">
        <f t="shared" si="133"/>
        <v>0.458575087917336</v>
      </c>
      <c r="K85" s="161">
        <f t="shared" si="133"/>
        <v>0.47726953367458</v>
      </c>
      <c r="L85" s="161">
        <f t="shared" si="133"/>
        <v>0.502882893621034</v>
      </c>
      <c r="M85" s="161">
        <f t="shared" si="133"/>
        <v>0.519327650965999</v>
      </c>
      <c r="N85" s="161">
        <f t="shared" si="133"/>
        <v>0.531810432476611</v>
      </c>
      <c r="O85" s="161">
        <f t="shared" si="133"/>
        <v>0.540462696024311</v>
      </c>
      <c r="P85" s="815">
        <f t="shared" ref="P85" si="134">P77/P79</f>
        <v>0.548985980802296</v>
      </c>
      <c r="Q85" s="786"/>
      <c r="R85" s="786"/>
      <c r="X85" s="137"/>
      <c r="Y85" s="137"/>
      <c r="Z85" s="137"/>
    </row>
    <row r="86" spans="1:26">
      <c r="A86" s="2131" t="s">
        <v>1159</v>
      </c>
      <c r="D86" s="818">
        <f t="shared" ref="D86:O86" si="135">1-D85</f>
        <v>0.703947068218115</v>
      </c>
      <c r="E86" s="819">
        <f t="shared" si="135"/>
        <v>0.66947252654287</v>
      </c>
      <c r="F86" s="819">
        <f t="shared" si="135"/>
        <v>0.590253981052207</v>
      </c>
      <c r="G86" s="819">
        <f t="shared" si="135"/>
        <v>0.609400161705876</v>
      </c>
      <c r="H86" s="819">
        <f t="shared" si="135"/>
        <v>0.607391941717383</v>
      </c>
      <c r="I86" s="819">
        <f t="shared" si="135"/>
        <v>0.579891672308734</v>
      </c>
      <c r="J86" s="819">
        <f t="shared" si="135"/>
        <v>0.541424912082664</v>
      </c>
      <c r="K86" s="819">
        <f t="shared" si="135"/>
        <v>0.52273046632542</v>
      </c>
      <c r="L86" s="819">
        <f t="shared" si="135"/>
        <v>0.497117106378966</v>
      </c>
      <c r="M86" s="819">
        <f t="shared" si="135"/>
        <v>0.480672349034001</v>
      </c>
      <c r="N86" s="819">
        <f t="shared" si="135"/>
        <v>0.468189567523389</v>
      </c>
      <c r="O86" s="819">
        <f t="shared" si="135"/>
        <v>0.459537303975689</v>
      </c>
      <c r="P86" s="820">
        <f t="shared" ref="P86" si="136">1-P85</f>
        <v>0.451014019197704</v>
      </c>
      <c r="X86" s="137"/>
      <c r="Y86" s="137"/>
      <c r="Z86" s="137"/>
    </row>
    <row r="87" spans="1:26">
      <c r="A87" s="805" t="s">
        <v>127</v>
      </c>
      <c r="D87" s="806"/>
      <c r="E87" s="807"/>
      <c r="F87" s="807"/>
      <c r="G87" s="807"/>
      <c r="H87" s="807"/>
      <c r="I87" s="807"/>
      <c r="J87" s="807"/>
      <c r="K87" s="807"/>
      <c r="L87" s="807"/>
      <c r="M87" s="807"/>
      <c r="N87" s="807"/>
      <c r="O87" s="807"/>
      <c r="P87" s="808"/>
      <c r="X87" s="137"/>
      <c r="Y87" s="137"/>
      <c r="Z87" s="137"/>
    </row>
    <row r="88" spans="1:26">
      <c r="A88" s="2129" t="s">
        <v>1158</v>
      </c>
      <c r="D88" s="810">
        <f t="shared" ref="D88:O88" si="137">D92*D77</f>
        <v>4398.864</v>
      </c>
      <c r="E88" s="811">
        <f t="shared" si="137"/>
        <v>5297.892</v>
      </c>
      <c r="F88" s="811">
        <f t="shared" si="137"/>
        <v>5512.81800000001</v>
      </c>
      <c r="G88" s="811">
        <f t="shared" si="137"/>
        <v>5623.32994317678</v>
      </c>
      <c r="H88" s="811">
        <f t="shared" si="137"/>
        <v>5992.164</v>
      </c>
      <c r="I88" s="811">
        <f t="shared" si="137"/>
        <v>5889.786</v>
      </c>
      <c r="J88" s="811">
        <f t="shared" si="137"/>
        <v>7161.28008</v>
      </c>
      <c r="K88" s="811">
        <f t="shared" si="137"/>
        <v>8028.5603232</v>
      </c>
      <c r="L88" s="811">
        <f t="shared" si="137"/>
        <v>9251.09774010003</v>
      </c>
      <c r="M88" s="811">
        <f t="shared" si="137"/>
        <v>10275.6844886239</v>
      </c>
      <c r="N88" s="811">
        <f t="shared" si="137"/>
        <v>11235.3579604467</v>
      </c>
      <c r="O88" s="811">
        <f t="shared" si="137"/>
        <v>12098.4597498358</v>
      </c>
      <c r="P88" s="812">
        <f t="shared" ref="P88" si="138">P92*P77</f>
        <v>13022.3596231607</v>
      </c>
      <c r="X88" s="137"/>
      <c r="Y88" s="137"/>
      <c r="Z88" s="137"/>
    </row>
    <row r="89" spans="1:26">
      <c r="A89" s="2129" t="s">
        <v>1159</v>
      </c>
      <c r="D89" s="810">
        <f>D90-D88</f>
        <v>6964.136</v>
      </c>
      <c r="E89" s="811">
        <f t="shared" ref="E89:O89" si="139">E93*E78</f>
        <v>7144.70606546963</v>
      </c>
      <c r="F89" s="811">
        <f t="shared" si="139"/>
        <v>5287.54294211447</v>
      </c>
      <c r="G89" s="811">
        <f t="shared" si="139"/>
        <v>5841.44298741418</v>
      </c>
      <c r="H89" s="811">
        <f t="shared" si="139"/>
        <v>6172.33626291566</v>
      </c>
      <c r="I89" s="811">
        <f t="shared" si="139"/>
        <v>5413.03913761587</v>
      </c>
      <c r="J89" s="811">
        <f t="shared" si="139"/>
        <v>5629.5607031205</v>
      </c>
      <c r="K89" s="811">
        <f t="shared" si="139"/>
        <v>5854.74313124532</v>
      </c>
      <c r="L89" s="811">
        <f t="shared" si="139"/>
        <v>6088.93285649513</v>
      </c>
      <c r="M89" s="811">
        <f t="shared" si="139"/>
        <v>6332.49017075494</v>
      </c>
      <c r="N89" s="811">
        <f t="shared" si="139"/>
        <v>6585.78977758514</v>
      </c>
      <c r="O89" s="811">
        <f t="shared" si="139"/>
        <v>6849.22136868854</v>
      </c>
      <c r="P89" s="812">
        <f t="shared" ref="P89" si="140">P93*P78</f>
        <v>7123.19022343609</v>
      </c>
      <c r="X89" s="137"/>
      <c r="Y89" s="137"/>
      <c r="Z89" s="137"/>
    </row>
    <row r="90" spans="1:26">
      <c r="A90" s="2129" t="s">
        <v>1160</v>
      </c>
      <c r="D90" s="810">
        <f>'Profit and Loss'!Y333</f>
        <v>11363</v>
      </c>
      <c r="E90" s="811">
        <f t="shared" ref="E90:O90" si="141">E88+E89</f>
        <v>12442.5980654696</v>
      </c>
      <c r="F90" s="811">
        <f t="shared" si="141"/>
        <v>10800.3609421145</v>
      </c>
      <c r="G90" s="811">
        <f t="shared" si="141"/>
        <v>11464.772930591</v>
      </c>
      <c r="H90" s="811">
        <f t="shared" si="141"/>
        <v>12164.5002629157</v>
      </c>
      <c r="I90" s="811">
        <f t="shared" si="141"/>
        <v>11302.8251376159</v>
      </c>
      <c r="J90" s="811">
        <f t="shared" si="141"/>
        <v>12790.8407831205</v>
      </c>
      <c r="K90" s="811">
        <f t="shared" si="141"/>
        <v>13883.3034544453</v>
      </c>
      <c r="L90" s="811">
        <f t="shared" si="141"/>
        <v>15340.0305965952</v>
      </c>
      <c r="M90" s="811">
        <f t="shared" si="141"/>
        <v>16608.1746593788</v>
      </c>
      <c r="N90" s="811">
        <f t="shared" si="141"/>
        <v>17821.1477380319</v>
      </c>
      <c r="O90" s="811">
        <f t="shared" si="141"/>
        <v>18947.6811185243</v>
      </c>
      <c r="P90" s="812">
        <f t="shared" ref="P90" si="142">P88+P89</f>
        <v>20145.5498465967</v>
      </c>
      <c r="X90" s="137"/>
      <c r="Y90" s="137"/>
      <c r="Z90" s="137"/>
    </row>
    <row r="91" spans="1:26">
      <c r="A91" s="809" t="s">
        <v>128</v>
      </c>
      <c r="D91" s="813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814"/>
      <c r="X91" s="137"/>
      <c r="Y91" s="137"/>
      <c r="Z91" s="137"/>
    </row>
    <row r="92" spans="1:26">
      <c r="A92" s="2129" t="s">
        <v>1158</v>
      </c>
      <c r="D92" s="816">
        <v>0.678</v>
      </c>
      <c r="E92" s="161">
        <f t="shared" ref="E92:P92" si="143">D92</f>
        <v>0.678</v>
      </c>
      <c r="F92" s="161">
        <f t="shared" si="143"/>
        <v>0.678</v>
      </c>
      <c r="G92" s="161">
        <f t="shared" si="143"/>
        <v>0.678</v>
      </c>
      <c r="H92" s="161">
        <f t="shared" si="143"/>
        <v>0.678</v>
      </c>
      <c r="I92" s="161">
        <f t="shared" si="143"/>
        <v>0.678</v>
      </c>
      <c r="J92" s="161">
        <f t="shared" si="143"/>
        <v>0.678</v>
      </c>
      <c r="K92" s="161">
        <f t="shared" si="143"/>
        <v>0.678</v>
      </c>
      <c r="L92" s="161">
        <f t="shared" si="143"/>
        <v>0.678</v>
      </c>
      <c r="M92" s="161">
        <f t="shared" si="143"/>
        <v>0.678</v>
      </c>
      <c r="N92" s="161">
        <f t="shared" si="143"/>
        <v>0.678</v>
      </c>
      <c r="O92" s="161">
        <f t="shared" si="143"/>
        <v>0.678</v>
      </c>
      <c r="P92" s="815">
        <f t="shared" si="143"/>
        <v>0.678</v>
      </c>
      <c r="X92" s="137"/>
      <c r="Y92" s="137"/>
      <c r="Z92" s="137"/>
    </row>
    <row r="93" spans="1:26">
      <c r="A93" s="2129" t="s">
        <v>1159</v>
      </c>
      <c r="D93" s="816">
        <f>D89/D78</f>
        <v>0.451425163674078</v>
      </c>
      <c r="E93" s="161">
        <f t="shared" ref="E93:P93" si="144">D93</f>
        <v>0.451425163674078</v>
      </c>
      <c r="F93" s="161">
        <f t="shared" si="144"/>
        <v>0.451425163674078</v>
      </c>
      <c r="G93" s="161">
        <f t="shared" si="144"/>
        <v>0.451425163674078</v>
      </c>
      <c r="H93" s="161">
        <f t="shared" si="144"/>
        <v>0.451425163674078</v>
      </c>
      <c r="I93" s="161">
        <f t="shared" si="144"/>
        <v>0.451425163674078</v>
      </c>
      <c r="J93" s="161">
        <f t="shared" si="144"/>
        <v>0.451425163674078</v>
      </c>
      <c r="K93" s="161">
        <f t="shared" si="144"/>
        <v>0.451425163674078</v>
      </c>
      <c r="L93" s="161">
        <f t="shared" si="144"/>
        <v>0.451425163674078</v>
      </c>
      <c r="M93" s="161">
        <f t="shared" si="144"/>
        <v>0.451425163674078</v>
      </c>
      <c r="N93" s="161">
        <f t="shared" si="144"/>
        <v>0.451425163674078</v>
      </c>
      <c r="O93" s="161">
        <f t="shared" si="144"/>
        <v>0.451425163674078</v>
      </c>
      <c r="P93" s="815">
        <f t="shared" si="144"/>
        <v>0.451425163674078</v>
      </c>
      <c r="X93" s="137"/>
      <c r="Y93" s="137"/>
      <c r="Z93" s="137"/>
    </row>
    <row r="94" spans="1:26">
      <c r="A94" s="2129" t="s">
        <v>1160</v>
      </c>
      <c r="D94" s="818">
        <f>D90/D79</f>
        <v>0.518503308236368</v>
      </c>
      <c r="E94" s="819">
        <f t="shared" ref="E94:O94" si="145">E90/E79</f>
        <v>0.526314371873847</v>
      </c>
      <c r="F94" s="819">
        <f t="shared" si="145"/>
        <v>0.544263300852372</v>
      </c>
      <c r="G94" s="819">
        <f t="shared" si="145"/>
        <v>0.539925258104501</v>
      </c>
      <c r="H94" s="819">
        <f t="shared" si="145"/>
        <v>0.5403802702197</v>
      </c>
      <c r="I94" s="819">
        <f t="shared" si="145"/>
        <v>0.546611139259883</v>
      </c>
      <c r="J94" s="819">
        <f t="shared" si="145"/>
        <v>0.555326739162094</v>
      </c>
      <c r="K94" s="819">
        <f t="shared" si="145"/>
        <v>0.559562430149745</v>
      </c>
      <c r="L94" s="819">
        <f t="shared" si="145"/>
        <v>0.56536577298737</v>
      </c>
      <c r="M94" s="819">
        <f t="shared" si="145"/>
        <v>0.569091741191225</v>
      </c>
      <c r="N94" s="819">
        <f t="shared" si="145"/>
        <v>0.571920025368884</v>
      </c>
      <c r="O94" s="819">
        <f t="shared" si="145"/>
        <v>0.573880410566053</v>
      </c>
      <c r="P94" s="820">
        <f t="shared" ref="P94" si="146">P90/P79</f>
        <v>0.575811572419584</v>
      </c>
      <c r="X94" s="137"/>
      <c r="Y94" s="137"/>
      <c r="Z94" s="137"/>
    </row>
    <row r="95" spans="1:26">
      <c r="A95" s="2136" t="s">
        <v>1161</v>
      </c>
      <c r="D95" s="822"/>
      <c r="E95" s="823">
        <f t="shared" ref="E95:P95" si="147">(E94-D94)*10000</f>
        <v>78.1106363747974</v>
      </c>
      <c r="F95" s="823">
        <f t="shared" si="147"/>
        <v>179.489289785248</v>
      </c>
      <c r="G95" s="823">
        <f t="shared" si="147"/>
        <v>-43.3804274787153</v>
      </c>
      <c r="H95" s="823">
        <f t="shared" si="147"/>
        <v>4.5501211519916</v>
      </c>
      <c r="I95" s="823">
        <f t="shared" si="147"/>
        <v>62.3086904018344</v>
      </c>
      <c r="J95" s="823">
        <f t="shared" si="147"/>
        <v>87.1559990221027</v>
      </c>
      <c r="K95" s="823">
        <f t="shared" si="147"/>
        <v>42.3569098765131</v>
      </c>
      <c r="L95" s="823">
        <f t="shared" si="147"/>
        <v>58.0334283762485</v>
      </c>
      <c r="M95" s="823">
        <f t="shared" si="147"/>
        <v>37.2596820385473</v>
      </c>
      <c r="N95" s="823">
        <f t="shared" si="147"/>
        <v>28.2828417765935</v>
      </c>
      <c r="O95" s="823">
        <f t="shared" si="147"/>
        <v>19.6038519716868</v>
      </c>
      <c r="P95" s="824">
        <f t="shared" si="147"/>
        <v>19.3116185353126</v>
      </c>
      <c r="Q95" s="825">
        <f>SUM(F95:O95)</f>
        <v>475.660386922051</v>
      </c>
      <c r="R95" s="825">
        <f>SUM(G95:P95)</f>
        <v>315.482715672115</v>
      </c>
      <c r="X95" s="137"/>
      <c r="Y95" s="137"/>
      <c r="Z95" s="826">
        <f>SUM(O95,N95,M95,L95,K95,J95,I95,H95,G95,F95,E95)</f>
        <v>553.771023296849</v>
      </c>
    </row>
    <row r="96" spans="1:26">
      <c r="A96" s="137"/>
      <c r="D96" s="717"/>
      <c r="E96" s="717"/>
      <c r="F96" s="717"/>
      <c r="G96" s="717"/>
      <c r="H96" s="717"/>
      <c r="I96" s="717"/>
      <c r="J96" s="717"/>
      <c r="K96" s="717"/>
      <c r="L96" s="717"/>
      <c r="M96" s="717"/>
      <c r="N96" s="717"/>
      <c r="O96" s="717"/>
      <c r="P96" s="717"/>
      <c r="X96" s="137"/>
      <c r="Y96" s="137"/>
      <c r="Z96" s="137"/>
    </row>
    <row r="97" spans="1:26">
      <c r="A97" s="137"/>
      <c r="D97" s="811"/>
      <c r="E97" s="811"/>
      <c r="F97" s="811"/>
      <c r="G97" s="811"/>
      <c r="H97" s="811"/>
      <c r="I97" s="811"/>
      <c r="J97" s="811"/>
      <c r="K97" s="811"/>
      <c r="L97" s="811"/>
      <c r="M97" s="811"/>
      <c r="N97" s="811"/>
      <c r="O97" s="811"/>
      <c r="P97" s="811"/>
      <c r="X97" s="137"/>
      <c r="Y97" s="137"/>
      <c r="Z97" s="137"/>
    </row>
    <row r="98" spans="1:26">
      <c r="A98" s="137" t="s">
        <v>1162</v>
      </c>
      <c r="D98" s="811"/>
      <c r="E98" s="811"/>
      <c r="F98" s="811"/>
      <c r="G98" s="811"/>
      <c r="H98" s="811"/>
      <c r="I98" s="811"/>
      <c r="J98" s="811"/>
      <c r="K98" s="811"/>
      <c r="L98" s="811"/>
      <c r="M98" s="811"/>
      <c r="N98" s="811"/>
      <c r="O98" s="811"/>
      <c r="P98" s="811"/>
      <c r="X98" s="137"/>
      <c r="Y98" s="137"/>
      <c r="Z98" s="137"/>
    </row>
    <row r="99" spans="1:26">
      <c r="A99" s="801"/>
      <c r="D99" s="802">
        <v>2018</v>
      </c>
      <c r="E99" s="803">
        <v>2019</v>
      </c>
      <c r="F99" s="803" t="s">
        <v>778</v>
      </c>
      <c r="G99" s="803" t="s">
        <v>779</v>
      </c>
      <c r="H99" s="803" t="s">
        <v>780</v>
      </c>
      <c r="I99" s="803" t="s">
        <v>781</v>
      </c>
      <c r="J99" s="803" t="s">
        <v>864</v>
      </c>
      <c r="K99" s="803" t="s">
        <v>865</v>
      </c>
      <c r="L99" s="803" t="s">
        <v>863</v>
      </c>
      <c r="M99" s="803" t="s">
        <v>888</v>
      </c>
      <c r="N99" s="803" t="s">
        <v>889</v>
      </c>
      <c r="O99" s="803" t="s">
        <v>892</v>
      </c>
      <c r="P99" s="804" t="s">
        <v>968</v>
      </c>
      <c r="X99" s="137"/>
      <c r="Y99" s="137"/>
      <c r="Z99" s="137"/>
    </row>
    <row r="100" spans="1:26">
      <c r="A100" s="827" t="s">
        <v>209</v>
      </c>
      <c r="D100" s="806"/>
      <c r="E100" s="807"/>
      <c r="F100" s="807"/>
      <c r="G100" s="807"/>
      <c r="H100" s="807"/>
      <c r="I100" s="807"/>
      <c r="J100" s="807"/>
      <c r="K100" s="807"/>
      <c r="L100" s="807"/>
      <c r="M100" s="807"/>
      <c r="N100" s="807"/>
      <c r="O100" s="807"/>
      <c r="P100" s="808"/>
      <c r="X100" s="137"/>
      <c r="Y100" s="137"/>
      <c r="Z100" s="137"/>
    </row>
    <row r="101" spans="1:26">
      <c r="A101" s="809" t="s">
        <v>710</v>
      </c>
      <c r="D101" s="810">
        <f>'Profit and Loss'!Y97</f>
        <v>5884</v>
      </c>
      <c r="E101" s="811">
        <f>'Profit and Loss'!Z97</f>
        <v>6071.42</v>
      </c>
      <c r="F101" s="811">
        <f>'Profit and Loss'!AA97</f>
        <v>5320</v>
      </c>
      <c r="G101" s="811">
        <f>'Profit and Loss'!AB97</f>
        <v>7760</v>
      </c>
      <c r="H101" s="811">
        <f>'Profit and Loss'!AC97</f>
        <v>8550</v>
      </c>
      <c r="I101" s="811">
        <f>'Profit and Loss'!AD97</f>
        <v>6114.5</v>
      </c>
      <c r="J101" s="811">
        <f>'Profit and Loss'!AE97</f>
        <v>7389.004</v>
      </c>
      <c r="K101" s="811">
        <f t="shared" ref="K101:P101" si="148">J101*(1+K102)</f>
        <v>7684.56416</v>
      </c>
      <c r="L101" s="811">
        <f t="shared" si="148"/>
        <v>7991.9467264</v>
      </c>
      <c r="M101" s="811">
        <f t="shared" si="148"/>
        <v>8311.624595456</v>
      </c>
      <c r="N101" s="811">
        <f t="shared" si="148"/>
        <v>8644.08957927424</v>
      </c>
      <c r="O101" s="811">
        <f t="shared" si="148"/>
        <v>8989.85316244521</v>
      </c>
      <c r="P101" s="812">
        <f t="shared" si="148"/>
        <v>9349.44728894302</v>
      </c>
      <c r="X101" s="137"/>
      <c r="Y101" s="137"/>
      <c r="Z101" s="137"/>
    </row>
    <row r="102" spans="1:26">
      <c r="A102" s="2129" t="s">
        <v>1140</v>
      </c>
      <c r="D102" s="810"/>
      <c r="E102" s="161">
        <f t="shared" ref="E102:J102" si="149">E101/D101-1</f>
        <v>0.0318524813052343</v>
      </c>
      <c r="F102" s="161">
        <f t="shared" si="149"/>
        <v>-0.123763468842544</v>
      </c>
      <c r="G102" s="161">
        <f t="shared" si="149"/>
        <v>0.458646616541353</v>
      </c>
      <c r="H102" s="161">
        <f t="shared" si="149"/>
        <v>0.10180412371134</v>
      </c>
      <c r="I102" s="161">
        <f t="shared" si="149"/>
        <v>-0.284853801169591</v>
      </c>
      <c r="J102" s="161">
        <f t="shared" si="149"/>
        <v>0.208439610761305</v>
      </c>
      <c r="K102" s="161">
        <v>0.04</v>
      </c>
      <c r="L102" s="161">
        <f>K102</f>
        <v>0.04</v>
      </c>
      <c r="M102" s="161">
        <f>L102</f>
        <v>0.04</v>
      </c>
      <c r="N102" s="161">
        <f>M102</f>
        <v>0.04</v>
      </c>
      <c r="O102" s="161">
        <f>N102</f>
        <v>0.04</v>
      </c>
      <c r="P102" s="815">
        <f>O102</f>
        <v>0.04</v>
      </c>
      <c r="X102" s="137"/>
      <c r="Y102" s="137"/>
      <c r="Z102" s="137"/>
    </row>
    <row r="103" spans="1:26">
      <c r="A103" s="809" t="s">
        <v>131</v>
      </c>
      <c r="D103" s="810">
        <v>1176</v>
      </c>
      <c r="E103" s="811">
        <f t="shared" ref="E103:O103" si="150">E104*E101</f>
        <v>1225.60135801496</v>
      </c>
      <c r="F103" s="811">
        <f t="shared" si="150"/>
        <v>1084.55668252889</v>
      </c>
      <c r="G103" s="811">
        <f t="shared" si="150"/>
        <v>1597.50493541808</v>
      </c>
      <c r="H103" s="811">
        <f t="shared" si="150"/>
        <v>1777.23752549286</v>
      </c>
      <c r="I103" s="811">
        <f t="shared" si="150"/>
        <v>1283.21366077498</v>
      </c>
      <c r="J103" s="811">
        <f t="shared" si="150"/>
        <v>1550.68621675051</v>
      </c>
      <c r="K103" s="811">
        <f t="shared" si="150"/>
        <v>1612.71366542053</v>
      </c>
      <c r="L103" s="811">
        <f t="shared" si="150"/>
        <v>1677.22221203735</v>
      </c>
      <c r="M103" s="811">
        <f t="shared" si="150"/>
        <v>1744.31110051885</v>
      </c>
      <c r="N103" s="811">
        <f t="shared" si="150"/>
        <v>1814.0835445396</v>
      </c>
      <c r="O103" s="811">
        <f t="shared" si="150"/>
        <v>1886.64688632118</v>
      </c>
      <c r="P103" s="812">
        <f t="shared" ref="P103" si="151">P104*P101</f>
        <v>1962.11276177403</v>
      </c>
      <c r="Q103" s="755">
        <f>O101*D104</f>
        <v>1796.74835469673</v>
      </c>
      <c r="R103" s="755">
        <f>P101*E104</f>
        <v>1887.31718346249</v>
      </c>
      <c r="X103" s="137"/>
      <c r="Y103" s="137"/>
      <c r="Z103" s="137"/>
    </row>
    <row r="104" spans="1:26">
      <c r="A104" s="827" t="s">
        <v>1163</v>
      </c>
      <c r="D104" s="828">
        <f>D103/D101</f>
        <v>0.199864038069341</v>
      </c>
      <c r="E104" s="829">
        <f>D104+0.002</f>
        <v>0.201864038069341</v>
      </c>
      <c r="F104" s="829">
        <f>E104+0.002</f>
        <v>0.203864038069341</v>
      </c>
      <c r="G104" s="829">
        <f>F104+0.002</f>
        <v>0.205864038069341</v>
      </c>
      <c r="H104" s="829">
        <f>G104+0.002</f>
        <v>0.207864038069341</v>
      </c>
      <c r="I104" s="829">
        <f>H104+0.002</f>
        <v>0.209864038069341</v>
      </c>
      <c r="J104" s="829">
        <f t="shared" ref="J104:P104" si="152">I104</f>
        <v>0.209864038069341</v>
      </c>
      <c r="K104" s="829">
        <f t="shared" si="152"/>
        <v>0.209864038069341</v>
      </c>
      <c r="L104" s="829">
        <f t="shared" si="152"/>
        <v>0.209864038069341</v>
      </c>
      <c r="M104" s="829">
        <f t="shared" si="152"/>
        <v>0.209864038069341</v>
      </c>
      <c r="N104" s="829">
        <f t="shared" si="152"/>
        <v>0.209864038069341</v>
      </c>
      <c r="O104" s="829">
        <f t="shared" si="152"/>
        <v>0.209864038069341</v>
      </c>
      <c r="P104" s="830">
        <f t="shared" si="152"/>
        <v>0.209864038069341</v>
      </c>
      <c r="X104" s="137"/>
      <c r="Y104" s="137"/>
      <c r="Z104" s="137"/>
    </row>
    <row r="105" spans="1:26">
      <c r="A105" s="831" t="s">
        <v>101</v>
      </c>
      <c r="D105" s="806"/>
      <c r="E105" s="807"/>
      <c r="F105" s="807"/>
      <c r="G105" s="807"/>
      <c r="H105" s="807"/>
      <c r="I105" s="807"/>
      <c r="J105" s="807"/>
      <c r="K105" s="807"/>
      <c r="L105" s="807"/>
      <c r="M105" s="807"/>
      <c r="N105" s="807"/>
      <c r="O105" s="807"/>
      <c r="P105" s="808"/>
      <c r="X105" s="137"/>
      <c r="Y105" s="137"/>
      <c r="Z105" s="137"/>
    </row>
    <row r="106" spans="1:26">
      <c r="A106" s="809" t="s">
        <v>710</v>
      </c>
      <c r="D106" s="810">
        <f>'Profit and Loss'!Y102</f>
        <v>4688</v>
      </c>
      <c r="E106" s="811">
        <f>'Profit and Loss'!Z102</f>
        <v>5313</v>
      </c>
      <c r="F106" s="811">
        <f>'Profit and Loss'!AA102</f>
        <v>4762</v>
      </c>
      <c r="G106" s="811">
        <f>'Profit and Loss'!AB102</f>
        <v>5105</v>
      </c>
      <c r="H106" s="811">
        <f>'Profit and Loss'!AC102</f>
        <v>6398</v>
      </c>
      <c r="I106" s="811">
        <f>'Profit and Loss'!AD102</f>
        <v>4844</v>
      </c>
      <c r="J106" s="811">
        <f>'Profit and Loss'!AE102</f>
        <v>4927.017</v>
      </c>
      <c r="K106" s="811">
        <f t="shared" ref="K106:P106" si="153">J106*(1+K107)</f>
        <v>5419.7187</v>
      </c>
      <c r="L106" s="811">
        <f t="shared" si="153"/>
        <v>5961.69057</v>
      </c>
      <c r="M106" s="811">
        <f t="shared" si="153"/>
        <v>6557.859627</v>
      </c>
      <c r="N106" s="811">
        <f t="shared" si="153"/>
        <v>7213.6455897</v>
      </c>
      <c r="O106" s="811">
        <f t="shared" si="153"/>
        <v>7935.01014867001</v>
      </c>
      <c r="P106" s="812">
        <f t="shared" si="153"/>
        <v>8728.51116353701</v>
      </c>
      <c r="X106" s="137"/>
      <c r="Y106" s="137"/>
      <c r="Z106" s="137"/>
    </row>
    <row r="107" spans="1:26">
      <c r="A107" s="2129" t="s">
        <v>1140</v>
      </c>
      <c r="D107" s="813"/>
      <c r="E107" s="161">
        <f t="shared" ref="E107:J107" si="154">E106/D106-1</f>
        <v>0.133319112627986</v>
      </c>
      <c r="F107" s="161">
        <f t="shared" si="154"/>
        <v>-0.103707886316582</v>
      </c>
      <c r="G107" s="161">
        <f t="shared" si="154"/>
        <v>0.0720285594288117</v>
      </c>
      <c r="H107" s="161">
        <f t="shared" si="154"/>
        <v>0.253281096963761</v>
      </c>
      <c r="I107" s="161">
        <f t="shared" si="154"/>
        <v>-0.24288840262582</v>
      </c>
      <c r="J107" s="161">
        <f t="shared" si="154"/>
        <v>0.0171381090008258</v>
      </c>
      <c r="K107" s="161">
        <v>0.1</v>
      </c>
      <c r="L107" s="161">
        <f>K107</f>
        <v>0.1</v>
      </c>
      <c r="M107" s="161">
        <f>L107</f>
        <v>0.1</v>
      </c>
      <c r="N107" s="161">
        <v>0.1</v>
      </c>
      <c r="O107" s="161">
        <f t="shared" ref="O107" si="155">N107</f>
        <v>0.1</v>
      </c>
      <c r="P107" s="815">
        <v>0.1</v>
      </c>
      <c r="X107" s="137"/>
      <c r="Y107" s="137"/>
      <c r="Z107" s="137"/>
    </row>
    <row r="108" spans="1:26">
      <c r="A108" s="809" t="s">
        <v>131</v>
      </c>
      <c r="D108" s="813">
        <v>698</v>
      </c>
      <c r="E108" s="811">
        <f t="shared" ref="E108:O108" si="156">E109*E106</f>
        <v>844.186740614335</v>
      </c>
      <c r="F108" s="811">
        <f t="shared" si="156"/>
        <v>780.447918088737</v>
      </c>
      <c r="G108" s="811">
        <f t="shared" si="156"/>
        <v>862.187457337884</v>
      </c>
      <c r="H108" s="811">
        <f t="shared" si="156"/>
        <v>1086.96124232082</v>
      </c>
      <c r="I108" s="811">
        <f t="shared" si="156"/>
        <v>827.794962457338</v>
      </c>
      <c r="J108" s="811">
        <f t="shared" si="156"/>
        <v>846.908819754267</v>
      </c>
      <c r="K108" s="811">
        <f t="shared" si="156"/>
        <v>937.019420429693</v>
      </c>
      <c r="L108" s="811">
        <f t="shared" si="156"/>
        <v>1036.68305304266</v>
      </c>
      <c r="M108" s="811">
        <f t="shared" si="156"/>
        <v>1146.90921797393</v>
      </c>
      <c r="N108" s="811">
        <f t="shared" si="156"/>
        <v>1261.60013977132</v>
      </c>
      <c r="O108" s="811">
        <f t="shared" si="156"/>
        <v>1387.76015374845</v>
      </c>
      <c r="P108" s="812">
        <f t="shared" ref="P108" si="157">P109*P106</f>
        <v>1526.5361691233</v>
      </c>
      <c r="Q108" s="755">
        <f>O106*D109</f>
        <v>1181.44988988303</v>
      </c>
      <c r="R108" s="755">
        <f>P106*E109</f>
        <v>1386.87999050671</v>
      </c>
      <c r="X108" s="137"/>
      <c r="Y108" s="137"/>
      <c r="Z108" s="137"/>
    </row>
    <row r="109" spans="1:26">
      <c r="A109" s="832" t="s">
        <v>1163</v>
      </c>
      <c r="D109" s="833">
        <f>D108/D106</f>
        <v>0.148890784982935</v>
      </c>
      <c r="E109" s="834">
        <f>D109+0.01</f>
        <v>0.158890784982935</v>
      </c>
      <c r="F109" s="834">
        <f>E109+0.005</f>
        <v>0.163890784982935</v>
      </c>
      <c r="G109" s="834">
        <f>F109+0.005</f>
        <v>0.168890784982935</v>
      </c>
      <c r="H109" s="834">
        <f>G109+0.001</f>
        <v>0.169890784982935</v>
      </c>
      <c r="I109" s="834">
        <f t="shared" ref="I109:M109" si="158">H109+0.001</f>
        <v>0.170890784982935</v>
      </c>
      <c r="J109" s="834">
        <f t="shared" si="158"/>
        <v>0.171890784982935</v>
      </c>
      <c r="K109" s="834">
        <f t="shared" si="158"/>
        <v>0.172890784982935</v>
      </c>
      <c r="L109" s="834">
        <f t="shared" si="158"/>
        <v>0.173890784982935</v>
      </c>
      <c r="M109" s="834">
        <f t="shared" si="158"/>
        <v>0.174890784982935</v>
      </c>
      <c r="N109" s="834">
        <f t="shared" ref="N109:P109" si="159">M109</f>
        <v>0.174890784982935</v>
      </c>
      <c r="O109" s="834">
        <f t="shared" si="159"/>
        <v>0.174890784982935</v>
      </c>
      <c r="P109" s="835">
        <f t="shared" si="159"/>
        <v>0.174890784982935</v>
      </c>
      <c r="X109" s="137"/>
      <c r="Y109" s="137"/>
      <c r="Z109" s="137"/>
    </row>
    <row r="110" spans="1:26">
      <c r="A110" s="827" t="s">
        <v>785</v>
      </c>
      <c r="D110" s="813"/>
      <c r="E110" s="811"/>
      <c r="F110" s="811"/>
      <c r="G110" s="811"/>
      <c r="H110" s="811"/>
      <c r="I110" s="811"/>
      <c r="J110" s="811"/>
      <c r="K110" s="811"/>
      <c r="L110" s="811"/>
      <c r="M110" s="811"/>
      <c r="N110" s="811"/>
      <c r="O110" s="811"/>
      <c r="P110" s="812"/>
      <c r="X110" s="137"/>
      <c r="Y110" s="137"/>
      <c r="Z110" s="137"/>
    </row>
    <row r="111" spans="1:26">
      <c r="A111" s="809" t="s">
        <v>710</v>
      </c>
      <c r="D111" s="810">
        <f>'Profit and Loss'!Y112</f>
        <v>7141</v>
      </c>
      <c r="E111" s="811">
        <f>'Profit and Loss'!Z112</f>
        <v>8030.58</v>
      </c>
      <c r="F111" s="811">
        <f>'Profit and Loss'!AA112</f>
        <v>6546</v>
      </c>
      <c r="G111" s="811">
        <f>'Profit and Loss'!AB112</f>
        <v>4597</v>
      </c>
      <c r="H111" s="811">
        <f>'Profit and Loss'!AC112</f>
        <v>3179</v>
      </c>
      <c r="I111" s="811">
        <f>'Profit and Loss'!AD112</f>
        <v>3040</v>
      </c>
      <c r="J111" s="811">
        <f>'Profit and Loss'!AE112</f>
        <v>3256.716</v>
      </c>
      <c r="K111" s="811">
        <f t="shared" ref="K111:P111" si="160">J111*(1+K112)</f>
        <v>3582.3876</v>
      </c>
      <c r="L111" s="811">
        <f t="shared" si="160"/>
        <v>3940.62636</v>
      </c>
      <c r="M111" s="811">
        <f t="shared" si="160"/>
        <v>4334.688996</v>
      </c>
      <c r="N111" s="811">
        <f t="shared" si="160"/>
        <v>4768.1578956</v>
      </c>
      <c r="O111" s="811">
        <f t="shared" si="160"/>
        <v>5244.97368516</v>
      </c>
      <c r="P111" s="812">
        <f t="shared" si="160"/>
        <v>5769.471053676</v>
      </c>
      <c r="X111" s="137"/>
      <c r="Y111" s="137"/>
      <c r="Z111" s="137"/>
    </row>
    <row r="112" spans="1:26">
      <c r="A112" s="2129" t="s">
        <v>1140</v>
      </c>
      <c r="D112" s="813"/>
      <c r="E112" s="161">
        <f t="shared" ref="E112:J112" si="161">E111/D111-1</f>
        <v>0.124573589133175</v>
      </c>
      <c r="F112" s="161">
        <f t="shared" si="161"/>
        <v>-0.184865850287277</v>
      </c>
      <c r="G112" s="161">
        <f t="shared" si="161"/>
        <v>-0.297739077299114</v>
      </c>
      <c r="H112" s="161">
        <f t="shared" si="161"/>
        <v>-0.30846204046117</v>
      </c>
      <c r="I112" s="161">
        <f t="shared" si="161"/>
        <v>-0.0437244416483173</v>
      </c>
      <c r="J112" s="161">
        <f t="shared" si="161"/>
        <v>0.0712881578947369</v>
      </c>
      <c r="K112" s="161">
        <v>0.1</v>
      </c>
      <c r="L112" s="161">
        <f t="shared" ref="L112:P112" si="162">K112</f>
        <v>0.1</v>
      </c>
      <c r="M112" s="161">
        <f t="shared" si="162"/>
        <v>0.1</v>
      </c>
      <c r="N112" s="161">
        <f t="shared" si="162"/>
        <v>0.1</v>
      </c>
      <c r="O112" s="161">
        <f t="shared" si="162"/>
        <v>0.1</v>
      </c>
      <c r="P112" s="815">
        <f t="shared" si="162"/>
        <v>0.1</v>
      </c>
      <c r="X112" s="137"/>
      <c r="Y112" s="137"/>
      <c r="Z112" s="137"/>
    </row>
    <row r="113" spans="1:26">
      <c r="A113" s="809" t="s">
        <v>131</v>
      </c>
      <c r="D113" s="813">
        <v>2339</v>
      </c>
      <c r="E113" s="811">
        <f t="shared" ref="E113:O113" si="163">E114*E111</f>
        <v>2630.3776249825</v>
      </c>
      <c r="F113" s="811">
        <f t="shared" si="163"/>
        <v>2144.11062876348</v>
      </c>
      <c r="G113" s="811">
        <f t="shared" si="163"/>
        <v>1505.72510852822</v>
      </c>
      <c r="H113" s="811">
        <f t="shared" si="163"/>
        <v>1041.26606917799</v>
      </c>
      <c r="I113" s="811">
        <f t="shared" si="163"/>
        <v>995.73729169584</v>
      </c>
      <c r="J113" s="811">
        <f t="shared" si="163"/>
        <v>1066.72156896793</v>
      </c>
      <c r="K113" s="811">
        <f t="shared" si="163"/>
        <v>1173.39372586472</v>
      </c>
      <c r="L113" s="811">
        <f t="shared" si="163"/>
        <v>1290.7330984512</v>
      </c>
      <c r="M113" s="811">
        <f t="shared" si="163"/>
        <v>1419.80640829632</v>
      </c>
      <c r="N113" s="811">
        <f t="shared" si="163"/>
        <v>1561.78704912595</v>
      </c>
      <c r="O113" s="811">
        <f t="shared" si="163"/>
        <v>1717.96575403854</v>
      </c>
      <c r="P113" s="812">
        <f t="shared" ref="P113" si="164">P114*P111</f>
        <v>1889.7623294424</v>
      </c>
      <c r="Q113" s="755">
        <f>O111*D114</f>
        <v>1717.96575403854</v>
      </c>
      <c r="R113" s="755">
        <f>P111*E114</f>
        <v>1889.7623294424</v>
      </c>
      <c r="X113" s="137"/>
      <c r="Y113" s="137"/>
      <c r="Z113" s="137"/>
    </row>
    <row r="114" spans="1:26">
      <c r="A114" s="827" t="s">
        <v>1163</v>
      </c>
      <c r="D114" s="828">
        <f>D113/D111</f>
        <v>0.327545161742053</v>
      </c>
      <c r="E114" s="829">
        <f>D114</f>
        <v>0.327545161742053</v>
      </c>
      <c r="F114" s="829">
        <f>E114</f>
        <v>0.327545161742053</v>
      </c>
      <c r="G114" s="829">
        <f t="shared" ref="G114:P114" si="165">F114</f>
        <v>0.327545161742053</v>
      </c>
      <c r="H114" s="829">
        <f t="shared" si="165"/>
        <v>0.327545161742053</v>
      </c>
      <c r="I114" s="829">
        <f t="shared" si="165"/>
        <v>0.327545161742053</v>
      </c>
      <c r="J114" s="829">
        <f t="shared" si="165"/>
        <v>0.327545161742053</v>
      </c>
      <c r="K114" s="829">
        <f t="shared" si="165"/>
        <v>0.327545161742053</v>
      </c>
      <c r="L114" s="829">
        <f t="shared" si="165"/>
        <v>0.327545161742053</v>
      </c>
      <c r="M114" s="829">
        <f t="shared" si="165"/>
        <v>0.327545161742053</v>
      </c>
      <c r="N114" s="829">
        <f t="shared" si="165"/>
        <v>0.327545161742053</v>
      </c>
      <c r="O114" s="834">
        <f t="shared" si="165"/>
        <v>0.327545161742053</v>
      </c>
      <c r="P114" s="835">
        <f t="shared" si="165"/>
        <v>0.327545161742053</v>
      </c>
      <c r="X114" s="137"/>
      <c r="Y114" s="137"/>
      <c r="Z114" s="137"/>
    </row>
    <row r="115" spans="1:26">
      <c r="A115" s="831" t="s">
        <v>748</v>
      </c>
      <c r="D115" s="836"/>
      <c r="E115" s="837"/>
      <c r="F115" s="837"/>
      <c r="G115" s="837"/>
      <c r="H115" s="837"/>
      <c r="I115" s="837"/>
      <c r="J115" s="837"/>
      <c r="K115" s="837"/>
      <c r="L115" s="837"/>
      <c r="M115" s="837"/>
      <c r="N115" s="837"/>
      <c r="O115" s="837"/>
      <c r="P115" s="838"/>
      <c r="X115" s="137"/>
      <c r="Y115" s="137"/>
      <c r="Z115" s="137"/>
    </row>
    <row r="116" spans="1:26">
      <c r="A116" s="809" t="s">
        <v>710</v>
      </c>
      <c r="D116" s="813">
        <f>'Profit and Loss'!Y107</f>
        <v>1633</v>
      </c>
      <c r="E116" s="811">
        <f>'Profit and Loss'!Z107</f>
        <v>1660</v>
      </c>
      <c r="F116" s="811">
        <f>'Profit and Loss'!AA107</f>
        <v>1158</v>
      </c>
      <c r="G116" s="811">
        <f>'Profit and Loss'!AB107</f>
        <v>1447</v>
      </c>
      <c r="H116" s="811">
        <f>'Profit and Loss'!AC107</f>
        <v>2110</v>
      </c>
      <c r="I116" s="811">
        <f>'Profit and Loss'!AD107</f>
        <v>2291</v>
      </c>
      <c r="J116" s="811">
        <f>'Profit and Loss'!AE107</f>
        <v>2777.4195</v>
      </c>
      <c r="K116" s="811">
        <f t="shared" ref="K116:P116" si="166">J116*(1+K117)</f>
        <v>2888.51628</v>
      </c>
      <c r="L116" s="811">
        <f t="shared" si="166"/>
        <v>3004.0569312</v>
      </c>
      <c r="M116" s="811">
        <f t="shared" si="166"/>
        <v>3124.219208448</v>
      </c>
      <c r="N116" s="811">
        <f t="shared" si="166"/>
        <v>3249.18797678592</v>
      </c>
      <c r="O116" s="811">
        <f t="shared" si="166"/>
        <v>3379.15549585736</v>
      </c>
      <c r="P116" s="812">
        <f t="shared" si="166"/>
        <v>3514.32171569165</v>
      </c>
      <c r="X116" s="137"/>
      <c r="Y116" s="137"/>
      <c r="Z116" s="137"/>
    </row>
    <row r="117" spans="1:26">
      <c r="A117" s="2129" t="s">
        <v>1140</v>
      </c>
      <c r="D117" s="813"/>
      <c r="E117" s="161">
        <f t="shared" ref="E117:J117" si="167">E116/D116-1</f>
        <v>0.0165339865278626</v>
      </c>
      <c r="F117" s="161">
        <f t="shared" si="167"/>
        <v>-0.302409638554217</v>
      </c>
      <c r="G117" s="161">
        <f t="shared" si="167"/>
        <v>0.249568221070812</v>
      </c>
      <c r="H117" s="161">
        <f t="shared" si="167"/>
        <v>0.458189357290947</v>
      </c>
      <c r="I117" s="161">
        <f t="shared" si="167"/>
        <v>0.0857819905213271</v>
      </c>
      <c r="J117" s="161">
        <f t="shared" si="167"/>
        <v>0.21231754692274</v>
      </c>
      <c r="K117" s="161">
        <v>0.04</v>
      </c>
      <c r="L117" s="161">
        <f t="shared" ref="L117:P117" si="168">K117</f>
        <v>0.04</v>
      </c>
      <c r="M117" s="161">
        <f t="shared" si="168"/>
        <v>0.04</v>
      </c>
      <c r="N117" s="161">
        <f t="shared" si="168"/>
        <v>0.04</v>
      </c>
      <c r="O117" s="161">
        <f t="shared" si="168"/>
        <v>0.04</v>
      </c>
      <c r="P117" s="815">
        <f t="shared" si="168"/>
        <v>0.04</v>
      </c>
      <c r="X117" s="137"/>
      <c r="Y117" s="137"/>
      <c r="Z117" s="137"/>
    </row>
    <row r="118" spans="1:26">
      <c r="A118" s="809" t="s">
        <v>131</v>
      </c>
      <c r="D118" s="813">
        <v>279</v>
      </c>
      <c r="E118" s="811">
        <f t="shared" ref="E118:O118" si="169">E119*E116</f>
        <v>286.932982241274</v>
      </c>
      <c r="F118" s="811">
        <f t="shared" si="169"/>
        <v>202.477682792407</v>
      </c>
      <c r="G118" s="811">
        <f t="shared" si="169"/>
        <v>255.903677893448</v>
      </c>
      <c r="H118" s="811">
        <f t="shared" si="169"/>
        <v>377.376019595836</v>
      </c>
      <c r="I118" s="811">
        <f t="shared" si="169"/>
        <v>412.039085731782</v>
      </c>
      <c r="J118" s="811">
        <f t="shared" si="169"/>
        <v>499.522213650643</v>
      </c>
      <c r="K118" s="811">
        <f t="shared" si="169"/>
        <v>519.503102196668</v>
      </c>
      <c r="L118" s="811">
        <f t="shared" si="169"/>
        <v>540.283226284535</v>
      </c>
      <c r="M118" s="811">
        <f t="shared" si="169"/>
        <v>561.894555335917</v>
      </c>
      <c r="N118" s="811">
        <f t="shared" si="169"/>
        <v>584.370337549353</v>
      </c>
      <c r="O118" s="811">
        <f t="shared" si="169"/>
        <v>607.745151051327</v>
      </c>
      <c r="P118" s="812">
        <f t="shared" ref="P118" si="170">P119*P116</f>
        <v>632.054957093381</v>
      </c>
      <c r="Q118" s="755">
        <f>O116*D119</f>
        <v>577.332751588611</v>
      </c>
      <c r="R118" s="755">
        <f>P116*E119</f>
        <v>607.454705083539</v>
      </c>
      <c r="X118" s="137"/>
      <c r="Y118" s="137"/>
      <c r="Z118" s="137"/>
    </row>
    <row r="119" spans="1:26">
      <c r="A119" s="832" t="s">
        <v>1163</v>
      </c>
      <c r="D119" s="833">
        <f>D118/D116</f>
        <v>0.170851194121249</v>
      </c>
      <c r="E119" s="834">
        <f>D119+0.002</f>
        <v>0.172851194121249</v>
      </c>
      <c r="F119" s="834">
        <f>E119+0.002</f>
        <v>0.174851194121249</v>
      </c>
      <c r="G119" s="834">
        <f>F119+0.002</f>
        <v>0.176851194121249</v>
      </c>
      <c r="H119" s="834">
        <f>G119+0.002</f>
        <v>0.178851194121249</v>
      </c>
      <c r="I119" s="834">
        <f>H119+0.001</f>
        <v>0.179851194121249</v>
      </c>
      <c r="J119" s="834">
        <f t="shared" ref="J119:P119" si="171">I119</f>
        <v>0.179851194121249</v>
      </c>
      <c r="K119" s="834">
        <f t="shared" si="171"/>
        <v>0.179851194121249</v>
      </c>
      <c r="L119" s="834">
        <f t="shared" si="171"/>
        <v>0.179851194121249</v>
      </c>
      <c r="M119" s="834">
        <f t="shared" si="171"/>
        <v>0.179851194121249</v>
      </c>
      <c r="N119" s="834">
        <f t="shared" si="171"/>
        <v>0.179851194121249</v>
      </c>
      <c r="O119" s="834">
        <f t="shared" si="171"/>
        <v>0.179851194121249</v>
      </c>
      <c r="P119" s="835">
        <f t="shared" si="171"/>
        <v>0.179851194121249</v>
      </c>
      <c r="X119" s="137"/>
      <c r="Y119" s="137"/>
      <c r="Z119" s="137"/>
    </row>
    <row r="120" spans="1:26">
      <c r="A120" s="827" t="s">
        <v>1164</v>
      </c>
      <c r="D120" s="813"/>
      <c r="E120" s="811"/>
      <c r="F120" s="811"/>
      <c r="G120" s="811"/>
      <c r="H120" s="811"/>
      <c r="I120" s="811"/>
      <c r="J120" s="811"/>
      <c r="K120" s="811"/>
      <c r="L120" s="811"/>
      <c r="M120" s="811"/>
      <c r="N120" s="811"/>
      <c r="O120" s="811"/>
      <c r="P120" s="812"/>
      <c r="X120" s="137"/>
      <c r="Y120" s="137"/>
      <c r="Z120" s="137"/>
    </row>
    <row r="121" spans="1:26">
      <c r="A121" s="809" t="s">
        <v>710</v>
      </c>
      <c r="D121" s="813">
        <f>'Profit and Loss'!Y127</f>
        <v>1144</v>
      </c>
      <c r="E121" s="811">
        <f>'Profit and Loss'!Z127</f>
        <v>1302</v>
      </c>
      <c r="F121" s="811">
        <f>'Profit and Loss'!AA127</f>
        <v>998</v>
      </c>
      <c r="G121" s="811">
        <f>'Profit and Loss'!AB127</f>
        <v>2181</v>
      </c>
      <c r="H121" s="811">
        <f>'Profit and Loss'!AC127</f>
        <v>2241</v>
      </c>
      <c r="I121" s="811">
        <f>'Profit and Loss'!AD127</f>
        <v>1255.5</v>
      </c>
      <c r="J121" s="811">
        <f>'Profit and Loss'!AE127</f>
        <v>1320.8465</v>
      </c>
      <c r="K121" s="811">
        <f t="shared" ref="K121:P121" si="172">J121*(1+K122)</f>
        <v>1413.305755</v>
      </c>
      <c r="L121" s="811">
        <f t="shared" si="172"/>
        <v>1512.23715785</v>
      </c>
      <c r="M121" s="811">
        <f t="shared" si="172"/>
        <v>1618.0937588995</v>
      </c>
      <c r="N121" s="811">
        <f t="shared" si="172"/>
        <v>1731.36032202247</v>
      </c>
      <c r="O121" s="811">
        <f t="shared" si="172"/>
        <v>1852.55554456404</v>
      </c>
      <c r="P121" s="812">
        <f t="shared" si="172"/>
        <v>1982.23443268352</v>
      </c>
      <c r="X121" s="137"/>
      <c r="Y121" s="137"/>
      <c r="Z121" s="137"/>
    </row>
    <row r="122" spans="1:26">
      <c r="A122" s="2129" t="s">
        <v>1140</v>
      </c>
      <c r="D122" s="813"/>
      <c r="E122" s="161">
        <f t="shared" ref="E122:J122" si="173">E121/D121-1</f>
        <v>0.138111888111888</v>
      </c>
      <c r="F122" s="161">
        <f t="shared" si="173"/>
        <v>-0.233486943164362</v>
      </c>
      <c r="G122" s="161">
        <f t="shared" si="173"/>
        <v>1.18537074148297</v>
      </c>
      <c r="H122" s="161">
        <f t="shared" si="173"/>
        <v>0.0275103163686383</v>
      </c>
      <c r="I122" s="161">
        <f t="shared" si="173"/>
        <v>-0.439759036144578</v>
      </c>
      <c r="J122" s="161">
        <f t="shared" si="173"/>
        <v>0.0520481879729193</v>
      </c>
      <c r="K122" s="161">
        <v>0.07</v>
      </c>
      <c r="L122" s="161">
        <f t="shared" ref="L122" si="174">K122</f>
        <v>0.07</v>
      </c>
      <c r="M122" s="161">
        <f t="shared" ref="M122" si="175">L122</f>
        <v>0.07</v>
      </c>
      <c r="N122" s="161">
        <f t="shared" ref="N122" si="176">M122</f>
        <v>0.07</v>
      </c>
      <c r="O122" s="161">
        <f t="shared" ref="O122:P122" si="177">N122</f>
        <v>0.07</v>
      </c>
      <c r="P122" s="815">
        <f t="shared" si="177"/>
        <v>0.07</v>
      </c>
      <c r="X122" s="137"/>
      <c r="Y122" s="137"/>
      <c r="Z122" s="137"/>
    </row>
    <row r="123" spans="1:26">
      <c r="A123" s="809" t="s">
        <v>131</v>
      </c>
      <c r="D123" s="813">
        <v>318</v>
      </c>
      <c r="E123" s="811">
        <f t="shared" ref="E123:O123" si="178">E124*E121</f>
        <v>364.52358041958</v>
      </c>
      <c r="F123" s="811">
        <f t="shared" si="178"/>
        <v>281.408083916084</v>
      </c>
      <c r="G123" s="811">
        <f t="shared" si="178"/>
        <v>619.342993006993</v>
      </c>
      <c r="H123" s="811">
        <f t="shared" si="178"/>
        <v>640.863314685315</v>
      </c>
      <c r="I123" s="811">
        <f t="shared" si="178"/>
        <v>360.293381118881</v>
      </c>
      <c r="J123" s="811">
        <f t="shared" si="178"/>
        <v>381.687691744755</v>
      </c>
      <c r="K123" s="811">
        <f t="shared" si="178"/>
        <v>409.819135921888</v>
      </c>
      <c r="L123" s="811">
        <f t="shared" si="178"/>
        <v>438.50647543642</v>
      </c>
      <c r="M123" s="811">
        <f t="shared" si="178"/>
        <v>469.20192871697</v>
      </c>
      <c r="N123" s="811">
        <f t="shared" si="178"/>
        <v>502.046063727158</v>
      </c>
      <c r="O123" s="811">
        <f t="shared" si="178"/>
        <v>537.189288188059</v>
      </c>
      <c r="P123" s="812">
        <f t="shared" ref="P123" si="179">P124*P121</f>
        <v>574.792538361223</v>
      </c>
      <c r="Q123" s="755">
        <f>O121*D124</f>
        <v>514.95862165329</v>
      </c>
      <c r="R123" s="755">
        <f>P121*E124</f>
        <v>554.970194034388</v>
      </c>
      <c r="X123" s="137"/>
      <c r="Y123" s="137"/>
      <c r="Z123" s="137"/>
    </row>
    <row r="124" spans="1:26">
      <c r="A124" s="827" t="s">
        <v>1163</v>
      </c>
      <c r="D124" s="828">
        <f>D123/D121</f>
        <v>0.277972027972028</v>
      </c>
      <c r="E124" s="829">
        <f>D124+0.002</f>
        <v>0.279972027972028</v>
      </c>
      <c r="F124" s="829">
        <f>E124+0.002</f>
        <v>0.281972027972028</v>
      </c>
      <c r="G124" s="829">
        <f>F124+0.002</f>
        <v>0.283972027972028</v>
      </c>
      <c r="H124" s="829">
        <f>G124+0.002</f>
        <v>0.285972027972028</v>
      </c>
      <c r="I124" s="829">
        <f>H124+0.001</f>
        <v>0.286972027972028</v>
      </c>
      <c r="J124" s="829">
        <f>I124+0.001+0.001</f>
        <v>0.288972027972028</v>
      </c>
      <c r="K124" s="829">
        <f>J124+0.001</f>
        <v>0.289972027972028</v>
      </c>
      <c r="L124" s="829">
        <f>K124</f>
        <v>0.289972027972028</v>
      </c>
      <c r="M124" s="829">
        <f>L124</f>
        <v>0.289972027972028</v>
      </c>
      <c r="N124" s="829">
        <f>M124</f>
        <v>0.289972027972028</v>
      </c>
      <c r="O124" s="829">
        <f>N124</f>
        <v>0.289972027972028</v>
      </c>
      <c r="P124" s="830">
        <f>O124</f>
        <v>0.289972027972028</v>
      </c>
      <c r="X124" s="137"/>
      <c r="Y124" s="137"/>
      <c r="Z124" s="137"/>
    </row>
    <row r="125" spans="1:26">
      <c r="A125" s="831" t="s">
        <v>787</v>
      </c>
      <c r="D125" s="806"/>
      <c r="E125" s="837"/>
      <c r="F125" s="837"/>
      <c r="G125" s="837"/>
      <c r="H125" s="837"/>
      <c r="I125" s="837"/>
      <c r="J125" s="837"/>
      <c r="K125" s="837"/>
      <c r="L125" s="837"/>
      <c r="M125" s="837"/>
      <c r="N125" s="837"/>
      <c r="O125" s="837"/>
      <c r="P125" s="838"/>
      <c r="X125" s="137"/>
      <c r="Y125" s="137"/>
      <c r="Z125" s="137"/>
    </row>
    <row r="126" spans="1:26">
      <c r="A126" s="809" t="s">
        <v>710</v>
      </c>
      <c r="D126" s="813">
        <f>'Profit and Loss'!Y122</f>
        <v>594</v>
      </c>
      <c r="E126" s="811">
        <f>'Profit and Loss'!Z122</f>
        <v>659</v>
      </c>
      <c r="F126" s="811">
        <f>'Profit and Loss'!AA122</f>
        <v>584</v>
      </c>
      <c r="G126" s="811">
        <f>'Profit and Loss'!AB122</f>
        <v>0</v>
      </c>
      <c r="H126" s="811">
        <f>'Profit and Loss'!AC122</f>
        <v>0</v>
      </c>
      <c r="I126" s="811">
        <f>'Profit and Loss'!AD122</f>
        <v>0</v>
      </c>
      <c r="J126" s="811">
        <f>'Profit and Loss'!AE122</f>
        <v>0</v>
      </c>
      <c r="K126" s="811">
        <f t="shared" ref="K126:P126" si="180">J126*(1+K127)</f>
        <v>0</v>
      </c>
      <c r="L126" s="811">
        <f t="shared" si="180"/>
        <v>0</v>
      </c>
      <c r="M126" s="811">
        <f t="shared" si="180"/>
        <v>0</v>
      </c>
      <c r="N126" s="811">
        <f t="shared" si="180"/>
        <v>0</v>
      </c>
      <c r="O126" s="811">
        <f t="shared" si="180"/>
        <v>0</v>
      </c>
      <c r="P126" s="812">
        <f t="shared" si="180"/>
        <v>0</v>
      </c>
      <c r="X126" s="137"/>
      <c r="Y126" s="137"/>
      <c r="Z126" s="137"/>
    </row>
    <row r="127" spans="1:26">
      <c r="A127" s="2129" t="s">
        <v>1140</v>
      </c>
      <c r="D127" s="813"/>
      <c r="E127" s="161">
        <f t="shared" ref="E127:J127" si="181">E126/D126-1</f>
        <v>0.109427609427609</v>
      </c>
      <c r="F127" s="161">
        <f t="shared" si="181"/>
        <v>-0.113808801213961</v>
      </c>
      <c r="G127" s="161">
        <f t="shared" si="181"/>
        <v>-1</v>
      </c>
      <c r="H127" s="161" t="e">
        <f t="shared" si="181"/>
        <v>#DIV/0!</v>
      </c>
      <c r="I127" s="161" t="e">
        <f t="shared" si="181"/>
        <v>#DIV/0!</v>
      </c>
      <c r="J127" s="161" t="e">
        <f t="shared" si="181"/>
        <v>#DIV/0!</v>
      </c>
      <c r="K127" s="161">
        <v>0.03</v>
      </c>
      <c r="L127" s="161">
        <v>0.03</v>
      </c>
      <c r="M127" s="161">
        <v>0.03</v>
      </c>
      <c r="N127" s="161">
        <v>0.03</v>
      </c>
      <c r="O127" s="161">
        <v>0.03</v>
      </c>
      <c r="P127" s="815">
        <v>0.03</v>
      </c>
      <c r="X127" s="137"/>
      <c r="Y127" s="137"/>
      <c r="Z127" s="137"/>
    </row>
    <row r="128" spans="1:26">
      <c r="A128" s="809" t="s">
        <v>131</v>
      </c>
      <c r="D128" s="813">
        <v>146</v>
      </c>
      <c r="E128" s="811">
        <f t="shared" ref="E128:O128" si="182">E129*E126</f>
        <v>163.294430976431</v>
      </c>
      <c r="F128" s="811">
        <f t="shared" si="182"/>
        <v>145.878087542087</v>
      </c>
      <c r="G128" s="811">
        <f t="shared" si="182"/>
        <v>0</v>
      </c>
      <c r="H128" s="811">
        <f t="shared" si="182"/>
        <v>0</v>
      </c>
      <c r="I128" s="811">
        <f t="shared" si="182"/>
        <v>0</v>
      </c>
      <c r="J128" s="811">
        <f t="shared" si="182"/>
        <v>0</v>
      </c>
      <c r="K128" s="811">
        <f t="shared" si="182"/>
        <v>0</v>
      </c>
      <c r="L128" s="811">
        <f t="shared" si="182"/>
        <v>0</v>
      </c>
      <c r="M128" s="811">
        <f t="shared" si="182"/>
        <v>0</v>
      </c>
      <c r="N128" s="811">
        <f t="shared" si="182"/>
        <v>0</v>
      </c>
      <c r="O128" s="811">
        <f t="shared" si="182"/>
        <v>0</v>
      </c>
      <c r="P128" s="812">
        <f t="shared" ref="P128" si="183">P129*P126</f>
        <v>0</v>
      </c>
      <c r="Q128" s="755">
        <f>O126*D129</f>
        <v>0</v>
      </c>
      <c r="R128" s="755">
        <f>P126*E129</f>
        <v>0</v>
      </c>
      <c r="X128" s="137"/>
      <c r="Y128" s="137"/>
      <c r="Z128" s="137"/>
    </row>
    <row r="129" spans="1:26">
      <c r="A129" s="832" t="s">
        <v>1163</v>
      </c>
      <c r="D129" s="833">
        <f>D128/D126</f>
        <v>0.245791245791246</v>
      </c>
      <c r="E129" s="834">
        <f>D129+0.002</f>
        <v>0.247791245791246</v>
      </c>
      <c r="F129" s="834">
        <f>E129+0.002</f>
        <v>0.249791245791246</v>
      </c>
      <c r="G129" s="834">
        <f>F129+0.002</f>
        <v>0.251791245791246</v>
      </c>
      <c r="H129" s="834">
        <f>G129+0.002</f>
        <v>0.253791245791246</v>
      </c>
      <c r="I129" s="834">
        <f>H129+0.001</f>
        <v>0.254791245791246</v>
      </c>
      <c r="J129" s="834">
        <f t="shared" ref="J129:P129" si="184">I129</f>
        <v>0.254791245791246</v>
      </c>
      <c r="K129" s="834">
        <f t="shared" si="184"/>
        <v>0.254791245791246</v>
      </c>
      <c r="L129" s="834">
        <f t="shared" si="184"/>
        <v>0.254791245791246</v>
      </c>
      <c r="M129" s="834">
        <f t="shared" si="184"/>
        <v>0.254791245791246</v>
      </c>
      <c r="N129" s="834">
        <f t="shared" si="184"/>
        <v>0.254791245791246</v>
      </c>
      <c r="O129" s="834">
        <f t="shared" si="184"/>
        <v>0.254791245791246</v>
      </c>
      <c r="P129" s="835">
        <f t="shared" si="184"/>
        <v>0.254791245791246</v>
      </c>
      <c r="X129" s="137"/>
      <c r="Y129" s="137"/>
      <c r="Z129" s="137"/>
    </row>
    <row r="130" spans="1:26">
      <c r="A130" s="827" t="s">
        <v>767</v>
      </c>
      <c r="D130" s="813"/>
      <c r="E130" s="811"/>
      <c r="F130" s="811"/>
      <c r="G130" s="811"/>
      <c r="H130" s="811"/>
      <c r="I130" s="811"/>
      <c r="J130" s="811"/>
      <c r="K130" s="811"/>
      <c r="L130" s="811"/>
      <c r="M130" s="811"/>
      <c r="N130" s="811"/>
      <c r="O130" s="811"/>
      <c r="P130" s="812"/>
      <c r="X130" s="137"/>
      <c r="Y130" s="137"/>
      <c r="Z130" s="137"/>
    </row>
    <row r="131" spans="1:26">
      <c r="A131" s="809" t="s">
        <v>710</v>
      </c>
      <c r="D131" s="813">
        <f>'Profit and Loss'!Y137</f>
        <v>831</v>
      </c>
      <c r="E131" s="811">
        <f>'Profit and Loss'!Z137</f>
        <v>605</v>
      </c>
      <c r="F131" s="811">
        <f>'Profit and Loss'!AA137</f>
        <v>476</v>
      </c>
      <c r="G131" s="811">
        <f>'Profit and Loss'!AB137</f>
        <v>144.000000000002</v>
      </c>
      <c r="H131" s="811">
        <f>'Profit and Loss'!AC137</f>
        <v>150</v>
      </c>
      <c r="I131" s="811">
        <f>'Profit and Loss'!AD137</f>
        <v>199</v>
      </c>
      <c r="J131" s="811">
        <f>'Profit and Loss'!AE137</f>
        <v>104</v>
      </c>
      <c r="K131" s="811">
        <f t="shared" ref="K131:P131" si="185">J131*(1+K132)</f>
        <v>104</v>
      </c>
      <c r="L131" s="811">
        <f t="shared" si="185"/>
        <v>104</v>
      </c>
      <c r="M131" s="811">
        <f t="shared" si="185"/>
        <v>104</v>
      </c>
      <c r="N131" s="811">
        <f t="shared" si="185"/>
        <v>104</v>
      </c>
      <c r="O131" s="811">
        <f t="shared" si="185"/>
        <v>104</v>
      </c>
      <c r="P131" s="812">
        <f t="shared" si="185"/>
        <v>104</v>
      </c>
      <c r="X131" s="137"/>
      <c r="Y131" s="137"/>
      <c r="Z131" s="137"/>
    </row>
    <row r="132" spans="1:26">
      <c r="A132" s="2129" t="s">
        <v>1140</v>
      </c>
      <c r="D132" s="813"/>
      <c r="E132" s="161">
        <f t="shared" ref="E132:J132" si="186">E131/D131-1</f>
        <v>-0.271961492178099</v>
      </c>
      <c r="F132" s="161">
        <f t="shared" si="186"/>
        <v>-0.213223140495868</v>
      </c>
      <c r="G132" s="161">
        <f t="shared" si="186"/>
        <v>-0.697478991596635</v>
      </c>
      <c r="H132" s="161">
        <f t="shared" si="186"/>
        <v>0.0416666666666539</v>
      </c>
      <c r="I132" s="161">
        <f t="shared" si="186"/>
        <v>0.326666666666667</v>
      </c>
      <c r="J132" s="161">
        <f t="shared" si="186"/>
        <v>-0.477386934673367</v>
      </c>
      <c r="K132" s="161">
        <v>0</v>
      </c>
      <c r="L132" s="161">
        <v>0</v>
      </c>
      <c r="M132" s="161">
        <v>0</v>
      </c>
      <c r="N132" s="161">
        <v>0</v>
      </c>
      <c r="O132" s="161">
        <v>0</v>
      </c>
      <c r="P132" s="815">
        <v>0</v>
      </c>
      <c r="X132" s="137"/>
      <c r="Y132" s="137"/>
      <c r="Z132" s="137"/>
    </row>
    <row r="133" spans="1:26">
      <c r="A133" s="809" t="s">
        <v>131</v>
      </c>
      <c r="D133" s="813">
        <v>162</v>
      </c>
      <c r="E133" s="811">
        <f t="shared" ref="E133:O133" si="187">E134*E131</f>
        <v>117.942238267148</v>
      </c>
      <c r="F133" s="811">
        <f t="shared" si="187"/>
        <v>92.7942238267148</v>
      </c>
      <c r="G133" s="811">
        <f t="shared" si="187"/>
        <v>28.0722021660653</v>
      </c>
      <c r="H133" s="811">
        <f t="shared" si="187"/>
        <v>29.2418772563177</v>
      </c>
      <c r="I133" s="811">
        <f t="shared" si="187"/>
        <v>38.7942238267148</v>
      </c>
      <c r="J133" s="811">
        <f t="shared" si="187"/>
        <v>20.3783682310469</v>
      </c>
      <c r="K133" s="811">
        <f t="shared" si="187"/>
        <v>20.4823682310469</v>
      </c>
      <c r="L133" s="811">
        <f t="shared" si="187"/>
        <v>20.5863682310469</v>
      </c>
      <c r="M133" s="811">
        <f t="shared" si="187"/>
        <v>20.6903682310469</v>
      </c>
      <c r="N133" s="811">
        <f t="shared" si="187"/>
        <v>20.7943682310469</v>
      </c>
      <c r="O133" s="811">
        <f t="shared" si="187"/>
        <v>20.7943682310469</v>
      </c>
      <c r="P133" s="812">
        <f t="shared" ref="P133" si="188">P134*P131</f>
        <v>20.7943682310469</v>
      </c>
      <c r="Q133" s="755">
        <f>O131*D134</f>
        <v>20.2743682310469</v>
      </c>
      <c r="R133" s="755">
        <f>P131*E134</f>
        <v>20.2743682310469</v>
      </c>
      <c r="X133" s="137"/>
      <c r="Y133" s="137"/>
      <c r="Z133" s="137"/>
    </row>
    <row r="134" spans="1:26">
      <c r="A134" s="827" t="s">
        <v>1163</v>
      </c>
      <c r="D134" s="828">
        <f>D133/D131</f>
        <v>0.194945848375451</v>
      </c>
      <c r="E134" s="829">
        <f t="shared" ref="E134:P134" si="189">D134</f>
        <v>0.194945848375451</v>
      </c>
      <c r="F134" s="829">
        <f t="shared" si="189"/>
        <v>0.194945848375451</v>
      </c>
      <c r="G134" s="829">
        <f t="shared" si="189"/>
        <v>0.194945848375451</v>
      </c>
      <c r="H134" s="829">
        <f t="shared" si="189"/>
        <v>0.194945848375451</v>
      </c>
      <c r="I134" s="829">
        <f t="shared" si="189"/>
        <v>0.194945848375451</v>
      </c>
      <c r="J134" s="829">
        <f>I134+0.001</f>
        <v>0.195945848375451</v>
      </c>
      <c r="K134" s="829">
        <f t="shared" ref="K134:N134" si="190">J134+0.001</f>
        <v>0.196945848375451</v>
      </c>
      <c r="L134" s="829">
        <f t="shared" si="190"/>
        <v>0.197945848375451</v>
      </c>
      <c r="M134" s="829">
        <f t="shared" si="190"/>
        <v>0.198945848375451</v>
      </c>
      <c r="N134" s="829">
        <f t="shared" si="190"/>
        <v>0.199945848375451</v>
      </c>
      <c r="O134" s="829">
        <f t="shared" si="189"/>
        <v>0.199945848375451</v>
      </c>
      <c r="P134" s="830">
        <f t="shared" si="189"/>
        <v>0.199945848375451</v>
      </c>
      <c r="X134" s="137"/>
      <c r="Y134" s="137"/>
      <c r="Z134" s="137"/>
    </row>
    <row r="135" spans="1:26">
      <c r="A135" s="831" t="s">
        <v>789</v>
      </c>
      <c r="D135" s="806"/>
      <c r="E135" s="837"/>
      <c r="F135" s="837"/>
      <c r="G135" s="837"/>
      <c r="H135" s="837"/>
      <c r="I135" s="837"/>
      <c r="J135" s="837"/>
      <c r="K135" s="837"/>
      <c r="L135" s="837"/>
      <c r="M135" s="837"/>
      <c r="N135" s="837"/>
      <c r="O135" s="837"/>
      <c r="P135" s="838"/>
      <c r="X135" s="137"/>
      <c r="Y135" s="137"/>
      <c r="Z135" s="137"/>
    </row>
    <row r="136" spans="1:26">
      <c r="A136" s="809" t="s">
        <v>710</v>
      </c>
      <c r="D136" s="810">
        <f t="shared" ref="D136:O136" si="191">D131+D126+D121+D116+D111+D106+D101</f>
        <v>21915</v>
      </c>
      <c r="E136" s="811">
        <f t="shared" si="191"/>
        <v>23641</v>
      </c>
      <c r="F136" s="811">
        <f t="shared" si="191"/>
        <v>19844</v>
      </c>
      <c r="G136" s="811">
        <f t="shared" si="191"/>
        <v>21234</v>
      </c>
      <c r="H136" s="811">
        <f t="shared" si="191"/>
        <v>22628</v>
      </c>
      <c r="I136" s="811">
        <f t="shared" si="191"/>
        <v>17744</v>
      </c>
      <c r="J136" s="811">
        <f t="shared" si="191"/>
        <v>19775.003</v>
      </c>
      <c r="K136" s="811">
        <f t="shared" si="191"/>
        <v>21092.492495</v>
      </c>
      <c r="L136" s="811">
        <f t="shared" si="191"/>
        <v>22514.55774545</v>
      </c>
      <c r="M136" s="811">
        <f t="shared" si="191"/>
        <v>24050.4861858035</v>
      </c>
      <c r="N136" s="811">
        <f t="shared" si="191"/>
        <v>25710.4413633826</v>
      </c>
      <c r="O136" s="811">
        <f t="shared" si="191"/>
        <v>27505.5480366966</v>
      </c>
      <c r="P136" s="812">
        <f t="shared" ref="P136" si="192">P131+P126+P121+P116+P111+P106+P101</f>
        <v>29447.9856545312</v>
      </c>
      <c r="X136" s="137"/>
      <c r="Y136" s="137"/>
      <c r="Z136" s="137"/>
    </row>
    <row r="137" spans="1:26">
      <c r="A137" s="2129" t="s">
        <v>1140</v>
      </c>
      <c r="D137" s="813"/>
      <c r="E137" s="161">
        <f t="shared" ref="E137:P137" si="193">E136/D136-1</f>
        <v>0.0787588409764999</v>
      </c>
      <c r="F137" s="161">
        <f t="shared" si="193"/>
        <v>-0.160610803265513</v>
      </c>
      <c r="G137" s="161">
        <f t="shared" si="193"/>
        <v>0.0700463616206413</v>
      </c>
      <c r="H137" s="161">
        <f t="shared" si="193"/>
        <v>0.0656494301591786</v>
      </c>
      <c r="I137" s="161">
        <f t="shared" si="193"/>
        <v>-0.215838783807672</v>
      </c>
      <c r="J137" s="161">
        <f t="shared" si="193"/>
        <v>0.114461395401262</v>
      </c>
      <c r="K137" s="161">
        <f t="shared" si="193"/>
        <v>0.0666239845829608</v>
      </c>
      <c r="L137" s="161">
        <f t="shared" si="193"/>
        <v>0.0674204459613821</v>
      </c>
      <c r="M137" s="161">
        <f t="shared" si="193"/>
        <v>0.0682193475758543</v>
      </c>
      <c r="N137" s="161">
        <f t="shared" si="193"/>
        <v>0.0690196100301275</v>
      </c>
      <c r="O137" s="161">
        <f t="shared" si="193"/>
        <v>0.0698201422504794</v>
      </c>
      <c r="P137" s="815">
        <f t="shared" si="193"/>
        <v>0.0706198478664408</v>
      </c>
      <c r="X137" s="137"/>
      <c r="Y137" s="137"/>
      <c r="Z137" s="137"/>
    </row>
    <row r="138" spans="1:26">
      <c r="A138" s="809" t="s">
        <v>1165</v>
      </c>
      <c r="D138" s="810">
        <f t="shared" ref="D138:O138" si="194">D133+D128+D123+D118+D113+D108+D103</f>
        <v>5118</v>
      </c>
      <c r="E138" s="811">
        <f t="shared" si="194"/>
        <v>5632.85895551622</v>
      </c>
      <c r="F138" s="811">
        <f t="shared" si="194"/>
        <v>4731.6733074584</v>
      </c>
      <c r="G138" s="811">
        <f t="shared" si="194"/>
        <v>4868.73637435069</v>
      </c>
      <c r="H138" s="811">
        <f t="shared" si="194"/>
        <v>4952.94604852914</v>
      </c>
      <c r="I138" s="811">
        <f t="shared" si="194"/>
        <v>3917.87260560554</v>
      </c>
      <c r="J138" s="811">
        <f t="shared" si="194"/>
        <v>4365.90487909915</v>
      </c>
      <c r="K138" s="811">
        <f t="shared" si="194"/>
        <v>4672.93141806455</v>
      </c>
      <c r="L138" s="811">
        <f t="shared" si="194"/>
        <v>5004.01443348321</v>
      </c>
      <c r="M138" s="811">
        <f t="shared" si="194"/>
        <v>5362.81357907302</v>
      </c>
      <c r="N138" s="811">
        <f t="shared" si="194"/>
        <v>5744.68150294443</v>
      </c>
      <c r="O138" s="811">
        <f t="shared" si="194"/>
        <v>6158.10160157861</v>
      </c>
      <c r="P138" s="812">
        <f t="shared" ref="P138:R138" si="195">P133+P128+P123+P118+P113+P108+P103</f>
        <v>6606.05312402538</v>
      </c>
      <c r="Q138" s="755">
        <f t="shared" si="195"/>
        <v>5808.72974009126</v>
      </c>
      <c r="R138" s="755">
        <f t="shared" si="195"/>
        <v>6346.65877076056</v>
      </c>
      <c r="X138" s="137"/>
      <c r="Y138" s="137"/>
      <c r="Z138" s="137"/>
    </row>
    <row r="139" spans="1:26">
      <c r="A139" s="832" t="s">
        <v>1163</v>
      </c>
      <c r="D139" s="833">
        <f t="shared" ref="D139:O139" si="196">D138/D136</f>
        <v>0.233538672142368</v>
      </c>
      <c r="E139" s="834">
        <f t="shared" si="196"/>
        <v>0.238266526607006</v>
      </c>
      <c r="F139" s="834">
        <f t="shared" si="196"/>
        <v>0.238443524866882</v>
      </c>
      <c r="G139" s="834">
        <f t="shared" si="196"/>
        <v>0.229289647468715</v>
      </c>
      <c r="H139" s="834">
        <f t="shared" si="196"/>
        <v>0.21888571895568</v>
      </c>
      <c r="I139" s="834">
        <f t="shared" si="196"/>
        <v>0.220799853787508</v>
      </c>
      <c r="J139" s="834">
        <f t="shared" si="196"/>
        <v>0.220778974298975</v>
      </c>
      <c r="K139" s="834">
        <f t="shared" si="196"/>
        <v>0.221544770926066</v>
      </c>
      <c r="L139" s="834">
        <f t="shared" si="196"/>
        <v>0.222256838888807</v>
      </c>
      <c r="M139" s="834">
        <f t="shared" si="196"/>
        <v>0.222981503893197</v>
      </c>
      <c r="N139" s="834">
        <f t="shared" si="196"/>
        <v>0.223437685170435</v>
      </c>
      <c r="O139" s="834">
        <f t="shared" si="196"/>
        <v>0.22388579908907</v>
      </c>
      <c r="P139" s="835">
        <f t="shared" ref="P139" si="197">P138/P136</f>
        <v>0.224329541637389</v>
      </c>
      <c r="Q139" s="755">
        <f>Q138/O136</f>
        <v>0.211183930323494</v>
      </c>
      <c r="R139" s="755">
        <f>R138/P136</f>
        <v>0.215520981476164</v>
      </c>
      <c r="X139" s="137"/>
      <c r="Y139" s="137"/>
      <c r="Z139" s="137"/>
    </row>
    <row r="140" spans="1:26">
      <c r="A140" s="809"/>
      <c r="D140" s="813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814"/>
      <c r="X140" s="137"/>
      <c r="Y140" s="137"/>
      <c r="Z140" s="137"/>
    </row>
    <row r="141" spans="1:26">
      <c r="A141" s="809" t="s">
        <v>825</v>
      </c>
      <c r="D141" s="810">
        <f t="shared" ref="D141:J141" si="198">D138-D143</f>
        <v>2750</v>
      </c>
      <c r="E141" s="811">
        <f t="shared" si="198"/>
        <v>2972.85895551622</v>
      </c>
      <c r="F141" s="811">
        <f t="shared" si="198"/>
        <v>3980.6733074584</v>
      </c>
      <c r="G141" s="811">
        <f t="shared" si="198"/>
        <v>2882.73637435069</v>
      </c>
      <c r="H141" s="811">
        <f t="shared" si="198"/>
        <v>4283.94604852914</v>
      </c>
      <c r="I141" s="811">
        <f t="shared" si="198"/>
        <v>3717.87260560554</v>
      </c>
      <c r="J141" s="811">
        <f t="shared" si="198"/>
        <v>3228.90487909916</v>
      </c>
      <c r="K141" s="811">
        <f t="shared" ref="K141:O141" si="199">K136*K142</f>
        <v>3401.84240299411</v>
      </c>
      <c r="L141" s="811">
        <f t="shared" si="199"/>
        <v>3586.16701940341</v>
      </c>
      <c r="M141" s="811">
        <f t="shared" si="199"/>
        <v>3782.71202139355</v>
      </c>
      <c r="N141" s="811">
        <f t="shared" si="199"/>
        <v>3992.37244723965</v>
      </c>
      <c r="O141" s="811">
        <f t="shared" si="199"/>
        <v>4243.61491138612</v>
      </c>
      <c r="P141" s="812">
        <f t="shared" ref="P141" si="200">P136*P142</f>
        <v>4513.85036517743</v>
      </c>
      <c r="X141" s="137"/>
      <c r="Y141" s="137"/>
      <c r="Z141" s="137"/>
    </row>
    <row r="142" spans="1:26">
      <c r="A142" s="2137" t="s">
        <v>1166</v>
      </c>
      <c r="D142" s="828">
        <f t="shared" ref="D142:J142" si="201">D141/D136</f>
        <v>0.125484827743555</v>
      </c>
      <c r="E142" s="829">
        <f t="shared" si="201"/>
        <v>0.125750135591397</v>
      </c>
      <c r="F142" s="829">
        <f t="shared" si="201"/>
        <v>0.20059833236537</v>
      </c>
      <c r="G142" s="829">
        <f t="shared" si="201"/>
        <v>0.135760401919125</v>
      </c>
      <c r="H142" s="829">
        <f t="shared" si="201"/>
        <v>0.189320578421829</v>
      </c>
      <c r="I142" s="829">
        <f t="shared" si="201"/>
        <v>0.209528438097697</v>
      </c>
      <c r="J142" s="829">
        <f t="shared" si="201"/>
        <v>0.163282143577888</v>
      </c>
      <c r="K142" s="829">
        <f>J142-0.002</f>
        <v>0.161282143577888</v>
      </c>
      <c r="L142" s="829">
        <f>K142-0.002</f>
        <v>0.159282143577888</v>
      </c>
      <c r="M142" s="829">
        <f>L142-0.002</f>
        <v>0.157282143577888</v>
      </c>
      <c r="N142" s="829">
        <f>M142-0.002</f>
        <v>0.155282143577888</v>
      </c>
      <c r="O142" s="829">
        <f>N142-0.001</f>
        <v>0.154282143577888</v>
      </c>
      <c r="P142" s="829">
        <f>O142-0.001</f>
        <v>0.153282143577888</v>
      </c>
      <c r="Q142" s="839">
        <f>O142-E142</f>
        <v>0.0285320079864907</v>
      </c>
      <c r="R142" s="839">
        <f>P142-F142</f>
        <v>-0.0473161887874821</v>
      </c>
      <c r="X142" s="137"/>
      <c r="Y142" s="137"/>
      <c r="Z142" s="137"/>
    </row>
    <row r="143" spans="1:26">
      <c r="A143" s="809" t="s">
        <v>1167</v>
      </c>
      <c r="D143" s="811">
        <f>'Profit and Loss'!Y373</f>
        <v>2368</v>
      </c>
      <c r="E143" s="811">
        <f>'Profit and Loss'!Z373</f>
        <v>2660</v>
      </c>
      <c r="F143" s="811">
        <f>'Profit and Loss'!AA373</f>
        <v>751</v>
      </c>
      <c r="G143" s="811">
        <f>'Profit and Loss'!AB373</f>
        <v>1986</v>
      </c>
      <c r="H143" s="811">
        <f>'Profit and Loss'!AC373</f>
        <v>669</v>
      </c>
      <c r="I143" s="811">
        <f>'Profit and Loss'!AD373</f>
        <v>200.000000000002</v>
      </c>
      <c r="J143" s="811">
        <f>'Profit and Loss'!AE373</f>
        <v>1136.99999999999</v>
      </c>
      <c r="K143" s="811">
        <f t="shared" ref="K143:O143" si="202">K138-K141</f>
        <v>1271.08901507044</v>
      </c>
      <c r="L143" s="811">
        <f t="shared" si="202"/>
        <v>1417.8474140798</v>
      </c>
      <c r="M143" s="811">
        <f t="shared" si="202"/>
        <v>1580.10155767947</v>
      </c>
      <c r="N143" s="811">
        <f t="shared" si="202"/>
        <v>1752.30905570478</v>
      </c>
      <c r="O143" s="811">
        <f t="shared" si="202"/>
        <v>1914.4866901925</v>
      </c>
      <c r="P143" s="812">
        <f t="shared" ref="P143" si="203">P138-P141</f>
        <v>2092.20275884795</v>
      </c>
      <c r="X143" s="137"/>
      <c r="Y143" s="137"/>
      <c r="Z143" s="137"/>
    </row>
    <row r="144" spans="1:26">
      <c r="A144" s="2129" t="s">
        <v>1140</v>
      </c>
      <c r="D144" s="813"/>
      <c r="E144" s="161">
        <f t="shared" ref="E144:P144" si="204">E143/D143-1</f>
        <v>0.123310810810811</v>
      </c>
      <c r="F144" s="161">
        <f t="shared" si="204"/>
        <v>-0.717669172932331</v>
      </c>
      <c r="G144" s="161">
        <f t="shared" si="204"/>
        <v>1.64447403462051</v>
      </c>
      <c r="H144" s="161">
        <f t="shared" si="204"/>
        <v>-0.663141993957704</v>
      </c>
      <c r="I144" s="161">
        <f t="shared" si="204"/>
        <v>-0.701046337817636</v>
      </c>
      <c r="J144" s="161">
        <f t="shared" si="204"/>
        <v>4.68499999999992</v>
      </c>
      <c r="K144" s="161">
        <f t="shared" si="204"/>
        <v>0.117932291178935</v>
      </c>
      <c r="L144" s="161">
        <f t="shared" si="204"/>
        <v>0.115458789486295</v>
      </c>
      <c r="M144" s="161">
        <f t="shared" si="204"/>
        <v>0.114436957029665</v>
      </c>
      <c r="N144" s="161">
        <f t="shared" si="204"/>
        <v>0.108985082122324</v>
      </c>
      <c r="O144" s="161">
        <f t="shared" si="204"/>
        <v>0.0925508168548999</v>
      </c>
      <c r="P144" s="815">
        <f t="shared" si="204"/>
        <v>0.0928270066153245</v>
      </c>
      <c r="X144" s="137"/>
      <c r="Y144" s="137"/>
      <c r="Z144" s="137"/>
    </row>
    <row r="145" spans="1:26">
      <c r="A145" s="832" t="s">
        <v>1168</v>
      </c>
      <c r="D145" s="833">
        <f t="shared" ref="D145:P145" si="205">D143/D136</f>
        <v>0.108053844398814</v>
      </c>
      <c r="E145" s="834">
        <f t="shared" si="205"/>
        <v>0.112516391015608</v>
      </c>
      <c r="F145" s="834">
        <f t="shared" si="205"/>
        <v>0.0378451925015118</v>
      </c>
      <c r="G145" s="834">
        <f t="shared" si="205"/>
        <v>0.0935292455495902</v>
      </c>
      <c r="H145" s="834">
        <f t="shared" si="205"/>
        <v>0.0295651405338519</v>
      </c>
      <c r="I145" s="834">
        <f t="shared" si="205"/>
        <v>0.0112714156898107</v>
      </c>
      <c r="J145" s="834">
        <f t="shared" si="205"/>
        <v>0.0574968307210872</v>
      </c>
      <c r="K145" s="834">
        <f t="shared" si="205"/>
        <v>0.0602626273481787</v>
      </c>
      <c r="L145" s="834">
        <f t="shared" si="205"/>
        <v>0.0629746953109188</v>
      </c>
      <c r="M145" s="834">
        <f t="shared" si="205"/>
        <v>0.0656993603153093</v>
      </c>
      <c r="N145" s="834">
        <f t="shared" si="205"/>
        <v>0.0681555415925476</v>
      </c>
      <c r="O145" s="834">
        <f t="shared" si="205"/>
        <v>0.069603655511182</v>
      </c>
      <c r="P145" s="835">
        <f t="shared" si="205"/>
        <v>0.0710473980595008</v>
      </c>
      <c r="X145" s="137"/>
      <c r="Y145" s="137"/>
      <c r="Z145" s="137"/>
    </row>
    <row r="146" spans="1:26">
      <c r="A146" s="137"/>
      <c r="D146" s="137"/>
      <c r="E146" s="188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X146" s="137"/>
      <c r="Y146" s="137"/>
      <c r="Z146" s="137"/>
    </row>
    <row r="147" spans="1:26">
      <c r="A147" s="137"/>
      <c r="D147" s="137"/>
      <c r="E147" s="188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X147" s="137"/>
      <c r="Y147" s="137"/>
      <c r="Z147" s="137"/>
    </row>
    <row r="148" spans="1:26">
      <c r="A148" s="801"/>
      <c r="D148" s="802">
        <v>2018</v>
      </c>
      <c r="E148" s="803">
        <v>2019</v>
      </c>
      <c r="F148" s="803" t="s">
        <v>778</v>
      </c>
      <c r="G148" s="803" t="s">
        <v>779</v>
      </c>
      <c r="H148" s="803" t="s">
        <v>780</v>
      </c>
      <c r="I148" s="803" t="s">
        <v>781</v>
      </c>
      <c r="J148" s="803" t="s">
        <v>864</v>
      </c>
      <c r="K148" s="803" t="s">
        <v>865</v>
      </c>
      <c r="L148" s="803" t="s">
        <v>863</v>
      </c>
      <c r="M148" s="803" t="s">
        <v>888</v>
      </c>
      <c r="N148" s="803" t="s">
        <v>889</v>
      </c>
      <c r="O148" s="803" t="s">
        <v>892</v>
      </c>
      <c r="P148" s="804" t="s">
        <v>968</v>
      </c>
      <c r="X148" s="137"/>
      <c r="Y148" s="137"/>
      <c r="Z148" s="137"/>
    </row>
    <row r="149" spans="1:26">
      <c r="A149" s="809" t="s">
        <v>1169</v>
      </c>
      <c r="D149" s="806"/>
      <c r="E149" s="807"/>
      <c r="F149" s="807"/>
      <c r="G149" s="807"/>
      <c r="H149" s="807"/>
      <c r="I149" s="807"/>
      <c r="J149" s="807"/>
      <c r="K149" s="807"/>
      <c r="L149" s="807"/>
      <c r="M149" s="807"/>
      <c r="N149" s="807"/>
      <c r="O149" s="807"/>
      <c r="P149" s="808"/>
      <c r="X149" s="137"/>
      <c r="Y149" s="137"/>
      <c r="Z149" s="137"/>
    </row>
    <row r="150" spans="1:26">
      <c r="A150" s="809" t="s">
        <v>1170</v>
      </c>
      <c r="D150" s="810">
        <f t="shared" ref="D150:O150" si="206">D155-D151</f>
        <v>19937.9979139895</v>
      </c>
      <c r="E150" s="811">
        <f t="shared" si="206"/>
        <v>20975.5281509537</v>
      </c>
      <c r="F150" s="811">
        <f t="shared" si="206"/>
        <v>15835.4658157268</v>
      </c>
      <c r="G150" s="811">
        <f t="shared" si="206"/>
        <v>17425.7066827992</v>
      </c>
      <c r="H150" s="811">
        <f t="shared" si="206"/>
        <v>18478.0869536784</v>
      </c>
      <c r="I150" s="811">
        <f t="shared" si="206"/>
        <v>13956.9008122108</v>
      </c>
      <c r="J150" s="811">
        <f t="shared" si="206"/>
        <v>15850.2674980115</v>
      </c>
      <c r="K150" s="811">
        <f t="shared" si="206"/>
        <v>17025.1184979749</v>
      </c>
      <c r="L150" s="811">
        <f t="shared" si="206"/>
        <v>17837.0776488712</v>
      </c>
      <c r="M150" s="811">
        <f t="shared" si="206"/>
        <v>18905.2580795668</v>
      </c>
      <c r="N150" s="811">
        <f t="shared" si="206"/>
        <v>20050.6904465222</v>
      </c>
      <c r="O150" s="811">
        <f t="shared" si="206"/>
        <v>21393.0170464874</v>
      </c>
      <c r="P150" s="812">
        <f t="shared" ref="P150" si="207">P155-P151</f>
        <v>22846.4521851052</v>
      </c>
      <c r="X150" s="137"/>
      <c r="Y150" s="137"/>
      <c r="Z150" s="137"/>
    </row>
    <row r="151" spans="1:26">
      <c r="A151" s="809" t="s">
        <v>1171</v>
      </c>
      <c r="D151" s="810">
        <f>'Profit and Loss'!Y21</f>
        <v>1977.00208601049</v>
      </c>
      <c r="E151" s="811">
        <f>'Profit and Loss'!Z21</f>
        <v>2665.47184904633</v>
      </c>
      <c r="F151" s="811">
        <f>'Profit and Loss'!AA21</f>
        <v>4008.53418427324</v>
      </c>
      <c r="G151" s="811">
        <f>'Profit and Loss'!AB21</f>
        <v>3808.29331720076</v>
      </c>
      <c r="H151" s="811">
        <f>'Profit and Loss'!AC21</f>
        <v>4149.91304632156</v>
      </c>
      <c r="I151" s="811">
        <f>'Profit and Loss'!AD21</f>
        <v>3787.0991877892</v>
      </c>
      <c r="J151" s="811">
        <f>'Profit and Loss'!AE21</f>
        <v>3924.73550198845</v>
      </c>
      <c r="K151" s="811">
        <f t="shared" ref="K151:P151" si="208">J151*(1+K152)</f>
        <v>4067.37399702507</v>
      </c>
      <c r="L151" s="811">
        <f t="shared" si="208"/>
        <v>4677.48009657883</v>
      </c>
      <c r="M151" s="811">
        <f t="shared" si="208"/>
        <v>5145.22810623671</v>
      </c>
      <c r="N151" s="811">
        <f t="shared" si="208"/>
        <v>5659.75091686039</v>
      </c>
      <c r="O151" s="811">
        <f t="shared" si="208"/>
        <v>6112.53099020922</v>
      </c>
      <c r="P151" s="812">
        <f t="shared" si="208"/>
        <v>6601.53346942596</v>
      </c>
      <c r="X151" s="137"/>
      <c r="Y151" s="137"/>
      <c r="Z151" s="137"/>
    </row>
    <row r="152" spans="1:26">
      <c r="A152" s="2129" t="s">
        <v>1140</v>
      </c>
      <c r="D152" s="816">
        <f>'Profit and Loss'!Y24</f>
        <v>0.36</v>
      </c>
      <c r="E152" s="161">
        <f>'Profit and Loss'!Z24</f>
        <v>0.33</v>
      </c>
      <c r="F152" s="161">
        <f>F151/E151-1</f>
        <v>0.503874139847865</v>
      </c>
      <c r="G152" s="161">
        <f>G151/F151-1</f>
        <v>-0.049953638379359</v>
      </c>
      <c r="H152" s="161">
        <f>H151/G151-1</f>
        <v>0.0897041537157393</v>
      </c>
      <c r="I152" s="161">
        <f>I151/H151-1</f>
        <v>-0.0874268579805427</v>
      </c>
      <c r="J152" s="161">
        <f>J151/I151-1</f>
        <v>0.036343466958308</v>
      </c>
      <c r="K152" s="161">
        <f>J152</f>
        <v>0.036343466958308</v>
      </c>
      <c r="L152" s="161">
        <v>0.15</v>
      </c>
      <c r="M152" s="161">
        <v>0.1</v>
      </c>
      <c r="N152" s="161">
        <f>M152</f>
        <v>0.1</v>
      </c>
      <c r="O152" s="161">
        <v>0.08</v>
      </c>
      <c r="P152" s="815">
        <v>0.08</v>
      </c>
      <c r="X152" s="137"/>
      <c r="Y152" s="137"/>
      <c r="Z152" s="137"/>
    </row>
    <row r="153" spans="1:26">
      <c r="A153" s="2129" t="s">
        <v>1172</v>
      </c>
      <c r="D153" s="816">
        <f t="shared" ref="D153:O153" si="209">D151/D155</f>
        <v>0.0902122786224272</v>
      </c>
      <c r="E153" s="161">
        <f t="shared" si="209"/>
        <v>0.112747846920449</v>
      </c>
      <c r="F153" s="161">
        <f t="shared" si="209"/>
        <v>0.202002327367126</v>
      </c>
      <c r="G153" s="161">
        <f t="shared" si="209"/>
        <v>0.179348842290702</v>
      </c>
      <c r="H153" s="161">
        <f t="shared" si="209"/>
        <v>0.183397253240302</v>
      </c>
      <c r="I153" s="161">
        <f t="shared" si="209"/>
        <v>0.213429846020582</v>
      </c>
      <c r="J153" s="161">
        <f t="shared" si="209"/>
        <v>0.198469527513521</v>
      </c>
      <c r="K153" s="161">
        <f t="shared" si="209"/>
        <v>0.19283515203285</v>
      </c>
      <c r="L153" s="161">
        <f t="shared" si="209"/>
        <v>0.207753585456242</v>
      </c>
      <c r="M153" s="161">
        <f t="shared" si="209"/>
        <v>0.213934473776827</v>
      </c>
      <c r="N153" s="161">
        <f t="shared" si="209"/>
        <v>0.220134335185748</v>
      </c>
      <c r="O153" s="161">
        <f t="shared" si="209"/>
        <v>0.222229020198186</v>
      </c>
      <c r="P153" s="815">
        <f t="shared" ref="P153" si="210">P151/P155</f>
        <v>0.224176062392579</v>
      </c>
      <c r="X153" s="137"/>
      <c r="Y153" s="137"/>
      <c r="Z153" s="137"/>
    </row>
    <row r="154" spans="1:26">
      <c r="A154" s="2129" t="s">
        <v>1173</v>
      </c>
      <c r="D154" s="816">
        <f t="shared" ref="D154:O154" si="211">D151/D77</f>
        <v>0.304716721025045</v>
      </c>
      <c r="E154" s="161">
        <f t="shared" si="211"/>
        <v>0.341114902616628</v>
      </c>
      <c r="F154" s="161">
        <f t="shared" si="211"/>
        <v>0.492993996344022</v>
      </c>
      <c r="G154" s="161">
        <f t="shared" si="211"/>
        <v>0.459162612749601</v>
      </c>
      <c r="H154" s="161">
        <f t="shared" si="211"/>
        <v>0.469553410989088</v>
      </c>
      <c r="I154" s="161">
        <f t="shared" si="211"/>
        <v>0.435950177021895</v>
      </c>
      <c r="J154" s="161">
        <f t="shared" si="211"/>
        <v>0.371577516955345</v>
      </c>
      <c r="K154" s="161">
        <f t="shared" si="211"/>
        <v>0.34348369557792</v>
      </c>
      <c r="L154" s="161">
        <f t="shared" si="211"/>
        <v>0.342805966878278</v>
      </c>
      <c r="M154" s="161">
        <f t="shared" si="211"/>
        <v>0.339487326600048</v>
      </c>
      <c r="N154" s="161">
        <f t="shared" si="211"/>
        <v>0.341538839718353</v>
      </c>
      <c r="O154" s="161">
        <f t="shared" si="211"/>
        <v>0.342547406616623</v>
      </c>
      <c r="P154" s="815">
        <f t="shared" ref="P154" si="212">P151/P77</f>
        <v>0.343704199683626</v>
      </c>
      <c r="X154" s="137"/>
      <c r="Y154" s="137"/>
      <c r="Z154" s="137"/>
    </row>
    <row r="155" spans="1:26">
      <c r="A155" s="801" t="s">
        <v>212</v>
      </c>
      <c r="D155" s="840">
        <f t="shared" ref="D155:O155" si="213">D136</f>
        <v>21915</v>
      </c>
      <c r="E155" s="841">
        <f t="shared" si="213"/>
        <v>23641</v>
      </c>
      <c r="F155" s="841">
        <f t="shared" si="213"/>
        <v>19844</v>
      </c>
      <c r="G155" s="841">
        <f t="shared" si="213"/>
        <v>21234</v>
      </c>
      <c r="H155" s="841">
        <f t="shared" si="213"/>
        <v>22628</v>
      </c>
      <c r="I155" s="841">
        <f t="shared" si="213"/>
        <v>17744</v>
      </c>
      <c r="J155" s="841">
        <f t="shared" si="213"/>
        <v>19775.003</v>
      </c>
      <c r="K155" s="841">
        <f t="shared" si="213"/>
        <v>21092.492495</v>
      </c>
      <c r="L155" s="841">
        <f t="shared" si="213"/>
        <v>22514.55774545</v>
      </c>
      <c r="M155" s="841">
        <f t="shared" si="213"/>
        <v>24050.4861858035</v>
      </c>
      <c r="N155" s="841">
        <f t="shared" si="213"/>
        <v>25710.4413633826</v>
      </c>
      <c r="O155" s="841">
        <f t="shared" si="213"/>
        <v>27505.5480366966</v>
      </c>
      <c r="P155" s="842">
        <f t="shared" ref="P155" si="214">P136</f>
        <v>29447.9856545312</v>
      </c>
      <c r="X155" s="137"/>
      <c r="Y155" s="137"/>
      <c r="Z155" s="137"/>
    </row>
    <row r="156" spans="1:26">
      <c r="A156" s="805" t="s">
        <v>1174</v>
      </c>
      <c r="D156" s="807"/>
      <c r="E156" s="807"/>
      <c r="F156" s="807"/>
      <c r="G156" s="807"/>
      <c r="H156" s="807"/>
      <c r="I156" s="807"/>
      <c r="J156" s="807"/>
      <c r="K156" s="807"/>
      <c r="L156" s="807"/>
      <c r="M156" s="807"/>
      <c r="N156" s="807"/>
      <c r="O156" s="807"/>
      <c r="P156" s="808"/>
      <c r="X156" s="137"/>
      <c r="Y156" s="137"/>
      <c r="Z156" s="137"/>
    </row>
    <row r="157" spans="1:26">
      <c r="A157" s="809" t="s">
        <v>1170</v>
      </c>
      <c r="D157" s="811">
        <f t="shared" ref="D157:O157" si="215">D159-D158</f>
        <v>1972.5995827979</v>
      </c>
      <c r="E157" s="811">
        <f t="shared" si="215"/>
        <v>2126.90563019073</v>
      </c>
      <c r="F157" s="811">
        <f t="shared" si="215"/>
        <v>-50.7068368546491</v>
      </c>
      <c r="G157" s="811">
        <f t="shared" si="215"/>
        <v>1224.34133655985</v>
      </c>
      <c r="H157" s="811">
        <f t="shared" si="215"/>
        <v>-160.982609264312</v>
      </c>
      <c r="I157" s="811">
        <f t="shared" si="215"/>
        <v>-557.419837557839</v>
      </c>
      <c r="J157" s="811">
        <f t="shared" si="215"/>
        <v>352.052899602301</v>
      </c>
      <c r="K157" s="811">
        <f t="shared" si="215"/>
        <v>457.614215665426</v>
      </c>
      <c r="L157" s="811">
        <f t="shared" si="215"/>
        <v>482.351394764034</v>
      </c>
      <c r="M157" s="811">
        <f t="shared" si="215"/>
        <v>551.055936432129</v>
      </c>
      <c r="N157" s="811">
        <f t="shared" si="215"/>
        <v>620.358872332705</v>
      </c>
      <c r="O157" s="811">
        <f t="shared" si="215"/>
        <v>691.980492150654</v>
      </c>
      <c r="P157" s="812">
        <f t="shared" ref="P157" si="216">P159-P158</f>
        <v>771.896064962757</v>
      </c>
      <c r="X157" s="137"/>
      <c r="Y157" s="137"/>
      <c r="Z157" s="137"/>
    </row>
    <row r="158" spans="1:26">
      <c r="A158" s="809" t="s">
        <v>1171</v>
      </c>
      <c r="D158" s="811">
        <f t="shared" ref="D158:O158" si="217">D162*D151</f>
        <v>395.400417202098</v>
      </c>
      <c r="E158" s="811">
        <f t="shared" si="217"/>
        <v>533.094369809266</v>
      </c>
      <c r="F158" s="811">
        <f t="shared" si="217"/>
        <v>801.706836854649</v>
      </c>
      <c r="G158" s="811">
        <f t="shared" si="217"/>
        <v>761.658663440152</v>
      </c>
      <c r="H158" s="811">
        <f t="shared" si="217"/>
        <v>829.982609264312</v>
      </c>
      <c r="I158" s="811">
        <f t="shared" si="217"/>
        <v>757.419837557841</v>
      </c>
      <c r="J158" s="811">
        <f t="shared" si="217"/>
        <v>784.947100397691</v>
      </c>
      <c r="K158" s="811">
        <f t="shared" si="217"/>
        <v>813.474799405014</v>
      </c>
      <c r="L158" s="811">
        <f t="shared" si="217"/>
        <v>935.496019315766</v>
      </c>
      <c r="M158" s="811">
        <f t="shared" si="217"/>
        <v>1029.04562124734</v>
      </c>
      <c r="N158" s="811">
        <f t="shared" si="217"/>
        <v>1131.95018337208</v>
      </c>
      <c r="O158" s="811">
        <f t="shared" si="217"/>
        <v>1222.50619804184</v>
      </c>
      <c r="P158" s="812">
        <f t="shared" ref="P158" si="218">P162*P151</f>
        <v>1320.30669388519</v>
      </c>
      <c r="X158" s="137"/>
      <c r="Y158" s="137"/>
      <c r="Z158" s="137"/>
    </row>
    <row r="159" spans="1:26">
      <c r="A159" s="817" t="s">
        <v>212</v>
      </c>
      <c r="D159" s="843">
        <f t="shared" ref="D159:O159" si="219">D143</f>
        <v>2368</v>
      </c>
      <c r="E159" s="843">
        <f t="shared" si="219"/>
        <v>2660</v>
      </c>
      <c r="F159" s="843">
        <f t="shared" si="219"/>
        <v>751</v>
      </c>
      <c r="G159" s="843">
        <f t="shared" si="219"/>
        <v>1986</v>
      </c>
      <c r="H159" s="843">
        <f t="shared" si="219"/>
        <v>669</v>
      </c>
      <c r="I159" s="843">
        <f t="shared" si="219"/>
        <v>200.000000000002</v>
      </c>
      <c r="J159" s="843">
        <f t="shared" si="219"/>
        <v>1136.99999999999</v>
      </c>
      <c r="K159" s="843">
        <f t="shared" si="219"/>
        <v>1271.08901507044</v>
      </c>
      <c r="L159" s="843">
        <f t="shared" si="219"/>
        <v>1417.8474140798</v>
      </c>
      <c r="M159" s="843">
        <f t="shared" si="219"/>
        <v>1580.10155767947</v>
      </c>
      <c r="N159" s="843">
        <f t="shared" si="219"/>
        <v>1752.30905570478</v>
      </c>
      <c r="O159" s="843">
        <f t="shared" si="219"/>
        <v>1914.4866901925</v>
      </c>
      <c r="P159" s="844">
        <f t="shared" ref="P159" si="220">P143</f>
        <v>2092.20275884795</v>
      </c>
      <c r="X159" s="137"/>
      <c r="Y159" s="137"/>
      <c r="Z159" s="137"/>
    </row>
    <row r="160" spans="1:26">
      <c r="A160" s="809" t="s">
        <v>132</v>
      </c>
      <c r="D160" s="806"/>
      <c r="E160" s="807"/>
      <c r="F160" s="807"/>
      <c r="G160" s="807"/>
      <c r="H160" s="807"/>
      <c r="I160" s="807"/>
      <c r="J160" s="807"/>
      <c r="K160" s="807"/>
      <c r="L160" s="807"/>
      <c r="M160" s="807"/>
      <c r="N160" s="807"/>
      <c r="O160" s="807"/>
      <c r="P160" s="808"/>
      <c r="X160" s="137"/>
      <c r="Y160" s="137"/>
      <c r="Z160" s="137"/>
    </row>
    <row r="161" spans="1:26">
      <c r="A161" s="809" t="s">
        <v>1170</v>
      </c>
      <c r="D161" s="816">
        <f t="shared" ref="D161:O161" si="221">D157/D150</f>
        <v>0.0989366932079888</v>
      </c>
      <c r="E161" s="161">
        <f t="shared" si="221"/>
        <v>0.101399383838353</v>
      </c>
      <c r="F161" s="161">
        <f t="shared" si="221"/>
        <v>-0.00320210579497386</v>
      </c>
      <c r="G161" s="161">
        <f t="shared" si="221"/>
        <v>0.0702606418693127</v>
      </c>
      <c r="H161" s="161">
        <f t="shared" si="221"/>
        <v>-0.00871208202818122</v>
      </c>
      <c r="I161" s="161">
        <f t="shared" si="221"/>
        <v>-0.0399386543658859</v>
      </c>
      <c r="J161" s="161">
        <f t="shared" si="221"/>
        <v>0.0222111645526782</v>
      </c>
      <c r="K161" s="161">
        <f t="shared" si="221"/>
        <v>0.0268787683163473</v>
      </c>
      <c r="L161" s="161">
        <f t="shared" si="221"/>
        <v>0.0270420639669391</v>
      </c>
      <c r="M161" s="161">
        <f t="shared" si="221"/>
        <v>0.0291482895453156</v>
      </c>
      <c r="N161" s="161">
        <f t="shared" si="221"/>
        <v>0.0309395266954662</v>
      </c>
      <c r="O161" s="161">
        <f t="shared" si="221"/>
        <v>0.0323460917479273</v>
      </c>
      <c r="P161" s="815">
        <f t="shared" ref="P161" si="222">P157/P150</f>
        <v>0.0337862552447419</v>
      </c>
      <c r="X161" s="137"/>
      <c r="Y161" s="137"/>
      <c r="Z161" s="137"/>
    </row>
    <row r="162" spans="1:26">
      <c r="A162" s="809" t="s">
        <v>1171</v>
      </c>
      <c r="D162" s="816">
        <v>0.2</v>
      </c>
      <c r="E162" s="161">
        <f t="shared" ref="E162:P162" si="223">D162</f>
        <v>0.2</v>
      </c>
      <c r="F162" s="161">
        <f t="shared" si="223"/>
        <v>0.2</v>
      </c>
      <c r="G162" s="161">
        <f t="shared" si="223"/>
        <v>0.2</v>
      </c>
      <c r="H162" s="161">
        <f t="shared" si="223"/>
        <v>0.2</v>
      </c>
      <c r="I162" s="161">
        <f t="shared" si="223"/>
        <v>0.2</v>
      </c>
      <c r="J162" s="161">
        <f t="shared" si="223"/>
        <v>0.2</v>
      </c>
      <c r="K162" s="161">
        <f t="shared" si="223"/>
        <v>0.2</v>
      </c>
      <c r="L162" s="161">
        <f t="shared" si="223"/>
        <v>0.2</v>
      </c>
      <c r="M162" s="161">
        <f t="shared" si="223"/>
        <v>0.2</v>
      </c>
      <c r="N162" s="161">
        <f t="shared" si="223"/>
        <v>0.2</v>
      </c>
      <c r="O162" s="161">
        <f t="shared" si="223"/>
        <v>0.2</v>
      </c>
      <c r="P162" s="815">
        <f t="shared" si="223"/>
        <v>0.2</v>
      </c>
      <c r="X162" s="137"/>
      <c r="Y162" s="137"/>
      <c r="Z162" s="137"/>
    </row>
    <row r="163" spans="1:26">
      <c r="A163" s="809" t="s">
        <v>212</v>
      </c>
      <c r="D163" s="816">
        <f t="shared" ref="D163:N163" si="224">D159/D155</f>
        <v>0.108053844398814</v>
      </c>
      <c r="E163" s="161">
        <f t="shared" si="224"/>
        <v>0.112516391015608</v>
      </c>
      <c r="F163" s="161">
        <f t="shared" si="224"/>
        <v>0.0378451925015118</v>
      </c>
      <c r="G163" s="161">
        <f t="shared" si="224"/>
        <v>0.0935292455495902</v>
      </c>
      <c r="H163" s="161">
        <f t="shared" si="224"/>
        <v>0.0295651405338519</v>
      </c>
      <c r="I163" s="161">
        <f t="shared" si="224"/>
        <v>0.0112714156898107</v>
      </c>
      <c r="J163" s="161">
        <f t="shared" si="224"/>
        <v>0.0574968307210872</v>
      </c>
      <c r="K163" s="161">
        <f t="shared" si="224"/>
        <v>0.0602626273481787</v>
      </c>
      <c r="L163" s="161">
        <f t="shared" si="224"/>
        <v>0.0629746953109188</v>
      </c>
      <c r="M163" s="161">
        <f t="shared" si="224"/>
        <v>0.0656993603153093</v>
      </c>
      <c r="N163" s="161">
        <f t="shared" si="224"/>
        <v>0.0681555415925476</v>
      </c>
      <c r="O163" s="161">
        <f>O159/O155+0.0001</f>
        <v>0.069703655511182</v>
      </c>
      <c r="P163" s="815">
        <f>P159/P155+0.0001</f>
        <v>0.0711473980595008</v>
      </c>
      <c r="X163" s="137"/>
      <c r="Y163" s="137"/>
      <c r="Z163" s="137"/>
    </row>
    <row r="164" spans="1:26">
      <c r="A164" s="817" t="s">
        <v>1175</v>
      </c>
      <c r="D164" s="845"/>
      <c r="E164" s="819">
        <f t="shared" ref="E164" si="225">(E163-D163)-(E161-D161)</f>
        <v>0.00199985598643053</v>
      </c>
      <c r="F164" s="819"/>
      <c r="G164" s="819">
        <f>G162*(G221-F221)</f>
        <v>-0.00453069701528482</v>
      </c>
      <c r="H164" s="819">
        <f>H162*(H221-G221)</f>
        <v>0.000809682189920113</v>
      </c>
      <c r="I164" s="819">
        <f>I162*(I221-H221)</f>
        <v>0.0060065185560559</v>
      </c>
      <c r="J164" s="819">
        <f>J162*(J221-I221)</f>
        <v>-0.0029920637014122</v>
      </c>
      <c r="K164" s="819">
        <f t="shared" ref="K164:P164" si="226">K162*(K221-J221)</f>
        <v>-0.00112687509613417</v>
      </c>
      <c r="L164" s="819">
        <f t="shared" si="226"/>
        <v>0.00298368668467832</v>
      </c>
      <c r="M164" s="819">
        <f t="shared" si="226"/>
        <v>0.00123617766411706</v>
      </c>
      <c r="N164" s="819">
        <f t="shared" si="226"/>
        <v>0.0012399722817842</v>
      </c>
      <c r="O164" s="819">
        <f t="shared" si="226"/>
        <v>0.000418937002487579</v>
      </c>
      <c r="P164" s="819">
        <f t="shared" si="226"/>
        <v>0.000389408438878641</v>
      </c>
      <c r="X164" s="137"/>
      <c r="Y164" s="137"/>
      <c r="Z164" s="137"/>
    </row>
    <row r="168" spans="1:26">
      <c r="A168" s="755" t="s">
        <v>1176</v>
      </c>
    </row>
    <row r="169" spans="1:26">
      <c r="A169" s="846"/>
      <c r="B169" s="847"/>
      <c r="C169" s="847"/>
      <c r="D169" s="802">
        <v>2018</v>
      </c>
      <c r="E169" s="803">
        <v>2019</v>
      </c>
      <c r="F169" s="803" t="s">
        <v>778</v>
      </c>
      <c r="G169" s="803" t="s">
        <v>779</v>
      </c>
      <c r="H169" s="803" t="s">
        <v>780</v>
      </c>
      <c r="I169" s="803" t="s">
        <v>781</v>
      </c>
      <c r="J169" s="803" t="s">
        <v>864</v>
      </c>
      <c r="K169" s="803" t="s">
        <v>865</v>
      </c>
      <c r="L169" s="803" t="s">
        <v>863</v>
      </c>
      <c r="M169" s="803" t="s">
        <v>888</v>
      </c>
      <c r="N169" s="803" t="s">
        <v>889</v>
      </c>
      <c r="O169" s="803" t="s">
        <v>892</v>
      </c>
      <c r="P169" s="804" t="s">
        <v>968</v>
      </c>
    </row>
    <row r="170" spans="1:26">
      <c r="A170" s="848" t="s">
        <v>128</v>
      </c>
      <c r="D170" s="786">
        <f>D94</f>
        <v>0.518503308236368</v>
      </c>
      <c r="E170" s="786">
        <f t="shared" ref="E170:O170" si="227">E94</f>
        <v>0.526314371873847</v>
      </c>
      <c r="F170" s="786">
        <f t="shared" si="227"/>
        <v>0.544263300852372</v>
      </c>
      <c r="G170" s="786">
        <f t="shared" si="227"/>
        <v>0.539925258104501</v>
      </c>
      <c r="H170" s="786">
        <f t="shared" si="227"/>
        <v>0.5403802702197</v>
      </c>
      <c r="I170" s="786">
        <f t="shared" si="227"/>
        <v>0.546611139259883</v>
      </c>
      <c r="J170" s="786">
        <f t="shared" si="227"/>
        <v>0.555326739162094</v>
      </c>
      <c r="K170" s="786">
        <f t="shared" si="227"/>
        <v>0.559562430149745</v>
      </c>
      <c r="L170" s="786">
        <f t="shared" si="227"/>
        <v>0.56536577298737</v>
      </c>
      <c r="M170" s="786">
        <f t="shared" si="227"/>
        <v>0.569091741191225</v>
      </c>
      <c r="N170" s="786">
        <f t="shared" si="227"/>
        <v>0.571920025368884</v>
      </c>
      <c r="O170" s="786">
        <f t="shared" si="227"/>
        <v>0.573880410566053</v>
      </c>
      <c r="P170" s="849">
        <f t="shared" ref="P170" si="228">P94</f>
        <v>0.575811572419584</v>
      </c>
    </row>
    <row r="171" spans="1:26">
      <c r="A171" s="2138" t="s">
        <v>1177</v>
      </c>
      <c r="E171" s="779">
        <f>(E170-D170)*10000</f>
        <v>78.1106363747974</v>
      </c>
      <c r="F171" s="779">
        <f t="shared" ref="F171:P171" si="229">(F170-E170)*10000</f>
        <v>179.489289785248</v>
      </c>
      <c r="G171" s="779">
        <f t="shared" si="229"/>
        <v>-43.3804274787153</v>
      </c>
      <c r="H171" s="779">
        <f t="shared" si="229"/>
        <v>4.5501211519916</v>
      </c>
      <c r="I171" s="779">
        <f t="shared" si="229"/>
        <v>62.3086904018344</v>
      </c>
      <c r="J171" s="779">
        <f t="shared" si="229"/>
        <v>87.1559990221027</v>
      </c>
      <c r="K171" s="779">
        <f t="shared" si="229"/>
        <v>42.3569098765131</v>
      </c>
      <c r="L171" s="779">
        <f t="shared" si="229"/>
        <v>58.0334283762485</v>
      </c>
      <c r="M171" s="779">
        <f t="shared" si="229"/>
        <v>37.2596820385473</v>
      </c>
      <c r="N171" s="779">
        <f t="shared" si="229"/>
        <v>28.2828417765935</v>
      </c>
      <c r="O171" s="779">
        <f t="shared" si="229"/>
        <v>19.6038519716868</v>
      </c>
      <c r="P171" s="850">
        <f t="shared" si="229"/>
        <v>19.3116185353126</v>
      </c>
    </row>
    <row r="172" spans="1:26">
      <c r="A172" s="848" t="s">
        <v>1178</v>
      </c>
      <c r="D172" s="786">
        <f>D170-D174</f>
        <v>0.410449463837554</v>
      </c>
      <c r="E172" s="786">
        <f t="shared" ref="E172:O172" si="230">E170-E174</f>
        <v>0.413797980858239</v>
      </c>
      <c r="F172" s="786">
        <f t="shared" si="230"/>
        <v>0.506418108350861</v>
      </c>
      <c r="G172" s="786">
        <f t="shared" si="230"/>
        <v>0.446396012554911</v>
      </c>
      <c r="H172" s="786">
        <f t="shared" si="230"/>
        <v>0.510815129685848</v>
      </c>
      <c r="I172" s="786">
        <f t="shared" si="230"/>
        <v>0.535339723570073</v>
      </c>
      <c r="J172" s="786">
        <f t="shared" si="230"/>
        <v>0.497829908441006</v>
      </c>
      <c r="K172" s="786">
        <f t="shared" si="230"/>
        <v>0.499299802801566</v>
      </c>
      <c r="L172" s="786">
        <f t="shared" si="230"/>
        <v>0.502391077676451</v>
      </c>
      <c r="M172" s="786">
        <f t="shared" si="230"/>
        <v>0.503392380875915</v>
      </c>
      <c r="N172" s="786">
        <f t="shared" si="230"/>
        <v>0.503764483776336</v>
      </c>
      <c r="O172" s="786">
        <f t="shared" si="230"/>
        <v>0.504176755054871</v>
      </c>
      <c r="P172" s="849">
        <f t="shared" ref="P172" si="231">P170-P174</f>
        <v>0.504664174360083</v>
      </c>
    </row>
    <row r="173" spans="1:26">
      <c r="A173" s="2138" t="s">
        <v>1177</v>
      </c>
      <c r="E173" s="779">
        <f>(E172-D172)*10000</f>
        <v>33.4851702068484</v>
      </c>
      <c r="F173" s="779">
        <f t="shared" ref="F173" si="232">(F172-E172)*10000</f>
        <v>926.201274926216</v>
      </c>
      <c r="G173" s="779">
        <f t="shared" ref="G173" si="233">(G172-F172)*10000</f>
        <v>-600.2209579595</v>
      </c>
      <c r="H173" s="779">
        <f t="shared" ref="H173" si="234">(H172-G172)*10000</f>
        <v>644.191171309375</v>
      </c>
      <c r="I173" s="779">
        <f t="shared" ref="I173" si="235">(I172-H172)*10000</f>
        <v>245.245938842246</v>
      </c>
      <c r="J173" s="779">
        <f t="shared" ref="J173" si="236">(J172-I172)*10000</f>
        <v>-375.098151290663</v>
      </c>
      <c r="K173" s="779">
        <f t="shared" ref="K173" si="237">(K172-J172)*10000</f>
        <v>14.6989436055989</v>
      </c>
      <c r="L173" s="779">
        <f t="shared" ref="L173" si="238">(L172-K172)*10000</f>
        <v>30.912748748847</v>
      </c>
      <c r="M173" s="779">
        <f t="shared" ref="M173" si="239">(M172-L172)*10000</f>
        <v>10.0130319946434</v>
      </c>
      <c r="N173" s="779">
        <f t="shared" ref="N173" si="240">(N172-M172)*10000</f>
        <v>3.7210290042089</v>
      </c>
      <c r="O173" s="779">
        <f t="shared" ref="O173:P173" si="241">(O172-N172)*10000</f>
        <v>4.12271278534382</v>
      </c>
      <c r="P173" s="850">
        <f t="shared" si="241"/>
        <v>4.87419305212455</v>
      </c>
    </row>
    <row r="174" spans="1:26">
      <c r="A174" s="848" t="s">
        <v>132</v>
      </c>
      <c r="D174" s="786">
        <f>D163</f>
        <v>0.108053844398814</v>
      </c>
      <c r="E174" s="786">
        <f t="shared" ref="E174:O174" si="242">E163</f>
        <v>0.112516391015608</v>
      </c>
      <c r="F174" s="786">
        <f t="shared" si="242"/>
        <v>0.0378451925015118</v>
      </c>
      <c r="G174" s="786">
        <f t="shared" si="242"/>
        <v>0.0935292455495902</v>
      </c>
      <c r="H174" s="786">
        <f t="shared" si="242"/>
        <v>0.0295651405338519</v>
      </c>
      <c r="I174" s="786">
        <f t="shared" si="242"/>
        <v>0.0112714156898107</v>
      </c>
      <c r="J174" s="786">
        <f t="shared" si="242"/>
        <v>0.0574968307210872</v>
      </c>
      <c r="K174" s="786">
        <f t="shared" si="242"/>
        <v>0.0602626273481787</v>
      </c>
      <c r="L174" s="786">
        <f t="shared" si="242"/>
        <v>0.0629746953109188</v>
      </c>
      <c r="M174" s="786">
        <f t="shared" si="242"/>
        <v>0.0656993603153093</v>
      </c>
      <c r="N174" s="786">
        <f t="shared" si="242"/>
        <v>0.0681555415925476</v>
      </c>
      <c r="O174" s="786">
        <f t="shared" si="242"/>
        <v>0.069703655511182</v>
      </c>
      <c r="P174" s="849">
        <f t="shared" ref="P174" si="243">P163</f>
        <v>0.0711473980595008</v>
      </c>
    </row>
    <row r="175" spans="1:26">
      <c r="A175" s="2139" t="s">
        <v>1177</v>
      </c>
      <c r="B175" s="777"/>
      <c r="C175" s="777"/>
      <c r="D175" s="777"/>
      <c r="E175" s="778">
        <f>(E174-D174)*10000</f>
        <v>44.625466167949</v>
      </c>
      <c r="F175" s="778">
        <f t="shared" ref="F175" si="244">(F174-E174)*10000</f>
        <v>-746.711985140967</v>
      </c>
      <c r="G175" s="778">
        <f t="shared" ref="G175" si="245">(G174-F174)*10000</f>
        <v>556.840530480784</v>
      </c>
      <c r="H175" s="778">
        <f t="shared" ref="H175" si="246">(H174-G174)*10000</f>
        <v>-639.641050157383</v>
      </c>
      <c r="I175" s="778">
        <f t="shared" ref="I175" si="247">(I174-H174)*10000</f>
        <v>-182.937248440411</v>
      </c>
      <c r="J175" s="778">
        <f t="shared" ref="J175" si="248">(J174-I174)*10000</f>
        <v>462.254150312765</v>
      </c>
      <c r="K175" s="778">
        <f t="shared" ref="K175" si="249">(K174-J174)*10000</f>
        <v>27.6579662709144</v>
      </c>
      <c r="L175" s="778">
        <f t="shared" ref="L175" si="250">(L174-K174)*10000</f>
        <v>27.120679627401</v>
      </c>
      <c r="M175" s="778">
        <f t="shared" ref="M175" si="251">(M174-L174)*10000</f>
        <v>27.2466500439049</v>
      </c>
      <c r="N175" s="778">
        <f t="shared" ref="N175" si="252">(N174-M174)*10000</f>
        <v>24.5618127723839</v>
      </c>
      <c r="O175" s="778">
        <f t="shared" ref="O175:P175" si="253">(O174-N174)*10000</f>
        <v>15.4811391863431</v>
      </c>
      <c r="P175" s="852">
        <f t="shared" si="253"/>
        <v>14.4374254831886</v>
      </c>
    </row>
    <row r="176" spans="1:26">
      <c r="F176" s="755">
        <v>50</v>
      </c>
      <c r="G176" s="755">
        <v>40</v>
      </c>
      <c r="H176" s="755">
        <v>40</v>
      </c>
      <c r="I176" s="755">
        <v>30</v>
      </c>
      <c r="J176" s="755">
        <v>20</v>
      </c>
      <c r="K176" s="755">
        <v>20</v>
      </c>
    </row>
    <row r="177" spans="1:11">
      <c r="K177" s="755">
        <f>SUM(F176:K176)</f>
        <v>200</v>
      </c>
    </row>
    <row r="179" spans="1:11">
      <c r="A179" s="756" t="s">
        <v>1179</v>
      </c>
    </row>
    <row r="199" spans="1:6">
      <c r="F199" s="755">
        <v>2018</v>
      </c>
    </row>
    <row r="200" spans="1:6">
      <c r="A200" s="755" t="s">
        <v>785</v>
      </c>
      <c r="F200" s="786">
        <f>$D$114-$D$142</f>
        <v>0.202060333998498</v>
      </c>
    </row>
    <row r="201" spans="1:6">
      <c r="A201" s="755" t="s">
        <v>751</v>
      </c>
      <c r="F201" s="786">
        <f>$D$124-$D$142</f>
        <v>0.152487200228473</v>
      </c>
    </row>
    <row r="202" spans="1:6">
      <c r="A202" s="755" t="s">
        <v>787</v>
      </c>
      <c r="F202" s="786">
        <f>$D$129-$D$142</f>
        <v>0.120306418047691</v>
      </c>
    </row>
    <row r="203" spans="1:6">
      <c r="A203" s="755" t="s">
        <v>789</v>
      </c>
      <c r="F203" s="786">
        <f>$D$139-$D$142</f>
        <v>0.108053844398814</v>
      </c>
    </row>
    <row r="204" spans="1:6">
      <c r="A204" s="755" t="s">
        <v>209</v>
      </c>
      <c r="F204" s="786">
        <f>$D$104-$D$142</f>
        <v>0.074379210325786</v>
      </c>
    </row>
    <row r="205" spans="1:6">
      <c r="A205" s="755" t="s">
        <v>64</v>
      </c>
      <c r="F205" s="786">
        <f>$D$134-$D$142</f>
        <v>0.0694610206318966</v>
      </c>
    </row>
    <row r="206" spans="1:6">
      <c r="A206" s="755" t="s">
        <v>748</v>
      </c>
      <c r="F206" s="786">
        <f>$D$119-$D$142</f>
        <v>0.0453663663776946</v>
      </c>
    </row>
    <row r="207" spans="1:6">
      <c r="A207" s="755" t="s">
        <v>101</v>
      </c>
      <c r="F207" s="786">
        <f>$D$109-$D$142</f>
        <v>0.0234059572393805</v>
      </c>
    </row>
    <row r="218" spans="1:16">
      <c r="D218" s="802">
        <v>2018</v>
      </c>
      <c r="E218" s="803" t="s">
        <v>803</v>
      </c>
      <c r="F218" s="803" t="s">
        <v>778</v>
      </c>
      <c r="G218" s="803" t="s">
        <v>779</v>
      </c>
      <c r="H218" s="803" t="s">
        <v>780</v>
      </c>
      <c r="I218" s="803" t="s">
        <v>781</v>
      </c>
      <c r="J218" s="803" t="s">
        <v>864</v>
      </c>
      <c r="K218" s="803" t="s">
        <v>865</v>
      </c>
      <c r="L218" s="803" t="s">
        <v>863</v>
      </c>
      <c r="M218" s="803" t="s">
        <v>888</v>
      </c>
      <c r="N218" s="803" t="s">
        <v>889</v>
      </c>
      <c r="O218" s="803" t="s">
        <v>892</v>
      </c>
      <c r="P218" s="804" t="s">
        <v>968</v>
      </c>
    </row>
    <row r="219" spans="1:16">
      <c r="A219" s="755" t="s">
        <v>1180</v>
      </c>
      <c r="D219" s="786">
        <f t="shared" ref="D219:O219" si="254">D86</f>
        <v>0.703947068218115</v>
      </c>
      <c r="E219" s="786">
        <f t="shared" si="254"/>
        <v>0.66947252654287</v>
      </c>
      <c r="F219" s="786">
        <f t="shared" si="254"/>
        <v>0.590253981052207</v>
      </c>
      <c r="G219" s="786">
        <f t="shared" si="254"/>
        <v>0.609400161705876</v>
      </c>
      <c r="H219" s="786">
        <f t="shared" si="254"/>
        <v>0.607391941717383</v>
      </c>
      <c r="I219" s="786">
        <f t="shared" si="254"/>
        <v>0.579891672308734</v>
      </c>
      <c r="J219" s="786">
        <f t="shared" si="254"/>
        <v>0.541424912082664</v>
      </c>
      <c r="K219" s="786">
        <f t="shared" si="254"/>
        <v>0.52273046632542</v>
      </c>
      <c r="L219" s="786">
        <f t="shared" si="254"/>
        <v>0.497117106378966</v>
      </c>
      <c r="M219" s="786">
        <f t="shared" si="254"/>
        <v>0.480672349034001</v>
      </c>
      <c r="N219" s="786">
        <f t="shared" si="254"/>
        <v>0.468189567523389</v>
      </c>
      <c r="O219" s="786">
        <f t="shared" si="254"/>
        <v>0.459537303975689</v>
      </c>
      <c r="P219" s="786">
        <f t="shared" ref="P219" si="255">P86</f>
        <v>0.451014019197704</v>
      </c>
    </row>
    <row r="220" spans="1:16">
      <c r="A220" s="755" t="s">
        <v>1181</v>
      </c>
      <c r="D220" s="786">
        <f t="shared" ref="D220:O220" si="256">1-D219-D221</f>
        <v>0.205840653159457</v>
      </c>
      <c r="E220" s="786">
        <f t="shared" si="256"/>
        <v>0.217779626536681</v>
      </c>
      <c r="F220" s="786">
        <f t="shared" si="256"/>
        <v>0.207743691580667</v>
      </c>
      <c r="G220" s="786">
        <f t="shared" si="256"/>
        <v>0.211250996003423</v>
      </c>
      <c r="H220" s="786">
        <f t="shared" si="256"/>
        <v>0.209210805042315</v>
      </c>
      <c r="I220" s="786">
        <f t="shared" si="256"/>
        <v>0.206678481670684</v>
      </c>
      <c r="J220" s="786">
        <f t="shared" si="256"/>
        <v>0.260105560403815</v>
      </c>
      <c r="K220" s="786">
        <f t="shared" si="256"/>
        <v>0.28443438164173</v>
      </c>
      <c r="L220" s="786">
        <f t="shared" si="256"/>
        <v>0.295129308164793</v>
      </c>
      <c r="M220" s="786">
        <f t="shared" si="256"/>
        <v>0.305393177189172</v>
      </c>
      <c r="N220" s="786">
        <f t="shared" si="256"/>
        <v>0.311676097290863</v>
      </c>
      <c r="O220" s="786">
        <f t="shared" si="256"/>
        <v>0.318233675826125</v>
      </c>
      <c r="P220" s="786">
        <f t="shared" ref="P220" si="257">1-P219-P221</f>
        <v>0.324809918409717</v>
      </c>
    </row>
    <row r="221" spans="1:16">
      <c r="A221" s="755" t="s">
        <v>1182</v>
      </c>
      <c r="D221" s="786">
        <f>D153</f>
        <v>0.0902122786224272</v>
      </c>
      <c r="E221" s="786">
        <f t="shared" ref="E221:O221" si="258">E153</f>
        <v>0.112747846920449</v>
      </c>
      <c r="F221" s="786">
        <f t="shared" si="258"/>
        <v>0.202002327367126</v>
      </c>
      <c r="G221" s="786">
        <f t="shared" si="258"/>
        <v>0.179348842290702</v>
      </c>
      <c r="H221" s="786">
        <f t="shared" si="258"/>
        <v>0.183397253240302</v>
      </c>
      <c r="I221" s="786">
        <f t="shared" si="258"/>
        <v>0.213429846020582</v>
      </c>
      <c r="J221" s="786">
        <f t="shared" si="258"/>
        <v>0.198469527513521</v>
      </c>
      <c r="K221" s="786">
        <f t="shared" si="258"/>
        <v>0.19283515203285</v>
      </c>
      <c r="L221" s="786">
        <f t="shared" si="258"/>
        <v>0.207753585456242</v>
      </c>
      <c r="M221" s="786">
        <f t="shared" si="258"/>
        <v>0.213934473776827</v>
      </c>
      <c r="N221" s="786">
        <f t="shared" si="258"/>
        <v>0.220134335185748</v>
      </c>
      <c r="O221" s="786">
        <f t="shared" si="258"/>
        <v>0.222229020198186</v>
      </c>
      <c r="P221" s="786">
        <f t="shared" ref="P221" si="259">P153</f>
        <v>0.224176062392579</v>
      </c>
    </row>
    <row r="222" spans="1:16">
      <c r="A222" s="755" t="s">
        <v>1183</v>
      </c>
      <c r="D222" s="786">
        <f>D154</f>
        <v>0.304716721025045</v>
      </c>
      <c r="E222" s="786">
        <f t="shared" ref="E222:O222" si="260">E154</f>
        <v>0.341114902616628</v>
      </c>
      <c r="F222" s="786">
        <f t="shared" si="260"/>
        <v>0.492993996344022</v>
      </c>
      <c r="G222" s="786">
        <f t="shared" si="260"/>
        <v>0.459162612749601</v>
      </c>
      <c r="H222" s="786">
        <f t="shared" si="260"/>
        <v>0.469553410989088</v>
      </c>
      <c r="I222" s="786">
        <f t="shared" si="260"/>
        <v>0.435950177021895</v>
      </c>
      <c r="J222" s="786">
        <f t="shared" si="260"/>
        <v>0.371577516955345</v>
      </c>
      <c r="K222" s="786">
        <f t="shared" si="260"/>
        <v>0.34348369557792</v>
      </c>
      <c r="L222" s="786">
        <f t="shared" si="260"/>
        <v>0.342805966878278</v>
      </c>
      <c r="M222" s="786">
        <f t="shared" si="260"/>
        <v>0.339487326600048</v>
      </c>
      <c r="N222" s="786">
        <f t="shared" si="260"/>
        <v>0.341538839718353</v>
      </c>
      <c r="O222" s="786">
        <f t="shared" si="260"/>
        <v>0.342547406616623</v>
      </c>
      <c r="P222" s="786">
        <f t="shared" ref="P222" si="261">P154</f>
        <v>0.343704199683626</v>
      </c>
    </row>
    <row r="223" spans="1:16">
      <c r="A223" s="755" t="s">
        <v>1184</v>
      </c>
      <c r="D223" s="786">
        <f>D152</f>
        <v>0.36</v>
      </c>
      <c r="E223" s="786">
        <f>E152</f>
        <v>0.33</v>
      </c>
      <c r="F223" s="786">
        <f t="shared" ref="F223:O223" si="262">F152</f>
        <v>0.503874139847865</v>
      </c>
      <c r="G223" s="786">
        <f t="shared" si="262"/>
        <v>-0.049953638379359</v>
      </c>
      <c r="H223" s="786">
        <f t="shared" si="262"/>
        <v>0.0897041537157393</v>
      </c>
      <c r="I223" s="786">
        <f t="shared" si="262"/>
        <v>-0.0874268579805427</v>
      </c>
      <c r="J223" s="786">
        <f t="shared" si="262"/>
        <v>0.036343466958308</v>
      </c>
      <c r="K223" s="786">
        <f t="shared" si="262"/>
        <v>0.036343466958308</v>
      </c>
      <c r="L223" s="786">
        <f t="shared" si="262"/>
        <v>0.15</v>
      </c>
      <c r="M223" s="786">
        <f t="shared" si="262"/>
        <v>0.1</v>
      </c>
      <c r="N223" s="786">
        <f t="shared" si="262"/>
        <v>0.1</v>
      </c>
      <c r="O223" s="786">
        <f t="shared" si="262"/>
        <v>0.08</v>
      </c>
      <c r="P223" s="786">
        <f t="shared" ref="P223" si="263">P152</f>
        <v>0.08</v>
      </c>
    </row>
    <row r="226" spans="4:15">
      <c r="D226" s="786"/>
      <c r="E226" s="786"/>
      <c r="F226" s="786"/>
      <c r="G226" s="786"/>
      <c r="H226" s="786"/>
      <c r="I226" s="786"/>
      <c r="J226" s="786"/>
      <c r="K226" s="786"/>
      <c r="L226" s="786"/>
      <c r="M226" s="786"/>
      <c r="N226" s="786"/>
      <c r="O226" s="786"/>
    </row>
    <row r="245" spans="1:15">
      <c r="A245" s="801"/>
      <c r="D245" s="802">
        <v>2018</v>
      </c>
      <c r="E245" s="803" t="s">
        <v>803</v>
      </c>
      <c r="F245" s="803" t="s">
        <v>778</v>
      </c>
      <c r="G245" s="803" t="s">
        <v>779</v>
      </c>
      <c r="H245" s="803" t="s">
        <v>780</v>
      </c>
      <c r="I245" s="803" t="s">
        <v>781</v>
      </c>
      <c r="J245" s="803" t="s">
        <v>864</v>
      </c>
      <c r="K245" s="803" t="s">
        <v>865</v>
      </c>
      <c r="L245" s="803" t="s">
        <v>863</v>
      </c>
      <c r="M245" s="803" t="s">
        <v>888</v>
      </c>
      <c r="N245" s="803" t="s">
        <v>889</v>
      </c>
      <c r="O245" s="804" t="s">
        <v>892</v>
      </c>
    </row>
    <row r="246" spans="1:15">
      <c r="A246" s="801" t="s">
        <v>1185</v>
      </c>
      <c r="D246" s="786"/>
      <c r="E246" s="823">
        <f>E164*10000</f>
        <v>19.9985598643053</v>
      </c>
      <c r="F246" s="823">
        <f>E246+(F164*10000)</f>
        <v>19.9985598643053</v>
      </c>
      <c r="G246" s="823">
        <f t="shared" ref="G246:O246" si="264">F246+(G164*10000)</f>
        <v>-25.3084102885429</v>
      </c>
      <c r="H246" s="823">
        <f t="shared" si="264"/>
        <v>-17.2115883893418</v>
      </c>
      <c r="I246" s="823">
        <f t="shared" si="264"/>
        <v>42.8535971712171</v>
      </c>
      <c r="J246" s="823">
        <f t="shared" si="264"/>
        <v>12.9329601570952</v>
      </c>
      <c r="K246" s="823">
        <f t="shared" si="264"/>
        <v>1.66420919575352</v>
      </c>
      <c r="L246" s="823">
        <f t="shared" si="264"/>
        <v>31.5010760425367</v>
      </c>
      <c r="M246" s="823">
        <f t="shared" si="264"/>
        <v>43.8628526837074</v>
      </c>
      <c r="N246" s="823">
        <f t="shared" si="264"/>
        <v>56.2625755015494</v>
      </c>
      <c r="O246" s="823">
        <f t="shared" si="264"/>
        <v>60.4519455264252</v>
      </c>
    </row>
    <row r="247" spans="1:15">
      <c r="F247" s="825">
        <f>F246-$E$246</f>
        <v>0</v>
      </c>
      <c r="G247" s="825">
        <f t="shared" ref="G247:O247" si="265">G246-$E$246</f>
        <v>-45.3069701528482</v>
      </c>
      <c r="H247" s="825">
        <f t="shared" si="265"/>
        <v>-37.2101482536471</v>
      </c>
      <c r="I247" s="825">
        <f t="shared" si="265"/>
        <v>22.8550373069119</v>
      </c>
      <c r="J247" s="825">
        <f t="shared" si="265"/>
        <v>-7.0655997072101</v>
      </c>
      <c r="K247" s="825">
        <f t="shared" si="265"/>
        <v>-18.3343506685518</v>
      </c>
      <c r="L247" s="825">
        <f t="shared" si="265"/>
        <v>11.5025161782315</v>
      </c>
      <c r="M247" s="825">
        <f t="shared" si="265"/>
        <v>23.8642928194021</v>
      </c>
      <c r="N247" s="825">
        <f t="shared" si="265"/>
        <v>36.2640156372441</v>
      </c>
      <c r="O247" s="825">
        <f t="shared" si="265"/>
        <v>40.4533856621199</v>
      </c>
    </row>
    <row r="248" spans="1:15">
      <c r="O248" s="825"/>
    </row>
    <row r="266" spans="1:15">
      <c r="D266" s="802">
        <v>2018</v>
      </c>
      <c r="E266" s="803" t="s">
        <v>803</v>
      </c>
      <c r="F266" s="803" t="s">
        <v>778</v>
      </c>
      <c r="G266" s="803" t="s">
        <v>779</v>
      </c>
      <c r="H266" s="803" t="s">
        <v>780</v>
      </c>
      <c r="I266" s="803" t="s">
        <v>781</v>
      </c>
      <c r="J266" s="803" t="s">
        <v>864</v>
      </c>
      <c r="K266" s="803" t="s">
        <v>865</v>
      </c>
      <c r="L266" s="803" t="s">
        <v>863</v>
      </c>
      <c r="M266" s="803" t="s">
        <v>888</v>
      </c>
      <c r="N266" s="803" t="s">
        <v>889</v>
      </c>
      <c r="O266" s="804" t="s">
        <v>892</v>
      </c>
    </row>
    <row r="267" spans="1:15">
      <c r="A267" s="755" t="s">
        <v>1186</v>
      </c>
      <c r="D267" s="786">
        <f t="shared" ref="D267:N267" si="266">D142</f>
        <v>0.125484827743555</v>
      </c>
      <c r="E267" s="786">
        <f t="shared" si="266"/>
        <v>0.125750135591397</v>
      </c>
      <c r="F267" s="786">
        <f t="shared" si="266"/>
        <v>0.20059833236537</v>
      </c>
      <c r="G267" s="786">
        <f t="shared" si="266"/>
        <v>0.135760401919125</v>
      </c>
      <c r="H267" s="786">
        <f t="shared" si="266"/>
        <v>0.189320578421829</v>
      </c>
      <c r="I267" s="786">
        <f t="shared" si="266"/>
        <v>0.209528438097697</v>
      </c>
      <c r="J267" s="786">
        <f t="shared" si="266"/>
        <v>0.163282143577888</v>
      </c>
      <c r="K267" s="786">
        <f t="shared" si="266"/>
        <v>0.161282143577888</v>
      </c>
      <c r="L267" s="786">
        <f t="shared" si="266"/>
        <v>0.159282143577888</v>
      </c>
      <c r="M267" s="786">
        <f t="shared" si="266"/>
        <v>0.157282143577888</v>
      </c>
      <c r="N267" s="786">
        <f t="shared" si="266"/>
        <v>0.155282143577888</v>
      </c>
      <c r="O267" s="786">
        <f>O142-0.001</f>
        <v>0.153282143577888</v>
      </c>
    </row>
    <row r="268" spans="1:15">
      <c r="A268" s="755" t="s">
        <v>1187</v>
      </c>
      <c r="E268" s="853">
        <f>-(E267-D267)*10000</f>
        <v>-2.65307847842428</v>
      </c>
      <c r="F268" s="853">
        <f>(E268-((F267-E267)*10000))</f>
        <v>-751.135046218152</v>
      </c>
      <c r="G268" s="853">
        <f t="shared" ref="G268:N268" si="267">(F268-((G267-F267)*10000))</f>
        <v>-102.755741755699</v>
      </c>
      <c r="H268" s="853">
        <f t="shared" si="267"/>
        <v>-638.357506782739</v>
      </c>
      <c r="I268" s="853">
        <f t="shared" si="267"/>
        <v>-840.436103541425</v>
      </c>
      <c r="J268" s="853">
        <f t="shared" si="267"/>
        <v>-377.973158343332</v>
      </c>
      <c r="K268" s="853">
        <f t="shared" si="267"/>
        <v>-357.973158343332</v>
      </c>
      <c r="L268" s="853">
        <f t="shared" si="267"/>
        <v>-337.973158343332</v>
      </c>
      <c r="M268" s="853">
        <f t="shared" si="267"/>
        <v>-317.973158343332</v>
      </c>
      <c r="N268" s="853">
        <f t="shared" si="267"/>
        <v>-297.973158343332</v>
      </c>
      <c r="O268" s="853">
        <f>N268</f>
        <v>-297.973158343332</v>
      </c>
    </row>
    <row r="269" spans="1:15">
      <c r="O269" s="825"/>
    </row>
    <row r="289" spans="1:15">
      <c r="D289" s="802">
        <v>2018</v>
      </c>
      <c r="E289" s="803" t="s">
        <v>803</v>
      </c>
      <c r="F289" s="803" t="s">
        <v>778</v>
      </c>
      <c r="G289" s="803" t="s">
        <v>779</v>
      </c>
      <c r="H289" s="803" t="s">
        <v>780</v>
      </c>
      <c r="I289" s="803" t="s">
        <v>781</v>
      </c>
      <c r="J289" s="803" t="s">
        <v>864</v>
      </c>
      <c r="K289" s="803" t="s">
        <v>865</v>
      </c>
      <c r="L289" s="803" t="s">
        <v>863</v>
      </c>
      <c r="M289" s="803" t="s">
        <v>888</v>
      </c>
      <c r="N289" s="803" t="s">
        <v>889</v>
      </c>
      <c r="O289" s="804" t="s">
        <v>892</v>
      </c>
    </row>
    <row r="290" spans="1:15">
      <c r="A290" s="755" t="s">
        <v>785</v>
      </c>
      <c r="D290" s="854">
        <f t="shared" ref="D290:O290" si="268">D111</f>
        <v>7141</v>
      </c>
      <c r="E290" s="854">
        <f t="shared" si="268"/>
        <v>8030.58</v>
      </c>
      <c r="F290" s="854">
        <f t="shared" si="268"/>
        <v>6546</v>
      </c>
      <c r="G290" s="854">
        <f t="shared" si="268"/>
        <v>4597</v>
      </c>
      <c r="H290" s="854">
        <f t="shared" si="268"/>
        <v>3179</v>
      </c>
      <c r="I290" s="854">
        <f t="shared" si="268"/>
        <v>3040</v>
      </c>
      <c r="J290" s="854">
        <f t="shared" si="268"/>
        <v>3256.716</v>
      </c>
      <c r="K290" s="854">
        <f t="shared" si="268"/>
        <v>3582.3876</v>
      </c>
      <c r="L290" s="854">
        <f t="shared" si="268"/>
        <v>3940.62636</v>
      </c>
      <c r="M290" s="854">
        <f t="shared" si="268"/>
        <v>4334.688996</v>
      </c>
      <c r="N290" s="854">
        <f t="shared" si="268"/>
        <v>4768.1578956</v>
      </c>
      <c r="O290" s="854">
        <f t="shared" si="268"/>
        <v>5244.97368516</v>
      </c>
    </row>
    <row r="291" spans="1:15">
      <c r="A291" s="755" t="s">
        <v>209</v>
      </c>
      <c r="D291" s="854">
        <f t="shared" ref="D291:O291" si="269">D101</f>
        <v>5884</v>
      </c>
      <c r="E291" s="854">
        <f t="shared" si="269"/>
        <v>6071.42</v>
      </c>
      <c r="F291" s="854">
        <f t="shared" si="269"/>
        <v>5320</v>
      </c>
      <c r="G291" s="854">
        <f t="shared" si="269"/>
        <v>7760</v>
      </c>
      <c r="H291" s="854">
        <f t="shared" si="269"/>
        <v>8550</v>
      </c>
      <c r="I291" s="854">
        <f t="shared" si="269"/>
        <v>6114.5</v>
      </c>
      <c r="J291" s="854">
        <f t="shared" si="269"/>
        <v>7389.004</v>
      </c>
      <c r="K291" s="854">
        <f t="shared" si="269"/>
        <v>7684.56416</v>
      </c>
      <c r="L291" s="854">
        <f t="shared" si="269"/>
        <v>7991.9467264</v>
      </c>
      <c r="M291" s="854">
        <f t="shared" si="269"/>
        <v>8311.624595456</v>
      </c>
      <c r="N291" s="854">
        <f t="shared" si="269"/>
        <v>8644.08957927424</v>
      </c>
      <c r="O291" s="854">
        <f t="shared" si="269"/>
        <v>8989.85316244521</v>
      </c>
    </row>
    <row r="292" spans="1:15">
      <c r="A292" s="755" t="s">
        <v>101</v>
      </c>
      <c r="D292" s="854">
        <f t="shared" ref="D292:O292" si="270">D106</f>
        <v>4688</v>
      </c>
      <c r="E292" s="854">
        <f t="shared" si="270"/>
        <v>5313</v>
      </c>
      <c r="F292" s="854">
        <f t="shared" si="270"/>
        <v>4762</v>
      </c>
      <c r="G292" s="854">
        <f t="shared" si="270"/>
        <v>5105</v>
      </c>
      <c r="H292" s="854">
        <f t="shared" si="270"/>
        <v>6398</v>
      </c>
      <c r="I292" s="854">
        <f t="shared" si="270"/>
        <v>4844</v>
      </c>
      <c r="J292" s="854">
        <f t="shared" si="270"/>
        <v>4927.017</v>
      </c>
      <c r="K292" s="854">
        <f t="shared" si="270"/>
        <v>5419.7187</v>
      </c>
      <c r="L292" s="854">
        <f t="shared" si="270"/>
        <v>5961.69057</v>
      </c>
      <c r="M292" s="854">
        <f t="shared" si="270"/>
        <v>6557.859627</v>
      </c>
      <c r="N292" s="854">
        <f t="shared" si="270"/>
        <v>7213.6455897</v>
      </c>
      <c r="O292" s="854">
        <f t="shared" si="270"/>
        <v>7935.01014867001</v>
      </c>
    </row>
    <row r="293" spans="1:15">
      <c r="A293" s="755" t="s">
        <v>748</v>
      </c>
      <c r="D293" s="854">
        <f t="shared" ref="D293:O293" si="271">D116</f>
        <v>1633</v>
      </c>
      <c r="E293" s="854">
        <f t="shared" si="271"/>
        <v>1660</v>
      </c>
      <c r="F293" s="854">
        <f t="shared" si="271"/>
        <v>1158</v>
      </c>
      <c r="G293" s="854">
        <f t="shared" si="271"/>
        <v>1447</v>
      </c>
      <c r="H293" s="854">
        <f t="shared" si="271"/>
        <v>2110</v>
      </c>
      <c r="I293" s="854">
        <f t="shared" si="271"/>
        <v>2291</v>
      </c>
      <c r="J293" s="854">
        <f t="shared" si="271"/>
        <v>2777.4195</v>
      </c>
      <c r="K293" s="854">
        <f t="shared" si="271"/>
        <v>2888.51628</v>
      </c>
      <c r="L293" s="854">
        <f t="shared" si="271"/>
        <v>3004.0569312</v>
      </c>
      <c r="M293" s="854">
        <f t="shared" si="271"/>
        <v>3124.219208448</v>
      </c>
      <c r="N293" s="854">
        <f t="shared" si="271"/>
        <v>3249.18797678592</v>
      </c>
      <c r="O293" s="854">
        <f t="shared" si="271"/>
        <v>3379.15549585736</v>
      </c>
    </row>
    <row r="294" spans="1:15">
      <c r="A294" s="755" t="s">
        <v>751</v>
      </c>
      <c r="D294" s="854">
        <f t="shared" ref="D294:O294" si="272">D121</f>
        <v>1144</v>
      </c>
      <c r="E294" s="854">
        <f t="shared" si="272"/>
        <v>1302</v>
      </c>
      <c r="F294" s="854">
        <f t="shared" si="272"/>
        <v>998</v>
      </c>
      <c r="G294" s="854">
        <f t="shared" si="272"/>
        <v>2181</v>
      </c>
      <c r="H294" s="854">
        <f t="shared" si="272"/>
        <v>2241</v>
      </c>
      <c r="I294" s="854">
        <f t="shared" si="272"/>
        <v>1255.5</v>
      </c>
      <c r="J294" s="854">
        <f t="shared" si="272"/>
        <v>1320.8465</v>
      </c>
      <c r="K294" s="854">
        <f t="shared" si="272"/>
        <v>1413.305755</v>
      </c>
      <c r="L294" s="854">
        <f t="shared" si="272"/>
        <v>1512.23715785</v>
      </c>
      <c r="M294" s="854">
        <f t="shared" si="272"/>
        <v>1618.0937588995</v>
      </c>
      <c r="N294" s="854">
        <f t="shared" si="272"/>
        <v>1731.36032202247</v>
      </c>
      <c r="O294" s="854">
        <f t="shared" si="272"/>
        <v>1852.55554456404</v>
      </c>
    </row>
    <row r="295" spans="1:15">
      <c r="A295" s="755" t="s">
        <v>787</v>
      </c>
      <c r="D295" s="854">
        <f t="shared" ref="D295:O295" si="273">D126</f>
        <v>594</v>
      </c>
      <c r="E295" s="854">
        <f t="shared" si="273"/>
        <v>659</v>
      </c>
      <c r="F295" s="854">
        <f t="shared" si="273"/>
        <v>584</v>
      </c>
      <c r="G295" s="854">
        <f t="shared" si="273"/>
        <v>0</v>
      </c>
      <c r="H295" s="854">
        <f t="shared" si="273"/>
        <v>0</v>
      </c>
      <c r="I295" s="854">
        <f t="shared" si="273"/>
        <v>0</v>
      </c>
      <c r="J295" s="854">
        <f t="shared" si="273"/>
        <v>0</v>
      </c>
      <c r="K295" s="854">
        <f t="shared" si="273"/>
        <v>0</v>
      </c>
      <c r="L295" s="854">
        <f t="shared" si="273"/>
        <v>0</v>
      </c>
      <c r="M295" s="854">
        <f t="shared" si="273"/>
        <v>0</v>
      </c>
      <c r="N295" s="854">
        <f t="shared" si="273"/>
        <v>0</v>
      </c>
      <c r="O295" s="854">
        <f t="shared" si="273"/>
        <v>0</v>
      </c>
    </row>
    <row r="296" spans="1:15">
      <c r="A296" s="755" t="s">
        <v>64</v>
      </c>
      <c r="D296" s="854">
        <f t="shared" ref="D296:O296" si="274">D131</f>
        <v>831</v>
      </c>
      <c r="E296" s="854">
        <f t="shared" si="274"/>
        <v>605</v>
      </c>
      <c r="F296" s="854">
        <f t="shared" si="274"/>
        <v>476</v>
      </c>
      <c r="G296" s="854">
        <f t="shared" si="274"/>
        <v>144.000000000002</v>
      </c>
      <c r="H296" s="854">
        <f t="shared" si="274"/>
        <v>150</v>
      </c>
      <c r="I296" s="854">
        <f t="shared" si="274"/>
        <v>199</v>
      </c>
      <c r="J296" s="854">
        <f t="shared" si="274"/>
        <v>104</v>
      </c>
      <c r="K296" s="854">
        <f t="shared" si="274"/>
        <v>104</v>
      </c>
      <c r="L296" s="854">
        <f t="shared" si="274"/>
        <v>104</v>
      </c>
      <c r="M296" s="854">
        <f t="shared" si="274"/>
        <v>104</v>
      </c>
      <c r="N296" s="854">
        <f t="shared" si="274"/>
        <v>104</v>
      </c>
      <c r="O296" s="854">
        <f t="shared" si="274"/>
        <v>104</v>
      </c>
    </row>
    <row r="297" spans="1:15">
      <c r="D297" s="765">
        <f>D290/SUM(D290:D296)</f>
        <v>0.325849874515172</v>
      </c>
      <c r="E297" s="765"/>
      <c r="F297" s="765"/>
      <c r="G297" s="765"/>
      <c r="H297" s="765"/>
      <c r="I297" s="765"/>
      <c r="J297" s="765"/>
      <c r="K297" s="765"/>
      <c r="L297" s="765"/>
      <c r="M297" s="765"/>
      <c r="N297" s="765"/>
      <c r="O297" s="765">
        <f>O290/SUM(O290:O296)</f>
        <v>0.190687845163543</v>
      </c>
    </row>
    <row r="318" spans="1:4">
      <c r="D318" s="755" t="s">
        <v>892</v>
      </c>
    </row>
    <row r="319" spans="1:4">
      <c r="A319" s="755" t="s">
        <v>785</v>
      </c>
      <c r="D319" s="786">
        <f>$O$114-$O$142</f>
        <v>0.173263018164165</v>
      </c>
    </row>
    <row r="320" spans="1:4">
      <c r="A320" s="755" t="s">
        <v>751</v>
      </c>
      <c r="D320" s="786">
        <f>$O$124-$O$142</f>
        <v>0.13568988439414</v>
      </c>
    </row>
    <row r="321" spans="1:4">
      <c r="A321" s="755" t="s">
        <v>787</v>
      </c>
      <c r="D321" s="786">
        <f>$O$129-$O$142</f>
        <v>0.100509102213358</v>
      </c>
    </row>
    <row r="322" spans="1:4">
      <c r="A322" s="755" t="s">
        <v>789</v>
      </c>
      <c r="D322" s="786">
        <f>$O$139-$O$142</f>
        <v>0.069603655511182</v>
      </c>
    </row>
    <row r="323" spans="1:4">
      <c r="A323" s="755" t="s">
        <v>209</v>
      </c>
      <c r="D323" s="786">
        <f>$O$104-$O$142</f>
        <v>0.0555818944914528</v>
      </c>
    </row>
    <row r="324" spans="1:4">
      <c r="A324" s="755" t="s">
        <v>64</v>
      </c>
      <c r="D324" s="786">
        <f>$O$134-$O$142</f>
        <v>0.0456637047975635</v>
      </c>
    </row>
    <row r="325" spans="1:4">
      <c r="A325" s="755" t="s">
        <v>748</v>
      </c>
      <c r="D325" s="786">
        <f>$O$119-$O$142</f>
        <v>0.0255690505433615</v>
      </c>
    </row>
    <row r="326" spans="1:4">
      <c r="A326" s="755" t="s">
        <v>101</v>
      </c>
      <c r="D326" s="786">
        <f>$O$109-$O$142</f>
        <v>0.0206086414050474</v>
      </c>
    </row>
    <row r="337" spans="1:4">
      <c r="D337" s="755" t="s">
        <v>1188</v>
      </c>
    </row>
    <row r="338" spans="1:4">
      <c r="A338" s="755" t="s">
        <v>101</v>
      </c>
      <c r="D338" s="853">
        <f>(D326-F207)*10000</f>
        <v>-27.9731583433312</v>
      </c>
    </row>
    <row r="339" spans="1:4">
      <c r="A339" s="755" t="s">
        <v>789</v>
      </c>
      <c r="D339" s="853">
        <f>(D322-F203)*10000</f>
        <v>-384.501888876316</v>
      </c>
    </row>
    <row r="340" spans="1:4">
      <c r="A340" s="755" t="s">
        <v>751</v>
      </c>
      <c r="D340" s="853">
        <f>(D320-F201)*10000</f>
        <v>-167.973158343331</v>
      </c>
    </row>
    <row r="341" spans="1:4">
      <c r="A341" s="755" t="s">
        <v>209</v>
      </c>
      <c r="D341" s="853">
        <f>(D323-F204)*10000</f>
        <v>-187.973158343331</v>
      </c>
    </row>
    <row r="342" spans="1:4">
      <c r="A342" s="755" t="s">
        <v>748</v>
      </c>
      <c r="D342" s="853">
        <f>(D325-F206)*10000</f>
        <v>-197.973158343331</v>
      </c>
    </row>
    <row r="343" spans="1:4">
      <c r="A343" s="755" t="s">
        <v>787</v>
      </c>
      <c r="D343" s="853">
        <f>(D321-F202)*10000</f>
        <v>-197.973158343332</v>
      </c>
    </row>
    <row r="344" spans="1:4">
      <c r="A344" s="755" t="s">
        <v>64</v>
      </c>
      <c r="D344" s="853">
        <f>(D324-F205)*10000</f>
        <v>-237.973158343331</v>
      </c>
    </row>
    <row r="345" spans="1:4">
      <c r="A345" s="755" t="s">
        <v>785</v>
      </c>
      <c r="D345" s="853">
        <f>(D319-F200)*10000</f>
        <v>-287.973158343331</v>
      </c>
    </row>
    <row r="373" spans="1:15">
      <c r="A373" s="801"/>
      <c r="D373" s="802">
        <v>2018</v>
      </c>
      <c r="E373" s="803" t="s">
        <v>803</v>
      </c>
      <c r="F373" s="803" t="s">
        <v>778</v>
      </c>
      <c r="G373" s="803" t="s">
        <v>779</v>
      </c>
      <c r="H373" s="803" t="s">
        <v>780</v>
      </c>
      <c r="I373" s="803" t="s">
        <v>781</v>
      </c>
      <c r="J373" s="803" t="s">
        <v>864</v>
      </c>
      <c r="K373" s="803" t="s">
        <v>865</v>
      </c>
      <c r="L373" s="803" t="s">
        <v>863</v>
      </c>
      <c r="M373" s="803" t="s">
        <v>888</v>
      </c>
      <c r="N373" s="803" t="s">
        <v>889</v>
      </c>
      <c r="O373" s="804" t="s">
        <v>892</v>
      </c>
    </row>
    <row r="374" spans="1:15">
      <c r="A374" s="801" t="s">
        <v>1189</v>
      </c>
      <c r="D374" s="786"/>
      <c r="E374" s="823">
        <f>E95</f>
        <v>78.1106363747974</v>
      </c>
      <c r="F374" s="823">
        <f t="shared" ref="F374:O374" si="275">E374+F95</f>
        <v>257.599926160046</v>
      </c>
      <c r="G374" s="823">
        <f t="shared" si="275"/>
        <v>214.219498681331</v>
      </c>
      <c r="H374" s="823">
        <f t="shared" si="275"/>
        <v>218.769619833322</v>
      </c>
      <c r="I374" s="823">
        <f t="shared" si="275"/>
        <v>281.078310235157</v>
      </c>
      <c r="J374" s="823">
        <f t="shared" si="275"/>
        <v>368.234309257259</v>
      </c>
      <c r="K374" s="823">
        <f t="shared" si="275"/>
        <v>410.591219133772</v>
      </c>
      <c r="L374" s="823">
        <f t="shared" si="275"/>
        <v>468.624647510021</v>
      </c>
      <c r="M374" s="823">
        <f t="shared" si="275"/>
        <v>505.884329548568</v>
      </c>
      <c r="N374" s="823">
        <f t="shared" si="275"/>
        <v>534.167171325162</v>
      </c>
      <c r="O374" s="823">
        <f t="shared" si="275"/>
        <v>553.771023296849</v>
      </c>
    </row>
    <row r="375" spans="1:15">
      <c r="D375" s="786"/>
    </row>
    <row r="393" spans="1:21"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779"/>
      <c r="O393" s="779"/>
      <c r="P393" s="779"/>
      <c r="Q393" s="779"/>
      <c r="R393" s="779"/>
    </row>
    <row r="394" spans="1:21"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779"/>
      <c r="O394" s="779"/>
      <c r="P394" s="779"/>
      <c r="Q394" s="779"/>
      <c r="R394" s="779"/>
    </row>
    <row r="395" spans="1:21">
      <c r="D395" s="855">
        <f>E395-1</f>
        <v>2013</v>
      </c>
      <c r="E395" s="855">
        <v>2014</v>
      </c>
      <c r="F395" s="855">
        <f>G395-1</f>
        <v>2015</v>
      </c>
      <c r="G395" s="855">
        <f>H395-1</f>
        <v>2016</v>
      </c>
      <c r="H395" s="855">
        <f>I395-1</f>
        <v>2017</v>
      </c>
      <c r="I395" s="802">
        <v>2018</v>
      </c>
      <c r="J395" s="803" t="s">
        <v>803</v>
      </c>
      <c r="K395" s="803" t="s">
        <v>778</v>
      </c>
      <c r="L395" s="803" t="s">
        <v>779</v>
      </c>
      <c r="M395" s="803" t="s">
        <v>780</v>
      </c>
      <c r="N395" s="803" t="s">
        <v>781</v>
      </c>
      <c r="O395" s="803" t="s">
        <v>864</v>
      </c>
      <c r="P395" s="803" t="s">
        <v>865</v>
      </c>
      <c r="Q395" s="803" t="s">
        <v>863</v>
      </c>
      <c r="R395" s="803" t="s">
        <v>863</v>
      </c>
      <c r="S395" s="803" t="s">
        <v>889</v>
      </c>
      <c r="T395" s="804" t="s">
        <v>892</v>
      </c>
    </row>
    <row r="396" spans="1:21">
      <c r="A396" s="755" t="s">
        <v>1190</v>
      </c>
      <c r="D396" s="779">
        <f>Worksheet!C237</f>
        <v>155.986990677939</v>
      </c>
      <c r="E396" s="779">
        <f>Worksheet!D237</f>
        <v>-164.544635218432</v>
      </c>
      <c r="F396" s="779">
        <f>Worksheet!F237</f>
        <v>64.848481717632</v>
      </c>
      <c r="G396" s="779">
        <f>Worksheet!H237</f>
        <v>33.2545844521609</v>
      </c>
      <c r="H396" s="779">
        <f>Worksheet!K237</f>
        <v>182.197290259096</v>
      </c>
      <c r="I396" s="779">
        <f>Worksheet!L237</f>
        <v>140.731074634389</v>
      </c>
      <c r="J396" s="779">
        <f t="shared" ref="J396:T396" si="276">E171</f>
        <v>78.1106363747974</v>
      </c>
      <c r="K396" s="779">
        <f t="shared" si="276"/>
        <v>179.489289785248</v>
      </c>
      <c r="L396" s="779">
        <f t="shared" si="276"/>
        <v>-43.3804274787153</v>
      </c>
      <c r="M396" s="779">
        <f t="shared" si="276"/>
        <v>4.5501211519916</v>
      </c>
      <c r="N396" s="779">
        <f t="shared" si="276"/>
        <v>62.3086904018344</v>
      </c>
      <c r="O396" s="779">
        <f t="shared" si="276"/>
        <v>87.1559990221027</v>
      </c>
      <c r="P396" s="779">
        <f t="shared" si="276"/>
        <v>42.3569098765131</v>
      </c>
      <c r="Q396" s="779">
        <f t="shared" si="276"/>
        <v>58.0334283762485</v>
      </c>
      <c r="R396" s="779">
        <f t="shared" si="276"/>
        <v>37.2596820385473</v>
      </c>
      <c r="S396" s="779">
        <f t="shared" si="276"/>
        <v>28.2828417765935</v>
      </c>
      <c r="T396" s="779">
        <f t="shared" si="276"/>
        <v>19.6038519716868</v>
      </c>
      <c r="U396" s="779">
        <f>SUM(K396:T396)</f>
        <v>475.660386922051</v>
      </c>
    </row>
    <row r="397" spans="1:21">
      <c r="A397" s="755" t="s">
        <v>754</v>
      </c>
      <c r="D397" s="779">
        <f>-Worksheet!C238</f>
        <v>84.1932082563597</v>
      </c>
      <c r="E397" s="779">
        <f>-Worksheet!D238</f>
        <v>42.2513871877556</v>
      </c>
      <c r="F397" s="779">
        <f>-Worksheet!F238</f>
        <v>79.8846465224232</v>
      </c>
      <c r="G397" s="779">
        <f>-Worksheet!H238</f>
        <v>-93.512725705801</v>
      </c>
      <c r="H397" s="779">
        <f>-Worksheet!K238</f>
        <v>-20.4501288825205</v>
      </c>
      <c r="I397" s="779">
        <f>-Worksheet!L238</f>
        <v>35.7793965996893</v>
      </c>
      <c r="J397" s="779">
        <f t="shared" ref="J397:T397" si="277">E173</f>
        <v>33.4851702068484</v>
      </c>
      <c r="K397" s="779">
        <f t="shared" si="277"/>
        <v>926.201274926216</v>
      </c>
      <c r="L397" s="779">
        <f t="shared" si="277"/>
        <v>-600.2209579595</v>
      </c>
      <c r="M397" s="779">
        <f t="shared" si="277"/>
        <v>644.191171309375</v>
      </c>
      <c r="N397" s="779">
        <f t="shared" si="277"/>
        <v>245.245938842246</v>
      </c>
      <c r="O397" s="779">
        <f t="shared" si="277"/>
        <v>-375.098151290663</v>
      </c>
      <c r="P397" s="779">
        <f t="shared" si="277"/>
        <v>14.6989436055989</v>
      </c>
      <c r="Q397" s="779">
        <f t="shared" si="277"/>
        <v>30.912748748847</v>
      </c>
      <c r="R397" s="779">
        <f t="shared" si="277"/>
        <v>10.0130319946434</v>
      </c>
      <c r="S397" s="779">
        <f t="shared" si="277"/>
        <v>3.7210290042089</v>
      </c>
      <c r="T397" s="779">
        <f t="shared" si="277"/>
        <v>4.12271278534382</v>
      </c>
      <c r="U397" s="779">
        <f>SUM(K397:T397)</f>
        <v>903.787741966317</v>
      </c>
    </row>
    <row r="398" spans="1:21">
      <c r="A398" s="755" t="s">
        <v>752</v>
      </c>
      <c r="D398" s="779">
        <f>Worksheet!C236</f>
        <v>71.7937824215791</v>
      </c>
      <c r="E398" s="779">
        <f>Worksheet!D236</f>
        <v>-206.796022406188</v>
      </c>
      <c r="F398" s="779">
        <f>Worksheet!F236</f>
        <v>-15.0361648047911</v>
      </c>
      <c r="G398" s="779">
        <f>Worksheet!H236</f>
        <v>126.767310157962</v>
      </c>
      <c r="H398" s="779">
        <f>Worksheet!K236</f>
        <v>202.647419141616</v>
      </c>
      <c r="I398" s="779">
        <f>Worksheet!L236</f>
        <v>104.9516780347</v>
      </c>
      <c r="J398" s="779">
        <f t="shared" ref="J398:T398" si="278">E175</f>
        <v>44.625466167949</v>
      </c>
      <c r="K398" s="779">
        <f t="shared" si="278"/>
        <v>-746.711985140967</v>
      </c>
      <c r="L398" s="779">
        <f t="shared" si="278"/>
        <v>556.840530480784</v>
      </c>
      <c r="M398" s="779">
        <f t="shared" si="278"/>
        <v>-639.641050157383</v>
      </c>
      <c r="N398" s="779">
        <f t="shared" si="278"/>
        <v>-182.937248440411</v>
      </c>
      <c r="O398" s="779">
        <f t="shared" si="278"/>
        <v>462.254150312765</v>
      </c>
      <c r="P398" s="779">
        <f t="shared" si="278"/>
        <v>27.6579662709144</v>
      </c>
      <c r="Q398" s="779">
        <f t="shared" si="278"/>
        <v>27.120679627401</v>
      </c>
      <c r="R398" s="779">
        <f t="shared" si="278"/>
        <v>27.2466500439049</v>
      </c>
      <c r="S398" s="779">
        <f t="shared" si="278"/>
        <v>24.5618127723839</v>
      </c>
      <c r="T398" s="779">
        <f t="shared" si="278"/>
        <v>15.4811391863431</v>
      </c>
      <c r="U398" s="779">
        <f>SUM(K398:T398)</f>
        <v>-428.127355044265</v>
      </c>
    </row>
    <row r="399" spans="1:21">
      <c r="A399" s="755" t="s">
        <v>756</v>
      </c>
      <c r="D399" s="786">
        <f>Worksheet!C239</f>
        <v>0.0868004223864836</v>
      </c>
      <c r="E399" s="786">
        <f>Worksheet!D239</f>
        <v>0.0661208201458649</v>
      </c>
      <c r="F399" s="786">
        <f>Worksheet!F239</f>
        <v>0.0646172036653858</v>
      </c>
      <c r="G399" s="786">
        <f>Worksheet!H239</f>
        <v>0.077293934681182</v>
      </c>
      <c r="H399" s="786">
        <f>Worksheet!K239</f>
        <v>0.0975586765953436</v>
      </c>
      <c r="I399" s="786">
        <f>Worksheet!L239</f>
        <v>0.108053844398814</v>
      </c>
      <c r="J399" s="786">
        <f>E174</f>
        <v>0.112516391015608</v>
      </c>
      <c r="K399" s="786">
        <f t="shared" ref="K399:T399" si="279">F174</f>
        <v>0.0378451925015118</v>
      </c>
      <c r="L399" s="786">
        <f t="shared" si="279"/>
        <v>0.0935292455495902</v>
      </c>
      <c r="M399" s="786">
        <f t="shared" si="279"/>
        <v>0.0295651405338519</v>
      </c>
      <c r="N399" s="786">
        <f t="shared" si="279"/>
        <v>0.0112714156898107</v>
      </c>
      <c r="O399" s="786">
        <f t="shared" si="279"/>
        <v>0.0574968307210872</v>
      </c>
      <c r="P399" s="786">
        <f t="shared" si="279"/>
        <v>0.0602626273481787</v>
      </c>
      <c r="Q399" s="786">
        <f t="shared" si="279"/>
        <v>0.0629746953109188</v>
      </c>
      <c r="R399" s="786">
        <f t="shared" si="279"/>
        <v>0.0656993603153093</v>
      </c>
      <c r="S399" s="786">
        <f t="shared" si="279"/>
        <v>0.0681555415925476</v>
      </c>
      <c r="T399" s="786">
        <f t="shared" si="279"/>
        <v>0.069703655511182</v>
      </c>
    </row>
    <row r="400" spans="1:21">
      <c r="U400" s="779"/>
    </row>
    <row r="419" spans="1:8">
      <c r="D419" s="755" t="s">
        <v>1191</v>
      </c>
      <c r="E419" s="755" t="s">
        <v>1192</v>
      </c>
      <c r="G419" s="755" t="s">
        <v>1193</v>
      </c>
    </row>
    <row r="420" spans="1:8">
      <c r="A420" s="755" t="s">
        <v>1194</v>
      </c>
      <c r="D420" s="755">
        <f>'Profit and Loss'!Y325</f>
        <v>21915</v>
      </c>
      <c r="E420" s="755">
        <f>D420</f>
        <v>21915</v>
      </c>
      <c r="G420" s="755">
        <v>1.19431183206107</v>
      </c>
      <c r="H420" s="755">
        <v>0.8373022632408</v>
      </c>
    </row>
    <row r="421" spans="1:8">
      <c r="A421" s="755" t="s">
        <v>1195</v>
      </c>
      <c r="D421" s="755">
        <v>36397</v>
      </c>
      <c r="E421" s="856">
        <f>D421/G420</f>
        <v>30475.2904751754</v>
      </c>
    </row>
    <row r="423" spans="1:8">
      <c r="D423" s="755" t="s">
        <v>1191</v>
      </c>
      <c r="E423" s="755" t="s">
        <v>1192</v>
      </c>
    </row>
    <row r="424" spans="1:8">
      <c r="A424" s="755" t="s">
        <v>1196</v>
      </c>
      <c r="D424" s="755">
        <f>'Profit and Loss'!Y342</f>
        <v>3001</v>
      </c>
      <c r="E424" s="755">
        <f>D424</f>
        <v>3001</v>
      </c>
    </row>
    <row r="425" spans="1:8">
      <c r="A425" s="755" t="s">
        <v>1197</v>
      </c>
      <c r="D425" s="755">
        <v>3577</v>
      </c>
      <c r="E425" s="853">
        <f>D425/G420</f>
        <v>2995.03019561234</v>
      </c>
    </row>
    <row r="440" spans="1:15">
      <c r="A440" s="801"/>
      <c r="D440" s="802">
        <v>2018</v>
      </c>
      <c r="E440" s="803" t="s">
        <v>803</v>
      </c>
      <c r="F440" s="803" t="s">
        <v>778</v>
      </c>
      <c r="G440" s="803" t="s">
        <v>779</v>
      </c>
      <c r="H440" s="803" t="s">
        <v>780</v>
      </c>
      <c r="I440" s="803" t="s">
        <v>781</v>
      </c>
      <c r="J440" s="803" t="s">
        <v>864</v>
      </c>
      <c r="K440" s="803" t="s">
        <v>865</v>
      </c>
      <c r="L440" s="803" t="s">
        <v>863</v>
      </c>
      <c r="M440" s="803" t="s">
        <v>888</v>
      </c>
      <c r="N440" s="803" t="s">
        <v>889</v>
      </c>
      <c r="O440" s="804" t="s">
        <v>892</v>
      </c>
    </row>
    <row r="441" spans="1:15">
      <c r="A441" s="801" t="s">
        <v>1198</v>
      </c>
      <c r="D441" s="786"/>
      <c r="E441" s="857">
        <f>E141/D141-1</f>
        <v>0.0810396201877157</v>
      </c>
      <c r="F441" s="857">
        <f t="shared" ref="F441:O441" si="280">F141/E141-1</f>
        <v>0.33900510149402</v>
      </c>
      <c r="G441" s="857">
        <f t="shared" si="280"/>
        <v>-0.275816890336254</v>
      </c>
      <c r="H441" s="857">
        <f t="shared" si="280"/>
        <v>0.486069307844376</v>
      </c>
      <c r="I441" s="857">
        <f t="shared" si="280"/>
        <v>-0.132138322124284</v>
      </c>
      <c r="J441" s="857">
        <f t="shared" si="280"/>
        <v>-0.131518149860527</v>
      </c>
      <c r="K441" s="857">
        <f t="shared" si="280"/>
        <v>0.0535591881366284</v>
      </c>
      <c r="L441" s="857">
        <f t="shared" si="280"/>
        <v>0.0541837612015978</v>
      </c>
      <c r="M441" s="857">
        <f t="shared" si="280"/>
        <v>0.054806427287605</v>
      </c>
      <c r="N441" s="857">
        <f t="shared" si="280"/>
        <v>0.055425954886424</v>
      </c>
      <c r="O441" s="857">
        <f t="shared" si="280"/>
        <v>0.0629306176882822</v>
      </c>
    </row>
    <row r="442" spans="1:15">
      <c r="A442" s="801" t="s">
        <v>1199</v>
      </c>
      <c r="D442" s="786">
        <f>D142</f>
        <v>0.125484827743555</v>
      </c>
      <c r="E442" s="786">
        <f>E142</f>
        <v>0.125750135591397</v>
      </c>
      <c r="F442" s="786">
        <f t="shared" ref="F442:O442" si="281">F142</f>
        <v>0.20059833236537</v>
      </c>
      <c r="G442" s="786">
        <f t="shared" si="281"/>
        <v>0.135760401919125</v>
      </c>
      <c r="H442" s="786">
        <f t="shared" si="281"/>
        <v>0.189320578421829</v>
      </c>
      <c r="I442" s="786">
        <f t="shared" si="281"/>
        <v>0.209528438097697</v>
      </c>
      <c r="J442" s="786">
        <f t="shared" si="281"/>
        <v>0.163282143577888</v>
      </c>
      <c r="K442" s="786">
        <f t="shared" si="281"/>
        <v>0.161282143577888</v>
      </c>
      <c r="L442" s="786">
        <f t="shared" si="281"/>
        <v>0.159282143577888</v>
      </c>
      <c r="M442" s="786">
        <f t="shared" si="281"/>
        <v>0.157282143577888</v>
      </c>
      <c r="N442" s="786">
        <f t="shared" si="281"/>
        <v>0.155282143577888</v>
      </c>
      <c r="O442" s="786">
        <f t="shared" si="281"/>
        <v>0.154282143577888</v>
      </c>
    </row>
  </sheetData>
  <sortState ref="A272:D279">
    <sortCondition ref="D204:D211" descending="1"/>
  </sortState>
  <printOptions horizontalCentered="1" verticalCentered="1"/>
  <pageMargins left="0.7" right="0.7" top="0.75" bottom="0.75" header="0.3" footer="0.3"/>
  <pageSetup paperSize="9" scale="10" orientation="portrait"/>
  <headerFooter/>
  <customProperties>
    <customPr name="Qube.Worksheet.Visibility" r:id="rId2"/>
  </customPropertie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X46"/>
  <sheetViews>
    <sheetView workbookViewId="0">
      <selection activeCell="G19" sqref="G19"/>
    </sheetView>
  </sheetViews>
  <sheetFormatPr defaultColWidth="9.14285714285714" defaultRowHeight="15.2"/>
  <cols>
    <col min="1" max="1" width="9.14285714285714" style="137"/>
    <col min="2" max="12" width="9.28571428571429" style="137" customWidth="1"/>
    <col min="13" max="13" width="10.7142857142857" style="137" customWidth="1"/>
    <col min="14" max="14" width="10" style="137" customWidth="1"/>
    <col min="15" max="19" width="9.28571428571429" style="137" customWidth="1"/>
    <col min="20" max="16384" width="9.14285714285714" style="137"/>
  </cols>
  <sheetData>
    <row r="1" spans="1:24">
      <c r="A1" s="723" t="s">
        <v>1200</v>
      </c>
      <c r="B1" s="723" t="s">
        <v>1201</v>
      </c>
      <c r="C1" s="723">
        <v>180</v>
      </c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</row>
    <row r="2" spans="1:24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</row>
    <row r="3" spans="1:24">
      <c r="A3" s="724" t="s">
        <v>1202</v>
      </c>
      <c r="B3" s="725" t="s">
        <v>1203</v>
      </c>
      <c r="C3" s="725" t="s">
        <v>1204</v>
      </c>
      <c r="D3" s="725" t="s">
        <v>1205</v>
      </c>
      <c r="E3" s="725" t="s">
        <v>1206</v>
      </c>
      <c r="F3" s="726" t="s">
        <v>1207</v>
      </c>
      <c r="G3" s="725" t="s">
        <v>1208</v>
      </c>
      <c r="H3" s="725" t="s">
        <v>1209</v>
      </c>
      <c r="I3" s="725" t="s">
        <v>1210</v>
      </c>
      <c r="J3" s="725" t="s">
        <v>1211</v>
      </c>
      <c r="K3" s="725" t="s">
        <v>1212</v>
      </c>
      <c r="L3" s="726" t="s">
        <v>1213</v>
      </c>
      <c r="M3" s="723"/>
      <c r="N3" s="723" t="s">
        <v>1214</v>
      </c>
      <c r="O3" s="723" t="s">
        <v>1215</v>
      </c>
      <c r="P3" s="723" t="s">
        <v>1216</v>
      </c>
      <c r="Q3" s="723" t="s">
        <v>1129</v>
      </c>
      <c r="R3" s="723" t="s">
        <v>866</v>
      </c>
      <c r="S3" s="723" t="s">
        <v>762</v>
      </c>
      <c r="T3" s="137" t="s">
        <v>1045</v>
      </c>
      <c r="U3" s="137" t="s">
        <v>1217</v>
      </c>
      <c r="V3" s="137" t="s">
        <v>1218</v>
      </c>
      <c r="W3" s="137" t="s">
        <v>1219</v>
      </c>
    </row>
    <row r="4" hidden="1" spans="1:24">
      <c r="A4" s="727" t="s">
        <v>1220</v>
      </c>
      <c r="B4" s="728">
        <f>'Profit and Loss'!S373</f>
        <v>1185</v>
      </c>
      <c r="C4" s="728">
        <f>'Profit and Loss'!S383</f>
        <v>851</v>
      </c>
      <c r="D4" s="729">
        <f>'Profit and Loss'!S410</f>
        <v>3.77121873352571</v>
      </c>
      <c r="E4" s="729">
        <v>3.77121873352571</v>
      </c>
      <c r="F4" s="730">
        <f>'Profit and Loss'!S417</f>
        <v>1.35</v>
      </c>
      <c r="G4" s="731">
        <f>$C$1/E4</f>
        <v>47.729928365019</v>
      </c>
      <c r="H4" s="732">
        <f t="shared" ref="H4:H12" si="0">F4/$C$1</f>
        <v>0.0075</v>
      </c>
      <c r="I4" s="732">
        <f>R4/$D$24</f>
        <v>0.0167927709821857</v>
      </c>
      <c r="J4" s="731">
        <f t="shared" ref="J4:J12" si="1">(($C$1*Q4)+P4)/B4</f>
        <v>31.625243443038</v>
      </c>
      <c r="K4" s="731"/>
      <c r="L4" s="733">
        <f t="shared" ref="L4:L7" si="2">(($C$1*Q4)+P4)/O4</f>
        <v>31.6787096196112</v>
      </c>
      <c r="M4" s="723"/>
      <c r="N4" s="734">
        <f>'Profit and Loss'!S327</f>
        <v>14883</v>
      </c>
      <c r="O4" s="734">
        <f>'Profit and Loss'!S377</f>
        <v>1183</v>
      </c>
      <c r="P4" s="731">
        <f>'Balance Sheet &amp; Cash Flow'!T178</f>
        <v>-183</v>
      </c>
      <c r="Q4" s="731">
        <f>'Profit and Loss'!S413</f>
        <v>209.216186</v>
      </c>
      <c r="R4" s="734">
        <f>'Balance Sheet &amp; Cash Flow'!T108+'Balance Sheet &amp; Cash Flow'!T111</f>
        <v>520</v>
      </c>
    </row>
    <row r="5" hidden="1" spans="1:24">
      <c r="A5" s="727" t="s">
        <v>1221</v>
      </c>
      <c r="B5" s="728">
        <f>'Profit and Loss'!T373</f>
        <v>1233</v>
      </c>
      <c r="C5" s="728">
        <f>'Profit and Loss'!T383</f>
        <v>1113</v>
      </c>
      <c r="D5" s="729">
        <f>'Profit and Loss'!T410</f>
        <v>3.92895031553629</v>
      </c>
      <c r="E5" s="729">
        <v>3.92895031553629</v>
      </c>
      <c r="F5" s="730">
        <f>'Profit and Loss'!T417</f>
        <v>1.5</v>
      </c>
      <c r="G5" s="731">
        <f>$C$1/D5</f>
        <v>45.8137633576642</v>
      </c>
      <c r="H5" s="732">
        <f t="shared" si="0"/>
        <v>0.00833333333333333</v>
      </c>
      <c r="I5" s="732">
        <f t="shared" ref="I5:I12" si="3">R5/$D$24</f>
        <v>0.00574829468236356</v>
      </c>
      <c r="J5" s="731">
        <f t="shared" si="1"/>
        <v>30.3373183130576</v>
      </c>
      <c r="K5" s="731"/>
      <c r="L5" s="733">
        <f t="shared" si="2"/>
        <v>25.498236864349</v>
      </c>
      <c r="M5" s="723"/>
      <c r="N5" s="734">
        <f>'Profit and Loss'!T327</f>
        <v>14205</v>
      </c>
      <c r="O5" s="734">
        <f>'Profit and Loss'!T377</f>
        <v>1467</v>
      </c>
      <c r="P5" s="731">
        <f>'Balance Sheet &amp; Cash Flow'!U178</f>
        <v>-253</v>
      </c>
      <c r="Q5" s="731">
        <f>'Profit and Loss'!T413</f>
        <v>209.216186</v>
      </c>
      <c r="R5" s="734">
        <f>'Balance Sheet &amp; Cash Flow'!U108+'Balance Sheet &amp; Cash Flow'!U111</f>
        <v>178</v>
      </c>
    </row>
    <row r="6" hidden="1" spans="1:24">
      <c r="A6" s="727" t="s">
        <v>1222</v>
      </c>
      <c r="B6" s="728">
        <f>'Profit and Loss'!U373</f>
        <v>961</v>
      </c>
      <c r="C6" s="728">
        <f>'Profit and Loss'!U383</f>
        <v>835</v>
      </c>
      <c r="D6" s="729">
        <f>'Profit and Loss'!U410</f>
        <v>3.04632049580188</v>
      </c>
      <c r="E6" s="729">
        <v>3.04632049580188</v>
      </c>
      <c r="F6" s="730">
        <f>'Profit and Loss'!U417</f>
        <v>1.5</v>
      </c>
      <c r="G6" s="731">
        <f t="shared" ref="G6:G13" si="4">$C$1/D6</f>
        <v>59.087676509434</v>
      </c>
      <c r="H6" s="732">
        <f t="shared" si="0"/>
        <v>0.00833333333333333</v>
      </c>
      <c r="I6" s="732">
        <f t="shared" si="3"/>
        <v>0.00326167282538607</v>
      </c>
      <c r="J6" s="731">
        <f t="shared" si="1"/>
        <v>39.3015216024974</v>
      </c>
      <c r="K6" s="731"/>
      <c r="L6" s="733">
        <f t="shared" si="2"/>
        <v>31.317381641791</v>
      </c>
      <c r="M6" s="723"/>
      <c r="N6" s="734">
        <f>'Profit and Loss'!U327</f>
        <v>14534</v>
      </c>
      <c r="O6" s="734">
        <f>'Profit and Loss'!U377</f>
        <v>1206</v>
      </c>
      <c r="P6" s="731">
        <f>'Balance Sheet &amp; Cash Flow'!V178</f>
        <v>189</v>
      </c>
      <c r="Q6" s="731">
        <f>'Profit and Loss'!U413</f>
        <v>208.776457</v>
      </c>
      <c r="R6" s="734">
        <f>'Balance Sheet &amp; Cash Flow'!V108+'Balance Sheet &amp; Cash Flow'!V111</f>
        <v>101</v>
      </c>
    </row>
    <row r="7" hidden="1" spans="1:24">
      <c r="A7" s="727" t="s">
        <v>1223</v>
      </c>
      <c r="B7" s="728">
        <f>'Profit and Loss'!V373</f>
        <v>1093</v>
      </c>
      <c r="C7" s="728">
        <f>'Profit and Loss'!V383</f>
        <v>1038</v>
      </c>
      <c r="D7" s="729">
        <f>'Profit and Loss'!V410</f>
        <v>3.36911813129476</v>
      </c>
      <c r="E7" s="729">
        <v>3.36911813129476</v>
      </c>
      <c r="F7" s="730">
        <f>'Profit and Loss'!V417</f>
        <v>1.5</v>
      </c>
      <c r="G7" s="731">
        <f t="shared" si="4"/>
        <v>53.42644365243</v>
      </c>
      <c r="H7" s="732">
        <f t="shared" si="0"/>
        <v>0.00833333333333333</v>
      </c>
      <c r="I7" s="732">
        <f t="shared" si="3"/>
        <v>0.0136279795278507</v>
      </c>
      <c r="J7" s="731">
        <f t="shared" si="1"/>
        <v>33.6144146752059</v>
      </c>
      <c r="K7" s="731"/>
      <c r="L7" s="733">
        <f t="shared" si="2"/>
        <v>26.0018083793348</v>
      </c>
      <c r="M7" s="723"/>
      <c r="N7" s="734">
        <f>'Profit and Loss'!V327</f>
        <v>16915</v>
      </c>
      <c r="O7" s="734">
        <f>'Profit and Loss'!V377</f>
        <v>1413</v>
      </c>
      <c r="P7" s="731">
        <f>'Balance Sheet &amp; Cash Flow'!W178</f>
        <v>464</v>
      </c>
      <c r="Q7" s="731">
        <f>'Profit and Loss'!V413</f>
        <v>201.536418</v>
      </c>
      <c r="R7" s="734">
        <f>'Balance Sheet &amp; Cash Flow'!W108+'Balance Sheet &amp; Cash Flow'!W111</f>
        <v>422</v>
      </c>
    </row>
    <row r="8" hidden="1" spans="1:24">
      <c r="A8" s="727" t="s">
        <v>1224</v>
      </c>
      <c r="B8" s="728">
        <f>'Profit and Loss'!W373</f>
        <v>1491</v>
      </c>
      <c r="C8" s="728">
        <f>'Profit and Loss'!W383</f>
        <v>1445</v>
      </c>
      <c r="D8" s="729">
        <f>'Profit and Loss'!W410</f>
        <v>5.08521288229686</v>
      </c>
      <c r="E8" s="729">
        <v>5.08521288229686</v>
      </c>
      <c r="F8" s="730">
        <f>'Profit and Loss'!W417</f>
        <v>2</v>
      </c>
      <c r="G8" s="731">
        <f t="shared" si="4"/>
        <v>35.3967482121807</v>
      </c>
      <c r="H8" s="732">
        <f t="shared" si="0"/>
        <v>0.0111111111111111</v>
      </c>
      <c r="I8" s="732">
        <f t="shared" si="3"/>
        <v>0.00558682573061178</v>
      </c>
      <c r="J8" s="731">
        <f t="shared" si="1"/>
        <v>24.9593852716298</v>
      </c>
      <c r="K8" s="731"/>
      <c r="L8" s="733"/>
      <c r="M8" s="723"/>
      <c r="N8" s="734">
        <f>'Profit and Loss'!W327</f>
        <v>19290</v>
      </c>
      <c r="O8" s="734"/>
      <c r="P8" s="731">
        <f>'Balance Sheet &amp; Cash Flow'!X178</f>
        <v>108</v>
      </c>
      <c r="Q8" s="731">
        <f>'Profit and Loss'!W413</f>
        <v>206.146908</v>
      </c>
      <c r="R8" s="734">
        <f>'Balance Sheet &amp; Cash Flow'!X108+'Balance Sheet &amp; Cash Flow'!X111</f>
        <v>173</v>
      </c>
      <c r="S8" s="138">
        <f>D8/D7-1</f>
        <v>0.509360219536915</v>
      </c>
    </row>
    <row r="9" hidden="1" spans="1:24">
      <c r="A9" s="727" t="s">
        <v>1225</v>
      </c>
      <c r="B9" s="728">
        <f>'Profit and Loss'!X373</f>
        <v>2070</v>
      </c>
      <c r="C9" s="728">
        <f>'Profit and Loss'!X383</f>
        <v>2023</v>
      </c>
      <c r="D9" s="729">
        <f>'Profit and Loss'!X410</f>
        <v>7.02309620079134</v>
      </c>
      <c r="E9" s="729">
        <v>7.02309620079134</v>
      </c>
      <c r="F9" s="730">
        <f>'Profit and Loss'!X417</f>
        <v>2.6</v>
      </c>
      <c r="G9" s="731">
        <f t="shared" si="4"/>
        <v>25.6297215435719</v>
      </c>
      <c r="H9" s="732">
        <f t="shared" si="0"/>
        <v>0.0144444444444444</v>
      </c>
      <c r="I9" s="732">
        <f t="shared" si="3"/>
        <v>0.0336501295450721</v>
      </c>
      <c r="J9" s="731">
        <f t="shared" si="1"/>
        <v>17.5289082125604</v>
      </c>
      <c r="K9" s="731"/>
      <c r="L9" s="733"/>
      <c r="M9" s="717">
        <f>D9/E9-1</f>
        <v>0</v>
      </c>
      <c r="N9" s="734">
        <f>'Profit and Loss'!X327</f>
        <v>21218</v>
      </c>
      <c r="O9" s="734"/>
      <c r="P9" s="731">
        <f>'Balance Sheet &amp; Cash Flow'!Y178</f>
        <v>-478</v>
      </c>
      <c r="Q9" s="731">
        <f>'Profit and Loss'!X413</f>
        <v>204.238</v>
      </c>
      <c r="R9" s="734">
        <f>'Balance Sheet &amp; Cash Flow'!Y108+'Balance Sheet &amp; Cash Flow'!Y111</f>
        <v>1042</v>
      </c>
      <c r="S9" s="138">
        <f t="shared" ref="S9:S12" si="5">D9/D8-1</f>
        <v>0.381082043829636</v>
      </c>
      <c r="T9" s="717"/>
    </row>
    <row r="10" hidden="1" spans="1:24">
      <c r="A10" s="727" t="s">
        <v>1226</v>
      </c>
      <c r="B10" s="728">
        <f>'Profit and Loss'!Y373</f>
        <v>2368</v>
      </c>
      <c r="C10" s="728">
        <f>'Profit and Loss'!Y383</f>
        <v>2378</v>
      </c>
      <c r="D10" s="729">
        <f>'Profit and Loss'!Y410</f>
        <v>8.45488924905456</v>
      </c>
      <c r="E10" s="729">
        <v>8.45488924905456</v>
      </c>
      <c r="F10" s="730">
        <f>'Profit and Loss'!Y417</f>
        <v>3.35</v>
      </c>
      <c r="G10" s="731">
        <f t="shared" si="4"/>
        <v>21.2894568690096</v>
      </c>
      <c r="H10" s="732">
        <f t="shared" si="0"/>
        <v>0.0186111111111111</v>
      </c>
      <c r="I10" s="732">
        <f t="shared" si="3"/>
        <v>0.067009614976991</v>
      </c>
      <c r="J10" s="731">
        <f t="shared" si="1"/>
        <v>14.9531647212838</v>
      </c>
      <c r="K10" s="731"/>
      <c r="L10" s="733"/>
      <c r="M10" s="717">
        <f>D10/E10-1</f>
        <v>0</v>
      </c>
      <c r="N10" s="734">
        <f>'Profit and Loss'!Y327</f>
        <v>21915</v>
      </c>
      <c r="O10" s="734"/>
      <c r="P10" s="731">
        <f>'Balance Sheet &amp; Cash Flow'!Z178</f>
        <v>-959</v>
      </c>
      <c r="Q10" s="731">
        <f>'Profit and Loss'!Y413</f>
        <v>202.044967</v>
      </c>
      <c r="R10" s="734">
        <f>'Balance Sheet &amp; Cash Flow'!Z108+'Balance Sheet &amp; Cash Flow'!Z111</f>
        <v>2075</v>
      </c>
      <c r="S10" s="138">
        <f t="shared" si="5"/>
        <v>0.203869206305601</v>
      </c>
      <c r="T10" s="717"/>
    </row>
    <row r="11" hidden="1" spans="1:24">
      <c r="A11" s="727" t="s">
        <v>1227</v>
      </c>
      <c r="B11" s="728">
        <f>'Profit and Loss'!Z373</f>
        <v>2660</v>
      </c>
      <c r="C11" s="728">
        <f>'Profit and Loss'!Z383</f>
        <v>2558</v>
      </c>
      <c r="D11" s="729">
        <f>'Profit and Loss'!Z410</f>
        <v>9.69606186046982</v>
      </c>
      <c r="E11" s="729">
        <v>9.69606186046982</v>
      </c>
      <c r="F11" s="730">
        <f>'Profit and Loss'!Z417</f>
        <v>0</v>
      </c>
      <c r="G11" s="731">
        <f t="shared" si="4"/>
        <v>18.5642379958246</v>
      </c>
      <c r="H11" s="732">
        <f t="shared" si="0"/>
        <v>0</v>
      </c>
      <c r="I11" s="732">
        <f t="shared" si="3"/>
        <v>0.0717245083681431</v>
      </c>
      <c r="J11" s="731">
        <f t="shared" si="1"/>
        <v>13.0437052406015</v>
      </c>
      <c r="K11" s="731"/>
      <c r="L11" s="733"/>
      <c r="M11" s="717">
        <f>D11/E11-1</f>
        <v>0</v>
      </c>
      <c r="N11" s="734">
        <f>'Profit and Loss'!Z327</f>
        <v>23641</v>
      </c>
      <c r="O11" s="734"/>
      <c r="P11" s="731">
        <f>'Balance Sheet &amp; Cash Flow'!AA178</f>
        <v>-874</v>
      </c>
      <c r="Q11" s="731">
        <f>'Profit and Loss'!Z413</f>
        <v>197.612533</v>
      </c>
      <c r="R11" s="734">
        <f>'Balance Sheet &amp; Cash Flow'!AA108+'Balance Sheet &amp; Cash Flow'!AA111</f>
        <v>2221</v>
      </c>
      <c r="S11" s="138">
        <f t="shared" si="5"/>
        <v>0.146799393209563</v>
      </c>
      <c r="T11" s="735">
        <f>'Balance Sheet &amp; Cash Flow'!AA123</f>
        <v>-597</v>
      </c>
      <c r="U11" s="736"/>
    </row>
    <row r="12" hidden="1" spans="1:24">
      <c r="A12" s="727" t="s">
        <v>1228</v>
      </c>
      <c r="B12" s="728">
        <f>'Profit and Loss'!AA373</f>
        <v>751</v>
      </c>
      <c r="C12" s="728">
        <f>'Profit and Loss'!AA383</f>
        <v>575</v>
      </c>
      <c r="D12" s="729">
        <f>'Profit and Loss'!AA410</f>
        <v>2.14182136799873</v>
      </c>
      <c r="E12" s="729">
        <v>2.14182136799873</v>
      </c>
      <c r="F12" s="730">
        <f>'Profit and Loss'!AA417</f>
        <v>3</v>
      </c>
      <c r="G12" s="731">
        <f t="shared" si="4"/>
        <v>84.0406220095694</v>
      </c>
      <c r="H12" s="732">
        <f t="shared" si="0"/>
        <v>0.0166666666666667</v>
      </c>
      <c r="I12" s="732">
        <f t="shared" si="3"/>
        <v>0.0361044576116992</v>
      </c>
      <c r="J12" s="731">
        <f t="shared" si="1"/>
        <v>45.6749667110519</v>
      </c>
      <c r="K12" s="731"/>
      <c r="L12" s="733"/>
      <c r="M12" s="717">
        <f>D12/E12-1</f>
        <v>0</v>
      </c>
      <c r="N12" s="734">
        <f>'Profit and Loss'!AA327</f>
        <v>19844</v>
      </c>
      <c r="O12" s="734"/>
      <c r="P12" s="731">
        <f>'Balance Sheet &amp; Cash Flow'!AB178</f>
        <v>-826</v>
      </c>
      <c r="Q12" s="731">
        <f>'Profit and Loss'!AA413</f>
        <v>195.155</v>
      </c>
      <c r="R12" s="734">
        <f>'Balance Sheet &amp; Cash Flow'!AB108+'Balance Sheet &amp; Cash Flow'!AB111</f>
        <v>1118</v>
      </c>
      <c r="S12" s="138">
        <f t="shared" si="5"/>
        <v>-0.779103990999605</v>
      </c>
      <c r="T12" s="735">
        <f>'Balance Sheet &amp; Cash Flow'!AB123</f>
        <v>-582</v>
      </c>
      <c r="U12" s="736"/>
    </row>
    <row r="13" spans="1:24">
      <c r="A13" s="737">
        <v>2021</v>
      </c>
      <c r="B13" s="728">
        <f>'Profit and Loss'!AB373</f>
        <v>1986</v>
      </c>
      <c r="C13" s="728">
        <f>'Profit and Loss'!AB383</f>
        <v>1852</v>
      </c>
      <c r="D13" s="729">
        <f>'Profit and Loss'!AB410</f>
        <v>7.46729838294365</v>
      </c>
      <c r="E13" s="729">
        <v>7.46729838294365</v>
      </c>
      <c r="F13" s="730">
        <f>'Profit and Loss'!AB417</f>
        <v>3.3</v>
      </c>
      <c r="G13" s="731">
        <f t="shared" si="4"/>
        <v>24.1051034482759</v>
      </c>
      <c r="H13" s="732">
        <f t="shared" ref="H13:H15" si="6">F13/$C$1</f>
        <v>0.0183333333333333</v>
      </c>
      <c r="I13" s="732">
        <f t="shared" ref="I13:I20" si="7">R13/$D$24</f>
        <v>0.0726610282883034</v>
      </c>
      <c r="J13" s="731">
        <f>(($C$1*Q13)+P13)/N13</f>
        <v>1.58319675991335</v>
      </c>
      <c r="K13" s="731"/>
      <c r="L13" s="733">
        <f t="shared" ref="L13:L15" si="8">(($C$1*Q13)+P13)/U13</f>
        <v>13.1165040967616</v>
      </c>
      <c r="M13" s="717">
        <f t="shared" ref="M13:M20" si="9">D13/E13-1</f>
        <v>0</v>
      </c>
      <c r="N13" s="734">
        <f>'Profit and Loss'!AB327</f>
        <v>21234</v>
      </c>
      <c r="O13" s="734">
        <f>DCF!G4+DCF!G6+DCF!G7</f>
        <v>2563</v>
      </c>
      <c r="P13" s="731">
        <f>'Balance Sheet &amp; Cash Flow'!AC178</f>
        <v>-1333</v>
      </c>
      <c r="Q13" s="731">
        <f>'Profit and Loss'!AB413</f>
        <v>194.17</v>
      </c>
      <c r="R13" s="734">
        <f>'Balance Sheet &amp; Cash Flow'!AC108+'Balance Sheet &amp; Cash Flow'!AC111+T13</f>
        <v>2250</v>
      </c>
      <c r="S13" s="138">
        <f t="shared" ref="S13:S15" si="10">D13/D12-1</f>
        <v>2.48642444907576</v>
      </c>
      <c r="T13" s="735">
        <f>'Balance Sheet &amp; Cash Flow'!AC123</f>
        <v>-572</v>
      </c>
      <c r="U13" s="736">
        <f>O13</f>
        <v>2563</v>
      </c>
    </row>
    <row r="14" spans="1:24">
      <c r="A14" s="738">
        <v>2022</v>
      </c>
      <c r="B14" s="728">
        <f>'Profit and Loss'!AC373</f>
        <v>669</v>
      </c>
      <c r="C14" s="728">
        <f>'Profit and Loss'!AC383</f>
        <v>388</v>
      </c>
      <c r="D14" s="729">
        <f>'Profit and Loss'!AC410</f>
        <v>1.24416796267496</v>
      </c>
      <c r="E14" s="729">
        <v>1.24416796267496</v>
      </c>
      <c r="F14" s="730">
        <f>'Profit and Loss'!AC417</f>
        <v>0.7</v>
      </c>
      <c r="G14" s="731">
        <f t="shared" ref="G14:G15" si="11">$C$1/D14</f>
        <v>144.675</v>
      </c>
      <c r="H14" s="732">
        <f t="shared" si="6"/>
        <v>0.00388888888888889</v>
      </c>
      <c r="I14" s="732">
        <f t="shared" si="7"/>
        <v>-0.0377514409195674</v>
      </c>
      <c r="J14" s="731">
        <f t="shared" ref="J14:J20" si="12">(($C$1*Q14)+P14)/N14</f>
        <v>1.58415441339789</v>
      </c>
      <c r="K14" s="731"/>
      <c r="L14" s="733">
        <f t="shared" si="8"/>
        <v>25.2377211606511</v>
      </c>
      <c r="M14" s="717">
        <f t="shared" si="9"/>
        <v>0</v>
      </c>
      <c r="N14" s="734">
        <f>'Profit and Loss'!AC327</f>
        <v>22511</v>
      </c>
      <c r="O14" s="734">
        <f>DCF!H4+DCF!H6+DCF!H7</f>
        <v>1413</v>
      </c>
      <c r="P14" s="731">
        <f>'Balance Sheet &amp; Cash Flow'!AD178</f>
        <v>2675</v>
      </c>
      <c r="Q14" s="731">
        <f>'Profit and Loss'!AC413</f>
        <v>183.255</v>
      </c>
      <c r="R14" s="734">
        <f>'Balance Sheet &amp; Cash Flow'!AD108+'Balance Sheet &amp; Cash Flow'!AD111+T14</f>
        <v>-1169</v>
      </c>
      <c r="S14" s="138">
        <f t="shared" si="10"/>
        <v>-0.833384458626052</v>
      </c>
      <c r="T14" s="735">
        <f>'Balance Sheet &amp; Cash Flow'!AD123</f>
        <v>-631</v>
      </c>
      <c r="U14" s="736">
        <f t="shared" ref="U14:U15" si="13">O14</f>
        <v>1413</v>
      </c>
      <c r="V14" s="174">
        <f>(B14-W14)*(1-'Profit and Loss'!AC388)</f>
        <v>383.618556701031</v>
      </c>
      <c r="W14" s="137">
        <v>83</v>
      </c>
    </row>
    <row r="15" spans="1:24">
      <c r="A15" s="738">
        <v>2023</v>
      </c>
      <c r="B15" s="728">
        <f>'Profit and Loss'!AD373</f>
        <v>200.000000000002</v>
      </c>
      <c r="C15" s="728">
        <f>'Profit and Loss'!AD383</f>
        <v>-2.99999999999841</v>
      </c>
      <c r="D15" s="729">
        <f>'Profit and Loss'!AD410</f>
        <v>-0.420068051024171</v>
      </c>
      <c r="E15" s="729">
        <v>-0.420068051024171</v>
      </c>
      <c r="F15" s="730">
        <f>'Profit and Loss'!AD417</f>
        <v>0.7</v>
      </c>
      <c r="G15" s="731">
        <f t="shared" si="11"/>
        <v>-428.502000000097</v>
      </c>
      <c r="H15" s="732">
        <f t="shared" si="6"/>
        <v>0.00388888888888889</v>
      </c>
      <c r="I15" s="732">
        <f t="shared" si="7"/>
        <v>0.0537368671429947</v>
      </c>
      <c r="J15" s="731">
        <f t="shared" si="12"/>
        <v>1.62868749395493</v>
      </c>
      <c r="K15" s="731">
        <f>($D$24+P15)/V15</f>
        <v>59.5489110889509</v>
      </c>
      <c r="L15" s="733">
        <f t="shared" si="8"/>
        <v>55.7582781456952</v>
      </c>
      <c r="M15" s="717">
        <f t="shared" si="9"/>
        <v>0</v>
      </c>
      <c r="N15" s="734">
        <f>'Profit and Loss'!AD327</f>
        <v>20678</v>
      </c>
      <c r="O15" s="734">
        <f>DCF!I4+DCF!I6+DCF!I7</f>
        <v>604.000000000002</v>
      </c>
      <c r="P15" s="731">
        <f>'Balance Sheet &amp; Cash Flow'!AE178</f>
        <v>1548</v>
      </c>
      <c r="Q15" s="731">
        <f>'Profit and Loss'!AD413</f>
        <v>178.5</v>
      </c>
      <c r="R15" s="734">
        <f>'Balance Sheet &amp; Cash Flow'!AE108+'Balance Sheet &amp; Cash Flow'!AE111+T15</f>
        <v>1664.00000000002</v>
      </c>
      <c r="S15" s="138">
        <f t="shared" si="10"/>
        <v>-1.33762969601068</v>
      </c>
      <c r="T15" s="735">
        <f>'Balance Sheet &amp; Cash Flow'!AE123</f>
        <v>-603</v>
      </c>
      <c r="U15" s="736">
        <f t="shared" si="13"/>
        <v>604.000000000002</v>
      </c>
      <c r="V15" s="174">
        <f>(B15-W15)*(1-'Profit and Loss'!AD388)</f>
        <v>545.999999999635</v>
      </c>
      <c r="W15" s="137">
        <f>W14</f>
        <v>83</v>
      </c>
    </row>
    <row r="16" spans="1:24">
      <c r="A16" s="2140" t="s">
        <v>1229</v>
      </c>
      <c r="B16" s="728">
        <f>'Profit and Loss'!AE373</f>
        <v>1136.99999999999</v>
      </c>
      <c r="C16" s="728">
        <f>'Profit and Loss'!AE383</f>
        <v>920.999999999992</v>
      </c>
      <c r="D16" s="729">
        <f>'Profit and Loss'!AE410</f>
        <v>3.41025425627237</v>
      </c>
      <c r="E16" s="729">
        <v>3.41025425627237</v>
      </c>
      <c r="F16" s="730">
        <f>'Profit and Loss'!AE417</f>
        <v>2</v>
      </c>
      <c r="G16" s="731">
        <f t="shared" ref="G16:G17" si="14">$C$1/D16</f>
        <v>52.7819882253448</v>
      </c>
      <c r="H16" s="732">
        <f t="shared" ref="H16:H17" si="15">F16/$C$1</f>
        <v>0.0111111111111111</v>
      </c>
      <c r="I16" s="732">
        <f t="shared" si="7"/>
        <v>0.059259105292905</v>
      </c>
      <c r="J16" s="731">
        <f t="shared" si="12"/>
        <v>1.39625754352451</v>
      </c>
      <c r="K16" s="731">
        <f t="shared" ref="K16:K20" si="16">($D$24+P16)/V16</f>
        <v>40.1686220215401</v>
      </c>
      <c r="L16" s="733">
        <f t="shared" ref="L16:L17" si="17">(($C$1*Q16)+P16)/U16</f>
        <v>20.4190476190477</v>
      </c>
      <c r="M16" s="717">
        <f t="shared" si="9"/>
        <v>0</v>
      </c>
      <c r="N16" s="734">
        <f>'Profit and Loss'!AE327</f>
        <v>23033</v>
      </c>
      <c r="O16" s="734">
        <f>DCF!J4+DCF!J6+DCF!J7</f>
        <v>1574.99999999999</v>
      </c>
      <c r="P16" s="731">
        <f>'Balance Sheet &amp; Cash Flow'!AF178</f>
        <v>30</v>
      </c>
      <c r="Q16" s="731">
        <f>Q15</f>
        <v>178.5</v>
      </c>
      <c r="R16" s="734">
        <f>'Balance Sheet &amp; Cash Flow'!AF108+'Balance Sheet &amp; Cash Flow'!AF111+T16</f>
        <v>1834.99999999999</v>
      </c>
      <c r="S16" s="138">
        <f t="shared" ref="S16:S17" si="18">D16/D15-1</f>
        <v>-9.11833760734196</v>
      </c>
      <c r="T16" s="735">
        <f>'Balance Sheet &amp; Cash Flow'!AF123</f>
        <v>-656</v>
      </c>
      <c r="U16" s="736">
        <f t="shared" ref="U16:U17" si="19">O16</f>
        <v>1574.99999999999</v>
      </c>
      <c r="V16" s="174">
        <f>(B16-W16)*(1-'Profit and Loss'!AE388)</f>
        <v>771.639749999994</v>
      </c>
      <c r="W16" s="174">
        <f>W15*1.05</f>
        <v>87.15</v>
      </c>
      <c r="X16" s="138"/>
    </row>
    <row r="17" spans="1:24">
      <c r="A17" s="2140" t="s">
        <v>1230</v>
      </c>
      <c r="B17" s="728">
        <f>'Profit and Loss'!AF373</f>
        <v>2056</v>
      </c>
      <c r="C17" s="728">
        <f>'Profit and Loss'!AF383</f>
        <v>1820</v>
      </c>
      <c r="D17" s="729">
        <f>'Profit and Loss'!AF410</f>
        <v>7.45946854086747</v>
      </c>
      <c r="E17" s="729">
        <v>7.45946854086747</v>
      </c>
      <c r="F17" s="730">
        <f>'Profit and Loss'!AF417</f>
        <v>2.8</v>
      </c>
      <c r="G17" s="731">
        <f t="shared" si="14"/>
        <v>24.1304054054054</v>
      </c>
      <c r="H17" s="732">
        <f t="shared" si="15"/>
        <v>0.0155555555555556</v>
      </c>
      <c r="I17" s="732">
        <f t="shared" si="7"/>
        <v>-0.00823491653934105</v>
      </c>
      <c r="J17" s="731">
        <f t="shared" si="12"/>
        <v>1.33626214179195</v>
      </c>
      <c r="K17" s="731">
        <f t="shared" si="16"/>
        <v>21.5227278393535</v>
      </c>
      <c r="L17" s="733">
        <f t="shared" si="17"/>
        <v>12.9154655239579</v>
      </c>
      <c r="M17" s="717">
        <f t="shared" si="9"/>
        <v>0</v>
      </c>
      <c r="N17" s="734">
        <f>'Profit and Loss'!AF327</f>
        <v>24811</v>
      </c>
      <c r="O17" s="734">
        <f>DCF!K4+DCF!K6+DCF!K7</f>
        <v>2567</v>
      </c>
      <c r="P17" s="731">
        <f>'Balance Sheet &amp; Cash Flow'!AG178</f>
        <v>1024</v>
      </c>
      <c r="Q17" s="731">
        <f>Q16</f>
        <v>178.5</v>
      </c>
      <c r="R17" s="734">
        <f>'Balance Sheet &amp; Cash Flow'!AG108+'Balance Sheet &amp; Cash Flow'!AG111+T17</f>
        <v>-255</v>
      </c>
      <c r="S17" s="138">
        <f t="shared" si="18"/>
        <v>1.18736433717442</v>
      </c>
      <c r="T17" s="735">
        <f>'Balance Sheet &amp; Cash Flow'!AG123</f>
        <v>-643</v>
      </c>
      <c r="U17" s="736">
        <f t="shared" si="19"/>
        <v>2567</v>
      </c>
      <c r="V17" s="174">
        <f>(B17-W17)*(1-'Profit and Loss'!AF388)</f>
        <v>1486.3220728022</v>
      </c>
      <c r="W17" s="174">
        <f t="shared" ref="W17:W20" si="20">W16*1.05</f>
        <v>91.5075</v>
      </c>
      <c r="X17" s="138"/>
    </row>
    <row r="18" spans="1:24">
      <c r="A18" s="739" t="s">
        <v>863</v>
      </c>
      <c r="B18" s="728">
        <f>'Profit and Loss'!AG373</f>
        <v>2525</v>
      </c>
      <c r="C18" s="728">
        <f>'Profit and Loss'!AG383</f>
        <v>2299</v>
      </c>
      <c r="D18" s="729">
        <f>'Profit and Loss'!AG410</f>
        <v>9.45784687358651</v>
      </c>
      <c r="E18" s="729">
        <v>9.64273946150001</v>
      </c>
      <c r="F18" s="730">
        <f>'Profit and Loss'!AG417</f>
        <v>3.55011501167382</v>
      </c>
      <c r="G18" s="731">
        <f t="shared" ref="G18:G20" si="21">$C$1/D18</f>
        <v>19.0318158462363</v>
      </c>
      <c r="H18" s="732">
        <f t="shared" ref="H18:H20" si="22">F18/$C$1</f>
        <v>0.0197228611759657</v>
      </c>
      <c r="I18" s="732">
        <f t="shared" si="7"/>
        <v>0.0482668186663854</v>
      </c>
      <c r="J18" s="731">
        <f t="shared" si="12"/>
        <v>1.22210776708687</v>
      </c>
      <c r="K18" s="731">
        <f t="shared" si="16"/>
        <v>17.563421457889</v>
      </c>
      <c r="L18" s="733">
        <f t="shared" ref="L18:L20" si="23">(($C$1*Q18)+P18)/U18</f>
        <v>11.0394843807783</v>
      </c>
      <c r="M18" s="717">
        <f t="shared" si="9"/>
        <v>-0.0191742801567661</v>
      </c>
      <c r="N18" s="734">
        <f>'Profit and Loss'!AG327</f>
        <v>27132.9311563009</v>
      </c>
      <c r="O18" s="734">
        <f>DCF!L4+DCF!L6+DCF!L7</f>
        <v>3003.70603972094</v>
      </c>
      <c r="P18" s="731">
        <f>'Balance Sheet &amp; Cash Flow'!AH178</f>
        <v>1029.36590994875</v>
      </c>
      <c r="Q18" s="731">
        <f>Q17</f>
        <v>178.5</v>
      </c>
      <c r="R18" s="734">
        <f>'Balance Sheet &amp; Cash Flow'!AH108+'Balance Sheet &amp; Cash Flow'!AH111+T18</f>
        <v>1494.61609005125</v>
      </c>
      <c r="S18" s="138">
        <f t="shared" ref="S18:S20" si="24">D18/D17-1</f>
        <v>0.267898218454936</v>
      </c>
      <c r="T18" s="735">
        <f>'Balance Sheet &amp; Cash Flow'!AH123</f>
        <v>-688.01</v>
      </c>
      <c r="U18" s="736">
        <f t="shared" ref="U18:U20" si="25">O18</f>
        <v>3003.70603972094</v>
      </c>
      <c r="V18" s="174">
        <f>(B18-W18)*(1-'Profit and Loss'!AG388)</f>
        <v>1821.68784375</v>
      </c>
      <c r="W18" s="174">
        <f t="shared" si="20"/>
        <v>96.082875</v>
      </c>
      <c r="X18" s="138"/>
    </row>
    <row r="19" spans="1:24">
      <c r="A19" s="739" t="s">
        <v>888</v>
      </c>
      <c r="B19" s="728">
        <f>'Profit and Loss'!AH373</f>
        <v>3020</v>
      </c>
      <c r="C19" s="728">
        <f>'Profit and Loss'!AH383</f>
        <v>2794</v>
      </c>
      <c r="D19" s="729">
        <f>'Profit and Loss'!AH410</f>
        <v>11.9949030983446</v>
      </c>
      <c r="E19" s="729">
        <v>12.1623163766814</v>
      </c>
      <c r="F19" s="730">
        <f>'Profit and Loss'!AH417</f>
        <v>4.50242915984726</v>
      </c>
      <c r="G19" s="731">
        <f t="shared" si="21"/>
        <v>15.0063738343031</v>
      </c>
      <c r="H19" s="732">
        <f t="shared" si="22"/>
        <v>0.0250134953324848</v>
      </c>
      <c r="I19" s="732">
        <f t="shared" si="7"/>
        <v>0.0572149584865015</v>
      </c>
      <c r="J19" s="731">
        <f t="shared" si="12"/>
        <v>1.13454190711992</v>
      </c>
      <c r="K19" s="731">
        <f t="shared" si="16"/>
        <v>14.5915468238015</v>
      </c>
      <c r="L19" s="733">
        <f t="shared" si="23"/>
        <v>9.32025357318228</v>
      </c>
      <c r="M19" s="717">
        <f t="shared" si="9"/>
        <v>-0.0137649172371221</v>
      </c>
      <c r="N19" s="734">
        <f>'Profit and Loss'!AH327</f>
        <v>29183.6508198389</v>
      </c>
      <c r="O19" s="734">
        <f>DCF!M4+DCF!M6+DCF!M7</f>
        <v>3552.48648525307</v>
      </c>
      <c r="P19" s="731">
        <f>'Balance Sheet &amp; Cash Flow'!AI178</f>
        <v>980.0748578617</v>
      </c>
      <c r="Q19" s="731">
        <f>Q18</f>
        <v>178.5</v>
      </c>
      <c r="R19" s="734">
        <f>'Balance Sheet &amp; Cash Flow'!AI108+'Balance Sheet &amp; Cash Flow'!AI111+T19</f>
        <v>1771.70155208705</v>
      </c>
      <c r="S19" s="138">
        <f t="shared" si="24"/>
        <v>0.268248815895246</v>
      </c>
      <c r="T19" s="735">
        <f>'Balance Sheet &amp; Cash Flow'!AI122</f>
        <v>-620.942359984985</v>
      </c>
      <c r="U19" s="736">
        <f t="shared" si="25"/>
        <v>3552.48648525307</v>
      </c>
      <c r="V19" s="174">
        <f>(B19-W19)*(1-'Profit and Loss'!AH388)</f>
        <v>2189.3347359375</v>
      </c>
      <c r="W19" s="174">
        <f t="shared" si="20"/>
        <v>100.88701875</v>
      </c>
      <c r="X19" s="138"/>
    </row>
    <row r="20" spans="1:24">
      <c r="A20" s="739" t="s">
        <v>889</v>
      </c>
      <c r="B20" s="728">
        <f>'Profit and Loss'!AI373</f>
        <v>3325</v>
      </c>
      <c r="C20" s="728">
        <f>'Profit and Loss'!AI383</f>
        <v>3099</v>
      </c>
      <c r="D20" s="729">
        <f>'Profit and Loss'!AI410</f>
        <v>13.8693822270462</v>
      </c>
      <c r="E20" s="729">
        <v>14.4583958327313</v>
      </c>
      <c r="F20" s="730">
        <f>'Profit and Loss'!AI417</f>
        <v>5.20603713561789</v>
      </c>
      <c r="G20" s="731">
        <f t="shared" si="21"/>
        <v>12.9782276566715</v>
      </c>
      <c r="H20" s="732">
        <f t="shared" si="22"/>
        <v>0.0289224285312105</v>
      </c>
      <c r="I20" s="732">
        <f t="shared" si="7"/>
        <v>0.065349228455355</v>
      </c>
      <c r="J20" s="731">
        <f t="shared" si="12"/>
        <v>1.05406932682226</v>
      </c>
      <c r="K20" s="731">
        <f t="shared" si="16"/>
        <v>13.1221087072842</v>
      </c>
      <c r="L20" s="733">
        <f t="shared" si="23"/>
        <v>8.40809293608824</v>
      </c>
      <c r="M20" s="717">
        <f t="shared" si="9"/>
        <v>-0.0407385170871899</v>
      </c>
      <c r="N20" s="734">
        <f>'Profit and Loss'!AI327</f>
        <v>31160.2093781161</v>
      </c>
      <c r="O20" s="734">
        <f>DCF!N4+DCF!N6+DCF!N7</f>
        <v>3906.35797825899</v>
      </c>
      <c r="P20" s="731">
        <f>'Balance Sheet &amp; Cash Flow'!AJ178</f>
        <v>715.020922831378</v>
      </c>
      <c r="Q20" s="731">
        <f>Q18</f>
        <v>178.5</v>
      </c>
      <c r="R20" s="734">
        <f>'Balance Sheet &amp; Cash Flow'!AJ108+'Balance Sheet &amp; Cash Flow'!AJ111+T20</f>
        <v>2023.58496003032</v>
      </c>
      <c r="S20" s="138">
        <f t="shared" si="24"/>
        <v>0.156272969721639</v>
      </c>
      <c r="T20" s="735">
        <f>'Balance Sheet &amp; Cash Flow'!AJ122</f>
        <v>-760.295451201201</v>
      </c>
      <c r="U20" s="736">
        <f t="shared" si="25"/>
        <v>3906.35797825899</v>
      </c>
      <c r="V20" s="174">
        <f>(B20-W20)*(1-'Profit and Loss'!AI388)</f>
        <v>2414.30147273438</v>
      </c>
      <c r="W20" s="174">
        <f t="shared" si="20"/>
        <v>105.9313696875</v>
      </c>
      <c r="X20" s="138"/>
    </row>
    <row r="21" spans="1:24">
      <c r="A21" s="739"/>
      <c r="B21" s="728"/>
      <c r="C21" s="728"/>
      <c r="D21" s="729"/>
      <c r="E21" s="729"/>
      <c r="F21" s="731"/>
      <c r="G21" s="731"/>
      <c r="H21" s="732"/>
      <c r="I21" s="732"/>
      <c r="J21" s="731"/>
      <c r="K21" s="731"/>
      <c r="L21" s="733"/>
      <c r="M21" s="717"/>
      <c r="N21" s="734"/>
      <c r="O21" s="734"/>
      <c r="P21" s="731"/>
      <c r="Q21" s="731"/>
      <c r="R21" s="734"/>
      <c r="S21" s="138"/>
      <c r="T21" s="735"/>
      <c r="U21" s="736"/>
      <c r="V21" s="174"/>
      <c r="W21" s="174"/>
      <c r="X21" s="138"/>
    </row>
    <row r="22" spans="1:24">
      <c r="A22" s="739"/>
      <c r="B22" s="728"/>
      <c r="C22" s="728"/>
      <c r="D22" s="729"/>
      <c r="E22" s="729"/>
      <c r="F22" s="731"/>
      <c r="G22" s="731"/>
      <c r="H22" s="732"/>
      <c r="I22" s="732"/>
      <c r="J22" s="731"/>
      <c r="K22" s="731"/>
      <c r="L22" s="733"/>
      <c r="M22" s="717"/>
      <c r="N22" s="734"/>
      <c r="O22" s="734"/>
      <c r="P22" s="731"/>
      <c r="Q22" s="731"/>
      <c r="R22" s="734"/>
      <c r="S22" s="138"/>
      <c r="T22" s="735"/>
      <c r="U22" s="736"/>
      <c r="V22" s="174"/>
      <c r="W22" s="174"/>
      <c r="X22" s="138"/>
    </row>
    <row r="23" spans="1:24">
      <c r="A23" s="740" t="s">
        <v>1231</v>
      </c>
      <c r="B23" s="741">
        <f>'Balance Sheet &amp; Cash Flow'!X178/'Balance Sheet &amp; Cash Flow'!X37</f>
        <v>0.00711649973642594</v>
      </c>
      <c r="C23" s="740" t="s">
        <v>1232</v>
      </c>
      <c r="D23" s="742">
        <f>'Profit and Loss'!AG412</f>
        <v>172.031696969697</v>
      </c>
      <c r="E23" s="743"/>
      <c r="F23" s="743"/>
      <c r="G23" s="740"/>
      <c r="H23" s="743"/>
      <c r="I23" s="743"/>
      <c r="J23" s="743"/>
      <c r="K23" s="743"/>
      <c r="L23" s="744"/>
      <c r="M23" s="723"/>
      <c r="N23" s="723"/>
      <c r="O23" s="723"/>
      <c r="P23" s="723"/>
      <c r="Q23" s="723"/>
      <c r="R23" s="723"/>
    </row>
    <row r="24" spans="1:24">
      <c r="A24" s="745" t="s">
        <v>1233</v>
      </c>
      <c r="B24" s="746">
        <f>D24+P17</f>
        <v>31989.7054545455</v>
      </c>
      <c r="C24" s="745" t="s">
        <v>1234</v>
      </c>
      <c r="D24" s="747">
        <f>D23*C1</f>
        <v>30965.7054545455</v>
      </c>
      <c r="E24" s="748"/>
      <c r="F24" s="748"/>
      <c r="G24" s="745"/>
      <c r="H24" s="748"/>
      <c r="I24" s="748"/>
      <c r="J24" s="748"/>
      <c r="K24" s="748"/>
      <c r="L24" s="749"/>
      <c r="M24" s="723"/>
      <c r="N24" s="723"/>
      <c r="O24" s="723"/>
      <c r="P24" s="723"/>
      <c r="Q24" s="723"/>
      <c r="R24" s="723"/>
    </row>
    <row r="25" spans="1:24">
      <c r="A25" s="723"/>
      <c r="B25" s="723"/>
      <c r="C25" s="723"/>
      <c r="D25" s="717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3"/>
      <c r="P25" s="723"/>
      <c r="Q25" s="723"/>
      <c r="R25" s="723"/>
    </row>
    <row r="26" spans="1:24">
      <c r="A26" s="723"/>
      <c r="B26" s="723"/>
      <c r="C26" s="723"/>
      <c r="D26" s="750"/>
      <c r="E26" s="723"/>
      <c r="F26" s="723"/>
      <c r="G26" s="723"/>
      <c r="H26" s="723"/>
      <c r="I26" s="723"/>
      <c r="J26" s="723"/>
      <c r="K26" s="723"/>
      <c r="L26" s="723"/>
      <c r="M26" s="723"/>
      <c r="N26" s="723"/>
      <c r="O26" s="723"/>
      <c r="P26" s="723"/>
      <c r="Q26" s="723"/>
      <c r="R26" s="723"/>
    </row>
    <row r="27" spans="1:24">
      <c r="A27" s="723" t="s">
        <v>1235</v>
      </c>
      <c r="B27" s="723"/>
      <c r="C27" s="729">
        <f>DCF!L23</f>
        <v>180</v>
      </c>
      <c r="D27" s="722"/>
      <c r="E27" s="751"/>
      <c r="F27" s="137" t="s">
        <v>1236</v>
      </c>
      <c r="G27" s="137" t="s">
        <v>1237</v>
      </c>
      <c r="H27" s="723"/>
      <c r="I27" s="723"/>
      <c r="J27" s="723"/>
      <c r="K27" s="723"/>
      <c r="L27" s="723"/>
      <c r="M27" s="723"/>
      <c r="N27" s="723"/>
      <c r="O27" s="723"/>
      <c r="P27" s="723"/>
      <c r="Q27" s="723"/>
      <c r="R27" s="723"/>
    </row>
    <row r="28" spans="1:24">
      <c r="A28" s="723" t="s">
        <v>1238</v>
      </c>
      <c r="B28" s="723"/>
      <c r="C28" s="751">
        <f>(C27/C1)-1</f>
        <v>0</v>
      </c>
      <c r="D28" s="723"/>
      <c r="E28" s="723"/>
      <c r="F28" s="137" t="s">
        <v>1236</v>
      </c>
      <c r="G28" s="137" t="s">
        <v>1239</v>
      </c>
      <c r="H28" s="723"/>
      <c r="I28" s="723"/>
      <c r="J28" s="723"/>
      <c r="K28" s="723"/>
      <c r="L28" s="723"/>
      <c r="M28" s="723"/>
      <c r="N28" s="723"/>
      <c r="O28" s="723"/>
      <c r="P28" s="723"/>
      <c r="Q28" s="723"/>
      <c r="R28" s="723"/>
    </row>
    <row r="29" spans="1:24">
      <c r="A29" s="723" t="s">
        <v>1240</v>
      </c>
      <c r="B29" s="723"/>
      <c r="C29" s="752">
        <f>H12</f>
        <v>0.0166666666666667</v>
      </c>
      <c r="D29" s="723"/>
      <c r="E29" s="723"/>
      <c r="F29" s="723"/>
      <c r="G29" s="137" t="s">
        <v>1241</v>
      </c>
      <c r="H29" s="723"/>
      <c r="I29" s="723"/>
      <c r="J29" s="723"/>
      <c r="K29" s="723"/>
      <c r="L29" s="723"/>
      <c r="M29" s="723"/>
      <c r="N29" s="723"/>
      <c r="O29" s="723"/>
      <c r="P29" s="723"/>
      <c r="Q29" s="723"/>
      <c r="R29" s="723"/>
    </row>
    <row r="30" spans="1:24">
      <c r="A30" s="723" t="s">
        <v>1242</v>
      </c>
      <c r="B30" s="723"/>
      <c r="C30" s="752">
        <f>C29+C28</f>
        <v>0.0166666666666667</v>
      </c>
      <c r="D30" s="723"/>
      <c r="E30" s="723"/>
      <c r="L30" s="723"/>
      <c r="M30" s="723"/>
      <c r="N30" s="723"/>
      <c r="O30" s="723"/>
      <c r="P30" s="723"/>
      <c r="Q30" s="723"/>
      <c r="R30" s="723"/>
    </row>
    <row r="31" spans="1:24">
      <c r="A31" s="723"/>
      <c r="C31" s="717"/>
      <c r="F31" s="723"/>
      <c r="G31" s="723"/>
      <c r="H31" s="723"/>
      <c r="I31" s="723"/>
      <c r="J31" s="723"/>
      <c r="K31" s="723"/>
      <c r="L31" s="723"/>
      <c r="N31" s="723"/>
      <c r="O31" s="723"/>
    </row>
    <row r="32" spans="1:24">
      <c r="N32" s="723"/>
      <c r="O32" s="723"/>
    </row>
    <row r="33" spans="2:15">
      <c r="N33" s="723"/>
      <c r="O33" s="723"/>
    </row>
    <row r="34" spans="2:15">
      <c r="N34" s="723"/>
      <c r="O34" s="723"/>
    </row>
    <row r="35" spans="2:15">
      <c r="N35" s="723"/>
      <c r="O35" s="723"/>
    </row>
    <row r="36" spans="2:15">
      <c r="N36" s="723"/>
    </row>
    <row r="37" spans="2:15">
      <c r="H37" s="137" t="s">
        <v>1009</v>
      </c>
      <c r="I37" s="138"/>
      <c r="N37" s="723"/>
    </row>
    <row r="38" spans="2:15">
      <c r="B38" s="753" t="s">
        <v>1243</v>
      </c>
      <c r="C38" s="753"/>
      <c r="D38" s="753"/>
      <c r="E38" s="754">
        <v>0.18</v>
      </c>
      <c r="N38" s="723"/>
    </row>
    <row r="39" spans="2:15">
      <c r="B39" s="753"/>
      <c r="C39" s="753"/>
      <c r="D39" s="753"/>
      <c r="E39" s="754"/>
      <c r="N39" s="723"/>
    </row>
    <row r="40" spans="2:15">
      <c r="B40" s="753" t="s">
        <v>1244</v>
      </c>
      <c r="C40" s="753"/>
      <c r="D40" s="753"/>
      <c r="E40" s="754">
        <v>0.2</v>
      </c>
      <c r="N40" s="723"/>
    </row>
    <row r="41" spans="2:15">
      <c r="B41" s="753"/>
      <c r="C41" s="753"/>
      <c r="D41" s="753"/>
      <c r="E41" s="754"/>
      <c r="N41" s="723"/>
    </row>
    <row r="42" spans="2:15">
      <c r="B42" s="753" t="s">
        <v>1245</v>
      </c>
      <c r="C42" s="753"/>
      <c r="D42" s="753"/>
      <c r="E42" s="754">
        <f>E38*E40</f>
        <v>0.036</v>
      </c>
    </row>
    <row r="46" spans="2:15">
      <c r="B46" s="137" t="s">
        <v>1246</v>
      </c>
      <c r="C46" s="717">
        <f>-P18/B24</f>
        <v>-0.0321780365065064</v>
      </c>
    </row>
  </sheetData>
  <printOptions horizontalCentered="1" verticalCentered="1"/>
  <pageMargins left="0.7" right="0.7" top="0.75" bottom="0.75" header="0.3" footer="0.3"/>
  <pageSetup paperSize="9" scale="50" orientation="portrait"/>
  <headerFooter/>
  <customProperties>
    <customPr name="Qube.Worksheet.Visibilit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35"/>
  <sheetViews>
    <sheetView workbookViewId="0">
      <selection activeCell="F43" sqref="F43"/>
    </sheetView>
  </sheetViews>
  <sheetFormatPr defaultColWidth="9.14285714285714" defaultRowHeight="15.2"/>
  <cols>
    <col min="1" max="1" width="9.14285714285714" style="137"/>
    <col min="2" max="2" width="23.8571428571429" style="137" customWidth="1"/>
    <col min="3" max="8" width="21.2857142857143" style="137"/>
    <col min="9" max="9" width="21.2857142857143" style="137" customWidth="1"/>
    <col min="10" max="17" width="21.2857142857143" style="137"/>
    <col min="18" max="18" width="63.2857142857143" style="137" customWidth="1"/>
    <col min="19" max="16384" width="9.14285714285714" style="137"/>
  </cols>
  <sheetData>
    <row r="1" spans="1:18">
      <c r="B1" s="137" t="s">
        <v>1247</v>
      </c>
    </row>
    <row r="2" spans="1:18">
      <c r="B2" s="137" t="s">
        <v>1248</v>
      </c>
    </row>
    <row r="3" spans="1:18">
      <c r="C3" s="137">
        <v>2009</v>
      </c>
      <c r="D3" s="137">
        <f>C3+1</f>
        <v>2010</v>
      </c>
      <c r="E3" s="137">
        <f t="shared" ref="E3:K3" si="0">D3+1</f>
        <v>2011</v>
      </c>
      <c r="F3" s="137">
        <f t="shared" si="0"/>
        <v>2012</v>
      </c>
      <c r="G3" s="137">
        <f t="shared" si="0"/>
        <v>2013</v>
      </c>
      <c r="H3" s="137">
        <f t="shared" si="0"/>
        <v>2014</v>
      </c>
      <c r="I3" s="137">
        <f t="shared" si="0"/>
        <v>2015</v>
      </c>
      <c r="J3" s="137">
        <f t="shared" si="0"/>
        <v>2016</v>
      </c>
      <c r="K3" s="137">
        <f t="shared" si="0"/>
        <v>2017</v>
      </c>
      <c r="L3" s="719" t="s">
        <v>257</v>
      </c>
      <c r="M3" s="719" t="s">
        <v>803</v>
      </c>
      <c r="N3" s="719" t="s">
        <v>778</v>
      </c>
      <c r="O3" s="719" t="s">
        <v>779</v>
      </c>
      <c r="P3" s="719" t="s">
        <v>780</v>
      </c>
    </row>
    <row r="4" spans="1:18">
      <c r="B4" s="137" t="s">
        <v>855</v>
      </c>
      <c r="C4" s="717">
        <v>0.104</v>
      </c>
      <c r="D4" s="717">
        <v>0.109</v>
      </c>
      <c r="E4" s="717">
        <v>0.166</v>
      </c>
      <c r="F4" s="717">
        <v>0.114</v>
      </c>
      <c r="G4" s="717">
        <v>0.098</v>
      </c>
      <c r="H4" s="717">
        <v>0.119</v>
      </c>
      <c r="I4" s="717">
        <v>0.109</v>
      </c>
      <c r="J4" s="717">
        <v>0.112</v>
      </c>
      <c r="K4" s="717">
        <v>0.091</v>
      </c>
      <c r="L4" s="717">
        <v>0.102</v>
      </c>
      <c r="M4" s="717">
        <v>0.095</v>
      </c>
      <c r="N4" s="717">
        <v>0.098</v>
      </c>
      <c r="O4" s="717">
        <v>0.098</v>
      </c>
      <c r="P4" s="717">
        <v>0.098</v>
      </c>
      <c r="R4" s="137" t="s">
        <v>1249</v>
      </c>
    </row>
    <row r="5" spans="1:18">
      <c r="A5" s="137" t="s">
        <v>1250</v>
      </c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</row>
    <row r="6" spans="1:18">
      <c r="A6" s="720">
        <v>1909</v>
      </c>
      <c r="B6" s="137" t="s">
        <v>1251</v>
      </c>
      <c r="C6" s="721">
        <v>0.0934438357277725</v>
      </c>
      <c r="D6" s="721">
        <v>0.112681787445753</v>
      </c>
      <c r="E6" s="721">
        <v>0.114548553428727</v>
      </c>
      <c r="F6" s="721">
        <v>0.0890286454726166</v>
      </c>
      <c r="G6" s="721">
        <v>0.0967548302041445</v>
      </c>
      <c r="H6" s="721">
        <v>0.08579320731862</v>
      </c>
      <c r="I6" s="721">
        <v>0.0581322413645099</v>
      </c>
      <c r="J6" s="721">
        <v>0.0439886250363599</v>
      </c>
      <c r="K6" s="721">
        <v>0.0440990390116847</v>
      </c>
      <c r="L6" s="721">
        <v>0.0573083272857795</v>
      </c>
      <c r="M6" s="721">
        <v>0.0678556498448239</v>
      </c>
      <c r="N6" s="721">
        <v>0.0770922975530485</v>
      </c>
      <c r="O6" s="721">
        <v>0.0737319662507115</v>
      </c>
      <c r="P6" s="721">
        <v>0.0723661350396298</v>
      </c>
      <c r="R6" s="137" t="s">
        <v>1249</v>
      </c>
    </row>
    <row r="7" spans="1:18">
      <c r="A7" s="720">
        <v>1199</v>
      </c>
      <c r="B7" s="137" t="s">
        <v>1252</v>
      </c>
      <c r="C7" s="721">
        <v>-0.00953753159761449</v>
      </c>
      <c r="D7" s="721">
        <v>0.0774829568245014</v>
      </c>
      <c r="E7" s="721">
        <v>0.0676772724585915</v>
      </c>
      <c r="F7" s="721">
        <v>0.0645073840359332</v>
      </c>
      <c r="G7" s="721">
        <v>0.0556277745888298</v>
      </c>
      <c r="H7" s="721">
        <v>0.0611866386858641</v>
      </c>
      <c r="I7" s="721">
        <v>0.0543601860248329</v>
      </c>
      <c r="J7" s="721">
        <v>0.0661198966141628</v>
      </c>
      <c r="K7" s="721">
        <v>0.0907551259569406</v>
      </c>
      <c r="L7" s="721">
        <v>0.0783392469157195</v>
      </c>
      <c r="M7" s="721">
        <v>0.0642440340908181</v>
      </c>
      <c r="N7" s="721">
        <v>0.0499723295260939</v>
      </c>
      <c r="O7" s="721">
        <v>0.0492750191487048</v>
      </c>
      <c r="P7" s="721">
        <v>0.0520000000000005</v>
      </c>
      <c r="R7" s="137" t="s">
        <v>1249</v>
      </c>
    </row>
    <row r="8" spans="1:18">
      <c r="A8" s="720">
        <v>337</v>
      </c>
      <c r="B8" s="137" t="s">
        <v>1253</v>
      </c>
      <c r="C8" s="721">
        <v>0.0514354926149854</v>
      </c>
      <c r="D8" s="721">
        <v>0.0741803877753107</v>
      </c>
      <c r="E8" s="721">
        <v>0.100041154281029</v>
      </c>
      <c r="F8" s="721">
        <v>0.0846351606487579</v>
      </c>
      <c r="G8" s="721">
        <v>0.0600504846705656</v>
      </c>
      <c r="H8" s="721">
        <v>0.0752359758829251</v>
      </c>
      <c r="I8" s="721">
        <v>0.0808215157284571</v>
      </c>
      <c r="J8" s="721">
        <v>0.0888184936475816</v>
      </c>
      <c r="K8" s="721">
        <v>0.0608871954288337</v>
      </c>
      <c r="L8" s="721">
        <v>0.0586064788206633</v>
      </c>
      <c r="M8" s="721">
        <v>0.0660449435953678</v>
      </c>
      <c r="N8" s="721">
        <v>0.0645547596847558</v>
      </c>
      <c r="O8" s="721">
        <v>0.0662349191121529</v>
      </c>
      <c r="P8" s="721">
        <v>0.0664889225609997</v>
      </c>
    </row>
    <row r="9" spans="1:18">
      <c r="A9" s="720">
        <v>300</v>
      </c>
      <c r="B9" s="137" t="s">
        <v>1254</v>
      </c>
      <c r="C9" s="721">
        <v>0.00622106205656468</v>
      </c>
      <c r="D9" s="721">
        <v>0.121068148833265</v>
      </c>
      <c r="E9" s="721">
        <v>0.115413840540359</v>
      </c>
      <c r="F9" s="721">
        <v>0.0905694320596948</v>
      </c>
      <c r="G9" s="721">
        <v>0.0636969068072555</v>
      </c>
      <c r="H9" s="721">
        <v>0.0738647921440405</v>
      </c>
      <c r="I9" s="721">
        <v>0.0647003641194881</v>
      </c>
      <c r="J9" s="721">
        <v>0.0601897362586241</v>
      </c>
      <c r="K9" s="721">
        <v>0.0462335298287682</v>
      </c>
      <c r="L9" s="721">
        <v>0.0718688255837722</v>
      </c>
      <c r="M9" s="721">
        <v>0.0657076429023029</v>
      </c>
      <c r="N9" s="721">
        <v>0.064278669409825</v>
      </c>
      <c r="O9" s="721">
        <v>0.0623836339002719</v>
      </c>
      <c r="P9" s="721">
        <v>0.0624170610309977</v>
      </c>
    </row>
    <row r="10" spans="1:18"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</row>
    <row r="11" spans="1:18">
      <c r="C11" s="137">
        <v>2009</v>
      </c>
      <c r="D11" s="137">
        <f>C11+1</f>
        <v>2010</v>
      </c>
      <c r="E11" s="137">
        <f t="shared" ref="E11:K11" si="1">D11+1</f>
        <v>2011</v>
      </c>
      <c r="F11" s="137">
        <f t="shared" si="1"/>
        <v>2012</v>
      </c>
      <c r="G11" s="137">
        <f t="shared" si="1"/>
        <v>2013</v>
      </c>
      <c r="H11" s="137">
        <f t="shared" si="1"/>
        <v>2014</v>
      </c>
      <c r="I11" s="137">
        <f t="shared" si="1"/>
        <v>2015</v>
      </c>
      <c r="J11" s="137">
        <f t="shared" si="1"/>
        <v>2016</v>
      </c>
      <c r="K11" s="137">
        <f t="shared" si="1"/>
        <v>2017</v>
      </c>
      <c r="L11" s="719" t="s">
        <v>257</v>
      </c>
      <c r="M11" s="719" t="s">
        <v>803</v>
      </c>
      <c r="N11" s="719" t="s">
        <v>778</v>
      </c>
      <c r="O11" s="719" t="s">
        <v>779</v>
      </c>
      <c r="P11" s="719" t="s">
        <v>780</v>
      </c>
    </row>
    <row r="12" spans="1:18">
      <c r="B12" s="137" t="s">
        <v>552</v>
      </c>
      <c r="C12" s="717">
        <v>-0.0043969776</v>
      </c>
      <c r="D12" s="717">
        <v>0.0284370288</v>
      </c>
      <c r="E12" s="717">
        <v>0.029958851</v>
      </c>
      <c r="F12" s="717">
        <v>0.02009152</v>
      </c>
      <c r="G12" s="717">
        <v>0.0156018153</v>
      </c>
      <c r="H12" s="717">
        <v>0.0180759919</v>
      </c>
      <c r="I12" s="717">
        <v>0.0203112974</v>
      </c>
      <c r="J12" s="717">
        <v>0.0249378763</v>
      </c>
      <c r="K12" s="717">
        <v>0.0360834406</v>
      </c>
      <c r="L12" s="717">
        <v>0.0351404019</v>
      </c>
      <c r="M12" s="717">
        <v>0.0289922539</v>
      </c>
      <c r="N12" s="717">
        <v>0.0286874912</v>
      </c>
      <c r="O12" s="717">
        <v>0.030615529</v>
      </c>
      <c r="P12" s="717">
        <v>0.0295363615</v>
      </c>
      <c r="R12" s="137" t="s">
        <v>1249</v>
      </c>
    </row>
    <row r="13" spans="1:18">
      <c r="B13" s="137" t="s">
        <v>746</v>
      </c>
      <c r="C13" s="717">
        <v>-0.0157497745414013</v>
      </c>
      <c r="D13" s="717">
        <v>0.0338609990161139</v>
      </c>
      <c r="E13" s="717">
        <v>0.0502705191759088</v>
      </c>
      <c r="F13" s="717">
        <v>0.0357635060582879</v>
      </c>
      <c r="G13" s="717">
        <v>0.029198422175851</v>
      </c>
      <c r="H13" s="717">
        <v>0.0454437825745355</v>
      </c>
      <c r="I13" s="717">
        <v>0.0383799372341057</v>
      </c>
      <c r="J13" s="717">
        <v>0.0367386493222282</v>
      </c>
      <c r="K13" s="717">
        <v>0.0462738718502581</v>
      </c>
      <c r="L13" s="717">
        <v>0.0512676363887323</v>
      </c>
      <c r="M13" s="717">
        <v>0.0445557854774519</v>
      </c>
      <c r="N13" s="717">
        <v>0.0425662722580806</v>
      </c>
      <c r="O13" s="717">
        <v>0.040314326266367</v>
      </c>
      <c r="P13" s="717">
        <v>0.0423080014375266</v>
      </c>
      <c r="R13" s="137" t="s">
        <v>1249</v>
      </c>
    </row>
    <row r="14" spans="1:18">
      <c r="B14" s="137" t="s">
        <v>748</v>
      </c>
      <c r="C14" s="717">
        <f>((C6*$A$6)+(C7*$A$7)+(C8*$A$8)+(C9*$A$9))/SUM($A$6:$A$9)</f>
        <v>0.049705971067289</v>
      </c>
      <c r="D14" s="717">
        <f t="shared" ref="D14:P14" si="2">((D6*$A$6)+(D7*$A$7)+(D8*$A$8)+(D9*$A$9))/SUM($A$6:$A$9)</f>
        <v>0.0986197150325178</v>
      </c>
      <c r="E14" s="717">
        <f t="shared" si="2"/>
        <v>0.0983060772571713</v>
      </c>
      <c r="F14" s="717">
        <f t="shared" si="2"/>
        <v>0.0809059856936846</v>
      </c>
      <c r="G14" s="717">
        <f t="shared" si="2"/>
        <v>0.0776365174814088</v>
      </c>
      <c r="H14" s="717">
        <f t="shared" si="2"/>
        <v>0.0760096058935526</v>
      </c>
      <c r="I14" s="717">
        <f t="shared" si="2"/>
        <v>0.059492462441912</v>
      </c>
      <c r="J14" s="717">
        <f t="shared" si="2"/>
        <v>0.0564060866412856</v>
      </c>
      <c r="K14" s="717">
        <f t="shared" si="2"/>
        <v>0.0607181589596329</v>
      </c>
      <c r="L14" s="717">
        <f t="shared" si="2"/>
        <v>0.0653248023706798</v>
      </c>
      <c r="M14" s="717">
        <f t="shared" si="2"/>
        <v>0.0663643448040026</v>
      </c>
      <c r="N14" s="717">
        <f t="shared" si="2"/>
        <v>0.0662548929151579</v>
      </c>
      <c r="O14" s="717">
        <f t="shared" si="2"/>
        <v>0.064318112000743</v>
      </c>
      <c r="P14" s="717">
        <f t="shared" si="2"/>
        <v>0.0645198496670254</v>
      </c>
      <c r="R14" s="137" t="s">
        <v>1249</v>
      </c>
    </row>
    <row r="15" spans="1:18">
      <c r="B15" s="137" t="s">
        <v>785</v>
      </c>
      <c r="C15" s="717">
        <v>0.049696224</v>
      </c>
      <c r="D15" s="717">
        <v>0.0785472248</v>
      </c>
      <c r="E15" s="717">
        <v>0.096838855</v>
      </c>
      <c r="F15" s="717">
        <v>0.0808501391</v>
      </c>
      <c r="G15" s="717">
        <v>0.0791496973</v>
      </c>
      <c r="H15" s="717">
        <v>0.0860440323</v>
      </c>
      <c r="I15" s="717">
        <v>0.0787967643</v>
      </c>
      <c r="J15" s="717">
        <v>0.0778555452</v>
      </c>
      <c r="K15" s="717">
        <v>0.0698655818</v>
      </c>
      <c r="L15" s="717">
        <v>0.0787592045</v>
      </c>
      <c r="M15" s="717">
        <v>0.0770528312</v>
      </c>
      <c r="N15" s="717">
        <v>0.0790410173</v>
      </c>
      <c r="O15" s="717">
        <v>0.0810852671</v>
      </c>
      <c r="P15" s="717">
        <v>0.0819860196</v>
      </c>
      <c r="R15" s="137" t="s">
        <v>1249</v>
      </c>
    </row>
    <row r="16" spans="1:18">
      <c r="B16" s="137" t="s">
        <v>553</v>
      </c>
      <c r="C16" s="717">
        <v>0.0337964635953559</v>
      </c>
      <c r="D16" s="717">
        <v>0.124160044876346</v>
      </c>
      <c r="E16" s="717">
        <v>0.13287609864867</v>
      </c>
      <c r="F16" s="717">
        <v>0.129729742853839</v>
      </c>
      <c r="G16" s="717">
        <v>0.120399909246748</v>
      </c>
      <c r="H16" s="717">
        <v>0.0976049009981999</v>
      </c>
      <c r="I16" s="717">
        <v>0.0616452512652488</v>
      </c>
      <c r="J16" s="717">
        <v>0.042046313253064</v>
      </c>
      <c r="K16" s="717">
        <v>0.0704849975907189</v>
      </c>
      <c r="L16" s="717">
        <v>0.049003813803843</v>
      </c>
      <c r="M16" s="717">
        <v>0.048196360526567</v>
      </c>
      <c r="N16" s="717">
        <v>0.0544345276632655</v>
      </c>
      <c r="O16" s="717">
        <v>0.0649999999999999</v>
      </c>
      <c r="P16" s="717">
        <v>0.0669999999999999</v>
      </c>
      <c r="R16" s="137" t="s">
        <v>1249</v>
      </c>
    </row>
    <row r="17" spans="2:19">
      <c r="B17" s="137" t="s">
        <v>751</v>
      </c>
      <c r="C17" s="717">
        <v>0.0375176226</v>
      </c>
      <c r="D17" s="717">
        <v>0.0403226471</v>
      </c>
      <c r="E17" s="717">
        <v>0.0568108075</v>
      </c>
      <c r="F17" s="717">
        <v>0.0373601207</v>
      </c>
      <c r="G17" s="717">
        <v>0.0143664348</v>
      </c>
      <c r="H17" s="717">
        <v>0.0243859332</v>
      </c>
      <c r="I17" s="717">
        <v>0.0279144523</v>
      </c>
      <c r="J17" s="717">
        <v>0.0362556183</v>
      </c>
      <c r="K17" s="717">
        <v>0.0688885071</v>
      </c>
      <c r="L17" s="717">
        <v>0.0637230952</v>
      </c>
      <c r="M17" s="717">
        <v>0.0611483705</v>
      </c>
      <c r="N17" s="717">
        <v>0.0598562073</v>
      </c>
      <c r="O17" s="717">
        <v>0.0600999057</v>
      </c>
      <c r="P17" s="717">
        <v>0.0601253783</v>
      </c>
    </row>
    <row r="18" spans="2:19">
      <c r="B18" s="137" t="s">
        <v>1255</v>
      </c>
      <c r="C18" s="717">
        <f>((C12*C30)+(C13*C31)+(C14*C32)+(C15*C33)+(C16*C34)+(C17*C35))/SUM(C30:C35)</f>
        <v>0.0154518605837074</v>
      </c>
      <c r="D18" s="717">
        <f t="shared" ref="D18:P18" si="3">((D12*C30)+(D13*C31)+(D14*C32)+(D15*C33)+(D16*C34)+(D17*C35))/SUM(C30:C35)</f>
        <v>0.051374660127114</v>
      </c>
      <c r="E18" s="717">
        <f t="shared" si="3"/>
        <v>0.0614020843604747</v>
      </c>
      <c r="F18" s="717">
        <f t="shared" si="3"/>
        <v>0.0488771133660478</v>
      </c>
      <c r="G18" s="717">
        <f t="shared" si="3"/>
        <v>0.0421531453359734</v>
      </c>
      <c r="H18" s="717">
        <f t="shared" si="3"/>
        <v>0.0473989004445938</v>
      </c>
      <c r="I18" s="717">
        <f t="shared" si="3"/>
        <v>0.0418456881143205</v>
      </c>
      <c r="J18" s="717">
        <f t="shared" si="3"/>
        <v>0.0425858299027906</v>
      </c>
      <c r="K18" s="717">
        <f t="shared" si="3"/>
        <v>0.0533690756944552</v>
      </c>
      <c r="L18" s="717">
        <f t="shared" si="3"/>
        <v>0.0549136866674143</v>
      </c>
      <c r="M18" s="717">
        <f t="shared" si="3"/>
        <v>0.0539109068931328</v>
      </c>
      <c r="N18" s="717">
        <f t="shared" si="3"/>
        <v>0.0546475899857429</v>
      </c>
      <c r="O18" s="717">
        <f t="shared" si="3"/>
        <v>0.0546290620602282</v>
      </c>
      <c r="P18" s="717">
        <f t="shared" si="3"/>
        <v>0.0496238936567216</v>
      </c>
      <c r="R18" s="188"/>
      <c r="S18" s="188"/>
    </row>
    <row r="19" spans="2:19">
      <c r="B19" s="137" t="s">
        <v>1256</v>
      </c>
      <c r="C19" s="717">
        <f>'Profit and Loss'!P35</f>
        <v>-0.0582469158705129</v>
      </c>
      <c r="D19" s="717">
        <f>'Profit and Loss'!Q35</f>
        <v>0.0865826498118305</v>
      </c>
      <c r="E19" s="717">
        <f>'Profit and Loss'!R35</f>
        <v>0.13</v>
      </c>
      <c r="F19" s="717">
        <f>'Profit and Loss'!S35</f>
        <v>0.0637775576071455</v>
      </c>
      <c r="G19" s="717">
        <f>'Profit and Loss'!T35</f>
        <v>0.0294190687361419</v>
      </c>
      <c r="H19" s="717">
        <f>'Profit and Loss'!U35</f>
        <v>0.0646918989787469</v>
      </c>
      <c r="I19" s="717">
        <f>'Profit and Loss'!V35</f>
        <v>0.0963410858047203</v>
      </c>
      <c r="J19" s="717">
        <f>'Profit and Loss'!W35</f>
        <v>0.1815992905705</v>
      </c>
      <c r="K19" s="717">
        <f>'Profit and Loss'!X35</f>
        <v>0.159997786824436</v>
      </c>
      <c r="L19" s="717">
        <f>'Profit and Loss'!Y35</f>
        <v>0.0842075596191913</v>
      </c>
      <c r="M19" s="717">
        <f>'Profit and Loss'!Z35</f>
        <v>0.0605195710700433</v>
      </c>
      <c r="N19" s="717">
        <f>'Profit and Loss'!AA35</f>
        <v>-0.134484943113378</v>
      </c>
      <c r="O19" s="717">
        <f>'Profit and Loss'!AB35</f>
        <v>0.16</v>
      </c>
      <c r="P19" s="717">
        <f>'Profit and Loss'!AC35</f>
        <v>0.0104352453612131</v>
      </c>
      <c r="R19" s="188"/>
      <c r="S19" s="188"/>
    </row>
    <row r="22" spans="2:19">
      <c r="B22" s="137" t="s">
        <v>552</v>
      </c>
      <c r="C22" s="722">
        <f t="shared" ref="C22:F27" si="4">(D22/(1+D12))</f>
        <v>23.36077186335</v>
      </c>
      <c r="D22" s="722">
        <f t="shared" si="4"/>
        <v>24.0250828056183</v>
      </c>
      <c r="E22" s="722">
        <f t="shared" si="4"/>
        <v>24.7448466816545</v>
      </c>
      <c r="F22" s="722">
        <f t="shared" si="4"/>
        <v>25.2420082636559</v>
      </c>
      <c r="G22" s="722">
        <f>(H22/(1+H12))</f>
        <v>25.6358294143865</v>
      </c>
      <c r="H22" s="722">
        <f>H30*100</f>
        <v>26.0992224592307</v>
      </c>
    </row>
    <row r="23" spans="2:19">
      <c r="B23" s="137" t="s">
        <v>746</v>
      </c>
      <c r="C23" s="722">
        <f t="shared" si="4"/>
        <v>12.6062725089288</v>
      </c>
      <c r="D23" s="722">
        <f t="shared" si="4"/>
        <v>13.0331334899505</v>
      </c>
      <c r="E23" s="722">
        <f t="shared" si="4"/>
        <v>13.6883158769793</v>
      </c>
      <c r="F23" s="722">
        <f t="shared" si="4"/>
        <v>14.1778580447734</v>
      </c>
      <c r="G23" s="722">
        <f t="shared" ref="G23:G27" si="5">(H23/(1+H13))</f>
        <v>14.591829129514</v>
      </c>
      <c r="H23" s="722">
        <f t="shared" ref="H23:H27" si="6">H31*100</f>
        <v>15.2549370398404</v>
      </c>
    </row>
    <row r="24" spans="2:19">
      <c r="B24" s="137" t="s">
        <v>748</v>
      </c>
      <c r="C24" s="722">
        <f t="shared" si="4"/>
        <v>7.33436668519792</v>
      </c>
      <c r="D24" s="722">
        <f t="shared" si="4"/>
        <v>8.05767983763613</v>
      </c>
      <c r="E24" s="722">
        <f t="shared" si="4"/>
        <v>8.84979873426834</v>
      </c>
      <c r="F24" s="722">
        <f t="shared" si="4"/>
        <v>9.56580042405504</v>
      </c>
      <c r="G24" s="722">
        <f t="shared" si="5"/>
        <v>10.3084558559009</v>
      </c>
      <c r="H24" s="722">
        <f t="shared" si="6"/>
        <v>11.091997522879</v>
      </c>
    </row>
    <row r="25" spans="2:19">
      <c r="B25" s="137" t="s">
        <v>785</v>
      </c>
      <c r="C25" s="722">
        <f t="shared" si="4"/>
        <v>8.20067458932891</v>
      </c>
      <c r="D25" s="722">
        <f t="shared" si="4"/>
        <v>8.84481481980857</v>
      </c>
      <c r="E25" s="722">
        <f t="shared" si="4"/>
        <v>9.70133655964587</v>
      </c>
      <c r="F25" s="722">
        <f t="shared" si="4"/>
        <v>10.4856909699492</v>
      </c>
      <c r="G25" s="722">
        <f t="shared" si="5"/>
        <v>11.315630236202</v>
      </c>
      <c r="H25" s="722">
        <f t="shared" si="6"/>
        <v>12.2892726897406</v>
      </c>
    </row>
    <row r="26" spans="2:19">
      <c r="B26" s="137" t="s">
        <v>553</v>
      </c>
      <c r="C26" s="722">
        <f t="shared" si="4"/>
        <v>4.27014715490833</v>
      </c>
      <c r="D26" s="722">
        <f t="shared" si="4"/>
        <v>4.80032881729035</v>
      </c>
      <c r="E26" s="722">
        <f t="shared" si="4"/>
        <v>5.43817778276268</v>
      </c>
      <c r="F26" s="722">
        <f t="shared" si="4"/>
        <v>6.14367118811394</v>
      </c>
      <c r="G26" s="722">
        <f t="shared" si="5"/>
        <v>6.88336864160473</v>
      </c>
      <c r="H26" s="722">
        <f t="shared" si="6"/>
        <v>7.55521915640267</v>
      </c>
    </row>
    <row r="27" spans="2:19">
      <c r="B27" s="137" t="s">
        <v>751</v>
      </c>
      <c r="C27" s="722">
        <f t="shared" si="4"/>
        <v>11.1769198578144</v>
      </c>
      <c r="D27" s="722">
        <f t="shared" si="4"/>
        <v>11.627602852906</v>
      </c>
      <c r="E27" s="722">
        <f t="shared" si="4"/>
        <v>12.2881763602689</v>
      </c>
      <c r="F27" s="722">
        <f t="shared" si="4"/>
        <v>12.7472641122714</v>
      </c>
      <c r="G27" s="722">
        <f t="shared" si="5"/>
        <v>12.9303968510187</v>
      </c>
      <c r="H27" s="722">
        <f t="shared" si="6"/>
        <v>13.2457166448772</v>
      </c>
    </row>
    <row r="30" spans="2:19">
      <c r="B30" s="137" t="s">
        <v>552</v>
      </c>
      <c r="C30" s="717">
        <f t="shared" ref="C30:G35" si="7">C22/100</f>
        <v>0.2336077186335</v>
      </c>
      <c r="D30" s="717">
        <f t="shared" si="7"/>
        <v>0.240250828056183</v>
      </c>
      <c r="E30" s="717">
        <f t="shared" si="7"/>
        <v>0.247448466816545</v>
      </c>
      <c r="F30" s="717">
        <f t="shared" si="7"/>
        <v>0.252420082636559</v>
      </c>
      <c r="G30" s="717">
        <f t="shared" si="7"/>
        <v>0.256358294143865</v>
      </c>
      <c r="H30" s="717">
        <f>'Profit and Loss'!U101</f>
        <v>0.260992224592307</v>
      </c>
      <c r="I30" s="717">
        <f>'Profit and Loss'!V101</f>
        <v>0.268341708542714</v>
      </c>
      <c r="J30" s="717">
        <f>'Profit and Loss'!W101</f>
        <v>0.274287195438051</v>
      </c>
      <c r="K30" s="717">
        <f>'Profit and Loss'!X101</f>
        <v>0.277264586671694</v>
      </c>
      <c r="L30" s="717">
        <f>'Profit and Loss'!Y101</f>
        <v>0.268491900524755</v>
      </c>
      <c r="M30" s="717">
        <f>'Profit and Loss'!Z101</f>
        <v>0.256817393511273</v>
      </c>
      <c r="N30" s="717">
        <f>'Profit and Loss'!AA101</f>
        <v>0.268091110663173</v>
      </c>
      <c r="O30" s="717">
        <f>'Profit and Loss'!AB101</f>
        <v>0.365451634171612</v>
      </c>
      <c r="P30" s="717">
        <f>'Profit and Loss'!AC101</f>
        <v>0.379814313002532</v>
      </c>
    </row>
    <row r="31" spans="2:19">
      <c r="B31" s="137" t="s">
        <v>746</v>
      </c>
      <c r="C31" s="717">
        <f t="shared" si="7"/>
        <v>0.126062725089288</v>
      </c>
      <c r="D31" s="717">
        <f t="shared" si="7"/>
        <v>0.130331334899505</v>
      </c>
      <c r="E31" s="717">
        <f t="shared" si="7"/>
        <v>0.136883158769793</v>
      </c>
      <c r="F31" s="717">
        <f t="shared" si="7"/>
        <v>0.141778580447734</v>
      </c>
      <c r="G31" s="717">
        <f t="shared" si="7"/>
        <v>0.14591829129514</v>
      </c>
      <c r="H31" s="717">
        <f>'Profit and Loss'!U106</f>
        <v>0.152549370398404</v>
      </c>
      <c r="I31" s="717">
        <f>'Profit and Loss'!V106</f>
        <v>0.162814070351759</v>
      </c>
      <c r="J31" s="717">
        <f>'Profit and Loss'!W106</f>
        <v>0.176879212026957</v>
      </c>
      <c r="K31" s="717">
        <f>'Profit and Loss'!X106</f>
        <v>0.20147987557734</v>
      </c>
      <c r="L31" s="717">
        <f>'Profit and Loss'!Y106</f>
        <v>0.213917408167921</v>
      </c>
      <c r="M31" s="717">
        <f>'Profit and Loss'!Z106</f>
        <v>0.224736686265386</v>
      </c>
      <c r="N31" s="717">
        <f>'Profit and Loss'!AA106</f>
        <v>0.239971779883088</v>
      </c>
      <c r="O31" s="717">
        <f>'Profit and Loss'!AB106</f>
        <v>0.240416313459546</v>
      </c>
      <c r="P31" s="717">
        <f>'Profit and Loss'!AC106</f>
        <v>0.284216605215228</v>
      </c>
    </row>
    <row r="32" spans="2:19">
      <c r="B32" s="137" t="s">
        <v>748</v>
      </c>
      <c r="C32" s="717">
        <f t="shared" si="7"/>
        <v>0.0733436668519792</v>
      </c>
      <c r="D32" s="717">
        <f t="shared" si="7"/>
        <v>0.0805767983763613</v>
      </c>
      <c r="E32" s="717">
        <f t="shared" si="7"/>
        <v>0.0884979873426834</v>
      </c>
      <c r="F32" s="717">
        <f t="shared" si="7"/>
        <v>0.0956580042405504</v>
      </c>
      <c r="G32" s="717">
        <f t="shared" si="7"/>
        <v>0.103084558559009</v>
      </c>
      <c r="H32" s="717">
        <f>'Profit and Loss'!U111</f>
        <v>0.11091997522879</v>
      </c>
      <c r="I32" s="717">
        <f>'Profit and Loss'!V111</f>
        <v>0.105409399940881</v>
      </c>
      <c r="J32" s="717">
        <f>'Profit and Loss'!W111</f>
        <v>0.0897356143079316</v>
      </c>
      <c r="K32" s="717">
        <f>'Profit and Loss'!X111</f>
        <v>0.0898765199359035</v>
      </c>
      <c r="L32" s="717">
        <f>'Profit and Loss'!Y111</f>
        <v>0.0745151722564453</v>
      </c>
      <c r="M32" s="717">
        <f>'Profit and Loss'!Z111</f>
        <v>0.0702169958969587</v>
      </c>
      <c r="N32" s="717">
        <f>'Profit and Loss'!AA111</f>
        <v>0.0583551703285628</v>
      </c>
      <c r="O32" s="717">
        <f>'Profit and Loss'!AB111</f>
        <v>0.0681454271451446</v>
      </c>
      <c r="P32" s="717">
        <f>'Profit and Loss'!AC111</f>
        <v>0.0937319532672916</v>
      </c>
    </row>
    <row r="33" spans="2:16">
      <c r="B33" s="137" t="s">
        <v>785</v>
      </c>
      <c r="C33" s="717">
        <f t="shared" si="7"/>
        <v>0.0820067458932891</v>
      </c>
      <c r="D33" s="717">
        <f t="shared" si="7"/>
        <v>0.0884481481980857</v>
      </c>
      <c r="E33" s="717">
        <f t="shared" si="7"/>
        <v>0.0970133655964587</v>
      </c>
      <c r="F33" s="717">
        <f t="shared" si="7"/>
        <v>0.104856909699492</v>
      </c>
      <c r="G33" s="717">
        <f t="shared" si="7"/>
        <v>0.11315630236202</v>
      </c>
      <c r="H33" s="717">
        <f>'Profit and Loss'!U116</f>
        <v>0.122892726897406</v>
      </c>
      <c r="I33" s="717">
        <f>'Profit and Loss'!V116</f>
        <v>0.145965119716228</v>
      </c>
      <c r="J33" s="717">
        <f>'Profit and Loss'!W116</f>
        <v>0.156039398652151</v>
      </c>
      <c r="K33" s="717">
        <f>'Profit and Loss'!X116</f>
        <v>0.17857479498539</v>
      </c>
      <c r="L33" s="717">
        <f>'Profit and Loss'!Y116</f>
        <v>0.325849874515172</v>
      </c>
      <c r="M33" s="717">
        <f>'Profit and Loss'!Z116</f>
        <v>0.339688676451927</v>
      </c>
      <c r="N33" s="717">
        <f>'Profit and Loss'!AA116</f>
        <v>0.329873009473896</v>
      </c>
      <c r="O33" s="717">
        <f>'Profit and Loss'!AB116</f>
        <v>0.216492417820477</v>
      </c>
      <c r="P33" s="717">
        <f>'Profit and Loss'!AC116</f>
        <v>0.141219848074275</v>
      </c>
    </row>
    <row r="34" spans="2:16">
      <c r="B34" s="137" t="s">
        <v>553</v>
      </c>
      <c r="C34" s="717">
        <f t="shared" si="7"/>
        <v>0.0427014715490833</v>
      </c>
      <c r="D34" s="717">
        <f t="shared" si="7"/>
        <v>0.0480032881729035</v>
      </c>
      <c r="E34" s="717">
        <f t="shared" si="7"/>
        <v>0.0543817778276268</v>
      </c>
      <c r="F34" s="717">
        <f t="shared" si="7"/>
        <v>0.0614367118811394</v>
      </c>
      <c r="G34" s="717">
        <f t="shared" si="7"/>
        <v>0.0688336864160473</v>
      </c>
      <c r="H34" s="717">
        <f>'Profit and Loss'!U126</f>
        <v>0.0755521915640267</v>
      </c>
      <c r="I34" s="717">
        <f>'Profit and Loss'!V126</f>
        <v>0.0436890334023056</v>
      </c>
      <c r="J34" s="717">
        <f>'Profit and Loss'!W126</f>
        <v>0.0351995852773458</v>
      </c>
      <c r="K34" s="717">
        <f>'Profit and Loss'!X126</f>
        <v>0.0311056650014139</v>
      </c>
      <c r="L34" s="717">
        <f>'Profit and Loss'!Y126</f>
        <v>0.0271047227926078</v>
      </c>
      <c r="M34" s="717">
        <f>'Profit and Loss'!Z126</f>
        <v>0.0278753013831902</v>
      </c>
      <c r="N34" s="717">
        <f>'Profit and Loss'!AA126</f>
        <v>0.029429550493852</v>
      </c>
      <c r="O34" s="717">
        <f>'Profit and Loss'!AB126</f>
        <v>0</v>
      </c>
      <c r="P34" s="717">
        <f>'Profit and Loss'!AC126</f>
        <v>0</v>
      </c>
    </row>
    <row r="35" spans="2:16">
      <c r="B35" s="137" t="s">
        <v>751</v>
      </c>
      <c r="C35" s="717">
        <f t="shared" si="7"/>
        <v>0.111769198578144</v>
      </c>
      <c r="D35" s="717">
        <f t="shared" si="7"/>
        <v>0.11627602852906</v>
      </c>
      <c r="E35" s="717">
        <f t="shared" si="7"/>
        <v>0.122881763602689</v>
      </c>
      <c r="F35" s="717">
        <f t="shared" si="7"/>
        <v>0.127472641122714</v>
      </c>
      <c r="G35" s="717">
        <f t="shared" si="7"/>
        <v>0.129303968510187</v>
      </c>
      <c r="H35" s="717">
        <f>'Profit and Loss'!U131</f>
        <v>0.132457166448772</v>
      </c>
      <c r="I35" s="717">
        <f>'Profit and Loss'!V131</f>
        <v>0.141176470588235</v>
      </c>
      <c r="J35" s="717">
        <f>'Profit and Loss'!W131</f>
        <v>0.139191290824261</v>
      </c>
      <c r="K35" s="717">
        <f>'Profit and Loss'!X131</f>
        <v>0.137006315392591</v>
      </c>
      <c r="L35" s="717">
        <f>'Profit and Loss'!Y131</f>
        <v>0.0522016883413187</v>
      </c>
      <c r="M35" s="717">
        <f>'Profit and Loss'!Z131</f>
        <v>0.055073812444482</v>
      </c>
      <c r="N35" s="717">
        <f>'Profit and Loss'!AA131</f>
        <v>0.050292279782302</v>
      </c>
      <c r="O35" s="717">
        <f>'Profit and Loss'!AB131</f>
        <v>0.102712630686635</v>
      </c>
      <c r="P35" s="717">
        <f>'Profit and Loss'!AC131</f>
        <v>0.0995513304606637</v>
      </c>
    </row>
  </sheetData>
  <pageMargins left="0.7" right="0.7" top="0.75" bottom="0.75" header="0.3" footer="0.3"/>
  <pageSetup paperSize="9" orientation="portrait"/>
  <headerFooter/>
  <customProperties>
    <customPr name="Qube.Worksheet.Visibility" r:id="rId2"/>
  </customPropertie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BU37"/>
  <sheetViews>
    <sheetView workbookViewId="0">
      <selection activeCell="A9" sqref="A9"/>
    </sheetView>
  </sheetViews>
  <sheetFormatPr defaultColWidth="9.14285714285714" defaultRowHeight="15.2"/>
  <cols>
    <col min="1" max="1" width="20.8571428571429" style="137" customWidth="1"/>
    <col min="2" max="55" width="15.7142857142857" style="137" customWidth="1"/>
    <col min="56" max="16384" width="9.14285714285714" style="137"/>
  </cols>
  <sheetData>
    <row r="2" spans="1:73">
      <c r="A2" s="716"/>
      <c r="B2" s="716" t="s">
        <v>356</v>
      </c>
      <c r="C2" s="716" t="s">
        <v>357</v>
      </c>
      <c r="D2" s="716" t="s">
        <v>359</v>
      </c>
      <c r="E2" s="716" t="s">
        <v>361</v>
      </c>
      <c r="F2" s="716" t="s">
        <v>363</v>
      </c>
      <c r="G2" s="716" t="s">
        <v>364</v>
      </c>
      <c r="H2" s="716" t="s">
        <v>366</v>
      </c>
      <c r="I2" s="716" t="s">
        <v>368</v>
      </c>
      <c r="J2" s="716" t="s">
        <v>370</v>
      </c>
      <c r="K2" s="716" t="s">
        <v>371</v>
      </c>
      <c r="L2" s="716" t="s">
        <v>373</v>
      </c>
      <c r="M2" s="716" t="s">
        <v>375</v>
      </c>
      <c r="N2" s="716" t="s">
        <v>377</v>
      </c>
      <c r="O2" s="716" t="s">
        <v>378</v>
      </c>
      <c r="P2" s="716" t="s">
        <v>380</v>
      </c>
      <c r="Q2" s="716" t="s">
        <v>382</v>
      </c>
      <c r="R2" s="716" t="s">
        <v>384</v>
      </c>
      <c r="S2" s="716" t="s">
        <v>385</v>
      </c>
      <c r="T2" s="716" t="s">
        <v>387</v>
      </c>
      <c r="U2" s="716" t="s">
        <v>389</v>
      </c>
      <c r="V2" s="716" t="s">
        <v>392</v>
      </c>
      <c r="W2" s="716" t="s">
        <v>393</v>
      </c>
      <c r="X2" s="716" t="s">
        <v>395</v>
      </c>
      <c r="Y2" s="716" t="s">
        <v>397</v>
      </c>
      <c r="Z2" s="716" t="s">
        <v>400</v>
      </c>
      <c r="AA2" s="716" t="s">
        <v>401</v>
      </c>
      <c r="AB2" s="716" t="s">
        <v>403</v>
      </c>
      <c r="AC2" s="716" t="s">
        <v>405</v>
      </c>
      <c r="AD2" s="716" t="s">
        <v>408</v>
      </c>
      <c r="AE2" s="716" t="s">
        <v>409</v>
      </c>
      <c r="AF2" s="716" t="s">
        <v>411</v>
      </c>
      <c r="AG2" s="716" t="s">
        <v>413</v>
      </c>
      <c r="AH2" s="716" t="s">
        <v>416</v>
      </c>
      <c r="AI2" s="716" t="s">
        <v>417</v>
      </c>
      <c r="AJ2" s="716" t="s">
        <v>419</v>
      </c>
      <c r="AK2" s="716" t="s">
        <v>421</v>
      </c>
      <c r="AL2" s="716" t="s">
        <v>424</v>
      </c>
      <c r="AM2" s="716" t="s">
        <v>425</v>
      </c>
      <c r="AN2" s="716" t="s">
        <v>427</v>
      </c>
      <c r="AO2" s="716" t="s">
        <v>429</v>
      </c>
    </row>
    <row r="3" spans="1:73">
      <c r="A3" s="137" t="s">
        <v>1257</v>
      </c>
      <c r="B3" s="188">
        <f>(100-((100*(1+B6))/Interim!DB397)*(Interim!DB397+(B7/10000)))/-100</f>
        <v>-0.0907559375062263</v>
      </c>
      <c r="C3" s="188">
        <f>(100-((100*(1+C6))/Interim!DC397)*(Interim!DC397+(C7/10000)))/-100</f>
        <v>-0.103225086878933</v>
      </c>
      <c r="D3" s="188">
        <f>(100-((100*(1+D6))/Interim!DE397)*(Interim!DE397+(D7/10000)))/-100</f>
        <v>-0.114455755187533</v>
      </c>
      <c r="E3" s="188">
        <f>(100-((100*(1+E6))/Interim!DG397)*(Interim!DG397+(E7/10000)))/-100</f>
        <v>0.0536401265708345</v>
      </c>
      <c r="F3" s="188">
        <f t="shared" ref="F3:AK3" si="0">(100-((100*(1+F6))/B9)*(B9+(F7/10000)))/-100</f>
        <v>0.118230088495575</v>
      </c>
      <c r="G3" s="188">
        <f t="shared" si="0"/>
        <v>0.2062</v>
      </c>
      <c r="H3" s="188">
        <f t="shared" si="0"/>
        <v>0.148424840857808</v>
      </c>
      <c r="I3" s="188">
        <f t="shared" si="0"/>
        <v>0.0987215909778682</v>
      </c>
      <c r="J3" s="188">
        <f t="shared" si="0"/>
        <v>0.179639556035717</v>
      </c>
      <c r="K3" s="188">
        <f t="shared" si="0"/>
        <v>0.103582090180053</v>
      </c>
      <c r="L3" s="188">
        <f t="shared" si="0"/>
        <v>0.118738890312379</v>
      </c>
      <c r="M3" s="188">
        <f t="shared" si="0"/>
        <v>0.0896605057115683</v>
      </c>
      <c r="N3" s="188">
        <f t="shared" si="0"/>
        <v>0.117115216343655</v>
      </c>
      <c r="O3" s="188">
        <f t="shared" si="0"/>
        <v>0.0519867520041498</v>
      </c>
      <c r="P3" s="188">
        <f t="shared" si="0"/>
        <v>0.0474248796313145</v>
      </c>
      <c r="Q3" s="188">
        <f t="shared" si="0"/>
        <v>0.0506541791732387</v>
      </c>
      <c r="R3" s="188">
        <f t="shared" si="0"/>
        <v>0.053044868938084</v>
      </c>
      <c r="S3" s="188">
        <f t="shared" si="0"/>
        <v>0.0375896098050653</v>
      </c>
      <c r="T3" s="188">
        <f t="shared" si="0"/>
        <v>0.040499433964379</v>
      </c>
      <c r="U3" s="188">
        <f t="shared" si="0"/>
        <v>0.122966269231107</v>
      </c>
      <c r="V3" s="188">
        <f t="shared" si="0"/>
        <v>-0.0128390966011129</v>
      </c>
      <c r="W3" s="188">
        <f t="shared" si="0"/>
        <v>0.0831906918994645</v>
      </c>
      <c r="X3" s="188">
        <f t="shared" si="0"/>
        <v>0.0490532547621744</v>
      </c>
      <c r="Y3" s="188">
        <f t="shared" si="0"/>
        <v>0.000831024092345132</v>
      </c>
      <c r="Z3" s="188">
        <f t="shared" si="0"/>
        <v>0.0872690938722445</v>
      </c>
      <c r="AA3" s="188">
        <f t="shared" si="0"/>
        <v>0.0300468699107201</v>
      </c>
      <c r="AB3" s="188">
        <f t="shared" si="0"/>
        <v>0.149761384737228</v>
      </c>
      <c r="AC3" s="188">
        <f t="shared" si="0"/>
        <v>0.173531040825727</v>
      </c>
      <c r="AD3" s="188">
        <f t="shared" si="0"/>
        <v>0.219872089958472</v>
      </c>
      <c r="AE3" s="188">
        <f t="shared" si="0"/>
        <v>0.216649735782456</v>
      </c>
      <c r="AF3" s="188">
        <f t="shared" si="0"/>
        <v>0.150852372332317</v>
      </c>
      <c r="AG3" s="188">
        <f t="shared" si="0"/>
        <v>0.178913156280506</v>
      </c>
      <c r="AH3" s="188">
        <f t="shared" si="0"/>
        <v>0.167589922274895</v>
      </c>
      <c r="AI3" s="188">
        <f t="shared" si="0"/>
        <v>0.226788694021776</v>
      </c>
      <c r="AJ3" s="188">
        <f t="shared" si="0"/>
        <v>0.191600400808967</v>
      </c>
      <c r="AK3" s="188">
        <f t="shared" si="0"/>
        <v>0.270351155493229</v>
      </c>
      <c r="AL3" s="188">
        <f t="shared" ref="AL3:AM3" si="1">(100-((100*(1+AL6))/AH9)*(AH9+(AL7/10000)))/-100</f>
        <v>0.134569545670194</v>
      </c>
      <c r="AM3" s="188">
        <f t="shared" si="1"/>
        <v>0.152945989186259</v>
      </c>
      <c r="AN3" s="188">
        <f t="shared" ref="AN3" si="2">(100-((100*(1+AN6))/AJ9)*(AJ9+(AN7/10000)))/-100</f>
        <v>0.112441309391429</v>
      </c>
      <c r="AO3" s="188">
        <f t="shared" ref="AO3" si="3">(100-((100*(1+AO6))/AK9)*(AK9+(AO7/10000)))/-100</f>
        <v>0.0579897902329732</v>
      </c>
    </row>
    <row r="4" spans="1:73">
      <c r="A4" s="137" t="s">
        <v>1258</v>
      </c>
      <c r="B4" s="188"/>
      <c r="C4" s="188"/>
      <c r="D4" s="188"/>
      <c r="E4" s="188"/>
      <c r="F4" s="188"/>
      <c r="G4" s="188"/>
      <c r="H4" s="188"/>
      <c r="I4" s="188"/>
      <c r="J4" s="188">
        <f>J3+F3+B3</f>
        <v>0.207113707025065</v>
      </c>
      <c r="K4" s="188">
        <f t="shared" ref="K4:AK4" si="4">K3+G3+C3</f>
        <v>0.20655700330112</v>
      </c>
      <c r="L4" s="188">
        <f t="shared" si="4"/>
        <v>0.152707975982655</v>
      </c>
      <c r="M4" s="188">
        <f t="shared" si="4"/>
        <v>0.242022223260271</v>
      </c>
      <c r="N4" s="188">
        <f t="shared" si="4"/>
        <v>0.414984860874947</v>
      </c>
      <c r="O4" s="188">
        <f t="shared" si="4"/>
        <v>0.361768842184203</v>
      </c>
      <c r="P4" s="188">
        <f t="shared" si="4"/>
        <v>0.314588610801502</v>
      </c>
      <c r="Q4" s="188">
        <f t="shared" si="4"/>
        <v>0.239036275862675</v>
      </c>
      <c r="R4" s="188">
        <f t="shared" si="4"/>
        <v>0.349799641317456</v>
      </c>
      <c r="S4" s="188">
        <f t="shared" si="4"/>
        <v>0.193158451989268</v>
      </c>
      <c r="T4" s="188">
        <f t="shared" si="4"/>
        <v>0.206663203908073</v>
      </c>
      <c r="U4" s="188">
        <f t="shared" si="4"/>
        <v>0.263280954115914</v>
      </c>
      <c r="V4" s="188">
        <f t="shared" si="4"/>
        <v>0.157320988680626</v>
      </c>
      <c r="W4" s="188">
        <f t="shared" si="4"/>
        <v>0.17276705370868</v>
      </c>
      <c r="X4" s="188">
        <f t="shared" si="4"/>
        <v>0.136977568357868</v>
      </c>
      <c r="Y4" s="188">
        <f t="shared" si="4"/>
        <v>0.174451472496691</v>
      </c>
      <c r="Z4" s="188">
        <f t="shared" si="4"/>
        <v>0.127474866209216</v>
      </c>
      <c r="AA4" s="188">
        <f t="shared" si="4"/>
        <v>0.15082717161525</v>
      </c>
      <c r="AB4" s="188">
        <f t="shared" si="4"/>
        <v>0.239314073463782</v>
      </c>
      <c r="AC4" s="188">
        <f t="shared" si="4"/>
        <v>0.297328334149179</v>
      </c>
      <c r="AD4" s="188">
        <f t="shared" si="4"/>
        <v>0.294302087229603</v>
      </c>
      <c r="AE4" s="188">
        <f t="shared" si="4"/>
        <v>0.32988729759264</v>
      </c>
      <c r="AF4" s="188">
        <f t="shared" si="4"/>
        <v>0.34966701183172</v>
      </c>
      <c r="AG4" s="188">
        <f t="shared" si="4"/>
        <v>0.353275221198578</v>
      </c>
      <c r="AH4" s="188">
        <f t="shared" si="4"/>
        <v>0.474731106105611</v>
      </c>
      <c r="AI4" s="188">
        <f t="shared" si="4"/>
        <v>0.473485299714951</v>
      </c>
      <c r="AJ4" s="188">
        <f t="shared" si="4"/>
        <v>0.492214157878512</v>
      </c>
      <c r="AK4" s="188">
        <f t="shared" si="4"/>
        <v>0.622795352599461</v>
      </c>
      <c r="AL4" s="188">
        <f t="shared" ref="AL4" si="5">AL3+AH3+AD3</f>
        <v>0.522031557903561</v>
      </c>
      <c r="AM4" s="188">
        <f t="shared" ref="AM4" si="6">AM3+AI3+AE3</f>
        <v>0.596384418990491</v>
      </c>
      <c r="AN4" s="188">
        <f t="shared" ref="AN4" si="7">AN3+AJ3+AF3</f>
        <v>0.454894082532713</v>
      </c>
      <c r="AO4" s="188">
        <f t="shared" ref="AO4" si="8">AO3+AK3+AG3</f>
        <v>0.507254102006708</v>
      </c>
      <c r="AP4" s="188"/>
    </row>
    <row r="5" spans="1:73"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</row>
    <row r="6" spans="1:73">
      <c r="A6" s="137" t="s">
        <v>782</v>
      </c>
      <c r="B6" s="717">
        <v>-0.0554016298020955</v>
      </c>
      <c r="C6" s="717">
        <v>-0.0725478225478225</v>
      </c>
      <c r="D6" s="717">
        <v>-0.0686080332409972</v>
      </c>
      <c r="E6" s="717">
        <v>0.00396257119609439</v>
      </c>
      <c r="F6" s="717">
        <v>0.04</v>
      </c>
      <c r="G6" s="717">
        <v>0.11</v>
      </c>
      <c r="H6" s="717">
        <v>0.0998656509695291</v>
      </c>
      <c r="I6" s="717">
        <v>0.0927038242473556</v>
      </c>
      <c r="J6" s="717">
        <v>0.182071802543007</v>
      </c>
      <c r="K6" s="717">
        <v>0.0968529310935893</v>
      </c>
      <c r="L6" s="717">
        <v>0.124397347174164</v>
      </c>
      <c r="M6" s="717">
        <v>0.11</v>
      </c>
      <c r="N6" s="717">
        <v>0.135850901313779</v>
      </c>
      <c r="O6" s="717">
        <v>0.0726694190600522</v>
      </c>
      <c r="P6" s="717">
        <v>0.0399561965811966</v>
      </c>
      <c r="Q6" s="717">
        <v>0.00698426411601358</v>
      </c>
      <c r="R6" s="717">
        <v>0.0016673640167364</v>
      </c>
      <c r="S6" s="717">
        <v>-0.000175717941427352</v>
      </c>
      <c r="T6" s="717">
        <v>5.65540378624496e-5</v>
      </c>
      <c r="U6" s="717">
        <v>0.125235975066785</v>
      </c>
      <c r="V6" s="717">
        <v>0.00653745667821914</v>
      </c>
      <c r="W6" s="717">
        <v>0.101650310375406</v>
      </c>
      <c r="X6" s="717">
        <v>0.090825470482083</v>
      </c>
      <c r="Y6" s="717">
        <v>0.0583774073009486</v>
      </c>
      <c r="Z6" s="717">
        <v>0.0873076702097099</v>
      </c>
      <c r="AA6" s="717">
        <v>0.0489167157151266</v>
      </c>
      <c r="AB6" s="717">
        <v>0.125889713155292</v>
      </c>
      <c r="AC6" s="717">
        <v>0.116590027700831</v>
      </c>
      <c r="AD6" s="717">
        <v>0.213338966446241</v>
      </c>
      <c r="AE6" s="717">
        <v>0.205087023291528</v>
      </c>
      <c r="AF6" s="717">
        <v>0.171974563800715</v>
      </c>
      <c r="AG6" s="717">
        <v>0.13947480806142</v>
      </c>
      <c r="AH6" s="717">
        <v>0.163587664380074</v>
      </c>
      <c r="AI6" s="717">
        <v>0.194819353380059</v>
      </c>
      <c r="AJ6" s="717">
        <v>0.123579404363415</v>
      </c>
      <c r="AK6" s="717">
        <v>0.206741931744906</v>
      </c>
      <c r="AL6" s="188">
        <f>Interim!GD390</f>
        <v>0.101595666544253</v>
      </c>
      <c r="AM6" s="188">
        <f>Interim!GE390</f>
        <v>0.105070265978563</v>
      </c>
      <c r="AN6" s="188">
        <f>Interim!GG390</f>
        <v>0.0826051426558651</v>
      </c>
      <c r="AO6" s="188">
        <f>Interim!GI390</f>
        <v>0.0464893196202532</v>
      </c>
      <c r="AP6" s="717"/>
      <c r="AR6" s="717"/>
      <c r="AT6" s="717"/>
      <c r="AV6" s="717"/>
      <c r="AW6" s="717"/>
      <c r="AZ6" s="717"/>
      <c r="BB6" s="717"/>
      <c r="BD6" s="717"/>
      <c r="BE6" s="717"/>
      <c r="BH6" s="717"/>
      <c r="BJ6" s="717"/>
      <c r="BL6" s="717"/>
      <c r="BM6" s="717"/>
      <c r="BT6" s="717"/>
      <c r="BU6" s="717"/>
    </row>
    <row r="7" spans="1:73">
      <c r="A7" s="137" t="s">
        <v>753</v>
      </c>
      <c r="B7" s="174">
        <v>-175.752009184845</v>
      </c>
      <c r="C7" s="174">
        <v>-153.937947494033</v>
      </c>
      <c r="D7" s="174">
        <v>-234.533939590776</v>
      </c>
      <c r="E7" s="174">
        <v>217.826086956522</v>
      </c>
      <c r="F7" s="174">
        <v>340</v>
      </c>
      <c r="G7" s="174">
        <v>390</v>
      </c>
      <c r="H7" s="174">
        <v>200</v>
      </c>
      <c r="I7" s="174">
        <v>25.4433833560702</v>
      </c>
      <c r="J7" s="174">
        <v>-10</v>
      </c>
      <c r="K7" s="174">
        <v>30</v>
      </c>
      <c r="L7" s="174">
        <v>-23.8034188034186</v>
      </c>
      <c r="M7" s="174">
        <v>-85.1224947414453</v>
      </c>
      <c r="N7" s="174">
        <v>-80.0000000000001</v>
      </c>
      <c r="O7" s="174">
        <v>-94.8649417116859</v>
      </c>
      <c r="P7" s="174">
        <v>33.7986260883461</v>
      </c>
      <c r="Q7" s="174">
        <v>197.767564932421</v>
      </c>
      <c r="R7" s="174">
        <v>244.662756598241</v>
      </c>
      <c r="S7" s="174">
        <v>182.254832341305</v>
      </c>
      <c r="T7" s="174">
        <v>191.688216277847</v>
      </c>
      <c r="U7" s="174">
        <v>-9.59750787300207</v>
      </c>
      <c r="V7" s="174">
        <v>-96.5357815910584</v>
      </c>
      <c r="W7" s="174">
        <v>-83.9054880398599</v>
      </c>
      <c r="X7" s="174">
        <v>-188.854541268016</v>
      </c>
      <c r="Y7" s="174">
        <v>-258.18623653277</v>
      </c>
      <c r="Z7" s="174">
        <v>-0.174489089964092</v>
      </c>
      <c r="AA7" s="174">
        <v>-88.572705635574</v>
      </c>
      <c r="AB7" s="174">
        <v>100.559808056304</v>
      </c>
      <c r="AC7" s="174">
        <v>228.985118114005</v>
      </c>
      <c r="AD7" s="174">
        <v>26.4803092180305</v>
      </c>
      <c r="AE7" s="174">
        <v>46.3905865637892</v>
      </c>
      <c r="AF7" s="174">
        <v>-87.2911293754519</v>
      </c>
      <c r="AG7" s="174">
        <v>163.339280725942</v>
      </c>
      <c r="AH7" s="174">
        <v>17.0067935536977</v>
      </c>
      <c r="AI7" s="174">
        <v>130.607204374047</v>
      </c>
      <c r="AJ7" s="174">
        <v>287.932026907448</v>
      </c>
      <c r="AK7" s="174">
        <v>257.37089201878</v>
      </c>
      <c r="AL7" s="174">
        <f>(Interim!GD397-Interim!FV397)*10000</f>
        <v>148.509942673707</v>
      </c>
      <c r="AM7" s="174">
        <f>(Interim!GE397-Interim!FW397)*10000</f>
        <v>217.13442011026</v>
      </c>
      <c r="AN7" s="174">
        <f>(Interim!GG397-Interim!FY397)*10000</f>
        <v>139.011447362981</v>
      </c>
      <c r="AO7" s="174">
        <f>(Interim!GI397-Interim!GA397)*10000</f>
        <v>56.4864044392077</v>
      </c>
    </row>
    <row r="9" spans="1:73">
      <c r="A9" s="137" t="s">
        <v>871</v>
      </c>
      <c r="B9" s="717">
        <f>Interim!DJ397</f>
        <v>0.452</v>
      </c>
      <c r="C9" s="717">
        <f>Interim!DK397</f>
        <v>0.45</v>
      </c>
      <c r="D9" s="717">
        <f>Interim!DM397</f>
        <v>0.453</v>
      </c>
      <c r="E9" s="717">
        <f>Interim!DO397</f>
        <v>0.462</v>
      </c>
      <c r="F9" s="717">
        <f t="shared" ref="F9:AK9" si="9">B9+F7/10000</f>
        <v>0.486</v>
      </c>
      <c r="G9" s="717">
        <f t="shared" si="9"/>
        <v>0.489</v>
      </c>
      <c r="H9" s="717">
        <f t="shared" si="9"/>
        <v>0.473</v>
      </c>
      <c r="I9" s="717">
        <f t="shared" si="9"/>
        <v>0.464544338335607</v>
      </c>
      <c r="J9" s="717">
        <f t="shared" si="9"/>
        <v>0.485</v>
      </c>
      <c r="K9" s="717">
        <f t="shared" si="9"/>
        <v>0.492</v>
      </c>
      <c r="L9" s="717">
        <f t="shared" si="9"/>
        <v>0.470619658119658</v>
      </c>
      <c r="M9" s="717">
        <f t="shared" si="9"/>
        <v>0.456032088861463</v>
      </c>
      <c r="N9" s="717">
        <f t="shared" si="9"/>
        <v>0.477</v>
      </c>
      <c r="O9" s="717">
        <f t="shared" si="9"/>
        <v>0.482513505828831</v>
      </c>
      <c r="P9" s="717">
        <f t="shared" si="9"/>
        <v>0.473999520728493</v>
      </c>
      <c r="Q9" s="717">
        <f t="shared" si="9"/>
        <v>0.475808845354705</v>
      </c>
      <c r="R9" s="717">
        <f t="shared" si="9"/>
        <v>0.501466275659824</v>
      </c>
      <c r="S9" s="717">
        <f t="shared" si="9"/>
        <v>0.500738989062962</v>
      </c>
      <c r="T9" s="717">
        <f t="shared" si="9"/>
        <v>0.493168342356277</v>
      </c>
      <c r="U9" s="717">
        <f t="shared" si="9"/>
        <v>0.474849094567404</v>
      </c>
      <c r="V9" s="717">
        <f t="shared" si="9"/>
        <v>0.491812697500718</v>
      </c>
      <c r="W9" s="717">
        <f t="shared" si="9"/>
        <v>0.492348440258976</v>
      </c>
      <c r="X9" s="717">
        <f t="shared" si="9"/>
        <v>0.474282888229476</v>
      </c>
      <c r="Y9" s="717">
        <f t="shared" si="9"/>
        <v>0.449030470914127</v>
      </c>
      <c r="Z9" s="717">
        <f t="shared" si="9"/>
        <v>0.491795248591722</v>
      </c>
      <c r="AA9" s="717">
        <f t="shared" si="9"/>
        <v>0.483491169695418</v>
      </c>
      <c r="AB9" s="717">
        <f t="shared" si="9"/>
        <v>0.484338869035106</v>
      </c>
      <c r="AC9" s="717">
        <f t="shared" si="9"/>
        <v>0.471928982725528</v>
      </c>
      <c r="AD9" s="717">
        <f t="shared" si="9"/>
        <v>0.494443279513525</v>
      </c>
      <c r="AE9" s="717">
        <f t="shared" si="9"/>
        <v>0.488130228351797</v>
      </c>
      <c r="AF9" s="717">
        <f t="shared" si="9"/>
        <v>0.475609756097561</v>
      </c>
      <c r="AG9" s="717">
        <f t="shared" si="9"/>
        <v>0.488262910798122</v>
      </c>
      <c r="AH9" s="717">
        <f t="shared" si="9"/>
        <v>0.496143958868895</v>
      </c>
      <c r="AI9" s="717">
        <f t="shared" si="9"/>
        <v>0.501190948789202</v>
      </c>
      <c r="AJ9" s="717">
        <f t="shared" si="9"/>
        <v>0.504402958788306</v>
      </c>
      <c r="AK9" s="717">
        <f t="shared" si="9"/>
        <v>0.514</v>
      </c>
    </row>
    <row r="36" spans="1:25">
      <c r="A36" s="718"/>
      <c r="B36" s="716" t="s">
        <v>370</v>
      </c>
      <c r="C36" s="716" t="s">
        <v>371</v>
      </c>
      <c r="D36" s="716" t="s">
        <v>373</v>
      </c>
      <c r="E36" s="716" t="s">
        <v>377</v>
      </c>
      <c r="F36" s="716" t="s">
        <v>378</v>
      </c>
      <c r="G36" s="716" t="s">
        <v>380</v>
      </c>
      <c r="H36" s="716" t="s">
        <v>384</v>
      </c>
      <c r="I36" s="716" t="s">
        <v>385</v>
      </c>
      <c r="J36" s="716" t="s">
        <v>387</v>
      </c>
      <c r="K36" s="716" t="s">
        <v>392</v>
      </c>
      <c r="L36" s="716" t="s">
        <v>393</v>
      </c>
      <c r="M36" s="716" t="s">
        <v>395</v>
      </c>
      <c r="N36" s="716" t="s">
        <v>400</v>
      </c>
      <c r="O36" s="716" t="s">
        <v>401</v>
      </c>
      <c r="P36" s="716" t="s">
        <v>403</v>
      </c>
      <c r="Q36" s="716" t="s">
        <v>408</v>
      </c>
      <c r="R36" s="716" t="s">
        <v>409</v>
      </c>
      <c r="S36" s="716" t="s">
        <v>411</v>
      </c>
      <c r="T36" s="716" t="s">
        <v>416</v>
      </c>
      <c r="U36" s="716" t="s">
        <v>417</v>
      </c>
      <c r="V36" s="716" t="s">
        <v>419</v>
      </c>
      <c r="W36" s="716" t="s">
        <v>424</v>
      </c>
      <c r="X36" s="716" t="s">
        <v>733</v>
      </c>
      <c r="Y36" s="716" t="s">
        <v>427</v>
      </c>
    </row>
    <row r="37" spans="1:25">
      <c r="A37" s="137" t="s">
        <v>1259</v>
      </c>
      <c r="B37" s="717">
        <f>Interim!DZ427-Interim!DZ164</f>
        <v>0.165929175536505</v>
      </c>
      <c r="C37" s="717">
        <f>Interim!EA427-Interim!EA164</f>
        <v>0.171156423456186</v>
      </c>
      <c r="D37" s="717">
        <f>Interim!EC427-Interim!EC164</f>
        <v>0.121406479651022</v>
      </c>
      <c r="E37" s="717">
        <f>Interim!EH427-Interim!EH164</f>
        <v>0.277020905872327</v>
      </c>
      <c r="F37" s="717">
        <f>Interim!EI427-Interim!EI164</f>
        <v>0.0928726168971184</v>
      </c>
      <c r="G37" s="717">
        <f>Interim!EK427-Interim!EK164</f>
        <v>0.0466272534435928</v>
      </c>
      <c r="H37" s="717">
        <f>Interim!EP427-Interim!EP164</f>
        <v>0.10179782879459</v>
      </c>
      <c r="I37" s="717">
        <f>Interim!EQ427-Interim!EQ164</f>
        <v>0.0249093945423536</v>
      </c>
      <c r="J37" s="717">
        <f>Interim!ES427-Interim!ES164</f>
        <v>0.00731071012039489</v>
      </c>
      <c r="K37" s="717">
        <f>Interim!EX427-Interim!EX164</f>
        <v>-0.237121413173682</v>
      </c>
      <c r="L37" s="717">
        <f>Interim!EY427-Interim!EY164</f>
        <v>-0.0614774197786317</v>
      </c>
      <c r="M37" s="717">
        <f>Interim!FA427-Interim!FA164</f>
        <v>-0.109275087598561</v>
      </c>
      <c r="N37" s="717">
        <f>Interim!FF427-Interim!FF164</f>
        <v>0.055694153723458</v>
      </c>
      <c r="O37" s="717">
        <f>Interim!FG427-Interim!FG164</f>
        <v>-0.000303598021316312</v>
      </c>
      <c r="P37" s="717">
        <f>Interim!FI427-Interim!FI164</f>
        <v>0.236176354741048</v>
      </c>
      <c r="Q37" s="717">
        <f>Interim!FN427-Interim!FN164</f>
        <v>0.465328968505475</v>
      </c>
      <c r="R37" s="717">
        <f>Interim!FO427-Interim!FO164</f>
        <v>0.844915437774409</v>
      </c>
      <c r="S37" s="717">
        <f>Interim!FQ427-Interim!FQ164</f>
        <v>0.149612348592012</v>
      </c>
      <c r="T37" s="717">
        <f>Interim!FV427-Interim!FV164</f>
        <v>0.321419494952521</v>
      </c>
      <c r="U37" s="717">
        <f>Interim!FW427-Interim!FW164</f>
        <v>0.275322634078018</v>
      </c>
      <c r="V37" s="717">
        <f>Interim!FY427-Interim!FY164</f>
        <v>0.486692294736626</v>
      </c>
      <c r="W37" s="717">
        <f>Interim!GD427-Interim!GD164</f>
        <v>0.254351536654367</v>
      </c>
      <c r="X37" s="717">
        <f>Interim!GE427-Interim!GE164</f>
        <v>0.233083897035993</v>
      </c>
      <c r="Y37" s="717">
        <f>Interim!GG427-Interim!GG164</f>
        <v>0.181595397440413</v>
      </c>
    </row>
  </sheetData>
  <pageMargins left="0.7" right="0.7" top="0.75" bottom="0.75" header="0.3" footer="0.3"/>
  <pageSetup paperSize="9" orientation="portrait"/>
  <headerFooter/>
  <customProperties>
    <customPr name="Qube.Worksheet.Visibility" r:id="rId2"/>
  </customPropertie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GO539"/>
  <sheetViews>
    <sheetView showGridLines="0" view="pageBreakPreview" zoomScale="70" zoomScaleNormal="100" workbookViewId="0">
      <pane xSplit="11" ySplit="2" topLeftCell="S209" activePane="bottomRight" state="frozen"/>
      <selection/>
      <selection pane="topRight"/>
      <selection pane="bottomLeft"/>
      <selection pane="bottomRight" activeCell="Y376" sqref="Y376"/>
    </sheetView>
  </sheetViews>
  <sheetFormatPr defaultColWidth="66.2857142857143" defaultRowHeight="15" customHeight="1"/>
  <cols>
    <col min="1" max="1" width="326.714285714286" style="340" customWidth="1"/>
    <col min="2" max="10" width="87.2857142857143" style="341" hidden="1" customWidth="1" outlineLevel="1"/>
    <col min="11" max="11" width="87.2857142857143" style="341" hidden="1" customWidth="1" outlineLevel="1" collapsed="1"/>
    <col min="12" max="12" width="87.2857142857143" style="342" hidden="1" customWidth="1" collapsed="1"/>
    <col min="13" max="16" width="87" style="342" hidden="1" customWidth="1"/>
    <col min="17" max="17" width="91" style="342" hidden="1" customWidth="1"/>
    <col min="18" max="18" width="95.7142857142857" style="342" hidden="1" customWidth="1"/>
    <col min="19" max="22" width="91" style="342" customWidth="1"/>
    <col min="23" max="23" width="91" style="343" customWidth="1"/>
    <col min="24" max="29" width="91" style="342" customWidth="1"/>
    <col min="30" max="30" width="114.285714285714" style="342" customWidth="1"/>
    <col min="31" max="33" width="91" style="342" customWidth="1"/>
    <col min="34" max="34" width="152.285714285714" style="342" customWidth="1"/>
    <col min="35" max="36" width="91" style="342" customWidth="1"/>
    <col min="37" max="37" width="162" style="344" customWidth="1"/>
    <col min="38" max="38" width="155" style="344" customWidth="1"/>
    <col min="39" max="39" width="126.714285714286" style="344" customWidth="1"/>
    <col min="40" max="40" width="101" style="345" customWidth="1"/>
    <col min="41" max="41" width="99.7142857142857" style="340" customWidth="1"/>
    <col min="42" max="42" width="80.2857142857143" style="340" customWidth="1"/>
    <col min="43" max="43" width="66.2857142857143" style="340"/>
    <col min="44" max="44" width="77.7142857142857" style="340" customWidth="1"/>
    <col min="45" max="45" width="91.7142857142857" style="340" customWidth="1"/>
    <col min="46" max="53" width="81.7142857142857" style="340" customWidth="1"/>
    <col min="54" max="16384" width="66.2857142857143" style="340"/>
  </cols>
  <sheetData>
    <row r="1" customHeight="1" spans="1:56">
      <c r="A1" s="346">
        <f ca="1">TODAY()</f>
        <v>46294</v>
      </c>
      <c r="B1" s="347" t="s">
        <v>14</v>
      </c>
      <c r="C1" s="347" t="s">
        <v>15</v>
      </c>
      <c r="D1" s="347" t="s">
        <v>16</v>
      </c>
      <c r="E1" s="347" t="s">
        <v>17</v>
      </c>
      <c r="F1" s="347" t="s">
        <v>18</v>
      </c>
      <c r="G1" s="347" t="s">
        <v>19</v>
      </c>
      <c r="H1" s="347" t="s">
        <v>20</v>
      </c>
      <c r="I1" s="347" t="s">
        <v>21</v>
      </c>
      <c r="J1" s="347" t="s">
        <v>22</v>
      </c>
      <c r="K1" s="347" t="s">
        <v>23</v>
      </c>
      <c r="L1" s="348" t="s">
        <v>24</v>
      </c>
      <c r="M1" s="348" t="s">
        <v>25</v>
      </c>
      <c r="N1" s="348" t="s">
        <v>26</v>
      </c>
      <c r="O1" s="348" t="s">
        <v>27</v>
      </c>
      <c r="P1" s="348" t="s">
        <v>28</v>
      </c>
      <c r="Q1" s="348" t="s">
        <v>29</v>
      </c>
      <c r="R1" s="348" t="s">
        <v>30</v>
      </c>
      <c r="S1" s="348" t="s">
        <v>31</v>
      </c>
      <c r="T1" s="348" t="s">
        <v>32</v>
      </c>
      <c r="U1" s="348" t="s">
        <v>33</v>
      </c>
      <c r="V1" s="348" t="s">
        <v>34</v>
      </c>
      <c r="W1" s="349" t="s">
        <v>35</v>
      </c>
      <c r="X1" s="348" t="s">
        <v>53</v>
      </c>
      <c r="Y1" s="348" t="s">
        <v>54</v>
      </c>
      <c r="Z1" s="348" t="s">
        <v>55</v>
      </c>
      <c r="AA1" s="348" t="s">
        <v>1260</v>
      </c>
      <c r="AB1" s="348" t="s">
        <v>1261</v>
      </c>
      <c r="AC1" s="348"/>
      <c r="AD1" s="350"/>
      <c r="AE1" s="350"/>
      <c r="AF1" s="350"/>
      <c r="AG1" s="350"/>
      <c r="AH1" s="350"/>
      <c r="AI1" s="350"/>
      <c r="AJ1" s="350"/>
      <c r="AK1" s="350"/>
      <c r="AL1" s="350"/>
    </row>
    <row r="2" customHeight="1" spans="1:56">
      <c r="A2" s="351" t="s">
        <v>50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52" t="s">
        <v>51</v>
      </c>
      <c r="M2" s="352" t="s">
        <v>51</v>
      </c>
      <c r="N2" s="352" t="s">
        <v>51</v>
      </c>
      <c r="O2" s="352" t="s">
        <v>51</v>
      </c>
      <c r="P2" s="352" t="s">
        <v>51</v>
      </c>
      <c r="Q2" s="352" t="s">
        <v>51</v>
      </c>
      <c r="R2" s="352" t="s">
        <v>51</v>
      </c>
      <c r="S2" s="352" t="s">
        <v>51</v>
      </c>
      <c r="T2" s="352" t="s">
        <v>51</v>
      </c>
      <c r="U2" s="352" t="s">
        <v>51</v>
      </c>
      <c r="V2" s="352" t="s">
        <v>51</v>
      </c>
      <c r="W2" s="353" t="s">
        <v>51</v>
      </c>
      <c r="X2" s="352" t="s">
        <v>51</v>
      </c>
      <c r="Y2" s="352" t="s">
        <v>51</v>
      </c>
      <c r="Z2" s="352" t="s">
        <v>51</v>
      </c>
      <c r="AA2" s="352" t="s">
        <v>51</v>
      </c>
      <c r="AB2" s="352" t="s">
        <v>51</v>
      </c>
      <c r="AC2" s="352"/>
      <c r="AD2" s="354"/>
      <c r="AE2" s="354"/>
      <c r="AF2" s="350"/>
      <c r="AG2" s="350"/>
      <c r="AH2" s="350"/>
      <c r="AI2" s="350"/>
      <c r="AJ2" s="350"/>
      <c r="AK2" s="350"/>
      <c r="AL2" s="350"/>
    </row>
    <row r="3" customHeight="1" spans="1:56">
      <c r="AK3" s="342"/>
      <c r="AL3" s="342"/>
      <c r="AM3" s="342"/>
      <c r="AN3" s="342"/>
      <c r="AT3" s="342"/>
      <c r="AU3" s="344"/>
      <c r="AV3" s="344"/>
      <c r="AW3" s="344"/>
      <c r="AX3" s="345"/>
    </row>
    <row r="4" customHeight="1" spans="1:56">
      <c r="A4" s="351" t="s">
        <v>52</v>
      </c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8"/>
      <c r="W4" s="349"/>
      <c r="X4" s="348"/>
      <c r="Y4" s="348"/>
      <c r="Z4" s="348"/>
      <c r="AA4" s="348"/>
      <c r="AB4" s="348"/>
      <c r="AC4" s="348"/>
      <c r="AI4" s="348" t="s">
        <v>31</v>
      </c>
      <c r="AJ4" s="348" t="s">
        <v>32</v>
      </c>
      <c r="AK4" s="348" t="s">
        <v>33</v>
      </c>
      <c r="AL4" s="348" t="s">
        <v>34</v>
      </c>
      <c r="AM4" s="349" t="s">
        <v>35</v>
      </c>
      <c r="AN4" s="348" t="s">
        <v>53</v>
      </c>
      <c r="AO4" s="348" t="s">
        <v>54</v>
      </c>
      <c r="AP4" s="348" t="s">
        <v>55</v>
      </c>
      <c r="AQ4" s="348" t="s">
        <v>1260</v>
      </c>
      <c r="AT4" s="342"/>
      <c r="AU4" s="344"/>
      <c r="AV4" s="344"/>
      <c r="AW4" s="344"/>
      <c r="AX4" s="345"/>
    </row>
    <row r="5" s="328" customFormat="1" customHeight="1" spans="1:56">
      <c r="A5" s="328" t="s">
        <v>60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6"/>
      <c r="M5" s="356">
        <f>M9*M$32</f>
        <v>8571.4</v>
      </c>
      <c r="N5" s="356">
        <f>N9*N32</f>
        <v>8548.17</v>
      </c>
      <c r="O5" s="356">
        <v>7758</v>
      </c>
      <c r="P5" s="356">
        <v>7164</v>
      </c>
      <c r="Q5" s="356">
        <v>8181</v>
      </c>
      <c r="R5" s="356">
        <v>8971</v>
      </c>
      <c r="S5" s="356">
        <f>+Interim!EO5</f>
        <v>9533</v>
      </c>
      <c r="T5" s="356">
        <f>Interim!EW5</f>
        <v>9100</v>
      </c>
      <c r="U5" s="356">
        <v>9376</v>
      </c>
      <c r="V5" s="356">
        <f t="shared" ref="V5:AB5" si="0">V32-V27-V10</f>
        <v>11227</v>
      </c>
      <c r="W5" s="357">
        <f t="shared" si="0"/>
        <v>12812</v>
      </c>
      <c r="X5" s="356">
        <f t="shared" si="0"/>
        <v>14617</v>
      </c>
      <c r="Y5" s="356">
        <f t="shared" si="0"/>
        <v>15036.6445731696</v>
      </c>
      <c r="Z5" s="356">
        <f t="shared" si="0"/>
        <v>15616.2065352906</v>
      </c>
      <c r="AA5" s="356">
        <f t="shared" si="0"/>
        <v>15945.5235361725</v>
      </c>
      <c r="AB5" s="356">
        <f t="shared" si="0"/>
        <v>16177.2479626674</v>
      </c>
      <c r="AC5" s="356"/>
      <c r="AE5" s="342"/>
      <c r="AF5" s="342"/>
      <c r="AG5" s="342"/>
      <c r="AH5" s="342" t="s">
        <v>60</v>
      </c>
      <c r="AI5" s="342">
        <f>S5</f>
        <v>9533</v>
      </c>
      <c r="AJ5" s="342">
        <f t="shared" ref="AJ5:AQ5" si="1">T5</f>
        <v>9100</v>
      </c>
      <c r="AK5" s="342">
        <f t="shared" si="1"/>
        <v>9376</v>
      </c>
      <c r="AL5" s="342">
        <f t="shared" si="1"/>
        <v>11227</v>
      </c>
      <c r="AM5" s="342">
        <f t="shared" si="1"/>
        <v>12812</v>
      </c>
      <c r="AN5" s="342">
        <f t="shared" si="1"/>
        <v>14617</v>
      </c>
      <c r="AO5" s="342">
        <f t="shared" si="1"/>
        <v>15036.6445731696</v>
      </c>
      <c r="AP5" s="342">
        <f t="shared" si="1"/>
        <v>15616.2065352906</v>
      </c>
      <c r="AQ5" s="342">
        <f t="shared" si="1"/>
        <v>15945.5235361725</v>
      </c>
      <c r="AT5" s="356"/>
      <c r="AU5" s="358"/>
      <c r="AV5" s="359"/>
      <c r="AW5" s="359"/>
      <c r="AX5" s="360"/>
    </row>
    <row r="6" customHeight="1" spans="1:56">
      <c r="A6" s="361" t="s">
        <v>61</v>
      </c>
      <c r="L6" s="362"/>
      <c r="M6" s="362"/>
      <c r="N6" s="362">
        <f>N5/M5-1</f>
        <v>-0.00271017570058563</v>
      </c>
      <c r="O6" s="362">
        <f>O5/N5-1</f>
        <v>-0.0924373286914041</v>
      </c>
      <c r="P6" s="362">
        <f>P5/O5-1</f>
        <v>-0.0765661252900232</v>
      </c>
      <c r="Q6" s="363">
        <f>Q5/P5-1</f>
        <v>0.141959798994975</v>
      </c>
      <c r="R6" s="363">
        <f>R5/Q5-1</f>
        <v>0.0965652120767633</v>
      </c>
      <c r="S6" s="363">
        <f>+S5/R5-1</f>
        <v>0.0626463047597816</v>
      </c>
      <c r="T6" s="363">
        <f t="shared" ref="T6:AB6" si="2">T5/S5-1</f>
        <v>-0.0454211685723277</v>
      </c>
      <c r="U6" s="363">
        <f t="shared" si="2"/>
        <v>0.0303296703296703</v>
      </c>
      <c r="V6" s="363">
        <f t="shared" si="2"/>
        <v>0.197418941979522</v>
      </c>
      <c r="W6" s="364">
        <f t="shared" si="2"/>
        <v>0.14117751848223</v>
      </c>
      <c r="X6" s="363">
        <f t="shared" si="2"/>
        <v>0.140883546674992</v>
      </c>
      <c r="Y6" s="363">
        <f t="shared" si="2"/>
        <v>0.0287093502886768</v>
      </c>
      <c r="Z6" s="363">
        <f t="shared" si="2"/>
        <v>0.0385433039466194</v>
      </c>
      <c r="AA6" s="363">
        <f t="shared" si="2"/>
        <v>0.0210881560856484</v>
      </c>
      <c r="AB6" s="363">
        <f t="shared" si="2"/>
        <v>0.0145322557750609</v>
      </c>
      <c r="AC6" s="363"/>
      <c r="AH6" s="342" t="s">
        <v>62</v>
      </c>
      <c r="AI6" s="342">
        <f>S10</f>
        <v>3373</v>
      </c>
      <c r="AJ6" s="342">
        <f t="shared" ref="AJ6:AQ6" si="3">T10</f>
        <v>3446</v>
      </c>
      <c r="AK6" s="342">
        <f t="shared" si="3"/>
        <v>3820.56519251861</v>
      </c>
      <c r="AL6" s="342">
        <f t="shared" si="3"/>
        <v>4221</v>
      </c>
      <c r="AM6" s="342">
        <f t="shared" si="3"/>
        <v>5003</v>
      </c>
      <c r="AN6" s="342">
        <f t="shared" si="3"/>
        <v>5860</v>
      </c>
      <c r="AO6" s="342">
        <f t="shared" si="3"/>
        <v>6709.10732360584</v>
      </c>
      <c r="AP6" s="342">
        <f t="shared" si="3"/>
        <v>7862.39522873761</v>
      </c>
      <c r="AQ6" s="342">
        <f t="shared" si="3"/>
        <v>9213.9320108017</v>
      </c>
      <c r="AT6" s="363"/>
      <c r="AU6" s="365"/>
      <c r="AV6" s="365"/>
      <c r="AW6" s="365"/>
      <c r="AX6" s="360"/>
    </row>
    <row r="7" customHeight="1" spans="1:56">
      <c r="A7" s="361" t="s">
        <v>63</v>
      </c>
      <c r="L7" s="362"/>
      <c r="M7" s="362"/>
      <c r="N7" s="362"/>
      <c r="O7" s="362"/>
      <c r="P7" s="362">
        <f>P6-P8</f>
        <v>0.0134338747099768</v>
      </c>
      <c r="Q7" s="363">
        <f>Q6-Q8</f>
        <v>0.0669597989949748</v>
      </c>
      <c r="R7" s="363">
        <f>R6-R8</f>
        <v>-0.0134347879232367</v>
      </c>
      <c r="S7" s="363">
        <f>+S6-S8</f>
        <v>0.0417392656536364</v>
      </c>
      <c r="T7" s="363">
        <f t="shared" ref="T7:AB7" si="4">T6-T8</f>
        <v>-0.0492242735759992</v>
      </c>
      <c r="U7" s="363">
        <f t="shared" si="4"/>
        <v>-0.0296703296703297</v>
      </c>
      <c r="V7" s="363">
        <f t="shared" si="4"/>
        <v>0.0890495765882298</v>
      </c>
      <c r="W7" s="364">
        <f t="shared" si="4"/>
        <v>-0.0446917253050681</v>
      </c>
      <c r="X7" s="363">
        <f t="shared" si="4"/>
        <v>-0.0364447393068997</v>
      </c>
      <c r="Y7" s="363">
        <f t="shared" si="4"/>
        <v>-0.0289285200692343</v>
      </c>
      <c r="Z7" s="363">
        <f t="shared" si="4"/>
        <v>1.80411241501588e-16</v>
      </c>
      <c r="AA7" s="363">
        <f t="shared" si="4"/>
        <v>0</v>
      </c>
      <c r="AB7" s="363">
        <f t="shared" si="4"/>
        <v>1.43982048506075e-16</v>
      </c>
      <c r="AC7" s="363"/>
      <c r="AH7" s="342" t="s">
        <v>64</v>
      </c>
      <c r="AI7" s="342">
        <f>S27</f>
        <v>1977</v>
      </c>
      <c r="AJ7" s="342">
        <f t="shared" ref="AJ7:AQ7" si="5">T27</f>
        <v>1659</v>
      </c>
      <c r="AK7" s="342">
        <f t="shared" si="5"/>
        <v>1358</v>
      </c>
      <c r="AL7" s="342">
        <f t="shared" si="5"/>
        <v>1467</v>
      </c>
      <c r="AM7" s="342">
        <f t="shared" si="5"/>
        <v>1475</v>
      </c>
      <c r="AN7" s="342">
        <f t="shared" si="5"/>
        <v>741</v>
      </c>
      <c r="AO7" s="342">
        <f t="shared" si="5"/>
        <v>753.103766984596</v>
      </c>
      <c r="AP7" s="342">
        <f t="shared" si="5"/>
        <v>790.758955333826</v>
      </c>
      <c r="AQ7" s="342">
        <f t="shared" si="5"/>
        <v>830.296903100517</v>
      </c>
      <c r="AT7" s="366"/>
      <c r="AU7" s="365"/>
      <c r="AV7" s="365"/>
      <c r="AW7" s="365"/>
      <c r="AX7" s="360"/>
      <c r="AY7" s="334"/>
      <c r="AZ7" s="334"/>
      <c r="BA7" s="334"/>
      <c r="BB7" s="334"/>
      <c r="BC7" s="334"/>
      <c r="BD7" s="334"/>
    </row>
    <row r="8" customHeight="1" spans="1:56">
      <c r="A8" s="361" t="s">
        <v>65</v>
      </c>
      <c r="L8" s="362"/>
      <c r="M8" s="362"/>
      <c r="N8" s="362"/>
      <c r="O8" s="362"/>
      <c r="P8" s="362">
        <v>-0.09</v>
      </c>
      <c r="Q8" s="363">
        <v>0.075</v>
      </c>
      <c r="R8" s="363">
        <f>Interim!EG8</f>
        <v>0.11</v>
      </c>
      <c r="S8" s="363">
        <f>+Interim!EO8</f>
        <v>0.0209070391061453</v>
      </c>
      <c r="T8" s="363">
        <f>Interim!EW8</f>
        <v>0.00380310500367146</v>
      </c>
      <c r="U8" s="363">
        <v>0.06</v>
      </c>
      <c r="V8" s="363">
        <f t="shared" ref="V8:AB8" si="6">(U32*V35-U27*V30-U10*V13)/U5</f>
        <v>0.108369365391292</v>
      </c>
      <c r="W8" s="364">
        <f t="shared" si="6"/>
        <v>0.185869243787298</v>
      </c>
      <c r="X8" s="363">
        <f t="shared" si="6"/>
        <v>0.177328285981892</v>
      </c>
      <c r="Y8" s="363">
        <f t="shared" si="6"/>
        <v>0.0576378703579111</v>
      </c>
      <c r="Z8" s="363">
        <f t="shared" si="6"/>
        <v>0.0385433039466192</v>
      </c>
      <c r="AA8" s="363">
        <f t="shared" si="6"/>
        <v>0.0210881560856484</v>
      </c>
      <c r="AB8" s="363">
        <f t="shared" si="6"/>
        <v>0.0145322557750608</v>
      </c>
      <c r="AC8" s="363"/>
      <c r="AD8" s="367"/>
      <c r="AK8" s="342"/>
      <c r="AL8" s="342"/>
      <c r="AM8" s="342"/>
      <c r="AN8" s="342"/>
      <c r="AT8" s="366"/>
      <c r="AU8" s="344"/>
      <c r="AV8" s="365"/>
      <c r="AW8" s="365"/>
      <c r="AX8" s="360"/>
      <c r="AY8" s="334"/>
      <c r="AZ8" s="334"/>
      <c r="BA8" s="334"/>
      <c r="BB8" s="334"/>
      <c r="BC8" s="334"/>
      <c r="BD8" s="334"/>
    </row>
    <row r="9" customHeight="1" spans="1:56">
      <c r="A9" s="361" t="s">
        <v>66</v>
      </c>
      <c r="L9" s="362"/>
      <c r="M9" s="362">
        <v>0.85</v>
      </c>
      <c r="N9" s="362">
        <v>0.83</v>
      </c>
      <c r="O9" s="362">
        <f t="shared" ref="O9:AB9" si="7">O5/O32</f>
        <v>0.719599295056117</v>
      </c>
      <c r="P9" s="362">
        <f t="shared" si="7"/>
        <v>0.691305606484609</v>
      </c>
      <c r="Q9" s="362">
        <f t="shared" si="7"/>
        <v>0.68231859883236</v>
      </c>
      <c r="R9" s="362">
        <f t="shared" si="7"/>
        <v>0.673346843803948</v>
      </c>
      <c r="S9" s="362">
        <f t="shared" si="7"/>
        <v>0.640529463145871</v>
      </c>
      <c r="T9" s="362">
        <f t="shared" si="7"/>
        <v>0.640619500175994</v>
      </c>
      <c r="U9" s="362">
        <f t="shared" si="7"/>
        <v>0.645108022567772</v>
      </c>
      <c r="V9" s="362">
        <f t="shared" si="7"/>
        <v>0.663730416789831</v>
      </c>
      <c r="W9" s="368">
        <f t="shared" si="7"/>
        <v>0.664178330741317</v>
      </c>
      <c r="X9" s="362">
        <f t="shared" si="7"/>
        <v>0.688896220190404</v>
      </c>
      <c r="Y9" s="362">
        <f t="shared" si="7"/>
        <v>0.668329305182833</v>
      </c>
      <c r="Z9" s="362">
        <f t="shared" si="7"/>
        <v>0.64345355923743</v>
      </c>
      <c r="AA9" s="362">
        <f t="shared" si="7"/>
        <v>0.613531181830347</v>
      </c>
      <c r="AB9" s="362">
        <f t="shared" si="7"/>
        <v>0.580936242252869</v>
      </c>
      <c r="AC9" s="362"/>
      <c r="AD9" s="369"/>
      <c r="AK9" s="342"/>
      <c r="AL9" s="342"/>
      <c r="AM9" s="342"/>
      <c r="AN9" s="342"/>
      <c r="AT9" s="366"/>
      <c r="AU9" s="344"/>
      <c r="AV9" s="365"/>
      <c r="AW9" s="365"/>
      <c r="AX9" s="360"/>
      <c r="AY9" s="334"/>
      <c r="AZ9" s="334"/>
      <c r="BA9" s="334"/>
      <c r="BB9" s="334"/>
      <c r="BC9" s="334"/>
      <c r="BD9" s="334"/>
    </row>
    <row r="10" s="328" customFormat="1" customHeight="1" spans="1:56">
      <c r="A10" s="328" t="s">
        <v>62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6"/>
      <c r="M10" s="356">
        <f>M32-M5-M27</f>
        <v>656.6</v>
      </c>
      <c r="N10" s="356">
        <f>N32-N5-N27</f>
        <v>946.83</v>
      </c>
      <c r="O10" s="356">
        <v>1738</v>
      </c>
      <c r="P10" s="356">
        <v>1906</v>
      </c>
      <c r="Q10" s="356">
        <v>2389</v>
      </c>
      <c r="R10" s="356">
        <v>2793</v>
      </c>
      <c r="S10" s="356">
        <f>+Interim!EO10</f>
        <v>3373</v>
      </c>
      <c r="T10" s="356">
        <f>Interim!EW10</f>
        <v>3446</v>
      </c>
      <c r="U10" s="356">
        <f>Interim!FE10</f>
        <v>3820.56519251861</v>
      </c>
      <c r="V10" s="356">
        <f>Interim!FM10</f>
        <v>4221</v>
      </c>
      <c r="W10" s="370">
        <f>Interim!FU10</f>
        <v>5003</v>
      </c>
      <c r="X10" s="356">
        <f>Interim!GC10</f>
        <v>5860</v>
      </c>
      <c r="Y10" s="356">
        <f>X10*(1+Y11)</f>
        <v>6709.10732360584</v>
      </c>
      <c r="Z10" s="356">
        <f>Y10*(1+Z11)</f>
        <v>7862.39522873761</v>
      </c>
      <c r="AA10" s="356">
        <f>Z10*(1+AA11)</f>
        <v>9213.9320108017</v>
      </c>
      <c r="AB10" s="356">
        <f>AA10*(1+AB11)</f>
        <v>10797.7964258746</v>
      </c>
      <c r="AC10" s="356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0"/>
      <c r="AP10" s="340"/>
      <c r="AQ10" s="340"/>
      <c r="AR10" s="340"/>
      <c r="AS10" s="340"/>
      <c r="AT10" s="366"/>
      <c r="AU10" s="344"/>
      <c r="AV10" s="365"/>
      <c r="AW10" s="365"/>
      <c r="AX10" s="360"/>
      <c r="AY10" s="334"/>
      <c r="AZ10" s="334"/>
      <c r="BA10" s="334"/>
      <c r="BB10" s="334"/>
      <c r="BC10" s="334"/>
      <c r="BD10" s="334"/>
    </row>
    <row r="11" customHeight="1" spans="1:56">
      <c r="A11" s="361" t="s">
        <v>61</v>
      </c>
      <c r="L11" s="362"/>
      <c r="M11" s="362"/>
      <c r="N11" s="362">
        <f>N10/M10-1</f>
        <v>0.442019494364909</v>
      </c>
      <c r="O11" s="362">
        <f>O10/N10-1</f>
        <v>0.835598787533137</v>
      </c>
      <c r="P11" s="362">
        <f>P10/O10-1</f>
        <v>0.0966628308400461</v>
      </c>
      <c r="Q11" s="363">
        <f>Q10/P10-1</f>
        <v>0.253410283315845</v>
      </c>
      <c r="R11" s="363">
        <f>+R10/Q10-1</f>
        <v>0.16910841356216</v>
      </c>
      <c r="S11" s="363">
        <f>+S10/R10-1</f>
        <v>0.20766201217329</v>
      </c>
      <c r="T11" s="363">
        <f>T10/S10-1</f>
        <v>0.0216424547880225</v>
      </c>
      <c r="U11" s="363">
        <f>U10/T10-1</f>
        <v>0.108695644956068</v>
      </c>
      <c r="V11" s="363">
        <f>V10/U10-1</f>
        <v>0.104810358494999</v>
      </c>
      <c r="W11" s="364">
        <f>W10/V10-1</f>
        <v>0.185264155413409</v>
      </c>
      <c r="X11" s="363">
        <f>X12+X13</f>
        <v>0.15189886068359</v>
      </c>
      <c r="Y11" s="363">
        <f>Y12+Y13</f>
        <v>0.14489886068359</v>
      </c>
      <c r="Z11" s="363">
        <f>Z12+Z13</f>
        <v>0.17189886068359</v>
      </c>
      <c r="AA11" s="363">
        <f>AA12+AA13</f>
        <v>0.17189886068359</v>
      </c>
      <c r="AB11" s="363">
        <f>AB12+AB13</f>
        <v>0.17189886068359</v>
      </c>
      <c r="AC11" s="363"/>
      <c r="AD11" s="371"/>
      <c r="AK11" s="342"/>
      <c r="AL11" s="342"/>
      <c r="AM11" s="342"/>
      <c r="AN11" s="342"/>
      <c r="AT11" s="366"/>
      <c r="AU11" s="344"/>
      <c r="AV11" s="365"/>
      <c r="AW11" s="365"/>
      <c r="AX11" s="360"/>
      <c r="AY11" s="334"/>
      <c r="AZ11" s="334"/>
      <c r="BA11" s="334"/>
      <c r="BB11" s="334"/>
      <c r="BC11" s="334"/>
      <c r="BD11" s="334"/>
    </row>
    <row r="12" customHeight="1" spans="1:56">
      <c r="A12" s="361" t="s">
        <v>63</v>
      </c>
      <c r="L12" s="362"/>
      <c r="M12" s="362"/>
      <c r="N12" s="362"/>
      <c r="O12" s="362"/>
      <c r="P12" s="362">
        <f>P11-P13</f>
        <v>0.0266628308400461</v>
      </c>
      <c r="Q12" s="363">
        <f>Q11-Q13</f>
        <v>0.0754102833158447</v>
      </c>
      <c r="R12" s="363">
        <f>+R11-R13</f>
        <v>-0.0308915864378401</v>
      </c>
      <c r="S12" s="363">
        <f>+S11-S13</f>
        <v>0.0701543143573219</v>
      </c>
      <c r="T12" s="363">
        <f>T11-T13</f>
        <v>-0.0595040023717759</v>
      </c>
      <c r="U12" s="363">
        <f>U11-U13</f>
        <v>-0.100304355043932</v>
      </c>
      <c r="V12" s="363">
        <f>V11-V13</f>
        <v>-0.00518964150500113</v>
      </c>
      <c r="W12" s="364">
        <f>W11-W13</f>
        <v>-0.0447358445865909</v>
      </c>
      <c r="X12" s="363">
        <f>X$34</f>
        <v>-0.02</v>
      </c>
      <c r="Y12" s="363">
        <f>Y$34</f>
        <v>-0.027</v>
      </c>
      <c r="Z12" s="363">
        <f>Z$34</f>
        <v>0</v>
      </c>
      <c r="AA12" s="363">
        <f>AA$34</f>
        <v>0</v>
      </c>
      <c r="AB12" s="363">
        <f>AB$34</f>
        <v>0</v>
      </c>
      <c r="AC12" s="363"/>
      <c r="AD12" s="371"/>
      <c r="AK12" s="342"/>
      <c r="AL12" s="342"/>
      <c r="AM12" s="342"/>
      <c r="AN12" s="342"/>
      <c r="AT12" s="366"/>
      <c r="AU12" s="344"/>
      <c r="AV12" s="365"/>
      <c r="AW12" s="365"/>
      <c r="AX12" s="360"/>
      <c r="AY12" s="334"/>
      <c r="AZ12" s="334"/>
      <c r="BA12" s="334"/>
      <c r="BB12" s="334"/>
      <c r="BC12" s="334"/>
      <c r="BD12" s="334"/>
    </row>
    <row r="13" customHeight="1" spans="1:56">
      <c r="A13" s="361" t="s">
        <v>65</v>
      </c>
      <c r="L13" s="362"/>
      <c r="M13" s="362"/>
      <c r="N13" s="362"/>
      <c r="O13" s="362"/>
      <c r="P13" s="362">
        <v>0.07</v>
      </c>
      <c r="Q13" s="363">
        <v>0.178</v>
      </c>
      <c r="R13" s="363">
        <f>Interim!EG13</f>
        <v>0.2</v>
      </c>
      <c r="S13" s="363">
        <f>+Interim!EO13</f>
        <v>0.137507697815968</v>
      </c>
      <c r="T13" s="363">
        <f>Interim!EW13</f>
        <v>0.0811464571597984</v>
      </c>
      <c r="U13" s="363">
        <v>0.209</v>
      </c>
      <c r="V13" s="363">
        <f>Interim!FM13</f>
        <v>0.11</v>
      </c>
      <c r="W13" s="364">
        <f>Interim!FU13</f>
        <v>0.23</v>
      </c>
      <c r="X13" s="363">
        <f>Interim!GC13</f>
        <v>0.17189886068359</v>
      </c>
      <c r="Y13" s="363">
        <f>X13</f>
        <v>0.17189886068359</v>
      </c>
      <c r="Z13" s="363">
        <f>Y13</f>
        <v>0.17189886068359</v>
      </c>
      <c r="AA13" s="363">
        <f>Z13</f>
        <v>0.17189886068359</v>
      </c>
      <c r="AB13" s="363">
        <f>AA13</f>
        <v>0.17189886068359</v>
      </c>
      <c r="AC13" s="363"/>
      <c r="AD13" s="367"/>
      <c r="AE13" s="362"/>
      <c r="AK13" s="342"/>
      <c r="AL13" s="342"/>
      <c r="AM13" s="342"/>
      <c r="AN13" s="342"/>
      <c r="AT13" s="366"/>
      <c r="AU13" s="344"/>
      <c r="AV13" s="365"/>
      <c r="AW13" s="365"/>
      <c r="AX13" s="360"/>
      <c r="AY13" s="334"/>
      <c r="AZ13" s="334"/>
      <c r="BA13" s="334"/>
      <c r="BB13" s="334"/>
      <c r="BC13" s="334"/>
      <c r="BD13" s="334"/>
    </row>
    <row r="14" customHeight="1" spans="1:56">
      <c r="A14" s="361" t="s">
        <v>66</v>
      </c>
      <c r="K14" s="341"/>
      <c r="L14" s="362"/>
      <c r="M14" s="362">
        <f>M10/M$32</f>
        <v>0.0651130503768346</v>
      </c>
      <c r="N14" s="362">
        <f>N10/$N$32</f>
        <v>0.0919341683658607</v>
      </c>
      <c r="O14" s="362">
        <f t="shared" ref="O14:AB14" si="8">O10/O32</f>
        <v>0.161209535293572</v>
      </c>
      <c r="P14" s="362">
        <f t="shared" si="8"/>
        <v>0.183923574254559</v>
      </c>
      <c r="Q14" s="362">
        <f t="shared" si="8"/>
        <v>0.199249374478732</v>
      </c>
      <c r="R14" s="362">
        <f t="shared" si="8"/>
        <v>0.209637469038505</v>
      </c>
      <c r="S14" s="362">
        <f t="shared" si="8"/>
        <v>0.226634415104482</v>
      </c>
      <c r="T14" s="362">
        <f t="shared" si="8"/>
        <v>0.242590637099613</v>
      </c>
      <c r="U14" s="362">
        <f t="shared" si="8"/>
        <v>0.262870867794042</v>
      </c>
      <c r="V14" s="362">
        <f t="shared" si="8"/>
        <v>0.249541826780964</v>
      </c>
      <c r="W14" s="368">
        <f t="shared" si="8"/>
        <v>0.259357179885951</v>
      </c>
      <c r="X14" s="362">
        <f t="shared" si="8"/>
        <v>0.27618060137619</v>
      </c>
      <c r="Y14" s="362">
        <f t="shared" si="8"/>
        <v>0.298197713869178</v>
      </c>
      <c r="Z14" s="362">
        <f t="shared" si="8"/>
        <v>0.323963837352544</v>
      </c>
      <c r="AA14" s="362">
        <f t="shared" si="8"/>
        <v>0.354521730382054</v>
      </c>
      <c r="AB14" s="362">
        <f t="shared" si="8"/>
        <v>0.387756390625587</v>
      </c>
      <c r="AC14" s="362"/>
      <c r="AD14" s="372"/>
      <c r="AK14" s="342"/>
      <c r="AL14" s="342"/>
      <c r="AM14" s="342"/>
      <c r="AN14" s="342"/>
      <c r="AT14" s="366"/>
      <c r="AU14" s="344"/>
      <c r="AV14" s="365"/>
      <c r="AW14" s="365"/>
      <c r="AX14" s="360"/>
      <c r="AY14" s="334"/>
      <c r="AZ14" s="334"/>
      <c r="BA14" s="334"/>
      <c r="BB14" s="334"/>
      <c r="BC14" s="334"/>
      <c r="BD14" s="334"/>
    </row>
    <row r="15" hidden="1" customHeight="1" outlineLevel="1" spans="1:56">
      <c r="A15" s="373" t="s">
        <v>67</v>
      </c>
      <c r="L15" s="374"/>
      <c r="M15" s="374"/>
      <c r="N15" s="374"/>
      <c r="O15" s="374">
        <f t="shared" ref="O15:AB15" si="9">O10-O21</f>
        <v>1722.00313668502</v>
      </c>
      <c r="P15" s="374">
        <f t="shared" si="9"/>
        <v>1876.41420118343</v>
      </c>
      <c r="Q15" s="375">
        <f t="shared" si="9"/>
        <v>2334</v>
      </c>
      <c r="R15" s="375">
        <f t="shared" si="9"/>
        <v>2704</v>
      </c>
      <c r="S15" s="375">
        <f t="shared" si="9"/>
        <v>3215</v>
      </c>
      <c r="T15" s="375">
        <f t="shared" si="9"/>
        <v>3196</v>
      </c>
      <c r="U15" s="375">
        <f t="shared" si="9"/>
        <v>3398.56519251861</v>
      </c>
      <c r="V15" s="375">
        <f t="shared" si="9"/>
        <v>3593.24893896649</v>
      </c>
      <c r="W15" s="376">
        <f t="shared" si="9"/>
        <v>4002.48494055915</v>
      </c>
      <c r="X15" s="375">
        <f t="shared" si="9"/>
        <v>4377.73693943837</v>
      </c>
      <c r="Y15" s="375">
        <f t="shared" si="9"/>
        <v>4597.84593329489</v>
      </c>
      <c r="Z15" s="375">
        <f t="shared" si="9"/>
        <v>4941.15368418734</v>
      </c>
      <c r="AA15" s="375">
        <f t="shared" si="9"/>
        <v>5340.072503108</v>
      </c>
      <c r="AB15" s="375">
        <f t="shared" si="9"/>
        <v>5850.15993574808</v>
      </c>
      <c r="AC15" s="375"/>
      <c r="AK15" s="342"/>
      <c r="AL15" s="342"/>
      <c r="AM15" s="342"/>
      <c r="AN15" s="342"/>
      <c r="AT15" s="366"/>
      <c r="AU15" s="344"/>
      <c r="AV15" s="365"/>
      <c r="AW15" s="365"/>
      <c r="AX15" s="360"/>
      <c r="AY15" s="334"/>
      <c r="AZ15" s="334"/>
      <c r="BA15" s="334"/>
      <c r="BB15" s="334"/>
      <c r="BC15" s="334"/>
      <c r="BD15" s="334"/>
    </row>
    <row r="16" hidden="1" customHeight="1" outlineLevel="1" spans="1:56">
      <c r="A16" s="377" t="s">
        <v>61</v>
      </c>
      <c r="L16" s="378"/>
      <c r="M16" s="378"/>
      <c r="N16" s="378"/>
      <c r="O16" s="378"/>
      <c r="P16" s="378">
        <f t="shared" ref="P16:AB16" si="10">P15/O15-1</f>
        <v>0.0896694443865327</v>
      </c>
      <c r="Q16" s="379">
        <f t="shared" si="10"/>
        <v>0.243861828869113</v>
      </c>
      <c r="R16" s="379">
        <f t="shared" si="10"/>
        <v>0.158526135389889</v>
      </c>
      <c r="S16" s="379">
        <f t="shared" si="10"/>
        <v>0.188979289940828</v>
      </c>
      <c r="T16" s="379">
        <f t="shared" si="10"/>
        <v>-0.00590979782270606</v>
      </c>
      <c r="U16" s="379">
        <f t="shared" si="10"/>
        <v>0.0633808487229692</v>
      </c>
      <c r="V16" s="379">
        <f t="shared" si="10"/>
        <v>0.05728409944186</v>
      </c>
      <c r="W16" s="380">
        <f t="shared" si="10"/>
        <v>0.113890244885277</v>
      </c>
      <c r="X16" s="379">
        <f t="shared" si="10"/>
        <v>0.093754755970876</v>
      </c>
      <c r="Y16" s="379">
        <f t="shared" si="10"/>
        <v>0.0502791732124381</v>
      </c>
      <c r="Z16" s="379">
        <f t="shared" si="10"/>
        <v>0.0746670845159076</v>
      </c>
      <c r="AA16" s="379">
        <f t="shared" si="10"/>
        <v>0.080733942803132</v>
      </c>
      <c r="AB16" s="379">
        <f t="shared" si="10"/>
        <v>0.0955206942121471</v>
      </c>
      <c r="AC16" s="379"/>
      <c r="AK16" s="342"/>
      <c r="AL16" s="342"/>
      <c r="AM16" s="342"/>
      <c r="AN16" s="342"/>
      <c r="AT16" s="366"/>
      <c r="AU16" s="344"/>
      <c r="AV16" s="365"/>
      <c r="AW16" s="365"/>
      <c r="AX16" s="360"/>
      <c r="AY16" s="334"/>
      <c r="AZ16" s="334"/>
      <c r="BA16" s="334"/>
      <c r="BB16" s="334"/>
      <c r="BC16" s="334"/>
      <c r="BD16" s="334"/>
    </row>
    <row r="17" hidden="1" customHeight="1" outlineLevel="1" spans="1:149">
      <c r="A17" s="377" t="s">
        <v>63</v>
      </c>
      <c r="L17" s="378"/>
      <c r="M17" s="378"/>
      <c r="N17" s="378"/>
      <c r="O17" s="378"/>
      <c r="P17" s="378">
        <f t="shared" ref="P17:AB17" si="11">P16-P18</f>
        <v>0.0267296034886753</v>
      </c>
      <c r="Q17" s="379">
        <f t="shared" si="11"/>
        <v>0.0754889941998374</v>
      </c>
      <c r="R17" s="379">
        <f t="shared" si="11"/>
        <v>-0.0311759549696155</v>
      </c>
      <c r="S17" s="379">
        <f t="shared" si="11"/>
        <v>0.0707086265876025</v>
      </c>
      <c r="T17" s="379">
        <f t="shared" si="11"/>
        <v>-0.0595916018662519</v>
      </c>
      <c r="U17" s="379">
        <f t="shared" si="11"/>
        <v>-0.105647311477281</v>
      </c>
      <c r="V17" s="379">
        <f t="shared" si="11"/>
        <v>-0.0142231859596445</v>
      </c>
      <c r="W17" s="380">
        <f t="shared" si="11"/>
        <v>-0.0532167060077318</v>
      </c>
      <c r="X17" s="379">
        <f t="shared" si="11"/>
        <v>0.00424743664030933</v>
      </c>
      <c r="Y17" s="379">
        <f t="shared" si="11"/>
        <v>-0.027</v>
      </c>
      <c r="Z17" s="379">
        <f t="shared" si="11"/>
        <v>0</v>
      </c>
      <c r="AA17" s="379">
        <f t="shared" si="11"/>
        <v>0</v>
      </c>
      <c r="AB17" s="379">
        <f t="shared" si="11"/>
        <v>0</v>
      </c>
      <c r="AC17" s="379"/>
      <c r="AK17" s="342"/>
      <c r="AL17" s="342"/>
      <c r="AM17" s="342"/>
      <c r="AN17" s="342"/>
      <c r="AT17" s="366"/>
      <c r="AU17" s="344"/>
      <c r="AV17" s="365"/>
      <c r="AW17" s="365"/>
      <c r="AX17" s="360"/>
      <c r="AY17" s="334"/>
      <c r="AZ17" s="334"/>
      <c r="BA17" s="334"/>
      <c r="BB17" s="334"/>
      <c r="BC17" s="334"/>
      <c r="BD17" s="334"/>
    </row>
    <row r="18" hidden="1" customHeight="1" outlineLevel="1" spans="1:149">
      <c r="A18" s="377" t="s">
        <v>65</v>
      </c>
      <c r="L18" s="378"/>
      <c r="M18" s="378"/>
      <c r="N18" s="378"/>
      <c r="O18" s="378"/>
      <c r="P18" s="378">
        <f t="shared" ref="P18:AB18" si="12">(O10*P13-O21*P24)/O15</f>
        <v>0.0629398408978573</v>
      </c>
      <c r="Q18" s="379">
        <f t="shared" si="12"/>
        <v>0.168372834669276</v>
      </c>
      <c r="R18" s="379">
        <f t="shared" si="12"/>
        <v>0.189702090359504</v>
      </c>
      <c r="S18" s="379">
        <f t="shared" si="12"/>
        <v>0.118270663353226</v>
      </c>
      <c r="T18" s="379">
        <f t="shared" si="12"/>
        <v>0.0536818040435459</v>
      </c>
      <c r="U18" s="379">
        <f t="shared" si="12"/>
        <v>0.16902816020025</v>
      </c>
      <c r="V18" s="379">
        <f t="shared" si="12"/>
        <v>0.0715072854015044</v>
      </c>
      <c r="W18" s="380">
        <f t="shared" si="12"/>
        <v>0.167106950893009</v>
      </c>
      <c r="X18" s="379">
        <f t="shared" si="12"/>
        <v>0.0895073193305667</v>
      </c>
      <c r="Y18" s="379">
        <f t="shared" si="12"/>
        <v>0.0772791732124381</v>
      </c>
      <c r="Z18" s="379">
        <f t="shared" si="12"/>
        <v>0.0746670845159077</v>
      </c>
      <c r="AA18" s="379">
        <f t="shared" si="12"/>
        <v>0.080733942803132</v>
      </c>
      <c r="AB18" s="379">
        <f t="shared" si="12"/>
        <v>0.0955206942121472</v>
      </c>
      <c r="AC18" s="379"/>
      <c r="AK18" s="342"/>
      <c r="AL18" s="342"/>
      <c r="AM18" s="342"/>
      <c r="AN18" s="342"/>
      <c r="AT18" s="366"/>
      <c r="AU18" s="344"/>
      <c r="AV18" s="365"/>
      <c r="AW18" s="365"/>
      <c r="AX18" s="360"/>
      <c r="AY18" s="334"/>
      <c r="AZ18" s="334"/>
      <c r="BA18" s="334"/>
      <c r="BB18" s="334"/>
      <c r="BC18" s="334"/>
      <c r="BD18" s="334"/>
    </row>
    <row r="19" hidden="1" customHeight="1" outlineLevel="1" spans="1:149">
      <c r="A19" s="377" t="s">
        <v>66</v>
      </c>
      <c r="L19" s="378"/>
      <c r="M19" s="378"/>
      <c r="N19" s="378"/>
      <c r="O19" s="378"/>
      <c r="P19" s="378">
        <f t="shared" ref="P19:AB19" si="13">P15/P$32</f>
        <v>0.181068628889649</v>
      </c>
      <c r="Q19" s="379">
        <f t="shared" si="13"/>
        <v>0.19466221851543</v>
      </c>
      <c r="R19" s="379">
        <f t="shared" si="13"/>
        <v>0.202957291901223</v>
      </c>
      <c r="S19" s="379">
        <f t="shared" si="13"/>
        <v>0.216018275885238</v>
      </c>
      <c r="T19" s="379">
        <f t="shared" si="13"/>
        <v>0.224991200281591</v>
      </c>
      <c r="U19" s="379">
        <f t="shared" si="13"/>
        <v>0.233835502443829</v>
      </c>
      <c r="V19" s="379">
        <f t="shared" si="13"/>
        <v>0.212429733311646</v>
      </c>
      <c r="W19" s="380">
        <f t="shared" si="13"/>
        <v>0.207490147255529</v>
      </c>
      <c r="X19" s="379">
        <f t="shared" si="13"/>
        <v>0.206321846518917</v>
      </c>
      <c r="Y19" s="379">
        <f t="shared" si="13"/>
        <v>0.204359101725376</v>
      </c>
      <c r="Z19" s="379">
        <f t="shared" si="13"/>
        <v>0.203596367507336</v>
      </c>
      <c r="AA19" s="379">
        <f t="shared" si="13"/>
        <v>0.205468386563746</v>
      </c>
      <c r="AB19" s="379">
        <f t="shared" si="13"/>
        <v>0.210083318095558</v>
      </c>
      <c r="AC19" s="379"/>
      <c r="AK19" s="342"/>
      <c r="AL19" s="342"/>
      <c r="AM19" s="342"/>
      <c r="AN19" s="342"/>
      <c r="AT19" s="366"/>
      <c r="AU19" s="344"/>
      <c r="AV19" s="365"/>
      <c r="AW19" s="365"/>
      <c r="AX19" s="360"/>
      <c r="AY19" s="334"/>
      <c r="AZ19" s="334"/>
      <c r="BA19" s="334"/>
      <c r="BB19" s="334"/>
      <c r="BC19" s="334"/>
      <c r="BD19" s="334"/>
    </row>
    <row r="20" hidden="1" customHeight="1" outlineLevel="1" spans="1:149">
      <c r="A20" s="377" t="s">
        <v>68</v>
      </c>
      <c r="L20" s="378"/>
      <c r="M20" s="378"/>
      <c r="N20" s="378"/>
      <c r="O20" s="378"/>
      <c r="P20" s="378">
        <f t="shared" ref="P20:AB20" si="14">P15/P$10</f>
        <v>0.984477545216911</v>
      </c>
      <c r="Q20" s="379">
        <f t="shared" si="14"/>
        <v>0.97697781498535</v>
      </c>
      <c r="R20" s="379">
        <f t="shared" si="14"/>
        <v>0.968134622269961</v>
      </c>
      <c r="S20" s="379">
        <f t="shared" si="14"/>
        <v>0.953157426623184</v>
      </c>
      <c r="T20" s="379">
        <f t="shared" si="14"/>
        <v>0.927452118398143</v>
      </c>
      <c r="U20" s="379">
        <f t="shared" si="14"/>
        <v>0.889545138288346</v>
      </c>
      <c r="V20" s="379">
        <f t="shared" si="14"/>
        <v>0.851279066327053</v>
      </c>
      <c r="W20" s="380">
        <f t="shared" si="14"/>
        <v>0.800016977925074</v>
      </c>
      <c r="X20" s="379">
        <f t="shared" si="14"/>
        <v>0.747054085228391</v>
      </c>
      <c r="Y20" s="379">
        <f t="shared" si="14"/>
        <v>0.685314112820564</v>
      </c>
      <c r="Z20" s="379">
        <f t="shared" si="14"/>
        <v>0.628453994035694</v>
      </c>
      <c r="AA20" s="379">
        <f t="shared" si="14"/>
        <v>0.579564999703462</v>
      </c>
      <c r="AB20" s="379">
        <f t="shared" si="14"/>
        <v>0.541792019872633</v>
      </c>
      <c r="AC20" s="379"/>
      <c r="AK20" s="342"/>
      <c r="AL20" s="342"/>
      <c r="AM20" s="342"/>
      <c r="AN20" s="342"/>
      <c r="AT20" s="366"/>
      <c r="AU20" s="344"/>
      <c r="AV20" s="365"/>
      <c r="AW20" s="365"/>
      <c r="AX20" s="360"/>
      <c r="AY20" s="334"/>
      <c r="AZ20" s="334"/>
      <c r="BA20" s="334"/>
      <c r="BB20" s="334"/>
      <c r="BC20" s="334"/>
      <c r="BD20" s="334"/>
    </row>
    <row r="21" s="329" customFormat="1" hidden="1" customHeight="1" outlineLevel="1" spans="1:149">
      <c r="A21" s="373" t="s">
        <v>69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74"/>
      <c r="M21" s="374"/>
      <c r="N21" s="374"/>
      <c r="O21" s="374">
        <f>P21/(1+P22)</f>
        <v>15.9968633149802</v>
      </c>
      <c r="P21" s="374">
        <f>Q21/(1+Q22)</f>
        <v>29.585798816568</v>
      </c>
      <c r="Q21" s="375">
        <v>55</v>
      </c>
      <c r="R21" s="375">
        <v>89</v>
      </c>
      <c r="S21" s="375">
        <v>158</v>
      </c>
      <c r="T21" s="375">
        <v>250</v>
      </c>
      <c r="U21" s="375">
        <v>422</v>
      </c>
      <c r="V21" s="375">
        <f t="shared" ref="V21:AB21" si="15">U21*(1+V22)</f>
        <v>627.75106103351</v>
      </c>
      <c r="W21" s="376">
        <f t="shared" si="15"/>
        <v>1000.51505944085</v>
      </c>
      <c r="X21" s="375">
        <f t="shared" si="15"/>
        <v>1482.26306056163</v>
      </c>
      <c r="Y21" s="375">
        <f t="shared" si="15"/>
        <v>2111.26139031095</v>
      </c>
      <c r="Z21" s="375">
        <f t="shared" si="15"/>
        <v>2921.24154455027</v>
      </c>
      <c r="AA21" s="375">
        <f t="shared" si="15"/>
        <v>3873.8595076937</v>
      </c>
      <c r="AB21" s="375">
        <f t="shared" si="15"/>
        <v>4947.63649012649</v>
      </c>
      <c r="AC21" s="375"/>
      <c r="AD21" s="342"/>
      <c r="AE21" s="342"/>
      <c r="AF21" s="342"/>
      <c r="AG21" s="342"/>
      <c r="AH21" s="342"/>
      <c r="AI21" s="342"/>
      <c r="AJ21" s="342"/>
      <c r="AK21" s="342"/>
      <c r="AL21" s="342"/>
      <c r="AM21" s="342"/>
      <c r="AN21" s="342"/>
      <c r="AO21" s="340"/>
      <c r="AP21" s="340"/>
      <c r="AQ21" s="340"/>
      <c r="AR21" s="340"/>
      <c r="AS21" s="340"/>
      <c r="AT21" s="366"/>
      <c r="AU21" s="344"/>
      <c r="AV21" s="365"/>
      <c r="AW21" s="365"/>
      <c r="AX21" s="360"/>
      <c r="AY21" s="334"/>
      <c r="AZ21" s="334"/>
      <c r="BA21" s="334"/>
      <c r="BB21" s="334"/>
      <c r="BC21" s="334"/>
      <c r="BD21" s="334"/>
      <c r="BE21" s="340"/>
      <c r="BF21" s="340"/>
      <c r="BG21" s="340"/>
      <c r="BH21" s="340"/>
      <c r="BI21" s="340"/>
      <c r="BJ21" s="340"/>
      <c r="BK21" s="340"/>
      <c r="BL21" s="340"/>
      <c r="BM21" s="340"/>
      <c r="BN21" s="340"/>
      <c r="BO21" s="340"/>
      <c r="BP21" s="340"/>
      <c r="BQ21" s="340"/>
      <c r="BR21" s="340"/>
      <c r="BS21" s="340"/>
      <c r="BT21" s="340"/>
      <c r="BU21" s="340"/>
      <c r="BV21" s="340"/>
      <c r="BW21" s="340"/>
      <c r="BX21" s="340"/>
      <c r="BY21" s="340"/>
      <c r="BZ21" s="340"/>
      <c r="CA21" s="340"/>
      <c r="CB21" s="340"/>
      <c r="CC21" s="340"/>
      <c r="CD21" s="340"/>
      <c r="CE21" s="340"/>
      <c r="CF21" s="340"/>
      <c r="CG21" s="340"/>
      <c r="CH21" s="340"/>
      <c r="CI21" s="340"/>
      <c r="CJ21" s="340"/>
      <c r="CK21" s="340"/>
      <c r="CL21" s="340"/>
      <c r="CM21" s="340"/>
      <c r="CN21" s="340"/>
      <c r="CO21" s="340"/>
      <c r="CP21" s="340"/>
      <c r="CQ21" s="340"/>
      <c r="CR21" s="340"/>
      <c r="CS21" s="340"/>
      <c r="CT21" s="340"/>
      <c r="CU21" s="340"/>
      <c r="CV21" s="340"/>
      <c r="CW21" s="340"/>
      <c r="CX21" s="340"/>
      <c r="CY21" s="340"/>
      <c r="CZ21" s="340"/>
      <c r="DA21" s="340"/>
      <c r="DB21" s="340"/>
      <c r="DC21" s="340"/>
      <c r="DD21" s="340"/>
      <c r="DE21" s="340"/>
      <c r="DF21" s="340"/>
      <c r="DG21" s="340"/>
      <c r="DH21" s="340"/>
      <c r="DI21" s="340"/>
      <c r="DJ21" s="340"/>
      <c r="DK21" s="340"/>
      <c r="DL21" s="340"/>
      <c r="DM21" s="340"/>
      <c r="DN21" s="340"/>
      <c r="DO21" s="340"/>
      <c r="DP21" s="340"/>
      <c r="DQ21" s="340"/>
      <c r="DR21" s="340"/>
      <c r="DS21" s="340"/>
      <c r="DT21" s="340"/>
      <c r="DU21" s="340"/>
      <c r="DV21" s="340"/>
      <c r="DW21" s="340"/>
      <c r="DX21" s="340"/>
      <c r="DY21" s="340"/>
      <c r="DZ21" s="340"/>
      <c r="EA21" s="340"/>
      <c r="EB21" s="340"/>
      <c r="EC21" s="340"/>
      <c r="ED21" s="340"/>
      <c r="EE21" s="340"/>
      <c r="EF21" s="340"/>
      <c r="EG21" s="340"/>
      <c r="EH21" s="340"/>
      <c r="EI21" s="340"/>
      <c r="EJ21" s="340"/>
      <c r="EK21" s="340"/>
      <c r="EL21" s="340"/>
      <c r="EM21" s="340"/>
      <c r="EN21" s="340"/>
      <c r="EO21" s="340"/>
      <c r="EP21" s="340"/>
      <c r="EQ21" s="340"/>
      <c r="ER21" s="340"/>
      <c r="ES21" s="340"/>
    </row>
    <row r="22" s="330" customFormat="1" hidden="1" customHeight="1" outlineLevel="1" spans="1:149">
      <c r="A22" s="377" t="s">
        <v>61</v>
      </c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78"/>
      <c r="M22" s="378"/>
      <c r="N22" s="378"/>
      <c r="O22" s="378"/>
      <c r="P22" s="378">
        <f>P23+P24</f>
        <v>0.849475002318894</v>
      </c>
      <c r="Q22" s="379">
        <v>0.859</v>
      </c>
      <c r="R22" s="379">
        <f>R21/Q21-1</f>
        <v>0.618181818181818</v>
      </c>
      <c r="S22" s="379">
        <f>S21/R21-1</f>
        <v>0.775280898876404</v>
      </c>
      <c r="T22" s="379">
        <f>T21/S21-1</f>
        <v>0.582278481012658</v>
      </c>
      <c r="U22" s="379">
        <f>U21/T21-1</f>
        <v>0.688</v>
      </c>
      <c r="V22" s="379">
        <f t="shared" ref="V22:AB22" si="16">V23+V24</f>
        <v>0.487561756003578</v>
      </c>
      <c r="W22" s="380">
        <f t="shared" si="16"/>
        <v>0.593808631392255</v>
      </c>
      <c r="X22" s="379">
        <f t="shared" si="16"/>
        <v>0.4815</v>
      </c>
      <c r="Y22" s="379">
        <f t="shared" si="16"/>
        <v>0.42435</v>
      </c>
      <c r="Z22" s="379">
        <f t="shared" si="16"/>
        <v>0.3836475</v>
      </c>
      <c r="AA22" s="379">
        <f t="shared" si="16"/>
        <v>0.326100375</v>
      </c>
      <c r="AB22" s="379">
        <f t="shared" si="16"/>
        <v>0.27718531875</v>
      </c>
      <c r="AC22" s="379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  <c r="AO22" s="340"/>
      <c r="AP22" s="340"/>
      <c r="AQ22" s="340"/>
      <c r="AR22" s="340"/>
      <c r="AS22" s="340"/>
      <c r="AT22" s="366"/>
      <c r="AU22" s="344"/>
      <c r="AV22" s="365"/>
      <c r="AW22" s="365"/>
      <c r="AX22" s="360"/>
      <c r="AY22" s="334"/>
      <c r="AZ22" s="334"/>
      <c r="BA22" s="334"/>
      <c r="BB22" s="334"/>
      <c r="BC22" s="334"/>
      <c r="BD22" s="334"/>
      <c r="BE22" s="340"/>
      <c r="BF22" s="340"/>
      <c r="BG22" s="340"/>
      <c r="BH22" s="340"/>
      <c r="BI22" s="340"/>
      <c r="BJ22" s="340"/>
      <c r="BK22" s="340"/>
      <c r="BL22" s="340"/>
      <c r="BM22" s="340"/>
      <c r="BN22" s="340"/>
      <c r="BO22" s="340"/>
      <c r="BP22" s="340"/>
      <c r="BQ22" s="340"/>
      <c r="BR22" s="340"/>
      <c r="BS22" s="340"/>
      <c r="BT22" s="340"/>
      <c r="BU22" s="340"/>
      <c r="BV22" s="340"/>
      <c r="BW22" s="340"/>
      <c r="BX22" s="340"/>
      <c r="BY22" s="340"/>
      <c r="BZ22" s="340"/>
      <c r="CA22" s="340"/>
      <c r="CB22" s="340"/>
      <c r="CC22" s="340"/>
      <c r="CD22" s="340"/>
      <c r="CE22" s="340"/>
      <c r="CF22" s="340"/>
      <c r="CG22" s="340"/>
      <c r="CH22" s="340"/>
      <c r="CI22" s="340"/>
      <c r="CJ22" s="340"/>
      <c r="CK22" s="340"/>
      <c r="CL22" s="340"/>
      <c r="CM22" s="340"/>
      <c r="CN22" s="340"/>
      <c r="CO22" s="340"/>
      <c r="CP22" s="340"/>
      <c r="CQ22" s="340"/>
      <c r="CR22" s="340"/>
      <c r="CS22" s="340"/>
      <c r="CT22" s="340"/>
      <c r="CU22" s="340"/>
      <c r="CV22" s="340"/>
      <c r="CW22" s="340"/>
      <c r="CX22" s="340"/>
      <c r="CY22" s="340"/>
      <c r="CZ22" s="340"/>
      <c r="DA22" s="340"/>
      <c r="DB22" s="340"/>
      <c r="DC22" s="340"/>
      <c r="DD22" s="340"/>
      <c r="DE22" s="340"/>
      <c r="DF22" s="340"/>
      <c r="DG22" s="340"/>
      <c r="DH22" s="340"/>
      <c r="DI22" s="340"/>
      <c r="DJ22" s="340"/>
      <c r="DK22" s="340"/>
      <c r="DL22" s="340"/>
      <c r="DM22" s="340"/>
      <c r="DN22" s="340"/>
      <c r="DO22" s="340"/>
      <c r="DP22" s="340"/>
      <c r="DQ22" s="340"/>
      <c r="DR22" s="340"/>
      <c r="DS22" s="340"/>
      <c r="DT22" s="340"/>
      <c r="DU22" s="340"/>
      <c r="DV22" s="340"/>
      <c r="DW22" s="340"/>
      <c r="DX22" s="340"/>
      <c r="DY22" s="340"/>
      <c r="DZ22" s="340"/>
      <c r="EA22" s="340"/>
      <c r="EB22" s="340"/>
      <c r="EC22" s="340"/>
      <c r="ED22" s="340"/>
      <c r="EE22" s="340"/>
      <c r="EF22" s="340"/>
      <c r="EG22" s="340"/>
      <c r="EH22" s="340"/>
      <c r="EI22" s="340"/>
      <c r="EJ22" s="340"/>
      <c r="EK22" s="340"/>
      <c r="EL22" s="340"/>
      <c r="EM22" s="340"/>
      <c r="EN22" s="340"/>
      <c r="EO22" s="340"/>
      <c r="EP22" s="340"/>
      <c r="EQ22" s="340"/>
      <c r="ER22" s="340"/>
      <c r="ES22" s="340"/>
    </row>
    <row r="23" s="330" customFormat="1" hidden="1" customHeight="1" outlineLevel="1" spans="1:149">
      <c r="A23" s="377" t="s">
        <v>63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378"/>
      <c r="M23" s="378"/>
      <c r="N23" s="378"/>
      <c r="O23" s="378"/>
      <c r="P23" s="378">
        <f>P$34</f>
        <v>0.0194750023188944</v>
      </c>
      <c r="Q23" s="379">
        <f>Q$34</f>
        <v>0.0704182186625495</v>
      </c>
      <c r="R23" s="379">
        <f>R$34</f>
        <v>-0.0188240200166806</v>
      </c>
      <c r="S23" s="379">
        <f>S$34</f>
        <v>0.0533131877204833</v>
      </c>
      <c r="T23" s="379">
        <f>T22-T24</f>
        <v>-0.0577215189873418</v>
      </c>
      <c r="U23" s="379">
        <f>U22-U24</f>
        <v>-0.032</v>
      </c>
      <c r="V23" s="379">
        <f>V139</f>
        <v>0.0675617560035781</v>
      </c>
      <c r="W23" s="380">
        <f>W139+4.5%</f>
        <v>0.00380863139225542</v>
      </c>
      <c r="X23" s="379">
        <f>X$34</f>
        <v>-0.02</v>
      </c>
      <c r="Y23" s="379">
        <f>Y$34</f>
        <v>-0.027</v>
      </c>
      <c r="Z23" s="379">
        <f>Z$34</f>
        <v>0</v>
      </c>
      <c r="AA23" s="379">
        <f>AA$34</f>
        <v>0</v>
      </c>
      <c r="AB23" s="379">
        <f>AB$34</f>
        <v>0</v>
      </c>
      <c r="AC23" s="379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342"/>
      <c r="AO23" s="340"/>
      <c r="AP23" s="340"/>
      <c r="AQ23" s="340"/>
      <c r="AR23" s="340"/>
      <c r="AS23" s="340"/>
      <c r="AT23" s="366"/>
      <c r="AU23" s="344"/>
      <c r="AV23" s="365"/>
      <c r="AW23" s="365"/>
      <c r="AX23" s="360"/>
      <c r="AY23" s="334"/>
      <c r="AZ23" s="334"/>
      <c r="BA23" s="334"/>
      <c r="BB23" s="334"/>
      <c r="BC23" s="334"/>
      <c r="BD23" s="334"/>
      <c r="BE23" s="340"/>
      <c r="BF23" s="340"/>
      <c r="BG23" s="340"/>
      <c r="BH23" s="340"/>
      <c r="BI23" s="340"/>
      <c r="BJ23" s="340"/>
      <c r="BK23" s="340"/>
      <c r="BL23" s="340"/>
      <c r="BM23" s="340"/>
      <c r="BN23" s="340"/>
      <c r="BO23" s="340"/>
      <c r="BP23" s="340"/>
      <c r="BQ23" s="340"/>
      <c r="BR23" s="340"/>
      <c r="BS23" s="340"/>
      <c r="BT23" s="340"/>
      <c r="BU23" s="340"/>
      <c r="BV23" s="340"/>
      <c r="BW23" s="340"/>
      <c r="BX23" s="340"/>
      <c r="BY23" s="340"/>
      <c r="BZ23" s="340"/>
      <c r="CA23" s="340"/>
      <c r="CB23" s="340"/>
      <c r="CC23" s="340"/>
      <c r="CD23" s="340"/>
      <c r="CE23" s="340"/>
      <c r="CF23" s="340"/>
      <c r="CG23" s="340"/>
      <c r="CH23" s="340"/>
      <c r="CI23" s="340"/>
      <c r="CJ23" s="340"/>
      <c r="CK23" s="340"/>
      <c r="CL23" s="340"/>
      <c r="CM23" s="340"/>
      <c r="CN23" s="340"/>
      <c r="CO23" s="340"/>
      <c r="CP23" s="340"/>
      <c r="CQ23" s="340"/>
      <c r="CR23" s="340"/>
      <c r="CS23" s="340"/>
      <c r="CT23" s="340"/>
      <c r="CU23" s="340"/>
      <c r="CV23" s="340"/>
      <c r="CW23" s="340"/>
      <c r="CX23" s="340"/>
      <c r="CY23" s="340"/>
      <c r="CZ23" s="340"/>
      <c r="DA23" s="340"/>
      <c r="DB23" s="340"/>
      <c r="DC23" s="340"/>
      <c r="DD23" s="340"/>
      <c r="DE23" s="340"/>
      <c r="DF23" s="340"/>
      <c r="DG23" s="340"/>
      <c r="DH23" s="340"/>
      <c r="DI23" s="340"/>
      <c r="DJ23" s="340"/>
      <c r="DK23" s="340"/>
      <c r="DL23" s="340"/>
      <c r="DM23" s="340"/>
      <c r="DN23" s="340"/>
      <c r="DO23" s="340"/>
      <c r="DP23" s="340"/>
      <c r="DQ23" s="340"/>
      <c r="DR23" s="340"/>
      <c r="DS23" s="340"/>
      <c r="DT23" s="340"/>
      <c r="DU23" s="340"/>
      <c r="DV23" s="340"/>
      <c r="DW23" s="340"/>
      <c r="DX23" s="340"/>
      <c r="DY23" s="340"/>
      <c r="DZ23" s="340"/>
      <c r="EA23" s="340"/>
      <c r="EB23" s="340"/>
      <c r="EC23" s="340"/>
      <c r="ED23" s="340"/>
      <c r="EE23" s="340"/>
      <c r="EF23" s="340"/>
      <c r="EG23" s="340"/>
      <c r="EH23" s="340"/>
      <c r="EI23" s="340"/>
      <c r="EJ23" s="340"/>
      <c r="EK23" s="340"/>
      <c r="EL23" s="340"/>
      <c r="EM23" s="340"/>
      <c r="EN23" s="340"/>
      <c r="EO23" s="340"/>
      <c r="EP23" s="340"/>
      <c r="EQ23" s="340"/>
      <c r="ER23" s="340"/>
      <c r="ES23" s="340"/>
    </row>
    <row r="24" s="330" customFormat="1" hidden="1" customHeight="1" outlineLevel="1" spans="1:149">
      <c r="A24" s="377" t="s">
        <v>65</v>
      </c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378"/>
      <c r="M24" s="378"/>
      <c r="N24" s="378"/>
      <c r="O24" s="378"/>
      <c r="P24" s="378">
        <v>0.83</v>
      </c>
      <c r="Q24" s="379">
        <f>Q22-Q23</f>
        <v>0.78858178133745</v>
      </c>
      <c r="R24" s="379">
        <f>R22-R23</f>
        <v>0.637005838198499</v>
      </c>
      <c r="S24" s="379">
        <f>S22-S23</f>
        <v>0.721967711155921</v>
      </c>
      <c r="T24" s="379">
        <v>0.64</v>
      </c>
      <c r="U24" s="379">
        <v>0.72</v>
      </c>
      <c r="V24" s="379">
        <f>Interim!FM19</f>
        <v>0.42</v>
      </c>
      <c r="W24" s="380">
        <f>Interim!FU19</f>
        <v>0.59</v>
      </c>
      <c r="X24" s="379">
        <f>W24*85%</f>
        <v>0.5015</v>
      </c>
      <c r="Y24" s="379">
        <f>X24*90%</f>
        <v>0.45135</v>
      </c>
      <c r="Z24" s="379">
        <f>Y24*85%</f>
        <v>0.3836475</v>
      </c>
      <c r="AA24" s="379">
        <f>Z24*85%</f>
        <v>0.326100375</v>
      </c>
      <c r="AB24" s="379">
        <f>AA24*85%</f>
        <v>0.27718531875</v>
      </c>
      <c r="AC24" s="379"/>
      <c r="AD24" s="342"/>
      <c r="AE24" s="342"/>
      <c r="AF24" s="342"/>
      <c r="AG24" s="342"/>
      <c r="AH24" s="342"/>
      <c r="AI24" s="342"/>
      <c r="AJ24" s="342"/>
      <c r="AK24" s="342"/>
      <c r="AL24" s="342"/>
      <c r="AM24" s="342"/>
      <c r="AN24" s="342"/>
      <c r="AO24" s="340"/>
      <c r="AP24" s="340"/>
      <c r="AQ24" s="340"/>
      <c r="AR24" s="340"/>
      <c r="AS24" s="340"/>
      <c r="AT24" s="366"/>
      <c r="AU24" s="344"/>
      <c r="AV24" s="365"/>
      <c r="AW24" s="365"/>
      <c r="AX24" s="360"/>
      <c r="AY24" s="334"/>
      <c r="AZ24" s="334"/>
      <c r="BA24" s="334"/>
      <c r="BB24" s="334"/>
      <c r="BC24" s="334"/>
      <c r="BD24" s="334"/>
      <c r="BE24" s="340"/>
      <c r="BF24" s="340"/>
      <c r="BG24" s="340"/>
      <c r="BH24" s="340"/>
      <c r="BI24" s="340"/>
      <c r="BJ24" s="340"/>
      <c r="BK24" s="340"/>
      <c r="BL24" s="340"/>
      <c r="BM24" s="340"/>
      <c r="BN24" s="340"/>
      <c r="BO24" s="340"/>
      <c r="BP24" s="340"/>
      <c r="BQ24" s="340"/>
      <c r="BR24" s="340"/>
      <c r="BS24" s="340"/>
      <c r="BT24" s="340"/>
      <c r="BU24" s="340"/>
      <c r="BV24" s="340"/>
      <c r="BW24" s="340"/>
      <c r="BX24" s="340"/>
      <c r="BY24" s="340"/>
      <c r="BZ24" s="340"/>
      <c r="CA24" s="340"/>
      <c r="CB24" s="340"/>
      <c r="CC24" s="340"/>
      <c r="CD24" s="340"/>
      <c r="CE24" s="340"/>
      <c r="CF24" s="340"/>
      <c r="CG24" s="340"/>
      <c r="CH24" s="340"/>
      <c r="CI24" s="340"/>
      <c r="CJ24" s="340"/>
      <c r="CK24" s="340"/>
      <c r="CL24" s="340"/>
      <c r="CM24" s="340"/>
      <c r="CN24" s="340"/>
      <c r="CO24" s="340"/>
      <c r="CP24" s="340"/>
      <c r="CQ24" s="340"/>
      <c r="CR24" s="340"/>
      <c r="CS24" s="340"/>
      <c r="CT24" s="340"/>
      <c r="CU24" s="340"/>
      <c r="CV24" s="340"/>
      <c r="CW24" s="340"/>
      <c r="CX24" s="340"/>
      <c r="CY24" s="340"/>
      <c r="CZ24" s="340"/>
      <c r="DA24" s="340"/>
      <c r="DB24" s="340"/>
      <c r="DC24" s="340"/>
      <c r="DD24" s="340"/>
      <c r="DE24" s="340"/>
      <c r="DF24" s="340"/>
      <c r="DG24" s="340"/>
      <c r="DH24" s="340"/>
      <c r="DI24" s="340"/>
      <c r="DJ24" s="340"/>
      <c r="DK24" s="340"/>
      <c r="DL24" s="340"/>
      <c r="DM24" s="340"/>
      <c r="DN24" s="340"/>
      <c r="DO24" s="340"/>
      <c r="DP24" s="340"/>
      <c r="DQ24" s="340"/>
      <c r="DR24" s="340"/>
      <c r="DS24" s="340"/>
      <c r="DT24" s="340"/>
      <c r="DU24" s="340"/>
      <c r="DV24" s="340"/>
      <c r="DW24" s="340"/>
      <c r="DX24" s="340"/>
      <c r="DY24" s="340"/>
      <c r="DZ24" s="340"/>
      <c r="EA24" s="340"/>
      <c r="EB24" s="340"/>
      <c r="EC24" s="340"/>
      <c r="ED24" s="340"/>
      <c r="EE24" s="340"/>
      <c r="EF24" s="340"/>
      <c r="EG24" s="340"/>
      <c r="EH24" s="340"/>
      <c r="EI24" s="340"/>
      <c r="EJ24" s="340"/>
      <c r="EK24" s="340"/>
      <c r="EL24" s="340"/>
      <c r="EM24" s="340"/>
      <c r="EN24" s="340"/>
      <c r="EO24" s="340"/>
      <c r="EP24" s="340"/>
      <c r="EQ24" s="340"/>
      <c r="ER24" s="340"/>
      <c r="ES24" s="340"/>
    </row>
    <row r="25" s="330" customFormat="1" hidden="1" customHeight="1" outlineLevel="1" spans="1:149">
      <c r="A25" s="377" t="s">
        <v>66</v>
      </c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378"/>
      <c r="M25" s="378"/>
      <c r="N25" s="378"/>
      <c r="O25" s="378"/>
      <c r="P25" s="378">
        <f t="shared" ref="P25:AB25" si="17">P21/P32</f>
        <v>0.00285494536491055</v>
      </c>
      <c r="Q25" s="379">
        <f t="shared" si="17"/>
        <v>0.00458715596330275</v>
      </c>
      <c r="R25" s="379">
        <f t="shared" si="17"/>
        <v>0.00668017713728139</v>
      </c>
      <c r="S25" s="379">
        <f t="shared" si="17"/>
        <v>0.0106161392192434</v>
      </c>
      <c r="T25" s="379">
        <f t="shared" si="17"/>
        <v>0.0175994368180218</v>
      </c>
      <c r="U25" s="379">
        <f t="shared" si="17"/>
        <v>0.0290353653502133</v>
      </c>
      <c r="V25" s="379">
        <f t="shared" si="17"/>
        <v>0.0371120934693178</v>
      </c>
      <c r="W25" s="380">
        <f t="shared" si="17"/>
        <v>0.0518670326304227</v>
      </c>
      <c r="X25" s="379">
        <f t="shared" si="17"/>
        <v>0.0698587548572734</v>
      </c>
      <c r="Y25" s="379">
        <f t="shared" si="17"/>
        <v>0.0938386121438017</v>
      </c>
      <c r="Z25" s="379">
        <f t="shared" si="17"/>
        <v>0.120367469845208</v>
      </c>
      <c r="AA25" s="379">
        <f t="shared" si="17"/>
        <v>0.149053343818308</v>
      </c>
      <c r="AB25" s="379">
        <f t="shared" si="17"/>
        <v>0.177673072530029</v>
      </c>
      <c r="AC25" s="379"/>
      <c r="AD25" s="342"/>
      <c r="AE25" s="342"/>
      <c r="AF25" s="342"/>
      <c r="AG25" s="342"/>
      <c r="AH25" s="342"/>
      <c r="AI25" s="342"/>
      <c r="AJ25" s="342"/>
      <c r="AK25" s="342"/>
      <c r="AL25" s="342"/>
      <c r="AM25" s="342"/>
      <c r="AN25" s="342"/>
      <c r="AO25" s="340"/>
      <c r="AP25" s="340"/>
      <c r="AQ25" s="340"/>
      <c r="AR25" s="340"/>
      <c r="AS25" s="340"/>
      <c r="AT25" s="366"/>
      <c r="AU25" s="344"/>
      <c r="AV25" s="365"/>
      <c r="AW25" s="365"/>
      <c r="AX25" s="360"/>
      <c r="AY25" s="334"/>
      <c r="AZ25" s="334"/>
      <c r="BA25" s="334"/>
      <c r="BB25" s="334"/>
      <c r="BC25" s="334"/>
      <c r="BD25" s="334"/>
      <c r="BE25" s="340"/>
      <c r="BF25" s="340"/>
      <c r="BG25" s="340"/>
      <c r="BH25" s="340"/>
      <c r="BI25" s="340"/>
      <c r="BJ25" s="340"/>
      <c r="BK25" s="340"/>
      <c r="BL25" s="340"/>
      <c r="BM25" s="340"/>
      <c r="BN25" s="340"/>
      <c r="BO25" s="340"/>
      <c r="BP25" s="340"/>
      <c r="BQ25" s="340"/>
      <c r="BR25" s="340"/>
      <c r="BS25" s="340"/>
      <c r="BT25" s="340"/>
      <c r="BU25" s="340"/>
      <c r="BV25" s="340"/>
      <c r="BW25" s="340"/>
      <c r="BX25" s="340"/>
      <c r="BY25" s="340"/>
      <c r="BZ25" s="340"/>
      <c r="CA25" s="340"/>
      <c r="CB25" s="340"/>
      <c r="CC25" s="340"/>
      <c r="CD25" s="340"/>
      <c r="CE25" s="340"/>
      <c r="CF25" s="340"/>
      <c r="CG25" s="340"/>
      <c r="CH25" s="340"/>
      <c r="CI25" s="340"/>
      <c r="CJ25" s="340"/>
      <c r="CK25" s="340"/>
      <c r="CL25" s="340"/>
      <c r="CM25" s="340"/>
      <c r="CN25" s="340"/>
      <c r="CO25" s="340"/>
      <c r="CP25" s="340"/>
      <c r="CQ25" s="340"/>
      <c r="CR25" s="340"/>
      <c r="CS25" s="340"/>
      <c r="CT25" s="340"/>
      <c r="CU25" s="340"/>
      <c r="CV25" s="340"/>
      <c r="CW25" s="340"/>
      <c r="CX25" s="340"/>
      <c r="CY25" s="340"/>
      <c r="CZ25" s="340"/>
      <c r="DA25" s="340"/>
      <c r="DB25" s="340"/>
      <c r="DC25" s="340"/>
      <c r="DD25" s="340"/>
      <c r="DE25" s="340"/>
      <c r="DF25" s="340"/>
      <c r="DG25" s="340"/>
      <c r="DH25" s="340"/>
      <c r="DI25" s="340"/>
      <c r="DJ25" s="340"/>
      <c r="DK25" s="340"/>
      <c r="DL25" s="340"/>
      <c r="DM25" s="340"/>
      <c r="DN25" s="340"/>
      <c r="DO25" s="340"/>
      <c r="DP25" s="340"/>
      <c r="DQ25" s="340"/>
      <c r="DR25" s="340"/>
      <c r="DS25" s="340"/>
      <c r="DT25" s="340"/>
      <c r="DU25" s="340"/>
      <c r="DV25" s="340"/>
      <c r="DW25" s="340"/>
      <c r="DX25" s="340"/>
      <c r="DY25" s="340"/>
      <c r="DZ25" s="340"/>
      <c r="EA25" s="340"/>
      <c r="EB25" s="340"/>
      <c r="EC25" s="340"/>
      <c r="ED25" s="340"/>
      <c r="EE25" s="340"/>
      <c r="EF25" s="340"/>
      <c r="EG25" s="340"/>
      <c r="EH25" s="340"/>
      <c r="EI25" s="340"/>
      <c r="EJ25" s="340"/>
      <c r="EK25" s="340"/>
      <c r="EL25" s="340"/>
      <c r="EM25" s="340"/>
      <c r="EN25" s="340"/>
      <c r="EO25" s="340"/>
      <c r="EP25" s="340"/>
      <c r="EQ25" s="340"/>
      <c r="ER25" s="340"/>
      <c r="ES25" s="340"/>
    </row>
    <row r="26" s="330" customFormat="1" hidden="1" customHeight="1" outlineLevel="1" spans="1:149">
      <c r="A26" s="377" t="s">
        <v>68</v>
      </c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78"/>
      <c r="M26" s="378"/>
      <c r="N26" s="378"/>
      <c r="O26" s="378"/>
      <c r="P26" s="378">
        <f t="shared" ref="P26:AB26" si="18">P21/P$10</f>
        <v>0.0155224547830892</v>
      </c>
      <c r="Q26" s="379">
        <f t="shared" si="18"/>
        <v>0.0230221850146505</v>
      </c>
      <c r="R26" s="379">
        <f t="shared" si="18"/>
        <v>0.0318653777300394</v>
      </c>
      <c r="S26" s="379">
        <f t="shared" si="18"/>
        <v>0.0468425733768159</v>
      </c>
      <c r="T26" s="379">
        <f t="shared" si="18"/>
        <v>0.0725478816018572</v>
      </c>
      <c r="U26" s="379">
        <f t="shared" si="18"/>
        <v>0.110454861711654</v>
      </c>
      <c r="V26" s="379">
        <f t="shared" si="18"/>
        <v>0.148720933672947</v>
      </c>
      <c r="W26" s="380">
        <f t="shared" si="18"/>
        <v>0.199983022074926</v>
      </c>
      <c r="X26" s="379">
        <f t="shared" si="18"/>
        <v>0.252945914771609</v>
      </c>
      <c r="Y26" s="379">
        <f t="shared" si="18"/>
        <v>0.314685887179436</v>
      </c>
      <c r="Z26" s="379">
        <f t="shared" si="18"/>
        <v>0.371546005964306</v>
      </c>
      <c r="AA26" s="379">
        <f t="shared" si="18"/>
        <v>0.420435000296538</v>
      </c>
      <c r="AB26" s="379">
        <f t="shared" si="18"/>
        <v>0.458207980127367</v>
      </c>
      <c r="AC26" s="379"/>
      <c r="AD26" s="342"/>
      <c r="AE26" s="342"/>
      <c r="AF26" s="342"/>
      <c r="AG26" s="342"/>
      <c r="AH26" s="342"/>
      <c r="AI26" s="342"/>
      <c r="AJ26" s="342"/>
      <c r="AK26" s="342"/>
      <c r="AL26" s="342"/>
      <c r="AM26" s="342"/>
      <c r="AN26" s="342"/>
      <c r="AO26" s="340"/>
      <c r="AP26" s="340"/>
      <c r="AQ26" s="340"/>
      <c r="AR26" s="340"/>
      <c r="AS26" s="340"/>
      <c r="AT26" s="366"/>
      <c r="AU26" s="344"/>
      <c r="AV26" s="365"/>
      <c r="AW26" s="365"/>
      <c r="AX26" s="360"/>
      <c r="AY26" s="334"/>
      <c r="AZ26" s="334"/>
      <c r="BA26" s="334"/>
      <c r="BB26" s="334"/>
      <c r="BC26" s="334"/>
      <c r="BD26" s="334"/>
      <c r="BE26" s="340"/>
      <c r="BF26" s="340"/>
      <c r="BG26" s="340"/>
      <c r="BH26" s="340"/>
      <c r="BI26" s="340"/>
      <c r="BJ26" s="340"/>
      <c r="BK26" s="340"/>
      <c r="BL26" s="340"/>
      <c r="BM26" s="340"/>
      <c r="BN26" s="340"/>
      <c r="BO26" s="340"/>
      <c r="BP26" s="340"/>
      <c r="BQ26" s="340"/>
      <c r="BR26" s="340"/>
      <c r="BS26" s="340"/>
      <c r="BT26" s="340"/>
      <c r="BU26" s="340"/>
      <c r="BV26" s="340"/>
      <c r="BW26" s="340"/>
      <c r="BX26" s="340"/>
      <c r="BY26" s="340"/>
      <c r="BZ26" s="340"/>
      <c r="CA26" s="340"/>
      <c r="CB26" s="340"/>
      <c r="CC26" s="340"/>
      <c r="CD26" s="340"/>
      <c r="CE26" s="340"/>
      <c r="CF26" s="340"/>
      <c r="CG26" s="340"/>
      <c r="CH26" s="340"/>
      <c r="CI26" s="340"/>
      <c r="CJ26" s="340"/>
      <c r="CK26" s="340"/>
      <c r="CL26" s="340"/>
      <c r="CM26" s="340"/>
      <c r="CN26" s="340"/>
      <c r="CO26" s="340"/>
      <c r="CP26" s="340"/>
      <c r="CQ26" s="340"/>
      <c r="CR26" s="340"/>
      <c r="CS26" s="340"/>
      <c r="CT26" s="340"/>
      <c r="CU26" s="340"/>
      <c r="CV26" s="340"/>
      <c r="CW26" s="340"/>
      <c r="CX26" s="340"/>
      <c r="CY26" s="340"/>
      <c r="CZ26" s="340"/>
      <c r="DA26" s="340"/>
      <c r="DB26" s="340"/>
      <c r="DC26" s="340"/>
      <c r="DD26" s="340"/>
      <c r="DE26" s="340"/>
      <c r="DF26" s="340"/>
      <c r="DG26" s="340"/>
      <c r="DH26" s="340"/>
      <c r="DI26" s="340"/>
      <c r="DJ26" s="340"/>
      <c r="DK26" s="340"/>
      <c r="DL26" s="340"/>
      <c r="DM26" s="340"/>
      <c r="DN26" s="340"/>
      <c r="DO26" s="340"/>
      <c r="DP26" s="340"/>
      <c r="DQ26" s="340"/>
      <c r="DR26" s="340"/>
      <c r="DS26" s="340"/>
      <c r="DT26" s="340"/>
      <c r="DU26" s="340"/>
      <c r="DV26" s="340"/>
      <c r="DW26" s="340"/>
      <c r="DX26" s="340"/>
      <c r="DY26" s="340"/>
      <c r="DZ26" s="340"/>
      <c r="EA26" s="340"/>
      <c r="EB26" s="340"/>
      <c r="EC26" s="340"/>
      <c r="ED26" s="340"/>
      <c r="EE26" s="340"/>
      <c r="EF26" s="340"/>
      <c r="EG26" s="340"/>
      <c r="EH26" s="340"/>
      <c r="EI26" s="340"/>
      <c r="EJ26" s="340"/>
      <c r="EK26" s="340"/>
      <c r="EL26" s="340"/>
      <c r="EM26" s="340"/>
      <c r="EN26" s="340"/>
      <c r="EO26" s="340"/>
      <c r="EP26" s="340"/>
      <c r="EQ26" s="340"/>
      <c r="ER26" s="340"/>
      <c r="ES26" s="340"/>
    </row>
    <row r="27" s="328" customFormat="1" customHeight="1" collapsed="1" spans="1:149">
      <c r="A27" s="328" t="s">
        <v>70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6"/>
      <c r="M27" s="356">
        <f>M31*M$32</f>
        <v>856</v>
      </c>
      <c r="N27" s="356">
        <f>N31*N$32</f>
        <v>804</v>
      </c>
      <c r="O27" s="356">
        <v>1285</v>
      </c>
      <c r="P27" s="356">
        <v>1293</v>
      </c>
      <c r="Q27" s="356">
        <v>1420</v>
      </c>
      <c r="R27" s="356">
        <v>1580</v>
      </c>
      <c r="S27" s="356">
        <f>+Interim!EO21</f>
        <v>1977</v>
      </c>
      <c r="T27" s="356">
        <f>T32-T5-T10</f>
        <v>1659</v>
      </c>
      <c r="U27" s="356">
        <f>U132</f>
        <v>1358</v>
      </c>
      <c r="V27" s="356">
        <f t="shared" ref="V27:AB27" si="19">V132</f>
        <v>1467</v>
      </c>
      <c r="W27" s="357">
        <f t="shared" si="19"/>
        <v>1475</v>
      </c>
      <c r="X27" s="356">
        <f t="shared" si="19"/>
        <v>741</v>
      </c>
      <c r="Y27" s="356">
        <f t="shared" si="19"/>
        <v>753.103766984596</v>
      </c>
      <c r="Z27" s="356">
        <f t="shared" si="19"/>
        <v>790.758955333826</v>
      </c>
      <c r="AA27" s="356">
        <f t="shared" si="19"/>
        <v>830.296903100517</v>
      </c>
      <c r="AB27" s="356">
        <f t="shared" si="19"/>
        <v>871.811748255543</v>
      </c>
      <c r="AC27" s="356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342"/>
      <c r="AO27" s="340"/>
      <c r="AP27" s="340"/>
      <c r="AQ27" s="340"/>
      <c r="AR27" s="340"/>
      <c r="AS27" s="340"/>
      <c r="AT27" s="366"/>
      <c r="AU27" s="344"/>
      <c r="AV27" s="365"/>
      <c r="AW27" s="365"/>
      <c r="AX27" s="360"/>
      <c r="AY27" s="334"/>
      <c r="AZ27" s="334"/>
      <c r="BA27" s="334"/>
      <c r="BB27" s="334"/>
      <c r="BC27" s="334"/>
      <c r="BD27" s="334"/>
    </row>
    <row r="28" customHeight="1" spans="1:149">
      <c r="A28" s="361" t="s">
        <v>61</v>
      </c>
      <c r="L28" s="362"/>
      <c r="M28" s="362"/>
      <c r="N28" s="362">
        <f>N27/M27-1</f>
        <v>-0.0607476635514017</v>
      </c>
      <c r="O28" s="362">
        <f>O27/N27-1</f>
        <v>0.598258706467661</v>
      </c>
      <c r="P28" s="362">
        <f>P27/O27-1</f>
        <v>0.00622568093385212</v>
      </c>
      <c r="Q28" s="363">
        <f>Q27/P27-1</f>
        <v>0.0982211910286157</v>
      </c>
      <c r="R28" s="363">
        <f>+R27/Q27-1</f>
        <v>0.112676056338028</v>
      </c>
      <c r="S28" s="363">
        <f>+S27/R27-1</f>
        <v>0.25126582278481</v>
      </c>
      <c r="T28" s="363">
        <f t="shared" ref="T28:AB28" si="20">T27/S27-1</f>
        <v>-0.160849772382398</v>
      </c>
      <c r="U28" s="363">
        <f t="shared" si="20"/>
        <v>-0.181434599156118</v>
      </c>
      <c r="V28" s="363">
        <f t="shared" si="20"/>
        <v>0.0802650957290132</v>
      </c>
      <c r="W28" s="383">
        <f t="shared" si="20"/>
        <v>0.00545330606680294</v>
      </c>
      <c r="X28" s="363">
        <f t="shared" si="20"/>
        <v>-0.497627118644068</v>
      </c>
      <c r="Y28" s="363">
        <f t="shared" si="20"/>
        <v>0.0163343684002646</v>
      </c>
      <c r="Z28" s="363">
        <f t="shared" si="20"/>
        <v>0.05</v>
      </c>
      <c r="AA28" s="363">
        <f t="shared" si="20"/>
        <v>0.05</v>
      </c>
      <c r="AB28" s="363">
        <f t="shared" si="20"/>
        <v>0.05</v>
      </c>
      <c r="AC28" s="363"/>
      <c r="AK28" s="342"/>
      <c r="AL28" s="342"/>
      <c r="AM28" s="342"/>
      <c r="AN28" s="342"/>
      <c r="AT28" s="366"/>
      <c r="AU28" s="344"/>
      <c r="AV28" s="365"/>
      <c r="AW28" s="365"/>
      <c r="AX28" s="360"/>
      <c r="AY28" s="334"/>
      <c r="AZ28" s="334"/>
      <c r="BA28" s="334"/>
      <c r="BB28" s="334"/>
      <c r="BC28" s="334"/>
      <c r="BD28" s="334"/>
    </row>
    <row r="29" customHeight="1" spans="1:149">
      <c r="A29" s="361" t="s">
        <v>63</v>
      </c>
      <c r="L29" s="362"/>
      <c r="M29" s="362"/>
      <c r="N29" s="362"/>
      <c r="O29" s="362"/>
      <c r="P29" s="362">
        <f>P28-P30</f>
        <v>0.0462256809338521</v>
      </c>
      <c r="Q29" s="363">
        <f>Q28-Q30</f>
        <v>0.0822211910286157</v>
      </c>
      <c r="R29" s="363">
        <f>+R28-R30</f>
        <v>-0.0173239436619718</v>
      </c>
      <c r="S29" s="363">
        <f>+S28-S30</f>
        <v>0.0828569620253164</v>
      </c>
      <c r="T29" s="363">
        <f t="shared" ref="T29:AB29" si="21">T28-T30</f>
        <v>-0.209562468386444</v>
      </c>
      <c r="U29" s="363">
        <f t="shared" si="21"/>
        <v>0.00956540084388185</v>
      </c>
      <c r="V29" s="363">
        <f t="shared" si="21"/>
        <v>0.106857142857143</v>
      </c>
      <c r="W29" s="383">
        <f t="shared" si="21"/>
        <v>-0.00420449897750517</v>
      </c>
      <c r="X29" s="363">
        <f t="shared" si="21"/>
        <v>-0.597627118644068</v>
      </c>
      <c r="Y29" s="363">
        <f t="shared" si="21"/>
        <v>-0.0336656315997354</v>
      </c>
      <c r="Z29" s="363">
        <f t="shared" si="21"/>
        <v>0</v>
      </c>
      <c r="AA29" s="363">
        <f t="shared" si="21"/>
        <v>0</v>
      </c>
      <c r="AB29" s="363">
        <f t="shared" si="21"/>
        <v>0</v>
      </c>
      <c r="AC29" s="363"/>
      <c r="AK29" s="342"/>
      <c r="AL29" s="342"/>
      <c r="AM29" s="342"/>
      <c r="AN29" s="342"/>
      <c r="AT29" s="366"/>
      <c r="AU29" s="344"/>
      <c r="AV29" s="365"/>
      <c r="AW29" s="365"/>
      <c r="AX29" s="360"/>
      <c r="AY29" s="334"/>
      <c r="AZ29" s="334"/>
      <c r="BA29" s="334"/>
      <c r="BB29" s="334"/>
      <c r="BC29" s="334"/>
      <c r="BD29" s="334"/>
    </row>
    <row r="30" customHeight="1" spans="1:149">
      <c r="A30" s="361" t="s">
        <v>65</v>
      </c>
      <c r="L30" s="362"/>
      <c r="M30" s="362"/>
      <c r="N30" s="362"/>
      <c r="O30" s="362"/>
      <c r="P30" s="362">
        <v>-0.04</v>
      </c>
      <c r="Q30" s="363">
        <v>0.016</v>
      </c>
      <c r="R30" s="363">
        <f>Interim!EG24</f>
        <v>0.13</v>
      </c>
      <c r="S30" s="363">
        <f>+Interim!EO24</f>
        <v>0.168408860759494</v>
      </c>
      <c r="T30" s="363">
        <f>Interim!EW24</f>
        <v>0.0487126960040465</v>
      </c>
      <c r="U30" s="363">
        <v>-0.191</v>
      </c>
      <c r="V30" s="363">
        <f t="shared" ref="V30:AB30" si="22">V135</f>
        <v>-0.0265920471281296</v>
      </c>
      <c r="W30" s="383">
        <f t="shared" si="22"/>
        <v>0.00965780504430811</v>
      </c>
      <c r="X30" s="363">
        <f t="shared" si="22"/>
        <v>0.1</v>
      </c>
      <c r="Y30" s="363">
        <f t="shared" si="22"/>
        <v>0.05</v>
      </c>
      <c r="Z30" s="363">
        <f t="shared" si="22"/>
        <v>0.05</v>
      </c>
      <c r="AA30" s="363">
        <f t="shared" si="22"/>
        <v>0.05</v>
      </c>
      <c r="AB30" s="363">
        <f t="shared" si="22"/>
        <v>0.05</v>
      </c>
      <c r="AC30" s="363"/>
      <c r="AK30" s="342"/>
      <c r="AL30" s="342"/>
      <c r="AM30" s="342"/>
      <c r="AN30" s="342"/>
      <c r="AT30" s="366"/>
      <c r="AU30" s="344"/>
      <c r="AV30" s="365"/>
      <c r="AW30" s="365"/>
      <c r="AX30" s="360"/>
      <c r="AY30" s="334"/>
      <c r="AZ30" s="334"/>
      <c r="BA30" s="334"/>
      <c r="BB30" s="334"/>
      <c r="BC30" s="334"/>
      <c r="BD30" s="334"/>
    </row>
    <row r="31" customHeight="1" spans="1:149">
      <c r="A31" s="361" t="s">
        <v>66</v>
      </c>
      <c r="L31" s="362"/>
      <c r="M31" s="362">
        <v>0.0848869496231654</v>
      </c>
      <c r="N31" s="362">
        <v>0.0780658316341392</v>
      </c>
      <c r="O31" s="362">
        <f t="shared" ref="O31:AB31" si="23">O27/O32</f>
        <v>0.119191169650311</v>
      </c>
      <c r="P31" s="362">
        <f t="shared" si="23"/>
        <v>0.124770819260832</v>
      </c>
      <c r="Q31" s="362">
        <f t="shared" si="23"/>
        <v>0.118432026688907</v>
      </c>
      <c r="R31" s="362">
        <f t="shared" si="23"/>
        <v>0.118591908729265</v>
      </c>
      <c r="S31" s="362">
        <f t="shared" si="23"/>
        <v>0.132836121749647</v>
      </c>
      <c r="T31" s="362">
        <f t="shared" si="23"/>
        <v>0.116789862724393</v>
      </c>
      <c r="U31" s="362">
        <f t="shared" si="23"/>
        <v>0.0934360809137195</v>
      </c>
      <c r="V31" s="362">
        <f t="shared" si="23"/>
        <v>0.0867277564292048</v>
      </c>
      <c r="W31" s="384">
        <f t="shared" si="23"/>
        <v>0.076464489372732</v>
      </c>
      <c r="X31" s="362">
        <f t="shared" si="23"/>
        <v>0.0349231784334056</v>
      </c>
      <c r="Y31" s="362">
        <f t="shared" si="23"/>
        <v>0.0334729809479891</v>
      </c>
      <c r="Z31" s="362">
        <f t="shared" si="23"/>
        <v>0.0325826034100256</v>
      </c>
      <c r="AA31" s="362">
        <f t="shared" si="23"/>
        <v>0.0319470877875996</v>
      </c>
      <c r="AB31" s="362">
        <f t="shared" si="23"/>
        <v>0.0313073671215441</v>
      </c>
      <c r="AC31" s="362"/>
      <c r="AK31" s="342"/>
      <c r="AL31" s="342"/>
      <c r="AM31" s="342"/>
      <c r="AN31" s="342"/>
      <c r="AT31" s="366"/>
      <c r="AU31" s="344"/>
      <c r="AV31" s="365"/>
      <c r="AW31" s="365"/>
      <c r="AX31" s="360"/>
      <c r="AY31" s="334"/>
      <c r="AZ31" s="334"/>
      <c r="BA31" s="334"/>
      <c r="BB31" s="334"/>
      <c r="BC31" s="334"/>
      <c r="BD31" s="334"/>
    </row>
    <row r="32" s="331" customFormat="1" customHeight="1" spans="1:149">
      <c r="A32" s="385" t="s">
        <v>71</v>
      </c>
      <c r="B32" s="386"/>
      <c r="C32" s="386"/>
      <c r="D32" s="386"/>
      <c r="E32" s="386"/>
      <c r="F32" s="386"/>
      <c r="G32" s="386"/>
      <c r="H32" s="386"/>
      <c r="I32" s="386"/>
      <c r="J32" s="386"/>
      <c r="K32" s="386">
        <f>K319</f>
        <v>5860</v>
      </c>
      <c r="L32" s="387">
        <v>6636</v>
      </c>
      <c r="M32" s="387">
        <v>10084</v>
      </c>
      <c r="N32" s="387">
        <v>10299</v>
      </c>
      <c r="O32" s="387">
        <f>SUM(O27,O10,O5)</f>
        <v>10781</v>
      </c>
      <c r="P32" s="387">
        <f>SUM(P27,P10,P5)</f>
        <v>10363</v>
      </c>
      <c r="Q32" s="387">
        <f>SUM(Q27,Q10,Q5)</f>
        <v>11990</v>
      </c>
      <c r="R32" s="387">
        <f>Interim!EG26</f>
        <v>13323</v>
      </c>
      <c r="S32" s="387">
        <f>+Interim!EO26</f>
        <v>14883</v>
      </c>
      <c r="T32" s="387">
        <f>T319</f>
        <v>14205</v>
      </c>
      <c r="U32" s="387">
        <f>U319</f>
        <v>14534</v>
      </c>
      <c r="V32" s="387">
        <f t="shared" ref="V32:AB32" si="24">V137</f>
        <v>16915</v>
      </c>
      <c r="W32" s="388">
        <f t="shared" si="24"/>
        <v>19290</v>
      </c>
      <c r="X32" s="387">
        <f t="shared" si="24"/>
        <v>21218</v>
      </c>
      <c r="Y32" s="387">
        <f t="shared" si="24"/>
        <v>22498.85566376</v>
      </c>
      <c r="Z32" s="387">
        <f t="shared" si="24"/>
        <v>24269.360719362</v>
      </c>
      <c r="AA32" s="387">
        <f t="shared" si="24"/>
        <v>25989.7524500747</v>
      </c>
      <c r="AB32" s="387">
        <f t="shared" si="24"/>
        <v>27846.8561367975</v>
      </c>
      <c r="AC32" s="387"/>
      <c r="AD32" s="342"/>
      <c r="AE32" s="342"/>
      <c r="AF32" s="342"/>
      <c r="AG32" s="342"/>
      <c r="AH32" s="342"/>
      <c r="AI32" s="342"/>
      <c r="AJ32" s="342"/>
      <c r="AK32" s="342"/>
      <c r="AL32" s="342"/>
      <c r="AM32" s="342"/>
      <c r="AN32" s="342"/>
      <c r="AO32" s="340"/>
      <c r="AP32" s="340"/>
      <c r="AQ32" s="340"/>
      <c r="AR32" s="340"/>
      <c r="AS32" s="340"/>
      <c r="AT32" s="366"/>
      <c r="AU32" s="344"/>
      <c r="AV32" s="365"/>
      <c r="AW32" s="365"/>
      <c r="AX32" s="360"/>
      <c r="AY32" s="334"/>
      <c r="AZ32" s="334"/>
      <c r="BA32" s="334"/>
      <c r="BB32" s="334"/>
      <c r="BC32" s="334"/>
      <c r="BD32" s="334"/>
    </row>
    <row r="33" customHeight="1" spans="1:58">
      <c r="A33" s="361" t="s">
        <v>61</v>
      </c>
      <c r="L33" s="362">
        <f t="shared" ref="L33:AB33" si="25">L32/K32-1</f>
        <v>0.132423208191126</v>
      </c>
      <c r="M33" s="362">
        <v>0.14</v>
      </c>
      <c r="N33" s="362">
        <f t="shared" si="25"/>
        <v>0.0213209044030147</v>
      </c>
      <c r="O33" s="362">
        <f t="shared" si="25"/>
        <v>0.0468006602582776</v>
      </c>
      <c r="P33" s="362">
        <f t="shared" si="25"/>
        <v>-0.0387719135516186</v>
      </c>
      <c r="Q33" s="363">
        <f t="shared" si="25"/>
        <v>0.15700086847438</v>
      </c>
      <c r="R33" s="363">
        <f t="shared" si="25"/>
        <v>0.111175979983319</v>
      </c>
      <c r="S33" s="363">
        <f t="shared" si="25"/>
        <v>0.117090745327629</v>
      </c>
      <c r="T33" s="363">
        <f t="shared" si="25"/>
        <v>-0.0455553315863737</v>
      </c>
      <c r="U33" s="363">
        <f t="shared" si="25"/>
        <v>0.0231608588525167</v>
      </c>
      <c r="V33" s="363">
        <f t="shared" si="25"/>
        <v>0.163822760423834</v>
      </c>
      <c r="W33" s="383">
        <f t="shared" si="25"/>
        <v>0.140407921962755</v>
      </c>
      <c r="X33" s="363">
        <f t="shared" si="25"/>
        <v>0.0999481596682219</v>
      </c>
      <c r="Y33" s="363">
        <f t="shared" si="25"/>
        <v>0.06036646544255</v>
      </c>
      <c r="Z33" s="363">
        <f t="shared" si="25"/>
        <v>0.0786931158660571</v>
      </c>
      <c r="AA33" s="363">
        <f t="shared" si="25"/>
        <v>0.0708873938051524</v>
      </c>
      <c r="AB33" s="363">
        <f t="shared" si="25"/>
        <v>0.0714552279899638</v>
      </c>
      <c r="AC33" s="363"/>
      <c r="AK33" s="342"/>
      <c r="AL33" s="342"/>
      <c r="AM33" s="342"/>
      <c r="AN33" s="342"/>
      <c r="AT33" s="366"/>
      <c r="AU33" s="344"/>
      <c r="AV33" s="365"/>
      <c r="AW33" s="365"/>
      <c r="AX33" s="360"/>
      <c r="AY33" s="334"/>
      <c r="AZ33" s="334"/>
      <c r="BA33" s="334"/>
      <c r="BB33" s="334"/>
      <c r="BC33" s="334"/>
      <c r="BD33" s="334"/>
    </row>
    <row r="34" customHeight="1" spans="1:58">
      <c r="A34" s="361" t="s">
        <v>63</v>
      </c>
      <c r="L34" s="360"/>
      <c r="M34" s="360"/>
      <c r="N34" s="360"/>
      <c r="O34" s="360"/>
      <c r="P34" s="362">
        <f t="shared" ref="P34:V34" si="26">P33-P35</f>
        <v>0.0194750023188944</v>
      </c>
      <c r="Q34" s="362">
        <f t="shared" si="26"/>
        <v>0.0704182186625495</v>
      </c>
      <c r="R34" s="362">
        <f t="shared" si="26"/>
        <v>-0.0188240200166806</v>
      </c>
      <c r="S34" s="362">
        <f t="shared" si="26"/>
        <v>0.0533131877204833</v>
      </c>
      <c r="T34" s="362">
        <f t="shared" si="26"/>
        <v>-0.0749744003225156</v>
      </c>
      <c r="U34" s="362">
        <f t="shared" si="26"/>
        <v>-0.0415310401262302</v>
      </c>
      <c r="V34" s="362">
        <f t="shared" si="26"/>
        <v>0.0674816746191135</v>
      </c>
      <c r="W34" s="384">
        <f>W143</f>
        <v>-0.0433789067363964</v>
      </c>
      <c r="X34" s="362">
        <v>-0.02</v>
      </c>
      <c r="Y34" s="362">
        <v>-0.027</v>
      </c>
      <c r="Z34" s="362">
        <v>0</v>
      </c>
      <c r="AA34" s="362">
        <v>0</v>
      </c>
      <c r="AB34" s="362">
        <v>0</v>
      </c>
      <c r="AC34" s="362"/>
      <c r="AK34" s="342"/>
      <c r="AL34" s="342"/>
      <c r="AM34" s="342"/>
      <c r="AN34" s="342"/>
      <c r="AT34" s="366"/>
      <c r="AU34" s="344"/>
      <c r="AV34" s="365"/>
      <c r="AW34" s="365"/>
      <c r="AX34" s="360"/>
      <c r="AY34" s="334"/>
      <c r="AZ34" s="334"/>
      <c r="BA34" s="334"/>
      <c r="BB34" s="334"/>
      <c r="BC34" s="334"/>
      <c r="BD34" s="334"/>
    </row>
    <row r="35" customHeight="1" spans="1:58">
      <c r="A35" s="361" t="s">
        <v>65</v>
      </c>
      <c r="L35" s="360"/>
      <c r="M35" s="360"/>
      <c r="N35" s="360"/>
      <c r="O35" s="360"/>
      <c r="P35" s="362">
        <f>(P8*$O$5+P13*$O$10+P30*$O$27)/$O$32</f>
        <v>-0.0582469158705129</v>
      </c>
      <c r="Q35" s="362">
        <f>(Q8*$P$5+Q13*$P$10+Q30*$P$27)/$P$32</f>
        <v>0.0865826498118305</v>
      </c>
      <c r="R35" s="362">
        <f>Interim!EG29</f>
        <v>0.13</v>
      </c>
      <c r="S35" s="362">
        <f>Interim!EO29</f>
        <v>0.0637775576071455</v>
      </c>
      <c r="T35" s="362">
        <f>Interim!EW29</f>
        <v>0.0294190687361419</v>
      </c>
      <c r="U35" s="362">
        <f>Interim!FE29</f>
        <v>0.0646918989787469</v>
      </c>
      <c r="V35" s="362">
        <f t="shared" ref="V35:AB35" si="27">V140</f>
        <v>0.0963410858047203</v>
      </c>
      <c r="W35" s="384">
        <f t="shared" si="27"/>
        <v>0.1815992905705</v>
      </c>
      <c r="X35" s="362">
        <f t="shared" si="27"/>
        <v>0.170007257646449</v>
      </c>
      <c r="Y35" s="362">
        <f t="shared" si="27"/>
        <v>0.0889278006705356</v>
      </c>
      <c r="Z35" s="362">
        <f t="shared" si="27"/>
        <v>0.078693115866057</v>
      </c>
      <c r="AA35" s="362">
        <f t="shared" si="27"/>
        <v>0.0708873938051524</v>
      </c>
      <c r="AB35" s="362">
        <f t="shared" si="27"/>
        <v>0.0714552279899637</v>
      </c>
      <c r="AC35" s="362"/>
      <c r="AE35" s="362"/>
      <c r="AK35" s="342"/>
      <c r="AL35" s="342"/>
      <c r="AM35" s="342"/>
      <c r="AN35" s="342"/>
      <c r="AT35" s="366"/>
      <c r="AU35" s="344"/>
      <c r="AV35" s="365"/>
      <c r="AW35" s="365"/>
      <c r="AX35" s="360"/>
      <c r="AY35" s="334"/>
      <c r="AZ35" s="334"/>
      <c r="BA35" s="334"/>
      <c r="BB35" s="334"/>
      <c r="BC35" s="334"/>
      <c r="BD35" s="334"/>
    </row>
    <row r="36" s="332" customFormat="1" customHeight="1" spans="1:58">
      <c r="A36" s="389" t="s">
        <v>72</v>
      </c>
      <c r="B36" s="390"/>
      <c r="C36" s="390"/>
      <c r="D36" s="390"/>
      <c r="E36" s="390"/>
      <c r="F36" s="390"/>
      <c r="G36" s="390"/>
      <c r="H36" s="390"/>
      <c r="I36" s="390"/>
      <c r="J36" s="390"/>
      <c r="K36" s="390"/>
      <c r="L36" s="391"/>
      <c r="M36" s="391"/>
      <c r="N36" s="391"/>
      <c r="O36" s="391"/>
      <c r="P36" s="391"/>
      <c r="Q36" s="391"/>
      <c r="R36" s="391"/>
      <c r="S36" s="391"/>
      <c r="T36" s="392"/>
      <c r="U36" s="392"/>
      <c r="V36" s="392"/>
      <c r="W36" s="393"/>
      <c r="X36" s="394"/>
      <c r="Y36" s="394">
        <f>(Y14-X14)*25%</f>
        <v>0.00550427812324689</v>
      </c>
      <c r="Z36" s="394">
        <f>(Z14-Y14)*25%</f>
        <v>0.00644153087084164</v>
      </c>
      <c r="AA36" s="394">
        <f>(AA14-Z14)*25%</f>
        <v>0.00763947325737736</v>
      </c>
      <c r="AB36" s="394">
        <f>(AB14-AA14)*25%</f>
        <v>0.00830866506088326</v>
      </c>
      <c r="AC36" s="394"/>
      <c r="AD36" s="342"/>
      <c r="AE36" s="342"/>
      <c r="AF36" s="342"/>
      <c r="AG36" s="342"/>
      <c r="AH36" s="342"/>
      <c r="AI36" s="342"/>
      <c r="AJ36" s="342"/>
      <c r="AK36" s="342"/>
      <c r="AL36" s="342"/>
      <c r="AM36" s="342"/>
      <c r="AN36" s="342"/>
      <c r="AO36" s="340"/>
      <c r="AP36" s="340"/>
      <c r="AQ36" s="340"/>
      <c r="AR36" s="340"/>
      <c r="AS36" s="340"/>
      <c r="AT36" s="366"/>
      <c r="AU36" s="344"/>
      <c r="AV36" s="365"/>
      <c r="AW36" s="365"/>
      <c r="AX36" s="360"/>
      <c r="AY36" s="334"/>
      <c r="AZ36" s="334"/>
      <c r="BA36" s="334"/>
      <c r="BB36" s="334"/>
      <c r="BC36" s="334"/>
      <c r="BD36" s="334"/>
    </row>
    <row r="37" customHeight="1" spans="1:58">
      <c r="Q37" s="395"/>
      <c r="R37" s="395"/>
      <c r="S37" s="395"/>
      <c r="T37" s="392"/>
      <c r="U37" s="392"/>
      <c r="V37" s="392"/>
      <c r="W37" s="396"/>
      <c r="X37" s="397"/>
      <c r="Y37" s="397">
        <f>1.18/1.12-1</f>
        <v>0.0535714285714284</v>
      </c>
      <c r="Z37" s="397">
        <f>Y37*75%</f>
        <v>0.0401785714285713</v>
      </c>
      <c r="AA37" s="398"/>
      <c r="AB37" s="398"/>
      <c r="AC37" s="398"/>
      <c r="AK37" s="342"/>
      <c r="AL37" s="342"/>
      <c r="AM37" s="342"/>
      <c r="AN37" s="342"/>
      <c r="AT37" s="366"/>
      <c r="AU37" s="344"/>
      <c r="AV37" s="345"/>
      <c r="AX37" s="334"/>
    </row>
    <row r="38" customHeight="1" spans="1:58">
      <c r="A38" s="351" t="s">
        <v>73</v>
      </c>
      <c r="L38" s="348"/>
      <c r="M38" s="348"/>
      <c r="N38" s="348"/>
      <c r="O38" s="348"/>
      <c r="P38" s="348"/>
      <c r="Q38" s="348"/>
      <c r="R38" s="348"/>
      <c r="S38" s="348"/>
      <c r="T38" s="399"/>
      <c r="U38" s="399"/>
      <c r="V38" s="399"/>
      <c r="W38" s="349"/>
      <c r="X38" s="348"/>
      <c r="Y38" s="348"/>
      <c r="Z38" s="348"/>
      <c r="AA38" s="348"/>
      <c r="AB38" s="348"/>
      <c r="AC38" s="348"/>
      <c r="AK38" s="342"/>
      <c r="AL38" s="342"/>
      <c r="AM38" s="342"/>
      <c r="AN38" s="342"/>
      <c r="AT38" s="366"/>
      <c r="AU38" s="344"/>
      <c r="AV38" s="400"/>
      <c r="AW38" s="400"/>
      <c r="AX38" s="401"/>
      <c r="AY38" s="401"/>
      <c r="AZ38" s="401"/>
      <c r="BA38" s="401"/>
      <c r="BB38" s="400"/>
      <c r="BC38" s="401"/>
      <c r="BD38" s="401"/>
      <c r="BE38" s="401"/>
      <c r="BF38" s="401"/>
    </row>
    <row r="39" s="328" customFormat="1" customHeight="1" spans="1:58">
      <c r="A39" s="328" t="s">
        <v>60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6"/>
      <c r="M39" s="356"/>
      <c r="N39" s="356"/>
      <c r="O39" s="356">
        <v>3387</v>
      </c>
      <c r="P39" s="356">
        <v>2978</v>
      </c>
      <c r="Q39" s="356">
        <v>3379</v>
      </c>
      <c r="R39" s="356">
        <v>3585</v>
      </c>
      <c r="S39" s="356">
        <f>Interim!EO33</f>
        <v>3840</v>
      </c>
      <c r="T39" s="356">
        <v>3884</v>
      </c>
      <c r="U39" s="356">
        <v>3911</v>
      </c>
      <c r="V39" s="356">
        <f>Interim!FM33</f>
        <v>5064.752</v>
      </c>
      <c r="W39" s="357">
        <f t="shared" ref="W39:AB39" si="28">W5*W40</f>
        <v>5715.72111908791</v>
      </c>
      <c r="X39" s="402">
        <f t="shared" si="28"/>
        <v>6520.97218215017</v>
      </c>
      <c r="Y39" s="402">
        <f t="shared" si="28"/>
        <v>6723.22170132341</v>
      </c>
      <c r="Z39" s="402">
        <f t="shared" si="28"/>
        <v>6997.97308539332</v>
      </c>
      <c r="AA39" s="402">
        <f t="shared" si="28"/>
        <v>7161.49295763743</v>
      </c>
      <c r="AB39" s="402">
        <f t="shared" si="28"/>
        <v>7281.74285299178</v>
      </c>
      <c r="AC39" s="40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403"/>
      <c r="AP39" s="403"/>
      <c r="AT39" s="358"/>
      <c r="AU39" s="404"/>
      <c r="AV39" s="401"/>
      <c r="AX39" s="405"/>
      <c r="AY39" s="405"/>
      <c r="AZ39" s="406"/>
      <c r="BA39" s="406"/>
      <c r="BB39" s="401"/>
      <c r="BC39" s="405"/>
      <c r="BD39" s="405"/>
      <c r="BE39" s="401"/>
      <c r="BF39" s="401"/>
    </row>
    <row r="40" s="328" customFormat="1" customHeight="1" spans="1:58">
      <c r="A40" s="331" t="s">
        <v>74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6"/>
      <c r="M40" s="356"/>
      <c r="N40" s="356"/>
      <c r="O40" s="362">
        <f>O39/O$5</f>
        <v>0.436581593194122</v>
      </c>
      <c r="P40" s="362">
        <f>P39/P$5</f>
        <v>0.415689558905639</v>
      </c>
      <c r="Q40" s="407">
        <f>Q39/Q5</f>
        <v>0.41303019190808</v>
      </c>
      <c r="R40" s="407">
        <f>Interim!EG35</f>
        <v>0.398882681564246</v>
      </c>
      <c r="S40" s="407">
        <f>+S39/S5</f>
        <v>0.402811287107941</v>
      </c>
      <c r="T40" s="407">
        <f>T39/T5</f>
        <v>0.426813186813187</v>
      </c>
      <c r="U40" s="407">
        <f>U39/U5</f>
        <v>0.417128839590444</v>
      </c>
      <c r="V40" s="407">
        <f>V39/V5</f>
        <v>0.451122472610671</v>
      </c>
      <c r="W40" s="408">
        <f>V40-0.5%</f>
        <v>0.446122472610671</v>
      </c>
      <c r="X40" s="409">
        <f>W40</f>
        <v>0.446122472610671</v>
      </c>
      <c r="Y40" s="409">
        <f>X40+0.1%</f>
        <v>0.447122472610671</v>
      </c>
      <c r="Z40" s="409">
        <f>Y40+0.1%</f>
        <v>0.448122472610671</v>
      </c>
      <c r="AA40" s="409">
        <f>Z40+0.1%</f>
        <v>0.449122472610671</v>
      </c>
      <c r="AB40" s="409">
        <f>AA40+0.1%</f>
        <v>0.450122472610671</v>
      </c>
      <c r="AC40" s="409"/>
      <c r="AD40" s="342"/>
      <c r="AE40" s="342"/>
      <c r="AF40" s="342"/>
      <c r="AG40" s="342"/>
      <c r="AH40" s="342"/>
      <c r="AI40" s="342"/>
      <c r="AJ40" s="342"/>
      <c r="AK40" s="342"/>
      <c r="AL40" s="342"/>
      <c r="AM40" s="342"/>
      <c r="AN40" s="342"/>
      <c r="AT40" s="365"/>
      <c r="AU40" s="410"/>
      <c r="AV40" s="411"/>
      <c r="AW40" s="411"/>
      <c r="AX40" s="411"/>
      <c r="AY40" s="411"/>
      <c r="AZ40" s="411"/>
      <c r="BA40" s="334"/>
      <c r="BB40" s="411"/>
      <c r="BC40" s="411"/>
      <c r="BD40" s="411"/>
      <c r="BE40" s="411"/>
      <c r="BF40" s="411"/>
    </row>
    <row r="41" s="328" customFormat="1" customHeight="1" spans="1:58">
      <c r="A41" s="328" t="s">
        <v>62</v>
      </c>
      <c r="B41" s="355"/>
      <c r="C41" s="355"/>
      <c r="D41" s="355"/>
      <c r="E41" s="355"/>
      <c r="F41" s="355"/>
      <c r="G41" s="355"/>
      <c r="H41" s="355"/>
      <c r="I41" s="355"/>
      <c r="J41" s="355"/>
      <c r="K41" s="355"/>
      <c r="L41" s="356"/>
      <c r="M41" s="356"/>
      <c r="N41" s="356"/>
      <c r="O41" s="356">
        <v>1069</v>
      </c>
      <c r="P41" s="356">
        <v>1116</v>
      </c>
      <c r="Q41" s="412">
        <v>1476</v>
      </c>
      <c r="R41" s="412">
        <v>1749</v>
      </c>
      <c r="S41" s="412">
        <f>Interim!EO36</f>
        <v>2055</v>
      </c>
      <c r="T41" s="412">
        <v>2143</v>
      </c>
      <c r="U41" s="412">
        <v>2281</v>
      </c>
      <c r="V41" s="412">
        <f>Interim!FM36</f>
        <v>2606.248</v>
      </c>
      <c r="W41" s="413">
        <f t="shared" ref="W41:AB41" si="29">W10*W42</f>
        <v>3014.04733451789</v>
      </c>
      <c r="X41" s="402">
        <f t="shared" si="29"/>
        <v>3559.64526889363</v>
      </c>
      <c r="Y41" s="402">
        <f t="shared" si="29"/>
        <v>4102.27024208847</v>
      </c>
      <c r="Z41" s="402">
        <f t="shared" si="29"/>
        <v>4838.89540383462</v>
      </c>
      <c r="AA41" s="402">
        <f t="shared" si="29"/>
        <v>5707.55173876406</v>
      </c>
      <c r="AB41" s="402">
        <f t="shared" si="29"/>
        <v>6731.86456565374</v>
      </c>
      <c r="AC41" s="402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403"/>
      <c r="AP41" s="403"/>
      <c r="AT41" s="358"/>
      <c r="AU41" s="358"/>
      <c r="AV41" s="414"/>
      <c r="BA41" s="411"/>
      <c r="BB41" s="362"/>
    </row>
    <row r="42" customHeight="1" spans="1:58">
      <c r="A42" s="331" t="s">
        <v>74</v>
      </c>
      <c r="L42" s="369"/>
      <c r="M42" s="369"/>
      <c r="N42" s="369"/>
      <c r="O42" s="362">
        <f>O41/O$10</f>
        <v>0.615074798619102</v>
      </c>
      <c r="P42" s="362">
        <f>P41/P$10</f>
        <v>0.585519412381952</v>
      </c>
      <c r="Q42" s="407">
        <f>Q41/Q10</f>
        <v>0.617831728756802</v>
      </c>
      <c r="R42" s="407">
        <f>Interim!EG38</f>
        <v>0.626208378088077</v>
      </c>
      <c r="S42" s="407">
        <f>+S41/S10</f>
        <v>0.609249925882004</v>
      </c>
      <c r="T42" s="407">
        <f>T41/T10</f>
        <v>0.62188044109112</v>
      </c>
      <c r="U42" s="407">
        <f>U41/U10</f>
        <v>0.597032084275549</v>
      </c>
      <c r="V42" s="407">
        <f>V41/V10</f>
        <v>0.617447998104715</v>
      </c>
      <c r="W42" s="408">
        <f>V42-1.5%</f>
        <v>0.602447998104714</v>
      </c>
      <c r="X42" s="409">
        <f>W42+0.5%</f>
        <v>0.607447998104715</v>
      </c>
      <c r="Y42" s="409">
        <f>X42+0.4%</f>
        <v>0.611447998104715</v>
      </c>
      <c r="Z42" s="409">
        <f>Y42+0.4%</f>
        <v>0.615447998104715</v>
      </c>
      <c r="AA42" s="409">
        <f>Z42+0.4%</f>
        <v>0.619447998104715</v>
      </c>
      <c r="AB42" s="409">
        <f>AA42+0.4%</f>
        <v>0.623447998104715</v>
      </c>
      <c r="AC42" s="409"/>
      <c r="AK42" s="342"/>
      <c r="AL42" s="342"/>
      <c r="AM42" s="342"/>
      <c r="AN42" s="342"/>
      <c r="AT42" s="365"/>
      <c r="AU42" s="415"/>
      <c r="AV42" s="414"/>
      <c r="AX42" s="360"/>
      <c r="BA42" s="405"/>
    </row>
    <row r="43" s="328" customFormat="1" customHeight="1" spans="1:58">
      <c r="A43" s="328" t="s">
        <v>70</v>
      </c>
      <c r="B43" s="355"/>
      <c r="C43" s="355"/>
      <c r="D43" s="355"/>
      <c r="E43" s="355"/>
      <c r="F43" s="355"/>
      <c r="G43" s="355"/>
      <c r="H43" s="355"/>
      <c r="I43" s="355"/>
      <c r="J43" s="355"/>
      <c r="K43" s="355"/>
      <c r="L43" s="356"/>
      <c r="M43" s="356"/>
      <c r="N43" s="356"/>
      <c r="O43" s="356">
        <v>543</v>
      </c>
      <c r="P43" s="356">
        <v>509</v>
      </c>
      <c r="Q43" s="412">
        <v>618</v>
      </c>
      <c r="R43" s="412">
        <v>688</v>
      </c>
      <c r="S43" s="412">
        <f>Interim!EO42</f>
        <v>845</v>
      </c>
      <c r="T43" s="412">
        <v>799</v>
      </c>
      <c r="U43" s="412">
        <v>457</v>
      </c>
      <c r="V43" s="412">
        <f>Interim!FM42</f>
        <v>497</v>
      </c>
      <c r="W43" s="413">
        <f t="shared" ref="W43:AB43" si="30">W27*W44</f>
        <v>553</v>
      </c>
      <c r="X43" s="402">
        <f t="shared" si="30"/>
        <v>280.77620338983</v>
      </c>
      <c r="Y43" s="402">
        <f t="shared" si="30"/>
        <v>285.362505334028</v>
      </c>
      <c r="Z43" s="402">
        <f t="shared" si="30"/>
        <v>299.630630600729</v>
      </c>
      <c r="AA43" s="402">
        <f t="shared" si="30"/>
        <v>314.612162130765</v>
      </c>
      <c r="AB43" s="402">
        <f t="shared" si="30"/>
        <v>330.342770237304</v>
      </c>
      <c r="AC43" s="402"/>
      <c r="AD43" s="342"/>
      <c r="AE43" s="342"/>
      <c r="AF43" s="342"/>
      <c r="AG43" s="342"/>
      <c r="AH43" s="342"/>
      <c r="AI43" s="342"/>
      <c r="AJ43" s="342"/>
      <c r="AK43" s="342"/>
      <c r="AL43" s="342"/>
      <c r="AM43" s="342"/>
      <c r="AN43" s="342"/>
      <c r="AT43" s="358"/>
      <c r="AU43" s="358"/>
      <c r="AV43" s="414"/>
      <c r="AW43" s="400"/>
      <c r="AX43" s="401"/>
      <c r="AY43" s="401"/>
      <c r="AZ43" s="401"/>
      <c r="BA43" s="401"/>
      <c r="BB43" s="400"/>
    </row>
    <row r="44" customHeight="1" spans="1:58">
      <c r="A44" s="331" t="s">
        <v>74</v>
      </c>
      <c r="L44" s="369"/>
      <c r="M44" s="369"/>
      <c r="N44" s="369"/>
      <c r="O44" s="362">
        <f>O43/O$27</f>
        <v>0.422568093385214</v>
      </c>
      <c r="P44" s="362">
        <f>P43/P$27</f>
        <v>0.393658159319412</v>
      </c>
      <c r="Q44" s="407">
        <f>Q43/Q27</f>
        <v>0.435211267605634</v>
      </c>
      <c r="R44" s="407">
        <f>Interim!EG44</f>
        <v>0.435443037974684</v>
      </c>
      <c r="S44" s="407">
        <f>+S43/S27</f>
        <v>0.427415275670207</v>
      </c>
      <c r="T44" s="407">
        <f>T43/T27</f>
        <v>0.48161543098252</v>
      </c>
      <c r="U44" s="407">
        <f>U43/U27</f>
        <v>0.336524300441826</v>
      </c>
      <c r="V44" s="407">
        <f>V43/V27</f>
        <v>0.338786639400136</v>
      </c>
      <c r="W44" s="408">
        <f>W310</f>
        <v>0.374915254237288</v>
      </c>
      <c r="X44" s="409">
        <f>W44+0.4%</f>
        <v>0.378915254237288</v>
      </c>
      <c r="Y44" s="409">
        <f>X44</f>
        <v>0.378915254237288</v>
      </c>
      <c r="Z44" s="409">
        <f>Y44</f>
        <v>0.378915254237288</v>
      </c>
      <c r="AA44" s="409">
        <f>Z44</f>
        <v>0.378915254237288</v>
      </c>
      <c r="AB44" s="409">
        <f>AA44</f>
        <v>0.378915254237288</v>
      </c>
      <c r="AC44" s="409"/>
      <c r="AK44" s="342"/>
      <c r="AL44" s="342"/>
      <c r="AM44" s="342"/>
      <c r="AN44" s="342"/>
      <c r="AT44" s="365"/>
      <c r="AU44" s="365"/>
      <c r="AV44" s="414"/>
      <c r="AW44" s="416"/>
      <c r="AX44" s="417"/>
      <c r="AY44" s="417"/>
      <c r="AZ44" s="418"/>
      <c r="BA44" s="418"/>
      <c r="BB44" s="419"/>
    </row>
    <row r="45" s="331" customFormat="1" customHeight="1" spans="1:58">
      <c r="A45" s="385" t="s">
        <v>75</v>
      </c>
      <c r="B45" s="386"/>
      <c r="C45" s="386"/>
      <c r="D45" s="386"/>
      <c r="E45" s="386"/>
      <c r="F45" s="386"/>
      <c r="G45" s="386"/>
      <c r="H45" s="386"/>
      <c r="I45" s="386"/>
      <c r="J45" s="386"/>
      <c r="K45" s="386"/>
      <c r="L45" s="387"/>
      <c r="M45" s="387"/>
      <c r="N45" s="387"/>
      <c r="O45" s="387">
        <f>SUM(O43,O41,O39,)</f>
        <v>4999</v>
      </c>
      <c r="P45" s="387">
        <f>SUM(P43,P41,P39,)</f>
        <v>4603</v>
      </c>
      <c r="Q45" s="387">
        <f>SUM(Q43,Q41,Q39)-Interim!DY49</f>
        <v>5728</v>
      </c>
      <c r="R45" s="387">
        <f>+R39+R41+R43-Interim!EG49</f>
        <v>6359</v>
      </c>
      <c r="S45" s="387">
        <f>Interim!EO395</f>
        <v>7104</v>
      </c>
      <c r="T45" s="387">
        <f>Interim!EW45</f>
        <v>7140</v>
      </c>
      <c r="U45" s="387">
        <f>U326</f>
        <v>6924</v>
      </c>
      <c r="V45" s="387">
        <f t="shared" ref="V45:AB45" si="31">SUM(V43,V41,V39)</f>
        <v>8168</v>
      </c>
      <c r="W45" s="388">
        <f t="shared" si="31"/>
        <v>9282.7684536058</v>
      </c>
      <c r="X45" s="387">
        <f t="shared" si="31"/>
        <v>10361.3936544336</v>
      </c>
      <c r="Y45" s="387">
        <f t="shared" si="31"/>
        <v>11110.8544487459</v>
      </c>
      <c r="Z45" s="387">
        <f t="shared" si="31"/>
        <v>12136.4991198287</v>
      </c>
      <c r="AA45" s="387">
        <f t="shared" si="31"/>
        <v>13183.6568585323</v>
      </c>
      <c r="AB45" s="387">
        <f t="shared" si="31"/>
        <v>14343.9501888828</v>
      </c>
      <c r="AC45" s="387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34"/>
      <c r="AP45" s="334"/>
      <c r="AQ45" s="334"/>
      <c r="AR45" s="334"/>
      <c r="AT45" s="420"/>
      <c r="AU45" s="420"/>
      <c r="AV45" s="421"/>
      <c r="AW45" s="418"/>
      <c r="AX45" s="417"/>
      <c r="AY45" s="417"/>
      <c r="AZ45" s="417"/>
      <c r="BA45" s="418"/>
      <c r="BB45" s="417"/>
    </row>
    <row r="46" customHeight="1" spans="1:58">
      <c r="A46" s="331" t="s">
        <v>74</v>
      </c>
      <c r="L46" s="369"/>
      <c r="M46" s="369"/>
      <c r="N46" s="369"/>
      <c r="O46" s="362">
        <f>O45/O$32</f>
        <v>0.463686114460625</v>
      </c>
      <c r="P46" s="362">
        <f>P45/P$32</f>
        <v>0.444176396796295</v>
      </c>
      <c r="Q46" s="407">
        <f>Q45/Q$32</f>
        <v>0.477731442869058</v>
      </c>
      <c r="R46" s="407">
        <f>R45/R$32</f>
        <v>0.477294903550251</v>
      </c>
      <c r="S46" s="407">
        <f>S45/S32</f>
        <v>0.477323120338641</v>
      </c>
      <c r="T46" s="407">
        <f t="shared" ref="T46:AB46" si="32">T45/T$32</f>
        <v>0.502639915522703</v>
      </c>
      <c r="U46" s="407">
        <f t="shared" si="32"/>
        <v>0.47640016513004</v>
      </c>
      <c r="V46" s="407">
        <f t="shared" si="32"/>
        <v>0.482885013301803</v>
      </c>
      <c r="W46" s="408">
        <f t="shared" si="32"/>
        <v>0.481221796454422</v>
      </c>
      <c r="X46" s="362">
        <f t="shared" si="32"/>
        <v>0.488330363579679</v>
      </c>
      <c r="Y46" s="362">
        <f t="shared" si="32"/>
        <v>0.493840869722218</v>
      </c>
      <c r="Z46" s="362">
        <f t="shared" si="32"/>
        <v>0.500074940587381</v>
      </c>
      <c r="AA46" s="362">
        <f t="shared" si="32"/>
        <v>0.507263656468354</v>
      </c>
      <c r="AB46" s="362">
        <f t="shared" si="32"/>
        <v>0.515101242252205</v>
      </c>
      <c r="AC46" s="362"/>
      <c r="AK46" s="342"/>
      <c r="AL46" s="342"/>
      <c r="AM46" s="342"/>
      <c r="AN46" s="342"/>
      <c r="AO46" s="334"/>
      <c r="AP46" s="334"/>
      <c r="AR46" s="334"/>
      <c r="AS46" s="331"/>
      <c r="AT46" s="422"/>
      <c r="AU46" s="422"/>
      <c r="AV46" s="345"/>
    </row>
    <row r="47" customHeight="1" spans="1:58">
      <c r="A47" s="331" t="s">
        <v>61</v>
      </c>
      <c r="L47" s="369"/>
      <c r="M47" s="369"/>
      <c r="N47" s="369"/>
      <c r="O47" s="362"/>
      <c r="P47" s="362"/>
      <c r="Q47" s="407">
        <f t="shared" ref="Q47:AB47" si="33">Q45/P45-1</f>
        <v>0.244405822289811</v>
      </c>
      <c r="R47" s="407">
        <f t="shared" si="33"/>
        <v>0.11016061452514</v>
      </c>
      <c r="S47" s="407">
        <f t="shared" si="33"/>
        <v>0.117156785658122</v>
      </c>
      <c r="T47" s="407">
        <f t="shared" si="33"/>
        <v>0.00506756756756754</v>
      </c>
      <c r="U47" s="407">
        <f t="shared" si="33"/>
        <v>-0.0302521008403361</v>
      </c>
      <c r="V47" s="407">
        <f t="shared" si="33"/>
        <v>0.179664933564414</v>
      </c>
      <c r="W47" s="408">
        <f t="shared" si="33"/>
        <v>0.136479977179946</v>
      </c>
      <c r="X47" s="362">
        <f t="shared" si="33"/>
        <v>0.116196499591547</v>
      </c>
      <c r="Y47" s="362">
        <f t="shared" si="33"/>
        <v>0.072332045215904</v>
      </c>
      <c r="Z47" s="362">
        <f t="shared" si="33"/>
        <v>0.0923101527262404</v>
      </c>
      <c r="AA47" s="362">
        <f t="shared" si="33"/>
        <v>0.0862816969180789</v>
      </c>
      <c r="AB47" s="362">
        <f t="shared" si="33"/>
        <v>0.0880099765035716</v>
      </c>
      <c r="AC47" s="362"/>
      <c r="AK47" s="342"/>
      <c r="AL47" s="342"/>
      <c r="AM47" s="342"/>
      <c r="AN47" s="342"/>
      <c r="AO47" s="334"/>
      <c r="AP47" s="334"/>
      <c r="AR47" s="334"/>
      <c r="AS47" s="331"/>
      <c r="AT47" s="423"/>
      <c r="AU47" s="423"/>
      <c r="AV47" s="345"/>
      <c r="AX47" s="333"/>
    </row>
    <row r="48" customHeight="1" spans="1:58">
      <c r="A48" s="331"/>
      <c r="L48" s="369"/>
      <c r="M48" s="369"/>
      <c r="N48" s="369"/>
      <c r="O48" s="424">
        <f t="shared" ref="O48:AB48" si="34">O46/O328</f>
        <v>0.952691466906448</v>
      </c>
      <c r="P48" s="424">
        <f t="shared" si="34"/>
        <v>0.978564341074349</v>
      </c>
      <c r="Q48" s="424">
        <f t="shared" si="34"/>
        <v>0.999650959860384</v>
      </c>
      <c r="R48" s="424">
        <f t="shared" si="34"/>
        <v>1.00474008532154</v>
      </c>
      <c r="S48" s="424">
        <f t="shared" si="34"/>
        <v>1.00014078558356</v>
      </c>
      <c r="T48" s="424">
        <f t="shared" si="34"/>
        <v>1.01985430652764</v>
      </c>
      <c r="U48" s="424">
        <f t="shared" si="34"/>
        <v>1</v>
      </c>
      <c r="V48" s="424">
        <f t="shared" si="34"/>
        <v>1</v>
      </c>
      <c r="W48" s="425">
        <f t="shared" si="34"/>
        <v>0.989739679454718</v>
      </c>
      <c r="X48" s="424">
        <f t="shared" si="34"/>
        <v>0.968083121968946</v>
      </c>
      <c r="Y48" s="424">
        <f t="shared" si="34"/>
        <v>0.96184616522125</v>
      </c>
      <c r="Z48" s="424">
        <f t="shared" si="34"/>
        <v>0.959965346308193</v>
      </c>
      <c r="AA48" s="424">
        <f t="shared" si="34"/>
        <v>0.964507563404533</v>
      </c>
      <c r="AB48" s="424">
        <f t="shared" si="34"/>
        <v>0.970186366310147</v>
      </c>
      <c r="AC48" s="424"/>
      <c r="AK48" s="342"/>
      <c r="AL48" s="342"/>
      <c r="AM48" s="342"/>
      <c r="AN48" s="342"/>
      <c r="AT48" s="426"/>
      <c r="AU48" s="426"/>
      <c r="AV48" s="345"/>
      <c r="AX48" s="333"/>
    </row>
    <row r="49" customHeight="1" spans="1:197">
      <c r="A49" s="351" t="s">
        <v>76</v>
      </c>
      <c r="B49" s="347" t="s">
        <v>14</v>
      </c>
      <c r="C49" s="347" t="s">
        <v>15</v>
      </c>
      <c r="D49" s="347" t="s">
        <v>16</v>
      </c>
      <c r="E49" s="347" t="s">
        <v>17</v>
      </c>
      <c r="F49" s="347" t="s">
        <v>18</v>
      </c>
      <c r="G49" s="347" t="s">
        <v>19</v>
      </c>
      <c r="H49" s="347" t="s">
        <v>20</v>
      </c>
      <c r="I49" s="347" t="s">
        <v>21</v>
      </c>
      <c r="J49" s="347" t="s">
        <v>22</v>
      </c>
      <c r="K49" s="347" t="s">
        <v>23</v>
      </c>
      <c r="L49" s="348" t="s">
        <v>24</v>
      </c>
      <c r="M49" s="348" t="s">
        <v>25</v>
      </c>
      <c r="N49" s="348" t="s">
        <v>26</v>
      </c>
      <c r="O49" s="348" t="s">
        <v>27</v>
      </c>
      <c r="P49" s="348" t="s">
        <v>28</v>
      </c>
      <c r="Q49" s="348" t="s">
        <v>29</v>
      </c>
      <c r="R49" s="348" t="s">
        <v>30</v>
      </c>
      <c r="S49" s="348" t="s">
        <v>77</v>
      </c>
      <c r="T49" s="348" t="s">
        <v>78</v>
      </c>
      <c r="U49" s="348" t="s">
        <v>79</v>
      </c>
      <c r="V49" s="348" t="str">
        <f t="shared" ref="V49:AB49" si="35">V1</f>
        <v>FY 15</v>
      </c>
      <c r="W49" s="349" t="str">
        <f t="shared" si="35"/>
        <v>FY 16</v>
      </c>
      <c r="X49" s="348" t="str">
        <f t="shared" si="35"/>
        <v>FY 17E</v>
      </c>
      <c r="Y49" s="348" t="str">
        <f t="shared" si="35"/>
        <v>FY 18E</v>
      </c>
      <c r="Z49" s="348" t="str">
        <f t="shared" si="35"/>
        <v>FY 19E</v>
      </c>
      <c r="AA49" s="348" t="str">
        <f t="shared" si="35"/>
        <v>FY 20E</v>
      </c>
      <c r="AB49" s="348" t="str">
        <f t="shared" si="35"/>
        <v>FY 21E</v>
      </c>
      <c r="AC49" s="348"/>
      <c r="AK49" s="342"/>
      <c r="AL49" s="342"/>
      <c r="AM49" s="342"/>
      <c r="AN49" s="342"/>
      <c r="AS49" s="334"/>
      <c r="AT49" s="344"/>
      <c r="AU49" s="427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V49" s="341"/>
      <c r="BW49" s="341"/>
      <c r="BX49" s="341"/>
      <c r="BY49" s="428"/>
      <c r="BZ49" s="341"/>
      <c r="CA49" s="341"/>
      <c r="CB49" s="341"/>
      <c r="CC49" s="341"/>
      <c r="CD49" s="341"/>
      <c r="CE49" s="341"/>
      <c r="CF49" s="341"/>
      <c r="CG49" s="341"/>
      <c r="CH49" s="429"/>
      <c r="CI49" s="341"/>
      <c r="CJ49" s="341"/>
      <c r="CK49" s="341"/>
      <c r="CL49" s="341"/>
      <c r="CM49" s="341"/>
      <c r="CN49" s="341"/>
      <c r="CO49" s="428"/>
      <c r="CP49" s="429"/>
      <c r="CQ49" s="341"/>
      <c r="CR49" s="341"/>
      <c r="CS49" s="341"/>
      <c r="CT49" s="341"/>
      <c r="CU49" s="341"/>
      <c r="CV49" s="341"/>
      <c r="CW49" s="428"/>
      <c r="CX49" s="429"/>
      <c r="CY49" s="341"/>
      <c r="CZ49" s="341"/>
      <c r="DA49" s="341"/>
      <c r="DB49" s="341"/>
      <c r="DC49" s="341"/>
      <c r="DD49" s="430"/>
      <c r="DE49" s="428"/>
      <c r="DF49" s="429"/>
      <c r="DG49" s="341"/>
      <c r="DH49" s="341"/>
      <c r="DI49" s="341"/>
      <c r="DJ49" s="341"/>
      <c r="DK49" s="341"/>
      <c r="DL49" s="341"/>
      <c r="DM49" s="428"/>
      <c r="DN49" s="351"/>
      <c r="DO49" s="351"/>
      <c r="DP49" s="351"/>
      <c r="DQ49" s="351"/>
      <c r="DR49" s="351"/>
      <c r="DS49" s="351"/>
      <c r="DT49" s="351"/>
      <c r="DU49" s="351"/>
      <c r="DV49" s="348">
        <f>DV$2</f>
        <v>0</v>
      </c>
      <c r="DW49" s="348">
        <f t="shared" ref="DW49:ES49" si="36">DW$2</f>
        <v>0</v>
      </c>
      <c r="DX49" s="348">
        <f t="shared" si="36"/>
        <v>0</v>
      </c>
      <c r="DY49" s="348">
        <f t="shared" si="36"/>
        <v>0</v>
      </c>
      <c r="DZ49" s="348">
        <f t="shared" si="36"/>
        <v>0</v>
      </c>
      <c r="EA49" s="348">
        <f t="shared" si="36"/>
        <v>0</v>
      </c>
      <c r="EB49" s="348">
        <f t="shared" si="36"/>
        <v>0</v>
      </c>
      <c r="EC49" s="349">
        <f t="shared" si="36"/>
        <v>0</v>
      </c>
      <c r="ED49" s="348">
        <f t="shared" si="36"/>
        <v>0</v>
      </c>
      <c r="EE49" s="348">
        <f t="shared" si="36"/>
        <v>0</v>
      </c>
      <c r="EF49" s="348">
        <f t="shared" si="36"/>
        <v>0</v>
      </c>
      <c r="EG49" s="348">
        <f t="shared" si="36"/>
        <v>0</v>
      </c>
      <c r="EH49" s="348">
        <f t="shared" si="36"/>
        <v>0</v>
      </c>
      <c r="EI49" s="348">
        <f t="shared" si="36"/>
        <v>0</v>
      </c>
      <c r="EJ49" s="348">
        <f t="shared" si="36"/>
        <v>0</v>
      </c>
      <c r="EK49" s="349">
        <f t="shared" si="36"/>
        <v>0</v>
      </c>
      <c r="EL49" s="348">
        <f t="shared" si="36"/>
        <v>0</v>
      </c>
      <c r="EM49" s="348">
        <f t="shared" si="36"/>
        <v>0</v>
      </c>
      <c r="EN49" s="348">
        <f t="shared" si="36"/>
        <v>0</v>
      </c>
      <c r="EO49" s="348">
        <f t="shared" si="36"/>
        <v>0</v>
      </c>
      <c r="EP49" s="348">
        <f t="shared" si="36"/>
        <v>0</v>
      </c>
      <c r="EQ49" s="348">
        <f t="shared" si="36"/>
        <v>0</v>
      </c>
      <c r="ER49" s="348">
        <f t="shared" si="36"/>
        <v>0</v>
      </c>
      <c r="ES49" s="349">
        <f t="shared" si="36"/>
        <v>0</v>
      </c>
      <c r="ET49" s="431"/>
      <c r="EV49" s="341"/>
      <c r="GO49" s="361"/>
    </row>
    <row r="50" customHeight="1" spans="1:197">
      <c r="A50" s="328" t="s">
        <v>60</v>
      </c>
      <c r="O50" s="362"/>
      <c r="P50" s="362"/>
      <c r="Q50" s="362"/>
      <c r="R50" s="362"/>
      <c r="S50" s="362"/>
      <c r="W50" s="384"/>
      <c r="X50" s="362"/>
      <c r="Y50" s="362"/>
      <c r="Z50" s="362"/>
      <c r="AA50" s="362"/>
      <c r="AB50" s="362"/>
      <c r="AC50" s="362"/>
      <c r="AK50" s="342"/>
      <c r="AL50" s="342"/>
      <c r="AM50" s="342"/>
      <c r="AN50" s="342"/>
      <c r="AT50" s="344"/>
      <c r="AU50" s="344"/>
      <c r="AV50" s="345"/>
      <c r="BE50" s="341"/>
      <c r="BF50" s="341"/>
      <c r="BG50" s="341"/>
      <c r="BH50" s="341"/>
      <c r="BI50" s="341"/>
      <c r="BJ50" s="341"/>
      <c r="BK50" s="341"/>
      <c r="BL50" s="341"/>
      <c r="BM50" s="341"/>
      <c r="BN50" s="341"/>
      <c r="BO50" s="341"/>
      <c r="BV50" s="341"/>
      <c r="BW50" s="341"/>
      <c r="BX50" s="341"/>
      <c r="BY50" s="428"/>
      <c r="BZ50" s="341"/>
      <c r="CA50" s="341"/>
      <c r="CB50" s="341"/>
      <c r="CC50" s="341"/>
      <c r="CD50" s="341"/>
      <c r="CE50" s="341"/>
      <c r="CF50" s="341"/>
      <c r="CG50" s="341"/>
      <c r="CH50" s="429"/>
      <c r="CI50" s="341"/>
      <c r="CJ50" s="341"/>
      <c r="CK50" s="341"/>
      <c r="CL50" s="341"/>
      <c r="CM50" s="341"/>
      <c r="CN50" s="341"/>
      <c r="CO50" s="428"/>
      <c r="CP50" s="429"/>
      <c r="CQ50" s="341"/>
      <c r="CR50" s="341"/>
      <c r="CS50" s="341"/>
      <c r="CT50" s="341"/>
      <c r="CU50" s="341"/>
      <c r="CV50" s="341"/>
      <c r="CW50" s="428"/>
      <c r="CX50" s="429"/>
      <c r="CY50" s="341"/>
      <c r="CZ50" s="341"/>
      <c r="DA50" s="341"/>
      <c r="DB50" s="341"/>
      <c r="DC50" s="341"/>
      <c r="DD50" s="430"/>
      <c r="DE50" s="428"/>
      <c r="DF50" s="429"/>
      <c r="DG50" s="341"/>
      <c r="DH50" s="341"/>
      <c r="DI50" s="341"/>
      <c r="DJ50" s="341"/>
      <c r="DK50" s="341"/>
      <c r="DL50" s="341"/>
      <c r="DM50" s="428"/>
      <c r="DN50" s="331"/>
      <c r="DO50" s="331"/>
      <c r="DP50" s="331"/>
      <c r="DQ50" s="331"/>
      <c r="DR50" s="331"/>
      <c r="DS50" s="331"/>
      <c r="DT50" s="331"/>
      <c r="DU50" s="331"/>
      <c r="DV50" s="395"/>
      <c r="DW50" s="395"/>
      <c r="DX50" s="395"/>
      <c r="DY50" s="395"/>
      <c r="DZ50" s="395"/>
      <c r="EA50" s="395"/>
      <c r="EB50" s="395"/>
      <c r="EC50" s="432"/>
      <c r="ED50" s="395"/>
      <c r="EE50" s="395"/>
      <c r="EF50" s="395"/>
      <c r="EG50" s="395"/>
      <c r="EH50" s="395"/>
      <c r="EI50" s="395"/>
      <c r="EJ50" s="395"/>
      <c r="EK50" s="432"/>
      <c r="EL50" s="395"/>
      <c r="EM50" s="395"/>
      <c r="EN50" s="395"/>
      <c r="EO50" s="395"/>
      <c r="EP50" s="395"/>
      <c r="EQ50" s="395"/>
      <c r="ER50" s="395"/>
      <c r="ES50" s="432"/>
      <c r="ET50" s="431"/>
      <c r="EV50" s="341"/>
      <c r="GO50" s="331"/>
    </row>
    <row r="51" s="333" customFormat="1" customHeight="1" spans="1:197">
      <c r="A51" s="433" t="s">
        <v>80</v>
      </c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34"/>
      <c r="M51" s="434"/>
      <c r="N51" s="434"/>
      <c r="O51" s="435">
        <f>Interim!DI58</f>
        <v>0.46</v>
      </c>
      <c r="P51" s="435">
        <f>Interim!DQ58</f>
        <v>0.444</v>
      </c>
      <c r="Q51" s="436">
        <v>0.437</v>
      </c>
      <c r="R51" s="436">
        <f>+Interim!EG58</f>
        <v>0.42</v>
      </c>
      <c r="S51" s="436">
        <f>+Interim!EO58</f>
        <v>0.421</v>
      </c>
      <c r="T51" s="436">
        <v>0.442</v>
      </c>
      <c r="U51" s="436">
        <v>0.433</v>
      </c>
      <c r="V51" s="436">
        <f t="shared" ref="V51:AB51" si="37">U51+((V40-U40)+0.1%)</f>
        <v>0.467993633020227</v>
      </c>
      <c r="W51" s="437">
        <f t="shared" si="37"/>
        <v>0.463993633020227</v>
      </c>
      <c r="X51" s="438">
        <f t="shared" si="37"/>
        <v>0.464993633020227</v>
      </c>
      <c r="Y51" s="438">
        <f t="shared" si="37"/>
        <v>0.466993633020227</v>
      </c>
      <c r="Z51" s="438">
        <f t="shared" si="37"/>
        <v>0.468993633020227</v>
      </c>
      <c r="AA51" s="438">
        <f t="shared" si="37"/>
        <v>0.470993633020227</v>
      </c>
      <c r="AB51" s="438">
        <f t="shared" si="37"/>
        <v>0.472993633020227</v>
      </c>
      <c r="AC51" s="438"/>
      <c r="AD51" s="342"/>
      <c r="AE51" s="342"/>
      <c r="AF51" s="342"/>
      <c r="AG51" s="342"/>
      <c r="AH51" s="342"/>
      <c r="AI51" s="342"/>
      <c r="AJ51" s="342"/>
      <c r="AK51" s="342"/>
      <c r="AL51" s="342"/>
      <c r="AM51" s="342"/>
      <c r="AN51" s="342"/>
      <c r="AT51" s="404"/>
      <c r="AU51" s="439"/>
      <c r="AW51" s="439"/>
      <c r="BE51" s="401"/>
      <c r="BF51" s="401"/>
      <c r="BG51" s="401"/>
      <c r="BH51" s="401"/>
      <c r="BI51" s="401"/>
      <c r="BJ51" s="401"/>
      <c r="BK51" s="401"/>
      <c r="BL51" s="401"/>
      <c r="BM51" s="401"/>
      <c r="BN51" s="401"/>
      <c r="BO51" s="401"/>
      <c r="BP51" s="340"/>
      <c r="BQ51" s="340"/>
      <c r="BR51" s="340"/>
      <c r="BS51" s="340"/>
      <c r="BT51" s="340"/>
      <c r="BU51" s="340"/>
      <c r="BV51" s="401"/>
      <c r="BW51" s="401"/>
      <c r="BX51" s="401"/>
      <c r="BY51" s="440"/>
      <c r="BZ51" s="401"/>
      <c r="CA51" s="401"/>
      <c r="CB51" s="401"/>
      <c r="CC51" s="401"/>
      <c r="CD51" s="401"/>
      <c r="CE51" s="401"/>
      <c r="CF51" s="401"/>
      <c r="CG51" s="401"/>
      <c r="CH51" s="441"/>
      <c r="CI51" s="401"/>
      <c r="CJ51" s="401"/>
      <c r="CK51" s="401"/>
      <c r="CL51" s="401"/>
      <c r="CM51" s="401"/>
      <c r="CN51" s="401"/>
      <c r="CO51" s="440"/>
      <c r="CP51" s="441"/>
      <c r="CQ51" s="401"/>
      <c r="CR51" s="401"/>
      <c r="CS51" s="401"/>
      <c r="CT51" s="401"/>
      <c r="CU51" s="401"/>
      <c r="CV51" s="401"/>
      <c r="CW51" s="440"/>
      <c r="CX51" s="441"/>
      <c r="CY51" s="401"/>
      <c r="CZ51" s="401"/>
      <c r="DA51" s="401"/>
      <c r="DB51" s="401"/>
      <c r="DC51" s="401"/>
      <c r="DD51" s="442"/>
      <c r="DE51" s="440"/>
      <c r="DF51" s="441"/>
      <c r="DG51" s="401"/>
      <c r="DH51" s="401"/>
      <c r="DI51" s="401"/>
      <c r="DJ51" s="401"/>
      <c r="DK51" s="401"/>
      <c r="DL51" s="401"/>
      <c r="DM51" s="440"/>
      <c r="DN51" s="328"/>
      <c r="DO51" s="328"/>
      <c r="DP51" s="328"/>
      <c r="DQ51" s="328"/>
      <c r="DR51" s="328"/>
      <c r="DS51" s="328"/>
      <c r="DT51" s="328"/>
      <c r="DU51" s="328"/>
      <c r="DV51" s="435">
        <v>0.475</v>
      </c>
      <c r="DW51" s="435">
        <v>0.454</v>
      </c>
      <c r="DX51" s="435"/>
      <c r="DY51" s="435">
        <v>0.474</v>
      </c>
      <c r="DZ51" s="435"/>
      <c r="EA51" s="435">
        <v>0.433</v>
      </c>
      <c r="EB51" s="435"/>
      <c r="EC51" s="443">
        <v>0.46</v>
      </c>
      <c r="ED51" s="435">
        <v>0.456</v>
      </c>
      <c r="EE51" s="435">
        <v>0.424</v>
      </c>
      <c r="EF51" s="435"/>
      <c r="EG51" s="435">
        <v>0.446</v>
      </c>
      <c r="EH51" s="435"/>
      <c r="EI51" s="435">
        <v>0.446</v>
      </c>
      <c r="EJ51" s="435"/>
      <c r="EK51" s="443">
        <v>0.444</v>
      </c>
      <c r="EL51" s="435"/>
      <c r="EM51" s="435"/>
      <c r="EN51" s="435"/>
      <c r="EO51" s="435"/>
      <c r="EP51" s="435"/>
      <c r="EQ51" s="435"/>
      <c r="ER51" s="435"/>
      <c r="ES51" s="443"/>
      <c r="ET51" s="444"/>
      <c r="EV51" s="401"/>
      <c r="GO51" s="328"/>
    </row>
    <row r="52" customHeight="1" spans="1:197">
      <c r="A52" s="445" t="s">
        <v>81</v>
      </c>
      <c r="P52" s="342">
        <f>Interim!DQ59</f>
        <v>-160</v>
      </c>
      <c r="Q52" s="446">
        <f>(Q51-P51)*10000</f>
        <v>-70.0000000000001</v>
      </c>
      <c r="R52" s="446">
        <f>+Interim!EG59</f>
        <v>-170</v>
      </c>
      <c r="S52" s="446">
        <f>+Interim!EO59</f>
        <v>10</v>
      </c>
      <c r="T52" s="446">
        <f t="shared" ref="T52:AB52" si="38">(T51-S51)*10000</f>
        <v>210</v>
      </c>
      <c r="U52" s="446">
        <f t="shared" si="38"/>
        <v>-90.0000000000001</v>
      </c>
      <c r="V52" s="446">
        <f t="shared" si="38"/>
        <v>349.936330202271</v>
      </c>
      <c r="W52" s="447">
        <f t="shared" si="38"/>
        <v>-40</v>
      </c>
      <c r="X52" s="446">
        <f t="shared" si="38"/>
        <v>10</v>
      </c>
      <c r="Y52" s="446">
        <f t="shared" si="38"/>
        <v>20</v>
      </c>
      <c r="Z52" s="446">
        <f t="shared" si="38"/>
        <v>20</v>
      </c>
      <c r="AA52" s="446">
        <f t="shared" si="38"/>
        <v>20</v>
      </c>
      <c r="AB52" s="446">
        <f t="shared" si="38"/>
        <v>20</v>
      </c>
      <c r="AC52" s="446"/>
      <c r="AK52" s="342"/>
      <c r="AL52" s="342"/>
      <c r="AM52" s="342"/>
      <c r="AN52" s="342"/>
      <c r="AT52" s="448"/>
      <c r="AU52" s="422"/>
      <c r="AV52" s="334"/>
      <c r="AW52" s="334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V52" s="341"/>
      <c r="BW52" s="341"/>
      <c r="BX52" s="341"/>
      <c r="BY52" s="428"/>
      <c r="BZ52" s="341"/>
      <c r="CA52" s="341"/>
      <c r="CB52" s="341"/>
      <c r="CC52" s="341"/>
      <c r="CD52" s="341"/>
      <c r="CE52" s="341"/>
      <c r="CF52" s="341"/>
      <c r="CG52" s="341"/>
      <c r="CH52" s="429"/>
      <c r="CI52" s="341"/>
      <c r="CJ52" s="341"/>
      <c r="CK52" s="341"/>
      <c r="CL52" s="341"/>
      <c r="CM52" s="341"/>
      <c r="CN52" s="341"/>
      <c r="CO52" s="428"/>
      <c r="CP52" s="429"/>
      <c r="CQ52" s="341"/>
      <c r="CR52" s="341"/>
      <c r="CS52" s="341"/>
      <c r="CT52" s="341"/>
      <c r="CU52" s="341"/>
      <c r="CV52" s="341"/>
      <c r="CW52" s="428"/>
      <c r="CX52" s="429"/>
      <c r="CY52" s="341"/>
      <c r="CZ52" s="341"/>
      <c r="DA52" s="341"/>
      <c r="DB52" s="341"/>
      <c r="DC52" s="341"/>
      <c r="DD52" s="430"/>
      <c r="DE52" s="428"/>
      <c r="DF52" s="429"/>
      <c r="DG52" s="341"/>
      <c r="DH52" s="341"/>
      <c r="DI52" s="341"/>
      <c r="DJ52" s="341"/>
      <c r="DK52" s="341"/>
      <c r="DL52" s="341"/>
      <c r="DM52" s="428"/>
      <c r="DN52" s="331"/>
      <c r="DO52" s="331"/>
      <c r="DP52" s="331"/>
      <c r="DQ52" s="331"/>
      <c r="DR52" s="331"/>
      <c r="DS52" s="331"/>
      <c r="DT52" s="331"/>
      <c r="DU52" s="331"/>
      <c r="DV52" s="362"/>
      <c r="DW52" s="362"/>
      <c r="DX52" s="362"/>
      <c r="DY52" s="362"/>
      <c r="DZ52" s="362"/>
      <c r="EA52" s="362"/>
      <c r="EB52" s="362"/>
      <c r="EC52" s="384"/>
      <c r="ED52" s="449">
        <f>(ED51-DV51)*10000</f>
        <v>-190</v>
      </c>
      <c r="EE52" s="449">
        <f>(EE51-DW51)*10000</f>
        <v>-300</v>
      </c>
      <c r="EF52" s="362"/>
      <c r="EG52" s="449">
        <f>(EG51-DY51)*10000</f>
        <v>-280</v>
      </c>
      <c r="EH52" s="362"/>
      <c r="EI52" s="449">
        <f>(EI51-EA51)*10000</f>
        <v>130</v>
      </c>
      <c r="EJ52" s="362"/>
      <c r="EK52" s="450">
        <f>(EK51-EC51)*10000</f>
        <v>-160</v>
      </c>
      <c r="EL52" s="362"/>
      <c r="EM52" s="362"/>
      <c r="EN52" s="362"/>
      <c r="EO52" s="362"/>
      <c r="EP52" s="362"/>
      <c r="EQ52" s="362"/>
      <c r="ER52" s="362"/>
      <c r="ES52" s="384"/>
      <c r="ET52" s="431"/>
      <c r="EV52" s="341"/>
      <c r="GO52" s="331"/>
    </row>
    <row r="53" s="333" customFormat="1" customHeight="1" spans="1:197">
      <c r="A53" s="433" t="s">
        <v>82</v>
      </c>
      <c r="B53" s="401"/>
      <c r="C53" s="401"/>
      <c r="D53" s="401"/>
      <c r="E53" s="401"/>
      <c r="F53" s="401"/>
      <c r="G53" s="401"/>
      <c r="H53" s="401"/>
      <c r="I53" s="401"/>
      <c r="J53" s="401"/>
      <c r="K53" s="401"/>
      <c r="L53" s="434"/>
      <c r="M53" s="434"/>
      <c r="N53" s="434"/>
      <c r="O53" s="435">
        <f>Interim!DI60</f>
        <v>0.33</v>
      </c>
      <c r="P53" s="435">
        <f>Interim!DQ60</f>
        <v>0.284</v>
      </c>
      <c r="Q53" s="436">
        <v>0.307</v>
      </c>
      <c r="R53" s="436">
        <f>+Interim!EG60</f>
        <v>0.291</v>
      </c>
      <c r="S53" s="436">
        <f>+Interim!EO60</f>
        <v>0.262</v>
      </c>
      <c r="T53" s="436">
        <v>0.31</v>
      </c>
      <c r="U53" s="436">
        <v>0.286</v>
      </c>
      <c r="V53" s="436">
        <f>(V39-(('Sales &amp; stores'!$O372+'Sales &amp; stores'!$O373)*'Profit and Loss OLd'!V5*'Profit and Loss OLd'!V51))/(V$5*'Sales &amp; stores'!$O374)</f>
        <v>0.341536417211921</v>
      </c>
      <c r="W53" s="437">
        <f>(W39-(('Sales &amp; stores'!$O372+'Sales &amp; stores'!$O373)*'Profit and Loss OLd'!W5*'Profit and Loss OLd'!W51))/(W$5*'Sales &amp; stores'!$O374)</f>
        <v>0.328781683217332</v>
      </c>
      <c r="X53" s="451">
        <f>(X39-(('Sales &amp; stores'!$O372+'Sales &amp; stores'!$O373)*'Profit and Loss OLd'!X5*'Profit and Loss OLd'!X51))/(X$5*'Sales &amp; stores'!$O374)</f>
        <v>0.321225326138883</v>
      </c>
      <c r="Y53" s="451">
        <f>(Y39-(('Sales &amp; stores'!$O372+'Sales &amp; stores'!$O373)*'Profit and Loss OLd'!Y5*'Profit and Loss OLd'!Y51))/(Y$5*'Sales &amp; stores'!$O374)</f>
        <v>0.314708644443662</v>
      </c>
      <c r="Z53" s="451">
        <f>(Z39-(('Sales &amp; stores'!$O372+'Sales &amp; stores'!$O373)*'Profit and Loss OLd'!Z5*'Profit and Loss OLd'!Z51))/(Z$5*'Sales &amp; stores'!$O374)</f>
        <v>0.308191962748442</v>
      </c>
      <c r="AA53" s="451">
        <f>(AA39-(('Sales &amp; stores'!$O372+'Sales &amp; stores'!$O373)*'Profit and Loss OLd'!AA5*'Profit and Loss OLd'!AA51))/(AA$5*'Sales &amp; stores'!$O374)</f>
        <v>0.30167528105322</v>
      </c>
      <c r="AB53" s="451">
        <f>(AB39-(('Sales &amp; stores'!$O372+'Sales &amp; stores'!$O373)*'Profit and Loss OLd'!AB5*'Profit and Loss OLd'!AB51))/(AB$5*'Sales &amp; stores'!$O374)</f>
        <v>0.295158599358</v>
      </c>
      <c r="AC53" s="451"/>
      <c r="AD53" s="342"/>
      <c r="AE53" s="342"/>
      <c r="AF53" s="342"/>
      <c r="AG53" s="342"/>
      <c r="AH53" s="342"/>
      <c r="AI53" s="342"/>
      <c r="AJ53" s="342"/>
      <c r="AK53" s="342"/>
      <c r="AL53" s="342"/>
      <c r="AM53" s="342"/>
      <c r="AN53" s="342"/>
      <c r="AT53" s="404"/>
      <c r="AU53" s="452"/>
      <c r="AV53" s="401"/>
      <c r="AW53" s="453"/>
      <c r="AX53" s="401"/>
      <c r="AY53" s="401"/>
      <c r="AZ53" s="401"/>
      <c r="BA53" s="401"/>
      <c r="BB53" s="401"/>
      <c r="BC53" s="401"/>
      <c r="BD53" s="401"/>
      <c r="BE53" s="401"/>
      <c r="BF53" s="401"/>
      <c r="BG53" s="401"/>
      <c r="BH53" s="401"/>
      <c r="BI53" s="401"/>
      <c r="BJ53" s="401"/>
      <c r="BK53" s="401"/>
      <c r="BL53" s="401"/>
      <c r="BM53" s="401"/>
      <c r="BN53" s="401"/>
      <c r="BO53" s="401"/>
      <c r="BP53" s="340"/>
      <c r="BQ53" s="340"/>
      <c r="BR53" s="340"/>
      <c r="BS53" s="340"/>
      <c r="BT53" s="340"/>
      <c r="BU53" s="340"/>
      <c r="BV53" s="401"/>
      <c r="BW53" s="401"/>
      <c r="BX53" s="401"/>
      <c r="BY53" s="440"/>
      <c r="BZ53" s="401"/>
      <c r="CA53" s="401"/>
      <c r="CB53" s="401"/>
      <c r="CC53" s="401"/>
      <c r="CD53" s="401"/>
      <c r="CE53" s="401"/>
      <c r="CF53" s="401"/>
      <c r="CG53" s="401"/>
      <c r="CH53" s="441"/>
      <c r="CI53" s="401"/>
      <c r="CJ53" s="401"/>
      <c r="CK53" s="401"/>
      <c r="CL53" s="401"/>
      <c r="CM53" s="401"/>
      <c r="CN53" s="401"/>
      <c r="CO53" s="440"/>
      <c r="CP53" s="441"/>
      <c r="CQ53" s="401"/>
      <c r="CR53" s="401"/>
      <c r="CS53" s="401"/>
      <c r="CT53" s="401"/>
      <c r="CU53" s="401"/>
      <c r="CV53" s="401"/>
      <c r="CW53" s="440"/>
      <c r="CX53" s="441"/>
      <c r="CY53" s="401"/>
      <c r="CZ53" s="401"/>
      <c r="DA53" s="401"/>
      <c r="DB53" s="401"/>
      <c r="DC53" s="401"/>
      <c r="DD53" s="442"/>
      <c r="DE53" s="440"/>
      <c r="DF53" s="441"/>
      <c r="DG53" s="401"/>
      <c r="DH53" s="401"/>
      <c r="DI53" s="401"/>
      <c r="DJ53" s="401"/>
      <c r="DK53" s="401"/>
      <c r="DL53" s="401"/>
      <c r="DM53" s="440"/>
      <c r="DN53" s="328"/>
      <c r="DO53" s="328"/>
      <c r="DP53" s="328"/>
      <c r="DQ53" s="328"/>
      <c r="DR53" s="328"/>
      <c r="DS53" s="328"/>
      <c r="DT53" s="328"/>
      <c r="DU53" s="328"/>
      <c r="DV53" s="435">
        <v>0.32</v>
      </c>
      <c r="DW53" s="435">
        <v>0.33</v>
      </c>
      <c r="DX53" s="435"/>
      <c r="DY53" s="435">
        <v>0.367</v>
      </c>
      <c r="DZ53" s="435"/>
      <c r="EA53" s="435">
        <v>0.293</v>
      </c>
      <c r="EB53" s="435"/>
      <c r="EC53" s="443">
        <v>0.33</v>
      </c>
      <c r="ED53" s="435">
        <v>0.27</v>
      </c>
      <c r="EE53" s="435">
        <v>0.254</v>
      </c>
      <c r="EF53" s="435"/>
      <c r="EG53" s="435">
        <v>0.309</v>
      </c>
      <c r="EH53" s="435"/>
      <c r="EI53" s="435">
        <v>0.292</v>
      </c>
      <c r="EJ53" s="435"/>
      <c r="EK53" s="443">
        <v>0.284</v>
      </c>
      <c r="EL53" s="435"/>
      <c r="EM53" s="435"/>
      <c r="EN53" s="435"/>
      <c r="EO53" s="435"/>
      <c r="EP53" s="435"/>
      <c r="EQ53" s="435"/>
      <c r="ER53" s="435"/>
      <c r="ES53" s="443"/>
      <c r="ET53" s="444"/>
      <c r="EV53" s="401"/>
      <c r="GO53" s="328"/>
    </row>
    <row r="54" customHeight="1" spans="1:197">
      <c r="A54" s="445" t="s">
        <v>81</v>
      </c>
      <c r="P54" s="342">
        <f>Interim!DQ61</f>
        <v>-460</v>
      </c>
      <c r="Q54" s="446">
        <f>(Q53-P53)*10000</f>
        <v>230</v>
      </c>
      <c r="R54" s="446">
        <f>+Interim!EG61</f>
        <v>-160</v>
      </c>
      <c r="S54" s="446">
        <f>+Interim!EO61</f>
        <v>-290</v>
      </c>
      <c r="T54" s="446">
        <f t="shared" ref="T54:AB54" si="39">(T53-S53)*10000</f>
        <v>480</v>
      </c>
      <c r="U54" s="446">
        <f t="shared" si="39"/>
        <v>-240</v>
      </c>
      <c r="V54" s="446">
        <f t="shared" si="39"/>
        <v>555.364172119214</v>
      </c>
      <c r="W54" s="447">
        <f t="shared" si="39"/>
        <v>-127.547339945894</v>
      </c>
      <c r="X54" s="446">
        <f t="shared" si="39"/>
        <v>-75.5635707844848</v>
      </c>
      <c r="Y54" s="446">
        <f t="shared" si="39"/>
        <v>-65.166816952214</v>
      </c>
      <c r="Z54" s="446">
        <f t="shared" si="39"/>
        <v>-65.1668169522041</v>
      </c>
      <c r="AA54" s="446">
        <f t="shared" si="39"/>
        <v>-65.1668169522174</v>
      </c>
      <c r="AB54" s="446">
        <f t="shared" si="39"/>
        <v>-65.1668169522013</v>
      </c>
      <c r="AC54" s="446"/>
      <c r="AK54" s="342"/>
      <c r="AL54" s="342"/>
      <c r="AM54" s="342"/>
      <c r="AN54" s="342"/>
      <c r="AT54" s="448"/>
      <c r="AU54" s="454"/>
      <c r="AV54" s="341"/>
      <c r="AW54" s="341"/>
      <c r="AX54" s="341"/>
      <c r="AY54" s="341"/>
      <c r="AZ54" s="341"/>
      <c r="BA54" s="341"/>
      <c r="BB54" s="341"/>
      <c r="BC54" s="341"/>
      <c r="BD54" s="341"/>
      <c r="BE54" s="341"/>
      <c r="BF54" s="341"/>
      <c r="BG54" s="341"/>
      <c r="BH54" s="341"/>
      <c r="BI54" s="341"/>
      <c r="BJ54" s="341"/>
      <c r="BK54" s="341"/>
      <c r="BL54" s="341"/>
      <c r="BM54" s="341"/>
      <c r="BN54" s="341"/>
      <c r="BO54" s="341"/>
      <c r="BV54" s="341"/>
      <c r="BW54" s="341"/>
      <c r="BX54" s="341"/>
      <c r="BY54" s="428"/>
      <c r="BZ54" s="341"/>
      <c r="CA54" s="341"/>
      <c r="CB54" s="341"/>
      <c r="CC54" s="341"/>
      <c r="CD54" s="341"/>
      <c r="CE54" s="341"/>
      <c r="CF54" s="341"/>
      <c r="CG54" s="341"/>
      <c r="CH54" s="429"/>
      <c r="CI54" s="341"/>
      <c r="CJ54" s="341"/>
      <c r="CK54" s="341"/>
      <c r="CL54" s="341"/>
      <c r="CM54" s="341"/>
      <c r="CN54" s="341"/>
      <c r="CO54" s="428"/>
      <c r="CP54" s="429"/>
      <c r="CQ54" s="341"/>
      <c r="CR54" s="341"/>
      <c r="CS54" s="341"/>
      <c r="CT54" s="341"/>
      <c r="CU54" s="341"/>
      <c r="CV54" s="341"/>
      <c r="CW54" s="428"/>
      <c r="CX54" s="429"/>
      <c r="CY54" s="341"/>
      <c r="CZ54" s="341"/>
      <c r="DA54" s="341"/>
      <c r="DB54" s="341"/>
      <c r="DC54" s="341"/>
      <c r="DD54" s="430"/>
      <c r="DE54" s="428"/>
      <c r="DF54" s="429"/>
      <c r="DG54" s="341"/>
      <c r="DH54" s="341"/>
      <c r="DI54" s="341"/>
      <c r="DJ54" s="341"/>
      <c r="DK54" s="341"/>
      <c r="DL54" s="341"/>
      <c r="DM54" s="428"/>
      <c r="DN54" s="331"/>
      <c r="DO54" s="331"/>
      <c r="DP54" s="331"/>
      <c r="DQ54" s="331"/>
      <c r="DR54" s="331"/>
      <c r="DS54" s="331"/>
      <c r="DT54" s="331"/>
      <c r="DU54" s="331"/>
      <c r="DV54" s="362"/>
      <c r="DW54" s="362"/>
      <c r="DX54" s="362"/>
      <c r="DY54" s="362"/>
      <c r="DZ54" s="362"/>
      <c r="EA54" s="362"/>
      <c r="EB54" s="362"/>
      <c r="EC54" s="384"/>
      <c r="ED54" s="449">
        <f>(ED53-DV53)*10000</f>
        <v>-500</v>
      </c>
      <c r="EE54" s="449">
        <f>(EE53-DW53)*10000</f>
        <v>-760</v>
      </c>
      <c r="EF54" s="362"/>
      <c r="EG54" s="449">
        <f>(EG53-DY53)*10000</f>
        <v>-580</v>
      </c>
      <c r="EH54" s="362"/>
      <c r="EI54" s="449">
        <f>(EI53-EA53)*10000</f>
        <v>-10</v>
      </c>
      <c r="EJ54" s="362"/>
      <c r="EK54" s="450">
        <f>(EK53-EC53)*10000</f>
        <v>-460</v>
      </c>
      <c r="EL54" s="362"/>
      <c r="EM54" s="362"/>
      <c r="EN54" s="362"/>
      <c r="EO54" s="362"/>
      <c r="EP54" s="362"/>
      <c r="EQ54" s="362"/>
      <c r="ER54" s="362"/>
      <c r="ES54" s="384"/>
      <c r="ET54" s="431"/>
      <c r="EV54" s="341"/>
      <c r="GO54" s="331"/>
    </row>
    <row r="55" customHeight="1" spans="1:197">
      <c r="A55" s="333" t="s">
        <v>83</v>
      </c>
      <c r="O55" s="362"/>
      <c r="P55" s="362">
        <f>(('Sales &amp; stores'!L372+'Sales &amp; stores'!L373)*'Profit and Loss OLd'!P51)+('Sales &amp; stores'!L374*'Profit and Loss OLd'!P53)</f>
        <v>0.4152</v>
      </c>
      <c r="Q55" s="362">
        <f>(('Sales &amp; stores'!M372+'Sales &amp; stores'!M373)*'Profit and Loss OLd'!Q51)+('Sales &amp; stores'!M374*'Profit and Loss OLd'!Q53)</f>
        <v>0.4136</v>
      </c>
      <c r="R55" s="362">
        <f>(('Sales &amp; stores'!N372+'Sales &amp; stores'!N373)*'Profit and Loss OLd'!R51)+('Sales &amp; stores'!N374*'Profit and Loss OLd'!R53)</f>
        <v>0.398132731971756</v>
      </c>
      <c r="S55" s="362">
        <f>(('Sales &amp; stores'!$O372+'Sales &amp; stores'!$O373)*'Profit and Loss OLd'!S51)+('Sales &amp; stores'!$O374*'Profit and Loss OLd'!S53)</f>
        <v>0.400559949648589</v>
      </c>
      <c r="T55" s="362">
        <f>(('Sales &amp; stores'!$O372+'Sales &amp; stores'!$O373)*'Profit and Loss OLd'!T51)+('Sales &amp; stores'!$O374*'Profit and Loss OLd'!T53)</f>
        <v>0.424604007133117</v>
      </c>
      <c r="U55" s="362">
        <f>(('Sales &amp; stores'!$O372+'Sales &amp; stores'!$O373)*'Profit and Loss OLd'!U51)+('Sales &amp; stores'!$O374*'Profit and Loss OLd'!U53)</f>
        <v>0.413900555963495</v>
      </c>
      <c r="V55" s="362">
        <f>(('Sales &amp; stores'!$O372+'Sales &amp; stores'!$O373)*'Profit and Loss OLd'!V51)+('Sales &amp; stores'!$O374*'Profit and Loss OLd'!V53)</f>
        <v>0.451122472610671</v>
      </c>
      <c r="W55" s="384">
        <f>(('Sales &amp; stores'!$O372+'Sales &amp; stores'!$O373)*'Profit and Loss OLd'!W51)+('Sales &amp; stores'!$O374*'Profit and Loss OLd'!W53)</f>
        <v>0.446122472610671</v>
      </c>
      <c r="X55" s="362">
        <f>(('Sales &amp; stores'!$O372+'Sales &amp; stores'!$O373)*'Profit and Loss OLd'!X51)+('Sales &amp; stores'!$O374*'Profit and Loss OLd'!X53)</f>
        <v>0.446122472610671</v>
      </c>
      <c r="Y55" s="362">
        <f>(('Sales &amp; stores'!$O372+'Sales &amp; stores'!$O373)*'Profit and Loss OLd'!Y51)+('Sales &amp; stores'!$O374*'Profit and Loss OLd'!Y53)</f>
        <v>0.447122472610671</v>
      </c>
      <c r="Z55" s="362">
        <f>(('Sales &amp; stores'!$O372+'Sales &amp; stores'!$O373)*'Profit and Loss OLd'!Z51)+('Sales &amp; stores'!$O374*'Profit and Loss OLd'!Z53)</f>
        <v>0.448122472610671</v>
      </c>
      <c r="AA55" s="362">
        <f>(('Sales &amp; stores'!$O372+'Sales &amp; stores'!$O373)*'Profit and Loss OLd'!AA51)+('Sales &amp; stores'!$O374*'Profit and Loss OLd'!AA53)</f>
        <v>0.449122472610671</v>
      </c>
      <c r="AB55" s="362">
        <f>(('Sales &amp; stores'!$O372+'Sales &amp; stores'!$O373)*'Profit and Loss OLd'!AB51)+('Sales &amp; stores'!$O374*'Profit and Loss OLd'!AB53)</f>
        <v>0.450122472610671</v>
      </c>
      <c r="AC55" s="362"/>
      <c r="AK55" s="342"/>
      <c r="AL55" s="342"/>
      <c r="AM55" s="342"/>
      <c r="AN55" s="342"/>
      <c r="AT55" s="410"/>
      <c r="AU55" s="454"/>
      <c r="AV55" s="341"/>
      <c r="AW55" s="341"/>
      <c r="AX55" s="341"/>
      <c r="AY55" s="341"/>
      <c r="AZ55" s="341"/>
      <c r="BA55" s="341"/>
      <c r="BB55" s="341"/>
      <c r="BC55" s="341"/>
      <c r="BD55" s="341"/>
      <c r="BE55" s="341"/>
      <c r="BF55" s="341"/>
      <c r="BG55" s="341"/>
      <c r="BH55" s="341"/>
      <c r="BI55" s="341"/>
      <c r="BJ55" s="341"/>
      <c r="BK55" s="341"/>
      <c r="BL55" s="341"/>
      <c r="BM55" s="341"/>
      <c r="BN55" s="341"/>
      <c r="BO55" s="341"/>
      <c r="BV55" s="341"/>
      <c r="BW55" s="341"/>
      <c r="BX55" s="341"/>
      <c r="BY55" s="428"/>
      <c r="BZ55" s="341"/>
      <c r="CA55" s="341"/>
      <c r="CB55" s="341"/>
      <c r="CC55" s="341"/>
      <c r="CD55" s="341"/>
      <c r="CE55" s="341"/>
      <c r="CF55" s="341"/>
      <c r="CG55" s="341"/>
      <c r="CH55" s="429"/>
      <c r="CI55" s="341"/>
      <c r="CJ55" s="341"/>
      <c r="CK55" s="341"/>
      <c r="CL55" s="341"/>
      <c r="CM55" s="341"/>
      <c r="CN55" s="341"/>
      <c r="CO55" s="428"/>
      <c r="CP55" s="429"/>
      <c r="CQ55" s="341"/>
      <c r="CR55" s="341"/>
      <c r="CS55" s="341"/>
      <c r="CT55" s="341"/>
      <c r="CU55" s="341"/>
      <c r="CV55" s="341"/>
      <c r="CW55" s="428"/>
      <c r="CX55" s="429"/>
      <c r="CY55" s="341"/>
      <c r="CZ55" s="341"/>
      <c r="DA55" s="341"/>
      <c r="DB55" s="341"/>
      <c r="DC55" s="341"/>
      <c r="DD55" s="430"/>
      <c r="DE55" s="428"/>
      <c r="DF55" s="429"/>
      <c r="DG55" s="341"/>
      <c r="DH55" s="341"/>
      <c r="DI55" s="341"/>
      <c r="DJ55" s="341"/>
      <c r="DK55" s="341"/>
      <c r="DL55" s="341"/>
      <c r="DM55" s="428"/>
      <c r="DN55" s="331"/>
      <c r="DO55" s="331"/>
      <c r="DP55" s="331"/>
      <c r="DQ55" s="331"/>
      <c r="DR55" s="331"/>
      <c r="DS55" s="331"/>
      <c r="DT55" s="331"/>
      <c r="DU55" s="331"/>
      <c r="DV55" s="362"/>
      <c r="DW55" s="362"/>
      <c r="DX55" s="362"/>
      <c r="DY55" s="362"/>
      <c r="DZ55" s="362"/>
      <c r="EA55" s="362"/>
      <c r="EB55" s="362"/>
      <c r="EC55" s="384"/>
      <c r="ED55" s="362"/>
      <c r="EE55" s="362"/>
      <c r="EF55" s="362"/>
      <c r="EG55" s="362"/>
      <c r="EH55" s="362"/>
      <c r="EI55" s="362"/>
      <c r="EJ55" s="362"/>
      <c r="EK55" s="384"/>
      <c r="EL55" s="362"/>
      <c r="EM55" s="362"/>
      <c r="EN55" s="362"/>
      <c r="EO55" s="362"/>
      <c r="EP55" s="362"/>
      <c r="EQ55" s="362"/>
      <c r="ER55" s="362"/>
      <c r="ES55" s="384"/>
      <c r="ET55" s="431"/>
      <c r="EV55" s="341"/>
      <c r="GO55" s="331"/>
    </row>
    <row r="56" s="333" customFormat="1" customHeight="1" spans="1:197">
      <c r="A56" s="328" t="s">
        <v>62</v>
      </c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455"/>
      <c r="M56" s="455"/>
      <c r="N56" s="455"/>
      <c r="O56" s="434"/>
      <c r="P56" s="455"/>
      <c r="Q56" s="456"/>
      <c r="R56" s="456"/>
      <c r="S56" s="456"/>
      <c r="T56" s="456"/>
      <c r="U56" s="456"/>
      <c r="V56" s="456"/>
      <c r="W56" s="457"/>
      <c r="X56" s="360"/>
      <c r="Y56" s="360"/>
      <c r="Z56" s="360"/>
      <c r="AA56" s="360"/>
      <c r="AB56" s="360"/>
      <c r="AC56" s="360"/>
      <c r="AD56" s="342"/>
      <c r="AE56" s="342"/>
      <c r="AF56" s="342"/>
      <c r="AG56" s="342"/>
      <c r="AH56" s="342"/>
      <c r="AI56" s="342"/>
      <c r="AJ56" s="342"/>
      <c r="AK56" s="342"/>
      <c r="AL56" s="342"/>
      <c r="AM56" s="342"/>
      <c r="AN56" s="342"/>
      <c r="AT56" s="404"/>
      <c r="AU56" s="404"/>
      <c r="AV56" s="401"/>
      <c r="AW56" s="401"/>
      <c r="AX56" s="401"/>
      <c r="AY56" s="401"/>
      <c r="AZ56" s="401"/>
      <c r="BA56" s="401"/>
      <c r="BB56" s="401"/>
      <c r="BC56" s="401"/>
      <c r="BD56" s="401"/>
      <c r="BE56" s="401"/>
      <c r="BF56" s="401"/>
      <c r="BG56" s="401"/>
      <c r="BH56" s="401"/>
      <c r="BI56" s="401"/>
      <c r="BJ56" s="401"/>
      <c r="BK56" s="401"/>
      <c r="BL56" s="401"/>
      <c r="BM56" s="401"/>
      <c r="BN56" s="401"/>
      <c r="BO56" s="401"/>
      <c r="BP56" s="340"/>
      <c r="BQ56" s="340"/>
      <c r="BR56" s="340"/>
      <c r="BS56" s="340"/>
      <c r="BT56" s="340"/>
      <c r="BU56" s="340"/>
      <c r="BV56" s="401"/>
      <c r="BW56" s="401"/>
      <c r="BX56" s="401"/>
      <c r="BY56" s="440"/>
      <c r="BZ56" s="401"/>
      <c r="CA56" s="401"/>
      <c r="CB56" s="401"/>
      <c r="CC56" s="401"/>
      <c r="CD56" s="401"/>
      <c r="CE56" s="401"/>
      <c r="CF56" s="401"/>
      <c r="CG56" s="401"/>
      <c r="CH56" s="441"/>
      <c r="CI56" s="401"/>
      <c r="CJ56" s="401"/>
      <c r="CK56" s="401"/>
      <c r="CL56" s="401"/>
      <c r="CM56" s="401"/>
      <c r="CN56" s="401"/>
      <c r="CO56" s="440"/>
      <c r="CP56" s="441"/>
      <c r="CQ56" s="401"/>
      <c r="CR56" s="401"/>
      <c r="CS56" s="401"/>
      <c r="CT56" s="401"/>
      <c r="CU56" s="401"/>
      <c r="CV56" s="401"/>
      <c r="CW56" s="440"/>
      <c r="CX56" s="441"/>
      <c r="CY56" s="401"/>
      <c r="CZ56" s="401"/>
      <c r="DA56" s="401"/>
      <c r="DB56" s="401"/>
      <c r="DC56" s="401"/>
      <c r="DD56" s="442"/>
      <c r="DE56" s="440"/>
      <c r="DF56" s="441"/>
      <c r="DG56" s="401"/>
      <c r="DH56" s="401"/>
      <c r="DI56" s="401"/>
      <c r="DJ56" s="401"/>
      <c r="DK56" s="401"/>
      <c r="DL56" s="401"/>
      <c r="DM56" s="440"/>
      <c r="DN56" s="328"/>
      <c r="DO56" s="328"/>
      <c r="DP56" s="328"/>
      <c r="DQ56" s="328"/>
      <c r="DR56" s="328"/>
      <c r="DS56" s="328"/>
      <c r="DT56" s="328"/>
      <c r="DU56" s="328"/>
      <c r="DV56" s="435">
        <v>0.61</v>
      </c>
      <c r="DW56" s="435">
        <v>0.65</v>
      </c>
      <c r="DX56" s="435"/>
      <c r="DY56" s="435">
        <v>0.643</v>
      </c>
      <c r="DZ56" s="435"/>
      <c r="EA56" s="435">
        <v>0.635</v>
      </c>
      <c r="EB56" s="435"/>
      <c r="EC56" s="443">
        <v>0.636</v>
      </c>
      <c r="ED56" s="435">
        <v>0.573</v>
      </c>
      <c r="EE56" s="435">
        <v>0.628</v>
      </c>
      <c r="EF56" s="435"/>
      <c r="EG56" s="435">
        <v>0.605</v>
      </c>
      <c r="EH56" s="435"/>
      <c r="EI56" s="435">
        <v>0.622</v>
      </c>
      <c r="EJ56" s="435"/>
      <c r="EK56" s="443">
        <v>0.609</v>
      </c>
      <c r="EL56" s="435"/>
      <c r="EM56" s="435"/>
      <c r="EN56" s="435"/>
      <c r="EO56" s="435"/>
      <c r="EP56" s="435"/>
      <c r="EQ56" s="435"/>
      <c r="ER56" s="435"/>
      <c r="ES56" s="443"/>
      <c r="ET56" s="444"/>
      <c r="EV56" s="401"/>
      <c r="GO56" s="328"/>
    </row>
    <row r="57" customHeight="1" spans="1:197">
      <c r="A57" s="433" t="s">
        <v>80</v>
      </c>
      <c r="B57" s="401"/>
      <c r="C57" s="401"/>
      <c r="D57" s="401"/>
      <c r="E57" s="401"/>
      <c r="F57" s="401"/>
      <c r="G57" s="401"/>
      <c r="H57" s="401"/>
      <c r="I57" s="401"/>
      <c r="J57" s="401"/>
      <c r="K57" s="401"/>
      <c r="L57" s="434"/>
      <c r="M57" s="434"/>
      <c r="N57" s="434"/>
      <c r="O57" s="435">
        <f>Interim!DI63</f>
        <v>0.636</v>
      </c>
      <c r="P57" s="435">
        <f>Interim!DQ63</f>
        <v>0.609</v>
      </c>
      <c r="Q57" s="436">
        <v>0.632</v>
      </c>
      <c r="R57" s="436">
        <f>+Interim!EG63</f>
        <v>0.636</v>
      </c>
      <c r="S57" s="436">
        <f>+Interim!EO63</f>
        <v>0.621</v>
      </c>
      <c r="T57" s="436">
        <v>0.631</v>
      </c>
      <c r="U57" s="436">
        <v>0.603</v>
      </c>
      <c r="V57" s="436">
        <f t="shared" ref="V57:AB57" si="40">U57+((V42-U42)+0.25%)</f>
        <v>0.625915913829165</v>
      </c>
      <c r="W57" s="437">
        <f t="shared" si="40"/>
        <v>0.613415913829165</v>
      </c>
      <c r="X57" s="438">
        <f t="shared" si="40"/>
        <v>0.620915913829165</v>
      </c>
      <c r="Y57" s="438">
        <f t="shared" si="40"/>
        <v>0.627415913829165</v>
      </c>
      <c r="Z57" s="438">
        <f t="shared" si="40"/>
        <v>0.633915913829165</v>
      </c>
      <c r="AA57" s="438">
        <f t="shared" si="40"/>
        <v>0.640415913829165</v>
      </c>
      <c r="AB57" s="438">
        <f t="shared" si="40"/>
        <v>0.646915913829165</v>
      </c>
      <c r="AC57" s="438"/>
      <c r="AK57" s="342"/>
      <c r="AL57" s="342"/>
      <c r="AM57" s="342"/>
      <c r="AN57" s="342"/>
      <c r="AT57" s="410"/>
      <c r="AU57" s="410"/>
      <c r="AV57" s="341"/>
      <c r="AW57" s="341"/>
      <c r="AX57" s="341"/>
      <c r="AY57" s="341"/>
      <c r="AZ57" s="341"/>
      <c r="BA57" s="341"/>
      <c r="BB57" s="341"/>
      <c r="BC57" s="341"/>
      <c r="BD57" s="341"/>
      <c r="BE57" s="341"/>
      <c r="BF57" s="341"/>
      <c r="BG57" s="341"/>
      <c r="BH57" s="341"/>
      <c r="BI57" s="341"/>
      <c r="BJ57" s="341"/>
      <c r="BK57" s="341"/>
      <c r="BL57" s="341"/>
      <c r="BM57" s="341"/>
      <c r="BN57" s="341"/>
      <c r="BO57" s="341"/>
      <c r="BV57" s="341"/>
      <c r="BW57" s="341"/>
      <c r="BX57" s="341"/>
      <c r="BY57" s="428"/>
      <c r="BZ57" s="341"/>
      <c r="CA57" s="341"/>
      <c r="CB57" s="341"/>
      <c r="CC57" s="341"/>
      <c r="CD57" s="341"/>
      <c r="CE57" s="341"/>
      <c r="CF57" s="341"/>
      <c r="CG57" s="341"/>
      <c r="CH57" s="429"/>
      <c r="CI57" s="341"/>
      <c r="CJ57" s="341"/>
      <c r="CK57" s="341"/>
      <c r="CL57" s="341"/>
      <c r="CM57" s="341"/>
      <c r="CN57" s="341"/>
      <c r="CO57" s="428"/>
      <c r="CP57" s="429"/>
      <c r="CQ57" s="341"/>
      <c r="CR57" s="341"/>
      <c r="CS57" s="341"/>
      <c r="CT57" s="341"/>
      <c r="CU57" s="341"/>
      <c r="CV57" s="341"/>
      <c r="CW57" s="428"/>
      <c r="CX57" s="429"/>
      <c r="CY57" s="341"/>
      <c r="CZ57" s="341"/>
      <c r="DA57" s="341"/>
      <c r="DB57" s="341"/>
      <c r="DC57" s="341"/>
      <c r="DD57" s="430"/>
      <c r="DE57" s="428"/>
      <c r="DF57" s="429"/>
      <c r="DG57" s="341"/>
      <c r="DH57" s="341"/>
      <c r="DI57" s="341"/>
      <c r="DJ57" s="341"/>
      <c r="DK57" s="341"/>
      <c r="DL57" s="341"/>
      <c r="DM57" s="428"/>
      <c r="DN57" s="331"/>
      <c r="DO57" s="331"/>
      <c r="DP57" s="331"/>
      <c r="DQ57" s="331"/>
      <c r="DR57" s="331"/>
      <c r="DS57" s="331"/>
      <c r="DT57" s="331"/>
      <c r="DU57" s="331"/>
      <c r="DV57" s="362"/>
      <c r="DW57" s="362"/>
      <c r="DX57" s="362"/>
      <c r="DY57" s="362"/>
      <c r="DZ57" s="362"/>
      <c r="EA57" s="362"/>
      <c r="EB57" s="362"/>
      <c r="EC57" s="384"/>
      <c r="ED57" s="449">
        <f>(ED56-DV56)*10000</f>
        <v>-370</v>
      </c>
      <c r="EE57" s="449">
        <f>(EE56-DW56)*10000</f>
        <v>-220</v>
      </c>
      <c r="EF57" s="362"/>
      <c r="EG57" s="449">
        <f>(EG56-DY56)*10000</f>
        <v>-380</v>
      </c>
      <c r="EH57" s="362"/>
      <c r="EI57" s="449">
        <f>(EI56-EA56)*10000</f>
        <v>-130</v>
      </c>
      <c r="EJ57" s="362"/>
      <c r="EK57" s="450">
        <f>(EK56-EC56)*10000</f>
        <v>-270</v>
      </c>
      <c r="EL57" s="362"/>
      <c r="EM57" s="362"/>
      <c r="EN57" s="362"/>
      <c r="EO57" s="362"/>
      <c r="EP57" s="362"/>
      <c r="EQ57" s="362"/>
      <c r="ER57" s="362"/>
      <c r="ES57" s="384"/>
      <c r="ET57" s="431"/>
      <c r="EV57" s="341"/>
      <c r="GO57" s="331"/>
    </row>
    <row r="58" s="333" customFormat="1" customHeight="1" spans="1:197">
      <c r="A58" s="445" t="s">
        <v>81</v>
      </c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2"/>
      <c r="M58" s="342"/>
      <c r="N58" s="342"/>
      <c r="O58" s="342"/>
      <c r="P58" s="342">
        <f>Interim!DQ64</f>
        <v>-270</v>
      </c>
      <c r="Q58" s="446">
        <f>(Q57-P57)*10000</f>
        <v>230</v>
      </c>
      <c r="R58" s="446">
        <f>+Interim!EG64</f>
        <v>40</v>
      </c>
      <c r="S58" s="446">
        <f>+Interim!EO64</f>
        <v>-150</v>
      </c>
      <c r="T58" s="446">
        <f t="shared" ref="T58:AB58" si="41">(T57-S57)*10000</f>
        <v>100</v>
      </c>
      <c r="U58" s="446">
        <f t="shared" si="41"/>
        <v>-280</v>
      </c>
      <c r="V58" s="446">
        <f t="shared" si="41"/>
        <v>229.159138291654</v>
      </c>
      <c r="W58" s="447">
        <f t="shared" si="41"/>
        <v>-125.000000000001</v>
      </c>
      <c r="X58" s="446">
        <f t="shared" si="41"/>
        <v>74.9999999999995</v>
      </c>
      <c r="Y58" s="446">
        <f t="shared" si="41"/>
        <v>64.9999999999995</v>
      </c>
      <c r="Z58" s="446">
        <f t="shared" si="41"/>
        <v>64.9999999999995</v>
      </c>
      <c r="AA58" s="446">
        <f t="shared" si="41"/>
        <v>64.9999999999995</v>
      </c>
      <c r="AB58" s="446">
        <f t="shared" si="41"/>
        <v>64.9999999999995</v>
      </c>
      <c r="AC58" s="446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T58" s="404"/>
      <c r="AU58" s="404"/>
      <c r="AV58" s="401"/>
      <c r="AW58" s="401"/>
      <c r="AX58" s="401"/>
      <c r="AY58" s="401"/>
      <c r="AZ58" s="401"/>
      <c r="BA58" s="401"/>
      <c r="BB58" s="401"/>
      <c r="BC58" s="401"/>
      <c r="BD58" s="401"/>
      <c r="BE58" s="401"/>
      <c r="BF58" s="401"/>
      <c r="BG58" s="401"/>
      <c r="BH58" s="401"/>
      <c r="BI58" s="401"/>
      <c r="BJ58" s="401"/>
      <c r="BK58" s="401"/>
      <c r="BL58" s="401"/>
      <c r="BM58" s="401"/>
      <c r="BN58" s="401"/>
      <c r="BO58" s="401"/>
      <c r="BP58" s="340"/>
      <c r="BQ58" s="340"/>
      <c r="BR58" s="340"/>
      <c r="BS58" s="340"/>
      <c r="BT58" s="340"/>
      <c r="BU58" s="340"/>
      <c r="BV58" s="401"/>
      <c r="BW58" s="401"/>
      <c r="BX58" s="401"/>
      <c r="BY58" s="440"/>
      <c r="BZ58" s="401"/>
      <c r="CA58" s="401"/>
      <c r="CB58" s="401"/>
      <c r="CC58" s="401"/>
      <c r="CD58" s="401"/>
      <c r="CE58" s="401"/>
      <c r="CF58" s="401"/>
      <c r="CG58" s="401"/>
      <c r="CH58" s="441"/>
      <c r="CI58" s="401"/>
      <c r="CJ58" s="401"/>
      <c r="CK58" s="401"/>
      <c r="CL58" s="401"/>
      <c r="CM58" s="401"/>
      <c r="CN58" s="401"/>
      <c r="CO58" s="440"/>
      <c r="CP58" s="441"/>
      <c r="CQ58" s="401"/>
      <c r="CR58" s="401"/>
      <c r="CS58" s="401"/>
      <c r="CT58" s="401"/>
      <c r="CU58" s="401"/>
      <c r="CV58" s="401"/>
      <c r="CW58" s="440"/>
      <c r="CX58" s="441"/>
      <c r="CY58" s="401"/>
      <c r="CZ58" s="401"/>
      <c r="DA58" s="401"/>
      <c r="DB58" s="401"/>
      <c r="DC58" s="401"/>
      <c r="DD58" s="442"/>
      <c r="DE58" s="440"/>
      <c r="DF58" s="441"/>
      <c r="DG58" s="401"/>
      <c r="DH58" s="401"/>
      <c r="DI58" s="401"/>
      <c r="DJ58" s="401"/>
      <c r="DK58" s="401"/>
      <c r="DL58" s="401"/>
      <c r="DM58" s="440"/>
      <c r="DN58" s="328"/>
      <c r="DO58" s="328"/>
      <c r="DP58" s="328"/>
      <c r="DQ58" s="328"/>
      <c r="DR58" s="328"/>
      <c r="DS58" s="328"/>
      <c r="DT58" s="328"/>
      <c r="DU58" s="328"/>
      <c r="DV58" s="435">
        <v>0.477</v>
      </c>
      <c r="DW58" s="435">
        <v>0.532</v>
      </c>
      <c r="DX58" s="435"/>
      <c r="DY58" s="435">
        <v>0.533</v>
      </c>
      <c r="DZ58" s="435"/>
      <c r="EA58" s="435">
        <v>0.523</v>
      </c>
      <c r="EB58" s="435"/>
      <c r="EC58" s="443">
        <v>0.519</v>
      </c>
      <c r="ED58" s="435">
        <v>0.407</v>
      </c>
      <c r="EE58" s="435">
        <v>0.51</v>
      </c>
      <c r="EF58" s="435"/>
      <c r="EG58" s="435">
        <v>0.446</v>
      </c>
      <c r="EH58" s="435"/>
      <c r="EI58" s="435">
        <v>0.543</v>
      </c>
      <c r="EJ58" s="435"/>
      <c r="EK58" s="443">
        <v>0.481</v>
      </c>
      <c r="EL58" s="435"/>
      <c r="EM58" s="435"/>
      <c r="EN58" s="435"/>
      <c r="EO58" s="435"/>
      <c r="EP58" s="435"/>
      <c r="EQ58" s="435"/>
      <c r="ER58" s="435"/>
      <c r="ES58" s="443"/>
      <c r="ET58" s="444"/>
      <c r="EV58" s="401"/>
      <c r="GO58" s="328"/>
    </row>
    <row r="59" customHeight="1" spans="1:197">
      <c r="A59" s="433" t="s">
        <v>82</v>
      </c>
      <c r="B59" s="401"/>
      <c r="C59" s="401"/>
      <c r="D59" s="401"/>
      <c r="E59" s="401"/>
      <c r="F59" s="401"/>
      <c r="G59" s="401"/>
      <c r="H59" s="401"/>
      <c r="I59" s="401"/>
      <c r="J59" s="401"/>
      <c r="K59" s="401"/>
      <c r="L59" s="434"/>
      <c r="M59" s="434"/>
      <c r="N59" s="434"/>
      <c r="O59" s="435">
        <f>Interim!DI65</f>
        <v>0.519</v>
      </c>
      <c r="P59" s="435">
        <f>Interim!DQ65</f>
        <v>0.481</v>
      </c>
      <c r="Q59" s="436">
        <v>0.548</v>
      </c>
      <c r="R59" s="436">
        <f>+Interim!EG65</f>
        <v>0.578</v>
      </c>
      <c r="S59" s="436">
        <f>+Interim!EO65</f>
        <v>0.551</v>
      </c>
      <c r="T59" s="436">
        <v>0.574</v>
      </c>
      <c r="U59" s="436">
        <v>0.541</v>
      </c>
      <c r="V59" s="436">
        <f>(V41-(('Sales &amp; stores'!$O388+'Sales &amp; stores'!$O389)*'Profit and Loss OLd'!V10*'Profit and Loss OLd'!V57))/(V$10*'Sales &amp; stores'!$O390)</f>
        <v>0.58482445054223</v>
      </c>
      <c r="W59" s="437">
        <f>(W41-(('Sales &amp; stores'!$O388+'Sales &amp; stores'!$O389)*'Profit and Loss OLd'!W10*'Profit and Loss OLd'!W57))/(W$10*'Sales &amp; stores'!$O390)</f>
        <v>0.557010830470545</v>
      </c>
      <c r="X59" s="451">
        <f>(X41-(('Sales &amp; stores'!$O388+'Sales &amp; stores'!$O389)*'Profit and Loss OLd'!X10*'Profit and Loss OLd'!X57))/(X$10*'Sales &amp; stores'!$O390)</f>
        <v>0.549519791044022</v>
      </c>
      <c r="Y59" s="451">
        <f>(Y41-(('Sales &amp; stores'!$O388+'Sales &amp; stores'!$O389)*'Profit and Loss OLd'!Y10*'Profit and Loss OLd'!Y57))/(Y$10*'Sales &amp; stores'!$O390)</f>
        <v>0.541012622585241</v>
      </c>
      <c r="Z59" s="451">
        <f>(Z41-(('Sales &amp; stores'!$O388+'Sales &amp; stores'!$O389)*'Profit and Loss OLd'!Z10*'Profit and Loss OLd'!Z57))/(Z$10*'Sales &amp; stores'!$O390)</f>
        <v>0.53250545412646</v>
      </c>
      <c r="AA59" s="451">
        <f>(AA41-(('Sales &amp; stores'!$O388+'Sales &amp; stores'!$O389)*'Profit and Loss OLd'!AA10*'Profit and Loss OLd'!AA57))/(AA$10*'Sales &amp; stores'!$O390)</f>
        <v>0.523998285667678</v>
      </c>
      <c r="AB59" s="451">
        <f>(AB41-(('Sales &amp; stores'!$O388+'Sales &amp; stores'!$O389)*'Profit and Loss OLd'!AB10*'Profit and Loss OLd'!AB57))/(AB$10*'Sales &amp; stores'!$O390)</f>
        <v>0.515491117208897</v>
      </c>
      <c r="AC59" s="451"/>
      <c r="AK59" s="342"/>
      <c r="AL59" s="342"/>
      <c r="AM59" s="342"/>
      <c r="AN59" s="342"/>
      <c r="AT59" s="410"/>
      <c r="AU59" s="410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V59" s="341"/>
      <c r="BW59" s="341"/>
      <c r="BX59" s="341"/>
      <c r="BY59" s="428"/>
      <c r="BZ59" s="341"/>
      <c r="CA59" s="341"/>
      <c r="CB59" s="341"/>
      <c r="CC59" s="341"/>
      <c r="CD59" s="341"/>
      <c r="CE59" s="341"/>
      <c r="CF59" s="341"/>
      <c r="CG59" s="341"/>
      <c r="CH59" s="429"/>
      <c r="CI59" s="341"/>
      <c r="CJ59" s="341"/>
      <c r="CK59" s="341"/>
      <c r="CL59" s="341"/>
      <c r="CM59" s="341"/>
      <c r="CN59" s="341"/>
      <c r="CO59" s="428"/>
      <c r="CP59" s="429"/>
      <c r="CQ59" s="341"/>
      <c r="CR59" s="341"/>
      <c r="CS59" s="341"/>
      <c r="CT59" s="341"/>
      <c r="CU59" s="341"/>
      <c r="CV59" s="341"/>
      <c r="CW59" s="428"/>
      <c r="CX59" s="429"/>
      <c r="CY59" s="341"/>
      <c r="CZ59" s="341"/>
      <c r="DA59" s="341"/>
      <c r="DB59" s="341"/>
      <c r="DC59" s="341"/>
      <c r="DD59" s="430"/>
      <c r="DE59" s="428"/>
      <c r="DF59" s="429"/>
      <c r="DG59" s="341"/>
      <c r="DH59" s="341"/>
      <c r="DI59" s="341"/>
      <c r="DJ59" s="341"/>
      <c r="DK59" s="341"/>
      <c r="DL59" s="341"/>
      <c r="DM59" s="428"/>
      <c r="DN59" s="331"/>
      <c r="DO59" s="331"/>
      <c r="DP59" s="331"/>
      <c r="DQ59" s="331"/>
      <c r="DR59" s="331"/>
      <c r="DS59" s="331"/>
      <c r="DT59" s="331"/>
      <c r="DU59" s="331"/>
      <c r="DV59" s="362"/>
      <c r="DW59" s="362"/>
      <c r="DX59" s="362"/>
      <c r="DY59" s="362"/>
      <c r="DZ59" s="362"/>
      <c r="EA59" s="362"/>
      <c r="EB59" s="362"/>
      <c r="EC59" s="384"/>
      <c r="ED59" s="449">
        <f>(ED58-DV58)*10000</f>
        <v>-700</v>
      </c>
      <c r="EE59" s="449">
        <f>(EE58-DW58)*10000</f>
        <v>-220</v>
      </c>
      <c r="EF59" s="362"/>
      <c r="EG59" s="449">
        <f>(EG58-DY58)*10000</f>
        <v>-870</v>
      </c>
      <c r="EH59" s="362"/>
      <c r="EI59" s="449">
        <f>(EI58-EA58)*10000</f>
        <v>200</v>
      </c>
      <c r="EJ59" s="362"/>
      <c r="EK59" s="450">
        <f>(EK58-EC58)*10000</f>
        <v>-380</v>
      </c>
      <c r="EL59" s="362"/>
      <c r="EM59" s="362"/>
      <c r="EN59" s="362"/>
      <c r="EO59" s="362"/>
      <c r="EP59" s="362"/>
      <c r="EQ59" s="362"/>
      <c r="ER59" s="362"/>
      <c r="ES59" s="384"/>
      <c r="ET59" s="431"/>
      <c r="EV59" s="341"/>
      <c r="GO59" s="331"/>
    </row>
    <row r="60" customHeight="1" spans="1:197">
      <c r="A60" s="445" t="s">
        <v>81</v>
      </c>
      <c r="P60" s="342">
        <f>Interim!DQ66</f>
        <v>-380</v>
      </c>
      <c r="Q60" s="446">
        <f>(Q59-P59)*10000</f>
        <v>670.000000000001</v>
      </c>
      <c r="R60" s="446">
        <f>+Interim!EG66</f>
        <v>299.999999999999</v>
      </c>
      <c r="S60" s="446">
        <f>+Interim!EO66</f>
        <v>-269.999999999999</v>
      </c>
      <c r="T60" s="446">
        <f t="shared" ref="T60:AB60" si="42">(T59-S59)*10000</f>
        <v>229.999999999999</v>
      </c>
      <c r="U60" s="446">
        <f t="shared" si="42"/>
        <v>-329.999999999999</v>
      </c>
      <c r="V60" s="446">
        <f t="shared" si="42"/>
        <v>438.244505422298</v>
      </c>
      <c r="W60" s="447">
        <f t="shared" si="42"/>
        <v>-278.136200716847</v>
      </c>
      <c r="X60" s="446">
        <f t="shared" si="42"/>
        <v>-74.9103942652296</v>
      </c>
      <c r="Y60" s="446">
        <f t="shared" si="42"/>
        <v>-85.0716845878119</v>
      </c>
      <c r="Z60" s="446">
        <f t="shared" si="42"/>
        <v>-85.0716845878097</v>
      </c>
      <c r="AA60" s="446">
        <f t="shared" si="42"/>
        <v>-85.0716845878163</v>
      </c>
      <c r="AB60" s="446">
        <f t="shared" si="42"/>
        <v>-85.0716845878097</v>
      </c>
      <c r="AC60" s="446"/>
      <c r="AK60" s="342"/>
      <c r="AL60" s="342"/>
      <c r="AM60" s="342"/>
      <c r="AN60" s="342"/>
      <c r="AT60" s="410"/>
      <c r="AU60" s="410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  <c r="BL60" s="341"/>
      <c r="BM60" s="341"/>
      <c r="BN60" s="341"/>
      <c r="BO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1"/>
      <c r="CW60" s="341"/>
      <c r="CX60" s="341"/>
      <c r="CY60" s="341"/>
      <c r="CZ60" s="341"/>
      <c r="DA60" s="341"/>
      <c r="DB60" s="341"/>
      <c r="DC60" s="341"/>
      <c r="DD60" s="430"/>
      <c r="DE60" s="341"/>
      <c r="DF60" s="341"/>
      <c r="DG60" s="341"/>
      <c r="DH60" s="341"/>
      <c r="DI60" s="341"/>
      <c r="DJ60" s="341"/>
      <c r="DK60" s="341"/>
      <c r="DL60" s="341"/>
      <c r="DM60" s="341"/>
      <c r="DN60" s="331"/>
      <c r="DO60" s="331"/>
      <c r="DP60" s="331"/>
      <c r="DQ60" s="331"/>
      <c r="DR60" s="331"/>
      <c r="DS60" s="331"/>
      <c r="DT60" s="331"/>
      <c r="DU60" s="331"/>
      <c r="DV60" s="362"/>
      <c r="DW60" s="362"/>
      <c r="DX60" s="362"/>
      <c r="DY60" s="362"/>
      <c r="DZ60" s="362"/>
      <c r="EA60" s="362"/>
      <c r="EB60" s="362"/>
      <c r="EC60" s="362"/>
      <c r="ED60" s="449"/>
      <c r="EE60" s="449"/>
      <c r="EF60" s="362"/>
      <c r="EG60" s="449"/>
      <c r="EH60" s="362"/>
      <c r="EI60" s="449"/>
      <c r="EJ60" s="362"/>
      <c r="EK60" s="449"/>
      <c r="EL60" s="362"/>
      <c r="EM60" s="362"/>
      <c r="EN60" s="362"/>
      <c r="EO60" s="362"/>
      <c r="EP60" s="362"/>
      <c r="EQ60" s="362"/>
      <c r="ER60" s="362"/>
      <c r="ES60" s="362"/>
      <c r="ET60" s="431"/>
      <c r="EV60" s="341"/>
      <c r="GO60" s="331"/>
    </row>
    <row r="61" customHeight="1" spans="1:197">
      <c r="A61" s="333" t="s">
        <v>84</v>
      </c>
      <c r="Q61" s="446"/>
      <c r="R61" s="446"/>
      <c r="S61" s="446"/>
      <c r="T61" s="446"/>
      <c r="U61" s="446"/>
      <c r="V61" s="446"/>
      <c r="W61" s="447"/>
      <c r="X61" s="360"/>
      <c r="Y61" s="360"/>
      <c r="Z61" s="360"/>
      <c r="AA61" s="360"/>
      <c r="AB61" s="360"/>
      <c r="AC61" s="360"/>
      <c r="AK61" s="342"/>
      <c r="AL61" s="342"/>
      <c r="AM61" s="342"/>
      <c r="AN61" s="342"/>
      <c r="AT61" s="410"/>
      <c r="AU61" s="410"/>
      <c r="AV61" s="341"/>
      <c r="AW61" s="341"/>
      <c r="AX61" s="341"/>
      <c r="AY61" s="341"/>
      <c r="AZ61" s="341"/>
      <c r="BA61" s="341"/>
      <c r="BB61" s="341"/>
      <c r="BC61" s="341"/>
      <c r="BD61" s="341"/>
      <c r="BE61" s="341"/>
      <c r="BF61" s="341"/>
      <c r="BG61" s="341"/>
      <c r="BH61" s="341"/>
      <c r="BI61" s="341"/>
      <c r="BJ61" s="341"/>
      <c r="BK61" s="341"/>
      <c r="BL61" s="341"/>
      <c r="BM61" s="341"/>
      <c r="BN61" s="341"/>
      <c r="BO61" s="341"/>
      <c r="BV61" s="341"/>
      <c r="BW61" s="341"/>
      <c r="BX61" s="341"/>
      <c r="BY61" s="341"/>
      <c r="BZ61" s="341"/>
      <c r="CA61" s="341"/>
      <c r="CB61" s="341"/>
      <c r="CC61" s="341"/>
      <c r="CD61" s="341"/>
      <c r="CE61" s="341"/>
      <c r="CF61" s="341"/>
      <c r="CG61" s="341"/>
      <c r="CH61" s="341"/>
      <c r="CI61" s="341"/>
      <c r="CJ61" s="341"/>
      <c r="CK61" s="341"/>
      <c r="CL61" s="341"/>
      <c r="CM61" s="341"/>
      <c r="CN61" s="341"/>
      <c r="CO61" s="341"/>
      <c r="CP61" s="341"/>
      <c r="CQ61" s="341"/>
      <c r="CR61" s="341"/>
      <c r="CS61" s="341"/>
      <c r="CT61" s="341"/>
      <c r="CU61" s="341"/>
      <c r="CV61" s="341"/>
      <c r="CW61" s="341"/>
      <c r="CX61" s="341"/>
      <c r="CY61" s="341"/>
      <c r="CZ61" s="341"/>
      <c r="DA61" s="341"/>
      <c r="DB61" s="341"/>
      <c r="DC61" s="341"/>
      <c r="DD61" s="430"/>
      <c r="DE61" s="341"/>
      <c r="DF61" s="341"/>
      <c r="DG61" s="341"/>
      <c r="DH61" s="341"/>
      <c r="DI61" s="341"/>
      <c r="DJ61" s="341"/>
      <c r="DK61" s="341"/>
      <c r="DL61" s="341"/>
      <c r="DM61" s="341"/>
      <c r="DN61" s="331"/>
      <c r="DO61" s="331"/>
      <c r="DP61" s="331"/>
      <c r="DQ61" s="331"/>
      <c r="DR61" s="331"/>
      <c r="DS61" s="331"/>
      <c r="DT61" s="331"/>
      <c r="DU61" s="331"/>
      <c r="DV61" s="362"/>
      <c r="DW61" s="362"/>
      <c r="DX61" s="362"/>
      <c r="DY61" s="362"/>
      <c r="DZ61" s="362"/>
      <c r="EA61" s="362"/>
      <c r="EB61" s="362"/>
      <c r="EC61" s="362"/>
      <c r="ED61" s="449"/>
      <c r="EE61" s="449"/>
      <c r="EF61" s="362"/>
      <c r="EG61" s="449"/>
      <c r="EH61" s="362"/>
      <c r="EI61" s="449"/>
      <c r="EJ61" s="362"/>
      <c r="EK61" s="449"/>
      <c r="EL61" s="362"/>
      <c r="EM61" s="362"/>
      <c r="EN61" s="362"/>
      <c r="EO61" s="362"/>
      <c r="EP61" s="362"/>
      <c r="EQ61" s="362"/>
      <c r="ER61" s="362"/>
      <c r="ES61" s="362"/>
      <c r="ET61" s="431"/>
      <c r="EV61" s="341"/>
      <c r="GO61" s="331"/>
    </row>
    <row r="62" customHeight="1" spans="1:197"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437"/>
      <c r="X62" s="436"/>
      <c r="Y62" s="436"/>
      <c r="Z62" s="436"/>
      <c r="AA62" s="436"/>
      <c r="AB62" s="436"/>
      <c r="AC62" s="436"/>
      <c r="AK62" s="342"/>
      <c r="AL62" s="342"/>
      <c r="AM62" s="342"/>
      <c r="AN62" s="342"/>
      <c r="AT62" s="410"/>
      <c r="AU62" s="410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1"/>
      <c r="BI62" s="341"/>
      <c r="BJ62" s="341"/>
      <c r="BK62" s="341"/>
      <c r="BL62" s="341"/>
      <c r="BM62" s="341"/>
      <c r="BN62" s="341"/>
      <c r="BO62" s="341"/>
      <c r="BV62" s="341"/>
      <c r="BW62" s="341"/>
      <c r="BX62" s="341"/>
      <c r="BY62" s="341"/>
      <c r="BZ62" s="341"/>
      <c r="CA62" s="341"/>
      <c r="CB62" s="341"/>
      <c r="CC62" s="341"/>
      <c r="CD62" s="341"/>
      <c r="CE62" s="341"/>
      <c r="CF62" s="341"/>
      <c r="CG62" s="341"/>
      <c r="CH62" s="341"/>
      <c r="CI62" s="341"/>
      <c r="CJ62" s="341"/>
      <c r="CK62" s="341"/>
      <c r="CL62" s="341"/>
      <c r="CM62" s="341"/>
      <c r="CN62" s="341"/>
      <c r="CO62" s="341"/>
      <c r="CP62" s="341"/>
      <c r="CQ62" s="341"/>
      <c r="CR62" s="341"/>
      <c r="CS62" s="341"/>
      <c r="CT62" s="341"/>
      <c r="CU62" s="341"/>
      <c r="CV62" s="341"/>
      <c r="CW62" s="341"/>
      <c r="CX62" s="341"/>
      <c r="CY62" s="341"/>
      <c r="CZ62" s="341"/>
      <c r="DA62" s="341"/>
      <c r="DB62" s="341"/>
      <c r="DC62" s="341"/>
      <c r="DD62" s="430"/>
      <c r="DE62" s="341"/>
      <c r="DF62" s="341"/>
      <c r="DG62" s="341"/>
      <c r="DH62" s="341"/>
      <c r="DI62" s="341"/>
      <c r="DJ62" s="341"/>
      <c r="DK62" s="341"/>
      <c r="DL62" s="341"/>
      <c r="DM62" s="341"/>
      <c r="DN62" s="331"/>
      <c r="DO62" s="331"/>
      <c r="DP62" s="331"/>
      <c r="DQ62" s="331"/>
      <c r="DR62" s="331"/>
      <c r="DS62" s="331"/>
      <c r="DT62" s="331"/>
      <c r="DU62" s="331"/>
      <c r="DV62" s="362"/>
      <c r="DW62" s="362"/>
      <c r="DX62" s="362"/>
      <c r="DY62" s="362"/>
      <c r="DZ62" s="362"/>
      <c r="EA62" s="362"/>
      <c r="EB62" s="362"/>
      <c r="EC62" s="362"/>
      <c r="ED62" s="449"/>
      <c r="EE62" s="449"/>
      <c r="EF62" s="362"/>
      <c r="EG62" s="449"/>
      <c r="EH62" s="362"/>
      <c r="EI62" s="449"/>
      <c r="EJ62" s="362"/>
      <c r="EK62" s="449"/>
      <c r="EL62" s="362"/>
      <c r="EM62" s="362"/>
      <c r="EN62" s="362"/>
      <c r="EO62" s="362"/>
      <c r="EP62" s="362"/>
      <c r="EQ62" s="362"/>
      <c r="ER62" s="362"/>
      <c r="ES62" s="362"/>
      <c r="ET62" s="431"/>
      <c r="EV62" s="341"/>
      <c r="GO62" s="331"/>
    </row>
    <row r="63" customHeight="1" spans="1:197">
      <c r="A63" s="331"/>
      <c r="L63" s="369"/>
      <c r="M63" s="369"/>
      <c r="N63" s="369"/>
      <c r="O63" s="362"/>
      <c r="P63" s="458"/>
      <c r="Q63" s="362"/>
      <c r="R63" s="362"/>
      <c r="S63" s="458"/>
      <c r="T63" s="458"/>
      <c r="U63" s="458"/>
      <c r="V63" s="458"/>
      <c r="W63" s="459"/>
      <c r="X63" s="458"/>
      <c r="Y63" s="458"/>
      <c r="Z63" s="458"/>
      <c r="AA63" s="458"/>
      <c r="AB63" s="458"/>
      <c r="AC63" s="458"/>
      <c r="AK63" s="342"/>
      <c r="AL63" s="342"/>
      <c r="AM63" s="342"/>
      <c r="AN63" s="342"/>
      <c r="AP63" s="334"/>
    </row>
    <row r="64" customHeight="1" spans="1:197">
      <c r="A64" s="351" t="s">
        <v>85</v>
      </c>
      <c r="L64" s="348"/>
      <c r="M64" s="348"/>
      <c r="N64" s="348"/>
      <c r="O64" s="348"/>
      <c r="P64" s="348"/>
      <c r="Q64" s="348"/>
      <c r="R64" s="348"/>
      <c r="S64" s="348"/>
      <c r="T64" s="348"/>
      <c r="U64" s="348"/>
      <c r="V64" s="348"/>
      <c r="W64" s="349"/>
      <c r="X64" s="348"/>
      <c r="Y64" s="348"/>
      <c r="Z64" s="348"/>
      <c r="AA64" s="348"/>
      <c r="AB64" s="348"/>
      <c r="AC64" s="348"/>
      <c r="AK64" s="342"/>
      <c r="AL64" s="342"/>
      <c r="AM64" s="342"/>
      <c r="AN64" s="342"/>
      <c r="AO64" s="333"/>
      <c r="AP64" s="460"/>
      <c r="AQ64" s="333"/>
      <c r="AR64" s="460"/>
    </row>
    <row r="65" customHeight="1" spans="1:44">
      <c r="A65" s="328" t="s">
        <v>80</v>
      </c>
      <c r="L65" s="461"/>
      <c r="M65" s="461"/>
      <c r="N65" s="461"/>
      <c r="O65" s="461">
        <f t="shared" ref="O65:U65" si="43">O71+O74</f>
        <v>7743</v>
      </c>
      <c r="P65" s="461">
        <f t="shared" si="43"/>
        <v>7483</v>
      </c>
      <c r="Q65" s="461">
        <f t="shared" si="43"/>
        <v>8657</v>
      </c>
      <c r="R65" s="461">
        <f t="shared" si="43"/>
        <v>9802</v>
      </c>
      <c r="S65" s="461">
        <f t="shared" si="43"/>
        <v>11186</v>
      </c>
      <c r="T65" s="461">
        <f t="shared" si="43"/>
        <v>11021</v>
      </c>
      <c r="U65" s="461">
        <f t="shared" si="43"/>
        <v>11676</v>
      </c>
      <c r="V65" s="461">
        <f t="shared" ref="V65:AB65" si="44">V196</f>
        <v>13708</v>
      </c>
      <c r="W65" s="462">
        <f t="shared" si="44"/>
        <v>16051</v>
      </c>
      <c r="X65" s="461">
        <f t="shared" si="44"/>
        <v>18663.9048417263</v>
      </c>
      <c r="Y65" s="461">
        <f t="shared" si="44"/>
        <v>19941.2127925691</v>
      </c>
      <c r="Z65" s="461">
        <f t="shared" si="44"/>
        <v>21600.4311955848</v>
      </c>
      <c r="AA65" s="461">
        <f t="shared" si="44"/>
        <v>23211.5981263369</v>
      </c>
      <c r="AB65" s="461">
        <f t="shared" si="44"/>
        <v>24956.3536267057</v>
      </c>
      <c r="AC65" s="461"/>
      <c r="AK65" s="342"/>
      <c r="AL65" s="342"/>
      <c r="AM65" s="342"/>
      <c r="AN65" s="342"/>
      <c r="AO65" s="463"/>
      <c r="AP65" s="463"/>
      <c r="AQ65" s="463"/>
      <c r="AR65" s="463"/>
    </row>
    <row r="66" customHeight="1" spans="1:44">
      <c r="A66" s="331" t="s">
        <v>61</v>
      </c>
      <c r="L66" s="461"/>
      <c r="M66" s="461"/>
      <c r="N66" s="461"/>
      <c r="P66" s="362">
        <f>P65/O65-1</f>
        <v>-0.0335787162598477</v>
      </c>
      <c r="Q66" s="362">
        <f t="shared" ref="Q66:AB66" si="45">Q65/P65-1</f>
        <v>0.156888948282774</v>
      </c>
      <c r="R66" s="362">
        <f t="shared" si="45"/>
        <v>0.132262908628855</v>
      </c>
      <c r="S66" s="362">
        <f t="shared" si="45"/>
        <v>0.141195674352173</v>
      </c>
      <c r="T66" s="362">
        <f t="shared" si="45"/>
        <v>-0.0147505810834972</v>
      </c>
      <c r="U66" s="362">
        <f t="shared" si="45"/>
        <v>0.0594319934670176</v>
      </c>
      <c r="V66" s="362">
        <f t="shared" si="45"/>
        <v>0.174032202809181</v>
      </c>
      <c r="W66" s="384">
        <f t="shared" si="45"/>
        <v>0.170922089290925</v>
      </c>
      <c r="X66" s="362">
        <f t="shared" si="45"/>
        <v>0.16278766691959</v>
      </c>
      <c r="Y66" s="362">
        <f t="shared" si="45"/>
        <v>0.0684373372922031</v>
      </c>
      <c r="Z66" s="362">
        <f t="shared" si="45"/>
        <v>0.083205491073941</v>
      </c>
      <c r="AA66" s="362">
        <f t="shared" si="45"/>
        <v>0.0745895725952654</v>
      </c>
      <c r="AB66" s="362">
        <f t="shared" si="45"/>
        <v>0.0751674008343746</v>
      </c>
      <c r="AC66" s="362"/>
      <c r="AK66" s="342"/>
      <c r="AL66" s="342"/>
      <c r="AM66" s="342"/>
      <c r="AN66" s="342"/>
      <c r="AO66" s="461"/>
      <c r="AP66" s="461"/>
      <c r="AQ66" s="461"/>
      <c r="AR66" s="461"/>
    </row>
    <row r="67" customHeight="1" spans="1:44">
      <c r="A67" s="331" t="s">
        <v>86</v>
      </c>
      <c r="L67" s="461"/>
      <c r="M67" s="461"/>
      <c r="N67" s="461"/>
      <c r="O67" s="362">
        <f t="shared" ref="O67:AB67" si="46">O65/O$89</f>
        <v>0.720614239181014</v>
      </c>
      <c r="P67" s="362">
        <f t="shared" si="46"/>
        <v>0.721600771456123</v>
      </c>
      <c r="Q67" s="362">
        <f t="shared" si="46"/>
        <v>0.722018348623853</v>
      </c>
      <c r="R67" s="362">
        <f t="shared" si="46"/>
        <v>0.735720183141935</v>
      </c>
      <c r="S67" s="362">
        <f t="shared" si="46"/>
        <v>0.751595780420614</v>
      </c>
      <c r="T67" s="362">
        <f t="shared" si="46"/>
        <v>0.775853572685674</v>
      </c>
      <c r="U67" s="362">
        <f t="shared" si="46"/>
        <v>0.803357644144764</v>
      </c>
      <c r="V67" s="362">
        <f t="shared" si="46"/>
        <v>0.810404966006503</v>
      </c>
      <c r="W67" s="384">
        <f t="shared" si="46"/>
        <v>0.832089165370658</v>
      </c>
      <c r="X67" s="362">
        <f t="shared" si="46"/>
        <v>0.879626017613646</v>
      </c>
      <c r="Y67" s="362">
        <f t="shared" si="46"/>
        <v>0.886321201868476</v>
      </c>
      <c r="Z67" s="362">
        <f t="shared" si="46"/>
        <v>0.890028849352925</v>
      </c>
      <c r="AA67" s="362">
        <f t="shared" si="46"/>
        <v>0.89310577970781</v>
      </c>
      <c r="AB67" s="362">
        <f t="shared" si="46"/>
        <v>0.896200041545364</v>
      </c>
      <c r="AC67" s="362"/>
      <c r="AK67" s="342"/>
      <c r="AL67" s="342"/>
      <c r="AM67" s="342"/>
      <c r="AN67" s="342"/>
      <c r="AO67" s="461"/>
      <c r="AP67" s="461"/>
      <c r="AQ67" s="461"/>
      <c r="AR67" s="461"/>
    </row>
    <row r="68" customHeight="1" spans="1:44">
      <c r="A68" s="328" t="s">
        <v>82</v>
      </c>
      <c r="L68" s="461"/>
      <c r="M68" s="461"/>
      <c r="N68" s="461"/>
      <c r="O68" s="461">
        <f t="shared" ref="O68:AB68" si="47">O77+O83+O85</f>
        <v>2148</v>
      </c>
      <c r="P68" s="461">
        <f t="shared" si="47"/>
        <v>2013</v>
      </c>
      <c r="Q68" s="461">
        <f t="shared" si="47"/>
        <v>2365</v>
      </c>
      <c r="R68" s="461">
        <f t="shared" si="47"/>
        <v>2433</v>
      </c>
      <c r="S68" s="461">
        <f t="shared" si="47"/>
        <v>2195</v>
      </c>
      <c r="T68" s="461">
        <f t="shared" si="47"/>
        <v>2148</v>
      </c>
      <c r="U68" s="461">
        <f t="shared" si="47"/>
        <v>1847</v>
      </c>
      <c r="V68" s="461">
        <f t="shared" si="47"/>
        <v>2002.47</v>
      </c>
      <c r="W68" s="462">
        <f t="shared" si="47"/>
        <v>2136.9939</v>
      </c>
      <c r="X68" s="461">
        <f t="shared" si="47"/>
        <v>2280.652023</v>
      </c>
      <c r="Y68" s="461">
        <f t="shared" si="47"/>
        <v>2434.06964211</v>
      </c>
      <c r="Z68" s="461">
        <f t="shared" si="47"/>
        <v>2597.9150934327</v>
      </c>
      <c r="AA68" s="461">
        <f t="shared" si="47"/>
        <v>2772.90275516674</v>
      </c>
      <c r="AB68" s="461">
        <f t="shared" si="47"/>
        <v>2959.79623348185</v>
      </c>
      <c r="AC68" s="461"/>
      <c r="AK68" s="342"/>
      <c r="AL68" s="342"/>
      <c r="AM68" s="342"/>
      <c r="AN68" s="342"/>
      <c r="AO68" s="333"/>
      <c r="AP68" s="460"/>
      <c r="AQ68" s="333"/>
      <c r="AR68" s="460"/>
    </row>
    <row r="69" customHeight="1" spans="1:44">
      <c r="A69" s="331" t="s">
        <v>61</v>
      </c>
      <c r="L69" s="461"/>
      <c r="M69" s="461"/>
      <c r="N69" s="461"/>
      <c r="P69" s="362">
        <f t="shared" ref="P69:AB69" si="48">P68/O68-1</f>
        <v>-0.0628491620111732</v>
      </c>
      <c r="Q69" s="362">
        <f t="shared" si="48"/>
        <v>0.174863387978142</v>
      </c>
      <c r="R69" s="362">
        <f t="shared" si="48"/>
        <v>0.0287526427061311</v>
      </c>
      <c r="S69" s="362">
        <f t="shared" si="48"/>
        <v>-0.0978216193999178</v>
      </c>
      <c r="T69" s="362">
        <f t="shared" si="48"/>
        <v>-0.0214123006833713</v>
      </c>
      <c r="U69" s="362">
        <f t="shared" si="48"/>
        <v>-0.140130353817505</v>
      </c>
      <c r="V69" s="362">
        <f t="shared" si="48"/>
        <v>0.0841743367623173</v>
      </c>
      <c r="W69" s="384">
        <f t="shared" si="48"/>
        <v>0.0671789839548158</v>
      </c>
      <c r="X69" s="362">
        <f t="shared" si="48"/>
        <v>0.0672243954463325</v>
      </c>
      <c r="Y69" s="362">
        <f t="shared" si="48"/>
        <v>0.0672691921269921</v>
      </c>
      <c r="Z69" s="362">
        <f t="shared" si="48"/>
        <v>0.0673133785854496</v>
      </c>
      <c r="AA69" s="362">
        <f t="shared" si="48"/>
        <v>0.0673569595004828</v>
      </c>
      <c r="AB69" s="362">
        <f t="shared" si="48"/>
        <v>0.0673999396361344</v>
      </c>
      <c r="AC69" s="362"/>
      <c r="AK69" s="342"/>
      <c r="AL69" s="342"/>
      <c r="AM69" s="342"/>
      <c r="AN69" s="342"/>
      <c r="AO69" s="333"/>
      <c r="AP69" s="460"/>
      <c r="AQ69" s="333"/>
      <c r="AR69" s="460"/>
    </row>
    <row r="70" customHeight="1" spans="1:44">
      <c r="A70" s="331" t="s">
        <v>86</v>
      </c>
      <c r="L70" s="461"/>
      <c r="M70" s="461"/>
      <c r="N70" s="461"/>
      <c r="O70" s="362">
        <f t="shared" ref="O70:AB70" si="49">O68/O$89</f>
        <v>0.199906933457422</v>
      </c>
      <c r="P70" s="362">
        <f t="shared" si="49"/>
        <v>0.194117647058824</v>
      </c>
      <c r="Q70" s="362">
        <f t="shared" si="49"/>
        <v>0.197247706422018</v>
      </c>
      <c r="R70" s="362">
        <f t="shared" si="49"/>
        <v>0.182616527809052</v>
      </c>
      <c r="S70" s="362">
        <f t="shared" si="49"/>
        <v>0.147483706242021</v>
      </c>
      <c r="T70" s="362">
        <f t="shared" si="49"/>
        <v>0.151214361140444</v>
      </c>
      <c r="U70" s="362">
        <f t="shared" si="49"/>
        <v>0.127081326544654</v>
      </c>
      <c r="V70" s="362">
        <f t="shared" si="49"/>
        <v>0.11838427431274</v>
      </c>
      <c r="W70" s="384">
        <f t="shared" si="49"/>
        <v>0.110782472783826</v>
      </c>
      <c r="X70" s="362">
        <f t="shared" si="49"/>
        <v>0.107486663351871</v>
      </c>
      <c r="Y70" s="362">
        <f t="shared" si="49"/>
        <v>0.108186375275551</v>
      </c>
      <c r="Z70" s="362">
        <f t="shared" si="49"/>
        <v>0.107045056665217</v>
      </c>
      <c r="AA70" s="362">
        <f t="shared" si="49"/>
        <v>0.106692157245183</v>
      </c>
      <c r="AB70" s="362">
        <f t="shared" si="49"/>
        <v>0.106288344326622</v>
      </c>
      <c r="AC70" s="362"/>
      <c r="AK70" s="342"/>
      <c r="AL70" s="342"/>
      <c r="AM70" s="342"/>
      <c r="AN70" s="342"/>
      <c r="AO70" s="333"/>
      <c r="AP70" s="460"/>
      <c r="AQ70" s="333"/>
      <c r="AR70" s="460"/>
    </row>
    <row r="71" customHeight="1" spans="1:44">
      <c r="A71" s="328" t="s">
        <v>87</v>
      </c>
      <c r="L71" s="461"/>
      <c r="M71" s="461"/>
      <c r="N71" s="461"/>
      <c r="O71" s="461">
        <v>6246</v>
      </c>
      <c r="P71" s="461">
        <v>5838</v>
      </c>
      <c r="Q71" s="461">
        <v>6523</v>
      </c>
      <c r="R71" s="461">
        <v>7189</v>
      </c>
      <c r="S71" s="461">
        <v>8035</v>
      </c>
      <c r="T71" s="461">
        <v>7845</v>
      </c>
      <c r="U71" s="461">
        <v>8259</v>
      </c>
      <c r="V71" s="461">
        <f t="shared" ref="V71:AB71" si="50">V65-V74</f>
        <v>9312.65553774561</v>
      </c>
      <c r="W71" s="462">
        <f t="shared" si="50"/>
        <v>9787.63414128749</v>
      </c>
      <c r="X71" s="464">
        <f t="shared" si="50"/>
        <v>11943.9054907048</v>
      </c>
      <c r="Y71" s="464">
        <f t="shared" si="50"/>
        <v>12815.5497734632</v>
      </c>
      <c r="Z71" s="464">
        <f t="shared" si="50"/>
        <v>13869.0868198549</v>
      </c>
      <c r="AA71" s="464">
        <f t="shared" si="50"/>
        <v>14861.7462005486</v>
      </c>
      <c r="AB71" s="464">
        <f t="shared" si="50"/>
        <v>15938.5135468543</v>
      </c>
      <c r="AC71" s="464"/>
      <c r="AK71" s="342"/>
      <c r="AL71" s="342"/>
      <c r="AM71" s="342"/>
      <c r="AN71" s="342"/>
    </row>
    <row r="72" customHeight="1" spans="1:44">
      <c r="A72" s="331" t="s">
        <v>61</v>
      </c>
      <c r="L72" s="461"/>
      <c r="M72" s="461"/>
      <c r="N72" s="461"/>
      <c r="O72" s="362"/>
      <c r="P72" s="362">
        <f t="shared" ref="P72:AB72" si="51">P71/O71-1</f>
        <v>-0.0653218059558117</v>
      </c>
      <c r="Q72" s="362">
        <f t="shared" si="51"/>
        <v>0.117334703665639</v>
      </c>
      <c r="R72" s="362">
        <f t="shared" si="51"/>
        <v>0.102100260616281</v>
      </c>
      <c r="S72" s="362">
        <f t="shared" si="51"/>
        <v>0.117679788565864</v>
      </c>
      <c r="T72" s="362">
        <f t="shared" si="51"/>
        <v>-0.0236465463596764</v>
      </c>
      <c r="U72" s="362">
        <f t="shared" si="51"/>
        <v>0.0527724665391969</v>
      </c>
      <c r="V72" s="362">
        <f t="shared" si="51"/>
        <v>0.1275766482317</v>
      </c>
      <c r="W72" s="384">
        <f t="shared" si="51"/>
        <v>0.0510035619396336</v>
      </c>
      <c r="X72" s="465">
        <f t="shared" si="51"/>
        <v>0.220305675333886</v>
      </c>
      <c r="Y72" s="465">
        <f t="shared" si="51"/>
        <v>0.0729781630838222</v>
      </c>
      <c r="Z72" s="465">
        <f t="shared" si="51"/>
        <v>0.082207713677114</v>
      </c>
      <c r="AA72" s="465">
        <f t="shared" si="51"/>
        <v>0.0715735212842299</v>
      </c>
      <c r="AB72" s="465">
        <f t="shared" si="51"/>
        <v>0.0724522765881959</v>
      </c>
      <c r="AC72" s="465"/>
      <c r="AE72" s="362"/>
      <c r="AF72" s="362"/>
      <c r="AG72" s="362"/>
      <c r="AH72" s="362"/>
      <c r="AI72" s="362"/>
      <c r="AJ72" s="362"/>
      <c r="AL72" s="422"/>
      <c r="AM72" s="422"/>
      <c r="AN72" s="422"/>
      <c r="AO72" s="361"/>
      <c r="AP72" s="439"/>
      <c r="AR72" s="334"/>
    </row>
    <row r="73" customHeight="1" spans="1:44">
      <c r="A73" s="340" t="s">
        <v>88</v>
      </c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62">
        <f>O71/O$65</f>
        <v>0.806664083688493</v>
      </c>
      <c r="P73" s="362">
        <f t="shared" ref="P73:AB73" si="52">P71/P$65</f>
        <v>0.780168381665108</v>
      </c>
      <c r="Q73" s="362">
        <f t="shared" si="52"/>
        <v>0.753494282083863</v>
      </c>
      <c r="R73" s="362">
        <f t="shared" si="52"/>
        <v>0.73342175066313</v>
      </c>
      <c r="S73" s="362">
        <f t="shared" si="52"/>
        <v>0.718308600035759</v>
      </c>
      <c r="T73" s="362">
        <f t="shared" si="52"/>
        <v>0.711822883585882</v>
      </c>
      <c r="U73" s="362">
        <f t="shared" si="52"/>
        <v>0.707348406988695</v>
      </c>
      <c r="V73" s="362">
        <f t="shared" si="52"/>
        <v>0.679359172581384</v>
      </c>
      <c r="W73" s="384">
        <f t="shared" si="52"/>
        <v>0.609783449086505</v>
      </c>
      <c r="X73" s="465">
        <f t="shared" si="52"/>
        <v>0.639946763123341</v>
      </c>
      <c r="Y73" s="465">
        <f t="shared" si="52"/>
        <v>0.642666517165837</v>
      </c>
      <c r="Z73" s="465">
        <f t="shared" si="52"/>
        <v>0.642074535192139</v>
      </c>
      <c r="AA73" s="465">
        <f t="shared" si="52"/>
        <v>0.640272424141525</v>
      </c>
      <c r="AB73" s="465">
        <f t="shared" si="52"/>
        <v>0.638655541801531</v>
      </c>
      <c r="AC73" s="465"/>
      <c r="AE73" s="461"/>
      <c r="AF73" s="461"/>
      <c r="AG73" s="461"/>
      <c r="AH73" s="461"/>
      <c r="AI73" s="461"/>
      <c r="AJ73" s="461"/>
      <c r="AL73" s="466"/>
      <c r="AM73" s="467"/>
      <c r="AN73" s="467"/>
      <c r="AP73" s="334"/>
    </row>
    <row r="74" customHeight="1" spans="1:44">
      <c r="A74" s="328" t="s">
        <v>89</v>
      </c>
      <c r="L74" s="461"/>
      <c r="M74" s="461"/>
      <c r="N74" s="461"/>
      <c r="O74" s="461">
        <v>1497</v>
      </c>
      <c r="P74" s="461">
        <v>1645</v>
      </c>
      <c r="Q74" s="461">
        <v>2134</v>
      </c>
      <c r="R74" s="461">
        <v>2613</v>
      </c>
      <c r="S74" s="461">
        <v>3151</v>
      </c>
      <c r="T74" s="461">
        <v>3176</v>
      </c>
      <c r="U74" s="461">
        <v>3417</v>
      </c>
      <c r="V74" s="461">
        <f t="shared" ref="V74:AB74" si="53">U74*(1+V75)</f>
        <v>4395.34446225439</v>
      </c>
      <c r="W74" s="462">
        <f t="shared" si="53"/>
        <v>6263.36585871251</v>
      </c>
      <c r="X74" s="464">
        <f t="shared" si="53"/>
        <v>6719.99935102151</v>
      </c>
      <c r="Y74" s="464">
        <f t="shared" si="53"/>
        <v>7125.66301910591</v>
      </c>
      <c r="Z74" s="464">
        <f t="shared" si="53"/>
        <v>7731.34437572991</v>
      </c>
      <c r="AA74" s="464">
        <f t="shared" si="53"/>
        <v>8349.8519257883</v>
      </c>
      <c r="AB74" s="464">
        <f t="shared" si="53"/>
        <v>9017.84007985137</v>
      </c>
      <c r="AC74" s="464"/>
      <c r="AE74" s="350"/>
      <c r="AF74" s="468"/>
      <c r="AG74" s="468"/>
      <c r="AH74" s="468"/>
      <c r="AI74" s="468"/>
      <c r="AJ74" s="468"/>
      <c r="AL74" s="422"/>
      <c r="AM74" s="422"/>
      <c r="AN74" s="422"/>
      <c r="AO74" s="361"/>
      <c r="AP74" s="334"/>
      <c r="AR74" s="334"/>
    </row>
    <row r="75" customHeight="1" spans="1:44">
      <c r="A75" s="331" t="s">
        <v>61</v>
      </c>
      <c r="L75" s="461"/>
      <c r="M75" s="461"/>
      <c r="N75" s="461"/>
      <c r="P75" s="362">
        <f t="shared" ref="P75:U75" si="54">P74/O74-1</f>
        <v>0.0988643954575819</v>
      </c>
      <c r="Q75" s="362">
        <f t="shared" si="54"/>
        <v>0.29726443768997</v>
      </c>
      <c r="R75" s="362">
        <f t="shared" si="54"/>
        <v>0.224461105904405</v>
      </c>
      <c r="S75" s="362">
        <f t="shared" si="54"/>
        <v>0.205893608878684</v>
      </c>
      <c r="T75" s="362">
        <f t="shared" si="54"/>
        <v>0.00793398920977473</v>
      </c>
      <c r="U75" s="362">
        <f t="shared" si="54"/>
        <v>0.07588161209068</v>
      </c>
      <c r="V75" s="362">
        <f>22.5%+(V197-V198)</f>
        <v>0.286316787314719</v>
      </c>
      <c r="W75" s="368">
        <v>0.425</v>
      </c>
      <c r="X75" s="469">
        <f>10%+(X197-X198)</f>
        <v>0.0729054477432145</v>
      </c>
      <c r="Y75" s="469">
        <f>9%+(Y197-Y198)</f>
        <v>0.0603666231043206</v>
      </c>
      <c r="Z75" s="469">
        <f>8.5%+(Z197-Z198)</f>
        <v>0.085</v>
      </c>
      <c r="AA75" s="469">
        <f>8%+(AA197-AA198)</f>
        <v>0.08</v>
      </c>
      <c r="AB75" s="469">
        <f>8%+(AB197-AB198)</f>
        <v>0.0800000000000002</v>
      </c>
      <c r="AC75" s="469"/>
      <c r="AE75" s="470"/>
      <c r="AF75" s="461"/>
      <c r="AL75" s="466"/>
      <c r="AM75" s="467"/>
      <c r="AN75" s="467"/>
    </row>
    <row r="76" customHeight="1" spans="1:44">
      <c r="A76" s="340" t="s">
        <v>88</v>
      </c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62">
        <f>O74/O$65</f>
        <v>0.193335916311507</v>
      </c>
      <c r="P76" s="362">
        <f t="shared" ref="P76:AB76" si="55">P74/P$65</f>
        <v>0.219831618334892</v>
      </c>
      <c r="Q76" s="362">
        <f t="shared" si="55"/>
        <v>0.246505717916137</v>
      </c>
      <c r="R76" s="362">
        <f t="shared" si="55"/>
        <v>0.26657824933687</v>
      </c>
      <c r="S76" s="362">
        <f t="shared" si="55"/>
        <v>0.281691399964241</v>
      </c>
      <c r="T76" s="362">
        <f t="shared" si="55"/>
        <v>0.288177116414119</v>
      </c>
      <c r="U76" s="362">
        <f t="shared" si="55"/>
        <v>0.292651593011305</v>
      </c>
      <c r="V76" s="362">
        <f t="shared" si="55"/>
        <v>0.320640827418616</v>
      </c>
      <c r="W76" s="368">
        <f t="shared" si="55"/>
        <v>0.390216550913495</v>
      </c>
      <c r="X76" s="465">
        <f t="shared" si="55"/>
        <v>0.360053236876659</v>
      </c>
      <c r="Y76" s="465">
        <f t="shared" si="55"/>
        <v>0.357333482834163</v>
      </c>
      <c r="Z76" s="465">
        <f t="shared" si="55"/>
        <v>0.357925464807861</v>
      </c>
      <c r="AA76" s="465">
        <f t="shared" si="55"/>
        <v>0.359727575858475</v>
      </c>
      <c r="AB76" s="465">
        <f t="shared" si="55"/>
        <v>0.361344458198469</v>
      </c>
      <c r="AC76" s="465"/>
      <c r="AE76" s="468"/>
      <c r="AF76" s="468"/>
      <c r="AK76" s="422"/>
      <c r="AL76" s="422"/>
      <c r="AM76" s="422"/>
      <c r="AO76" s="361"/>
      <c r="AP76" s="334"/>
      <c r="AR76" s="334"/>
    </row>
    <row r="77" customHeight="1" spans="1:44">
      <c r="A77" s="328" t="s">
        <v>82</v>
      </c>
      <c r="L77" s="461"/>
      <c r="M77" s="461"/>
      <c r="N77" s="461"/>
      <c r="O77" s="461">
        <v>1717</v>
      </c>
      <c r="P77" s="461">
        <v>1604</v>
      </c>
      <c r="Q77" s="461">
        <v>1913</v>
      </c>
      <c r="R77" s="461">
        <v>1962</v>
      </c>
      <c r="S77" s="461">
        <v>1667</v>
      </c>
      <c r="T77" s="461">
        <v>1599</v>
      </c>
      <c r="U77" s="461">
        <v>1578</v>
      </c>
      <c r="V77" s="461">
        <f t="shared" ref="V77:AB77" si="56">U77*(1+V78)</f>
        <v>1720.02</v>
      </c>
      <c r="W77" s="471">
        <f t="shared" si="56"/>
        <v>1840.4214</v>
      </c>
      <c r="X77" s="461">
        <f t="shared" si="56"/>
        <v>1969.250898</v>
      </c>
      <c r="Y77" s="461">
        <f t="shared" si="56"/>
        <v>2107.09846086</v>
      </c>
      <c r="Z77" s="461">
        <f t="shared" si="56"/>
        <v>2254.5953531202</v>
      </c>
      <c r="AA77" s="461">
        <f t="shared" si="56"/>
        <v>2412.41702783862</v>
      </c>
      <c r="AB77" s="461">
        <f t="shared" si="56"/>
        <v>2581.28621978732</v>
      </c>
      <c r="AC77" s="461"/>
      <c r="AE77" s="412"/>
      <c r="AF77" s="412"/>
      <c r="AG77" s="412"/>
      <c r="AH77" s="412"/>
      <c r="AI77" s="412"/>
      <c r="AJ77" s="412"/>
      <c r="AK77" s="472"/>
      <c r="AL77" s="426"/>
      <c r="AM77" s="426"/>
      <c r="AP77" s="473"/>
    </row>
    <row r="78" customHeight="1" spans="1:44">
      <c r="A78" s="331" t="s">
        <v>61</v>
      </c>
      <c r="L78" s="461"/>
      <c r="M78" s="461"/>
      <c r="N78" s="461"/>
      <c r="P78" s="362">
        <f t="shared" ref="P78:U78" si="57">P77/O77-1</f>
        <v>-0.0658124635993012</v>
      </c>
      <c r="Q78" s="362">
        <f t="shared" si="57"/>
        <v>0.192643391521197</v>
      </c>
      <c r="R78" s="362">
        <f t="shared" si="57"/>
        <v>0.0256142185049659</v>
      </c>
      <c r="S78" s="362">
        <f t="shared" si="57"/>
        <v>-0.150356778797146</v>
      </c>
      <c r="T78" s="362">
        <f t="shared" si="57"/>
        <v>-0.0407918416316737</v>
      </c>
      <c r="U78" s="362">
        <f t="shared" si="57"/>
        <v>-0.0131332082551595</v>
      </c>
      <c r="V78" s="362">
        <v>0.09</v>
      </c>
      <c r="W78" s="368">
        <f>V78-2%</f>
        <v>0.07</v>
      </c>
      <c r="X78" s="474">
        <f>W78</f>
        <v>0.07</v>
      </c>
      <c r="Y78" s="474">
        <f>X78</f>
        <v>0.07</v>
      </c>
      <c r="Z78" s="474">
        <f>Y78</f>
        <v>0.07</v>
      </c>
      <c r="AA78" s="474">
        <f>Z78</f>
        <v>0.07</v>
      </c>
      <c r="AB78" s="474">
        <f>AA78</f>
        <v>0.07</v>
      </c>
      <c r="AC78" s="474"/>
      <c r="AE78" s="407"/>
      <c r="AF78" s="407"/>
      <c r="AG78" s="407"/>
      <c r="AH78" s="407"/>
      <c r="AI78" s="407"/>
      <c r="AJ78" s="407"/>
      <c r="AK78" s="422"/>
      <c r="AL78" s="422"/>
      <c r="AM78" s="422"/>
      <c r="AP78" s="439"/>
    </row>
    <row r="79" s="333" customFormat="1" customHeight="1" spans="1:44">
      <c r="A79" s="328" t="s">
        <v>90</v>
      </c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6"/>
      <c r="M79" s="476"/>
      <c r="N79" s="476"/>
      <c r="O79" s="356">
        <v>1285</v>
      </c>
      <c r="P79" s="356">
        <v>1283</v>
      </c>
      <c r="Q79" s="356">
        <v>1420</v>
      </c>
      <c r="R79" s="356">
        <v>1580</v>
      </c>
      <c r="S79" s="356">
        <v>1976</v>
      </c>
      <c r="T79" s="356">
        <v>1946</v>
      </c>
      <c r="U79" s="356">
        <v>1316</v>
      </c>
      <c r="V79" s="356">
        <f t="shared" ref="V79:AB79" si="58">V27</f>
        <v>1467</v>
      </c>
      <c r="W79" s="477">
        <f t="shared" si="58"/>
        <v>1475</v>
      </c>
      <c r="X79" s="478">
        <f t="shared" si="58"/>
        <v>741</v>
      </c>
      <c r="Y79" s="478">
        <f t="shared" si="58"/>
        <v>753.103766984596</v>
      </c>
      <c r="Z79" s="478">
        <f t="shared" si="58"/>
        <v>790.758955333826</v>
      </c>
      <c r="AA79" s="478">
        <f t="shared" si="58"/>
        <v>830.296903100517</v>
      </c>
      <c r="AB79" s="478">
        <f t="shared" si="58"/>
        <v>871.811748255543</v>
      </c>
      <c r="AC79" s="478"/>
      <c r="AD79" s="342"/>
      <c r="AE79" s="461"/>
      <c r="AF79" s="461"/>
      <c r="AG79" s="461"/>
      <c r="AH79" s="461"/>
      <c r="AI79" s="461"/>
      <c r="AJ79" s="461"/>
      <c r="AK79" s="466"/>
      <c r="AL79" s="466"/>
      <c r="AM79" s="466"/>
      <c r="AN79" s="345"/>
      <c r="AP79" s="334"/>
    </row>
    <row r="80" s="333" customFormat="1" customHeight="1" spans="1:44">
      <c r="A80" s="331" t="s">
        <v>61</v>
      </c>
      <c r="B80" s="475"/>
      <c r="C80" s="475"/>
      <c r="D80" s="475"/>
      <c r="E80" s="475"/>
      <c r="F80" s="475"/>
      <c r="G80" s="475"/>
      <c r="H80" s="475"/>
      <c r="I80" s="475"/>
      <c r="J80" s="475"/>
      <c r="K80" s="475"/>
      <c r="L80" s="476"/>
      <c r="M80" s="476"/>
      <c r="N80" s="476"/>
      <c r="O80" s="479"/>
      <c r="P80" s="362">
        <f t="shared" ref="P80:AB80" si="59">P79/O79-1</f>
        <v>-0.00155642023346303</v>
      </c>
      <c r="Q80" s="362">
        <f t="shared" si="59"/>
        <v>0.106780982073266</v>
      </c>
      <c r="R80" s="362">
        <f t="shared" si="59"/>
        <v>0.112676056338028</v>
      </c>
      <c r="S80" s="362">
        <f t="shared" si="59"/>
        <v>0.250632911392405</v>
      </c>
      <c r="T80" s="362">
        <f t="shared" si="59"/>
        <v>-0.0151821862348178</v>
      </c>
      <c r="U80" s="362">
        <f t="shared" si="59"/>
        <v>-0.323741007194245</v>
      </c>
      <c r="V80" s="362">
        <f t="shared" si="59"/>
        <v>0.114741641337386</v>
      </c>
      <c r="W80" s="480">
        <f t="shared" si="59"/>
        <v>0.00545330606680294</v>
      </c>
      <c r="X80" s="407">
        <f t="shared" si="59"/>
        <v>-0.497627118644068</v>
      </c>
      <c r="Y80" s="407">
        <f t="shared" si="59"/>
        <v>0.0163343684002646</v>
      </c>
      <c r="Z80" s="407">
        <f t="shared" si="59"/>
        <v>0.05</v>
      </c>
      <c r="AA80" s="407">
        <f t="shared" si="59"/>
        <v>0.05</v>
      </c>
      <c r="AB80" s="407">
        <f t="shared" si="59"/>
        <v>0.05</v>
      </c>
      <c r="AC80" s="407"/>
      <c r="AD80" s="342"/>
      <c r="AE80" s="468"/>
      <c r="AF80" s="468"/>
      <c r="AG80" s="468"/>
      <c r="AH80" s="468"/>
      <c r="AI80" s="468"/>
      <c r="AJ80" s="468"/>
      <c r="AK80" s="422"/>
      <c r="AL80" s="422"/>
      <c r="AM80" s="422"/>
      <c r="AN80" s="345"/>
      <c r="AP80" s="334"/>
    </row>
    <row r="81" s="333" customFormat="1" customHeight="1" spans="1:49">
      <c r="A81" s="481" t="s">
        <v>91</v>
      </c>
      <c r="B81" s="401"/>
      <c r="C81" s="401"/>
      <c r="D81" s="401"/>
      <c r="E81" s="401"/>
      <c r="F81" s="401"/>
      <c r="G81" s="401"/>
      <c r="H81" s="401"/>
      <c r="I81" s="401"/>
      <c r="J81" s="401"/>
      <c r="K81" s="401"/>
      <c r="L81" s="461"/>
      <c r="M81" s="461"/>
      <c r="N81" s="461"/>
      <c r="O81" s="356">
        <v>812</v>
      </c>
      <c r="P81" s="356">
        <v>831</v>
      </c>
      <c r="Q81" s="356">
        <v>909</v>
      </c>
      <c r="R81" s="356">
        <v>1044</v>
      </c>
      <c r="S81" s="356">
        <v>1344</v>
      </c>
      <c r="T81" s="356">
        <v>1285</v>
      </c>
      <c r="U81" s="356">
        <v>913</v>
      </c>
      <c r="V81" s="356">
        <f t="shared" ref="V81:AB81" si="60">V79-V85-V87</f>
        <v>1030.45</v>
      </c>
      <c r="W81" s="471">
        <f t="shared" si="60"/>
        <v>1008.9175</v>
      </c>
      <c r="X81" s="461">
        <f t="shared" si="60"/>
        <v>251.613375</v>
      </c>
      <c r="Y81" s="461">
        <f t="shared" si="60"/>
        <v>239.247810734596</v>
      </c>
      <c r="Z81" s="461">
        <f t="shared" si="60"/>
        <v>251.210201271326</v>
      </c>
      <c r="AA81" s="461">
        <f t="shared" si="60"/>
        <v>263.770711334892</v>
      </c>
      <c r="AB81" s="461">
        <f t="shared" si="60"/>
        <v>276.959246901637</v>
      </c>
      <c r="AC81" s="461"/>
      <c r="AD81" s="342"/>
      <c r="AF81" s="367"/>
      <c r="AG81" s="461"/>
      <c r="AH81" s="461"/>
      <c r="AI81" s="461"/>
      <c r="AJ81" s="461"/>
      <c r="AP81" s="334"/>
    </row>
    <row r="82" s="333" customFormat="1" customHeight="1" spans="1:49">
      <c r="A82" s="445" t="s">
        <v>61</v>
      </c>
      <c r="B82" s="401"/>
      <c r="C82" s="401"/>
      <c r="D82" s="401"/>
      <c r="E82" s="401"/>
      <c r="F82" s="401"/>
      <c r="G82" s="401"/>
      <c r="H82" s="401"/>
      <c r="I82" s="401"/>
      <c r="J82" s="401"/>
      <c r="K82" s="401"/>
      <c r="L82" s="461"/>
      <c r="M82" s="461"/>
      <c r="N82" s="461"/>
      <c r="O82" s="395"/>
      <c r="P82" s="362">
        <f t="shared" ref="P82:AB82" si="61">P81/O81-1</f>
        <v>0.0233990147783252</v>
      </c>
      <c r="Q82" s="362">
        <f t="shared" si="61"/>
        <v>0.0938628158844765</v>
      </c>
      <c r="R82" s="362">
        <f t="shared" si="61"/>
        <v>0.148514851485148</v>
      </c>
      <c r="S82" s="362">
        <f t="shared" si="61"/>
        <v>0.28735632183908</v>
      </c>
      <c r="T82" s="362">
        <f t="shared" si="61"/>
        <v>-0.0438988095238095</v>
      </c>
      <c r="U82" s="362">
        <f t="shared" si="61"/>
        <v>-0.289494163424124</v>
      </c>
      <c r="V82" s="362">
        <f t="shared" si="61"/>
        <v>0.128641840087623</v>
      </c>
      <c r="W82" s="368">
        <f t="shared" si="61"/>
        <v>-0.0208962103935174</v>
      </c>
      <c r="X82" s="362">
        <f t="shared" si="61"/>
        <v>-0.750610555372466</v>
      </c>
      <c r="Y82" s="362">
        <f t="shared" si="61"/>
        <v>-0.0491450991641599</v>
      </c>
      <c r="Z82" s="362">
        <f t="shared" si="61"/>
        <v>0.0500000000000003</v>
      </c>
      <c r="AA82" s="362">
        <f t="shared" si="61"/>
        <v>0.05</v>
      </c>
      <c r="AB82" s="362">
        <f t="shared" si="61"/>
        <v>0.05</v>
      </c>
      <c r="AC82" s="362"/>
      <c r="AD82" s="342"/>
      <c r="AE82" s="350"/>
      <c r="AF82" s="367"/>
      <c r="AG82" s="468"/>
      <c r="AH82" s="468"/>
      <c r="AI82" s="468"/>
      <c r="AJ82" s="468"/>
      <c r="AP82" s="334"/>
    </row>
    <row r="83" s="333" customFormat="1" customHeight="1" spans="1:49">
      <c r="A83" s="481" t="s">
        <v>92</v>
      </c>
      <c r="B83" s="401"/>
      <c r="C83" s="401"/>
      <c r="D83" s="401"/>
      <c r="E83" s="401"/>
      <c r="F83" s="401"/>
      <c r="G83" s="401"/>
      <c r="H83" s="401"/>
      <c r="I83" s="401"/>
      <c r="J83" s="401"/>
      <c r="K83" s="401"/>
      <c r="L83" s="461"/>
      <c r="M83" s="461"/>
      <c r="N83" s="461"/>
      <c r="O83" s="461">
        <v>243</v>
      </c>
      <c r="P83" s="461">
        <v>232</v>
      </c>
      <c r="Q83" s="461">
        <v>252</v>
      </c>
      <c r="R83" s="461">
        <v>261</v>
      </c>
      <c r="S83" s="461">
        <v>285</v>
      </c>
      <c r="T83" s="461">
        <v>289</v>
      </c>
      <c r="U83" s="461">
        <v>0</v>
      </c>
      <c r="V83" s="461">
        <f t="shared" ref="V83:AB83" si="62">U83*(1+V84)</f>
        <v>0</v>
      </c>
      <c r="W83" s="471">
        <f t="shared" si="62"/>
        <v>0</v>
      </c>
      <c r="X83" s="461">
        <f t="shared" si="62"/>
        <v>0</v>
      </c>
      <c r="Y83" s="461">
        <f t="shared" si="62"/>
        <v>0</v>
      </c>
      <c r="Z83" s="461">
        <f t="shared" si="62"/>
        <v>0</v>
      </c>
      <c r="AA83" s="461">
        <f t="shared" si="62"/>
        <v>0</v>
      </c>
      <c r="AB83" s="461">
        <f t="shared" si="62"/>
        <v>0</v>
      </c>
      <c r="AC83" s="461"/>
      <c r="AD83" s="342"/>
      <c r="AE83" s="461"/>
      <c r="AF83" s="461"/>
      <c r="AG83" s="461"/>
      <c r="AH83" s="461"/>
      <c r="AI83" s="461"/>
      <c r="AJ83" s="461"/>
      <c r="AP83" s="334"/>
    </row>
    <row r="84" s="333" customFormat="1" customHeight="1" spans="1:49">
      <c r="A84" s="445" t="s">
        <v>61</v>
      </c>
      <c r="B84" s="401"/>
      <c r="C84" s="401"/>
      <c r="D84" s="401"/>
      <c r="E84" s="401"/>
      <c r="F84" s="401"/>
      <c r="G84" s="401"/>
      <c r="H84" s="401"/>
      <c r="I84" s="401"/>
      <c r="J84" s="401"/>
      <c r="K84" s="401"/>
      <c r="L84" s="461"/>
      <c r="M84" s="461"/>
      <c r="N84" s="461"/>
      <c r="O84" s="342"/>
      <c r="P84" s="362">
        <f t="shared" ref="P84:U84" si="63">P83/O83-1</f>
        <v>-0.0452674897119342</v>
      </c>
      <c r="Q84" s="362">
        <f t="shared" si="63"/>
        <v>0.0862068965517242</v>
      </c>
      <c r="R84" s="362">
        <f t="shared" si="63"/>
        <v>0.0357142857142858</v>
      </c>
      <c r="S84" s="362">
        <f t="shared" si="63"/>
        <v>0.0919540229885059</v>
      </c>
      <c r="T84" s="362">
        <f t="shared" si="63"/>
        <v>0.0140350877192983</v>
      </c>
      <c r="U84" s="362">
        <f t="shared" si="63"/>
        <v>-1</v>
      </c>
      <c r="V84" s="362"/>
      <c r="W84" s="368"/>
      <c r="X84" s="468"/>
      <c r="Y84" s="468"/>
      <c r="Z84" s="468"/>
      <c r="AA84" s="468"/>
      <c r="AB84" s="468"/>
      <c r="AC84" s="468"/>
      <c r="AD84" s="342"/>
      <c r="AE84" s="468"/>
      <c r="AF84" s="468"/>
      <c r="AG84" s="468"/>
      <c r="AH84" s="468"/>
      <c r="AI84" s="468"/>
      <c r="AJ84" s="468"/>
      <c r="AP84" s="334"/>
    </row>
    <row r="85" s="333" customFormat="1" customHeight="1" spans="1:49">
      <c r="A85" s="481" t="s">
        <v>93</v>
      </c>
      <c r="B85" s="401"/>
      <c r="C85" s="401"/>
      <c r="D85" s="401"/>
      <c r="E85" s="401"/>
      <c r="F85" s="401"/>
      <c r="G85" s="401"/>
      <c r="H85" s="401"/>
      <c r="I85" s="401"/>
      <c r="J85" s="401"/>
      <c r="K85" s="401"/>
      <c r="L85" s="461"/>
      <c r="M85" s="461"/>
      <c r="N85" s="461"/>
      <c r="O85" s="356">
        <v>188</v>
      </c>
      <c r="P85" s="356">
        <v>177</v>
      </c>
      <c r="Q85" s="356">
        <v>200</v>
      </c>
      <c r="R85" s="356">
        <v>210</v>
      </c>
      <c r="S85" s="356">
        <v>243</v>
      </c>
      <c r="T85" s="356">
        <v>260</v>
      </c>
      <c r="U85" s="356">
        <v>269</v>
      </c>
      <c r="V85" s="356">
        <f t="shared" ref="V85:AB85" si="64">U85*(1+V86)</f>
        <v>282.45</v>
      </c>
      <c r="W85" s="471">
        <f t="shared" si="64"/>
        <v>296.5725</v>
      </c>
      <c r="X85" s="461">
        <f t="shared" si="64"/>
        <v>311.401125</v>
      </c>
      <c r="Y85" s="461">
        <f t="shared" si="64"/>
        <v>326.97118125</v>
      </c>
      <c r="Z85" s="461">
        <f t="shared" si="64"/>
        <v>343.3197403125</v>
      </c>
      <c r="AA85" s="461">
        <f t="shared" si="64"/>
        <v>360.485727328125</v>
      </c>
      <c r="AB85" s="461">
        <f t="shared" si="64"/>
        <v>378.510013694531</v>
      </c>
      <c r="AC85" s="461"/>
      <c r="AD85" s="342"/>
      <c r="AE85" s="461"/>
      <c r="AF85" s="461"/>
      <c r="AG85" s="461"/>
      <c r="AH85" s="461"/>
      <c r="AI85" s="461"/>
      <c r="AJ85" s="461"/>
      <c r="AP85" s="334"/>
    </row>
    <row r="86" s="333" customFormat="1" customHeight="1" spans="1:49">
      <c r="A86" s="445" t="s">
        <v>61</v>
      </c>
      <c r="B86" s="401"/>
      <c r="C86" s="401"/>
      <c r="D86" s="401"/>
      <c r="E86" s="401"/>
      <c r="F86" s="401"/>
      <c r="G86" s="401"/>
      <c r="H86" s="401"/>
      <c r="I86" s="401"/>
      <c r="J86" s="401"/>
      <c r="K86" s="401"/>
      <c r="L86" s="461"/>
      <c r="M86" s="461"/>
      <c r="N86" s="461"/>
      <c r="O86" s="395"/>
      <c r="P86" s="362">
        <f t="shared" ref="P86:U86" si="65">P85/O85-1</f>
        <v>-0.0585106382978723</v>
      </c>
      <c r="Q86" s="362">
        <f t="shared" si="65"/>
        <v>0.129943502824859</v>
      </c>
      <c r="R86" s="362">
        <f t="shared" si="65"/>
        <v>0.05</v>
      </c>
      <c r="S86" s="362">
        <f t="shared" si="65"/>
        <v>0.157142857142857</v>
      </c>
      <c r="T86" s="362">
        <f t="shared" si="65"/>
        <v>0.0699588477366255</v>
      </c>
      <c r="U86" s="362">
        <f t="shared" si="65"/>
        <v>0.0346153846153847</v>
      </c>
      <c r="V86" s="362">
        <v>0.05</v>
      </c>
      <c r="W86" s="368">
        <f t="shared" ref="W86:AB86" si="66">V86</f>
        <v>0.05</v>
      </c>
      <c r="X86" s="468">
        <f t="shared" si="66"/>
        <v>0.05</v>
      </c>
      <c r="Y86" s="468">
        <f t="shared" si="66"/>
        <v>0.05</v>
      </c>
      <c r="Z86" s="468">
        <f t="shared" si="66"/>
        <v>0.05</v>
      </c>
      <c r="AA86" s="468">
        <f t="shared" si="66"/>
        <v>0.05</v>
      </c>
      <c r="AB86" s="468">
        <f t="shared" si="66"/>
        <v>0.05</v>
      </c>
      <c r="AC86" s="468"/>
      <c r="AD86" s="342"/>
      <c r="AE86" s="461"/>
      <c r="AF86" s="461"/>
      <c r="AG86" s="461"/>
      <c r="AH86" s="461"/>
      <c r="AI86" s="461"/>
      <c r="AJ86" s="461"/>
      <c r="AP86" s="334"/>
    </row>
    <row r="87" customHeight="1" spans="1:49">
      <c r="A87" s="481" t="s">
        <v>94</v>
      </c>
      <c r="B87" s="401"/>
      <c r="C87" s="401"/>
      <c r="D87" s="401"/>
      <c r="E87" s="401"/>
      <c r="F87" s="401"/>
      <c r="G87" s="401"/>
      <c r="H87" s="401"/>
      <c r="I87" s="401"/>
      <c r="J87" s="401"/>
      <c r="K87" s="401"/>
      <c r="L87" s="461"/>
      <c r="M87" s="461"/>
      <c r="N87" s="461"/>
      <c r="O87" s="356">
        <v>42</v>
      </c>
      <c r="P87" s="356">
        <v>43</v>
      </c>
      <c r="Q87" s="356">
        <v>59</v>
      </c>
      <c r="R87" s="356">
        <v>65</v>
      </c>
      <c r="S87" s="356">
        <v>104</v>
      </c>
      <c r="T87" s="356">
        <v>112</v>
      </c>
      <c r="U87" s="356">
        <v>134</v>
      </c>
      <c r="V87" s="356">
        <f t="shared" ref="V87:AB87" si="67">U87*(1+V88)</f>
        <v>154.1</v>
      </c>
      <c r="W87" s="471">
        <f t="shared" si="67"/>
        <v>169.51</v>
      </c>
      <c r="X87" s="461">
        <f t="shared" si="67"/>
        <v>177.9855</v>
      </c>
      <c r="Y87" s="461">
        <f t="shared" si="67"/>
        <v>186.884775</v>
      </c>
      <c r="Z87" s="461">
        <f t="shared" si="67"/>
        <v>196.22901375</v>
      </c>
      <c r="AA87" s="461">
        <f t="shared" si="67"/>
        <v>206.0404644375</v>
      </c>
      <c r="AB87" s="461">
        <f t="shared" si="67"/>
        <v>216.342487659375</v>
      </c>
      <c r="AC87" s="461"/>
      <c r="AE87" s="461"/>
      <c r="AF87" s="461"/>
      <c r="AG87" s="461"/>
      <c r="AH87" s="461"/>
      <c r="AI87" s="461"/>
      <c r="AJ87" s="461"/>
      <c r="AP87" s="334"/>
      <c r="AQ87" s="333"/>
      <c r="AR87" s="333"/>
      <c r="AS87" s="333"/>
      <c r="AT87" s="333"/>
      <c r="AU87" s="333"/>
      <c r="AV87" s="333"/>
      <c r="AW87" s="333"/>
    </row>
    <row r="88" customHeight="1" spans="1:49">
      <c r="A88" s="445" t="s">
        <v>61</v>
      </c>
      <c r="B88" s="401"/>
      <c r="C88" s="401"/>
      <c r="D88" s="401"/>
      <c r="E88" s="401"/>
      <c r="F88" s="401"/>
      <c r="G88" s="401"/>
      <c r="H88" s="401"/>
      <c r="I88" s="401"/>
      <c r="J88" s="401"/>
      <c r="K88" s="401"/>
      <c r="L88" s="461"/>
      <c r="M88" s="461"/>
      <c r="N88" s="461"/>
      <c r="O88" s="395"/>
      <c r="P88" s="362">
        <f t="shared" ref="P88:U88" si="68">P87/O87-1</f>
        <v>0.0238095238095237</v>
      </c>
      <c r="Q88" s="362">
        <f t="shared" si="68"/>
        <v>0.372093023255814</v>
      </c>
      <c r="R88" s="362">
        <f t="shared" si="68"/>
        <v>0.101694915254237</v>
      </c>
      <c r="S88" s="362">
        <f t="shared" si="68"/>
        <v>0.6</v>
      </c>
      <c r="T88" s="362">
        <f t="shared" si="68"/>
        <v>0.0769230769230769</v>
      </c>
      <c r="U88" s="362">
        <f t="shared" si="68"/>
        <v>0.196428571428571</v>
      </c>
      <c r="V88" s="362">
        <v>0.15</v>
      </c>
      <c r="W88" s="368">
        <v>0.1</v>
      </c>
      <c r="X88" s="468">
        <v>0.05</v>
      </c>
      <c r="Y88" s="468">
        <f>X88</f>
        <v>0.05</v>
      </c>
      <c r="Z88" s="468">
        <f>Y88</f>
        <v>0.05</v>
      </c>
      <c r="AA88" s="468">
        <f>Z88</f>
        <v>0.05</v>
      </c>
      <c r="AB88" s="468">
        <f>AA88</f>
        <v>0.05</v>
      </c>
      <c r="AC88" s="468"/>
      <c r="AE88" s="461"/>
      <c r="AF88" s="461"/>
      <c r="AG88" s="461"/>
      <c r="AH88" s="461"/>
      <c r="AI88" s="461"/>
      <c r="AJ88" s="461"/>
      <c r="AK88" s="482"/>
      <c r="AL88" s="482"/>
      <c r="AM88" s="482"/>
      <c r="AN88" s="482"/>
      <c r="AO88" s="482"/>
      <c r="AP88" s="482"/>
      <c r="AQ88" s="422"/>
      <c r="AR88" s="422"/>
      <c r="AS88" s="422"/>
      <c r="AT88" s="345"/>
      <c r="AV88" s="483"/>
    </row>
    <row r="89" customHeight="1" spans="1:49">
      <c r="A89" s="385" t="s">
        <v>71</v>
      </c>
      <c r="L89" s="484"/>
      <c r="M89" s="484"/>
      <c r="N89" s="484"/>
      <c r="O89" s="387">
        <f>SUM(O87,O85,O83,O81,O77,O74,O71)</f>
        <v>10745</v>
      </c>
      <c r="P89" s="387">
        <f>SUM(P87,P85,P83,P81,P77,P74,P71)</f>
        <v>10370</v>
      </c>
      <c r="Q89" s="387">
        <f t="shared" ref="Q89:AB89" si="69">Q32</f>
        <v>11990</v>
      </c>
      <c r="R89" s="387">
        <f t="shared" si="69"/>
        <v>13323</v>
      </c>
      <c r="S89" s="387">
        <f t="shared" si="69"/>
        <v>14883</v>
      </c>
      <c r="T89" s="387">
        <f t="shared" si="69"/>
        <v>14205</v>
      </c>
      <c r="U89" s="387">
        <f t="shared" si="69"/>
        <v>14534</v>
      </c>
      <c r="V89" s="387">
        <f t="shared" si="69"/>
        <v>16915</v>
      </c>
      <c r="W89" s="388">
        <f t="shared" si="69"/>
        <v>19290</v>
      </c>
      <c r="X89" s="387">
        <f t="shared" si="69"/>
        <v>21218</v>
      </c>
      <c r="Y89" s="387">
        <f t="shared" si="69"/>
        <v>22498.85566376</v>
      </c>
      <c r="Z89" s="387">
        <f t="shared" si="69"/>
        <v>24269.360719362</v>
      </c>
      <c r="AA89" s="387">
        <f t="shared" si="69"/>
        <v>25989.7524500747</v>
      </c>
      <c r="AB89" s="387">
        <f t="shared" si="69"/>
        <v>27846.8561367975</v>
      </c>
      <c r="AC89" s="387"/>
      <c r="AQ89" s="422"/>
      <c r="AR89" s="426"/>
      <c r="AS89" s="426"/>
      <c r="AT89" s="345"/>
      <c r="AV89" s="334"/>
    </row>
    <row r="90" customHeight="1" spans="1:49">
      <c r="A90" s="361" t="s">
        <v>61</v>
      </c>
      <c r="O90" s="369"/>
      <c r="P90" s="362">
        <f t="shared" ref="P90:AB90" si="70">P89/O89-1</f>
        <v>-0.0348999534667287</v>
      </c>
      <c r="Q90" s="362">
        <f t="shared" si="70"/>
        <v>0.156219864995178</v>
      </c>
      <c r="R90" s="362">
        <f t="shared" si="70"/>
        <v>0.111175979983319</v>
      </c>
      <c r="S90" s="362">
        <f t="shared" si="70"/>
        <v>0.117090745327629</v>
      </c>
      <c r="T90" s="362">
        <f t="shared" si="70"/>
        <v>-0.0455553315863737</v>
      </c>
      <c r="U90" s="362">
        <f t="shared" si="70"/>
        <v>0.0231608588525167</v>
      </c>
      <c r="V90" s="362">
        <f t="shared" si="70"/>
        <v>0.163822760423834</v>
      </c>
      <c r="W90" s="384">
        <f t="shared" si="70"/>
        <v>0.140407921962755</v>
      </c>
      <c r="X90" s="362">
        <f t="shared" si="70"/>
        <v>0.0999481596682219</v>
      </c>
      <c r="Y90" s="362">
        <f t="shared" si="70"/>
        <v>0.06036646544255</v>
      </c>
      <c r="Z90" s="362">
        <f t="shared" si="70"/>
        <v>0.0786931158660571</v>
      </c>
      <c r="AA90" s="362">
        <f t="shared" si="70"/>
        <v>0.0708873938051524</v>
      </c>
      <c r="AB90" s="362">
        <f t="shared" si="70"/>
        <v>0.0714552279899638</v>
      </c>
      <c r="AC90" s="362"/>
      <c r="AQ90" s="426"/>
      <c r="AR90" s="426"/>
      <c r="AS90" s="426"/>
      <c r="AT90" s="345"/>
      <c r="AV90" s="334"/>
    </row>
    <row r="91" customHeight="1" spans="1:49">
      <c r="A91" s="361" t="s">
        <v>72</v>
      </c>
      <c r="O91" s="369"/>
      <c r="P91" s="369"/>
      <c r="Q91" s="342">
        <f t="shared" ref="Q91:AB91" si="71">SUM(Q87,Q85,Q83,Q81,Q77,Q74,Q71,-Q89)</f>
        <v>0</v>
      </c>
      <c r="R91" s="342">
        <f t="shared" si="71"/>
        <v>21</v>
      </c>
      <c r="S91" s="342">
        <f t="shared" si="71"/>
        <v>-54</v>
      </c>
      <c r="T91" s="342">
        <f t="shared" si="71"/>
        <v>361</v>
      </c>
      <c r="U91" s="342">
        <f t="shared" si="71"/>
        <v>36</v>
      </c>
      <c r="V91" s="342">
        <f t="shared" si="71"/>
        <v>-19.9799999999996</v>
      </c>
      <c r="W91" s="343">
        <f t="shared" si="71"/>
        <v>76.4213999999993</v>
      </c>
      <c r="X91" s="342">
        <f t="shared" si="71"/>
        <v>156.155739726339</v>
      </c>
      <c r="Y91" s="342">
        <f t="shared" si="71"/>
        <v>302.559356653721</v>
      </c>
      <c r="Z91" s="342">
        <f t="shared" si="71"/>
        <v>376.424784676859</v>
      </c>
      <c r="AA91" s="342">
        <f t="shared" si="71"/>
        <v>464.559607201365</v>
      </c>
      <c r="AB91" s="342">
        <f t="shared" si="71"/>
        <v>562.595457951069</v>
      </c>
      <c r="AQ91" s="426"/>
      <c r="AR91" s="426"/>
      <c r="AS91" s="426"/>
      <c r="AT91" s="345"/>
      <c r="AV91" s="334"/>
    </row>
    <row r="92" customHeight="1" spans="1:49">
      <c r="W92" s="485"/>
      <c r="AQ92" s="344"/>
      <c r="AR92" s="344"/>
      <c r="AS92" s="344"/>
      <c r="AT92" s="345"/>
    </row>
    <row r="93" customHeight="1" spans="1:49">
      <c r="A93" s="351" t="s">
        <v>95</v>
      </c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9"/>
      <c r="X93" s="348"/>
      <c r="Y93" s="348"/>
      <c r="Z93" s="348"/>
      <c r="AA93" s="348"/>
      <c r="AB93" s="348"/>
      <c r="AC93" s="348"/>
      <c r="AD93" s="348"/>
      <c r="AE93" s="348"/>
      <c r="AF93" s="348"/>
      <c r="AG93" s="348"/>
      <c r="AH93" s="348"/>
      <c r="AI93" s="348"/>
      <c r="AJ93" s="348"/>
      <c r="AQ93" s="427"/>
      <c r="AR93" s="427"/>
      <c r="AS93" s="427"/>
      <c r="AT93" s="345"/>
      <c r="AV93" s="486"/>
    </row>
    <row r="94" customHeight="1" spans="1:49">
      <c r="G94" s="487">
        <f>5.5/100</f>
        <v>0.055</v>
      </c>
      <c r="H94" s="487">
        <f>4.6/100</f>
        <v>0.046</v>
      </c>
      <c r="I94" s="487">
        <f>3.5/100</f>
        <v>0.035</v>
      </c>
      <c r="J94" s="487">
        <f>2.9/100</f>
        <v>0.029</v>
      </c>
      <c r="K94" s="487">
        <f>4/100</f>
        <v>0.04</v>
      </c>
      <c r="L94" s="334">
        <f>3.7/100</f>
        <v>0.037</v>
      </c>
      <c r="M94" s="334">
        <f>5.4/100</f>
        <v>0.054</v>
      </c>
      <c r="N94" s="334">
        <f>5.6/100</f>
        <v>0.056</v>
      </c>
      <c r="O94" s="334">
        <f>2.4/100</f>
        <v>0.024</v>
      </c>
      <c r="P94" s="334">
        <f>-3.5/100</f>
        <v>-0.035</v>
      </c>
      <c r="Q94" s="334">
        <f>2.7/100</f>
        <v>0.027</v>
      </c>
      <c r="R94" s="334">
        <f>2.7/100</f>
        <v>0.027</v>
      </c>
      <c r="S94" s="334">
        <f>0.4/100</f>
        <v>0.004</v>
      </c>
      <c r="T94" s="334">
        <f>1/100</f>
        <v>0.01</v>
      </c>
      <c r="U94" s="334">
        <f>1.8/100</f>
        <v>0.018</v>
      </c>
      <c r="V94" s="334">
        <f>2.8/100</f>
        <v>0.028</v>
      </c>
      <c r="W94" s="488"/>
      <c r="AQ94" s="344"/>
      <c r="AR94" s="344"/>
      <c r="AS94" s="344"/>
      <c r="AT94" s="345"/>
    </row>
    <row r="95" customHeight="1" spans="1:49">
      <c r="A95" s="489" t="s">
        <v>96</v>
      </c>
      <c r="B95" s="490"/>
      <c r="C95" s="490"/>
      <c r="D95" s="490"/>
      <c r="E95" s="490"/>
      <c r="F95" s="490"/>
      <c r="G95" s="490"/>
      <c r="H95" s="490"/>
      <c r="I95" s="490"/>
      <c r="J95" s="490"/>
      <c r="K95" s="490"/>
      <c r="L95" s="491"/>
      <c r="M95" s="491"/>
      <c r="N95" s="491"/>
      <c r="O95" s="491"/>
      <c r="P95" s="492"/>
      <c r="Q95" s="492"/>
      <c r="R95" s="491"/>
      <c r="S95" s="492"/>
      <c r="T95" s="492"/>
      <c r="U95" s="492"/>
      <c r="V95" s="492"/>
      <c r="W95" s="493"/>
      <c r="X95" s="494"/>
      <c r="Y95" s="494"/>
      <c r="Z95" s="494"/>
      <c r="AA95" s="494"/>
      <c r="AB95" s="494"/>
      <c r="AC95" s="494"/>
      <c r="AD95" s="495"/>
      <c r="AQ95" s="344"/>
      <c r="AR95" s="344"/>
      <c r="AS95" s="344"/>
      <c r="AT95" s="345"/>
    </row>
    <row r="96" customHeight="1" spans="1:49">
      <c r="A96" s="489" t="s">
        <v>97</v>
      </c>
      <c r="B96" s="490"/>
      <c r="C96" s="490"/>
      <c r="D96" s="490"/>
      <c r="E96" s="490"/>
      <c r="F96" s="490"/>
      <c r="G96" s="490"/>
      <c r="H96" s="490"/>
      <c r="I96" s="490"/>
      <c r="J96" s="490"/>
      <c r="K96" s="490"/>
      <c r="L96" s="491"/>
      <c r="M96" s="491"/>
      <c r="N96" s="491"/>
      <c r="O96" s="491"/>
      <c r="P96" s="492"/>
      <c r="Q96" s="492"/>
      <c r="R96" s="491"/>
      <c r="S96" s="348" t="str">
        <f>S49</f>
        <v>FY 12E</v>
      </c>
      <c r="T96" s="348" t="str">
        <f t="shared" ref="T96:AB96" si="72">T49</f>
        <v>FY 13E</v>
      </c>
      <c r="U96" s="348" t="str">
        <f t="shared" si="72"/>
        <v>FY 14E</v>
      </c>
      <c r="V96" s="348" t="str">
        <f t="shared" si="72"/>
        <v>FY 15</v>
      </c>
      <c r="W96" s="349" t="str">
        <f t="shared" si="72"/>
        <v>FY 16</v>
      </c>
      <c r="X96" s="348" t="str">
        <f t="shared" si="72"/>
        <v>FY 17E</v>
      </c>
      <c r="Y96" s="348" t="str">
        <f t="shared" si="72"/>
        <v>FY 18E</v>
      </c>
      <c r="Z96" s="348" t="str">
        <f t="shared" si="72"/>
        <v>FY 19E</v>
      </c>
      <c r="AA96" s="348" t="str">
        <f t="shared" si="72"/>
        <v>FY 20E</v>
      </c>
      <c r="AB96" s="348" t="str">
        <f t="shared" si="72"/>
        <v>FY 21E</v>
      </c>
      <c r="AC96" s="494"/>
      <c r="AD96" s="495"/>
      <c r="AF96" s="350"/>
      <c r="AQ96" s="344"/>
      <c r="AR96" s="344"/>
      <c r="AS96" s="344"/>
      <c r="AT96" s="345"/>
    </row>
    <row r="97" customHeight="1" spans="1:46">
      <c r="A97" s="333" t="s">
        <v>112</v>
      </c>
      <c r="L97" s="362"/>
      <c r="M97" s="362"/>
      <c r="N97" s="362"/>
      <c r="O97" s="362"/>
      <c r="P97" s="496"/>
      <c r="Q97" s="496"/>
      <c r="R97" s="362"/>
      <c r="S97" s="496"/>
      <c r="T97" s="496"/>
      <c r="U97" s="497">
        <f>Interim!FE169</f>
        <v>3793</v>
      </c>
      <c r="V97" s="497">
        <f>Interim!FM169</f>
        <v>4539</v>
      </c>
      <c r="W97" s="462">
        <f>Interim!FU169</f>
        <v>5291</v>
      </c>
      <c r="X97" s="461">
        <f>Interim!GC169</f>
        <v>5883</v>
      </c>
      <c r="Y97" s="461">
        <f>X97*(1+Y98)</f>
        <v>6153.36595591765</v>
      </c>
      <c r="Z97" s="461">
        <f>Y97*(1+Z98)</f>
        <v>6461.03425371353</v>
      </c>
      <c r="AA97" s="461">
        <f>Z97*(1+AA98)</f>
        <v>6784.08596639921</v>
      </c>
      <c r="AB97" s="461">
        <f>AA97*(1+AB98)</f>
        <v>7123.29026471917</v>
      </c>
      <c r="AC97" s="461"/>
      <c r="AD97" s="495"/>
      <c r="AH97" s="362"/>
      <c r="AI97" s="455"/>
      <c r="AQ97" s="344"/>
      <c r="AR97" s="344"/>
      <c r="AS97" s="344"/>
      <c r="AT97" s="345"/>
    </row>
    <row r="98" customHeight="1" spans="1:46">
      <c r="A98" s="361" t="s">
        <v>61</v>
      </c>
      <c r="L98" s="362"/>
      <c r="M98" s="362"/>
      <c r="N98" s="362"/>
      <c r="O98" s="362"/>
      <c r="P98" s="496"/>
      <c r="Q98" s="496"/>
      <c r="R98" s="362"/>
      <c r="S98" s="496"/>
      <c r="T98" s="496"/>
      <c r="U98" s="498"/>
      <c r="V98" s="498">
        <f>V97/U97-1</f>
        <v>0.19667809122067</v>
      </c>
      <c r="W98" s="384">
        <f>W97/V97-1</f>
        <v>0.165675258867592</v>
      </c>
      <c r="X98" s="362">
        <f>X97/W97-1</f>
        <v>0.111888111888112</v>
      </c>
      <c r="Y98" s="362">
        <f>Y100+Y99</f>
        <v>0.0459571572187068</v>
      </c>
      <c r="Z98" s="362">
        <f>Z100+Z99</f>
        <v>0.05</v>
      </c>
      <c r="AA98" s="362">
        <f>AA100+AA99</f>
        <v>0.05</v>
      </c>
      <c r="AB98" s="362">
        <f>AB100+AB99</f>
        <v>0.05</v>
      </c>
      <c r="AC98" s="362"/>
      <c r="AD98" s="495"/>
      <c r="AH98" s="362"/>
      <c r="AI98" s="362"/>
      <c r="AQ98" s="344"/>
      <c r="AR98" s="344"/>
      <c r="AS98" s="344"/>
      <c r="AT98" s="345"/>
    </row>
    <row r="99" customHeight="1" spans="1:46">
      <c r="A99" s="361" t="s">
        <v>99</v>
      </c>
      <c r="L99" s="362"/>
      <c r="M99" s="362"/>
      <c r="N99" s="362"/>
      <c r="O99" s="362"/>
      <c r="P99" s="496"/>
      <c r="Q99" s="496"/>
      <c r="R99" s="362"/>
      <c r="S99" s="496"/>
      <c r="T99" s="496"/>
      <c r="U99" s="498"/>
      <c r="V99" s="498">
        <f>V98-V100</f>
        <v>0.0228977063010809</v>
      </c>
      <c r="W99" s="384">
        <f>W98-W100</f>
        <v>-0.030908790482485</v>
      </c>
      <c r="X99" s="362">
        <f>X98-X100</f>
        <v>-0.0681118881118881</v>
      </c>
      <c r="Y99" s="362">
        <f>20%*Y445</f>
        <v>-0.00404284278129317</v>
      </c>
      <c r="Z99" s="362">
        <f>20%*Z445</f>
        <v>0</v>
      </c>
      <c r="AA99" s="362">
        <f>20%*AA445</f>
        <v>0</v>
      </c>
      <c r="AB99" s="362">
        <f>20%*AB445</f>
        <v>0</v>
      </c>
      <c r="AC99" s="362"/>
      <c r="AD99" s="499"/>
      <c r="AH99" s="362"/>
      <c r="AQ99" s="344"/>
      <c r="AR99" s="344"/>
      <c r="AS99" s="344"/>
      <c r="AT99" s="345"/>
    </row>
    <row r="100" customHeight="1" spans="1:46">
      <c r="A100" s="361" t="s">
        <v>100</v>
      </c>
      <c r="L100" s="362"/>
      <c r="M100" s="362"/>
      <c r="N100" s="362"/>
      <c r="O100" s="362"/>
      <c r="P100" s="496"/>
      <c r="Q100" s="496"/>
      <c r="R100" s="362"/>
      <c r="S100" s="496"/>
      <c r="T100" s="496"/>
      <c r="U100" s="498"/>
      <c r="V100" s="498">
        <f>Interim!FM172</f>
        <v>0.173780384919589</v>
      </c>
      <c r="W100" s="384">
        <f>Interim!FU172</f>
        <v>0.196584049350077</v>
      </c>
      <c r="X100" s="500">
        <v>0.18</v>
      </c>
      <c r="Y100" s="500">
        <v>0.05</v>
      </c>
      <c r="Z100" s="500">
        <v>0.05</v>
      </c>
      <c r="AA100" s="500">
        <v>0.05</v>
      </c>
      <c r="AB100" s="500">
        <f>AA100</f>
        <v>0.05</v>
      </c>
      <c r="AC100" s="500"/>
      <c r="AD100" s="495"/>
      <c r="AE100" s="501"/>
      <c r="AF100" s="367"/>
      <c r="AQ100" s="344"/>
      <c r="AR100" s="344"/>
      <c r="AS100" s="344"/>
      <c r="AT100" s="345"/>
    </row>
    <row r="101" customHeight="1" spans="1:46">
      <c r="A101" s="361" t="s">
        <v>66</v>
      </c>
      <c r="L101" s="362"/>
      <c r="M101" s="362"/>
      <c r="N101" s="362"/>
      <c r="O101" s="362"/>
      <c r="P101" s="496"/>
      <c r="Q101" s="496"/>
      <c r="R101" s="362"/>
      <c r="S101" s="496"/>
      <c r="T101" s="496"/>
      <c r="U101" s="498">
        <f t="shared" ref="U101:AB101" si="73">U97/U$137</f>
        <v>0.260992224592307</v>
      </c>
      <c r="V101" s="498">
        <f t="shared" si="73"/>
        <v>0.268341708542714</v>
      </c>
      <c r="W101" s="384">
        <f t="shared" si="73"/>
        <v>0.274287195438051</v>
      </c>
      <c r="X101" s="362">
        <f t="shared" si="73"/>
        <v>0.277264586671694</v>
      </c>
      <c r="Y101" s="362">
        <f t="shared" si="73"/>
        <v>0.273496841256205</v>
      </c>
      <c r="Z101" s="362">
        <f t="shared" si="73"/>
        <v>0.266221855961742</v>
      </c>
      <c r="AA101" s="362">
        <f t="shared" si="73"/>
        <v>0.261029264493041</v>
      </c>
      <c r="AB101" s="362">
        <f t="shared" si="73"/>
        <v>0.255802314980408</v>
      </c>
      <c r="AC101" s="362"/>
      <c r="AD101" s="502"/>
      <c r="AE101" s="503"/>
      <c r="AQ101" s="344"/>
      <c r="AR101" s="344"/>
      <c r="AS101" s="344"/>
      <c r="AT101" s="345"/>
    </row>
    <row r="102" customHeight="1" spans="1:46">
      <c r="A102" s="333" t="s">
        <v>101</v>
      </c>
      <c r="L102" s="362"/>
      <c r="M102" s="362"/>
      <c r="N102" s="362"/>
      <c r="O102" s="362"/>
      <c r="P102" s="496"/>
      <c r="Q102" s="496"/>
      <c r="R102" s="362"/>
      <c r="S102" s="496"/>
      <c r="T102" s="496"/>
      <c r="U102" s="497">
        <f>Interim!FE174</f>
        <v>2217</v>
      </c>
      <c r="V102" s="497">
        <f>Interim!FM174</f>
        <v>2754</v>
      </c>
      <c r="W102" s="462">
        <f>Interim!FU174</f>
        <v>3412</v>
      </c>
      <c r="X102" s="461">
        <f>Interim!GC174</f>
        <v>4275</v>
      </c>
      <c r="Y102" s="461">
        <f>X102*(1+Y103)</f>
        <v>4735.66528988333</v>
      </c>
      <c r="Z102" s="461">
        <f>Y102*(1+Z103)</f>
        <v>5327.62345111874</v>
      </c>
      <c r="AA102" s="461">
        <f>Z102*(1+AA103)</f>
        <v>5860.38579623062</v>
      </c>
      <c r="AB102" s="461">
        <f>AA102*(1+AB103)</f>
        <v>6446.42437585368</v>
      </c>
      <c r="AC102" s="461"/>
      <c r="AD102" s="495"/>
      <c r="AE102" s="503"/>
      <c r="AF102" s="362"/>
      <c r="AH102" s="369"/>
      <c r="AQ102" s="344"/>
      <c r="AR102" s="344"/>
      <c r="AS102" s="344"/>
      <c r="AT102" s="345"/>
    </row>
    <row r="103" customHeight="1" spans="1:46">
      <c r="A103" s="361" t="s">
        <v>61</v>
      </c>
      <c r="L103" s="362"/>
      <c r="M103" s="362"/>
      <c r="N103" s="362"/>
      <c r="O103" s="362"/>
      <c r="P103" s="496"/>
      <c r="Q103" s="496"/>
      <c r="R103" s="362"/>
      <c r="S103" s="496"/>
      <c r="T103" s="496"/>
      <c r="U103" s="498"/>
      <c r="V103" s="498">
        <f>V102/U102-1</f>
        <v>0.242219215155616</v>
      </c>
      <c r="W103" s="384">
        <f>W102/V102-1</f>
        <v>0.238925199709513</v>
      </c>
      <c r="X103" s="362">
        <f>X102/W102-1</f>
        <v>0.252930832356389</v>
      </c>
      <c r="Y103" s="362">
        <f>Y105+Y104</f>
        <v>0.107757962545808</v>
      </c>
      <c r="Z103" s="362">
        <f>Z105+Z104</f>
        <v>0.125</v>
      </c>
      <c r="AA103" s="362">
        <f>AA105+AA104</f>
        <v>0.1</v>
      </c>
      <c r="AB103" s="362">
        <f>AB105+AB104</f>
        <v>0.1</v>
      </c>
      <c r="AC103" s="362"/>
      <c r="AD103" s="502"/>
      <c r="AE103" s="503"/>
      <c r="AQ103" s="344"/>
      <c r="AR103" s="344"/>
      <c r="AS103" s="344"/>
      <c r="AT103" s="345"/>
    </row>
    <row r="104" customHeight="1" spans="1:46">
      <c r="A104" s="361" t="s">
        <v>99</v>
      </c>
      <c r="L104" s="362"/>
      <c r="M104" s="362"/>
      <c r="N104" s="362"/>
      <c r="O104" s="362"/>
      <c r="P104" s="496"/>
      <c r="Q104" s="496"/>
      <c r="R104" s="362"/>
      <c r="S104" s="496"/>
      <c r="T104" s="496"/>
      <c r="U104" s="498"/>
      <c r="V104" s="498">
        <f>V103-V105</f>
        <v>0.188811456923771</v>
      </c>
      <c r="W104" s="384">
        <f>W103-W105</f>
        <v>-0.00164996368917938</v>
      </c>
      <c r="X104" s="362">
        <f>X103-X105</f>
        <v>-0.00706916764361076</v>
      </c>
      <c r="Y104" s="362">
        <f>Y438</f>
        <v>-0.0422420374541919</v>
      </c>
      <c r="Z104" s="362">
        <f>Z438</f>
        <v>0</v>
      </c>
      <c r="AA104" s="362">
        <f>AA438</f>
        <v>0</v>
      </c>
      <c r="AB104" s="362">
        <f>AB438</f>
        <v>0</v>
      </c>
      <c r="AC104" s="362"/>
      <c r="AD104" s="495"/>
      <c r="AE104" s="503"/>
      <c r="AQ104" s="344"/>
      <c r="AR104" s="344"/>
      <c r="AS104" s="344"/>
      <c r="AT104" s="345"/>
    </row>
    <row r="105" customHeight="1" spans="1:46">
      <c r="A105" s="361" t="s">
        <v>100</v>
      </c>
      <c r="L105" s="362"/>
      <c r="M105" s="362"/>
      <c r="N105" s="362"/>
      <c r="O105" s="362"/>
      <c r="P105" s="496"/>
      <c r="Q105" s="496"/>
      <c r="R105" s="362"/>
      <c r="S105" s="496"/>
      <c r="T105" s="496"/>
      <c r="U105" s="504"/>
      <c r="V105" s="504">
        <f>Interim!FM177</f>
        <v>0.0534077582318448</v>
      </c>
      <c r="W105" s="384">
        <f>Interim!FU177</f>
        <v>0.240575163398693</v>
      </c>
      <c r="X105" s="505">
        <v>0.26</v>
      </c>
      <c r="Y105" s="505">
        <v>0.15</v>
      </c>
      <c r="Z105" s="505">
        <f>Y105-0.025</f>
        <v>0.125</v>
      </c>
      <c r="AA105" s="505">
        <v>0.1</v>
      </c>
      <c r="AB105" s="505">
        <f>AA105</f>
        <v>0.1</v>
      </c>
      <c r="AC105" s="505"/>
      <c r="AD105" s="495"/>
      <c r="AE105" s="501"/>
      <c r="AF105" s="367"/>
      <c r="AQ105" s="344"/>
      <c r="AR105" s="344"/>
      <c r="AS105" s="344"/>
      <c r="AT105" s="345"/>
    </row>
    <row r="106" customHeight="1" spans="1:46">
      <c r="A106" s="361" t="s">
        <v>66</v>
      </c>
      <c r="L106" s="362"/>
      <c r="M106" s="362"/>
      <c r="N106" s="362"/>
      <c r="O106" s="362"/>
      <c r="P106" s="496"/>
      <c r="Q106" s="496"/>
      <c r="R106" s="362"/>
      <c r="S106" s="496"/>
      <c r="T106" s="496"/>
      <c r="U106" s="498">
        <f t="shared" ref="U106:AB106" si="74">U102/U$137</f>
        <v>0.152549370398404</v>
      </c>
      <c r="V106" s="498">
        <f t="shared" si="74"/>
        <v>0.162814070351759</v>
      </c>
      <c r="W106" s="384">
        <f t="shared" si="74"/>
        <v>0.176879212026957</v>
      </c>
      <c r="X106" s="362">
        <f t="shared" si="74"/>
        <v>0.20147987557734</v>
      </c>
      <c r="Y106" s="362">
        <f t="shared" si="74"/>
        <v>0.210484718007738</v>
      </c>
      <c r="Z106" s="362">
        <f t="shared" si="74"/>
        <v>0.219520551559827</v>
      </c>
      <c r="AA106" s="362">
        <f t="shared" si="74"/>
        <v>0.225488326889153</v>
      </c>
      <c r="AB106" s="362">
        <f t="shared" si="74"/>
        <v>0.231495589454898</v>
      </c>
      <c r="AC106" s="362"/>
      <c r="AD106" s="502"/>
      <c r="AE106" s="503"/>
      <c r="AQ106" s="344"/>
      <c r="AR106" s="344"/>
      <c r="AS106" s="344"/>
      <c r="AT106" s="345"/>
    </row>
    <row r="107" customHeight="1" spans="1:46">
      <c r="A107" s="333" t="s">
        <v>102</v>
      </c>
      <c r="L107" s="362"/>
      <c r="M107" s="362"/>
      <c r="N107" s="362"/>
      <c r="O107" s="362"/>
      <c r="P107" s="496"/>
      <c r="Q107" s="496"/>
      <c r="R107" s="362"/>
      <c r="S107" s="496"/>
      <c r="T107" s="496"/>
      <c r="U107" s="497">
        <f>Interim!FE179</f>
        <v>1612</v>
      </c>
      <c r="V107" s="497">
        <f>Interim!FM179</f>
        <v>1783</v>
      </c>
      <c r="W107" s="462">
        <f>Interim!FU179</f>
        <v>1731</v>
      </c>
      <c r="X107" s="461">
        <f>Interim!GC179</f>
        <v>1907</v>
      </c>
      <c r="Y107" s="461">
        <f>X107*(1+Y108)</f>
        <v>1904.2125761973</v>
      </c>
      <c r="Z107" s="461">
        <f>Y107*(1+Z108)</f>
        <v>1999.42320500716</v>
      </c>
      <c r="AA107" s="461">
        <f>Z107*(1+AA108)</f>
        <v>2099.39436525752</v>
      </c>
      <c r="AB107" s="461">
        <f>AA107*(1+AB108)</f>
        <v>2204.3640835204</v>
      </c>
      <c r="AC107" s="461"/>
      <c r="AD107" s="495"/>
      <c r="AE107" s="503"/>
      <c r="AQ107" s="344"/>
      <c r="AR107" s="344"/>
      <c r="AS107" s="344"/>
      <c r="AT107" s="345"/>
    </row>
    <row r="108" customHeight="1" spans="1:46">
      <c r="A108" s="361" t="s">
        <v>61</v>
      </c>
      <c r="L108" s="362"/>
      <c r="M108" s="362"/>
      <c r="N108" s="362"/>
      <c r="O108" s="362"/>
      <c r="P108" s="496"/>
      <c r="Q108" s="496"/>
      <c r="R108" s="362"/>
      <c r="S108" s="496"/>
      <c r="T108" s="496"/>
      <c r="U108" s="498"/>
      <c r="V108" s="498">
        <f>V107/U107-1</f>
        <v>0.106079404466501</v>
      </c>
      <c r="W108" s="384">
        <f>W107/V107-1</f>
        <v>-0.0291643297812675</v>
      </c>
      <c r="X108" s="362">
        <f>X107/W107-1</f>
        <v>0.101675332177932</v>
      </c>
      <c r="Y108" s="362">
        <f>Y110+Y109</f>
        <v>-0.00146168002239144</v>
      </c>
      <c r="Z108" s="362">
        <f>Z110+Z109</f>
        <v>0.05</v>
      </c>
      <c r="AA108" s="362">
        <f>AA110+AA109</f>
        <v>0.05</v>
      </c>
      <c r="AB108" s="362">
        <f>AB110+AB109</f>
        <v>0.05</v>
      </c>
      <c r="AC108" s="362"/>
      <c r="AE108" s="503"/>
      <c r="AG108" s="502"/>
      <c r="AQ108" s="344"/>
      <c r="AR108" s="344"/>
      <c r="AS108" s="344"/>
      <c r="AT108" s="345"/>
    </row>
    <row r="109" customHeight="1" spans="1:46">
      <c r="A109" s="361" t="s">
        <v>99</v>
      </c>
      <c r="L109" s="362"/>
      <c r="M109" s="362"/>
      <c r="N109" s="362"/>
      <c r="O109" s="362"/>
      <c r="P109" s="496"/>
      <c r="Q109" s="496"/>
      <c r="R109" s="362"/>
      <c r="S109" s="496"/>
      <c r="T109" s="496"/>
      <c r="U109" s="498"/>
      <c r="V109" s="498">
        <f>V108-V110</f>
        <v>-0.0144503722084368</v>
      </c>
      <c r="W109" s="384">
        <f>W108-W110</f>
        <v>-0.188503645541223</v>
      </c>
      <c r="X109" s="362">
        <f>X108-X110</f>
        <v>0.0316753321779318</v>
      </c>
      <c r="Y109" s="362">
        <f>15%*Y443+20%*Y446+15%*Y443+20%*Y447+30%*Y438</f>
        <v>-0.0514616800223914</v>
      </c>
      <c r="Z109" s="362">
        <f>15%*Z443+20%*Z446+15%*Z443+20%*Z447+30%*Z438</f>
        <v>0</v>
      </c>
      <c r="AA109" s="362">
        <f>15%*AA443+20%*AA446+15%*AA443+20%*AA447+30%*AA438</f>
        <v>0</v>
      </c>
      <c r="AB109" s="362">
        <f>15%*AB443+20%*AB446+15%*AB443+20%*AB447+30%*AB438</f>
        <v>0</v>
      </c>
      <c r="AC109" s="362"/>
      <c r="AE109" s="503"/>
      <c r="AG109" s="495"/>
      <c r="AQ109" s="344"/>
      <c r="AR109" s="344"/>
      <c r="AS109" s="344"/>
      <c r="AT109" s="345"/>
    </row>
    <row r="110" customHeight="1" spans="1:46">
      <c r="A110" s="361" t="s">
        <v>100</v>
      </c>
      <c r="L110" s="362"/>
      <c r="M110" s="362"/>
      <c r="N110" s="362"/>
      <c r="O110" s="362"/>
      <c r="P110" s="496"/>
      <c r="Q110" s="496"/>
      <c r="R110" s="362"/>
      <c r="S110" s="496"/>
      <c r="T110" s="496"/>
      <c r="U110" s="504"/>
      <c r="V110" s="504">
        <f>Interim!FM182</f>
        <v>0.120529776674938</v>
      </c>
      <c r="W110" s="384">
        <f>Interim!FU182</f>
        <v>0.159339315759955</v>
      </c>
      <c r="X110" s="505">
        <v>0.07</v>
      </c>
      <c r="Y110" s="505">
        <v>0.05</v>
      </c>
      <c r="Z110" s="505">
        <f>Y110</f>
        <v>0.05</v>
      </c>
      <c r="AA110" s="505">
        <f>Z110</f>
        <v>0.05</v>
      </c>
      <c r="AB110" s="505">
        <f>AA110</f>
        <v>0.05</v>
      </c>
      <c r="AC110" s="505"/>
      <c r="AD110" s="495"/>
      <c r="AE110" s="501"/>
      <c r="AF110" s="367"/>
      <c r="AQ110" s="344"/>
      <c r="AR110" s="344"/>
      <c r="AS110" s="344"/>
      <c r="AT110" s="345"/>
    </row>
    <row r="111" customHeight="1" spans="1:46">
      <c r="A111" s="361" t="s">
        <v>66</v>
      </c>
      <c r="L111" s="362"/>
      <c r="M111" s="362"/>
      <c r="N111" s="362"/>
      <c r="O111" s="362"/>
      <c r="P111" s="496"/>
      <c r="Q111" s="496"/>
      <c r="R111" s="362"/>
      <c r="S111" s="496"/>
      <c r="T111" s="496"/>
      <c r="U111" s="498">
        <f t="shared" ref="U111:AB111" si="75">U107/U$137</f>
        <v>0.11091997522879</v>
      </c>
      <c r="V111" s="498">
        <f t="shared" si="75"/>
        <v>0.105409399940881</v>
      </c>
      <c r="W111" s="384">
        <f t="shared" si="75"/>
        <v>0.0897356143079316</v>
      </c>
      <c r="X111" s="362">
        <f t="shared" si="75"/>
        <v>0.0898765199359035</v>
      </c>
      <c r="Y111" s="362">
        <f t="shared" si="75"/>
        <v>0.0846359745871211</v>
      </c>
      <c r="Z111" s="362">
        <f t="shared" si="75"/>
        <v>0.0823846671582096</v>
      </c>
      <c r="AA111" s="362">
        <f t="shared" si="75"/>
        <v>0.0807777745975218</v>
      </c>
      <c r="AB111" s="362">
        <f t="shared" si="75"/>
        <v>0.0791602496415206</v>
      </c>
      <c r="AC111" s="362"/>
      <c r="AD111" s="502"/>
      <c r="AE111" s="503"/>
      <c r="AQ111" s="344"/>
      <c r="AR111" s="344"/>
      <c r="AS111" s="344"/>
      <c r="AT111" s="345"/>
    </row>
    <row r="112" customHeight="1" spans="1:46">
      <c r="A112" s="333" t="s">
        <v>114</v>
      </c>
      <c r="L112" s="362"/>
      <c r="M112" s="362"/>
      <c r="N112" s="362"/>
      <c r="O112" s="362"/>
      <c r="P112" s="496"/>
      <c r="Q112" s="496"/>
      <c r="R112" s="362"/>
      <c r="S112" s="496"/>
      <c r="T112" s="496"/>
      <c r="U112" s="497">
        <f>Interim!FE184</f>
        <v>1786</v>
      </c>
      <c r="V112" s="497">
        <f>Interim!FM184</f>
        <v>2469</v>
      </c>
      <c r="W112" s="462">
        <f>Interim!FU184</f>
        <v>3010</v>
      </c>
      <c r="X112" s="461">
        <f>Interim!GC184</f>
        <v>3789</v>
      </c>
      <c r="Y112" s="461">
        <f>X112*(1+Y113)</f>
        <v>4276.31150557641</v>
      </c>
      <c r="Z112" s="461">
        <f>Y112*(1+Z113)</f>
        <v>4810.85044377346</v>
      </c>
      <c r="AA112" s="461">
        <f>Z112*(1+AA113)</f>
        <v>5291.93548815081</v>
      </c>
      <c r="AB112" s="461">
        <f>AA112*(1+AB113)</f>
        <v>5821.12903696589</v>
      </c>
      <c r="AC112" s="461"/>
      <c r="AD112" s="495"/>
      <c r="AE112" s="503"/>
      <c r="AQ112" s="344"/>
      <c r="AR112" s="344"/>
      <c r="AS112" s="344"/>
      <c r="AT112" s="345"/>
    </row>
    <row r="113" customHeight="1" spans="1:46">
      <c r="A113" s="361" t="s">
        <v>61</v>
      </c>
      <c r="L113" s="362"/>
      <c r="M113" s="362"/>
      <c r="N113" s="362"/>
      <c r="O113" s="362"/>
      <c r="P113" s="496"/>
      <c r="Q113" s="496"/>
      <c r="R113" s="362"/>
      <c r="S113" s="496"/>
      <c r="T113" s="496"/>
      <c r="U113" s="498"/>
      <c r="V113" s="498">
        <f>V112/U112-1</f>
        <v>0.382418812989922</v>
      </c>
      <c r="W113" s="384">
        <f>W112/V112-1</f>
        <v>0.219117051437829</v>
      </c>
      <c r="X113" s="362">
        <f>X112/W112-1</f>
        <v>0.258803986710963</v>
      </c>
      <c r="Y113" s="362">
        <f>Y115+Y114</f>
        <v>0.128612168270364</v>
      </c>
      <c r="Z113" s="362">
        <f>Z115+Z114</f>
        <v>0.125</v>
      </c>
      <c r="AA113" s="362">
        <f>AA115+AA114</f>
        <v>0.1</v>
      </c>
      <c r="AB113" s="362">
        <f>AB115+AB114</f>
        <v>0.1</v>
      </c>
      <c r="AC113" s="362"/>
      <c r="AD113" s="506"/>
      <c r="AE113" s="503"/>
      <c r="AQ113" s="344"/>
      <c r="AR113" s="344"/>
      <c r="AS113" s="344"/>
      <c r="AT113" s="345"/>
    </row>
    <row r="114" customHeight="1" spans="1:46">
      <c r="A114" s="361" t="s">
        <v>99</v>
      </c>
      <c r="L114" s="362"/>
      <c r="M114" s="362"/>
      <c r="N114" s="362"/>
      <c r="O114" s="362"/>
      <c r="P114" s="496"/>
      <c r="Q114" s="496"/>
      <c r="R114" s="362"/>
      <c r="S114" s="496"/>
      <c r="T114" s="496"/>
      <c r="U114" s="498"/>
      <c r="V114" s="498">
        <f>V113-V115</f>
        <v>0.20652967525196</v>
      </c>
      <c r="W114" s="384">
        <f>W113-W115</f>
        <v>-0.055946132037262</v>
      </c>
      <c r="X114" s="362">
        <f>X113-X115</f>
        <v>0.0088039867109635</v>
      </c>
      <c r="Y114" s="362">
        <f>Y444</f>
        <v>-0.0213878317296361</v>
      </c>
      <c r="Z114" s="362">
        <f>Z444</f>
        <v>0</v>
      </c>
      <c r="AA114" s="362">
        <f>AA444</f>
        <v>0</v>
      </c>
      <c r="AB114" s="362">
        <f>AB444</f>
        <v>0</v>
      </c>
      <c r="AC114" s="362"/>
      <c r="AD114" s="495"/>
      <c r="AE114" s="503"/>
      <c r="AH114" s="369"/>
      <c r="AQ114" s="344"/>
      <c r="AR114" s="344"/>
      <c r="AS114" s="344"/>
      <c r="AT114" s="345"/>
    </row>
    <row r="115" customHeight="1" spans="1:46">
      <c r="A115" s="361" t="s">
        <v>100</v>
      </c>
      <c r="L115" s="362"/>
      <c r="M115" s="362"/>
      <c r="N115" s="362"/>
      <c r="O115" s="362"/>
      <c r="P115" s="496"/>
      <c r="Q115" s="496"/>
      <c r="R115" s="362"/>
      <c r="S115" s="496"/>
      <c r="T115" s="496"/>
      <c r="U115" s="498"/>
      <c r="V115" s="498">
        <f>Interim!FM187</f>
        <v>0.175889137737962</v>
      </c>
      <c r="W115" s="384">
        <f>Interim!FU187</f>
        <v>0.275063183475091</v>
      </c>
      <c r="X115" s="507">
        <v>0.25</v>
      </c>
      <c r="Y115" s="507">
        <v>0.15</v>
      </c>
      <c r="Z115" s="507">
        <f>Y115-2.5%</f>
        <v>0.125</v>
      </c>
      <c r="AA115" s="507">
        <v>0.1</v>
      </c>
      <c r="AB115" s="507">
        <f>AA115</f>
        <v>0.1</v>
      </c>
      <c r="AC115" s="507"/>
      <c r="AD115" s="495"/>
      <c r="AE115" s="501"/>
      <c r="AF115" s="367"/>
      <c r="AG115" s="371"/>
      <c r="AH115" s="362"/>
      <c r="AQ115" s="344"/>
      <c r="AR115" s="344"/>
      <c r="AS115" s="344"/>
      <c r="AT115" s="345"/>
    </row>
    <row r="116" customHeight="1" spans="1:46">
      <c r="A116" s="361" t="s">
        <v>66</v>
      </c>
      <c r="L116" s="362"/>
      <c r="M116" s="362"/>
      <c r="N116" s="362"/>
      <c r="O116" s="362"/>
      <c r="P116" s="496"/>
      <c r="Q116" s="496"/>
      <c r="R116" s="362"/>
      <c r="S116" s="496"/>
      <c r="T116" s="496"/>
      <c r="U116" s="498">
        <f t="shared" ref="U116:AB116" si="76">U112/U$137</f>
        <v>0.122892726897406</v>
      </c>
      <c r="V116" s="498">
        <f t="shared" si="76"/>
        <v>0.145965119716228</v>
      </c>
      <c r="W116" s="384">
        <f t="shared" si="76"/>
        <v>0.156039398652151</v>
      </c>
      <c r="X116" s="362">
        <f t="shared" si="76"/>
        <v>0.17857479498539</v>
      </c>
      <c r="Y116" s="362">
        <f t="shared" si="76"/>
        <v>0.190067955876728</v>
      </c>
      <c r="Z116" s="362">
        <f t="shared" si="76"/>
        <v>0.198227324543221</v>
      </c>
      <c r="AA116" s="362">
        <f t="shared" si="76"/>
        <v>0.203616232910121</v>
      </c>
      <c r="AB116" s="362">
        <f t="shared" si="76"/>
        <v>0.209040798299443</v>
      </c>
      <c r="AC116" s="362"/>
      <c r="AD116" s="499"/>
      <c r="AE116" s="503"/>
      <c r="AH116" s="369"/>
      <c r="AQ116" s="344"/>
      <c r="AR116" s="344"/>
      <c r="AS116" s="344"/>
      <c r="AT116" s="345"/>
    </row>
    <row r="117" customHeight="1" spans="1:46">
      <c r="A117" s="333" t="s">
        <v>104</v>
      </c>
      <c r="L117" s="362"/>
      <c r="M117" s="362"/>
      <c r="N117" s="362"/>
      <c r="O117" s="362"/>
      <c r="P117" s="496"/>
      <c r="Q117" s="496"/>
      <c r="R117" s="362"/>
      <c r="S117" s="496"/>
      <c r="T117" s="496"/>
      <c r="U117" s="497">
        <f>Interim!FE189</f>
        <v>744</v>
      </c>
      <c r="V117" s="497">
        <f>Interim!FM189</f>
        <v>776</v>
      </c>
      <c r="W117" s="462">
        <f>Interim!FU189</f>
        <v>1007</v>
      </c>
      <c r="X117" s="461">
        <f>Interim!GC189</f>
        <v>1056</v>
      </c>
      <c r="Y117" s="461">
        <f>X117*(1+Y118)</f>
        <v>1054.35435254224</v>
      </c>
      <c r="Z117" s="461">
        <f>Y117*(1+Z118)</f>
        <v>1107.07207016935</v>
      </c>
      <c r="AA117" s="461">
        <f>Z117*(1+AA118)</f>
        <v>1162.42567367782</v>
      </c>
      <c r="AB117" s="461">
        <f>AA117*(1+AB118)</f>
        <v>1220.54695736171</v>
      </c>
      <c r="AC117" s="461"/>
      <c r="AD117" s="495"/>
      <c r="AE117" s="503"/>
      <c r="AQ117" s="344"/>
      <c r="AR117" s="344"/>
      <c r="AS117" s="344"/>
      <c r="AT117" s="345"/>
    </row>
    <row r="118" customHeight="1" spans="1:46">
      <c r="A118" s="361" t="s">
        <v>61</v>
      </c>
      <c r="L118" s="362"/>
      <c r="M118" s="362"/>
      <c r="N118" s="362"/>
      <c r="O118" s="362"/>
      <c r="P118" s="496"/>
      <c r="Q118" s="496"/>
      <c r="R118" s="362"/>
      <c r="S118" s="496"/>
      <c r="T118" s="496"/>
      <c r="U118" s="498"/>
      <c r="V118" s="498">
        <f>V117/U117-1</f>
        <v>0.043010752688172</v>
      </c>
      <c r="W118" s="384">
        <f>W117/V117-1</f>
        <v>0.297680412371134</v>
      </c>
      <c r="X118" s="362">
        <f>X117/W117-1</f>
        <v>0.0486593843098311</v>
      </c>
      <c r="Y118" s="362">
        <f>Y120+Y119</f>
        <v>-0.00155837827439669</v>
      </c>
      <c r="Z118" s="362">
        <f>Z120+Z119</f>
        <v>0.05</v>
      </c>
      <c r="AA118" s="362">
        <f>AA120+AA119</f>
        <v>0.05</v>
      </c>
      <c r="AB118" s="362">
        <f>AB120+AB119</f>
        <v>0.05</v>
      </c>
      <c r="AC118" s="362"/>
      <c r="AD118" s="495"/>
      <c r="AE118" s="503"/>
      <c r="AQ118" s="344"/>
      <c r="AR118" s="344"/>
      <c r="AS118" s="344"/>
      <c r="AT118" s="345"/>
    </row>
    <row r="119" customHeight="1" spans="1:46">
      <c r="A119" s="361" t="s">
        <v>99</v>
      </c>
      <c r="L119" s="362"/>
      <c r="M119" s="362"/>
      <c r="N119" s="362"/>
      <c r="O119" s="362"/>
      <c r="P119" s="496"/>
      <c r="Q119" s="496"/>
      <c r="R119" s="362"/>
      <c r="S119" s="496"/>
      <c r="T119" s="496"/>
      <c r="U119" s="498"/>
      <c r="V119" s="498">
        <f>V118-V120</f>
        <v>0.0447029569892473</v>
      </c>
      <c r="W119" s="384">
        <f>W118-W120</f>
        <v>0.131675257731959</v>
      </c>
      <c r="X119" s="362">
        <f>X118-X120</f>
        <v>-0.0613406156901689</v>
      </c>
      <c r="Y119" s="362">
        <f>Y439</f>
        <v>-0.0515583782743967</v>
      </c>
      <c r="Z119" s="362">
        <f>Z439</f>
        <v>0</v>
      </c>
      <c r="AA119" s="362">
        <f>AA439</f>
        <v>0</v>
      </c>
      <c r="AB119" s="362">
        <f>AB439</f>
        <v>0</v>
      </c>
      <c r="AC119" s="362"/>
      <c r="AD119" s="495"/>
      <c r="AE119" s="503"/>
      <c r="AQ119" s="344"/>
      <c r="AR119" s="344"/>
      <c r="AS119" s="344"/>
      <c r="AT119" s="345"/>
    </row>
    <row r="120" customHeight="1" spans="1:46">
      <c r="A120" s="361" t="s">
        <v>100</v>
      </c>
      <c r="L120" s="362"/>
      <c r="M120" s="362"/>
      <c r="N120" s="362"/>
      <c r="O120" s="362"/>
      <c r="P120" s="496"/>
      <c r="Q120" s="496"/>
      <c r="R120" s="362"/>
      <c r="S120" s="496"/>
      <c r="T120" s="496"/>
      <c r="U120" s="498"/>
      <c r="V120" s="498">
        <f>Interim!FM192</f>
        <v>-0.00169220430107527</v>
      </c>
      <c r="W120" s="384">
        <f>Interim!FU192</f>
        <v>0.166005154639175</v>
      </c>
      <c r="X120" s="500">
        <v>0.11</v>
      </c>
      <c r="Y120" s="500">
        <v>0.05</v>
      </c>
      <c r="Z120" s="500">
        <v>0.05</v>
      </c>
      <c r="AA120" s="500">
        <f>Z120</f>
        <v>0.05</v>
      </c>
      <c r="AB120" s="500">
        <f>AA120</f>
        <v>0.05</v>
      </c>
      <c r="AC120" s="500"/>
      <c r="AD120" s="495"/>
      <c r="AE120" s="501"/>
      <c r="AF120" s="367"/>
      <c r="AQ120" s="344"/>
      <c r="AR120" s="344"/>
      <c r="AS120" s="344"/>
      <c r="AT120" s="345"/>
    </row>
    <row r="121" customHeight="1" spans="1:46">
      <c r="A121" s="361" t="s">
        <v>66</v>
      </c>
      <c r="L121" s="362"/>
      <c r="M121" s="362"/>
      <c r="N121" s="362"/>
      <c r="O121" s="362"/>
      <c r="P121" s="496"/>
      <c r="Q121" s="496"/>
      <c r="R121" s="362"/>
      <c r="S121" s="496"/>
      <c r="T121" s="496"/>
      <c r="U121" s="498">
        <f t="shared" ref="U121:AB121" si="77">U117/U$137</f>
        <v>0.0511938347209798</v>
      </c>
      <c r="V121" s="498">
        <f t="shared" si="77"/>
        <v>0.0458764410286728</v>
      </c>
      <c r="W121" s="384">
        <f t="shared" si="77"/>
        <v>0.0522032141005702</v>
      </c>
      <c r="X121" s="362">
        <f t="shared" si="77"/>
        <v>0.0497690640022622</v>
      </c>
      <c r="Y121" s="362">
        <f t="shared" si="77"/>
        <v>0.046862576848321</v>
      </c>
      <c r="Z121" s="362">
        <f t="shared" si="77"/>
        <v>0.0456160375615552</v>
      </c>
      <c r="AA121" s="362">
        <f t="shared" si="77"/>
        <v>0.0447263080289353</v>
      </c>
      <c r="AB121" s="362">
        <f t="shared" si="77"/>
        <v>0.0438306913845419</v>
      </c>
      <c r="AC121" s="362"/>
      <c r="AD121" s="502"/>
      <c r="AE121" s="503"/>
      <c r="AQ121" s="344"/>
      <c r="AR121" s="344"/>
      <c r="AS121" s="344"/>
      <c r="AT121" s="345"/>
    </row>
    <row r="122" customHeight="1" spans="1:46">
      <c r="A122" s="333" t="s">
        <v>105</v>
      </c>
      <c r="L122" s="362"/>
      <c r="M122" s="362"/>
      <c r="N122" s="362"/>
      <c r="O122" s="362"/>
      <c r="P122" s="496"/>
      <c r="Q122" s="496"/>
      <c r="R122" s="362"/>
      <c r="S122" s="496"/>
      <c r="T122" s="496"/>
      <c r="U122" s="497">
        <f>Interim!FE194</f>
        <v>1098</v>
      </c>
      <c r="V122" s="497">
        <f>Interim!FM194</f>
        <v>739</v>
      </c>
      <c r="W122" s="462">
        <f>Interim!FU194</f>
        <v>679</v>
      </c>
      <c r="X122" s="461">
        <f>Interim!GC194</f>
        <v>660</v>
      </c>
      <c r="Y122" s="461">
        <f>X122*(1+Y123)</f>
        <v>606.719744910413</v>
      </c>
      <c r="Z122" s="461">
        <f>Y122*(1+Z123)</f>
        <v>606.719744910413</v>
      </c>
      <c r="AA122" s="461">
        <f>Z122*(1+AA123)</f>
        <v>637.055732155934</v>
      </c>
      <c r="AB122" s="461">
        <f>AA122*(1+AB123)</f>
        <v>668.908518763731</v>
      </c>
      <c r="AC122" s="461"/>
      <c r="AD122" s="495"/>
      <c r="AE122" s="503"/>
      <c r="AQ122" s="344"/>
      <c r="AR122" s="344"/>
      <c r="AS122" s="344"/>
      <c r="AT122" s="345"/>
    </row>
    <row r="123" customHeight="1" spans="1:46">
      <c r="A123" s="361" t="s">
        <v>61</v>
      </c>
      <c r="L123" s="362"/>
      <c r="M123" s="362"/>
      <c r="N123" s="362"/>
      <c r="O123" s="362"/>
      <c r="P123" s="496"/>
      <c r="Q123" s="496"/>
      <c r="R123" s="362"/>
      <c r="S123" s="496"/>
      <c r="T123" s="496"/>
      <c r="U123" s="498"/>
      <c r="V123" s="498">
        <f>V122/U122-1</f>
        <v>-0.32695810564663</v>
      </c>
      <c r="W123" s="384">
        <f>W122/V122-1</f>
        <v>-0.081190798376184</v>
      </c>
      <c r="X123" s="362">
        <f>X122/W122-1</f>
        <v>-0.0279823269513991</v>
      </c>
      <c r="Y123" s="362">
        <f>Y125+Y124</f>
        <v>-0.0807276592266463</v>
      </c>
      <c r="Z123" s="362">
        <f>Z125+Z124</f>
        <v>0</v>
      </c>
      <c r="AA123" s="362">
        <f>AA125+AA124</f>
        <v>0.05</v>
      </c>
      <c r="AB123" s="362">
        <f>AB125+AB124</f>
        <v>0.05</v>
      </c>
      <c r="AC123" s="362"/>
      <c r="AD123" s="495"/>
      <c r="AE123" s="503"/>
      <c r="AG123" s="362"/>
      <c r="AQ123" s="344"/>
      <c r="AR123" s="344"/>
      <c r="AS123" s="344"/>
      <c r="AT123" s="345"/>
    </row>
    <row r="124" customHeight="1" spans="1:46">
      <c r="A124" s="361" t="s">
        <v>99</v>
      </c>
      <c r="L124" s="362"/>
      <c r="M124" s="362"/>
      <c r="N124" s="362"/>
      <c r="O124" s="362"/>
      <c r="P124" s="496"/>
      <c r="Q124" s="496"/>
      <c r="R124" s="362"/>
      <c r="S124" s="496"/>
      <c r="T124" s="496"/>
      <c r="U124" s="498"/>
      <c r="V124" s="498">
        <f>V123-V125</f>
        <v>-0.224724043715847</v>
      </c>
      <c r="W124" s="384">
        <f>W123-W125</f>
        <v>-0.112013531799729</v>
      </c>
      <c r="X124" s="362">
        <f>X123-X125</f>
        <v>0.0720176730486009</v>
      </c>
      <c r="Y124" s="362">
        <f>Y441</f>
        <v>-0.0307276592266463</v>
      </c>
      <c r="Z124" s="362">
        <f>Z441</f>
        <v>0</v>
      </c>
      <c r="AA124" s="362">
        <f>AA441</f>
        <v>0</v>
      </c>
      <c r="AB124" s="362">
        <f>AB441</f>
        <v>0</v>
      </c>
      <c r="AC124" s="362"/>
      <c r="AD124" s="495"/>
      <c r="AE124" s="503"/>
      <c r="AG124" s="362"/>
      <c r="AH124" s="362"/>
      <c r="AQ124" s="344"/>
      <c r="AR124" s="344"/>
      <c r="AS124" s="344"/>
      <c r="AT124" s="345"/>
    </row>
    <row r="125" customHeight="1" spans="1:46">
      <c r="A125" s="361" t="s">
        <v>100</v>
      </c>
      <c r="L125" s="362"/>
      <c r="M125" s="362"/>
      <c r="N125" s="362"/>
      <c r="O125" s="362"/>
      <c r="P125" s="496"/>
      <c r="Q125" s="496"/>
      <c r="R125" s="362"/>
      <c r="S125" s="496"/>
      <c r="T125" s="496"/>
      <c r="U125" s="504"/>
      <c r="V125" s="504">
        <f>Interim!FM197</f>
        <v>-0.102234061930783</v>
      </c>
      <c r="W125" s="384">
        <f>Interim!FU197</f>
        <v>0.0308227334235453</v>
      </c>
      <c r="X125" s="507">
        <v>-0.1</v>
      </c>
      <c r="Y125" s="507">
        <v>-0.05</v>
      </c>
      <c r="Z125" s="507">
        <v>0</v>
      </c>
      <c r="AA125" s="507">
        <v>0.05</v>
      </c>
      <c r="AB125" s="507">
        <v>0.05</v>
      </c>
      <c r="AC125" s="507"/>
      <c r="AD125" s="495"/>
      <c r="AE125" s="501"/>
      <c r="AF125" s="367"/>
      <c r="AG125" s="362"/>
      <c r="AQ125" s="344"/>
      <c r="AR125" s="344"/>
      <c r="AS125" s="344"/>
      <c r="AT125" s="345"/>
    </row>
    <row r="126" customHeight="1" spans="1:46">
      <c r="A126" s="361" t="s">
        <v>66</v>
      </c>
      <c r="L126" s="362"/>
      <c r="M126" s="362"/>
      <c r="N126" s="362"/>
      <c r="O126" s="362"/>
      <c r="P126" s="496"/>
      <c r="Q126" s="496"/>
      <c r="R126" s="362"/>
      <c r="S126" s="496"/>
      <c r="T126" s="496"/>
      <c r="U126" s="498">
        <f t="shared" ref="U126:AB126" si="78">U122/U$137</f>
        <v>0.0755521915640267</v>
      </c>
      <c r="V126" s="498">
        <f t="shared" si="78"/>
        <v>0.0436890334023056</v>
      </c>
      <c r="W126" s="384">
        <f t="shared" si="78"/>
        <v>0.0351995852773458</v>
      </c>
      <c r="X126" s="362">
        <f t="shared" si="78"/>
        <v>0.0311056650014139</v>
      </c>
      <c r="Y126" s="362">
        <f t="shared" si="78"/>
        <v>0.0269666935055584</v>
      </c>
      <c r="Z126" s="362">
        <f t="shared" si="78"/>
        <v>0.0249994118891799</v>
      </c>
      <c r="AA126" s="362">
        <f t="shared" si="78"/>
        <v>0.0245118045421823</v>
      </c>
      <c r="AB126" s="362">
        <f t="shared" si="78"/>
        <v>0.0240209708226208</v>
      </c>
      <c r="AC126" s="362"/>
      <c r="AD126" s="502"/>
      <c r="AE126" s="503"/>
      <c r="AQ126" s="344"/>
      <c r="AR126" s="344"/>
      <c r="AS126" s="344"/>
      <c r="AT126" s="345"/>
    </row>
    <row r="127" customHeight="1" spans="1:46">
      <c r="A127" s="333" t="s">
        <v>560</v>
      </c>
      <c r="L127" s="362"/>
      <c r="M127" s="362"/>
      <c r="N127" s="362"/>
      <c r="O127" s="362"/>
      <c r="P127" s="496"/>
      <c r="Q127" s="496"/>
      <c r="R127" s="362"/>
      <c r="S127" s="496"/>
      <c r="T127" s="496"/>
      <c r="U127" s="497">
        <f>Interim!FE199</f>
        <v>1925</v>
      </c>
      <c r="V127" s="497">
        <f>Interim!FM199</f>
        <v>2388</v>
      </c>
      <c r="W127" s="462">
        <f>Interim!FU199</f>
        <v>2685</v>
      </c>
      <c r="X127" s="461">
        <f>Interim!GC199</f>
        <v>2907</v>
      </c>
      <c r="Y127" s="461">
        <f>X127*(1+Y128)</f>
        <v>3015.12247174809</v>
      </c>
      <c r="Z127" s="461">
        <f>Y127*(1+Z128)</f>
        <v>3165.87859533549</v>
      </c>
      <c r="AA127" s="461">
        <f>Z127*(1+AA128)</f>
        <v>3324.17252510227</v>
      </c>
      <c r="AB127" s="461">
        <f>AA127*(1+AB128)</f>
        <v>3490.38115135738</v>
      </c>
      <c r="AC127" s="461"/>
      <c r="AD127" s="495"/>
      <c r="AE127" s="503"/>
      <c r="AQ127" s="344"/>
      <c r="AR127" s="344"/>
      <c r="AS127" s="344"/>
      <c r="AT127" s="345"/>
    </row>
    <row r="128" customHeight="1" spans="1:46">
      <c r="A128" s="361" t="s">
        <v>61</v>
      </c>
      <c r="L128" s="362"/>
      <c r="M128" s="362"/>
      <c r="N128" s="362"/>
      <c r="O128" s="362"/>
      <c r="P128" s="496"/>
      <c r="Q128" s="496"/>
      <c r="R128" s="362"/>
      <c r="S128" s="496"/>
      <c r="T128" s="496"/>
      <c r="U128" s="498"/>
      <c r="V128" s="498">
        <f>V127/U127-1</f>
        <v>0.240519480519481</v>
      </c>
      <c r="W128" s="384">
        <f>W127/V127-1</f>
        <v>0.124371859296482</v>
      </c>
      <c r="X128" s="362">
        <f>X127/W127-1</f>
        <v>0.0826815642458101</v>
      </c>
      <c r="Y128" s="362">
        <f>Y130+Y129</f>
        <v>0.0371938327306804</v>
      </c>
      <c r="Z128" s="362">
        <f>Z130+Z129</f>
        <v>0.05</v>
      </c>
      <c r="AA128" s="362">
        <f>AA130+AA129</f>
        <v>0.05</v>
      </c>
      <c r="AB128" s="362">
        <f>AB130+AB129</f>
        <v>0.05</v>
      </c>
      <c r="AC128" s="362"/>
      <c r="AD128" s="502"/>
      <c r="AE128" s="503"/>
      <c r="AQ128" s="344"/>
      <c r="AR128" s="344"/>
      <c r="AS128" s="344"/>
      <c r="AT128" s="345"/>
    </row>
    <row r="129" customHeight="1" spans="1:54">
      <c r="A129" s="361" t="s">
        <v>99</v>
      </c>
      <c r="L129" s="362"/>
      <c r="M129" s="362"/>
      <c r="N129" s="362"/>
      <c r="O129" s="362"/>
      <c r="P129" s="496"/>
      <c r="Q129" s="496"/>
      <c r="R129" s="362"/>
      <c r="S129" s="496"/>
      <c r="T129" s="496"/>
      <c r="U129" s="498"/>
      <c r="V129" s="498">
        <f>V128-V130</f>
        <v>0.10349974025974</v>
      </c>
      <c r="W129" s="384">
        <f>W128-W130</f>
        <v>-0.038071189279732</v>
      </c>
      <c r="X129" s="362">
        <f>X128-X130</f>
        <v>-0.0573184357541899</v>
      </c>
      <c r="Y129" s="362">
        <f>Y438</f>
        <v>-0.0422420374541919</v>
      </c>
      <c r="Z129" s="362">
        <f>Z438</f>
        <v>0</v>
      </c>
      <c r="AA129" s="362">
        <f>AA438</f>
        <v>0</v>
      </c>
      <c r="AB129" s="362">
        <f>AB438</f>
        <v>0</v>
      </c>
      <c r="AC129" s="362"/>
      <c r="AD129" s="495"/>
      <c r="AE129" s="503"/>
      <c r="AQ129" s="344"/>
      <c r="AR129" s="344"/>
      <c r="AS129" s="344"/>
      <c r="AT129" s="345"/>
    </row>
    <row r="130" customHeight="1" spans="1:54">
      <c r="A130" s="361" t="s">
        <v>100</v>
      </c>
      <c r="L130" s="362"/>
      <c r="M130" s="362"/>
      <c r="N130" s="362"/>
      <c r="O130" s="362"/>
      <c r="P130" s="496"/>
      <c r="Q130" s="496"/>
      <c r="R130" s="362"/>
      <c r="S130" s="496"/>
      <c r="T130" s="496"/>
      <c r="U130" s="498"/>
      <c r="V130" s="498">
        <f>Interim!FM202</f>
        <v>0.13701974025974</v>
      </c>
      <c r="W130" s="384">
        <f>Interim!FU202</f>
        <v>0.162443048576214</v>
      </c>
      <c r="X130" s="500">
        <v>0.14</v>
      </c>
      <c r="Y130" s="500">
        <v>0.0794358701848723</v>
      </c>
      <c r="Z130" s="500">
        <v>0.05</v>
      </c>
      <c r="AA130" s="500">
        <f>Z130</f>
        <v>0.05</v>
      </c>
      <c r="AB130" s="500">
        <f>AA130</f>
        <v>0.05</v>
      </c>
      <c r="AC130" s="500"/>
      <c r="AD130" s="495"/>
      <c r="AE130" s="501"/>
      <c r="AF130" s="367"/>
      <c r="AG130" s="371"/>
      <c r="AQ130" s="344"/>
      <c r="AR130" s="344"/>
      <c r="AS130" s="344"/>
      <c r="AT130" s="345"/>
    </row>
    <row r="131" customHeight="1" spans="1:54">
      <c r="A131" s="361" t="s">
        <v>66</v>
      </c>
      <c r="L131" s="362"/>
      <c r="M131" s="362"/>
      <c r="N131" s="362"/>
      <c r="O131" s="362"/>
      <c r="P131" s="496"/>
      <c r="Q131" s="496"/>
      <c r="R131" s="362"/>
      <c r="S131" s="496"/>
      <c r="T131" s="496"/>
      <c r="U131" s="498">
        <f t="shared" ref="U131:AB131" si="79">U127/U$137</f>
        <v>0.132457166448772</v>
      </c>
      <c r="V131" s="498">
        <f t="shared" si="79"/>
        <v>0.141176470588235</v>
      </c>
      <c r="W131" s="384">
        <f t="shared" si="79"/>
        <v>0.139191290824261</v>
      </c>
      <c r="X131" s="362">
        <f t="shared" si="79"/>
        <v>0.137006315392591</v>
      </c>
      <c r="Y131" s="362">
        <f t="shared" si="79"/>
        <v>0.134012258970339</v>
      </c>
      <c r="Z131" s="362">
        <f t="shared" si="79"/>
        <v>0.13044754791624</v>
      </c>
      <c r="AA131" s="362">
        <f t="shared" si="79"/>
        <v>0.127903200751445</v>
      </c>
      <c r="AB131" s="362">
        <f t="shared" si="79"/>
        <v>0.125342018295024</v>
      </c>
      <c r="AC131" s="362"/>
      <c r="AD131" s="502"/>
      <c r="AE131" s="503"/>
      <c r="AO131" s="333"/>
      <c r="AQ131" s="344"/>
      <c r="AR131" s="344"/>
      <c r="AS131" s="344"/>
      <c r="AT131" s="345"/>
    </row>
    <row r="132" customHeight="1" spans="1:54">
      <c r="A132" s="333" t="s">
        <v>70</v>
      </c>
      <c r="L132" s="362"/>
      <c r="M132" s="362"/>
      <c r="N132" s="362"/>
      <c r="O132" s="362"/>
      <c r="P132" s="496"/>
      <c r="Q132" s="496"/>
      <c r="R132" s="362"/>
      <c r="S132" s="496"/>
      <c r="T132" s="496"/>
      <c r="U132" s="497">
        <f>Interim!FE209</f>
        <v>1358</v>
      </c>
      <c r="V132" s="497">
        <f>Interim!FM209</f>
        <v>1467</v>
      </c>
      <c r="W132" s="462">
        <f>Interim!FU209</f>
        <v>1475</v>
      </c>
      <c r="X132" s="461">
        <f>Interim!GC209</f>
        <v>741</v>
      </c>
      <c r="Y132" s="461">
        <f>X132*(1+Y133)</f>
        <v>753.103766984596</v>
      </c>
      <c r="Z132" s="461">
        <f>Y132*(1+Z133)</f>
        <v>790.758955333826</v>
      </c>
      <c r="AA132" s="461">
        <f>Z132*(1+AA133)</f>
        <v>830.296903100517</v>
      </c>
      <c r="AB132" s="461">
        <f>AA132*(1+AB133)</f>
        <v>871.811748255543</v>
      </c>
      <c r="AC132" s="461"/>
      <c r="AD132" s="495"/>
      <c r="AO132" s="508"/>
      <c r="AP132" s="508"/>
      <c r="AQ132" s="508"/>
      <c r="AR132" s="508"/>
      <c r="AS132" s="508"/>
      <c r="AT132" s="508"/>
    </row>
    <row r="133" customHeight="1" spans="1:54">
      <c r="A133" s="361" t="s">
        <v>61</v>
      </c>
      <c r="L133" s="362"/>
      <c r="M133" s="362"/>
      <c r="N133" s="362"/>
      <c r="O133" s="362"/>
      <c r="P133" s="496"/>
      <c r="Q133" s="496"/>
      <c r="R133" s="362"/>
      <c r="S133" s="496"/>
      <c r="T133" s="496"/>
      <c r="U133" s="498"/>
      <c r="V133" s="498">
        <f>V132/U132-1</f>
        <v>0.0802650957290132</v>
      </c>
      <c r="W133" s="384">
        <f>W132/V132-1</f>
        <v>0.00545330606680294</v>
      </c>
      <c r="X133" s="362">
        <f>X132/W132-1</f>
        <v>-0.497627118644068</v>
      </c>
      <c r="Y133" s="362">
        <f>Y135+Y134</f>
        <v>0.0163343684002645</v>
      </c>
      <c r="Z133" s="362">
        <f>Z135+Z134</f>
        <v>0.05</v>
      </c>
      <c r="AA133" s="362">
        <f>AA135+AA134</f>
        <v>0.05</v>
      </c>
      <c r="AB133" s="362">
        <f>AB135+AB134</f>
        <v>0.05</v>
      </c>
      <c r="AC133" s="362"/>
      <c r="AD133" s="495"/>
      <c r="AH133" s="369"/>
      <c r="AJ133" s="369"/>
      <c r="AO133" s="509"/>
      <c r="AP133" s="509"/>
      <c r="AQ133" s="509"/>
      <c r="AR133" s="509"/>
      <c r="AS133" s="509"/>
      <c r="AT133" s="509"/>
      <c r="AX133" s="334"/>
    </row>
    <row r="134" customHeight="1" spans="1:54">
      <c r="A134" s="361" t="s">
        <v>99</v>
      </c>
      <c r="L134" s="362"/>
      <c r="M134" s="362"/>
      <c r="N134" s="362"/>
      <c r="O134" s="362"/>
      <c r="P134" s="496"/>
      <c r="Q134" s="496"/>
      <c r="R134" s="362"/>
      <c r="S134" s="496"/>
      <c r="T134" s="496"/>
      <c r="U134" s="498"/>
      <c r="V134" s="498">
        <f>V133-V135</f>
        <v>0.106857142857143</v>
      </c>
      <c r="W134" s="384">
        <f>W133-W135</f>
        <v>-0.00420449897750517</v>
      </c>
      <c r="X134" s="362">
        <f>X133-X135</f>
        <v>-0.597627118644068</v>
      </c>
      <c r="Y134" s="362">
        <f>60%*Y438+20%*Y445+20%*Y444</f>
        <v>-0.0336656315997355</v>
      </c>
      <c r="Z134" s="362">
        <f>60%*Z438+20%*Z445+20%*Z444</f>
        <v>0</v>
      </c>
      <c r="AA134" s="362">
        <f>60%*AA438+20%*AA445+20%*AA444</f>
        <v>0</v>
      </c>
      <c r="AB134" s="362">
        <f>60%*AB438+20%*AB445+20%*AB444</f>
        <v>0</v>
      </c>
      <c r="AC134" s="362"/>
      <c r="AD134" s="495"/>
      <c r="AH134" s="369"/>
      <c r="AN134" s="510"/>
      <c r="AO134" s="511"/>
      <c r="AP134" s="498"/>
      <c r="AQ134" s="498"/>
      <c r="AR134" s="498"/>
      <c r="AS134" s="498"/>
      <c r="AT134" s="498"/>
      <c r="AU134" s="334"/>
    </row>
    <row r="135" customHeight="1" spans="1:54">
      <c r="A135" s="361" t="s">
        <v>100</v>
      </c>
      <c r="L135" s="362"/>
      <c r="M135" s="362"/>
      <c r="N135" s="362"/>
      <c r="O135" s="362"/>
      <c r="P135" s="496"/>
      <c r="Q135" s="496"/>
      <c r="R135" s="362"/>
      <c r="S135" s="496"/>
      <c r="T135" s="496"/>
      <c r="U135" s="498"/>
      <c r="V135" s="498">
        <f>Interim!FM213</f>
        <v>-0.0265920471281296</v>
      </c>
      <c r="W135" s="384">
        <f>Interim!FU213</f>
        <v>0.00965780504430811</v>
      </c>
      <c r="X135" s="500">
        <v>0.1</v>
      </c>
      <c r="Y135" s="500">
        <v>0.05</v>
      </c>
      <c r="Z135" s="500">
        <f>Y135</f>
        <v>0.05</v>
      </c>
      <c r="AA135" s="500">
        <f>Z135</f>
        <v>0.05</v>
      </c>
      <c r="AB135" s="500">
        <f>AA135</f>
        <v>0.05</v>
      </c>
      <c r="AC135" s="500"/>
      <c r="AD135" s="495"/>
      <c r="AE135" s="350"/>
      <c r="AN135" s="510"/>
      <c r="AO135" s="511"/>
      <c r="AP135" s="498"/>
      <c r="AQ135" s="498"/>
      <c r="AR135" s="498"/>
      <c r="AS135" s="498"/>
      <c r="AT135" s="498"/>
    </row>
    <row r="136" customHeight="1" spans="1:54">
      <c r="A136" s="361" t="s">
        <v>66</v>
      </c>
      <c r="L136" s="362"/>
      <c r="M136" s="362"/>
      <c r="N136" s="362"/>
      <c r="O136" s="362"/>
      <c r="P136" s="496"/>
      <c r="Q136" s="496"/>
      <c r="R136" s="362"/>
      <c r="S136" s="496"/>
      <c r="T136" s="496"/>
      <c r="U136" s="498">
        <f t="shared" ref="U136:AB136" si="80">U132/U$137</f>
        <v>0.0934425101493154</v>
      </c>
      <c r="V136" s="498">
        <f t="shared" si="80"/>
        <v>0.0867277564292048</v>
      </c>
      <c r="W136" s="384">
        <f t="shared" si="80"/>
        <v>0.076464489372732</v>
      </c>
      <c r="X136" s="362">
        <f t="shared" si="80"/>
        <v>0.0349231784334056</v>
      </c>
      <c r="Y136" s="362">
        <f t="shared" si="80"/>
        <v>0.0334729809479891</v>
      </c>
      <c r="Z136" s="362">
        <f t="shared" si="80"/>
        <v>0.0325826034100256</v>
      </c>
      <c r="AA136" s="362">
        <f t="shared" si="80"/>
        <v>0.0319470877875996</v>
      </c>
      <c r="AB136" s="362">
        <f t="shared" si="80"/>
        <v>0.0313073671215441</v>
      </c>
      <c r="AC136" s="362"/>
      <c r="AD136" s="455"/>
      <c r="AO136" s="511"/>
      <c r="AP136" s="511"/>
      <c r="AQ136" s="512"/>
      <c r="AR136" s="512"/>
      <c r="AS136" s="512"/>
      <c r="AT136" s="513"/>
    </row>
    <row r="137" customHeight="1" spans="1:54">
      <c r="A137" s="333" t="s">
        <v>109</v>
      </c>
      <c r="L137" s="362"/>
      <c r="M137" s="362"/>
      <c r="N137" s="362"/>
      <c r="O137" s="362"/>
      <c r="P137" s="496"/>
      <c r="Q137" s="496"/>
      <c r="R137" s="362"/>
      <c r="S137" s="496"/>
      <c r="T137" s="496"/>
      <c r="U137" s="497">
        <f t="shared" ref="U137:AB137" si="81">U97+U102+U107+U112+U117+U122+U127+U132</f>
        <v>14533</v>
      </c>
      <c r="V137" s="497">
        <f t="shared" si="81"/>
        <v>16915</v>
      </c>
      <c r="W137" s="462">
        <f t="shared" si="81"/>
        <v>19290</v>
      </c>
      <c r="X137" s="461">
        <f t="shared" si="81"/>
        <v>21218</v>
      </c>
      <c r="Y137" s="461">
        <f t="shared" si="81"/>
        <v>22498.85566376</v>
      </c>
      <c r="Z137" s="461">
        <f t="shared" si="81"/>
        <v>24269.360719362</v>
      </c>
      <c r="AA137" s="461">
        <f t="shared" si="81"/>
        <v>25989.7524500747</v>
      </c>
      <c r="AB137" s="461">
        <f t="shared" si="81"/>
        <v>27846.8561367975</v>
      </c>
      <c r="AC137" s="461"/>
      <c r="AG137" s="461"/>
      <c r="AH137" s="461"/>
      <c r="AI137" s="461"/>
      <c r="AJ137" s="461"/>
      <c r="AK137" s="461"/>
      <c r="AL137" s="461"/>
      <c r="AM137" s="422"/>
      <c r="AO137" s="509"/>
      <c r="AP137" s="509"/>
      <c r="AQ137" s="509"/>
      <c r="AR137" s="509"/>
      <c r="AS137" s="509"/>
      <c r="AT137" s="509"/>
      <c r="AV137" s="498"/>
      <c r="AW137" s="333"/>
      <c r="AX137" s="333"/>
      <c r="AY137" s="333"/>
      <c r="AZ137" s="333"/>
      <c r="BA137" s="333"/>
    </row>
    <row r="138" customHeight="1" spans="1:54">
      <c r="A138" s="361" t="s">
        <v>61</v>
      </c>
      <c r="L138" s="362"/>
      <c r="M138" s="362"/>
      <c r="N138" s="362"/>
      <c r="O138" s="362"/>
      <c r="P138" s="496"/>
      <c r="Q138" s="496"/>
      <c r="R138" s="362"/>
      <c r="S138" s="496"/>
      <c r="T138" s="496"/>
      <c r="U138" s="498"/>
      <c r="V138" s="498">
        <f t="shared" ref="V138:AB138" si="82">V137/U137-1</f>
        <v>0.163902841808298</v>
      </c>
      <c r="W138" s="384">
        <f t="shared" si="82"/>
        <v>0.140407921962755</v>
      </c>
      <c r="X138" s="362">
        <f t="shared" si="82"/>
        <v>0.0999481596682219</v>
      </c>
      <c r="Y138" s="362">
        <f t="shared" si="82"/>
        <v>0.06036646544255</v>
      </c>
      <c r="Z138" s="362">
        <f t="shared" si="82"/>
        <v>0.0786931158660571</v>
      </c>
      <c r="AA138" s="362">
        <f t="shared" si="82"/>
        <v>0.0708873938051524</v>
      </c>
      <c r="AB138" s="362">
        <f t="shared" si="82"/>
        <v>0.0714552279899638</v>
      </c>
      <c r="AC138" s="362"/>
      <c r="AN138" s="510"/>
      <c r="AO138" s="511"/>
      <c r="AP138" s="498"/>
      <c r="AQ138" s="498"/>
      <c r="AR138" s="498"/>
      <c r="AS138" s="498"/>
      <c r="AT138" s="498"/>
    </row>
    <row r="139" customHeight="1" spans="1:54">
      <c r="A139" s="361" t="s">
        <v>99</v>
      </c>
      <c r="L139" s="362"/>
      <c r="M139" s="362"/>
      <c r="N139" s="362"/>
      <c r="O139" s="362"/>
      <c r="P139" s="496"/>
      <c r="Q139" s="496"/>
      <c r="R139" s="362"/>
      <c r="S139" s="496"/>
      <c r="T139" s="496"/>
      <c r="U139" s="498"/>
      <c r="V139" s="498">
        <f t="shared" ref="V139:AB139" si="83">V138-V140</f>
        <v>0.0675617560035781</v>
      </c>
      <c r="W139" s="384">
        <f t="shared" si="83"/>
        <v>-0.0411913686077446</v>
      </c>
      <c r="X139" s="362">
        <f t="shared" si="83"/>
        <v>-0.070059097978227</v>
      </c>
      <c r="Y139" s="362">
        <f t="shared" si="83"/>
        <v>-0.0285613352279856</v>
      </c>
      <c r="Z139" s="362">
        <f t="shared" si="83"/>
        <v>0</v>
      </c>
      <c r="AA139" s="362">
        <f t="shared" si="83"/>
        <v>0</v>
      </c>
      <c r="AB139" s="362">
        <f t="shared" si="83"/>
        <v>1.11022302462516e-16</v>
      </c>
      <c r="AC139" s="362"/>
      <c r="AI139" s="455"/>
      <c r="AN139" s="510"/>
      <c r="AO139" s="498"/>
      <c r="AP139" s="498"/>
      <c r="AQ139" s="498"/>
      <c r="AR139" s="498"/>
      <c r="AS139" s="498"/>
      <c r="AT139" s="498"/>
    </row>
    <row r="140" customHeight="1" spans="1:54">
      <c r="A140" s="361" t="s">
        <v>100</v>
      </c>
      <c r="L140" s="362"/>
      <c r="M140" s="362"/>
      <c r="N140" s="362"/>
      <c r="O140" s="362"/>
      <c r="P140" s="496"/>
      <c r="Q140" s="498">
        <v>0.0863378678244091</v>
      </c>
      <c r="R140" s="498">
        <v>0.128348926931913</v>
      </c>
      <c r="S140" s="498">
        <v>0.0638574087974779</v>
      </c>
      <c r="T140" s="498">
        <v>0.0294132248570953</v>
      </c>
      <c r="U140" s="498">
        <v>0.0681704329461457</v>
      </c>
      <c r="V140" s="498">
        <f t="shared" ref="V140:AB140" si="84">(U97*V100+U102*V105+U107*V110+U112*V115+U117*V120+U122*V125+U127*V130+U132*V135)/U137</f>
        <v>0.0963410858047203</v>
      </c>
      <c r="W140" s="384">
        <f t="shared" si="84"/>
        <v>0.1815992905705</v>
      </c>
      <c r="X140" s="362">
        <f t="shared" si="84"/>
        <v>0.170007257646449</v>
      </c>
      <c r="Y140" s="362">
        <f t="shared" si="84"/>
        <v>0.0889278006705356</v>
      </c>
      <c r="Z140" s="362">
        <f t="shared" si="84"/>
        <v>0.078693115866057</v>
      </c>
      <c r="AA140" s="362">
        <f t="shared" si="84"/>
        <v>0.0708873938051524</v>
      </c>
      <c r="AB140" s="362">
        <f t="shared" si="84"/>
        <v>0.0714552279899637</v>
      </c>
      <c r="AC140" s="362"/>
      <c r="AD140" s="350"/>
      <c r="AE140" s="350"/>
      <c r="AF140" s="367"/>
      <c r="AL140" s="514"/>
      <c r="AM140" s="514"/>
      <c r="AO140" s="511"/>
      <c r="AP140" s="511"/>
      <c r="AQ140" s="512"/>
      <c r="AR140" s="512"/>
      <c r="AS140" s="512"/>
      <c r="AT140" s="513"/>
    </row>
    <row r="141" hidden="1" customHeight="1" outlineLevel="1" spans="1:54">
      <c r="A141" s="333" t="s">
        <v>110</v>
      </c>
      <c r="L141" s="362"/>
      <c r="M141" s="362"/>
      <c r="N141" s="362"/>
      <c r="O141" s="362"/>
      <c r="P141" s="496"/>
      <c r="Q141" s="496"/>
      <c r="R141" s="362"/>
      <c r="S141" s="496"/>
      <c r="T141" s="496"/>
      <c r="U141" s="497"/>
      <c r="V141" s="497">
        <f t="shared" ref="V141:AB141" si="85">V137-V213</f>
        <v>16062</v>
      </c>
      <c r="W141" s="462">
        <f t="shared" si="85"/>
        <v>18482</v>
      </c>
      <c r="X141" s="461">
        <f t="shared" si="85"/>
        <v>20450.4</v>
      </c>
      <c r="Y141" s="461">
        <f t="shared" si="85"/>
        <v>21731.25566376</v>
      </c>
      <c r="Z141" s="461">
        <f t="shared" si="85"/>
        <v>23482.570719362</v>
      </c>
      <c r="AA141" s="461">
        <f t="shared" si="85"/>
        <v>25183.2927000747</v>
      </c>
      <c r="AB141" s="461">
        <f t="shared" si="85"/>
        <v>27020.2348930475</v>
      </c>
      <c r="AC141" s="461"/>
      <c r="AD141" s="350"/>
      <c r="AE141" s="350"/>
      <c r="AF141" s="367"/>
      <c r="AL141" s="514"/>
      <c r="AM141" s="514"/>
      <c r="AO141" s="511"/>
      <c r="AP141" s="511"/>
      <c r="AQ141" s="512"/>
      <c r="AR141" s="512"/>
      <c r="AS141" s="512"/>
      <c r="AT141" s="513"/>
      <c r="AW141" s="333"/>
      <c r="AX141" s="333"/>
      <c r="AY141" s="333"/>
      <c r="AZ141" s="333"/>
      <c r="BA141" s="333"/>
      <c r="BB141" s="333"/>
    </row>
    <row r="142" hidden="1" customHeight="1" outlineLevel="1" spans="1:54">
      <c r="A142" s="361" t="s">
        <v>61</v>
      </c>
      <c r="L142" s="362"/>
      <c r="M142" s="362"/>
      <c r="N142" s="362"/>
      <c r="O142" s="362"/>
      <c r="P142" s="496"/>
      <c r="Q142" s="496"/>
      <c r="R142" s="362"/>
      <c r="S142" s="496"/>
      <c r="T142" s="496"/>
      <c r="U142" s="498"/>
      <c r="V142" s="498"/>
      <c r="W142" s="384">
        <f t="shared" ref="W142:AB142" si="86">W141/V141-1</f>
        <v>0.150666168596688</v>
      </c>
      <c r="X142" s="362">
        <f t="shared" si="86"/>
        <v>0.106503625148793</v>
      </c>
      <c r="Y142" s="362">
        <f t="shared" si="86"/>
        <v>0.0626323037084859</v>
      </c>
      <c r="Z142" s="362">
        <f t="shared" si="86"/>
        <v>0.0805896853223502</v>
      </c>
      <c r="AA142" s="362">
        <f t="shared" si="86"/>
        <v>0.0724248635738345</v>
      </c>
      <c r="AB142" s="362">
        <f t="shared" si="86"/>
        <v>0.0729428917358119</v>
      </c>
      <c r="AC142" s="362"/>
      <c r="AD142" s="350"/>
      <c r="AE142" s="350"/>
      <c r="AF142" s="367"/>
      <c r="AL142" s="514"/>
      <c r="AM142" s="514"/>
      <c r="AO142" s="511"/>
      <c r="AP142" s="511"/>
      <c r="AQ142" s="512"/>
      <c r="AR142" s="512"/>
      <c r="AS142" s="512"/>
      <c r="AT142" s="513"/>
      <c r="AX142" s="334"/>
      <c r="BA142" s="334"/>
      <c r="BB142" s="334"/>
    </row>
    <row r="143" hidden="1" customHeight="1" outlineLevel="1" spans="1:54">
      <c r="A143" s="361" t="s">
        <v>99</v>
      </c>
      <c r="L143" s="362"/>
      <c r="M143" s="362"/>
      <c r="N143" s="362"/>
      <c r="O143" s="362"/>
      <c r="P143" s="496"/>
      <c r="Q143" s="496"/>
      <c r="R143" s="362"/>
      <c r="S143" s="496"/>
      <c r="T143" s="496"/>
      <c r="U143" s="498"/>
      <c r="V143" s="498"/>
      <c r="W143" s="384">
        <f t="shared" ref="W143:AB143" si="87">W142-W144</f>
        <v>-0.0433789067363964</v>
      </c>
      <c r="X143" s="362">
        <f t="shared" si="87"/>
        <v>-0.0731219564982145</v>
      </c>
      <c r="Y143" s="362">
        <f t="shared" si="87"/>
        <v>-0.0296333768956794</v>
      </c>
      <c r="Z143" s="362">
        <f t="shared" si="87"/>
        <v>0</v>
      </c>
      <c r="AA143" s="362">
        <f t="shared" si="87"/>
        <v>0</v>
      </c>
      <c r="AB143" s="362">
        <f t="shared" si="87"/>
        <v>2.22044604925031e-16</v>
      </c>
      <c r="AC143" s="362"/>
      <c r="AD143" s="350"/>
      <c r="AE143" s="350"/>
      <c r="AF143" s="367"/>
      <c r="AL143" s="514"/>
      <c r="AM143" s="514"/>
      <c r="AO143" s="511"/>
      <c r="AP143" s="511"/>
      <c r="AQ143" s="512"/>
      <c r="AR143" s="512"/>
      <c r="AS143" s="512"/>
      <c r="AT143" s="513"/>
    </row>
    <row r="144" hidden="1" customHeight="1" outlineLevel="1" spans="1:54">
      <c r="A144" s="361" t="s">
        <v>100</v>
      </c>
      <c r="L144" s="362"/>
      <c r="M144" s="362"/>
      <c r="N144" s="362"/>
      <c r="O144" s="362"/>
      <c r="P144" s="496"/>
      <c r="Q144" s="496"/>
      <c r="R144" s="362"/>
      <c r="S144" s="496"/>
      <c r="T144" s="496"/>
      <c r="U144" s="498"/>
      <c r="V144" s="498"/>
      <c r="W144" s="384">
        <f t="shared" ref="W144:AB144" si="88">(V137*W140-V213*W214)/V141</f>
        <v>0.194045075333084</v>
      </c>
      <c r="X144" s="362">
        <f t="shared" si="88"/>
        <v>0.179625581647008</v>
      </c>
      <c r="Y144" s="362">
        <f t="shared" si="88"/>
        <v>0.0922656806041654</v>
      </c>
      <c r="Z144" s="362">
        <f t="shared" si="88"/>
        <v>0.0805896853223502</v>
      </c>
      <c r="AA144" s="362">
        <f t="shared" si="88"/>
        <v>0.0724248635738344</v>
      </c>
      <c r="AB144" s="362">
        <f t="shared" si="88"/>
        <v>0.0729428917358117</v>
      </c>
      <c r="AC144" s="362"/>
      <c r="AD144" s="350"/>
      <c r="AE144" s="350"/>
      <c r="AF144" s="367"/>
      <c r="AL144" s="514"/>
      <c r="AM144" s="514"/>
      <c r="AO144" s="511"/>
      <c r="AP144" s="511"/>
      <c r="AQ144" s="512"/>
      <c r="AR144" s="512"/>
      <c r="AS144" s="512"/>
      <c r="AT144" s="513"/>
    </row>
    <row r="145" customHeight="1" collapsed="1" spans="1:53">
      <c r="L145" s="362"/>
      <c r="M145" s="362"/>
      <c r="N145" s="362"/>
      <c r="O145" s="362"/>
      <c r="P145" s="496"/>
      <c r="Q145" s="496"/>
      <c r="R145" s="362">
        <f t="shared" ref="R145:AB145" si="89">1*(1+Q140)*(1+R140)-1</f>
        <v>0.225768167445175</v>
      </c>
      <c r="S145" s="362">
        <f t="shared" si="89"/>
        <v>0.2004023656252</v>
      </c>
      <c r="T145" s="362">
        <f t="shared" si="89"/>
        <v>0.0951488859783249</v>
      </c>
      <c r="U145" s="362">
        <f t="shared" si="89"/>
        <v>0.0995887700760916</v>
      </c>
      <c r="V145" s="362">
        <f t="shared" si="89"/>
        <v>0.171079132280676</v>
      </c>
      <c r="W145" s="384">
        <f t="shared" si="89"/>
        <v>0.295435849210149</v>
      </c>
      <c r="X145" s="362">
        <f t="shared" si="89"/>
        <v>0.38247974559738</v>
      </c>
      <c r="Y145" s="362">
        <f t="shared" si="89"/>
        <v>0.274053429837512</v>
      </c>
      <c r="Z145" s="362">
        <f t="shared" si="89"/>
        <v>0.174618922258473</v>
      </c>
      <c r="AA145" s="362">
        <f t="shared" si="89"/>
        <v>0.155158859565361</v>
      </c>
      <c r="AB145" s="362">
        <f t="shared" si="89"/>
        <v>0.147407896681077</v>
      </c>
      <c r="AC145" s="362"/>
      <c r="AF145" s="362"/>
      <c r="AL145" s="514"/>
      <c r="AO145" s="511"/>
      <c r="AP145" s="511"/>
      <c r="AQ145" s="512"/>
      <c r="AR145" s="512"/>
      <c r="AS145" s="512"/>
      <c r="AT145" s="513"/>
      <c r="AW145" s="333"/>
      <c r="AX145" s="333"/>
      <c r="AY145" s="333"/>
      <c r="AZ145" s="333"/>
      <c r="BA145" s="333"/>
    </row>
    <row r="146" customHeight="1" spans="1:53">
      <c r="A146" s="489" t="s">
        <v>111</v>
      </c>
      <c r="B146" s="490"/>
      <c r="C146" s="490"/>
      <c r="D146" s="490"/>
      <c r="E146" s="490"/>
      <c r="F146" s="490"/>
      <c r="G146" s="490"/>
      <c r="H146" s="490"/>
      <c r="I146" s="490"/>
      <c r="J146" s="490"/>
      <c r="K146" s="490"/>
      <c r="L146" s="491"/>
      <c r="M146" s="491"/>
      <c r="N146" s="491"/>
      <c r="O146" s="491"/>
      <c r="P146" s="492"/>
      <c r="Q146" s="492"/>
      <c r="R146" s="491"/>
      <c r="S146" s="492"/>
      <c r="T146" s="492"/>
      <c r="U146" s="492"/>
      <c r="V146" s="492"/>
      <c r="W146" s="493"/>
      <c r="X146" s="494"/>
      <c r="Y146" s="494"/>
      <c r="Z146" s="494"/>
      <c r="AA146" s="494"/>
      <c r="AB146" s="494"/>
      <c r="AC146" s="494"/>
      <c r="AD146" s="495"/>
      <c r="AQ146" s="344"/>
      <c r="AR146" s="344"/>
      <c r="AS146" s="344"/>
      <c r="AT146" s="345"/>
      <c r="BA146" s="334"/>
    </row>
    <row r="147" customHeight="1" spans="1:53">
      <c r="A147" s="444" t="s">
        <v>112</v>
      </c>
      <c r="L147" s="362"/>
      <c r="M147" s="362"/>
      <c r="N147" s="362"/>
      <c r="O147" s="362"/>
      <c r="P147" s="496"/>
      <c r="Q147" s="496"/>
      <c r="R147" s="362"/>
      <c r="S147" s="496"/>
      <c r="T147" s="496"/>
      <c r="U147" s="515">
        <f>Interim!FE222</f>
        <v>3793</v>
      </c>
      <c r="V147" s="515">
        <f>Interim!FM222</f>
        <v>4539</v>
      </c>
      <c r="W147" s="357">
        <f t="shared" ref="W147:AB147" si="90">W97</f>
        <v>5291</v>
      </c>
      <c r="X147" s="356">
        <f t="shared" si="90"/>
        <v>5883</v>
      </c>
      <c r="Y147" s="356">
        <f t="shared" si="90"/>
        <v>6153.36595591765</v>
      </c>
      <c r="Z147" s="356">
        <f t="shared" si="90"/>
        <v>6461.03425371353</v>
      </c>
      <c r="AA147" s="356">
        <f t="shared" si="90"/>
        <v>6784.08596639921</v>
      </c>
      <c r="AB147" s="356">
        <f t="shared" si="90"/>
        <v>7123.29026471917</v>
      </c>
      <c r="AC147" s="356"/>
      <c r="AE147" s="340"/>
      <c r="AF147" s="371"/>
      <c r="AQ147" s="344"/>
      <c r="AR147" s="344"/>
      <c r="AS147" s="344"/>
      <c r="AT147" s="345"/>
      <c r="AW147" s="333"/>
      <c r="BA147" s="334"/>
    </row>
    <row r="148" customHeight="1" spans="1:53">
      <c r="A148" s="361" t="s">
        <v>80</v>
      </c>
      <c r="L148" s="362"/>
      <c r="M148" s="362"/>
      <c r="N148" s="362"/>
      <c r="O148" s="362"/>
      <c r="P148" s="496"/>
      <c r="Q148" s="496"/>
      <c r="R148" s="362"/>
      <c r="S148" s="496"/>
      <c r="T148" s="496"/>
      <c r="U148" s="496">
        <f>Interim!FE223</f>
        <v>3485</v>
      </c>
      <c r="V148" s="496">
        <f>Interim!FM223</f>
        <v>4193</v>
      </c>
      <c r="W148" s="432">
        <f>Interim!FU223</f>
        <v>4889</v>
      </c>
      <c r="X148" s="395">
        <f>W148*(1+X149)</f>
        <v>5448.24347902098</v>
      </c>
      <c r="Y148" s="395">
        <f>X148*(1+Y149)</f>
        <v>5712.24986984969</v>
      </c>
      <c r="Z148" s="395">
        <f>Y148*(1+Z149)</f>
        <v>6012.1429880168</v>
      </c>
      <c r="AA148" s="395">
        <f>Z148*(1+AA149)</f>
        <v>6327.78049488768</v>
      </c>
      <c r="AB148" s="395">
        <f>AA148*(1+AB149)</f>
        <v>6659.98897086929</v>
      </c>
      <c r="AC148" s="395"/>
      <c r="AE148" s="340"/>
      <c r="AQ148" s="344"/>
      <c r="AR148" s="344"/>
      <c r="AS148" s="344"/>
      <c r="AT148" s="345"/>
    </row>
    <row r="149" customHeight="1" spans="1:53">
      <c r="A149" s="361" t="s">
        <v>113</v>
      </c>
      <c r="L149" s="362"/>
      <c r="M149" s="362"/>
      <c r="N149" s="362"/>
      <c r="O149" s="362"/>
      <c r="P149" s="496"/>
      <c r="Q149" s="496"/>
      <c r="R149" s="362"/>
      <c r="S149" s="496"/>
      <c r="T149" s="496"/>
      <c r="U149" s="455">
        <f>Interim!FE224</f>
        <v>0</v>
      </c>
      <c r="V149" s="455">
        <f>V148/U148-1</f>
        <v>0.203156384505021</v>
      </c>
      <c r="W149" s="516">
        <f>W148/V148-1</f>
        <v>0.165990937276413</v>
      </c>
      <c r="X149" s="517">
        <f>X98+0.25%</f>
        <v>0.114388111888112</v>
      </c>
      <c r="Y149" s="517">
        <f>Y98+0.25%</f>
        <v>0.0484571572187068</v>
      </c>
      <c r="Z149" s="517">
        <f>Z98+0.25%</f>
        <v>0.0525</v>
      </c>
      <c r="AA149" s="517">
        <f>AA98+0.25%</f>
        <v>0.0525</v>
      </c>
      <c r="AB149" s="517">
        <f>AB98+0.25%</f>
        <v>0.0525</v>
      </c>
      <c r="AC149" s="517"/>
      <c r="AE149" s="340"/>
      <c r="AQ149" s="344"/>
      <c r="AR149" s="344"/>
      <c r="AS149" s="344"/>
      <c r="AT149" s="345"/>
    </row>
    <row r="150" customHeight="1" spans="1:53">
      <c r="A150" s="361" t="s">
        <v>100</v>
      </c>
      <c r="L150" s="362"/>
      <c r="M150" s="362"/>
      <c r="N150" s="362"/>
      <c r="O150" s="362"/>
      <c r="P150" s="496"/>
      <c r="Q150" s="496"/>
      <c r="R150" s="362"/>
      <c r="S150" s="496"/>
      <c r="T150" s="496"/>
      <c r="U150" s="455">
        <f>Interim!FE225</f>
        <v>0</v>
      </c>
      <c r="V150" s="455">
        <f>Interim!FM225</f>
        <v>0.18</v>
      </c>
      <c r="W150" s="516">
        <f>Interim!FU225</f>
        <v>0.2</v>
      </c>
      <c r="X150" s="518">
        <f>X149-X99</f>
        <v>0.1825</v>
      </c>
      <c r="Y150" s="518">
        <f>Y149-Y99</f>
        <v>0.0525</v>
      </c>
      <c r="Z150" s="518">
        <f>Z149-Z99</f>
        <v>0.0525</v>
      </c>
      <c r="AA150" s="518">
        <f>AA149-AA99</f>
        <v>0.0525</v>
      </c>
      <c r="AB150" s="518">
        <f>AB149-AB99</f>
        <v>0.0525</v>
      </c>
      <c r="AC150" s="518"/>
      <c r="AE150" s="340"/>
      <c r="AQ150" s="344"/>
      <c r="AR150" s="344"/>
      <c r="AS150" s="344"/>
      <c r="AT150" s="345"/>
    </row>
    <row r="151" customHeight="1" spans="1:53">
      <c r="A151" s="361" t="s">
        <v>82</v>
      </c>
      <c r="L151" s="362"/>
      <c r="M151" s="362"/>
      <c r="N151" s="362"/>
      <c r="O151" s="362"/>
      <c r="P151" s="496"/>
      <c r="Q151" s="496"/>
      <c r="R151" s="362"/>
      <c r="S151" s="496"/>
      <c r="T151" s="496"/>
      <c r="U151" s="496">
        <f>Interim!FE226</f>
        <v>308</v>
      </c>
      <c r="V151" s="496">
        <f>Interim!FM226</f>
        <v>347</v>
      </c>
      <c r="W151" s="432">
        <f>Interim!FU226</f>
        <v>402</v>
      </c>
      <c r="X151" s="395">
        <f>X147-X148</f>
        <v>434.756520979021</v>
      </c>
      <c r="Y151" s="395">
        <f>Y147-Y148</f>
        <v>441.116086067958</v>
      </c>
      <c r="Z151" s="395">
        <f>Z147-Z148</f>
        <v>448.891265696732</v>
      </c>
      <c r="AA151" s="395">
        <f>AA147-AA148</f>
        <v>456.305471511527</v>
      </c>
      <c r="AB151" s="395">
        <f>AB147-AB148</f>
        <v>463.301293849884</v>
      </c>
      <c r="AC151" s="395"/>
      <c r="AE151" s="340"/>
      <c r="AQ151" s="344"/>
      <c r="AR151" s="344"/>
      <c r="AS151" s="344"/>
      <c r="AT151" s="345"/>
    </row>
    <row r="152" customHeight="1" spans="1:53">
      <c r="A152" s="361" t="s">
        <v>113</v>
      </c>
      <c r="L152" s="362"/>
      <c r="M152" s="362"/>
      <c r="N152" s="362"/>
      <c r="O152" s="362"/>
      <c r="P152" s="496"/>
      <c r="Q152" s="496"/>
      <c r="R152" s="362"/>
      <c r="S152" s="496"/>
      <c r="T152" s="496"/>
      <c r="U152" s="455">
        <f>Interim!FE227</f>
        <v>0</v>
      </c>
      <c r="V152" s="455">
        <f t="shared" ref="V152:AB152" si="91">V151/U151-1</f>
        <v>0.126623376623377</v>
      </c>
      <c r="W152" s="516">
        <f t="shared" si="91"/>
        <v>0.15850144092219</v>
      </c>
      <c r="X152" s="518">
        <f t="shared" si="91"/>
        <v>0.0814838830323903</v>
      </c>
      <c r="Y152" s="518">
        <f t="shared" si="91"/>
        <v>0.0146278774027735</v>
      </c>
      <c r="Z152" s="518">
        <f t="shared" si="91"/>
        <v>0.0176261530112871</v>
      </c>
      <c r="AA152" s="518">
        <f t="shared" si="91"/>
        <v>0.0165167076781652</v>
      </c>
      <c r="AB152" s="518">
        <f t="shared" si="91"/>
        <v>0.0153314452162572</v>
      </c>
      <c r="AC152" s="518"/>
      <c r="AE152" s="340"/>
      <c r="AQ152" s="344"/>
      <c r="AR152" s="344"/>
      <c r="AS152" s="344"/>
      <c r="AT152" s="345"/>
    </row>
    <row r="153" customHeight="1" spans="1:53">
      <c r="A153" s="361" t="s">
        <v>100</v>
      </c>
      <c r="L153" s="362"/>
      <c r="M153" s="362"/>
      <c r="N153" s="362"/>
      <c r="O153" s="362"/>
      <c r="P153" s="496"/>
      <c r="Q153" s="496"/>
      <c r="R153" s="362"/>
      <c r="S153" s="496"/>
      <c r="T153" s="496"/>
      <c r="U153" s="455">
        <f>Interim!FE228</f>
        <v>0</v>
      </c>
      <c r="V153" s="455">
        <f>Interim!FM228</f>
        <v>0.11</v>
      </c>
      <c r="W153" s="516">
        <f>Interim!FU228</f>
        <v>0.18</v>
      </c>
      <c r="X153" s="518">
        <f>X152-X99</f>
        <v>0.149595771144278</v>
      </c>
      <c r="Y153" s="518">
        <f>Y152-Y99</f>
        <v>0.0186707201840667</v>
      </c>
      <c r="Z153" s="518">
        <f>Z152-Z99</f>
        <v>0.0176261530112871</v>
      </c>
      <c r="AA153" s="518">
        <f>AA152-AA99</f>
        <v>0.0165167076781652</v>
      </c>
      <c r="AB153" s="518">
        <f>AB152-AB99</f>
        <v>0.0153314452162572</v>
      </c>
      <c r="AC153" s="518"/>
      <c r="AE153" s="340"/>
      <c r="AQ153" s="344"/>
      <c r="AR153" s="344"/>
      <c r="AS153" s="344"/>
      <c r="AT153" s="345"/>
    </row>
    <row r="154" customHeight="1" spans="1:53">
      <c r="A154" s="444" t="s">
        <v>101</v>
      </c>
      <c r="L154" s="362"/>
      <c r="M154" s="362"/>
      <c r="N154" s="362"/>
      <c r="O154" s="362"/>
      <c r="P154" s="496"/>
      <c r="Q154" s="496"/>
      <c r="R154" s="362"/>
      <c r="S154" s="496"/>
      <c r="T154" s="496"/>
      <c r="U154" s="515">
        <f>Interim!FE229</f>
        <v>2217</v>
      </c>
      <c r="V154" s="515">
        <f>Interim!FM229</f>
        <v>2754</v>
      </c>
      <c r="W154" s="357">
        <f t="shared" ref="W154:AB154" si="92">W102</f>
        <v>3412</v>
      </c>
      <c r="X154" s="356">
        <f t="shared" si="92"/>
        <v>4275</v>
      </c>
      <c r="Y154" s="356">
        <f t="shared" si="92"/>
        <v>4735.66528988333</v>
      </c>
      <c r="Z154" s="356">
        <f t="shared" si="92"/>
        <v>5327.62345111874</v>
      </c>
      <c r="AA154" s="356">
        <f t="shared" si="92"/>
        <v>5860.38579623062</v>
      </c>
      <c r="AB154" s="356">
        <f t="shared" si="92"/>
        <v>6446.42437585368</v>
      </c>
      <c r="AC154" s="356"/>
      <c r="AE154" s="340"/>
      <c r="AQ154" s="344"/>
      <c r="AR154" s="344"/>
      <c r="AS154" s="344"/>
      <c r="AT154" s="345"/>
    </row>
    <row r="155" customHeight="1" spans="1:53">
      <c r="A155" s="361" t="s">
        <v>80</v>
      </c>
      <c r="L155" s="362"/>
      <c r="M155" s="362"/>
      <c r="N155" s="362"/>
      <c r="O155" s="362"/>
      <c r="P155" s="496"/>
      <c r="Q155" s="496"/>
      <c r="R155" s="362"/>
      <c r="S155" s="496"/>
      <c r="T155" s="496"/>
      <c r="U155" s="496">
        <f>Interim!FE230</f>
        <v>1740</v>
      </c>
      <c r="V155" s="496">
        <f>Interim!FM230</f>
        <v>2231</v>
      </c>
      <c r="W155" s="432">
        <f>Interim!FU230</f>
        <v>2897</v>
      </c>
      <c r="X155" s="395">
        <f>W155*(1+X156)</f>
        <v>3803.56062133646</v>
      </c>
      <c r="Y155" s="395">
        <f>X155*(1+Y156)</f>
        <v>4270.47797363119</v>
      </c>
      <c r="Z155" s="395">
        <f>Y155*(1+Z156)</f>
        <v>4825.64011020325</v>
      </c>
      <c r="AA155" s="395">
        <f>Z155*(1+AA156)</f>
        <v>5332.33232177459</v>
      </c>
      <c r="AB155" s="395">
        <f>AA155*(1+AB156)</f>
        <v>5892.22721556092</v>
      </c>
      <c r="AC155" s="395"/>
      <c r="AD155" s="371"/>
      <c r="AE155" s="340"/>
      <c r="AQ155" s="344"/>
      <c r="AR155" s="344"/>
      <c r="AS155" s="344"/>
      <c r="AT155" s="345"/>
    </row>
    <row r="156" customHeight="1" spans="1:53">
      <c r="A156" s="361" t="s">
        <v>113</v>
      </c>
      <c r="L156" s="362"/>
      <c r="M156" s="362"/>
      <c r="N156" s="362"/>
      <c r="O156" s="362"/>
      <c r="P156" s="496"/>
      <c r="Q156" s="496"/>
      <c r="R156" s="362"/>
      <c r="S156" s="496"/>
      <c r="T156" s="455"/>
      <c r="U156" s="455">
        <f>Interim!FE231</f>
        <v>0</v>
      </c>
      <c r="V156" s="455">
        <f>V155/U155-1</f>
        <v>0.282183908045977</v>
      </c>
      <c r="W156" s="516">
        <f>W155/V155-1</f>
        <v>0.298520842671448</v>
      </c>
      <c r="X156" s="517">
        <f>X103+6%</f>
        <v>0.312930832356389</v>
      </c>
      <c r="Y156" s="517">
        <f>Y103+1.5%</f>
        <v>0.122757962545808</v>
      </c>
      <c r="Z156" s="517">
        <f>Z103+0.5%</f>
        <v>0.13</v>
      </c>
      <c r="AA156" s="517">
        <f>AA103+0.5%</f>
        <v>0.105</v>
      </c>
      <c r="AB156" s="517">
        <f>AB103+0.5%</f>
        <v>0.105</v>
      </c>
      <c r="AC156" s="517"/>
      <c r="AD156" s="369"/>
      <c r="AE156" s="340"/>
      <c r="AQ156" s="344"/>
      <c r="AR156" s="344"/>
      <c r="AS156" s="344"/>
      <c r="AT156" s="345"/>
    </row>
    <row r="157" customHeight="1" spans="1:53">
      <c r="A157" s="361" t="s">
        <v>100</v>
      </c>
      <c r="L157" s="362"/>
      <c r="M157" s="362"/>
      <c r="N157" s="362"/>
      <c r="O157" s="362"/>
      <c r="P157" s="496"/>
      <c r="Q157" s="496"/>
      <c r="R157" s="362"/>
      <c r="S157" s="496"/>
      <c r="T157" s="519"/>
      <c r="U157" s="455">
        <f>Interim!FE232</f>
        <v>0</v>
      </c>
      <c r="V157" s="455">
        <f>Interim!FM232</f>
        <v>0.09</v>
      </c>
      <c r="W157" s="516">
        <f>Interim!FU232</f>
        <v>0.3</v>
      </c>
      <c r="X157" s="518">
        <f>X156-X104</f>
        <v>0.32</v>
      </c>
      <c r="Y157" s="518">
        <f>Y156-Y104</f>
        <v>0.165</v>
      </c>
      <c r="Z157" s="518">
        <f>Z156-Z104</f>
        <v>0.13</v>
      </c>
      <c r="AA157" s="518">
        <f>AA156-AA104</f>
        <v>0.105</v>
      </c>
      <c r="AB157" s="518">
        <f>AB156-AB104</f>
        <v>0.105</v>
      </c>
      <c r="AC157" s="518"/>
      <c r="AE157" s="340"/>
      <c r="AQ157" s="344"/>
      <c r="AR157" s="344"/>
      <c r="AS157" s="344"/>
      <c r="AT157" s="345"/>
    </row>
    <row r="158" customHeight="1" spans="1:53">
      <c r="A158" s="361" t="s">
        <v>82</v>
      </c>
      <c r="L158" s="362"/>
      <c r="M158" s="362"/>
      <c r="N158" s="362"/>
      <c r="O158" s="362"/>
      <c r="P158" s="496"/>
      <c r="Q158" s="496"/>
      <c r="R158" s="362"/>
      <c r="S158" s="496"/>
      <c r="T158" s="496"/>
      <c r="U158" s="496">
        <f>Interim!FE233</f>
        <v>477</v>
      </c>
      <c r="V158" s="496">
        <f>Interim!FM233</f>
        <v>523</v>
      </c>
      <c r="W158" s="432">
        <f>Interim!FU233</f>
        <v>514</v>
      </c>
      <c r="X158" s="395">
        <f>X154-X155</f>
        <v>471.43937866354</v>
      </c>
      <c r="Y158" s="395">
        <f>Y154-Y155</f>
        <v>465.187316252137</v>
      </c>
      <c r="Z158" s="395">
        <f>Z154-Z155</f>
        <v>501.983340915498</v>
      </c>
      <c r="AA158" s="395">
        <f>AA154-AA155</f>
        <v>528.053474456033</v>
      </c>
      <c r="AB158" s="395">
        <f>AB154-AB155</f>
        <v>554.197160292763</v>
      </c>
      <c r="AC158" s="395"/>
      <c r="AE158" s="340"/>
      <c r="AQ158" s="344"/>
      <c r="AR158" s="344"/>
      <c r="AS158" s="344"/>
      <c r="AT158" s="345"/>
    </row>
    <row r="159" customHeight="1" spans="1:53">
      <c r="A159" s="361" t="s">
        <v>113</v>
      </c>
      <c r="L159" s="362"/>
      <c r="M159" s="362"/>
      <c r="N159" s="362"/>
      <c r="O159" s="362"/>
      <c r="P159" s="496"/>
      <c r="Q159" s="496"/>
      <c r="R159" s="362"/>
      <c r="S159" s="496"/>
      <c r="T159" s="455"/>
      <c r="U159" s="455">
        <f>Interim!FE234</f>
        <v>0</v>
      </c>
      <c r="V159" s="455">
        <f t="shared" ref="V159:AB159" si="93">V158/U158-1</f>
        <v>0.0964360587002095</v>
      </c>
      <c r="W159" s="516">
        <f t="shared" si="93"/>
        <v>-0.017208413001912</v>
      </c>
      <c r="X159" s="518">
        <f t="shared" si="93"/>
        <v>-0.0828027652460309</v>
      </c>
      <c r="Y159" s="518">
        <f t="shared" si="93"/>
        <v>-0.0132616465538513</v>
      </c>
      <c r="Z159" s="518">
        <f t="shared" si="93"/>
        <v>0.079099372183693</v>
      </c>
      <c r="AA159" s="518">
        <f t="shared" si="93"/>
        <v>0.0519342603939585</v>
      </c>
      <c r="AB159" s="518">
        <f t="shared" si="93"/>
        <v>0.049509542312286</v>
      </c>
      <c r="AC159" s="518"/>
      <c r="AE159" s="340"/>
      <c r="AQ159" s="344"/>
      <c r="AR159" s="344"/>
      <c r="AS159" s="344"/>
      <c r="AT159" s="345"/>
    </row>
    <row r="160" customHeight="1" spans="1:53">
      <c r="A160" s="361" t="s">
        <v>100</v>
      </c>
      <c r="L160" s="362"/>
      <c r="M160" s="362"/>
      <c r="N160" s="362"/>
      <c r="O160" s="362"/>
      <c r="P160" s="496"/>
      <c r="Q160" s="496"/>
      <c r="R160" s="362"/>
      <c r="S160" s="496"/>
      <c r="T160" s="496"/>
      <c r="U160" s="455">
        <f>Interim!FE235</f>
        <v>0</v>
      </c>
      <c r="V160" s="455">
        <f>Interim!FM235</f>
        <v>-0.07</v>
      </c>
      <c r="W160" s="516">
        <f>Interim!FU235</f>
        <v>-0.01</v>
      </c>
      <c r="X160" s="518">
        <f>X159-X104</f>
        <v>-0.0757335976024202</v>
      </c>
      <c r="Y160" s="518">
        <f>Y159-Y104</f>
        <v>0.0289803909003405</v>
      </c>
      <c r="Z160" s="518">
        <f>Z159-Z104</f>
        <v>0.079099372183693</v>
      </c>
      <c r="AA160" s="518">
        <f>AA159-AA104</f>
        <v>0.0519342603939585</v>
      </c>
      <c r="AB160" s="518">
        <f>AB159-AB104</f>
        <v>0.049509542312286</v>
      </c>
      <c r="AC160" s="518"/>
      <c r="AE160" s="340"/>
      <c r="AQ160" s="344"/>
      <c r="AR160" s="344"/>
      <c r="AS160" s="344"/>
      <c r="AT160" s="345"/>
    </row>
    <row r="161" customHeight="1" spans="1:46">
      <c r="A161" s="444" t="s">
        <v>102</v>
      </c>
      <c r="L161" s="362"/>
      <c r="M161" s="362"/>
      <c r="N161" s="362"/>
      <c r="O161" s="362"/>
      <c r="P161" s="496"/>
      <c r="Q161" s="496"/>
      <c r="R161" s="362"/>
      <c r="S161" s="496"/>
      <c r="T161" s="496"/>
      <c r="U161" s="515">
        <f>Interim!FE236</f>
        <v>1612</v>
      </c>
      <c r="V161" s="515">
        <f>Interim!FM236</f>
        <v>1783</v>
      </c>
      <c r="W161" s="357">
        <f t="shared" ref="W161:AB161" si="94">W107</f>
        <v>1731</v>
      </c>
      <c r="X161" s="356">
        <f t="shared" si="94"/>
        <v>1907</v>
      </c>
      <c r="Y161" s="356">
        <f t="shared" si="94"/>
        <v>1904.2125761973</v>
      </c>
      <c r="Z161" s="356">
        <f t="shared" si="94"/>
        <v>1999.42320500716</v>
      </c>
      <c r="AA161" s="356">
        <f t="shared" si="94"/>
        <v>2099.39436525752</v>
      </c>
      <c r="AB161" s="356">
        <f t="shared" si="94"/>
        <v>2204.3640835204</v>
      </c>
      <c r="AC161" s="356"/>
      <c r="AE161" s="340"/>
      <c r="AQ161" s="344"/>
      <c r="AR161" s="344"/>
      <c r="AS161" s="344"/>
      <c r="AT161" s="345"/>
    </row>
    <row r="162" customHeight="1" spans="1:46">
      <c r="A162" s="361" t="s">
        <v>80</v>
      </c>
      <c r="L162" s="362"/>
      <c r="M162" s="362"/>
      <c r="N162" s="362"/>
      <c r="O162" s="362"/>
      <c r="P162" s="496"/>
      <c r="Q162" s="496"/>
      <c r="R162" s="362"/>
      <c r="S162" s="496"/>
      <c r="T162" s="496"/>
      <c r="U162" s="496">
        <f>Interim!FE237</f>
        <v>1388</v>
      </c>
      <c r="V162" s="496">
        <f>Interim!FM237</f>
        <v>1516</v>
      </c>
      <c r="W162" s="432">
        <f>Interim!FU237</f>
        <v>1515</v>
      </c>
      <c r="X162" s="395">
        <f>W162*(1+X163)</f>
        <v>1669.03812824957</v>
      </c>
      <c r="Y162" s="395">
        <f>X162*(1+Y163)</f>
        <v>1666.59852856089</v>
      </c>
      <c r="Z162" s="395">
        <f>Y162*(1+Z163)</f>
        <v>1749.92845498894</v>
      </c>
      <c r="AA162" s="395">
        <f>Z162*(1+AA163)</f>
        <v>1837.42487773839</v>
      </c>
      <c r="AB162" s="395">
        <f>AA162*(1+AB163)</f>
        <v>1929.29612162531</v>
      </c>
      <c r="AC162" s="395"/>
      <c r="AE162" s="340"/>
      <c r="AQ162" s="344"/>
      <c r="AR162" s="344"/>
      <c r="AS162" s="344"/>
      <c r="AT162" s="345"/>
    </row>
    <row r="163" customHeight="1" spans="1:46">
      <c r="A163" s="361" t="s">
        <v>113</v>
      </c>
      <c r="L163" s="362"/>
      <c r="M163" s="362"/>
      <c r="N163" s="362"/>
      <c r="O163" s="362"/>
      <c r="P163" s="496"/>
      <c r="Q163" s="496"/>
      <c r="R163" s="362"/>
      <c r="S163" s="496"/>
      <c r="T163" s="496"/>
      <c r="U163" s="455">
        <f>Interim!FE238</f>
        <v>0</v>
      </c>
      <c r="V163" s="455">
        <f>V162/U162-1</f>
        <v>0.0922190201729107</v>
      </c>
      <c r="W163" s="516">
        <f>W162/V162-1</f>
        <v>-0.00065963060686014</v>
      </c>
      <c r="X163" s="517">
        <f>X108</f>
        <v>0.101675332177932</v>
      </c>
      <c r="Y163" s="517">
        <f>Y108</f>
        <v>-0.00146168002239144</v>
      </c>
      <c r="Z163" s="517">
        <f>Z108</f>
        <v>0.05</v>
      </c>
      <c r="AA163" s="517">
        <f>AA108</f>
        <v>0.05</v>
      </c>
      <c r="AB163" s="517">
        <f>AB108</f>
        <v>0.05</v>
      </c>
      <c r="AC163" s="517"/>
      <c r="AD163" s="431"/>
      <c r="AE163" s="340"/>
      <c r="AQ163" s="344"/>
      <c r="AR163" s="344"/>
      <c r="AS163" s="344"/>
      <c r="AT163" s="345"/>
    </row>
    <row r="164" customHeight="1" spans="1:46">
      <c r="A164" s="361" t="s">
        <v>100</v>
      </c>
      <c r="L164" s="362"/>
      <c r="M164" s="362"/>
      <c r="N164" s="362"/>
      <c r="O164" s="362"/>
      <c r="P164" s="496"/>
      <c r="Q164" s="496"/>
      <c r="R164" s="362"/>
      <c r="S164" s="496"/>
      <c r="T164" s="496"/>
      <c r="U164" s="455">
        <f>Interim!FE239</f>
        <v>0</v>
      </c>
      <c r="V164" s="455">
        <f>Interim!FM239</f>
        <v>0.11</v>
      </c>
      <c r="W164" s="516">
        <f>Interim!FU239</f>
        <v>0.19</v>
      </c>
      <c r="X164" s="518">
        <f>X163-X109</f>
        <v>0.07</v>
      </c>
      <c r="Y164" s="518">
        <f>Y163-Y109</f>
        <v>0.05</v>
      </c>
      <c r="Z164" s="518">
        <f>Z163-Z109</f>
        <v>0.05</v>
      </c>
      <c r="AA164" s="518">
        <f>AA163-AA109</f>
        <v>0.05</v>
      </c>
      <c r="AB164" s="518">
        <f>AB163-AB109</f>
        <v>0.05</v>
      </c>
      <c r="AC164" s="518"/>
      <c r="AE164" s="340"/>
      <c r="AQ164" s="344"/>
      <c r="AR164" s="344"/>
      <c r="AS164" s="344"/>
      <c r="AT164" s="345"/>
    </row>
    <row r="165" customHeight="1" spans="1:46">
      <c r="A165" s="361" t="s">
        <v>82</v>
      </c>
      <c r="L165" s="362"/>
      <c r="M165" s="362"/>
      <c r="N165" s="362"/>
      <c r="O165" s="362"/>
      <c r="P165" s="496"/>
      <c r="Q165" s="496"/>
      <c r="R165" s="362"/>
      <c r="S165" s="496"/>
      <c r="T165" s="496"/>
      <c r="U165" s="496">
        <f>Interim!FE240</f>
        <v>223</v>
      </c>
      <c r="V165" s="496">
        <f>Interim!FM240</f>
        <v>266</v>
      </c>
      <c r="W165" s="432">
        <f>Interim!FU240</f>
        <v>216</v>
      </c>
      <c r="X165" s="395">
        <f>X161-X162</f>
        <v>237.961871750433</v>
      </c>
      <c r="Y165" s="395">
        <f>Y161-Y162</f>
        <v>237.614047636405</v>
      </c>
      <c r="Z165" s="395">
        <f>Z161-Z162</f>
        <v>249.494750018225</v>
      </c>
      <c r="AA165" s="395">
        <f>AA161-AA162</f>
        <v>261.969487519137</v>
      </c>
      <c r="AB165" s="395">
        <f>AB161-AB162</f>
        <v>275.067961895093</v>
      </c>
      <c r="AC165" s="395"/>
      <c r="AE165" s="340"/>
      <c r="AQ165" s="344"/>
      <c r="AR165" s="344"/>
      <c r="AS165" s="344"/>
      <c r="AT165" s="345"/>
    </row>
    <row r="166" customHeight="1" spans="1:46">
      <c r="A166" s="361" t="s">
        <v>113</v>
      </c>
      <c r="L166" s="362"/>
      <c r="M166" s="362"/>
      <c r="N166" s="362"/>
      <c r="O166" s="362"/>
      <c r="P166" s="496"/>
      <c r="Q166" s="496"/>
      <c r="R166" s="362"/>
      <c r="S166" s="496"/>
      <c r="T166" s="496"/>
      <c r="U166" s="455">
        <f>Interim!FE241</f>
        <v>0</v>
      </c>
      <c r="V166" s="455">
        <f t="shared" ref="V166:AB166" si="95">V165/U165-1</f>
        <v>0.192825112107623</v>
      </c>
      <c r="W166" s="516">
        <f t="shared" si="95"/>
        <v>-0.18796992481203</v>
      </c>
      <c r="X166" s="518">
        <f t="shared" si="95"/>
        <v>0.101675332177932</v>
      </c>
      <c r="Y166" s="518">
        <f t="shared" si="95"/>
        <v>-0.00146168002239166</v>
      </c>
      <c r="Z166" s="518">
        <f t="shared" si="95"/>
        <v>0.0500000000000005</v>
      </c>
      <c r="AA166" s="518">
        <f t="shared" si="95"/>
        <v>0.0500000000000009</v>
      </c>
      <c r="AB166" s="518">
        <f t="shared" si="95"/>
        <v>0.0499999999999992</v>
      </c>
      <c r="AC166" s="518"/>
      <c r="AE166" s="340"/>
      <c r="AQ166" s="344"/>
      <c r="AR166" s="344"/>
      <c r="AS166" s="344"/>
      <c r="AT166" s="345"/>
    </row>
    <row r="167" customHeight="1" spans="1:46">
      <c r="A167" s="361" t="s">
        <v>100</v>
      </c>
      <c r="L167" s="362"/>
      <c r="M167" s="362"/>
      <c r="N167" s="362"/>
      <c r="O167" s="362"/>
      <c r="P167" s="496"/>
      <c r="Q167" s="496"/>
      <c r="R167" s="362"/>
      <c r="S167" s="496"/>
      <c r="T167" s="496"/>
      <c r="U167" s="455">
        <f>Interim!FE242</f>
        <v>0</v>
      </c>
      <c r="V167" s="455">
        <f>Interim!FM242</f>
        <v>0.16</v>
      </c>
      <c r="W167" s="516">
        <f>Interim!FU242</f>
        <v>0.01</v>
      </c>
      <c r="X167" s="518">
        <f>X166-X109</f>
        <v>0.0700000000000005</v>
      </c>
      <c r="Y167" s="518">
        <f>Y166-Y109</f>
        <v>0.0499999999999998</v>
      </c>
      <c r="Z167" s="518">
        <f>Z166-Z109</f>
        <v>0.0500000000000005</v>
      </c>
      <c r="AA167" s="518">
        <f>AA166-AA109</f>
        <v>0.0500000000000009</v>
      </c>
      <c r="AB167" s="518">
        <f>AB166-AB109</f>
        <v>0.0499999999999992</v>
      </c>
      <c r="AC167" s="518"/>
      <c r="AE167" s="340"/>
      <c r="AQ167" s="344"/>
      <c r="AR167" s="344"/>
      <c r="AS167" s="344"/>
      <c r="AT167" s="345"/>
    </row>
    <row r="168" customHeight="1" spans="1:46">
      <c r="A168" s="444" t="s">
        <v>114</v>
      </c>
      <c r="L168" s="362"/>
      <c r="M168" s="362"/>
      <c r="N168" s="362"/>
      <c r="O168" s="362"/>
      <c r="P168" s="496"/>
      <c r="Q168" s="496"/>
      <c r="R168" s="362"/>
      <c r="S168" s="496"/>
      <c r="T168" s="496"/>
      <c r="U168" s="515">
        <f>Interim!FE243</f>
        <v>1786</v>
      </c>
      <c r="V168" s="515">
        <f>Interim!FM243</f>
        <v>2469</v>
      </c>
      <c r="W168" s="357">
        <f t="shared" ref="W168:AB168" si="96">W112</f>
        <v>3010</v>
      </c>
      <c r="X168" s="356">
        <f t="shared" si="96"/>
        <v>3789</v>
      </c>
      <c r="Y168" s="356">
        <f t="shared" si="96"/>
        <v>4276.31150557641</v>
      </c>
      <c r="Z168" s="356">
        <f t="shared" si="96"/>
        <v>4810.85044377346</v>
      </c>
      <c r="AA168" s="356">
        <f t="shared" si="96"/>
        <v>5291.93548815081</v>
      </c>
      <c r="AB168" s="356">
        <f t="shared" si="96"/>
        <v>5821.12903696589</v>
      </c>
      <c r="AC168" s="356"/>
      <c r="AE168" s="340"/>
      <c r="AQ168" s="344"/>
      <c r="AR168" s="344"/>
      <c r="AS168" s="344"/>
      <c r="AT168" s="345"/>
    </row>
    <row r="169" customHeight="1" spans="1:46">
      <c r="A169" s="361" t="s">
        <v>80</v>
      </c>
      <c r="L169" s="362"/>
      <c r="M169" s="362"/>
      <c r="N169" s="362"/>
      <c r="O169" s="362"/>
      <c r="P169" s="496"/>
      <c r="Q169" s="496"/>
      <c r="R169" s="362"/>
      <c r="S169" s="496"/>
      <c r="T169" s="496"/>
      <c r="U169" s="496">
        <f>Interim!FE244</f>
        <v>1760</v>
      </c>
      <c r="V169" s="496">
        <f>Interim!FM244</f>
        <v>2411</v>
      </c>
      <c r="W169" s="432">
        <f>Interim!FU244</f>
        <v>2944</v>
      </c>
      <c r="X169" s="395">
        <f>W169*(1+X170)</f>
        <v>3705.91893687708</v>
      </c>
      <c r="Y169" s="395">
        <f>X169*(1+Y170)</f>
        <v>4182.54520678304</v>
      </c>
      <c r="Z169" s="395">
        <f>Y169*(1+Z170)</f>
        <v>4705.36335763092</v>
      </c>
      <c r="AA169" s="395">
        <f>Z169*(1+AA170)</f>
        <v>5175.89969339401</v>
      </c>
      <c r="AB169" s="395">
        <f>AA169*(1+AB170)</f>
        <v>5693.48966273341</v>
      </c>
      <c r="AC169" s="395"/>
      <c r="AE169" s="340"/>
      <c r="AQ169" s="344"/>
      <c r="AR169" s="344"/>
      <c r="AS169" s="344"/>
      <c r="AT169" s="345"/>
    </row>
    <row r="170" customHeight="1" spans="1:46">
      <c r="A170" s="361" t="s">
        <v>113</v>
      </c>
      <c r="L170" s="362"/>
      <c r="M170" s="362"/>
      <c r="N170" s="362"/>
      <c r="O170" s="362"/>
      <c r="P170" s="496"/>
      <c r="Q170" s="496"/>
      <c r="R170" s="362"/>
      <c r="S170" s="496"/>
      <c r="T170" s="496"/>
      <c r="U170" s="455">
        <f>Interim!FE245</f>
        <v>0</v>
      </c>
      <c r="V170" s="455">
        <f>V169/U169-1</f>
        <v>0.369886363636364</v>
      </c>
      <c r="W170" s="516">
        <f>W169/V169-1</f>
        <v>0.221070095396101</v>
      </c>
      <c r="X170" s="517">
        <f>X113</f>
        <v>0.258803986710963</v>
      </c>
      <c r="Y170" s="517">
        <f>Y113</f>
        <v>0.128612168270364</v>
      </c>
      <c r="Z170" s="517">
        <f>Z113</f>
        <v>0.125</v>
      </c>
      <c r="AA170" s="517">
        <f>AA113</f>
        <v>0.1</v>
      </c>
      <c r="AB170" s="517">
        <f>AB113</f>
        <v>0.1</v>
      </c>
      <c r="AC170" s="517"/>
      <c r="AE170" s="340"/>
      <c r="AQ170" s="344"/>
      <c r="AR170" s="344"/>
      <c r="AS170" s="344"/>
      <c r="AT170" s="345"/>
    </row>
    <row r="171" customHeight="1" spans="1:46">
      <c r="A171" s="361" t="s">
        <v>100</v>
      </c>
      <c r="L171" s="362"/>
      <c r="M171" s="362"/>
      <c r="N171" s="362"/>
      <c r="O171" s="362"/>
      <c r="P171" s="496"/>
      <c r="Q171" s="496"/>
      <c r="R171" s="362"/>
      <c r="S171" s="496"/>
      <c r="T171" s="496"/>
      <c r="U171" s="455">
        <f>Interim!FE246</f>
        <v>0</v>
      </c>
      <c r="V171" s="455">
        <f>Interim!FM246</f>
        <v>0.17</v>
      </c>
      <c r="W171" s="516">
        <f>Interim!FU246</f>
        <v>0.28</v>
      </c>
      <c r="X171" s="518">
        <f>X170-X114</f>
        <v>0.25</v>
      </c>
      <c r="Y171" s="518">
        <f>Y170-Y114</f>
        <v>0.15</v>
      </c>
      <c r="Z171" s="518">
        <f>Z170-Z114</f>
        <v>0.125</v>
      </c>
      <c r="AA171" s="518">
        <f>AA170-AA114</f>
        <v>0.1</v>
      </c>
      <c r="AB171" s="518">
        <f>AB170-AB114</f>
        <v>0.1</v>
      </c>
      <c r="AC171" s="518"/>
      <c r="AE171" s="340"/>
      <c r="AQ171" s="344"/>
      <c r="AR171" s="344"/>
      <c r="AS171" s="344"/>
      <c r="AT171" s="345"/>
    </row>
    <row r="172" customHeight="1" spans="1:46">
      <c r="A172" s="361" t="s">
        <v>82</v>
      </c>
      <c r="L172" s="362"/>
      <c r="M172" s="362"/>
      <c r="N172" s="362"/>
      <c r="O172" s="362"/>
      <c r="P172" s="496"/>
      <c r="Q172" s="496"/>
      <c r="R172" s="362"/>
      <c r="S172" s="496"/>
      <c r="T172" s="496"/>
      <c r="U172" s="496">
        <f>Interim!FE247</f>
        <v>27</v>
      </c>
      <c r="V172" s="496">
        <f>Interim!FM247</f>
        <v>58</v>
      </c>
      <c r="W172" s="432">
        <f>Interim!FU247</f>
        <v>67</v>
      </c>
      <c r="X172" s="395">
        <f>X168-X169</f>
        <v>83.0810631229233</v>
      </c>
      <c r="Y172" s="395">
        <f>Y168-Y169</f>
        <v>93.7662987933691</v>
      </c>
      <c r="Z172" s="395">
        <f>Z168-Z169</f>
        <v>105.48708614254</v>
      </c>
      <c r="AA172" s="395">
        <f>AA168-AA169</f>
        <v>116.035794756794</v>
      </c>
      <c r="AB172" s="395">
        <f>AB168-AB169</f>
        <v>127.639374232474</v>
      </c>
      <c r="AC172" s="395"/>
      <c r="AE172" s="340"/>
      <c r="AQ172" s="344"/>
      <c r="AR172" s="344"/>
      <c r="AS172" s="344"/>
      <c r="AT172" s="345"/>
    </row>
    <row r="173" customHeight="1" spans="1:46">
      <c r="A173" s="361" t="s">
        <v>113</v>
      </c>
      <c r="L173" s="362"/>
      <c r="M173" s="362"/>
      <c r="N173" s="362"/>
      <c r="O173" s="362"/>
      <c r="P173" s="496"/>
      <c r="Q173" s="496"/>
      <c r="R173" s="362"/>
      <c r="S173" s="496"/>
      <c r="T173" s="496"/>
      <c r="U173" s="455">
        <f>Interim!FE248</f>
        <v>0</v>
      </c>
      <c r="V173" s="455">
        <f t="shared" ref="V173:AB173" si="97">V172/U172-1</f>
        <v>1.14814814814815</v>
      </c>
      <c r="W173" s="516">
        <f t="shared" si="97"/>
        <v>0.155172413793103</v>
      </c>
      <c r="X173" s="518">
        <f t="shared" si="97"/>
        <v>0.240015867506318</v>
      </c>
      <c r="Y173" s="518">
        <f t="shared" si="97"/>
        <v>0.128612168270359</v>
      </c>
      <c r="Z173" s="518">
        <f t="shared" si="97"/>
        <v>0.124999999999995</v>
      </c>
      <c r="AA173" s="518">
        <f t="shared" si="97"/>
        <v>0.0999999999999992</v>
      </c>
      <c r="AB173" s="518">
        <f t="shared" si="97"/>
        <v>0.100000000000005</v>
      </c>
      <c r="AC173" s="518"/>
      <c r="AE173" s="340"/>
      <c r="AQ173" s="344"/>
      <c r="AR173" s="344"/>
      <c r="AS173" s="344"/>
      <c r="AT173" s="345"/>
    </row>
    <row r="174" customHeight="1" spans="1:46">
      <c r="A174" s="361" t="s">
        <v>100</v>
      </c>
      <c r="L174" s="362"/>
      <c r="M174" s="362"/>
      <c r="N174" s="362"/>
      <c r="O174" s="362"/>
      <c r="P174" s="496"/>
      <c r="Q174" s="496"/>
      <c r="R174" s="362"/>
      <c r="S174" s="496"/>
      <c r="T174" s="496"/>
      <c r="U174" s="455">
        <f>Interim!FE249</f>
        <v>0</v>
      </c>
      <c r="V174" s="455">
        <f>Interim!FM249</f>
        <v>0.83</v>
      </c>
      <c r="W174" s="516">
        <f>Interim!FU249</f>
        <v>0.17</v>
      </c>
      <c r="X174" s="518">
        <f>X173-X114</f>
        <v>0.231211880795354</v>
      </c>
      <c r="Y174" s="518">
        <f>Y173-Y114</f>
        <v>0.149999999999995</v>
      </c>
      <c r="Z174" s="518">
        <f>Z173-Z114</f>
        <v>0.124999999999995</v>
      </c>
      <c r="AA174" s="518">
        <f>AA173-AA114</f>
        <v>0.0999999999999992</v>
      </c>
      <c r="AB174" s="518">
        <f>AB173-AB114</f>
        <v>0.100000000000005</v>
      </c>
      <c r="AC174" s="518"/>
      <c r="AE174" s="340"/>
      <c r="AQ174" s="344"/>
      <c r="AR174" s="344"/>
      <c r="AS174" s="344"/>
      <c r="AT174" s="345"/>
    </row>
    <row r="175" customHeight="1" spans="1:46">
      <c r="A175" s="444" t="s">
        <v>104</v>
      </c>
      <c r="L175" s="362"/>
      <c r="M175" s="362"/>
      <c r="N175" s="362"/>
      <c r="O175" s="362"/>
      <c r="P175" s="496"/>
      <c r="Q175" s="496"/>
      <c r="R175" s="362"/>
      <c r="S175" s="496"/>
      <c r="T175" s="496"/>
      <c r="U175" s="515">
        <f>Interim!FE250</f>
        <v>744</v>
      </c>
      <c r="V175" s="515">
        <f>Interim!FM250</f>
        <v>776</v>
      </c>
      <c r="W175" s="357">
        <f t="shared" ref="W175:AB175" si="98">W117</f>
        <v>1007</v>
      </c>
      <c r="X175" s="356">
        <f t="shared" si="98"/>
        <v>1056</v>
      </c>
      <c r="Y175" s="356">
        <f t="shared" si="98"/>
        <v>1054.35435254224</v>
      </c>
      <c r="Z175" s="356">
        <f t="shared" si="98"/>
        <v>1107.07207016935</v>
      </c>
      <c r="AA175" s="356">
        <f t="shared" si="98"/>
        <v>1162.42567367782</v>
      </c>
      <c r="AB175" s="356">
        <f t="shared" si="98"/>
        <v>1220.54695736171</v>
      </c>
      <c r="AC175" s="356"/>
      <c r="AE175" s="340"/>
      <c r="AQ175" s="344"/>
      <c r="AR175" s="344"/>
      <c r="AS175" s="344"/>
      <c r="AT175" s="345"/>
    </row>
    <row r="176" customHeight="1" spans="1:46">
      <c r="A176" s="361" t="s">
        <v>80</v>
      </c>
      <c r="L176" s="362"/>
      <c r="M176" s="362"/>
      <c r="N176" s="362"/>
      <c r="O176" s="362"/>
      <c r="P176" s="496"/>
      <c r="Q176" s="496"/>
      <c r="R176" s="362"/>
      <c r="S176" s="496"/>
      <c r="T176" s="496"/>
      <c r="U176" s="496">
        <f>Interim!FE251</f>
        <v>666</v>
      </c>
      <c r="V176" s="496">
        <f>Interim!FM251</f>
        <v>696</v>
      </c>
      <c r="W176" s="432">
        <f>Interim!FU251</f>
        <v>907</v>
      </c>
      <c r="X176" s="395">
        <f>W176*(1+X177)</f>
        <v>952.041061569017</v>
      </c>
      <c r="Y176" s="395">
        <f>X176*(1+Y177)</f>
        <v>950.557421462334</v>
      </c>
      <c r="Z176" s="395">
        <f>Y176*(1+Z177)</f>
        <v>998.085292535451</v>
      </c>
      <c r="AA176" s="395">
        <f>Z176*(1+AA177)</f>
        <v>1047.98955716222</v>
      </c>
      <c r="AB176" s="395">
        <f>AA176*(1+AB177)</f>
        <v>1100.38903502033</v>
      </c>
      <c r="AC176" s="395"/>
      <c r="AE176" s="340"/>
      <c r="AQ176" s="344"/>
      <c r="AR176" s="344"/>
      <c r="AS176" s="344"/>
      <c r="AT176" s="345"/>
    </row>
    <row r="177" customHeight="1" spans="1:46">
      <c r="A177" s="361" t="s">
        <v>113</v>
      </c>
      <c r="L177" s="362"/>
      <c r="M177" s="362"/>
      <c r="N177" s="362"/>
      <c r="O177" s="362"/>
      <c r="P177" s="496"/>
      <c r="Q177" s="496"/>
      <c r="R177" s="362"/>
      <c r="S177" s="496"/>
      <c r="T177" s="496"/>
      <c r="U177" s="455">
        <f>Interim!FE252</f>
        <v>0</v>
      </c>
      <c r="V177" s="455">
        <f>V176/U176-1</f>
        <v>0.045045045045045</v>
      </c>
      <c r="W177" s="516">
        <f>W176/V176-1</f>
        <v>0.30316091954023</v>
      </c>
      <c r="X177" s="517">
        <f>X118+0.1%</f>
        <v>0.0496593843098311</v>
      </c>
      <c r="Y177" s="517">
        <f>Y118</f>
        <v>-0.00155837827439669</v>
      </c>
      <c r="Z177" s="517">
        <f>Z118</f>
        <v>0.05</v>
      </c>
      <c r="AA177" s="517">
        <f>AA118</f>
        <v>0.05</v>
      </c>
      <c r="AB177" s="517">
        <f>AB118</f>
        <v>0.05</v>
      </c>
      <c r="AC177" s="517"/>
      <c r="AE177" s="340"/>
      <c r="AQ177" s="344"/>
      <c r="AR177" s="344"/>
      <c r="AS177" s="344"/>
      <c r="AT177" s="345"/>
    </row>
    <row r="178" customHeight="1" spans="1:46">
      <c r="A178" s="361" t="s">
        <v>100</v>
      </c>
      <c r="L178" s="362"/>
      <c r="M178" s="362"/>
      <c r="N178" s="362"/>
      <c r="O178" s="362"/>
      <c r="P178" s="496"/>
      <c r="Q178" s="496"/>
      <c r="R178" s="362"/>
      <c r="S178" s="496"/>
      <c r="T178" s="496"/>
      <c r="U178" s="455">
        <f>Interim!FE253</f>
        <v>0</v>
      </c>
      <c r="V178" s="455">
        <f>Interim!FM253</f>
        <v>0</v>
      </c>
      <c r="W178" s="516">
        <f>Interim!FU253</f>
        <v>0.17</v>
      </c>
      <c r="X178" s="518">
        <f>X177-X119</f>
        <v>0.111</v>
      </c>
      <c r="Y178" s="518">
        <f>Y177-Y119</f>
        <v>0.05</v>
      </c>
      <c r="Z178" s="518">
        <f>Z177-Z119</f>
        <v>0.05</v>
      </c>
      <c r="AA178" s="518">
        <f>AA177-AA119</f>
        <v>0.05</v>
      </c>
      <c r="AB178" s="518">
        <f>AB177-AB119</f>
        <v>0.05</v>
      </c>
      <c r="AC178" s="518"/>
      <c r="AE178" s="340"/>
      <c r="AQ178" s="344"/>
      <c r="AR178" s="344"/>
      <c r="AS178" s="344"/>
      <c r="AT178" s="345"/>
    </row>
    <row r="179" customHeight="1" spans="1:46">
      <c r="A179" s="361" t="s">
        <v>82</v>
      </c>
      <c r="L179" s="362"/>
      <c r="M179" s="362"/>
      <c r="N179" s="362"/>
      <c r="O179" s="362"/>
      <c r="P179" s="496"/>
      <c r="Q179" s="496"/>
      <c r="R179" s="362"/>
      <c r="S179" s="496"/>
      <c r="T179" s="496"/>
      <c r="U179" s="496">
        <f>Interim!FE254</f>
        <v>77</v>
      </c>
      <c r="V179" s="496">
        <f>Interim!FM254</f>
        <v>80</v>
      </c>
      <c r="W179" s="432">
        <f>Interim!FU254</f>
        <v>100</v>
      </c>
      <c r="X179" s="395">
        <f>X175-X176</f>
        <v>103.958938430983</v>
      </c>
      <c r="Y179" s="395">
        <f>Y175-Y176</f>
        <v>103.796931079903</v>
      </c>
      <c r="Z179" s="395">
        <f>Z175-Z176</f>
        <v>108.986777633898</v>
      </c>
      <c r="AA179" s="395">
        <f>AA175-AA176</f>
        <v>114.436116515593</v>
      </c>
      <c r="AB179" s="395">
        <f>AB175-AB176</f>
        <v>120.157922341373</v>
      </c>
      <c r="AC179" s="395"/>
      <c r="AE179" s="340"/>
      <c r="AQ179" s="344"/>
      <c r="AR179" s="344"/>
      <c r="AS179" s="344"/>
      <c r="AT179" s="345"/>
    </row>
    <row r="180" customHeight="1" spans="1:46">
      <c r="A180" s="361" t="s">
        <v>113</v>
      </c>
      <c r="L180" s="362"/>
      <c r="M180" s="362"/>
      <c r="N180" s="362"/>
      <c r="O180" s="362"/>
      <c r="P180" s="496"/>
      <c r="Q180" s="496"/>
      <c r="R180" s="362"/>
      <c r="S180" s="496"/>
      <c r="T180" s="496"/>
      <c r="U180" s="455">
        <f>Interim!FE255</f>
        <v>0</v>
      </c>
      <c r="V180" s="455">
        <f t="shared" ref="V180:AB180" si="99">V179/U179-1</f>
        <v>0.0389610389610389</v>
      </c>
      <c r="W180" s="516">
        <f t="shared" si="99"/>
        <v>0.25</v>
      </c>
      <c r="X180" s="518">
        <f t="shared" si="99"/>
        <v>0.0395893843098316</v>
      </c>
      <c r="Y180" s="518">
        <f t="shared" si="99"/>
        <v>-0.00155837827439687</v>
      </c>
      <c r="Z180" s="518">
        <f t="shared" si="99"/>
        <v>0.0499999999999989</v>
      </c>
      <c r="AA180" s="518">
        <f t="shared" si="99"/>
        <v>0.0500000000000018</v>
      </c>
      <c r="AB180" s="518">
        <f t="shared" si="99"/>
        <v>0.0500000000000005</v>
      </c>
      <c r="AC180" s="518"/>
      <c r="AE180" s="340"/>
      <c r="AQ180" s="344"/>
      <c r="AR180" s="344"/>
      <c r="AS180" s="344"/>
      <c r="AT180" s="345"/>
    </row>
    <row r="181" customHeight="1" spans="1:46">
      <c r="A181" s="361" t="s">
        <v>100</v>
      </c>
      <c r="L181" s="362"/>
      <c r="M181" s="362"/>
      <c r="N181" s="362"/>
      <c r="O181" s="362"/>
      <c r="P181" s="496"/>
      <c r="Q181" s="496"/>
      <c r="R181" s="362"/>
      <c r="S181" s="496"/>
      <c r="T181" s="496"/>
      <c r="U181" s="455">
        <f>Interim!FE256</f>
        <v>0</v>
      </c>
      <c r="V181" s="455">
        <f>Interim!FM256</f>
        <v>-0.01</v>
      </c>
      <c r="W181" s="516">
        <f>Interim!FU256</f>
        <v>0.12</v>
      </c>
      <c r="X181" s="518">
        <f>X180-X119</f>
        <v>0.100930000000001</v>
      </c>
      <c r="Y181" s="518">
        <f>-Y119</f>
        <v>0.0515583782743967</v>
      </c>
      <c r="Z181" s="518">
        <f>-Z119</f>
        <v>0</v>
      </c>
      <c r="AA181" s="518">
        <f>-AA119</f>
        <v>0</v>
      </c>
      <c r="AB181" s="518">
        <f>-AB119</f>
        <v>0</v>
      </c>
      <c r="AC181" s="518"/>
      <c r="AE181" s="340"/>
      <c r="AQ181" s="344"/>
      <c r="AR181" s="344"/>
      <c r="AS181" s="344"/>
      <c r="AT181" s="345"/>
    </row>
    <row r="182" customHeight="1" spans="1:46">
      <c r="A182" s="444" t="s">
        <v>115</v>
      </c>
      <c r="L182" s="362"/>
      <c r="M182" s="362"/>
      <c r="N182" s="362"/>
      <c r="O182" s="362"/>
      <c r="P182" s="496"/>
      <c r="Q182" s="496"/>
      <c r="R182" s="362"/>
      <c r="S182" s="496"/>
      <c r="T182" s="496"/>
      <c r="U182" s="515">
        <f>Interim!FE257</f>
        <v>1098</v>
      </c>
      <c r="V182" s="515">
        <f>Interim!FM257</f>
        <v>739</v>
      </c>
      <c r="W182" s="357">
        <f t="shared" ref="W182:AB182" si="100">W122</f>
        <v>679</v>
      </c>
      <c r="X182" s="356">
        <f t="shared" si="100"/>
        <v>660</v>
      </c>
      <c r="Y182" s="356">
        <f t="shared" si="100"/>
        <v>606.719744910413</v>
      </c>
      <c r="Z182" s="356">
        <f t="shared" si="100"/>
        <v>606.719744910413</v>
      </c>
      <c r="AA182" s="356">
        <f t="shared" si="100"/>
        <v>637.055732155934</v>
      </c>
      <c r="AB182" s="356">
        <f t="shared" si="100"/>
        <v>668.908518763731</v>
      </c>
      <c r="AC182" s="356"/>
      <c r="AE182" s="340"/>
      <c r="AQ182" s="344"/>
      <c r="AR182" s="344"/>
      <c r="AS182" s="344"/>
      <c r="AT182" s="345"/>
    </row>
    <row r="183" customHeight="1" spans="1:46">
      <c r="A183" s="361" t="s">
        <v>80</v>
      </c>
      <c r="L183" s="362"/>
      <c r="M183" s="362"/>
      <c r="N183" s="362"/>
      <c r="O183" s="362"/>
      <c r="P183" s="496"/>
      <c r="Q183" s="496"/>
      <c r="R183" s="362"/>
      <c r="S183" s="496"/>
      <c r="T183" s="496"/>
      <c r="U183" s="496">
        <f>Interim!FE258</f>
        <v>872</v>
      </c>
      <c r="V183" s="496">
        <f>Interim!FM258</f>
        <v>570</v>
      </c>
      <c r="W183" s="432">
        <f>Interim!FU258</f>
        <v>514</v>
      </c>
      <c r="X183" s="395">
        <f>W183*(1+X184)</f>
        <v>479.057083946981</v>
      </c>
      <c r="Y183" s="395">
        <f>X183*(1+Y184)</f>
        <v>442.779212343733</v>
      </c>
      <c r="Z183" s="395">
        <f>Y183*(1+Z184)</f>
        <v>443.886160374592</v>
      </c>
      <c r="AA183" s="395">
        <f>Z183*(1+AA184)</f>
        <v>467.190183794258</v>
      </c>
      <c r="AB183" s="395">
        <f>AA183*(1+AB184)</f>
        <v>491.717668443457</v>
      </c>
      <c r="AC183" s="395"/>
      <c r="AE183" s="340"/>
      <c r="AQ183" s="344"/>
      <c r="AR183" s="344"/>
      <c r="AS183" s="344"/>
      <c r="AT183" s="345"/>
    </row>
    <row r="184" customHeight="1" spans="1:46">
      <c r="A184" s="361" t="s">
        <v>113</v>
      </c>
      <c r="L184" s="362"/>
      <c r="M184" s="362"/>
      <c r="N184" s="362"/>
      <c r="O184" s="362"/>
      <c r="P184" s="496"/>
      <c r="Q184" s="496"/>
      <c r="R184" s="362"/>
      <c r="S184" s="496"/>
      <c r="T184" s="496"/>
      <c r="U184" s="455">
        <f>Interim!FE259</f>
        <v>0</v>
      </c>
      <c r="V184" s="455">
        <f>V183/U183-1</f>
        <v>-0.346330275229358</v>
      </c>
      <c r="W184" s="516">
        <f>W183/V183-1</f>
        <v>-0.0982456140350877</v>
      </c>
      <c r="X184" s="517">
        <f>X123-4%</f>
        <v>-0.0679823269513991</v>
      </c>
      <c r="Y184" s="517">
        <f>Y123+0.5%</f>
        <v>-0.0757276592266463</v>
      </c>
      <c r="Z184" s="517">
        <f>Z123+0.25%</f>
        <v>0.0025</v>
      </c>
      <c r="AA184" s="517">
        <f>AA123+0.25%</f>
        <v>0.0525</v>
      </c>
      <c r="AB184" s="517">
        <f>AB123+0.25%</f>
        <v>0.0525</v>
      </c>
      <c r="AC184" s="517"/>
      <c r="AE184" s="340"/>
      <c r="AQ184" s="344"/>
      <c r="AR184" s="344"/>
      <c r="AS184" s="344"/>
      <c r="AT184" s="345"/>
    </row>
    <row r="185" customHeight="1" spans="1:46">
      <c r="A185" s="361" t="s">
        <v>100</v>
      </c>
      <c r="L185" s="362"/>
      <c r="M185" s="362"/>
      <c r="N185" s="362"/>
      <c r="O185" s="362"/>
      <c r="P185" s="496"/>
      <c r="Q185" s="496"/>
      <c r="R185" s="362"/>
      <c r="S185" s="496"/>
      <c r="T185" s="496"/>
      <c r="U185" s="455">
        <f>Interim!FE260</f>
        <v>0</v>
      </c>
      <c r="V185" s="455">
        <f>Interim!FM260</f>
        <v>-0.13</v>
      </c>
      <c r="W185" s="516">
        <f>Interim!FU260</f>
        <v>0.01</v>
      </c>
      <c r="X185" s="518">
        <f>X184-X124</f>
        <v>-0.14</v>
      </c>
      <c r="Y185" s="518">
        <f>Y184-Y124</f>
        <v>-0.045</v>
      </c>
      <c r="Z185" s="518">
        <f>Z184-Z124</f>
        <v>0.0025</v>
      </c>
      <c r="AA185" s="518">
        <f>AA184-AA124</f>
        <v>0.0525</v>
      </c>
      <c r="AB185" s="518">
        <f>AB184-AB124</f>
        <v>0.0525</v>
      </c>
      <c r="AC185" s="518"/>
      <c r="AF185" s="340"/>
      <c r="AK185" s="342"/>
      <c r="AQ185" s="344"/>
      <c r="AR185" s="344"/>
      <c r="AS185" s="344"/>
      <c r="AT185" s="345"/>
    </row>
    <row r="186" customHeight="1" spans="1:46">
      <c r="A186" s="361" t="s">
        <v>82</v>
      </c>
      <c r="L186" s="362"/>
      <c r="M186" s="362"/>
      <c r="N186" s="362"/>
      <c r="O186" s="362"/>
      <c r="P186" s="496"/>
      <c r="Q186" s="496"/>
      <c r="R186" s="362"/>
      <c r="S186" s="496"/>
      <c r="T186" s="496"/>
      <c r="U186" s="496">
        <f>Interim!FE261</f>
        <v>226</v>
      </c>
      <c r="V186" s="496">
        <f>Interim!FM261</f>
        <v>170</v>
      </c>
      <c r="W186" s="432">
        <f>Interim!FU261</f>
        <v>166</v>
      </c>
      <c r="X186" s="395">
        <f>X182-X183</f>
        <v>180.942916053019</v>
      </c>
      <c r="Y186" s="395">
        <f>Y182-Y183</f>
        <v>163.94053256668</v>
      </c>
      <c r="Z186" s="395">
        <f>Z182-Z183</f>
        <v>162.833584535821</v>
      </c>
      <c r="AA186" s="395">
        <f>AA182-AA183</f>
        <v>169.865548361676</v>
      </c>
      <c r="AB186" s="395">
        <f>AB182-AB183</f>
        <v>177.190850320274</v>
      </c>
      <c r="AC186" s="395"/>
      <c r="AF186" s="340"/>
      <c r="AK186" s="342"/>
      <c r="AQ186" s="344"/>
      <c r="AR186" s="344"/>
      <c r="AS186" s="344"/>
      <c r="AT186" s="345"/>
    </row>
    <row r="187" customHeight="1" spans="1:46">
      <c r="A187" s="361" t="s">
        <v>113</v>
      </c>
      <c r="L187" s="362"/>
      <c r="M187" s="362"/>
      <c r="N187" s="362"/>
      <c r="O187" s="362"/>
      <c r="P187" s="496"/>
      <c r="Q187" s="496"/>
      <c r="R187" s="362"/>
      <c r="S187" s="496"/>
      <c r="T187" s="496"/>
      <c r="U187" s="455">
        <f>Interim!FE262</f>
        <v>0</v>
      </c>
      <c r="V187" s="455">
        <f t="shared" ref="V187:AB187" si="101">V186/U186-1</f>
        <v>-0.247787610619469</v>
      </c>
      <c r="W187" s="516">
        <f t="shared" si="101"/>
        <v>-0.0235294117647059</v>
      </c>
      <c r="X187" s="518">
        <f t="shared" si="101"/>
        <v>0.0900175665844529</v>
      </c>
      <c r="Y187" s="518">
        <f t="shared" si="101"/>
        <v>-0.0939654552784854</v>
      </c>
      <c r="Z187" s="518">
        <f t="shared" si="101"/>
        <v>-0.00675213148041398</v>
      </c>
      <c r="AA187" s="518">
        <f t="shared" si="101"/>
        <v>0.043184972227321</v>
      </c>
      <c r="AB187" s="518">
        <f t="shared" si="101"/>
        <v>0.0431241180407058</v>
      </c>
      <c r="AC187" s="518"/>
      <c r="AF187" s="334"/>
      <c r="AK187" s="342"/>
      <c r="AQ187" s="344"/>
      <c r="AR187" s="344"/>
      <c r="AS187" s="344"/>
      <c r="AT187" s="345"/>
    </row>
    <row r="188" customHeight="1" spans="1:46">
      <c r="A188" s="361" t="s">
        <v>100</v>
      </c>
      <c r="L188" s="362"/>
      <c r="M188" s="362"/>
      <c r="N188" s="362"/>
      <c r="O188" s="362"/>
      <c r="P188" s="496"/>
      <c r="Q188" s="496"/>
      <c r="R188" s="362"/>
      <c r="S188" s="496"/>
      <c r="T188" s="496"/>
      <c r="U188" s="455">
        <f>Interim!FE263</f>
        <v>0</v>
      </c>
      <c r="V188" s="455">
        <f>Interim!FM263</f>
        <v>-0.01</v>
      </c>
      <c r="W188" s="516">
        <f>Interim!FU263</f>
        <v>0.09</v>
      </c>
      <c r="X188" s="518">
        <f>X187-X124</f>
        <v>0.017999893535852</v>
      </c>
      <c r="Y188" s="518">
        <f>Y187-Y124</f>
        <v>-0.0632377960518391</v>
      </c>
      <c r="Z188" s="518">
        <f>Z187-Z124</f>
        <v>-0.00675213148041398</v>
      </c>
      <c r="AA188" s="518">
        <f>AA187-AA124</f>
        <v>0.043184972227321</v>
      </c>
      <c r="AB188" s="518">
        <f>AB187-AB124</f>
        <v>0.0431241180407058</v>
      </c>
      <c r="AC188" s="518"/>
      <c r="AF188" s="340"/>
      <c r="AJ188" s="369"/>
      <c r="AK188" s="342"/>
      <c r="AQ188" s="344"/>
      <c r="AR188" s="344"/>
      <c r="AS188" s="344"/>
      <c r="AT188" s="345"/>
    </row>
    <row r="189" customHeight="1" spans="1:46">
      <c r="A189" s="444" t="s">
        <v>116</v>
      </c>
      <c r="L189" s="362"/>
      <c r="M189" s="362"/>
      <c r="N189" s="362"/>
      <c r="O189" s="362"/>
      <c r="P189" s="496"/>
      <c r="Q189" s="496"/>
      <c r="R189" s="362"/>
      <c r="S189" s="496"/>
      <c r="T189" s="496"/>
      <c r="U189" s="515">
        <f>Interim!FE264</f>
        <v>1925</v>
      </c>
      <c r="V189" s="515">
        <f>Interim!FM264</f>
        <v>2388</v>
      </c>
      <c r="W189" s="357">
        <f t="shared" ref="W189:AB189" si="102">W127</f>
        <v>2685</v>
      </c>
      <c r="X189" s="356">
        <f t="shared" si="102"/>
        <v>2907</v>
      </c>
      <c r="Y189" s="356">
        <f t="shared" si="102"/>
        <v>3015.12247174809</v>
      </c>
      <c r="Z189" s="356">
        <f t="shared" si="102"/>
        <v>3165.87859533549</v>
      </c>
      <c r="AA189" s="356">
        <f t="shared" si="102"/>
        <v>3324.17252510227</v>
      </c>
      <c r="AB189" s="356">
        <f t="shared" si="102"/>
        <v>3490.38115135738</v>
      </c>
      <c r="AC189" s="356"/>
      <c r="AE189" s="340"/>
      <c r="AQ189" s="344"/>
      <c r="AR189" s="344"/>
      <c r="AS189" s="344"/>
      <c r="AT189" s="345"/>
    </row>
    <row r="190" customHeight="1" spans="1:46">
      <c r="A190" s="361" t="s">
        <v>80</v>
      </c>
      <c r="L190" s="362"/>
      <c r="M190" s="362"/>
      <c r="N190" s="362"/>
      <c r="O190" s="362"/>
      <c r="P190" s="496"/>
      <c r="Q190" s="496"/>
      <c r="R190" s="362"/>
      <c r="S190" s="496"/>
      <c r="T190" s="496"/>
      <c r="U190" s="496">
        <f>Interim!FE265</f>
        <v>1693</v>
      </c>
      <c r="V190" s="496">
        <f>Interim!FM265</f>
        <v>2091</v>
      </c>
      <c r="W190" s="432">
        <f>Interim!FU265</f>
        <v>2385</v>
      </c>
      <c r="X190" s="395">
        <f>W190*(1+X191)</f>
        <v>2606.04553072626</v>
      </c>
      <c r="Y190" s="395">
        <f>X190*(1+Y191)</f>
        <v>2716.00457993826</v>
      </c>
      <c r="Z190" s="395">
        <f>Y190*(1+Z191)</f>
        <v>2865.38483183486</v>
      </c>
      <c r="AA190" s="395">
        <f>Z190*(1+AA191)</f>
        <v>3022.98099758578</v>
      </c>
      <c r="AB190" s="395">
        <f>AA190*(1+AB191)</f>
        <v>3189.244952453</v>
      </c>
      <c r="AC190" s="395"/>
      <c r="AE190" s="340"/>
      <c r="AQ190" s="344"/>
      <c r="AR190" s="344"/>
      <c r="AS190" s="344"/>
      <c r="AT190" s="345"/>
    </row>
    <row r="191" customHeight="1" spans="1:46">
      <c r="A191" s="361" t="s">
        <v>113</v>
      </c>
      <c r="L191" s="362"/>
      <c r="M191" s="362"/>
      <c r="N191" s="362"/>
      <c r="O191" s="362"/>
      <c r="P191" s="496"/>
      <c r="Q191" s="496"/>
      <c r="R191" s="362"/>
      <c r="S191" s="496"/>
      <c r="T191" s="496"/>
      <c r="U191" s="455">
        <f>Interim!FE266</f>
        <v>0</v>
      </c>
      <c r="V191" s="455">
        <f>V190/U190-1</f>
        <v>0.235085646780862</v>
      </c>
      <c r="W191" s="516">
        <f>W190/V190-1</f>
        <v>0.140602582496413</v>
      </c>
      <c r="X191" s="517">
        <f>X128+1%</f>
        <v>0.0926815642458101</v>
      </c>
      <c r="Y191" s="517">
        <f>Y128+0.5%</f>
        <v>0.0421938327306804</v>
      </c>
      <c r="Z191" s="517">
        <f>Z128+0.5%</f>
        <v>0.055</v>
      </c>
      <c r="AA191" s="517">
        <f>AA128+0.5%</f>
        <v>0.055</v>
      </c>
      <c r="AB191" s="517">
        <f>AB128+0.5%</f>
        <v>0.055</v>
      </c>
      <c r="AC191" s="517"/>
      <c r="AE191" s="340"/>
      <c r="AQ191" s="344"/>
      <c r="AR191" s="344"/>
      <c r="AS191" s="344"/>
      <c r="AT191" s="345"/>
    </row>
    <row r="192" customHeight="1" spans="1:46">
      <c r="A192" s="361" t="s">
        <v>100</v>
      </c>
      <c r="L192" s="362"/>
      <c r="M192" s="362"/>
      <c r="N192" s="362"/>
      <c r="O192" s="362"/>
      <c r="P192" s="496"/>
      <c r="Q192" s="496"/>
      <c r="R192" s="362"/>
      <c r="S192" s="496"/>
      <c r="T192" s="496"/>
      <c r="U192" s="455">
        <f>Interim!FE267</f>
        <v>0</v>
      </c>
      <c r="V192" s="455">
        <f>Interim!FM267</f>
        <v>0.13</v>
      </c>
      <c r="W192" s="516">
        <f>Interim!FU267</f>
        <v>0.18</v>
      </c>
      <c r="X192" s="518">
        <f>X191-X129</f>
        <v>0.15</v>
      </c>
      <c r="Y192" s="518">
        <f>Y191-Y129</f>
        <v>0.0844358701848723</v>
      </c>
      <c r="Z192" s="518">
        <f>Z191-Z129</f>
        <v>0.055</v>
      </c>
      <c r="AA192" s="518">
        <f>AA191-AA129</f>
        <v>0.055</v>
      </c>
      <c r="AB192" s="518">
        <f>AB191-AB129</f>
        <v>0.055</v>
      </c>
      <c r="AC192" s="518"/>
      <c r="AE192" s="340"/>
      <c r="AQ192" s="344"/>
      <c r="AR192" s="344"/>
      <c r="AS192" s="344"/>
      <c r="AT192" s="345"/>
    </row>
    <row r="193" customHeight="1" spans="1:46">
      <c r="A193" s="361" t="s">
        <v>82</v>
      </c>
      <c r="L193" s="362"/>
      <c r="M193" s="362"/>
      <c r="N193" s="362"/>
      <c r="O193" s="362"/>
      <c r="P193" s="496"/>
      <c r="Q193" s="496"/>
      <c r="R193" s="362"/>
      <c r="S193" s="496"/>
      <c r="T193" s="496"/>
      <c r="U193" s="496">
        <f>Interim!FE268</f>
        <v>232</v>
      </c>
      <c r="V193" s="496">
        <f>Interim!FM268</f>
        <v>298</v>
      </c>
      <c r="W193" s="432">
        <f>Interim!FU268</f>
        <v>301</v>
      </c>
      <c r="X193" s="395">
        <f>X189-X190</f>
        <v>300.954469273743</v>
      </c>
      <c r="Y193" s="395">
        <f>Y189-Y190</f>
        <v>299.117891809831</v>
      </c>
      <c r="Z193" s="395">
        <f>Z189-Z190</f>
        <v>300.493763500631</v>
      </c>
      <c r="AA193" s="395">
        <f>AA189-AA190</f>
        <v>301.191527516489</v>
      </c>
      <c r="AB193" s="395">
        <f>AB189-AB190</f>
        <v>301.136198904384</v>
      </c>
      <c r="AC193" s="395"/>
      <c r="AE193" s="340"/>
      <c r="AQ193" s="344"/>
      <c r="AR193" s="344"/>
      <c r="AS193" s="344"/>
      <c r="AT193" s="345"/>
    </row>
    <row r="194" customHeight="1" spans="1:46">
      <c r="A194" s="361" t="s">
        <v>113</v>
      </c>
      <c r="L194" s="362"/>
      <c r="M194" s="362"/>
      <c r="N194" s="362"/>
      <c r="O194" s="362"/>
      <c r="P194" s="496"/>
      <c r="Q194" s="496"/>
      <c r="R194" s="362"/>
      <c r="S194" s="496"/>
      <c r="T194" s="496"/>
      <c r="U194" s="455">
        <f>Interim!FE269</f>
        <v>0</v>
      </c>
      <c r="V194" s="455">
        <f t="shared" ref="V194:AB194" si="103">V193/U193-1</f>
        <v>0.28448275862069</v>
      </c>
      <c r="W194" s="516">
        <f t="shared" si="103"/>
        <v>0.0100671140939597</v>
      </c>
      <c r="X194" s="518">
        <f t="shared" si="103"/>
        <v>-0.00015126487128525</v>
      </c>
      <c r="Y194" s="518">
        <f t="shared" si="103"/>
        <v>-0.00610250935413703</v>
      </c>
      <c r="Z194" s="518">
        <f t="shared" si="103"/>
        <v>0.00459976393413219</v>
      </c>
      <c r="AA194" s="518">
        <f t="shared" si="103"/>
        <v>0.00232205822752807</v>
      </c>
      <c r="AB194" s="518">
        <f t="shared" si="103"/>
        <v>-0.00018369909857896</v>
      </c>
      <c r="AC194" s="518"/>
      <c r="AE194" s="340"/>
      <c r="AQ194" s="344"/>
      <c r="AR194" s="344"/>
      <c r="AS194" s="344"/>
      <c r="AT194" s="345"/>
    </row>
    <row r="195" customHeight="1" spans="1:46">
      <c r="A195" s="361" t="s">
        <v>100</v>
      </c>
      <c r="L195" s="362"/>
      <c r="M195" s="362"/>
      <c r="N195" s="362"/>
      <c r="O195" s="362"/>
      <c r="P195" s="496"/>
      <c r="Q195" s="496"/>
      <c r="R195" s="362"/>
      <c r="S195" s="496"/>
      <c r="T195" s="496"/>
      <c r="U195" s="455">
        <f>Interim!FE270</f>
        <v>0</v>
      </c>
      <c r="V195" s="455">
        <f>Interim!FM270</f>
        <v>0.15</v>
      </c>
      <c r="W195" s="516">
        <f>Interim!FU270</f>
        <v>0.03</v>
      </c>
      <c r="X195" s="518">
        <f>X194-X129</f>
        <v>0.0571671708829047</v>
      </c>
      <c r="Y195" s="518">
        <f>Y194-Y129</f>
        <v>0.0361395281000548</v>
      </c>
      <c r="Z195" s="518">
        <f>Z194-Z129</f>
        <v>0.00459976393413219</v>
      </c>
      <c r="AA195" s="518">
        <f>AA194-AA129</f>
        <v>0.00232205822752807</v>
      </c>
      <c r="AB195" s="518">
        <f>AB194-AB129</f>
        <v>-0.00018369909857896</v>
      </c>
      <c r="AC195" s="518"/>
      <c r="AE195" s="340"/>
      <c r="AQ195" s="344"/>
      <c r="AR195" s="344"/>
      <c r="AS195" s="344"/>
      <c r="AT195" s="345"/>
    </row>
    <row r="196" customHeight="1" spans="1:46">
      <c r="A196" s="444" t="s">
        <v>117</v>
      </c>
      <c r="L196" s="362"/>
      <c r="M196" s="362"/>
      <c r="N196" s="362"/>
      <c r="O196" s="362"/>
      <c r="P196" s="496"/>
      <c r="Q196" s="496"/>
      <c r="R196" s="362"/>
      <c r="S196" s="496"/>
      <c r="T196" s="496"/>
      <c r="U196" s="515">
        <f>Interim!FE271</f>
        <v>11604</v>
      </c>
      <c r="V196" s="515">
        <f t="shared" ref="V196:AB196" si="104">V148+V155+V162+V169+V176+V183+V190</f>
        <v>13708</v>
      </c>
      <c r="W196" s="357">
        <f t="shared" si="104"/>
        <v>16051</v>
      </c>
      <c r="X196" s="356">
        <f t="shared" si="104"/>
        <v>18663.9048417263</v>
      </c>
      <c r="Y196" s="356">
        <f t="shared" si="104"/>
        <v>19941.2127925691</v>
      </c>
      <c r="Z196" s="356">
        <f t="shared" si="104"/>
        <v>21600.4311955848</v>
      </c>
      <c r="AA196" s="356">
        <f t="shared" si="104"/>
        <v>23211.5981263369</v>
      </c>
      <c r="AB196" s="356">
        <f t="shared" si="104"/>
        <v>24956.3536267057</v>
      </c>
      <c r="AC196" s="356"/>
      <c r="AE196" s="350"/>
      <c r="AF196" s="367"/>
      <c r="AG196" s="463"/>
      <c r="AH196" s="463"/>
      <c r="AI196" s="463"/>
      <c r="AJ196" s="463"/>
      <c r="AK196" s="463"/>
      <c r="AQ196" s="344"/>
      <c r="AR196" s="344"/>
      <c r="AS196" s="344"/>
      <c r="AT196" s="345"/>
    </row>
    <row r="197" customHeight="1" spans="1:46">
      <c r="A197" s="361" t="s">
        <v>113</v>
      </c>
      <c r="L197" s="362"/>
      <c r="M197" s="362"/>
      <c r="N197" s="362"/>
      <c r="O197" s="362"/>
      <c r="P197" s="496"/>
      <c r="Q197" s="496"/>
      <c r="R197" s="362"/>
      <c r="S197" s="496"/>
      <c r="T197" s="496"/>
      <c r="U197" s="455">
        <f>Interim!FE272</f>
        <v>0</v>
      </c>
      <c r="V197" s="455">
        <f t="shared" ref="V197:AB197" si="105">V196/U196-1</f>
        <v>0.181316787314719</v>
      </c>
      <c r="W197" s="516">
        <f t="shared" si="105"/>
        <v>0.170922089290925</v>
      </c>
      <c r="X197" s="520">
        <f t="shared" si="105"/>
        <v>0.16278766691959</v>
      </c>
      <c r="Y197" s="520">
        <f t="shared" si="105"/>
        <v>0.0684373372922031</v>
      </c>
      <c r="Z197" s="520">
        <f t="shared" si="105"/>
        <v>0.083205491073941</v>
      </c>
      <c r="AA197" s="520">
        <f t="shared" si="105"/>
        <v>0.0745895725952654</v>
      </c>
      <c r="AB197" s="520">
        <f t="shared" si="105"/>
        <v>0.0751674008343746</v>
      </c>
      <c r="AC197" s="520"/>
      <c r="AD197" s="362"/>
      <c r="AE197" s="362"/>
      <c r="AF197" s="362"/>
      <c r="AG197" s="362"/>
      <c r="AH197" s="362"/>
      <c r="AI197" s="362"/>
      <c r="AJ197" s="362"/>
      <c r="AK197" s="362"/>
      <c r="AQ197" s="344"/>
      <c r="AR197" s="344"/>
      <c r="AS197" s="344"/>
      <c r="AT197" s="345"/>
    </row>
    <row r="198" customHeight="1" spans="1:46">
      <c r="A198" s="361" t="s">
        <v>100</v>
      </c>
      <c r="L198" s="362"/>
      <c r="M198" s="362"/>
      <c r="N198" s="362"/>
      <c r="O198" s="362"/>
      <c r="P198" s="496"/>
      <c r="Q198" s="496"/>
      <c r="R198" s="362"/>
      <c r="S198" s="496"/>
      <c r="T198" s="496"/>
      <c r="U198" s="455">
        <f>Interim!FE273</f>
        <v>0</v>
      </c>
      <c r="V198" s="455">
        <f>Interim!FM273</f>
        <v>0.12</v>
      </c>
      <c r="W198" s="516">
        <f>Interim!FU273</f>
        <v>0.22</v>
      </c>
      <c r="X198" s="521">
        <f>(W148*X150+W155*X157+W162*X164+W169*X171+W176*X178+W183*X185+W190*X192)/W196</f>
        <v>0.189882219176375</v>
      </c>
      <c r="Y198" s="521">
        <f>Y197-Y143</f>
        <v>0.0980707141878826</v>
      </c>
      <c r="Z198" s="521">
        <f>Z197-Z143</f>
        <v>0.083205491073941</v>
      </c>
      <c r="AA198" s="521">
        <f>AA197-AA143</f>
        <v>0.0745895725952654</v>
      </c>
      <c r="AB198" s="521">
        <f>AB197-AB143</f>
        <v>0.0751674008343743</v>
      </c>
      <c r="AC198" s="521"/>
      <c r="AD198" s="362"/>
      <c r="AE198" s="340"/>
      <c r="AG198" s="362"/>
      <c r="AH198" s="362"/>
      <c r="AI198" s="362"/>
      <c r="AJ198" s="362"/>
      <c r="AK198" s="362"/>
      <c r="AQ198" s="344"/>
      <c r="AR198" s="344"/>
      <c r="AS198" s="344"/>
      <c r="AT198" s="345"/>
    </row>
    <row r="199" customHeight="1" spans="1:46">
      <c r="A199" s="361" t="s">
        <v>118</v>
      </c>
      <c r="L199" s="362"/>
      <c r="M199" s="362"/>
      <c r="N199" s="362"/>
      <c r="O199" s="362"/>
      <c r="P199" s="496"/>
      <c r="Q199" s="496"/>
      <c r="R199" s="362"/>
      <c r="S199" s="496"/>
      <c r="T199" s="496"/>
      <c r="U199" s="455">
        <f>Interim!FE274</f>
        <v>0.79845868024496</v>
      </c>
      <c r="V199" s="455">
        <f>V196/V$137</f>
        <v>0.810404966006503</v>
      </c>
      <c r="W199" s="516">
        <f t="shared" ref="W199:AB199" si="106">W196/W137</f>
        <v>0.832089165370658</v>
      </c>
      <c r="X199" s="520">
        <f t="shared" si="106"/>
        <v>0.879626017613646</v>
      </c>
      <c r="Y199" s="520">
        <f t="shared" si="106"/>
        <v>0.886321201868476</v>
      </c>
      <c r="Z199" s="520">
        <f t="shared" si="106"/>
        <v>0.890028849352925</v>
      </c>
      <c r="AA199" s="520">
        <f t="shared" si="106"/>
        <v>0.89310577970781</v>
      </c>
      <c r="AB199" s="520">
        <f t="shared" si="106"/>
        <v>0.896200041545364</v>
      </c>
      <c r="AC199" s="520"/>
      <c r="AD199" s="362"/>
      <c r="AQ199" s="344"/>
      <c r="AR199" s="344"/>
      <c r="AS199" s="344"/>
      <c r="AT199" s="345"/>
    </row>
    <row r="200" customHeight="1" spans="1:46">
      <c r="A200" s="444" t="s">
        <v>82</v>
      </c>
      <c r="L200" s="362"/>
      <c r="M200" s="362"/>
      <c r="N200" s="362"/>
      <c r="O200" s="362"/>
      <c r="P200" s="496"/>
      <c r="Q200" s="496"/>
      <c r="R200" s="362"/>
      <c r="S200" s="496"/>
      <c r="T200" s="496"/>
      <c r="U200" s="515">
        <f>Interim!FE275</f>
        <v>1570</v>
      </c>
      <c r="V200" s="515">
        <f>V151+V158+V165+V172+V179+V186+V193</f>
        <v>1742</v>
      </c>
      <c r="W200" s="357">
        <f t="shared" ref="W200:AB200" si="107">W137-W196-W204</f>
        <v>1764</v>
      </c>
      <c r="X200" s="356">
        <f t="shared" si="107"/>
        <v>1813.09515827366</v>
      </c>
      <c r="Y200" s="356">
        <f t="shared" si="107"/>
        <v>1804.53910420628</v>
      </c>
      <c r="Z200" s="356">
        <f t="shared" si="107"/>
        <v>1878.17056844334</v>
      </c>
      <c r="AA200" s="356">
        <f t="shared" si="107"/>
        <v>1947.85742063725</v>
      </c>
      <c r="AB200" s="356">
        <f t="shared" si="107"/>
        <v>2018.69076183625</v>
      </c>
      <c r="AC200" s="356"/>
      <c r="AD200" s="362"/>
      <c r="AE200" s="350"/>
      <c r="AF200" s="367"/>
      <c r="AJ200" s="362"/>
      <c r="AQ200" s="344"/>
      <c r="AR200" s="344"/>
      <c r="AS200" s="344"/>
      <c r="AT200" s="345"/>
    </row>
    <row r="201" customHeight="1" spans="1:46">
      <c r="A201" s="361" t="s">
        <v>113</v>
      </c>
      <c r="L201" s="362"/>
      <c r="M201" s="362"/>
      <c r="N201" s="362"/>
      <c r="O201" s="362"/>
      <c r="P201" s="496"/>
      <c r="Q201" s="496"/>
      <c r="R201" s="362"/>
      <c r="S201" s="496"/>
      <c r="T201" s="496"/>
      <c r="U201" s="455">
        <f>Interim!FE276</f>
        <v>0</v>
      </c>
      <c r="V201" s="455">
        <f t="shared" ref="V201:AB201" si="108">V200/U200-1</f>
        <v>0.109554140127389</v>
      </c>
      <c r="W201" s="516">
        <f t="shared" si="108"/>
        <v>0.0126291618828933</v>
      </c>
      <c r="X201" s="520">
        <f t="shared" si="108"/>
        <v>0.0278317223773603</v>
      </c>
      <c r="Y201" s="520">
        <f t="shared" si="108"/>
        <v>-0.00471903199803836</v>
      </c>
      <c r="Z201" s="520">
        <f t="shared" si="108"/>
        <v>0.040803473898366</v>
      </c>
      <c r="AA201" s="520">
        <f t="shared" si="108"/>
        <v>0.0371035801352499</v>
      </c>
      <c r="AB201" s="520">
        <f t="shared" si="108"/>
        <v>0.0363647464380767</v>
      </c>
      <c r="AC201" s="520"/>
      <c r="AD201" s="362"/>
      <c r="AE201" s="362"/>
      <c r="AF201" s="362"/>
      <c r="AQ201" s="344"/>
      <c r="AR201" s="344"/>
      <c r="AS201" s="344"/>
      <c r="AT201" s="345"/>
    </row>
    <row r="202" customHeight="1" spans="1:46">
      <c r="A202" s="361" t="s">
        <v>100</v>
      </c>
      <c r="L202" s="362"/>
      <c r="M202" s="362"/>
      <c r="N202" s="362"/>
      <c r="O202" s="362"/>
      <c r="P202" s="496"/>
      <c r="Q202" s="496"/>
      <c r="R202" s="362"/>
      <c r="S202" s="496"/>
      <c r="T202" s="496"/>
      <c r="U202" s="455">
        <f>Interim!FE277</f>
        <v>0</v>
      </c>
      <c r="V202" s="455">
        <f>Interim!FM277</f>
        <v>0.06</v>
      </c>
      <c r="W202" s="516">
        <f>Interim!FU277</f>
        <v>0.06</v>
      </c>
      <c r="X202" s="521">
        <f>(W151*X153+W158*X160+W165*X167+W173*X175+W179*X181+W186*X188+W193*X195)/W200</f>
        <v>0.13065805020441</v>
      </c>
      <c r="Y202" s="520">
        <f>Y201-Y143</f>
        <v>0.0249143448976411</v>
      </c>
      <c r="Z202" s="520">
        <f>Z201-Z143</f>
        <v>0.040803473898366</v>
      </c>
      <c r="AA202" s="520">
        <f>AA201-AA143</f>
        <v>0.0371035801352499</v>
      </c>
      <c r="AB202" s="520">
        <f>AB201-AB143</f>
        <v>0.0363647464380765</v>
      </c>
      <c r="AC202" s="520"/>
      <c r="AD202" s="362"/>
      <c r="AE202" s="340"/>
      <c r="AQ202" s="344"/>
      <c r="AR202" s="344"/>
      <c r="AS202" s="344"/>
      <c r="AT202" s="345"/>
    </row>
    <row r="203" customHeight="1" spans="1:46">
      <c r="A203" s="361" t="s">
        <v>118</v>
      </c>
      <c r="L203" s="362"/>
      <c r="M203" s="362"/>
      <c r="N203" s="362"/>
      <c r="O203" s="362"/>
      <c r="P203" s="496"/>
      <c r="Q203" s="496"/>
      <c r="R203" s="362"/>
      <c r="S203" s="496"/>
      <c r="T203" s="496"/>
      <c r="U203" s="455">
        <f>Interim!FE278</f>
        <v>0.108030000688089</v>
      </c>
      <c r="V203" s="455">
        <f t="shared" ref="V203:AB203" si="109">V200/V$137</f>
        <v>0.102985515814366</v>
      </c>
      <c r="W203" s="516">
        <f t="shared" si="109"/>
        <v>0.0914463452566096</v>
      </c>
      <c r="X203" s="520">
        <f t="shared" si="109"/>
        <v>0.0854508039529486</v>
      </c>
      <c r="Y203" s="520">
        <f t="shared" si="109"/>
        <v>0.0802058171835352</v>
      </c>
      <c r="Z203" s="520">
        <f t="shared" si="109"/>
        <v>0.0773885472370497</v>
      </c>
      <c r="AA203" s="520">
        <f t="shared" si="109"/>
        <v>0.0749471325045903</v>
      </c>
      <c r="AB203" s="520">
        <f t="shared" si="109"/>
        <v>0.0724925913330914</v>
      </c>
      <c r="AC203" s="520"/>
      <c r="AE203" s="340"/>
      <c r="AQ203" s="344"/>
      <c r="AR203" s="344"/>
      <c r="AS203" s="344"/>
      <c r="AT203" s="345"/>
    </row>
    <row r="204" customHeight="1" spans="1:46">
      <c r="A204" s="444" t="s">
        <v>70</v>
      </c>
      <c r="L204" s="362"/>
      <c r="M204" s="362"/>
      <c r="N204" s="362"/>
      <c r="O204" s="362"/>
      <c r="P204" s="496"/>
      <c r="Q204" s="496"/>
      <c r="R204" s="362"/>
      <c r="S204" s="496"/>
      <c r="T204" s="496"/>
      <c r="U204" s="496">
        <f>Interim!FE279</f>
        <v>1358</v>
      </c>
      <c r="V204" s="496">
        <f>Interim!FM279</f>
        <v>1467</v>
      </c>
      <c r="W204" s="357">
        <f t="shared" ref="W204:AB204" si="110">W132</f>
        <v>1475</v>
      </c>
      <c r="X204" s="356">
        <f t="shared" si="110"/>
        <v>741</v>
      </c>
      <c r="Y204" s="356">
        <f t="shared" si="110"/>
        <v>753.103766984596</v>
      </c>
      <c r="Z204" s="356">
        <f t="shared" si="110"/>
        <v>790.758955333826</v>
      </c>
      <c r="AA204" s="356">
        <f t="shared" si="110"/>
        <v>830.296903100517</v>
      </c>
      <c r="AB204" s="356">
        <f t="shared" si="110"/>
        <v>871.811748255543</v>
      </c>
      <c r="AC204" s="356"/>
      <c r="AE204" s="340"/>
      <c r="AQ204" s="344"/>
      <c r="AR204" s="344"/>
      <c r="AS204" s="344"/>
      <c r="AT204" s="345"/>
    </row>
    <row r="205" customHeight="1" spans="1:46">
      <c r="A205" s="361" t="s">
        <v>113</v>
      </c>
      <c r="L205" s="362"/>
      <c r="M205" s="362"/>
      <c r="N205" s="362"/>
      <c r="O205" s="362"/>
      <c r="P205" s="496"/>
      <c r="Q205" s="496"/>
      <c r="R205" s="362"/>
      <c r="S205" s="496"/>
      <c r="T205" s="496"/>
      <c r="U205" s="455"/>
      <c r="V205" s="455">
        <f t="shared" ref="V205:AB205" si="111">V204/U204-1</f>
        <v>0.0802650957290132</v>
      </c>
      <c r="W205" s="522">
        <f t="shared" si="111"/>
        <v>0.00545330606680294</v>
      </c>
      <c r="X205" s="362">
        <f t="shared" si="111"/>
        <v>-0.497627118644068</v>
      </c>
      <c r="Y205" s="362">
        <f t="shared" si="111"/>
        <v>0.0163343684002646</v>
      </c>
      <c r="Z205" s="362">
        <f t="shared" si="111"/>
        <v>0.05</v>
      </c>
      <c r="AA205" s="362">
        <f t="shared" si="111"/>
        <v>0.05</v>
      </c>
      <c r="AB205" s="362">
        <f t="shared" si="111"/>
        <v>0.05</v>
      </c>
      <c r="AC205" s="362"/>
      <c r="AE205" s="340"/>
      <c r="AQ205" s="344"/>
      <c r="AR205" s="344"/>
      <c r="AS205" s="344"/>
      <c r="AT205" s="345"/>
    </row>
    <row r="206" customHeight="1" spans="1:46">
      <c r="A206" s="361" t="s">
        <v>119</v>
      </c>
      <c r="L206" s="362"/>
      <c r="M206" s="362"/>
      <c r="N206" s="362"/>
      <c r="O206" s="362"/>
      <c r="P206" s="496"/>
      <c r="Q206" s="496"/>
      <c r="R206" s="362"/>
      <c r="S206" s="362"/>
      <c r="T206" s="496"/>
      <c r="U206" s="496">
        <f>Interim!FE280</f>
        <v>914</v>
      </c>
      <c r="V206" s="496">
        <f>Interim!FM280</f>
        <v>902</v>
      </c>
      <c r="W206" s="432">
        <f>Interim!FU280</f>
        <v>892</v>
      </c>
      <c r="X206" s="523">
        <f>W206*(1+X207)</f>
        <v>381.216610169492</v>
      </c>
      <c r="Y206" s="523">
        <f>X206*(1+Y207)</f>
        <v>388.396584245724</v>
      </c>
      <c r="Z206" s="523">
        <f>Y206*(1+Z207)</f>
        <v>407.81641345801</v>
      </c>
      <c r="AA206" s="523">
        <f>Z206*(1+AA207)</f>
        <v>428.207234130911</v>
      </c>
      <c r="AB206" s="523">
        <f>AA206*(1+AB207)</f>
        <v>449.617595837456</v>
      </c>
      <c r="AC206" s="523"/>
      <c r="AE206" s="340"/>
      <c r="AQ206" s="344"/>
      <c r="AR206" s="344"/>
      <c r="AS206" s="344"/>
      <c r="AT206" s="345"/>
    </row>
    <row r="207" customHeight="1" spans="1:46">
      <c r="A207" s="361" t="s">
        <v>113</v>
      </c>
      <c r="L207" s="362"/>
      <c r="M207" s="362"/>
      <c r="N207" s="362"/>
      <c r="O207" s="362"/>
      <c r="P207" s="496"/>
      <c r="Q207" s="496"/>
      <c r="R207" s="362"/>
      <c r="S207" s="496"/>
      <c r="T207" s="519"/>
      <c r="U207" s="455">
        <f>Interim!FE281</f>
        <v>0</v>
      </c>
      <c r="V207" s="455">
        <f>V206/U206-1</f>
        <v>-0.013129102844639</v>
      </c>
      <c r="W207" s="516">
        <f t="shared" ref="W207:AB207" si="112">W208+W134</f>
        <v>-0.0245466939331971</v>
      </c>
      <c r="X207" s="520">
        <f t="shared" si="112"/>
        <v>-0.572627118644068</v>
      </c>
      <c r="Y207" s="520">
        <f t="shared" si="112"/>
        <v>0.0188343684002645</v>
      </c>
      <c r="Z207" s="520">
        <f t="shared" si="112"/>
        <v>0.05</v>
      </c>
      <c r="AA207" s="520">
        <f t="shared" si="112"/>
        <v>0.05</v>
      </c>
      <c r="AB207" s="520">
        <f t="shared" si="112"/>
        <v>0.05</v>
      </c>
      <c r="AC207" s="520"/>
      <c r="AD207" s="444"/>
      <c r="AE207" s="340"/>
      <c r="AQ207" s="344"/>
      <c r="AR207" s="344"/>
      <c r="AS207" s="344"/>
      <c r="AT207" s="345"/>
    </row>
    <row r="208" customHeight="1" spans="1:46">
      <c r="A208" s="361" t="s">
        <v>100</v>
      </c>
      <c r="L208" s="362"/>
      <c r="M208" s="362"/>
      <c r="N208" s="362"/>
      <c r="O208" s="362"/>
      <c r="P208" s="496"/>
      <c r="Q208" s="496"/>
      <c r="R208" s="362"/>
      <c r="S208" s="496"/>
      <c r="T208" s="496"/>
      <c r="U208" s="455">
        <f>Interim!FE282</f>
        <v>0</v>
      </c>
      <c r="V208" s="455">
        <f>Interim!FM282</f>
        <v>-0.13</v>
      </c>
      <c r="W208" s="516">
        <f>W135-3%</f>
        <v>-0.0203421949556919</v>
      </c>
      <c r="X208" s="520">
        <v>0.025</v>
      </c>
      <c r="Y208" s="520">
        <f>Y135+0.25%</f>
        <v>0.0525</v>
      </c>
      <c r="Z208" s="520">
        <f>Z135</f>
        <v>0.05</v>
      </c>
      <c r="AA208" s="520">
        <f>AA135</f>
        <v>0.05</v>
      </c>
      <c r="AB208" s="520">
        <f>AB135</f>
        <v>0.05</v>
      </c>
      <c r="AC208" s="520"/>
      <c r="AD208" s="524"/>
      <c r="AE208" s="340"/>
      <c r="AQ208" s="344"/>
      <c r="AR208" s="344"/>
      <c r="AS208" s="344"/>
      <c r="AT208" s="345"/>
    </row>
    <row r="209" customHeight="1" spans="1:48">
      <c r="A209" s="361" t="s">
        <v>120</v>
      </c>
      <c r="L209" s="362"/>
      <c r="M209" s="362"/>
      <c r="N209" s="362"/>
      <c r="O209" s="362"/>
      <c r="P209" s="496"/>
      <c r="Q209" s="496"/>
      <c r="R209" s="362"/>
      <c r="S209" s="496"/>
      <c r="T209" s="496"/>
      <c r="U209" s="496">
        <f>Interim!FE284</f>
        <v>269</v>
      </c>
      <c r="V209" s="496">
        <f>Interim!FM284</f>
        <v>317</v>
      </c>
      <c r="W209" s="432">
        <f>Interim!FU284</f>
        <v>271</v>
      </c>
      <c r="X209" s="395">
        <f>X204-X206-X211</f>
        <v>56.3333898305085</v>
      </c>
      <c r="Y209" s="395">
        <f>Y204-Y206-Y211</f>
        <v>46.0846827388723</v>
      </c>
      <c r="Z209" s="395">
        <f>Z204-Z206-Z211</f>
        <v>48.3889168758159</v>
      </c>
      <c r="AA209" s="395">
        <f>AA204-AA206-AA211</f>
        <v>50.8083627196067</v>
      </c>
      <c r="AB209" s="395">
        <f>AB204-AB206-AB211</f>
        <v>53.3487808555871</v>
      </c>
      <c r="AC209" s="395"/>
      <c r="AE209" s="340"/>
      <c r="AQ209" s="344"/>
      <c r="AR209" s="344"/>
      <c r="AS209" s="344"/>
      <c r="AT209" s="345"/>
    </row>
    <row r="210" customHeight="1" spans="1:48">
      <c r="A210" s="361" t="s">
        <v>113</v>
      </c>
      <c r="L210" s="362"/>
      <c r="M210" s="362"/>
      <c r="N210" s="362"/>
      <c r="O210" s="362"/>
      <c r="P210" s="496"/>
      <c r="Q210" s="496"/>
      <c r="R210" s="362"/>
      <c r="S210" s="496"/>
      <c r="T210" s="362"/>
      <c r="U210" s="455">
        <f>Interim!FE285</f>
        <v>0</v>
      </c>
      <c r="V210" s="455">
        <f>Interim!FM285</f>
        <v>0.178438661710037</v>
      </c>
      <c r="W210" s="516">
        <f>Interim!FU285</f>
        <v>-0.145110410094637</v>
      </c>
      <c r="X210" s="518">
        <f>X209/W209-1</f>
        <v>-0.792127712802552</v>
      </c>
      <c r="Y210" s="518">
        <f>Y209/X209-1</f>
        <v>-0.18192952922719</v>
      </c>
      <c r="Z210" s="518">
        <f>Z209/Y209-1</f>
        <v>0.0500000000000007</v>
      </c>
      <c r="AA210" s="518">
        <f>AA209/Z209-1</f>
        <v>0.0500000000000003</v>
      </c>
      <c r="AB210" s="518">
        <f>AB209/AA209-1</f>
        <v>0.0500000000000005</v>
      </c>
      <c r="AC210" s="518"/>
      <c r="AD210" s="524"/>
      <c r="AE210" s="340"/>
      <c r="AQ210" s="344"/>
      <c r="AR210" s="344"/>
      <c r="AS210" s="344"/>
      <c r="AT210" s="345"/>
    </row>
    <row r="211" customHeight="1" spans="1:48">
      <c r="A211" s="361" t="s">
        <v>121</v>
      </c>
      <c r="L211" s="362"/>
      <c r="M211" s="362"/>
      <c r="N211" s="362"/>
      <c r="O211" s="362"/>
      <c r="P211" s="496"/>
      <c r="Q211" s="496"/>
      <c r="R211" s="362"/>
      <c r="S211" s="496"/>
      <c r="T211" s="496"/>
      <c r="U211" s="496">
        <f>Interim!FE287</f>
        <v>176</v>
      </c>
      <c r="V211" s="496">
        <f>Interim!FM287</f>
        <v>242</v>
      </c>
      <c r="W211" s="432">
        <f>Interim!FU287</f>
        <v>289</v>
      </c>
      <c r="X211" s="395">
        <f>W211*1.05</f>
        <v>303.45</v>
      </c>
      <c r="Y211" s="395">
        <f>X211*1.05</f>
        <v>318.6225</v>
      </c>
      <c r="Z211" s="395">
        <f>Y211*1.05</f>
        <v>334.553625</v>
      </c>
      <c r="AA211" s="395">
        <f>Z211*1.05</f>
        <v>351.28130625</v>
      </c>
      <c r="AB211" s="395">
        <f>AA211*1.05</f>
        <v>368.8453715625</v>
      </c>
      <c r="AC211" s="395"/>
      <c r="AE211" s="340"/>
      <c r="AQ211" s="344"/>
      <c r="AR211" s="344"/>
      <c r="AS211" s="344"/>
      <c r="AT211" s="345"/>
    </row>
    <row r="212" customHeight="1" spans="1:48">
      <c r="A212" s="361" t="s">
        <v>118</v>
      </c>
      <c r="L212" s="362"/>
      <c r="M212" s="362"/>
      <c r="N212" s="362"/>
      <c r="O212" s="362"/>
      <c r="P212" s="496"/>
      <c r="Q212" s="496"/>
      <c r="R212" s="362"/>
      <c r="S212" s="496"/>
      <c r="T212" s="496"/>
      <c r="U212" s="455">
        <f>Interim!FE289</f>
        <v>0.0934425101493154</v>
      </c>
      <c r="V212" s="455">
        <f t="shared" ref="V212:AB212" si="113">V204/V137</f>
        <v>0.0867277564292048</v>
      </c>
      <c r="W212" s="516">
        <f t="shared" si="113"/>
        <v>0.076464489372732</v>
      </c>
      <c r="X212" s="518">
        <f t="shared" si="113"/>
        <v>0.0349231784334056</v>
      </c>
      <c r="Y212" s="518">
        <f t="shared" si="113"/>
        <v>0.0334729809479891</v>
      </c>
      <c r="Z212" s="518">
        <f t="shared" si="113"/>
        <v>0.0325826034100256</v>
      </c>
      <c r="AA212" s="518">
        <f t="shared" si="113"/>
        <v>0.0319470877875996</v>
      </c>
      <c r="AB212" s="518">
        <f t="shared" si="113"/>
        <v>0.0313073671215441</v>
      </c>
      <c r="AC212" s="518"/>
      <c r="AE212" s="340"/>
      <c r="AQ212" s="344"/>
      <c r="AR212" s="344"/>
      <c r="AS212" s="344"/>
      <c r="AT212" s="345"/>
    </row>
    <row r="213" customHeight="1" spans="1:48">
      <c r="A213" s="361" t="s">
        <v>122</v>
      </c>
      <c r="L213" s="362"/>
      <c r="M213" s="362"/>
      <c r="N213" s="362"/>
      <c r="O213" s="362"/>
      <c r="P213" s="496"/>
      <c r="Q213" s="496"/>
      <c r="R213" s="362"/>
      <c r="S213" s="496"/>
      <c r="T213" s="496"/>
      <c r="U213" s="455"/>
      <c r="V213" s="496">
        <v>853</v>
      </c>
      <c r="W213" s="432">
        <v>808</v>
      </c>
      <c r="X213" s="395">
        <f>W213*(1+X214)</f>
        <v>767.6</v>
      </c>
      <c r="Y213" s="395">
        <f>X213*(1+Y214)</f>
        <v>767.6</v>
      </c>
      <c r="Z213" s="395">
        <f>Y213*(1+Z214)</f>
        <v>786.79</v>
      </c>
      <c r="AA213" s="395">
        <f>Z213*(1+AA214)</f>
        <v>806.45975</v>
      </c>
      <c r="AB213" s="395">
        <f>AA213*(1+AB214)</f>
        <v>826.62124375</v>
      </c>
      <c r="AC213" s="395"/>
      <c r="AE213" s="340"/>
      <c r="AQ213" s="344"/>
      <c r="AR213" s="344"/>
      <c r="AS213" s="344"/>
      <c r="AT213" s="345"/>
    </row>
    <row r="214" customHeight="1" spans="1:48">
      <c r="A214" s="361" t="s">
        <v>61</v>
      </c>
      <c r="L214" s="362"/>
      <c r="M214" s="362"/>
      <c r="N214" s="362"/>
      <c r="O214" s="362"/>
      <c r="P214" s="496"/>
      <c r="Q214" s="496"/>
      <c r="R214" s="362"/>
      <c r="S214" s="496"/>
      <c r="T214" s="496"/>
      <c r="U214" s="455"/>
      <c r="V214" s="455"/>
      <c r="W214" s="516">
        <f>W213/V213-1</f>
        <v>-0.0527549824150059</v>
      </c>
      <c r="X214" s="518">
        <v>-0.05</v>
      </c>
      <c r="Y214" s="518">
        <v>0</v>
      </c>
      <c r="Z214" s="518">
        <v>0.025</v>
      </c>
      <c r="AA214" s="518">
        <v>0.025</v>
      </c>
      <c r="AB214" s="518">
        <v>0.025</v>
      </c>
      <c r="AC214" s="518"/>
      <c r="AE214" s="340"/>
      <c r="AQ214" s="344"/>
      <c r="AR214" s="344"/>
      <c r="AS214" s="344"/>
      <c r="AT214" s="345"/>
    </row>
    <row r="215" customHeight="1" spans="1:48">
      <c r="A215" s="361" t="s">
        <v>123</v>
      </c>
      <c r="L215" s="362"/>
      <c r="M215" s="362"/>
      <c r="N215" s="362"/>
      <c r="O215" s="362"/>
      <c r="P215" s="496"/>
      <c r="Q215" s="496"/>
      <c r="R215" s="362"/>
      <c r="S215" s="496"/>
      <c r="T215" s="496"/>
      <c r="U215" s="455"/>
      <c r="V215" s="455">
        <f>V213/V$137</f>
        <v>0.0504286136565179</v>
      </c>
      <c r="W215" s="516">
        <f t="shared" ref="W215:AB215" si="114">W213/W137</f>
        <v>0.0418869880767237</v>
      </c>
      <c r="X215" s="518">
        <f t="shared" si="114"/>
        <v>0.0361768309925535</v>
      </c>
      <c r="Y215" s="518">
        <f t="shared" si="114"/>
        <v>0.0341172907400979</v>
      </c>
      <c r="Z215" s="518">
        <f t="shared" si="114"/>
        <v>0.032419065714092</v>
      </c>
      <c r="AA215" s="518">
        <f t="shared" si="114"/>
        <v>0.0310299127146046</v>
      </c>
      <c r="AB215" s="518">
        <f t="shared" si="114"/>
        <v>0.0296845446282779</v>
      </c>
      <c r="AC215" s="518"/>
      <c r="AE215" s="340"/>
      <c r="AQ215" s="344"/>
      <c r="AR215" s="344"/>
      <c r="AS215" s="344"/>
      <c r="AT215" s="345"/>
    </row>
    <row r="216" customHeight="1" spans="1:48">
      <c r="A216" s="361" t="s">
        <v>124</v>
      </c>
      <c r="L216" s="362"/>
      <c r="M216" s="362"/>
      <c r="N216" s="362"/>
      <c r="O216" s="362"/>
      <c r="P216" s="496"/>
      <c r="Q216" s="496"/>
      <c r="R216" s="362"/>
      <c r="S216" s="496"/>
      <c r="T216" s="496"/>
      <c r="U216" s="455"/>
      <c r="V216" s="496">
        <f t="shared" ref="V216:AB216" si="115">V204-V213</f>
        <v>614</v>
      </c>
      <c r="W216" s="432">
        <f t="shared" si="115"/>
        <v>667</v>
      </c>
      <c r="X216" s="395">
        <f t="shared" si="115"/>
        <v>-26.5999999999999</v>
      </c>
      <c r="Y216" s="395">
        <f t="shared" si="115"/>
        <v>-14.4962330154038</v>
      </c>
      <c r="Z216" s="395">
        <f t="shared" si="115"/>
        <v>3.9689553338261</v>
      </c>
      <c r="AA216" s="395">
        <f t="shared" si="115"/>
        <v>23.8371531005175</v>
      </c>
      <c r="AB216" s="395">
        <f t="shared" si="115"/>
        <v>45.1905045055435</v>
      </c>
      <c r="AC216" s="395"/>
      <c r="AE216" s="340"/>
      <c r="AQ216" s="344"/>
      <c r="AR216" s="344"/>
      <c r="AS216" s="344"/>
      <c r="AT216" s="345"/>
    </row>
    <row r="217" customHeight="1" spans="1:48">
      <c r="A217" s="361" t="s">
        <v>61</v>
      </c>
      <c r="L217" s="362"/>
      <c r="M217" s="362"/>
      <c r="N217" s="362"/>
      <c r="O217" s="362"/>
      <c r="P217" s="496"/>
      <c r="Q217" s="496"/>
      <c r="R217" s="362"/>
      <c r="S217" s="496"/>
      <c r="T217" s="496"/>
      <c r="U217" s="455"/>
      <c r="V217" s="455"/>
      <c r="W217" s="516">
        <f t="shared" ref="W217:AB217" si="116">W216/V216-1</f>
        <v>0.0863192182410424</v>
      </c>
      <c r="X217" s="518">
        <f t="shared" si="116"/>
        <v>-1.03988005997001</v>
      </c>
      <c r="Y217" s="518">
        <f t="shared" si="116"/>
        <v>-0.455028834007372</v>
      </c>
      <c r="Z217" s="518">
        <f t="shared" si="116"/>
        <v>-1.27379218653623</v>
      </c>
      <c r="AA217" s="518">
        <f t="shared" si="116"/>
        <v>5.00590107360526</v>
      </c>
      <c r="AB217" s="518">
        <f t="shared" si="116"/>
        <v>0.89580124417468</v>
      </c>
      <c r="AC217" s="518"/>
      <c r="AE217" s="340"/>
      <c r="AQ217" s="344"/>
      <c r="AR217" s="344"/>
      <c r="AS217" s="344"/>
      <c r="AT217" s="345"/>
    </row>
    <row r="218" customHeight="1" spans="1:48">
      <c r="A218" s="361" t="s">
        <v>123</v>
      </c>
      <c r="L218" s="362"/>
      <c r="M218" s="362"/>
      <c r="N218" s="362"/>
      <c r="O218" s="362"/>
      <c r="P218" s="496"/>
      <c r="Q218" s="496"/>
      <c r="R218" s="362"/>
      <c r="S218" s="496"/>
      <c r="T218" s="496"/>
      <c r="U218" s="455"/>
      <c r="V218" s="455">
        <f t="shared" ref="V218:AB218" si="117">V216/V$137</f>
        <v>0.036299142772687</v>
      </c>
      <c r="W218" s="516">
        <f t="shared" si="117"/>
        <v>0.0345775012960083</v>
      </c>
      <c r="X218" s="518">
        <f t="shared" si="117"/>
        <v>-0.00125365255914789</v>
      </c>
      <c r="Y218" s="518">
        <f t="shared" si="117"/>
        <v>-0.000644309792108832</v>
      </c>
      <c r="Z218" s="518">
        <f t="shared" si="117"/>
        <v>0.000163537695933609</v>
      </c>
      <c r="AA218" s="518">
        <f t="shared" si="117"/>
        <v>0.000917175072994934</v>
      </c>
      <c r="AB218" s="518">
        <f t="shared" si="117"/>
        <v>0.00162282249326622</v>
      </c>
      <c r="AC218" s="518"/>
      <c r="AE218" s="340"/>
      <c r="AQ218" s="344"/>
      <c r="AR218" s="344"/>
      <c r="AS218" s="344"/>
      <c r="AT218" s="345"/>
    </row>
    <row r="219" customHeight="1" spans="1:48">
      <c r="A219" s="525"/>
      <c r="B219" s="525"/>
      <c r="C219" s="526"/>
      <c r="D219" s="525"/>
      <c r="E219" s="525"/>
      <c r="F219" s="525"/>
      <c r="G219" s="525"/>
      <c r="H219" s="525"/>
      <c r="I219" s="525"/>
      <c r="J219" s="525"/>
      <c r="K219" s="525"/>
      <c r="L219" s="527"/>
      <c r="M219" s="527"/>
      <c r="N219" s="527"/>
      <c r="O219" s="527"/>
      <c r="P219" s="527"/>
      <c r="Q219" s="527"/>
      <c r="R219" s="527"/>
      <c r="S219" s="527"/>
      <c r="T219" s="527"/>
      <c r="U219" s="527"/>
      <c r="V219" s="528"/>
      <c r="W219" s="485"/>
      <c r="X219" s="384"/>
      <c r="Y219" s="529"/>
      <c r="Z219" s="529"/>
      <c r="AA219" s="529"/>
      <c r="AB219" s="529"/>
      <c r="AC219" s="529"/>
      <c r="AQ219" s="530"/>
      <c r="AR219" s="530"/>
      <c r="AS219" s="530"/>
      <c r="AT219" s="345"/>
    </row>
    <row r="220" customHeight="1" spans="1:48">
      <c r="A220" s="489" t="s">
        <v>1262</v>
      </c>
      <c r="B220" s="490"/>
      <c r="C220" s="490"/>
      <c r="D220" s="490"/>
      <c r="E220" s="490"/>
      <c r="F220" s="490"/>
      <c r="G220" s="490"/>
      <c r="H220" s="490"/>
      <c r="I220" s="490"/>
      <c r="J220" s="490"/>
      <c r="K220" s="490"/>
      <c r="L220" s="491"/>
      <c r="M220" s="491"/>
      <c r="N220" s="491"/>
      <c r="O220" s="491"/>
      <c r="P220" s="492"/>
      <c r="Q220" s="492"/>
      <c r="R220" s="491"/>
      <c r="S220" s="492"/>
      <c r="T220" s="492"/>
      <c r="U220" s="492"/>
      <c r="V220" s="492"/>
      <c r="W220" s="493"/>
      <c r="X220" s="494"/>
      <c r="Y220" s="494"/>
      <c r="Z220" s="494"/>
      <c r="AA220" s="494"/>
      <c r="AB220" s="494"/>
      <c r="AC220" s="494"/>
      <c r="AD220" s="495"/>
      <c r="AF220" s="461"/>
      <c r="AG220" s="463"/>
      <c r="AH220" s="463"/>
      <c r="AI220" s="463"/>
      <c r="AJ220" s="463"/>
      <c r="AK220" s="463"/>
      <c r="AL220" s="463"/>
      <c r="AM220" s="466"/>
      <c r="AO220" s="333"/>
      <c r="AP220" s="333"/>
      <c r="AQ220" s="344"/>
      <c r="AR220" s="497"/>
      <c r="AS220" s="508"/>
      <c r="AT220" s="513"/>
      <c r="AU220" s="508"/>
      <c r="AV220" s="513"/>
    </row>
    <row r="221" hidden="1" customHeight="1" outlineLevel="1" spans="1:48">
      <c r="A221" s="531" t="s">
        <v>112</v>
      </c>
      <c r="B221" s="525"/>
      <c r="C221" s="526"/>
      <c r="D221" s="525"/>
      <c r="E221" s="525"/>
      <c r="F221" s="525"/>
      <c r="G221" s="525"/>
      <c r="H221" s="525"/>
      <c r="I221" s="525"/>
      <c r="J221" s="525"/>
      <c r="K221" s="525"/>
      <c r="L221" s="527"/>
      <c r="M221" s="527"/>
      <c r="N221" s="527"/>
      <c r="O221" s="527"/>
      <c r="P221" s="527"/>
      <c r="Q221" s="527"/>
      <c r="R221" s="527"/>
      <c r="S221" s="527"/>
      <c r="T221" s="527"/>
      <c r="U221" s="532"/>
      <c r="V221" s="532"/>
      <c r="W221" s="533"/>
      <c r="X221" s="532"/>
      <c r="Y221" s="532"/>
      <c r="Z221" s="532"/>
      <c r="AA221" s="533"/>
      <c r="AB221" s="533"/>
      <c r="AC221" s="532"/>
      <c r="AK221" s="342"/>
      <c r="AL221" s="342"/>
      <c r="AQ221" s="530"/>
      <c r="AR221" s="534"/>
      <c r="AS221" s="535"/>
      <c r="AT221" s="498"/>
      <c r="AU221" s="535"/>
      <c r="AV221" s="498"/>
    </row>
    <row r="222" hidden="1" customHeight="1" outlineLevel="1" spans="1:48">
      <c r="A222" s="361" t="s">
        <v>126</v>
      </c>
      <c r="B222" s="525"/>
      <c r="C222" s="526"/>
      <c r="D222" s="525"/>
      <c r="E222" s="525"/>
      <c r="F222" s="525"/>
      <c r="G222" s="525"/>
      <c r="H222" s="525"/>
      <c r="I222" s="525"/>
      <c r="J222" s="525"/>
      <c r="K222" s="525"/>
      <c r="L222" s="527"/>
      <c r="M222" s="527"/>
      <c r="N222" s="527"/>
      <c r="O222" s="527"/>
      <c r="P222" s="527"/>
      <c r="Q222" s="527"/>
      <c r="R222" s="527"/>
      <c r="S222" s="527"/>
      <c r="T222" s="527"/>
      <c r="U222" s="395">
        <f>Interim!FE293</f>
        <v>2070</v>
      </c>
      <c r="V222" s="395">
        <f>Interim!FM293</f>
        <v>2382</v>
      </c>
      <c r="W222" s="432">
        <f>Interim!FU293</f>
        <v>2941</v>
      </c>
      <c r="X222" s="395"/>
      <c r="Y222" s="395"/>
      <c r="Z222" s="395"/>
      <c r="AA222" s="395"/>
      <c r="AB222" s="395"/>
      <c r="AC222" s="395"/>
      <c r="AE222" s="340"/>
      <c r="AQ222" s="530"/>
      <c r="AR222" s="534"/>
      <c r="AS222" s="535"/>
      <c r="AT222" s="498"/>
      <c r="AU222" s="535"/>
      <c r="AV222" s="498"/>
    </row>
    <row r="223" hidden="1" customHeight="1" outlineLevel="1" spans="1:48">
      <c r="A223" s="444" t="s">
        <v>127</v>
      </c>
      <c r="B223" s="525"/>
      <c r="C223" s="526"/>
      <c r="D223" s="525"/>
      <c r="E223" s="525"/>
      <c r="F223" s="525"/>
      <c r="G223" s="525"/>
      <c r="H223" s="525"/>
      <c r="I223" s="525"/>
      <c r="J223" s="525"/>
      <c r="K223" s="525"/>
      <c r="L223" s="527"/>
      <c r="M223" s="527"/>
      <c r="N223" s="527"/>
      <c r="O223" s="527"/>
      <c r="P223" s="527"/>
      <c r="Q223" s="527"/>
      <c r="R223" s="527"/>
      <c r="S223" s="527"/>
      <c r="T223" s="527"/>
      <c r="U223" s="356">
        <f>Interim!FE294</f>
        <v>1723</v>
      </c>
      <c r="V223" s="356">
        <f>Interim!FM294</f>
        <v>2157</v>
      </c>
      <c r="W223" s="357">
        <f>Interim!FU294</f>
        <v>2350</v>
      </c>
      <c r="X223" s="356"/>
      <c r="Y223" s="356"/>
      <c r="Z223" s="356"/>
      <c r="AA223" s="356"/>
      <c r="AB223" s="356"/>
      <c r="AC223" s="356"/>
      <c r="AE223" s="340"/>
      <c r="AK223" s="342"/>
      <c r="AL223" s="342"/>
      <c r="AQ223" s="530"/>
      <c r="AR223" s="534"/>
      <c r="AS223" s="535"/>
      <c r="AT223" s="498"/>
      <c r="AU223" s="535"/>
      <c r="AV223" s="498"/>
    </row>
    <row r="224" hidden="1" customHeight="1" outlineLevel="1" spans="1:48">
      <c r="A224" s="361" t="s">
        <v>61</v>
      </c>
      <c r="B224" s="525"/>
      <c r="C224" s="526"/>
      <c r="D224" s="525"/>
      <c r="E224" s="525"/>
      <c r="F224" s="525"/>
      <c r="G224" s="525"/>
      <c r="H224" s="525"/>
      <c r="I224" s="525"/>
      <c r="J224" s="525"/>
      <c r="K224" s="525"/>
      <c r="L224" s="527"/>
      <c r="M224" s="527"/>
      <c r="N224" s="527"/>
      <c r="O224" s="527"/>
      <c r="P224" s="527"/>
      <c r="Q224" s="527"/>
      <c r="R224" s="527"/>
      <c r="S224" s="527"/>
      <c r="T224" s="527"/>
      <c r="U224" s="363">
        <f>Interim!FE295</f>
        <v>0</v>
      </c>
      <c r="V224" s="363">
        <f>Interim!FM295</f>
        <v>0.251886244921648</v>
      </c>
      <c r="W224" s="383">
        <f>Interim!FU295</f>
        <v>0.0894761242466389</v>
      </c>
      <c r="X224" s="363"/>
      <c r="Y224" s="363"/>
      <c r="Z224" s="363"/>
      <c r="AA224" s="363"/>
      <c r="AB224" s="363"/>
      <c r="AC224" s="363"/>
      <c r="AE224" s="340"/>
      <c r="AG224" s="362"/>
      <c r="AH224" s="362"/>
      <c r="AI224" s="362"/>
      <c r="AJ224" s="362"/>
      <c r="AK224" s="362"/>
      <c r="AL224" s="362"/>
      <c r="AQ224" s="530"/>
      <c r="AR224" s="534"/>
      <c r="AS224" s="535"/>
      <c r="AT224" s="498"/>
      <c r="AU224" s="535"/>
      <c r="AV224" s="498"/>
    </row>
    <row r="225" hidden="1" customHeight="1" outlineLevel="1" spans="1:48">
      <c r="A225" s="361" t="s">
        <v>128</v>
      </c>
      <c r="B225" s="525"/>
      <c r="C225" s="526"/>
      <c r="D225" s="525"/>
      <c r="E225" s="525"/>
      <c r="F225" s="525"/>
      <c r="G225" s="525"/>
      <c r="H225" s="525"/>
      <c r="I225" s="525"/>
      <c r="J225" s="525"/>
      <c r="K225" s="525"/>
      <c r="L225" s="527"/>
      <c r="M225" s="527"/>
      <c r="N225" s="527"/>
      <c r="O225" s="527"/>
      <c r="P225" s="527"/>
      <c r="Q225" s="527"/>
      <c r="R225" s="527"/>
      <c r="S225" s="527"/>
      <c r="T225" s="527"/>
      <c r="U225" s="363">
        <f>Interim!FE296</f>
        <v>0.454257843395729</v>
      </c>
      <c r="V225" s="363">
        <f>Interim!FM296</f>
        <v>0.475214805023133</v>
      </c>
      <c r="W225" s="383">
        <f>Interim!FU296</f>
        <v>0.444150444150444</v>
      </c>
      <c r="X225" s="363"/>
      <c r="Y225" s="363"/>
      <c r="Z225" s="363"/>
      <c r="AA225" s="363"/>
      <c r="AB225" s="363"/>
      <c r="AC225" s="363"/>
      <c r="AE225" s="340"/>
      <c r="AK225" s="342"/>
      <c r="AL225" s="342"/>
      <c r="AM225" s="342"/>
      <c r="AQ225" s="530"/>
      <c r="AR225" s="534"/>
      <c r="AS225" s="535"/>
      <c r="AT225" s="498"/>
      <c r="AU225" s="535"/>
      <c r="AV225" s="498"/>
    </row>
    <row r="226" hidden="1" customHeight="1" outlineLevel="1" spans="1:48">
      <c r="A226" s="361" t="s">
        <v>129</v>
      </c>
      <c r="B226" s="525"/>
      <c r="C226" s="526"/>
      <c r="D226" s="525"/>
      <c r="E226" s="525"/>
      <c r="F226" s="525"/>
      <c r="G226" s="525"/>
      <c r="H226" s="525"/>
      <c r="I226" s="525"/>
      <c r="J226" s="525"/>
      <c r="K226" s="525"/>
      <c r="L226" s="527"/>
      <c r="M226" s="527"/>
      <c r="N226" s="527"/>
      <c r="O226" s="527"/>
      <c r="P226" s="527"/>
      <c r="Q226" s="527"/>
      <c r="R226" s="527"/>
      <c r="S226" s="527"/>
      <c r="T226" s="527"/>
      <c r="U226" s="395">
        <f>Interim!FE297</f>
        <v>1056</v>
      </c>
      <c r="V226" s="395">
        <f>Interim!FM297</f>
        <v>1248</v>
      </c>
      <c r="W226" s="432">
        <f>Interim!FU297</f>
        <v>1399</v>
      </c>
      <c r="X226" s="395"/>
      <c r="Y226" s="395"/>
      <c r="Z226" s="395"/>
      <c r="AA226" s="395"/>
      <c r="AB226" s="395"/>
      <c r="AC226" s="395"/>
      <c r="AE226" s="340"/>
      <c r="AG226" s="362"/>
      <c r="AH226" s="362"/>
      <c r="AI226" s="362"/>
      <c r="AJ226" s="362"/>
      <c r="AK226" s="362"/>
      <c r="AL226" s="362"/>
      <c r="AM226" s="362"/>
      <c r="AQ226" s="530"/>
      <c r="AR226" s="534"/>
      <c r="AS226" s="535"/>
      <c r="AT226" s="498"/>
      <c r="AU226" s="535"/>
      <c r="AV226" s="498"/>
    </row>
    <row r="227" hidden="1" customHeight="1" outlineLevel="1" spans="1:48">
      <c r="A227" s="361" t="s">
        <v>61</v>
      </c>
      <c r="B227" s="525"/>
      <c r="C227" s="526"/>
      <c r="D227" s="525"/>
      <c r="E227" s="525"/>
      <c r="F227" s="525"/>
      <c r="G227" s="525"/>
      <c r="H227" s="525"/>
      <c r="I227" s="525"/>
      <c r="J227" s="525"/>
      <c r="K227" s="525"/>
      <c r="L227" s="527"/>
      <c r="M227" s="527"/>
      <c r="N227" s="527"/>
      <c r="O227" s="527"/>
      <c r="P227" s="527"/>
      <c r="Q227" s="527"/>
      <c r="R227" s="527"/>
      <c r="S227" s="527"/>
      <c r="T227" s="527"/>
      <c r="U227" s="363">
        <f>Interim!FE298</f>
        <v>0</v>
      </c>
      <c r="V227" s="363">
        <f>Interim!FM298</f>
        <v>0.181818181818182</v>
      </c>
      <c r="W227" s="383">
        <f>Interim!FU298</f>
        <v>0.12099358974359</v>
      </c>
      <c r="X227" s="363"/>
      <c r="Y227" s="363"/>
      <c r="Z227" s="363"/>
      <c r="AA227" s="363"/>
      <c r="AB227" s="363"/>
      <c r="AC227" s="363"/>
      <c r="AE227" s="340"/>
      <c r="AK227" s="342"/>
      <c r="AL227" s="342"/>
      <c r="AM227" s="514"/>
      <c r="AQ227" s="530"/>
      <c r="AR227" s="536"/>
      <c r="AS227" s="530"/>
      <c r="AT227" s="537"/>
      <c r="AV227" s="537"/>
    </row>
    <row r="228" hidden="1" customHeight="1" outlineLevel="1" spans="1:48">
      <c r="A228" s="361" t="s">
        <v>130</v>
      </c>
      <c r="B228" s="525"/>
      <c r="C228" s="526"/>
      <c r="D228" s="525"/>
      <c r="E228" s="525"/>
      <c r="F228" s="525"/>
      <c r="G228" s="525"/>
      <c r="H228" s="525"/>
      <c r="I228" s="525"/>
      <c r="J228" s="525"/>
      <c r="K228" s="525"/>
      <c r="L228" s="527"/>
      <c r="M228" s="527"/>
      <c r="N228" s="527"/>
      <c r="O228" s="527"/>
      <c r="P228" s="527"/>
      <c r="Q228" s="527"/>
      <c r="R228" s="527"/>
      <c r="S228" s="527"/>
      <c r="T228" s="527"/>
      <c r="U228" s="363">
        <f>Interim!FE299</f>
        <v>0.278407592934353</v>
      </c>
      <c r="V228" s="363">
        <f>Interim!FM299</f>
        <v>0.274950429610046</v>
      </c>
      <c r="W228" s="383">
        <f>Interim!FU299</f>
        <v>0.264411264411264</v>
      </c>
      <c r="X228" s="363"/>
      <c r="Y228" s="363"/>
      <c r="Z228" s="363"/>
      <c r="AA228" s="363"/>
      <c r="AB228" s="363"/>
      <c r="AC228" s="363"/>
      <c r="AE228" s="340"/>
      <c r="AG228" s="362"/>
      <c r="AH228" s="362"/>
      <c r="AI228" s="362"/>
      <c r="AJ228" s="362"/>
      <c r="AK228" s="362"/>
      <c r="AL228" s="362"/>
      <c r="AQ228" s="530"/>
      <c r="AR228" s="534"/>
      <c r="AS228" s="530"/>
      <c r="AT228" s="345"/>
      <c r="AV228" s="362"/>
    </row>
    <row r="229" hidden="1" customHeight="1" outlineLevel="1" spans="1:48">
      <c r="A229" s="444" t="s">
        <v>131</v>
      </c>
      <c r="B229" s="525"/>
      <c r="C229" s="526"/>
      <c r="D229" s="525"/>
      <c r="E229" s="525"/>
      <c r="F229" s="525"/>
      <c r="G229" s="525"/>
      <c r="H229" s="525"/>
      <c r="I229" s="525"/>
      <c r="J229" s="525"/>
      <c r="K229" s="525"/>
      <c r="L229" s="527"/>
      <c r="M229" s="527"/>
      <c r="N229" s="527"/>
      <c r="O229" s="527"/>
      <c r="P229" s="527"/>
      <c r="Q229" s="527"/>
      <c r="R229" s="527"/>
      <c r="S229" s="527"/>
      <c r="T229" s="527"/>
      <c r="U229" s="356">
        <f>Interim!FE300</f>
        <v>667</v>
      </c>
      <c r="V229" s="356">
        <f>Interim!FM300</f>
        <v>909</v>
      </c>
      <c r="W229" s="357">
        <f>Interim!FU300</f>
        <v>951</v>
      </c>
      <c r="X229" s="356"/>
      <c r="Y229" s="356"/>
      <c r="Z229" s="356"/>
      <c r="AA229" s="356"/>
      <c r="AB229" s="356"/>
      <c r="AC229" s="356"/>
      <c r="AE229" s="340"/>
      <c r="AQ229" s="530"/>
      <c r="AR229" s="534"/>
      <c r="AS229" s="530"/>
      <c r="AT229" s="345"/>
    </row>
    <row r="230" hidden="1" customHeight="1" outlineLevel="1" spans="1:48">
      <c r="A230" s="361" t="s">
        <v>61</v>
      </c>
      <c r="B230" s="525"/>
      <c r="C230" s="526"/>
      <c r="D230" s="525"/>
      <c r="E230" s="525"/>
      <c r="F230" s="525"/>
      <c r="G230" s="525"/>
      <c r="H230" s="525"/>
      <c r="I230" s="525"/>
      <c r="J230" s="525"/>
      <c r="K230" s="525"/>
      <c r="L230" s="527"/>
      <c r="M230" s="527"/>
      <c r="N230" s="527"/>
      <c r="O230" s="527"/>
      <c r="P230" s="527"/>
      <c r="Q230" s="527"/>
      <c r="R230" s="527"/>
      <c r="S230" s="527"/>
      <c r="T230" s="527"/>
      <c r="U230" s="363">
        <f>Interim!FE301</f>
        <v>0</v>
      </c>
      <c r="V230" s="363">
        <f>Interim!FM301</f>
        <v>0.362818590704648</v>
      </c>
      <c r="W230" s="383">
        <f>Interim!FU301</f>
        <v>0.0462046204620461</v>
      </c>
      <c r="X230" s="363"/>
      <c r="Y230" s="363"/>
      <c r="Z230" s="363"/>
      <c r="AA230" s="363"/>
      <c r="AB230" s="363"/>
      <c r="AC230" s="363"/>
      <c r="AE230" s="340"/>
      <c r="AF230" s="461"/>
      <c r="AQ230" s="530"/>
      <c r="AR230" s="534"/>
      <c r="AS230" s="530"/>
      <c r="AT230" s="345"/>
    </row>
    <row r="231" hidden="1" customHeight="1" outlineLevel="1" spans="1:48">
      <c r="A231" s="361" t="s">
        <v>132</v>
      </c>
      <c r="B231" s="525"/>
      <c r="C231" s="526"/>
      <c r="D231" s="525"/>
      <c r="E231" s="525"/>
      <c r="F231" s="525"/>
      <c r="G231" s="525"/>
      <c r="H231" s="525"/>
      <c r="I231" s="525"/>
      <c r="J231" s="525"/>
      <c r="K231" s="525"/>
      <c r="L231" s="527"/>
      <c r="M231" s="527"/>
      <c r="N231" s="527"/>
      <c r="O231" s="527"/>
      <c r="P231" s="527"/>
      <c r="Q231" s="527"/>
      <c r="R231" s="527"/>
      <c r="S231" s="527"/>
      <c r="T231" s="527"/>
      <c r="U231" s="363">
        <f>Interim!FE302</f>
        <v>0.175850250461376</v>
      </c>
      <c r="V231" s="363">
        <f>Interim!FM302</f>
        <v>0.200264375413087</v>
      </c>
      <c r="W231" s="383">
        <f>Interim!FU302</f>
        <v>0.17973917973918</v>
      </c>
      <c r="X231" s="363"/>
      <c r="Y231" s="363"/>
      <c r="Z231" s="363"/>
      <c r="AA231" s="363"/>
      <c r="AB231" s="363"/>
      <c r="AC231" s="363"/>
      <c r="AD231" s="363"/>
      <c r="AE231" s="340"/>
      <c r="AK231" s="342"/>
      <c r="AL231" s="342"/>
      <c r="AQ231" s="530"/>
      <c r="AR231" s="530"/>
      <c r="AS231" s="530"/>
      <c r="AT231" s="345"/>
    </row>
    <row r="232" hidden="1" customHeight="1" outlineLevel="1" spans="1:48">
      <c r="A232" s="531" t="s">
        <v>101</v>
      </c>
      <c r="B232" s="525"/>
      <c r="C232" s="526"/>
      <c r="D232" s="525"/>
      <c r="E232" s="525"/>
      <c r="F232" s="525"/>
      <c r="G232" s="525"/>
      <c r="H232" s="525"/>
      <c r="I232" s="525"/>
      <c r="J232" s="525"/>
      <c r="K232" s="525"/>
      <c r="L232" s="527"/>
      <c r="M232" s="527"/>
      <c r="N232" s="527"/>
      <c r="O232" s="527"/>
      <c r="P232" s="527"/>
      <c r="Q232" s="527"/>
      <c r="R232" s="527"/>
      <c r="S232" s="527"/>
      <c r="T232" s="527"/>
      <c r="U232" s="532">
        <f>Interim!FE303</f>
        <v>0</v>
      </c>
      <c r="V232" s="532">
        <f>Interim!FM303</f>
        <v>0</v>
      </c>
      <c r="W232" s="533">
        <f>Interim!FU303</f>
        <v>0</v>
      </c>
      <c r="X232" s="532"/>
      <c r="Y232" s="532"/>
      <c r="Z232" s="532"/>
      <c r="AA232" s="532"/>
      <c r="AB232" s="532"/>
      <c r="AC232" s="532"/>
      <c r="AE232" s="340"/>
      <c r="AQ232" s="530"/>
      <c r="AR232" s="530"/>
      <c r="AS232" s="530"/>
      <c r="AT232" s="345"/>
    </row>
    <row r="233" hidden="1" customHeight="1" outlineLevel="1" spans="1:48">
      <c r="A233" s="361" t="s">
        <v>126</v>
      </c>
      <c r="B233" s="525"/>
      <c r="C233" s="526"/>
      <c r="D233" s="525"/>
      <c r="E233" s="525"/>
      <c r="F233" s="525"/>
      <c r="G233" s="525"/>
      <c r="H233" s="525"/>
      <c r="I233" s="525"/>
      <c r="J233" s="525"/>
      <c r="K233" s="525"/>
      <c r="L233" s="527"/>
      <c r="M233" s="527"/>
      <c r="N233" s="527"/>
      <c r="O233" s="527"/>
      <c r="P233" s="527"/>
      <c r="Q233" s="527"/>
      <c r="R233" s="527"/>
      <c r="S233" s="527"/>
      <c r="T233" s="527"/>
      <c r="U233" s="395">
        <f>Interim!FE304</f>
        <v>1431</v>
      </c>
      <c r="V233" s="395">
        <f>Interim!FM304</f>
        <v>1746</v>
      </c>
      <c r="W233" s="432">
        <f>Interim!FU304</f>
        <v>2126</v>
      </c>
      <c r="X233" s="395"/>
      <c r="Y233" s="395"/>
      <c r="Z233" s="395"/>
      <c r="AA233" s="395"/>
      <c r="AB233" s="395"/>
      <c r="AC233" s="395"/>
      <c r="AE233" s="340"/>
      <c r="AK233" s="342"/>
      <c r="AL233" s="342"/>
      <c r="AQ233" s="530"/>
      <c r="AR233" s="530"/>
      <c r="AS233" s="530"/>
      <c r="AT233" s="345"/>
    </row>
    <row r="234" hidden="1" customHeight="1" outlineLevel="1" spans="1:48">
      <c r="A234" s="444" t="s">
        <v>127</v>
      </c>
      <c r="B234" s="525"/>
      <c r="C234" s="526"/>
      <c r="D234" s="525"/>
      <c r="E234" s="525"/>
      <c r="F234" s="525"/>
      <c r="G234" s="525"/>
      <c r="H234" s="525"/>
      <c r="I234" s="525"/>
      <c r="J234" s="525"/>
      <c r="K234" s="525"/>
      <c r="L234" s="527"/>
      <c r="M234" s="527"/>
      <c r="N234" s="527"/>
      <c r="O234" s="527"/>
      <c r="P234" s="527"/>
      <c r="Q234" s="527"/>
      <c r="R234" s="527"/>
      <c r="S234" s="527"/>
      <c r="T234" s="527"/>
      <c r="U234" s="356">
        <f>Interim!FE305</f>
        <v>786</v>
      </c>
      <c r="V234" s="356">
        <f>Interim!FM305</f>
        <v>1008</v>
      </c>
      <c r="W234" s="357">
        <f>Interim!FU305</f>
        <v>1286</v>
      </c>
      <c r="X234" s="356"/>
      <c r="Y234" s="356"/>
      <c r="Z234" s="356"/>
      <c r="AA234" s="356"/>
      <c r="AB234" s="356"/>
      <c r="AC234" s="356"/>
      <c r="AE234" s="340"/>
      <c r="AG234" s="362"/>
      <c r="AH234" s="362"/>
      <c r="AI234" s="362"/>
      <c r="AJ234" s="362"/>
      <c r="AK234" s="362"/>
      <c r="AL234" s="362"/>
      <c r="AQ234" s="530"/>
      <c r="AR234" s="530"/>
      <c r="AS234" s="530"/>
      <c r="AT234" s="345"/>
    </row>
    <row r="235" hidden="1" customHeight="1" outlineLevel="1" spans="1:48">
      <c r="A235" s="361" t="s">
        <v>61</v>
      </c>
      <c r="B235" s="525"/>
      <c r="C235" s="526"/>
      <c r="D235" s="525"/>
      <c r="E235" s="525"/>
      <c r="F235" s="525"/>
      <c r="G235" s="525"/>
      <c r="H235" s="525"/>
      <c r="I235" s="525"/>
      <c r="J235" s="525"/>
      <c r="K235" s="525"/>
      <c r="L235" s="527"/>
      <c r="M235" s="527"/>
      <c r="N235" s="527"/>
      <c r="O235" s="527"/>
      <c r="P235" s="527"/>
      <c r="Q235" s="527"/>
      <c r="R235" s="527"/>
      <c r="S235" s="527"/>
      <c r="T235" s="527"/>
      <c r="U235" s="363">
        <f>Interim!FE306</f>
        <v>0</v>
      </c>
      <c r="V235" s="363">
        <f>Interim!FM306</f>
        <v>0.282442748091603</v>
      </c>
      <c r="W235" s="383">
        <f>Interim!FU306</f>
        <v>0.275793650793651</v>
      </c>
      <c r="X235" s="363"/>
      <c r="Y235" s="363"/>
      <c r="Z235" s="363"/>
      <c r="AA235" s="363"/>
      <c r="AB235" s="363"/>
      <c r="AC235" s="363"/>
      <c r="AE235" s="340"/>
      <c r="AK235" s="342"/>
      <c r="AL235" s="342"/>
      <c r="AQ235" s="530"/>
      <c r="AR235" s="530"/>
      <c r="AS235" s="530"/>
      <c r="AT235" s="345"/>
    </row>
    <row r="236" hidden="1" customHeight="1" outlineLevel="1" spans="1:48">
      <c r="A236" s="361" t="s">
        <v>128</v>
      </c>
      <c r="B236" s="525"/>
      <c r="C236" s="526"/>
      <c r="D236" s="525"/>
      <c r="E236" s="525"/>
      <c r="F236" s="525"/>
      <c r="G236" s="525"/>
      <c r="H236" s="525"/>
      <c r="I236" s="525"/>
      <c r="J236" s="525"/>
      <c r="K236" s="525"/>
      <c r="L236" s="527"/>
      <c r="M236" s="527"/>
      <c r="N236" s="527"/>
      <c r="O236" s="527"/>
      <c r="P236" s="527"/>
      <c r="Q236" s="527"/>
      <c r="R236" s="527"/>
      <c r="S236" s="527"/>
      <c r="T236" s="527"/>
      <c r="U236" s="363">
        <f>Interim!FE307</f>
        <v>0.354533152909337</v>
      </c>
      <c r="V236" s="363">
        <f>Interim!FM307</f>
        <v>0.366013071895425</v>
      </c>
      <c r="W236" s="383">
        <f>Interim!FU307</f>
        <v>0.376905041031653</v>
      </c>
      <c r="X236" s="363"/>
      <c r="Y236" s="363"/>
      <c r="Z236" s="363"/>
      <c r="AA236" s="363"/>
      <c r="AB236" s="363"/>
      <c r="AC236" s="363"/>
      <c r="AE236" s="340"/>
      <c r="AG236" s="362"/>
      <c r="AH236" s="362"/>
      <c r="AI236" s="362"/>
      <c r="AJ236" s="362"/>
      <c r="AK236" s="362"/>
      <c r="AL236" s="362"/>
      <c r="AQ236" s="530"/>
      <c r="AR236" s="530"/>
      <c r="AS236" s="530"/>
      <c r="AT236" s="345"/>
    </row>
    <row r="237" hidden="1" customHeight="1" outlineLevel="1" spans="1:48">
      <c r="A237" s="361" t="s">
        <v>129</v>
      </c>
      <c r="B237" s="525"/>
      <c r="C237" s="526"/>
      <c r="D237" s="525"/>
      <c r="E237" s="525"/>
      <c r="F237" s="525"/>
      <c r="G237" s="525"/>
      <c r="H237" s="525"/>
      <c r="I237" s="525"/>
      <c r="J237" s="525"/>
      <c r="K237" s="525"/>
      <c r="L237" s="527"/>
      <c r="M237" s="527"/>
      <c r="N237" s="527"/>
      <c r="O237" s="527"/>
      <c r="P237" s="527"/>
      <c r="Q237" s="527"/>
      <c r="R237" s="527"/>
      <c r="S237" s="527"/>
      <c r="T237" s="527"/>
      <c r="U237" s="395">
        <f>Interim!FE308</f>
        <v>665</v>
      </c>
      <c r="V237" s="395">
        <f>Interim!FM308</f>
        <v>939</v>
      </c>
      <c r="W237" s="432">
        <f>Interim!FU308</f>
        <v>1072</v>
      </c>
      <c r="X237" s="395"/>
      <c r="Y237" s="395"/>
      <c r="Z237" s="395"/>
      <c r="AA237" s="395"/>
      <c r="AB237" s="395"/>
      <c r="AC237" s="395"/>
      <c r="AE237" s="340"/>
      <c r="AK237" s="342"/>
      <c r="AL237" s="342"/>
      <c r="AQ237" s="530"/>
      <c r="AR237" s="530"/>
      <c r="AS237" s="530"/>
      <c r="AT237" s="345"/>
    </row>
    <row r="238" hidden="1" customHeight="1" outlineLevel="1" spans="1:48">
      <c r="A238" s="361" t="s">
        <v>61</v>
      </c>
      <c r="B238" s="525"/>
      <c r="C238" s="526"/>
      <c r="D238" s="525"/>
      <c r="E238" s="525"/>
      <c r="F238" s="525"/>
      <c r="G238" s="525"/>
      <c r="H238" s="525"/>
      <c r="I238" s="525"/>
      <c r="J238" s="525"/>
      <c r="K238" s="525"/>
      <c r="L238" s="527"/>
      <c r="M238" s="527"/>
      <c r="N238" s="527"/>
      <c r="O238" s="527"/>
      <c r="P238" s="527"/>
      <c r="Q238" s="527"/>
      <c r="R238" s="527"/>
      <c r="S238" s="527"/>
      <c r="T238" s="527"/>
      <c r="U238" s="363">
        <f>Interim!FE309</f>
        <v>0</v>
      </c>
      <c r="V238" s="363">
        <f>Interim!FM309</f>
        <v>0.41203007518797</v>
      </c>
      <c r="W238" s="383">
        <f>Interim!FU309</f>
        <v>0.141640042598509</v>
      </c>
      <c r="X238" s="363"/>
      <c r="Y238" s="363"/>
      <c r="Z238" s="363"/>
      <c r="AA238" s="363"/>
      <c r="AB238" s="363"/>
      <c r="AC238" s="363"/>
      <c r="AE238" s="340"/>
      <c r="AG238" s="362"/>
      <c r="AH238" s="500"/>
      <c r="AI238" s="500"/>
      <c r="AJ238" s="500"/>
      <c r="AK238" s="500"/>
      <c r="AL238" s="500"/>
      <c r="AQ238" s="530"/>
      <c r="AR238" s="530"/>
      <c r="AS238" s="530"/>
      <c r="AT238" s="345"/>
    </row>
    <row r="239" hidden="1" customHeight="1" outlineLevel="1" spans="1:48">
      <c r="A239" s="361" t="s">
        <v>130</v>
      </c>
      <c r="B239" s="525"/>
      <c r="C239" s="526"/>
      <c r="D239" s="525"/>
      <c r="E239" s="525"/>
      <c r="F239" s="525"/>
      <c r="G239" s="525"/>
      <c r="H239" s="525"/>
      <c r="I239" s="525"/>
      <c r="J239" s="525"/>
      <c r="K239" s="525"/>
      <c r="L239" s="527"/>
      <c r="M239" s="527"/>
      <c r="N239" s="527"/>
      <c r="O239" s="527"/>
      <c r="P239" s="527"/>
      <c r="Q239" s="527"/>
      <c r="R239" s="527"/>
      <c r="S239" s="527"/>
      <c r="T239" s="527"/>
      <c r="U239" s="363">
        <f>Interim!FE310</f>
        <v>0.299954894000902</v>
      </c>
      <c r="V239" s="363">
        <f>Interim!FM310</f>
        <v>0.340958605664488</v>
      </c>
      <c r="W239" s="383">
        <f>Interim!FU310</f>
        <v>0.314185228604924</v>
      </c>
      <c r="X239" s="363"/>
      <c r="Y239" s="363"/>
      <c r="Z239" s="363"/>
      <c r="AA239" s="363"/>
      <c r="AB239" s="363"/>
      <c r="AC239" s="363"/>
      <c r="AE239" s="340"/>
      <c r="AQ239" s="530"/>
      <c r="AR239" s="530"/>
      <c r="AS239" s="530"/>
      <c r="AT239" s="345"/>
    </row>
    <row r="240" hidden="1" customHeight="1" outlineLevel="1" spans="1:48">
      <c r="A240" s="444" t="s">
        <v>131</v>
      </c>
      <c r="B240" s="525"/>
      <c r="C240" s="526"/>
      <c r="D240" s="525"/>
      <c r="E240" s="525"/>
      <c r="F240" s="525"/>
      <c r="G240" s="525"/>
      <c r="H240" s="525"/>
      <c r="I240" s="525"/>
      <c r="J240" s="525"/>
      <c r="K240" s="525"/>
      <c r="L240" s="527"/>
      <c r="M240" s="527"/>
      <c r="N240" s="527"/>
      <c r="O240" s="527"/>
      <c r="P240" s="527"/>
      <c r="Q240" s="527"/>
      <c r="R240" s="527"/>
      <c r="S240" s="527"/>
      <c r="T240" s="527"/>
      <c r="U240" s="356">
        <f>Interim!FE311</f>
        <v>121</v>
      </c>
      <c r="V240" s="356">
        <f>Interim!FM311</f>
        <v>69</v>
      </c>
      <c r="W240" s="357">
        <f>Interim!FU311</f>
        <v>214</v>
      </c>
      <c r="X240" s="356"/>
      <c r="Y240" s="356"/>
      <c r="Z240" s="356"/>
      <c r="AA240" s="356"/>
      <c r="AB240" s="356"/>
      <c r="AC240" s="356"/>
      <c r="AE240" s="340"/>
      <c r="AF240" s="461"/>
      <c r="AQ240" s="530"/>
      <c r="AR240" s="530"/>
      <c r="AS240" s="530"/>
      <c r="AT240" s="345"/>
    </row>
    <row r="241" hidden="1" customHeight="1" outlineLevel="1" spans="1:46">
      <c r="A241" s="361" t="s">
        <v>61</v>
      </c>
      <c r="B241" s="525"/>
      <c r="C241" s="526"/>
      <c r="D241" s="525"/>
      <c r="E241" s="525"/>
      <c r="F241" s="525"/>
      <c r="G241" s="525"/>
      <c r="H241" s="525"/>
      <c r="I241" s="525"/>
      <c r="J241" s="525"/>
      <c r="K241" s="525"/>
      <c r="L241" s="527"/>
      <c r="M241" s="527"/>
      <c r="N241" s="527"/>
      <c r="O241" s="527"/>
      <c r="P241" s="527"/>
      <c r="Q241" s="527"/>
      <c r="R241" s="527"/>
      <c r="S241" s="527"/>
      <c r="T241" s="527"/>
      <c r="U241" s="363">
        <f>Interim!FE312</f>
        <v>0</v>
      </c>
      <c r="V241" s="363">
        <f>Interim!FM312</f>
        <v>-0.429752066115702</v>
      </c>
      <c r="W241" s="383">
        <f>Interim!FU312</f>
        <v>2.10144927536232</v>
      </c>
      <c r="X241" s="363"/>
      <c r="Y241" s="363"/>
      <c r="Z241" s="363"/>
      <c r="AA241" s="363"/>
      <c r="AB241" s="363"/>
      <c r="AC241" s="363"/>
      <c r="AE241" s="340"/>
      <c r="AK241" s="342"/>
      <c r="AL241" s="342"/>
      <c r="AQ241" s="530"/>
      <c r="AR241" s="530"/>
      <c r="AS241" s="530"/>
      <c r="AT241" s="345"/>
    </row>
    <row r="242" hidden="1" customHeight="1" outlineLevel="1" spans="1:46">
      <c r="A242" s="361" t="s">
        <v>132</v>
      </c>
      <c r="B242" s="525"/>
      <c r="C242" s="526"/>
      <c r="D242" s="525"/>
      <c r="E242" s="525"/>
      <c r="F242" s="525"/>
      <c r="G242" s="525"/>
      <c r="H242" s="525"/>
      <c r="I242" s="525"/>
      <c r="J242" s="525"/>
      <c r="K242" s="525"/>
      <c r="L242" s="527"/>
      <c r="M242" s="527"/>
      <c r="N242" s="527"/>
      <c r="O242" s="527"/>
      <c r="P242" s="527"/>
      <c r="Q242" s="527"/>
      <c r="R242" s="527"/>
      <c r="S242" s="527"/>
      <c r="T242" s="527"/>
      <c r="U242" s="363">
        <f>Interim!FE313</f>
        <v>0.0545782589084348</v>
      </c>
      <c r="V242" s="363">
        <f>Interim!FM313</f>
        <v>0.0250544662309368</v>
      </c>
      <c r="W242" s="383">
        <f>Interim!FU313</f>
        <v>0.0627198124267292</v>
      </c>
      <c r="X242" s="363"/>
      <c r="Y242" s="363"/>
      <c r="Z242" s="363"/>
      <c r="AA242" s="363"/>
      <c r="AB242" s="363"/>
      <c r="AC242" s="363"/>
      <c r="AE242" s="340"/>
      <c r="AQ242" s="530"/>
      <c r="AR242" s="530"/>
      <c r="AS242" s="530"/>
      <c r="AT242" s="345"/>
    </row>
    <row r="243" hidden="1" customHeight="1" outlineLevel="1" spans="1:46">
      <c r="A243" s="531" t="s">
        <v>102</v>
      </c>
      <c r="B243" s="525"/>
      <c r="C243" s="526"/>
      <c r="D243" s="525"/>
      <c r="E243" s="525"/>
      <c r="F243" s="525"/>
      <c r="G243" s="525"/>
      <c r="H243" s="525"/>
      <c r="I243" s="525"/>
      <c r="J243" s="525"/>
      <c r="K243" s="525"/>
      <c r="L243" s="527"/>
      <c r="M243" s="527"/>
      <c r="N243" s="527"/>
      <c r="O243" s="527"/>
      <c r="P243" s="527"/>
      <c r="Q243" s="527"/>
      <c r="R243" s="527"/>
      <c r="S243" s="527"/>
      <c r="T243" s="527"/>
      <c r="U243" s="532">
        <f>Interim!FE314</f>
        <v>0</v>
      </c>
      <c r="V243" s="532">
        <f>Interim!FM314</f>
        <v>0</v>
      </c>
      <c r="W243" s="533">
        <f>Interim!FU314</f>
        <v>0</v>
      </c>
      <c r="X243" s="532"/>
      <c r="Y243" s="532"/>
      <c r="Z243" s="532"/>
      <c r="AA243" s="532"/>
      <c r="AB243" s="532"/>
      <c r="AC243" s="532"/>
      <c r="AE243" s="340"/>
      <c r="AK243" s="342"/>
      <c r="AL243" s="342"/>
      <c r="AQ243" s="530"/>
      <c r="AR243" s="530"/>
      <c r="AS243" s="530"/>
      <c r="AT243" s="345"/>
    </row>
    <row r="244" hidden="1" customHeight="1" outlineLevel="1" spans="1:46">
      <c r="A244" s="361" t="s">
        <v>126</v>
      </c>
      <c r="B244" s="525"/>
      <c r="C244" s="526"/>
      <c r="D244" s="525"/>
      <c r="E244" s="525"/>
      <c r="F244" s="525"/>
      <c r="G244" s="525"/>
      <c r="H244" s="525"/>
      <c r="I244" s="525"/>
      <c r="J244" s="525"/>
      <c r="K244" s="525"/>
      <c r="L244" s="527"/>
      <c r="M244" s="527"/>
      <c r="N244" s="527"/>
      <c r="O244" s="527"/>
      <c r="P244" s="527"/>
      <c r="Q244" s="527"/>
      <c r="R244" s="527"/>
      <c r="S244" s="527"/>
      <c r="T244" s="527"/>
      <c r="U244" s="395">
        <f>Interim!FE315</f>
        <v>963</v>
      </c>
      <c r="V244" s="395">
        <f>Interim!FM315</f>
        <v>1027</v>
      </c>
      <c r="W244" s="432">
        <f>Interim!FU315</f>
        <v>997</v>
      </c>
      <c r="X244" s="395"/>
      <c r="Y244" s="395"/>
      <c r="Z244" s="395"/>
      <c r="AA244" s="395"/>
      <c r="AB244" s="395"/>
      <c r="AC244" s="395"/>
      <c r="AE244" s="340"/>
      <c r="AG244" s="362"/>
      <c r="AH244" s="500"/>
      <c r="AI244" s="500"/>
      <c r="AJ244" s="500"/>
      <c r="AK244" s="500"/>
      <c r="AL244" s="500"/>
      <c r="AM244" s="537"/>
      <c r="AN244" s="537"/>
      <c r="AO244" s="537"/>
      <c r="AP244" s="537"/>
      <c r="AQ244" s="530"/>
      <c r="AR244" s="530"/>
      <c r="AS244" s="530"/>
      <c r="AT244" s="345"/>
    </row>
    <row r="245" hidden="1" customHeight="1" outlineLevel="1" spans="1:46">
      <c r="A245" s="444" t="s">
        <v>127</v>
      </c>
      <c r="B245" s="525"/>
      <c r="C245" s="526"/>
      <c r="D245" s="525"/>
      <c r="E245" s="525"/>
      <c r="F245" s="525"/>
      <c r="G245" s="525"/>
      <c r="H245" s="525"/>
      <c r="I245" s="525"/>
      <c r="J245" s="525"/>
      <c r="K245" s="525"/>
      <c r="L245" s="527"/>
      <c r="M245" s="527"/>
      <c r="N245" s="527"/>
      <c r="O245" s="527"/>
      <c r="P245" s="527"/>
      <c r="Q245" s="527"/>
      <c r="R245" s="527"/>
      <c r="S245" s="527"/>
      <c r="T245" s="527"/>
      <c r="U245" s="356">
        <f>Interim!FE316</f>
        <v>649</v>
      </c>
      <c r="V245" s="356">
        <f>Interim!FM316</f>
        <v>756</v>
      </c>
      <c r="W245" s="357">
        <f>Interim!FU316</f>
        <v>734</v>
      </c>
      <c r="X245" s="356"/>
      <c r="Y245" s="356"/>
      <c r="Z245" s="356"/>
      <c r="AA245" s="356"/>
      <c r="AB245" s="356"/>
      <c r="AC245" s="356"/>
      <c r="AE245" s="340"/>
      <c r="AK245" s="342"/>
      <c r="AL245" s="342"/>
      <c r="AQ245" s="530"/>
      <c r="AR245" s="530"/>
      <c r="AS245" s="530"/>
      <c r="AT245" s="345"/>
    </row>
    <row r="246" hidden="1" customHeight="1" outlineLevel="1" spans="1:46">
      <c r="A246" s="361" t="s">
        <v>61</v>
      </c>
      <c r="B246" s="525"/>
      <c r="C246" s="526"/>
      <c r="D246" s="525"/>
      <c r="E246" s="525"/>
      <c r="F246" s="525"/>
      <c r="G246" s="525"/>
      <c r="H246" s="525"/>
      <c r="I246" s="525"/>
      <c r="J246" s="525"/>
      <c r="K246" s="525"/>
      <c r="L246" s="527"/>
      <c r="M246" s="527"/>
      <c r="N246" s="527"/>
      <c r="O246" s="527"/>
      <c r="P246" s="527"/>
      <c r="Q246" s="527"/>
      <c r="R246" s="527"/>
      <c r="S246" s="527"/>
      <c r="T246" s="527"/>
      <c r="U246" s="363">
        <f>Interim!FE317</f>
        <v>0</v>
      </c>
      <c r="V246" s="363">
        <f>Interim!FM317</f>
        <v>0.164869029275809</v>
      </c>
      <c r="W246" s="383">
        <f>Interim!FU317</f>
        <v>-0.0291005291005291</v>
      </c>
      <c r="X246" s="363"/>
      <c r="Y246" s="363"/>
      <c r="Z246" s="363"/>
      <c r="AA246" s="363"/>
      <c r="AB246" s="363"/>
      <c r="AC246" s="363"/>
      <c r="AE246" s="340"/>
      <c r="AG246" s="362"/>
      <c r="AH246" s="362"/>
      <c r="AI246" s="362"/>
      <c r="AJ246" s="362"/>
      <c r="AK246" s="362"/>
      <c r="AL246" s="362"/>
      <c r="AQ246" s="530"/>
      <c r="AR246" s="530"/>
      <c r="AS246" s="530"/>
      <c r="AT246" s="345"/>
    </row>
    <row r="247" hidden="1" customHeight="1" outlineLevel="1" spans="1:46">
      <c r="A247" s="361" t="s">
        <v>128</v>
      </c>
      <c r="B247" s="525"/>
      <c r="C247" s="526"/>
      <c r="D247" s="525"/>
      <c r="E247" s="525"/>
      <c r="F247" s="525"/>
      <c r="G247" s="525"/>
      <c r="H247" s="525"/>
      <c r="I247" s="525"/>
      <c r="J247" s="525"/>
      <c r="K247" s="525"/>
      <c r="L247" s="527"/>
      <c r="M247" s="527"/>
      <c r="N247" s="527"/>
      <c r="O247" s="527"/>
      <c r="P247" s="527"/>
      <c r="Q247" s="527"/>
      <c r="R247" s="527"/>
      <c r="S247" s="527"/>
      <c r="T247" s="527"/>
      <c r="U247" s="363">
        <f>Interim!FE318</f>
        <v>0.402605459057072</v>
      </c>
      <c r="V247" s="363">
        <f>Interim!FM318</f>
        <v>0.424004486819966</v>
      </c>
      <c r="W247" s="383">
        <f>Interim!FU318</f>
        <v>0.424032351242057</v>
      </c>
      <c r="X247" s="363"/>
      <c r="Y247" s="363"/>
      <c r="Z247" s="363"/>
      <c r="AA247" s="363"/>
      <c r="AB247" s="363"/>
      <c r="AC247" s="363"/>
      <c r="AE247" s="340"/>
      <c r="AK247" s="342"/>
      <c r="AL247" s="342"/>
      <c r="AQ247" s="530"/>
      <c r="AR247" s="530"/>
      <c r="AS247" s="530"/>
      <c r="AT247" s="345"/>
    </row>
    <row r="248" hidden="1" customHeight="1" outlineLevel="1" spans="1:46">
      <c r="A248" s="361" t="s">
        <v>129</v>
      </c>
      <c r="B248" s="525"/>
      <c r="C248" s="526"/>
      <c r="D248" s="525"/>
      <c r="E248" s="525"/>
      <c r="F248" s="525"/>
      <c r="G248" s="525"/>
      <c r="H248" s="525"/>
      <c r="I248" s="525"/>
      <c r="J248" s="525"/>
      <c r="K248" s="525"/>
      <c r="L248" s="527"/>
      <c r="M248" s="527"/>
      <c r="N248" s="527"/>
      <c r="O248" s="527"/>
      <c r="P248" s="527"/>
      <c r="Q248" s="527"/>
      <c r="R248" s="527"/>
      <c r="S248" s="527"/>
      <c r="T248" s="527"/>
      <c r="U248" s="395">
        <f>Interim!FE319</f>
        <v>450</v>
      </c>
      <c r="V248" s="395">
        <f>Interim!FM319</f>
        <v>521</v>
      </c>
      <c r="W248" s="432">
        <f>Interim!FU319</f>
        <v>507</v>
      </c>
      <c r="X248" s="395"/>
      <c r="Y248" s="395"/>
      <c r="Z248" s="395"/>
      <c r="AA248" s="395"/>
      <c r="AB248" s="395"/>
      <c r="AC248" s="395"/>
      <c r="AE248" s="340"/>
      <c r="AG248" s="362"/>
      <c r="AH248" s="362"/>
      <c r="AI248" s="362"/>
      <c r="AJ248" s="362"/>
      <c r="AK248" s="362"/>
      <c r="AL248" s="362"/>
      <c r="AQ248" s="530"/>
      <c r="AR248" s="530"/>
      <c r="AS248" s="530"/>
      <c r="AT248" s="345"/>
    </row>
    <row r="249" hidden="1" customHeight="1" outlineLevel="1" spans="1:46">
      <c r="A249" s="361" t="s">
        <v>61</v>
      </c>
      <c r="B249" s="525"/>
      <c r="C249" s="526"/>
      <c r="D249" s="525"/>
      <c r="E249" s="525"/>
      <c r="F249" s="525"/>
      <c r="G249" s="525"/>
      <c r="H249" s="525"/>
      <c r="I249" s="525"/>
      <c r="J249" s="525"/>
      <c r="K249" s="525"/>
      <c r="L249" s="527"/>
      <c r="M249" s="527"/>
      <c r="N249" s="527"/>
      <c r="O249" s="527"/>
      <c r="P249" s="527"/>
      <c r="Q249" s="527"/>
      <c r="R249" s="527"/>
      <c r="S249" s="527"/>
      <c r="T249" s="527"/>
      <c r="U249" s="363">
        <f>Interim!FE320</f>
        <v>0</v>
      </c>
      <c r="V249" s="363">
        <f>Interim!FM320</f>
        <v>0.157777777777778</v>
      </c>
      <c r="W249" s="383">
        <f>Interim!FU320</f>
        <v>-0.0268714011516314</v>
      </c>
      <c r="X249" s="363"/>
      <c r="Y249" s="363"/>
      <c r="Z249" s="363"/>
      <c r="AA249" s="363"/>
      <c r="AB249" s="363"/>
      <c r="AC249" s="363"/>
      <c r="AE249" s="340"/>
      <c r="AL249" s="538"/>
      <c r="AQ249" s="530"/>
      <c r="AR249" s="530"/>
      <c r="AS249" s="530"/>
      <c r="AT249" s="345"/>
    </row>
    <row r="250" hidden="1" customHeight="1" outlineLevel="1" spans="1:46">
      <c r="A250" s="361" t="s">
        <v>130</v>
      </c>
      <c r="B250" s="525"/>
      <c r="C250" s="526"/>
      <c r="D250" s="525"/>
      <c r="E250" s="525"/>
      <c r="F250" s="525"/>
      <c r="G250" s="525"/>
      <c r="H250" s="525"/>
      <c r="I250" s="525"/>
      <c r="J250" s="525"/>
      <c r="K250" s="525"/>
      <c r="L250" s="527"/>
      <c r="M250" s="527"/>
      <c r="N250" s="527"/>
      <c r="O250" s="527"/>
      <c r="P250" s="527"/>
      <c r="Q250" s="527"/>
      <c r="R250" s="527"/>
      <c r="S250" s="527"/>
      <c r="T250" s="527"/>
      <c r="U250" s="363">
        <f>Interim!FE321</f>
        <v>0.279156327543424</v>
      </c>
      <c r="V250" s="363">
        <f>Interim!FM321</f>
        <v>0.292204150308469</v>
      </c>
      <c r="W250" s="383">
        <f>Interim!FU321</f>
        <v>0.292894280762565</v>
      </c>
      <c r="X250" s="363"/>
      <c r="Y250" s="363"/>
      <c r="Z250" s="363"/>
      <c r="AA250" s="363"/>
      <c r="AB250" s="363"/>
      <c r="AC250" s="363"/>
      <c r="AE250" s="340"/>
      <c r="AK250" s="342"/>
      <c r="AL250" s="342"/>
      <c r="AQ250" s="530"/>
      <c r="AR250" s="530"/>
      <c r="AS250" s="530"/>
      <c r="AT250" s="345"/>
    </row>
    <row r="251" hidden="1" customHeight="1" outlineLevel="1" spans="1:46">
      <c r="A251" s="444" t="s">
        <v>131</v>
      </c>
      <c r="B251" s="525"/>
      <c r="C251" s="526"/>
      <c r="D251" s="525"/>
      <c r="E251" s="525"/>
      <c r="F251" s="525"/>
      <c r="G251" s="525"/>
      <c r="H251" s="525"/>
      <c r="I251" s="525"/>
      <c r="J251" s="525"/>
      <c r="K251" s="525"/>
      <c r="L251" s="527"/>
      <c r="M251" s="527"/>
      <c r="N251" s="527"/>
      <c r="O251" s="527"/>
      <c r="P251" s="527"/>
      <c r="Q251" s="527"/>
      <c r="R251" s="527"/>
      <c r="S251" s="527"/>
      <c r="T251" s="527"/>
      <c r="U251" s="356">
        <f>Interim!FE322</f>
        <v>199</v>
      </c>
      <c r="V251" s="356">
        <f>Interim!FM322</f>
        <v>235</v>
      </c>
      <c r="W251" s="357">
        <f>Interim!FU322</f>
        <v>227</v>
      </c>
      <c r="X251" s="356"/>
      <c r="Y251" s="356"/>
      <c r="Z251" s="356"/>
      <c r="AA251" s="356"/>
      <c r="AB251" s="356"/>
      <c r="AC251" s="356"/>
      <c r="AE251" s="340"/>
      <c r="AK251" s="342"/>
      <c r="AL251" s="342"/>
      <c r="AO251" s="336"/>
      <c r="AP251" s="333"/>
      <c r="AQ251" s="536"/>
      <c r="AR251" s="536"/>
      <c r="AS251" s="536"/>
      <c r="AT251" s="345"/>
    </row>
    <row r="252" hidden="1" customHeight="1" outlineLevel="1" spans="1:46">
      <c r="A252" s="361" t="s">
        <v>61</v>
      </c>
      <c r="B252" s="525"/>
      <c r="C252" s="526"/>
      <c r="D252" s="525"/>
      <c r="E252" s="525"/>
      <c r="F252" s="525"/>
      <c r="G252" s="525"/>
      <c r="H252" s="525"/>
      <c r="I252" s="525"/>
      <c r="J252" s="525"/>
      <c r="K252" s="525"/>
      <c r="L252" s="527"/>
      <c r="M252" s="527"/>
      <c r="N252" s="527"/>
      <c r="O252" s="527"/>
      <c r="P252" s="527"/>
      <c r="Q252" s="527"/>
      <c r="R252" s="527"/>
      <c r="S252" s="527"/>
      <c r="T252" s="527"/>
      <c r="U252" s="363">
        <f>Interim!FE323</f>
        <v>0</v>
      </c>
      <c r="V252" s="363">
        <f>Interim!FM323</f>
        <v>0.180904522613065</v>
      </c>
      <c r="W252" s="383">
        <f>Interim!FU323</f>
        <v>-0.0340425531914894</v>
      </c>
      <c r="X252" s="363"/>
      <c r="Y252" s="363"/>
      <c r="Z252" s="363"/>
      <c r="AA252" s="363"/>
      <c r="AB252" s="363"/>
      <c r="AC252" s="363"/>
      <c r="AE252" s="340"/>
      <c r="AH252" s="455"/>
      <c r="AI252" s="455"/>
      <c r="AJ252" s="455"/>
      <c r="AK252" s="455"/>
      <c r="AL252" s="455"/>
      <c r="AO252" s="336"/>
      <c r="AQ252" s="537"/>
      <c r="AR252" s="536"/>
      <c r="AS252" s="536"/>
      <c r="AT252" s="345"/>
    </row>
    <row r="253" hidden="1" customHeight="1" outlineLevel="1" spans="1:46">
      <c r="A253" s="361" t="s">
        <v>132</v>
      </c>
      <c r="B253" s="525"/>
      <c r="C253" s="526"/>
      <c r="D253" s="525"/>
      <c r="E253" s="525"/>
      <c r="F253" s="525"/>
      <c r="G253" s="525"/>
      <c r="H253" s="525"/>
      <c r="I253" s="525"/>
      <c r="J253" s="525"/>
      <c r="K253" s="525"/>
      <c r="L253" s="527"/>
      <c r="M253" s="527"/>
      <c r="N253" s="527"/>
      <c r="O253" s="527"/>
      <c r="P253" s="527"/>
      <c r="Q253" s="527"/>
      <c r="R253" s="527"/>
      <c r="S253" s="527"/>
      <c r="T253" s="527"/>
      <c r="U253" s="363">
        <f>Interim!FE324</f>
        <v>0.123449131513648</v>
      </c>
      <c r="V253" s="363">
        <f>Interim!FM324</f>
        <v>0.131800336511497</v>
      </c>
      <c r="W253" s="383">
        <f>Interim!FU324</f>
        <v>0.131138070479492</v>
      </c>
      <c r="X253" s="363"/>
      <c r="Y253" s="363"/>
      <c r="Z253" s="363"/>
      <c r="AA253" s="363"/>
      <c r="AB253" s="363"/>
      <c r="AC253" s="363"/>
      <c r="AE253" s="340"/>
      <c r="AK253" s="342"/>
      <c r="AL253" s="342"/>
      <c r="AQ253" s="537"/>
      <c r="AR253" s="536"/>
      <c r="AS253" s="536"/>
      <c r="AT253" s="345"/>
    </row>
    <row r="254" hidden="1" customHeight="1" outlineLevel="1" spans="1:46">
      <c r="A254" s="531" t="s">
        <v>114</v>
      </c>
      <c r="B254" s="525"/>
      <c r="C254" s="526"/>
      <c r="D254" s="525"/>
      <c r="E254" s="525"/>
      <c r="F254" s="525"/>
      <c r="G254" s="525"/>
      <c r="H254" s="525"/>
      <c r="I254" s="525"/>
      <c r="J254" s="525"/>
      <c r="K254" s="525"/>
      <c r="L254" s="527"/>
      <c r="M254" s="527"/>
      <c r="N254" s="527"/>
      <c r="O254" s="527"/>
      <c r="P254" s="527"/>
      <c r="Q254" s="527"/>
      <c r="R254" s="527"/>
      <c r="S254" s="527"/>
      <c r="T254" s="527"/>
      <c r="U254" s="532">
        <f>Interim!FE325</f>
        <v>0</v>
      </c>
      <c r="V254" s="532">
        <f>Interim!FM325</f>
        <v>0</v>
      </c>
      <c r="W254" s="533">
        <f>Interim!FU325</f>
        <v>0</v>
      </c>
      <c r="X254" s="532"/>
      <c r="Y254" s="532"/>
      <c r="Z254" s="532"/>
      <c r="AA254" s="532"/>
      <c r="AB254" s="532"/>
      <c r="AC254" s="532"/>
      <c r="AE254" s="340"/>
      <c r="AF254" s="461"/>
      <c r="AG254" s="461"/>
      <c r="AH254" s="461"/>
      <c r="AI254" s="461"/>
      <c r="AJ254" s="461"/>
      <c r="AK254" s="461"/>
      <c r="AL254" s="461"/>
      <c r="AM254" s="498"/>
      <c r="AO254" s="336"/>
      <c r="AQ254" s="537"/>
      <c r="AR254" s="536"/>
      <c r="AS254" s="536"/>
      <c r="AT254" s="345"/>
    </row>
    <row r="255" hidden="1" customHeight="1" outlineLevel="1" spans="1:46">
      <c r="A255" s="361" t="s">
        <v>126</v>
      </c>
      <c r="B255" s="525"/>
      <c r="C255" s="526"/>
      <c r="D255" s="525"/>
      <c r="E255" s="525"/>
      <c r="F255" s="525"/>
      <c r="G255" s="525"/>
      <c r="H255" s="525"/>
      <c r="I255" s="525"/>
      <c r="J255" s="525"/>
      <c r="K255" s="525"/>
      <c r="L255" s="527"/>
      <c r="M255" s="527"/>
      <c r="N255" s="527"/>
      <c r="O255" s="527"/>
      <c r="P255" s="527"/>
      <c r="Q255" s="527"/>
      <c r="R255" s="527"/>
      <c r="S255" s="527"/>
      <c r="T255" s="527"/>
      <c r="U255" s="395">
        <f>Interim!FE326</f>
        <v>767</v>
      </c>
      <c r="V255" s="395">
        <f>Interim!FM326</f>
        <v>1058</v>
      </c>
      <c r="W255" s="432">
        <f>Interim!FU326</f>
        <v>1279</v>
      </c>
      <c r="X255" s="395"/>
      <c r="Y255" s="395"/>
      <c r="Z255" s="395"/>
      <c r="AA255" s="395"/>
      <c r="AB255" s="395"/>
      <c r="AC255" s="395"/>
      <c r="AE255" s="340"/>
      <c r="AO255" s="336"/>
      <c r="AR255" s="537"/>
      <c r="AS255" s="537"/>
      <c r="AT255" s="345"/>
    </row>
    <row r="256" hidden="1" customHeight="1" outlineLevel="1" spans="1:46">
      <c r="A256" s="444" t="s">
        <v>127</v>
      </c>
      <c r="B256" s="525"/>
      <c r="C256" s="526"/>
      <c r="D256" s="525"/>
      <c r="E256" s="525"/>
      <c r="F256" s="525"/>
      <c r="G256" s="525"/>
      <c r="H256" s="525"/>
      <c r="I256" s="525"/>
      <c r="J256" s="525"/>
      <c r="K256" s="525"/>
      <c r="L256" s="527"/>
      <c r="M256" s="527"/>
      <c r="N256" s="527"/>
      <c r="O256" s="527"/>
      <c r="P256" s="527"/>
      <c r="Q256" s="527"/>
      <c r="R256" s="527"/>
      <c r="S256" s="527"/>
      <c r="T256" s="527"/>
      <c r="U256" s="356">
        <f>Interim!FE327</f>
        <v>1019</v>
      </c>
      <c r="V256" s="356">
        <f>Interim!FM327</f>
        <v>1411</v>
      </c>
      <c r="W256" s="357">
        <f>Interim!FU327</f>
        <v>1731</v>
      </c>
      <c r="X256" s="356"/>
      <c r="Y256" s="356"/>
      <c r="Z256" s="356"/>
      <c r="AA256" s="356"/>
      <c r="AB256" s="356"/>
      <c r="AC256" s="356"/>
      <c r="AE256" s="340"/>
      <c r="AQ256" s="530"/>
      <c r="AR256" s="530"/>
      <c r="AS256" s="530"/>
      <c r="AT256" s="345"/>
    </row>
    <row r="257" hidden="1" customHeight="1" outlineLevel="1" spans="1:46">
      <c r="A257" s="361" t="s">
        <v>61</v>
      </c>
      <c r="B257" s="525"/>
      <c r="C257" s="526"/>
      <c r="D257" s="525"/>
      <c r="E257" s="525"/>
      <c r="F257" s="525"/>
      <c r="G257" s="525"/>
      <c r="H257" s="525"/>
      <c r="I257" s="525"/>
      <c r="J257" s="525"/>
      <c r="K257" s="525"/>
      <c r="L257" s="527"/>
      <c r="M257" s="527"/>
      <c r="N257" s="527"/>
      <c r="O257" s="527"/>
      <c r="P257" s="527"/>
      <c r="Q257" s="527"/>
      <c r="R257" s="527"/>
      <c r="S257" s="527"/>
      <c r="T257" s="527"/>
      <c r="U257" s="363">
        <f>Interim!FE328</f>
        <v>0</v>
      </c>
      <c r="V257" s="363">
        <f>Interim!FM328</f>
        <v>0.384690873405299</v>
      </c>
      <c r="W257" s="383">
        <f>Interim!FU328</f>
        <v>0.226789510985117</v>
      </c>
      <c r="X257" s="363"/>
      <c r="Y257" s="363"/>
      <c r="Z257" s="363"/>
      <c r="AA257" s="363"/>
      <c r="AB257" s="363"/>
      <c r="AC257" s="363"/>
      <c r="AE257" s="340"/>
      <c r="AQ257" s="530"/>
      <c r="AR257" s="530"/>
      <c r="AS257" s="530"/>
      <c r="AT257" s="345"/>
    </row>
    <row r="258" hidden="1" customHeight="1" outlineLevel="1" spans="1:46">
      <c r="A258" s="361" t="s">
        <v>128</v>
      </c>
      <c r="B258" s="525"/>
      <c r="C258" s="526"/>
      <c r="D258" s="525"/>
      <c r="E258" s="525"/>
      <c r="F258" s="525"/>
      <c r="G258" s="525"/>
      <c r="H258" s="525"/>
      <c r="I258" s="525"/>
      <c r="J258" s="525"/>
      <c r="K258" s="525"/>
      <c r="L258" s="527"/>
      <c r="M258" s="527"/>
      <c r="N258" s="527"/>
      <c r="O258" s="527"/>
      <c r="P258" s="527"/>
      <c r="Q258" s="527"/>
      <c r="R258" s="527"/>
      <c r="S258" s="527"/>
      <c r="T258" s="527"/>
      <c r="U258" s="363">
        <f>Interim!FE329</f>
        <v>0.570548712206047</v>
      </c>
      <c r="V258" s="363">
        <f>Interim!FM329</f>
        <v>0.571486431753746</v>
      </c>
      <c r="W258" s="383">
        <f>Interim!FU329</f>
        <v>0.575083056478405</v>
      </c>
      <c r="X258" s="363"/>
      <c r="Y258" s="363"/>
      <c r="Z258" s="363"/>
      <c r="AA258" s="363"/>
      <c r="AB258" s="363"/>
      <c r="AC258" s="363"/>
      <c r="AD258" s="431"/>
      <c r="AE258" s="340"/>
      <c r="AQ258" s="530"/>
      <c r="AR258" s="530"/>
      <c r="AS258" s="530"/>
      <c r="AT258" s="345"/>
    </row>
    <row r="259" hidden="1" customHeight="1" outlineLevel="1" spans="1:46">
      <c r="A259" s="361" t="s">
        <v>129</v>
      </c>
      <c r="B259" s="525"/>
      <c r="C259" s="526"/>
      <c r="D259" s="525"/>
      <c r="E259" s="525"/>
      <c r="F259" s="525"/>
      <c r="G259" s="525"/>
      <c r="H259" s="525"/>
      <c r="I259" s="525"/>
      <c r="J259" s="525"/>
      <c r="K259" s="525"/>
      <c r="L259" s="527"/>
      <c r="M259" s="527"/>
      <c r="N259" s="527"/>
      <c r="O259" s="527"/>
      <c r="P259" s="527"/>
      <c r="Q259" s="527"/>
      <c r="R259" s="527"/>
      <c r="S259" s="527"/>
      <c r="T259" s="527"/>
      <c r="U259" s="395">
        <f>Interim!FE330</f>
        <v>402</v>
      </c>
      <c r="V259" s="395">
        <f>Interim!FM330</f>
        <v>545</v>
      </c>
      <c r="W259" s="432">
        <f>Interim!FU330</f>
        <v>671</v>
      </c>
      <c r="X259" s="395"/>
      <c r="Y259" s="395"/>
      <c r="Z259" s="395"/>
      <c r="AA259" s="395"/>
      <c r="AB259" s="395"/>
      <c r="AC259" s="395"/>
      <c r="AE259" s="340"/>
      <c r="AQ259" s="530"/>
      <c r="AR259" s="530"/>
      <c r="AS259" s="530"/>
      <c r="AT259" s="345"/>
    </row>
    <row r="260" hidden="1" customHeight="1" outlineLevel="1" spans="1:46">
      <c r="A260" s="361" t="s">
        <v>61</v>
      </c>
      <c r="B260" s="525"/>
      <c r="C260" s="526"/>
      <c r="D260" s="525"/>
      <c r="E260" s="525"/>
      <c r="F260" s="525"/>
      <c r="G260" s="525"/>
      <c r="H260" s="525"/>
      <c r="I260" s="525"/>
      <c r="J260" s="525"/>
      <c r="K260" s="525"/>
      <c r="L260" s="527"/>
      <c r="M260" s="527"/>
      <c r="N260" s="527"/>
      <c r="O260" s="527"/>
      <c r="P260" s="527"/>
      <c r="Q260" s="527"/>
      <c r="R260" s="527"/>
      <c r="S260" s="527"/>
      <c r="T260" s="527"/>
      <c r="U260" s="363">
        <f>Interim!FE331</f>
        <v>0</v>
      </c>
      <c r="V260" s="363">
        <f>Interim!FM331</f>
        <v>0.355721393034826</v>
      </c>
      <c r="W260" s="383">
        <f>Interim!FU331</f>
        <v>0.231192660550459</v>
      </c>
      <c r="X260" s="363"/>
      <c r="Y260" s="363"/>
      <c r="Z260" s="363"/>
      <c r="AA260" s="363"/>
      <c r="AB260" s="363"/>
      <c r="AC260" s="363"/>
      <c r="AE260" s="340"/>
      <c r="AQ260" s="530"/>
      <c r="AR260" s="530"/>
      <c r="AS260" s="530"/>
      <c r="AT260" s="345"/>
    </row>
    <row r="261" hidden="1" customHeight="1" outlineLevel="1" spans="1:46">
      <c r="A261" s="361" t="s">
        <v>130</v>
      </c>
      <c r="B261" s="525"/>
      <c r="C261" s="526"/>
      <c r="D261" s="525"/>
      <c r="E261" s="525"/>
      <c r="F261" s="525"/>
      <c r="G261" s="525"/>
      <c r="H261" s="525"/>
      <c r="I261" s="525"/>
      <c r="J261" s="525"/>
      <c r="K261" s="525"/>
      <c r="L261" s="527"/>
      <c r="M261" s="527"/>
      <c r="N261" s="527"/>
      <c r="O261" s="527"/>
      <c r="P261" s="527"/>
      <c r="Q261" s="527"/>
      <c r="R261" s="527"/>
      <c r="S261" s="527"/>
      <c r="T261" s="527"/>
      <c r="U261" s="363">
        <f>Interim!FE332</f>
        <v>0.22508398656215</v>
      </c>
      <c r="V261" s="363">
        <f>Interim!FM332</f>
        <v>0.22073714054273</v>
      </c>
      <c r="W261" s="383">
        <f>Interim!FU332</f>
        <v>0.222923588039867</v>
      </c>
      <c r="X261" s="363"/>
      <c r="Y261" s="363"/>
      <c r="Z261" s="363"/>
      <c r="AA261" s="363"/>
      <c r="AB261" s="363"/>
      <c r="AC261" s="363"/>
      <c r="AE261" s="340"/>
      <c r="AQ261" s="530"/>
      <c r="AR261" s="530"/>
      <c r="AS261" s="530"/>
      <c r="AT261" s="345"/>
    </row>
    <row r="262" hidden="1" customHeight="1" outlineLevel="1" spans="1:46">
      <c r="A262" s="444" t="s">
        <v>131</v>
      </c>
      <c r="B262" s="525"/>
      <c r="C262" s="526"/>
      <c r="D262" s="525"/>
      <c r="E262" s="525"/>
      <c r="F262" s="525"/>
      <c r="G262" s="525"/>
      <c r="H262" s="525"/>
      <c r="I262" s="525"/>
      <c r="J262" s="525"/>
      <c r="K262" s="525"/>
      <c r="L262" s="527"/>
      <c r="M262" s="527"/>
      <c r="N262" s="527"/>
      <c r="O262" s="527"/>
      <c r="P262" s="527"/>
      <c r="Q262" s="527"/>
      <c r="R262" s="527"/>
      <c r="S262" s="527"/>
      <c r="T262" s="527"/>
      <c r="U262" s="356">
        <f>Interim!FE333</f>
        <v>617</v>
      </c>
      <c r="V262" s="356">
        <f>Interim!FM333</f>
        <v>866</v>
      </c>
      <c r="W262" s="357">
        <f>Interim!FU333</f>
        <v>1060</v>
      </c>
      <c r="X262" s="356"/>
      <c r="Y262" s="356"/>
      <c r="Z262" s="356"/>
      <c r="AA262" s="356"/>
      <c r="AB262" s="356"/>
      <c r="AC262" s="356"/>
      <c r="AE262" s="340"/>
      <c r="AQ262" s="530"/>
      <c r="AR262" s="530"/>
      <c r="AS262" s="530"/>
      <c r="AT262" s="345"/>
    </row>
    <row r="263" hidden="1" customHeight="1" outlineLevel="1" spans="1:46">
      <c r="A263" s="361" t="s">
        <v>61</v>
      </c>
      <c r="B263" s="525"/>
      <c r="C263" s="526"/>
      <c r="D263" s="525"/>
      <c r="E263" s="525"/>
      <c r="F263" s="525"/>
      <c r="G263" s="525"/>
      <c r="H263" s="525"/>
      <c r="I263" s="525"/>
      <c r="J263" s="525"/>
      <c r="K263" s="525"/>
      <c r="L263" s="527"/>
      <c r="M263" s="527"/>
      <c r="N263" s="527"/>
      <c r="O263" s="527"/>
      <c r="P263" s="527"/>
      <c r="Q263" s="527"/>
      <c r="R263" s="527"/>
      <c r="S263" s="527"/>
      <c r="T263" s="527"/>
      <c r="U263" s="363">
        <f>Interim!FE334</f>
        <v>0</v>
      </c>
      <c r="V263" s="363">
        <f>Interim!FM334</f>
        <v>0.403565640194489</v>
      </c>
      <c r="W263" s="383">
        <f>Interim!FU334</f>
        <v>0.224018475750577</v>
      </c>
      <c r="X263" s="363"/>
      <c r="Y263" s="363"/>
      <c r="Z263" s="363"/>
      <c r="AA263" s="363"/>
      <c r="AB263" s="363"/>
      <c r="AC263" s="363"/>
      <c r="AE263" s="340"/>
      <c r="AQ263" s="530"/>
      <c r="AR263" s="530"/>
      <c r="AS263" s="530"/>
      <c r="AT263" s="345"/>
    </row>
    <row r="264" hidden="1" customHeight="1" outlineLevel="1" spans="1:46">
      <c r="A264" s="361" t="s">
        <v>132</v>
      </c>
      <c r="B264" s="525"/>
      <c r="C264" s="526"/>
      <c r="D264" s="525"/>
      <c r="E264" s="525"/>
      <c r="F264" s="525"/>
      <c r="G264" s="525"/>
      <c r="H264" s="525"/>
      <c r="I264" s="525"/>
      <c r="J264" s="525"/>
      <c r="K264" s="525"/>
      <c r="L264" s="527"/>
      <c r="M264" s="527"/>
      <c r="N264" s="527"/>
      <c r="O264" s="527"/>
      <c r="P264" s="527"/>
      <c r="Q264" s="527"/>
      <c r="R264" s="527"/>
      <c r="S264" s="527"/>
      <c r="T264" s="527"/>
      <c r="U264" s="363">
        <f>Interim!FE335</f>
        <v>0.345464725643897</v>
      </c>
      <c r="V264" s="363">
        <f>Interim!FM335</f>
        <v>0.350749291211017</v>
      </c>
      <c r="W264" s="383">
        <f>Interim!FU335</f>
        <v>0.352159468438538</v>
      </c>
      <c r="X264" s="363"/>
      <c r="Y264" s="363"/>
      <c r="Z264" s="363"/>
      <c r="AA264" s="363"/>
      <c r="AB264" s="363"/>
      <c r="AC264" s="363"/>
      <c r="AE264" s="340"/>
      <c r="AQ264" s="530"/>
      <c r="AR264" s="530"/>
      <c r="AS264" s="530"/>
      <c r="AT264" s="345"/>
    </row>
    <row r="265" hidden="1" customHeight="1" outlineLevel="1" spans="1:46">
      <c r="A265" s="531" t="s">
        <v>104</v>
      </c>
      <c r="B265" s="525"/>
      <c r="C265" s="526"/>
      <c r="D265" s="525"/>
      <c r="E265" s="525"/>
      <c r="F265" s="525"/>
      <c r="G265" s="525"/>
      <c r="H265" s="525"/>
      <c r="I265" s="525"/>
      <c r="J265" s="525"/>
      <c r="K265" s="525"/>
      <c r="L265" s="527"/>
      <c r="M265" s="527"/>
      <c r="N265" s="527"/>
      <c r="O265" s="527"/>
      <c r="P265" s="527"/>
      <c r="Q265" s="527"/>
      <c r="R265" s="527"/>
      <c r="S265" s="527"/>
      <c r="T265" s="527"/>
      <c r="U265" s="532">
        <f>Interim!FE336</f>
        <v>0</v>
      </c>
      <c r="V265" s="532">
        <f>Interim!FM336</f>
        <v>0</v>
      </c>
      <c r="W265" s="533">
        <f>Interim!FU336</f>
        <v>0</v>
      </c>
      <c r="X265" s="532"/>
      <c r="Y265" s="532"/>
      <c r="Z265" s="532"/>
      <c r="AA265" s="532"/>
      <c r="AB265" s="532"/>
      <c r="AC265" s="532"/>
      <c r="AE265" s="340"/>
      <c r="AQ265" s="530"/>
      <c r="AR265" s="530"/>
      <c r="AS265" s="530"/>
      <c r="AT265" s="345"/>
    </row>
    <row r="266" hidden="1" customHeight="1" outlineLevel="1" spans="1:46">
      <c r="A266" s="361" t="s">
        <v>126</v>
      </c>
      <c r="B266" s="525"/>
      <c r="C266" s="526"/>
      <c r="D266" s="525"/>
      <c r="E266" s="525"/>
      <c r="F266" s="525"/>
      <c r="G266" s="525"/>
      <c r="H266" s="525"/>
      <c r="I266" s="525"/>
      <c r="J266" s="525"/>
      <c r="K266" s="525"/>
      <c r="L266" s="527"/>
      <c r="M266" s="527"/>
      <c r="N266" s="527"/>
      <c r="O266" s="527"/>
      <c r="P266" s="527"/>
      <c r="Q266" s="527"/>
      <c r="R266" s="527"/>
      <c r="S266" s="527"/>
      <c r="T266" s="527"/>
      <c r="U266" s="395">
        <f>Interim!FE337</f>
        <v>421</v>
      </c>
      <c r="V266" s="395">
        <f>Interim!FM337</f>
        <v>411</v>
      </c>
      <c r="W266" s="432">
        <f>Interim!FU337</f>
        <v>510</v>
      </c>
      <c r="X266" s="395"/>
      <c r="Y266" s="395"/>
      <c r="Z266" s="395"/>
      <c r="AA266" s="395"/>
      <c r="AB266" s="395"/>
      <c r="AC266" s="395"/>
      <c r="AE266" s="340"/>
      <c r="AQ266" s="530"/>
      <c r="AR266" s="530"/>
      <c r="AS266" s="530"/>
      <c r="AT266" s="345"/>
    </row>
    <row r="267" hidden="1" customHeight="1" outlineLevel="1" spans="1:46">
      <c r="A267" s="444" t="s">
        <v>127</v>
      </c>
      <c r="B267" s="525"/>
      <c r="C267" s="526"/>
      <c r="D267" s="525"/>
      <c r="E267" s="525"/>
      <c r="F267" s="525"/>
      <c r="G267" s="525"/>
      <c r="H267" s="525"/>
      <c r="I267" s="525"/>
      <c r="J267" s="525"/>
      <c r="K267" s="525"/>
      <c r="L267" s="527"/>
      <c r="M267" s="527"/>
      <c r="N267" s="527"/>
      <c r="O267" s="527"/>
      <c r="P267" s="527"/>
      <c r="Q267" s="527"/>
      <c r="R267" s="527"/>
      <c r="S267" s="527"/>
      <c r="T267" s="527"/>
      <c r="U267" s="356">
        <f>Interim!FE338</f>
        <v>323</v>
      </c>
      <c r="V267" s="356">
        <f>Interim!FM338</f>
        <v>365</v>
      </c>
      <c r="W267" s="357">
        <f>Interim!FU338</f>
        <v>497</v>
      </c>
      <c r="X267" s="356"/>
      <c r="Y267" s="356"/>
      <c r="Z267" s="356"/>
      <c r="AA267" s="356"/>
      <c r="AB267" s="356"/>
      <c r="AC267" s="356"/>
      <c r="AE267" s="340"/>
      <c r="AQ267" s="530"/>
      <c r="AR267" s="530"/>
      <c r="AS267" s="530"/>
      <c r="AT267" s="345"/>
    </row>
    <row r="268" hidden="1" customHeight="1" outlineLevel="1" spans="1:46">
      <c r="A268" s="361" t="s">
        <v>61</v>
      </c>
      <c r="B268" s="525"/>
      <c r="C268" s="526"/>
      <c r="D268" s="525"/>
      <c r="E268" s="525"/>
      <c r="F268" s="525"/>
      <c r="G268" s="525"/>
      <c r="H268" s="525"/>
      <c r="I268" s="525"/>
      <c r="J268" s="525"/>
      <c r="K268" s="525"/>
      <c r="L268" s="527"/>
      <c r="M268" s="527"/>
      <c r="N268" s="527"/>
      <c r="O268" s="527"/>
      <c r="P268" s="527"/>
      <c r="Q268" s="527"/>
      <c r="R268" s="527"/>
      <c r="S268" s="527"/>
      <c r="T268" s="527"/>
      <c r="U268" s="363">
        <f>Interim!FE339</f>
        <v>0</v>
      </c>
      <c r="V268" s="363">
        <f>Interim!FM339</f>
        <v>0.130030959752322</v>
      </c>
      <c r="W268" s="383">
        <f>Interim!FU339</f>
        <v>0.361643835616438</v>
      </c>
      <c r="X268" s="363"/>
      <c r="Y268" s="363"/>
      <c r="Z268" s="363"/>
      <c r="AA268" s="363"/>
      <c r="AB268" s="363"/>
      <c r="AC268" s="363"/>
      <c r="AE268" s="340"/>
      <c r="AQ268" s="530"/>
      <c r="AR268" s="530"/>
      <c r="AS268" s="530"/>
      <c r="AT268" s="345"/>
    </row>
    <row r="269" hidden="1" customHeight="1" outlineLevel="1" spans="1:46">
      <c r="A269" s="361" t="s">
        <v>128</v>
      </c>
      <c r="B269" s="525"/>
      <c r="C269" s="526"/>
      <c r="D269" s="525"/>
      <c r="E269" s="525"/>
      <c r="F269" s="525"/>
      <c r="G269" s="525"/>
      <c r="H269" s="525"/>
      <c r="I269" s="525"/>
      <c r="J269" s="525"/>
      <c r="K269" s="525"/>
      <c r="L269" s="527"/>
      <c r="M269" s="527"/>
      <c r="N269" s="527"/>
      <c r="O269" s="527"/>
      <c r="P269" s="527"/>
      <c r="Q269" s="527"/>
      <c r="R269" s="527"/>
      <c r="S269" s="527"/>
      <c r="T269" s="527"/>
      <c r="U269" s="363">
        <f>Interim!FE340</f>
        <v>0.434139784946237</v>
      </c>
      <c r="V269" s="363">
        <f>Interim!FM340</f>
        <v>0.470360824742268</v>
      </c>
      <c r="W269" s="383">
        <f>Interim!FU340</f>
        <v>0.493545183714002</v>
      </c>
      <c r="X269" s="363"/>
      <c r="Y269" s="363"/>
      <c r="Z269" s="363"/>
      <c r="AA269" s="363"/>
      <c r="AB269" s="363"/>
      <c r="AC269" s="363"/>
      <c r="AE269" s="340"/>
      <c r="AQ269" s="530"/>
      <c r="AR269" s="530"/>
      <c r="AS269" s="530"/>
      <c r="AT269" s="345"/>
    </row>
    <row r="270" hidden="1" customHeight="1" outlineLevel="1" spans="1:46">
      <c r="A270" s="361" t="s">
        <v>129</v>
      </c>
      <c r="B270" s="525"/>
      <c r="C270" s="526"/>
      <c r="D270" s="525"/>
      <c r="E270" s="525"/>
      <c r="F270" s="525"/>
      <c r="G270" s="525"/>
      <c r="H270" s="525"/>
      <c r="I270" s="525"/>
      <c r="J270" s="525"/>
      <c r="K270" s="525"/>
      <c r="L270" s="527"/>
      <c r="M270" s="527"/>
      <c r="N270" s="527"/>
      <c r="O270" s="527"/>
      <c r="P270" s="527"/>
      <c r="Q270" s="527"/>
      <c r="R270" s="527"/>
      <c r="S270" s="527"/>
      <c r="T270" s="527"/>
      <c r="U270" s="395">
        <f>Interim!FE341</f>
        <v>202</v>
      </c>
      <c r="V270" s="395">
        <f>Interim!FM341</f>
        <v>218</v>
      </c>
      <c r="W270" s="432">
        <f>Interim!FU341</f>
        <v>290</v>
      </c>
      <c r="X270" s="395"/>
      <c r="Y270" s="395"/>
      <c r="Z270" s="395"/>
      <c r="AA270" s="395"/>
      <c r="AB270" s="395"/>
      <c r="AC270" s="395"/>
      <c r="AE270" s="340"/>
      <c r="AQ270" s="530"/>
      <c r="AR270" s="530"/>
      <c r="AS270" s="530"/>
      <c r="AT270" s="345"/>
    </row>
    <row r="271" hidden="1" customHeight="1" outlineLevel="1" spans="1:46">
      <c r="A271" s="361" t="s">
        <v>61</v>
      </c>
      <c r="B271" s="525"/>
      <c r="C271" s="526"/>
      <c r="D271" s="525"/>
      <c r="E271" s="525"/>
      <c r="F271" s="525"/>
      <c r="G271" s="525"/>
      <c r="H271" s="525"/>
      <c r="I271" s="525"/>
      <c r="J271" s="525"/>
      <c r="K271" s="525"/>
      <c r="L271" s="527"/>
      <c r="M271" s="527"/>
      <c r="N271" s="527"/>
      <c r="O271" s="527"/>
      <c r="P271" s="527"/>
      <c r="Q271" s="527"/>
      <c r="R271" s="527"/>
      <c r="S271" s="527"/>
      <c r="T271" s="527"/>
      <c r="U271" s="363">
        <f>Interim!FE342</f>
        <v>0</v>
      </c>
      <c r="V271" s="363">
        <f>Interim!FM342</f>
        <v>0.0792079207920793</v>
      </c>
      <c r="W271" s="383">
        <f>Interim!FU342</f>
        <v>0.330275229357798</v>
      </c>
      <c r="X271" s="363"/>
      <c r="Y271" s="363"/>
      <c r="Z271" s="363"/>
      <c r="AA271" s="363"/>
      <c r="AB271" s="363"/>
      <c r="AC271" s="363"/>
      <c r="AE271" s="340"/>
      <c r="AQ271" s="530"/>
      <c r="AR271" s="530"/>
      <c r="AS271" s="530"/>
      <c r="AT271" s="345"/>
    </row>
    <row r="272" hidden="1" customHeight="1" outlineLevel="1" spans="1:46">
      <c r="A272" s="361" t="s">
        <v>130</v>
      </c>
      <c r="B272" s="525"/>
      <c r="C272" s="526"/>
      <c r="D272" s="525"/>
      <c r="E272" s="525"/>
      <c r="F272" s="525"/>
      <c r="G272" s="525"/>
      <c r="H272" s="525"/>
      <c r="I272" s="525"/>
      <c r="J272" s="525"/>
      <c r="K272" s="525"/>
      <c r="L272" s="527"/>
      <c r="M272" s="527"/>
      <c r="N272" s="527"/>
      <c r="O272" s="527"/>
      <c r="P272" s="527"/>
      <c r="Q272" s="527"/>
      <c r="R272" s="527"/>
      <c r="S272" s="527"/>
      <c r="T272" s="527"/>
      <c r="U272" s="363">
        <f>Interim!FE343</f>
        <v>0.271505376344086</v>
      </c>
      <c r="V272" s="363">
        <f>Interim!FM343</f>
        <v>0.280927835051546</v>
      </c>
      <c r="W272" s="383">
        <f>Interim!FU343</f>
        <v>0.28798411122145</v>
      </c>
      <c r="X272" s="363"/>
      <c r="Y272" s="363"/>
      <c r="Z272" s="363"/>
      <c r="AA272" s="363"/>
      <c r="AB272" s="363"/>
      <c r="AC272" s="363"/>
      <c r="AE272" s="340"/>
      <c r="AQ272" s="530"/>
      <c r="AR272" s="530"/>
      <c r="AS272" s="530"/>
      <c r="AT272" s="345"/>
    </row>
    <row r="273" hidden="1" customHeight="1" outlineLevel="1" spans="1:46">
      <c r="A273" s="444" t="s">
        <v>131</v>
      </c>
      <c r="B273" s="525"/>
      <c r="C273" s="526"/>
      <c r="D273" s="525"/>
      <c r="E273" s="525"/>
      <c r="F273" s="525"/>
      <c r="G273" s="525"/>
      <c r="H273" s="525"/>
      <c r="I273" s="525"/>
      <c r="J273" s="525"/>
      <c r="K273" s="525"/>
      <c r="L273" s="527"/>
      <c r="M273" s="527"/>
      <c r="N273" s="527"/>
      <c r="O273" s="527"/>
      <c r="P273" s="527"/>
      <c r="Q273" s="527"/>
      <c r="R273" s="527"/>
      <c r="S273" s="527"/>
      <c r="T273" s="527"/>
      <c r="U273" s="356">
        <f>Interim!FE344</f>
        <v>121</v>
      </c>
      <c r="V273" s="356">
        <f>Interim!FM344</f>
        <v>147</v>
      </c>
      <c r="W273" s="357">
        <f>Interim!FU344</f>
        <v>207</v>
      </c>
      <c r="X273" s="356"/>
      <c r="Y273" s="356"/>
      <c r="Z273" s="356"/>
      <c r="AA273" s="356"/>
      <c r="AB273" s="356"/>
      <c r="AC273" s="356"/>
      <c r="AE273" s="340"/>
      <c r="AQ273" s="530"/>
      <c r="AR273" s="530"/>
      <c r="AS273" s="530"/>
      <c r="AT273" s="345"/>
    </row>
    <row r="274" hidden="1" customHeight="1" outlineLevel="1" spans="1:46">
      <c r="A274" s="361" t="s">
        <v>61</v>
      </c>
      <c r="B274" s="525"/>
      <c r="C274" s="526"/>
      <c r="D274" s="525"/>
      <c r="E274" s="525"/>
      <c r="F274" s="525"/>
      <c r="G274" s="525"/>
      <c r="H274" s="525"/>
      <c r="I274" s="525"/>
      <c r="J274" s="525"/>
      <c r="K274" s="525"/>
      <c r="L274" s="527"/>
      <c r="M274" s="527"/>
      <c r="N274" s="527"/>
      <c r="O274" s="527"/>
      <c r="P274" s="527"/>
      <c r="Q274" s="527"/>
      <c r="R274" s="527"/>
      <c r="S274" s="527"/>
      <c r="T274" s="527"/>
      <c r="U274" s="363">
        <f>Interim!FE345</f>
        <v>0</v>
      </c>
      <c r="V274" s="363">
        <f>Interim!FM345</f>
        <v>0.214876033057851</v>
      </c>
      <c r="W274" s="383">
        <f>Interim!FU345</f>
        <v>0.408163265306122</v>
      </c>
      <c r="X274" s="363"/>
      <c r="Y274" s="363"/>
      <c r="Z274" s="363"/>
      <c r="AA274" s="363"/>
      <c r="AB274" s="363"/>
      <c r="AC274" s="363"/>
      <c r="AE274" s="340"/>
      <c r="AQ274" s="530"/>
      <c r="AR274" s="530"/>
      <c r="AS274" s="530"/>
      <c r="AT274" s="345"/>
    </row>
    <row r="275" hidden="1" customHeight="1" outlineLevel="1" spans="1:46">
      <c r="A275" s="361" t="s">
        <v>132</v>
      </c>
      <c r="B275" s="525"/>
      <c r="C275" s="526"/>
      <c r="D275" s="525"/>
      <c r="E275" s="525"/>
      <c r="F275" s="525"/>
      <c r="G275" s="525"/>
      <c r="H275" s="525"/>
      <c r="I275" s="525"/>
      <c r="J275" s="525"/>
      <c r="K275" s="525"/>
      <c r="L275" s="527"/>
      <c r="M275" s="527"/>
      <c r="N275" s="527"/>
      <c r="O275" s="527"/>
      <c r="P275" s="527"/>
      <c r="Q275" s="527"/>
      <c r="R275" s="527"/>
      <c r="S275" s="527"/>
      <c r="T275" s="527"/>
      <c r="U275" s="363">
        <f>Interim!FE346</f>
        <v>0.162634408602151</v>
      </c>
      <c r="V275" s="363">
        <f>Interim!FM346</f>
        <v>0.189432989690722</v>
      </c>
      <c r="W275" s="383">
        <f>Interim!FU346</f>
        <v>0.205561072492552</v>
      </c>
      <c r="X275" s="363"/>
      <c r="Y275" s="363"/>
      <c r="Z275" s="363"/>
      <c r="AA275" s="363"/>
      <c r="AB275" s="363"/>
      <c r="AC275" s="363"/>
      <c r="AE275" s="340"/>
      <c r="AQ275" s="530"/>
      <c r="AR275" s="530"/>
      <c r="AS275" s="530"/>
      <c r="AT275" s="345"/>
    </row>
    <row r="276" hidden="1" customHeight="1" outlineLevel="1" spans="1:46">
      <c r="A276" s="531" t="s">
        <v>115</v>
      </c>
      <c r="B276" s="525"/>
      <c r="C276" s="526"/>
      <c r="D276" s="525"/>
      <c r="E276" s="525"/>
      <c r="F276" s="525"/>
      <c r="G276" s="525"/>
      <c r="H276" s="525"/>
      <c r="I276" s="525"/>
      <c r="J276" s="525"/>
      <c r="K276" s="525"/>
      <c r="L276" s="527"/>
      <c r="M276" s="527"/>
      <c r="N276" s="527"/>
      <c r="O276" s="527"/>
      <c r="P276" s="527"/>
      <c r="Q276" s="527"/>
      <c r="R276" s="527"/>
      <c r="S276" s="527"/>
      <c r="T276" s="527"/>
      <c r="U276" s="532">
        <f>Interim!FE347</f>
        <v>0</v>
      </c>
      <c r="V276" s="532">
        <f>Interim!FM347</f>
        <v>0</v>
      </c>
      <c r="W276" s="533">
        <f>Interim!FU347</f>
        <v>0</v>
      </c>
      <c r="X276" s="532"/>
      <c r="Y276" s="532"/>
      <c r="Z276" s="532"/>
      <c r="AA276" s="532"/>
      <c r="AB276" s="532"/>
      <c r="AC276" s="532"/>
      <c r="AE276" s="340"/>
      <c r="AQ276" s="530"/>
      <c r="AR276" s="530"/>
      <c r="AS276" s="530"/>
      <c r="AT276" s="345"/>
    </row>
    <row r="277" hidden="1" customHeight="1" outlineLevel="1" spans="1:46">
      <c r="A277" s="361" t="s">
        <v>126</v>
      </c>
      <c r="B277" s="525"/>
      <c r="C277" s="526"/>
      <c r="D277" s="525"/>
      <c r="E277" s="525"/>
      <c r="F277" s="525"/>
      <c r="G277" s="525"/>
      <c r="H277" s="525"/>
      <c r="I277" s="525"/>
      <c r="J277" s="525"/>
      <c r="K277" s="525"/>
      <c r="L277" s="527"/>
      <c r="M277" s="527"/>
      <c r="N277" s="527"/>
      <c r="O277" s="527"/>
      <c r="P277" s="527"/>
      <c r="Q277" s="527"/>
      <c r="R277" s="527"/>
      <c r="S277" s="527"/>
      <c r="T277" s="527"/>
      <c r="U277" s="395">
        <f>Interim!FE348</f>
        <v>454</v>
      </c>
      <c r="V277" s="395">
        <f>Interim!FM348</f>
        <v>325</v>
      </c>
      <c r="W277" s="432">
        <f>Interim!FU348</f>
        <v>284</v>
      </c>
      <c r="X277" s="395"/>
      <c r="Y277" s="395"/>
      <c r="Z277" s="395"/>
      <c r="AA277" s="395"/>
      <c r="AB277" s="395"/>
      <c r="AC277" s="395"/>
      <c r="AE277" s="340"/>
      <c r="AQ277" s="530"/>
      <c r="AR277" s="530"/>
      <c r="AS277" s="530"/>
      <c r="AT277" s="345"/>
    </row>
    <row r="278" hidden="1" customHeight="1" outlineLevel="1" spans="1:46">
      <c r="A278" s="444" t="s">
        <v>127</v>
      </c>
      <c r="B278" s="525"/>
      <c r="C278" s="526"/>
      <c r="D278" s="525"/>
      <c r="E278" s="525"/>
      <c r="F278" s="525"/>
      <c r="G278" s="525"/>
      <c r="H278" s="525"/>
      <c r="I278" s="525"/>
      <c r="J278" s="525"/>
      <c r="K278" s="525"/>
      <c r="L278" s="527"/>
      <c r="M278" s="527"/>
      <c r="N278" s="527"/>
      <c r="O278" s="527"/>
      <c r="P278" s="527"/>
      <c r="Q278" s="527"/>
      <c r="R278" s="527"/>
      <c r="S278" s="527"/>
      <c r="T278" s="527"/>
      <c r="U278" s="356">
        <f>Interim!FE349</f>
        <v>644</v>
      </c>
      <c r="V278" s="356">
        <f>Interim!FM349</f>
        <v>414</v>
      </c>
      <c r="W278" s="357">
        <f>Interim!FU349</f>
        <v>395</v>
      </c>
      <c r="X278" s="356"/>
      <c r="Y278" s="356"/>
      <c r="Z278" s="356"/>
      <c r="AA278" s="356"/>
      <c r="AB278" s="356"/>
      <c r="AC278" s="356"/>
      <c r="AE278" s="340"/>
      <c r="AQ278" s="530"/>
      <c r="AR278" s="530"/>
      <c r="AS278" s="530"/>
      <c r="AT278" s="345"/>
    </row>
    <row r="279" hidden="1" customHeight="1" outlineLevel="1" spans="1:46">
      <c r="A279" s="361" t="s">
        <v>61</v>
      </c>
      <c r="B279" s="525"/>
      <c r="C279" s="526"/>
      <c r="D279" s="525"/>
      <c r="E279" s="525"/>
      <c r="F279" s="525"/>
      <c r="G279" s="525"/>
      <c r="H279" s="525"/>
      <c r="I279" s="525"/>
      <c r="J279" s="525"/>
      <c r="K279" s="525"/>
      <c r="L279" s="527"/>
      <c r="M279" s="527"/>
      <c r="N279" s="527"/>
      <c r="O279" s="527"/>
      <c r="P279" s="527"/>
      <c r="Q279" s="527"/>
      <c r="R279" s="527"/>
      <c r="S279" s="527"/>
      <c r="T279" s="527"/>
      <c r="U279" s="363">
        <f>Interim!FE350</f>
        <v>0</v>
      </c>
      <c r="V279" s="363">
        <f>Interim!FM350</f>
        <v>-0.357142857142857</v>
      </c>
      <c r="W279" s="383">
        <f>Interim!FU350</f>
        <v>-0.0458937198067633</v>
      </c>
      <c r="X279" s="363"/>
      <c r="Y279" s="363"/>
      <c r="Z279" s="363"/>
      <c r="AA279" s="363"/>
      <c r="AB279" s="363"/>
      <c r="AC279" s="363"/>
      <c r="AE279" s="340"/>
      <c r="AQ279" s="530"/>
      <c r="AR279" s="530"/>
      <c r="AS279" s="530"/>
      <c r="AT279" s="345"/>
    </row>
    <row r="280" hidden="1" customHeight="1" outlineLevel="1" spans="1:46">
      <c r="A280" s="361" t="s">
        <v>128</v>
      </c>
      <c r="B280" s="525"/>
      <c r="C280" s="526"/>
      <c r="D280" s="525"/>
      <c r="E280" s="525"/>
      <c r="F280" s="525"/>
      <c r="G280" s="525"/>
      <c r="H280" s="525"/>
      <c r="I280" s="525"/>
      <c r="J280" s="525"/>
      <c r="K280" s="525"/>
      <c r="L280" s="527"/>
      <c r="M280" s="527"/>
      <c r="N280" s="527"/>
      <c r="O280" s="527"/>
      <c r="P280" s="527"/>
      <c r="Q280" s="527"/>
      <c r="R280" s="527"/>
      <c r="S280" s="527"/>
      <c r="T280" s="527"/>
      <c r="U280" s="363">
        <f>Interim!FE351</f>
        <v>0.586520947176685</v>
      </c>
      <c r="V280" s="363">
        <f>Interim!FM351</f>
        <v>0.56021650879567</v>
      </c>
      <c r="W280" s="383">
        <f>Interim!FU351</f>
        <v>0.581737849779087</v>
      </c>
      <c r="X280" s="363"/>
      <c r="Y280" s="363"/>
      <c r="Z280" s="363"/>
      <c r="AA280" s="363"/>
      <c r="AB280" s="363"/>
      <c r="AC280" s="363"/>
      <c r="AE280" s="340"/>
      <c r="AQ280" s="530"/>
      <c r="AR280" s="530"/>
      <c r="AS280" s="530"/>
      <c r="AT280" s="345"/>
    </row>
    <row r="281" hidden="1" customHeight="1" outlineLevel="1" spans="1:46">
      <c r="A281" s="361" t="s">
        <v>129</v>
      </c>
      <c r="B281" s="525"/>
      <c r="C281" s="526"/>
      <c r="D281" s="525"/>
      <c r="E281" s="525"/>
      <c r="F281" s="525"/>
      <c r="G281" s="525"/>
      <c r="H281" s="525"/>
      <c r="I281" s="525"/>
      <c r="J281" s="525"/>
      <c r="K281" s="525"/>
      <c r="L281" s="527"/>
      <c r="M281" s="527"/>
      <c r="N281" s="527"/>
      <c r="O281" s="527"/>
      <c r="P281" s="527"/>
      <c r="Q281" s="527"/>
      <c r="R281" s="527"/>
      <c r="S281" s="527"/>
      <c r="T281" s="527"/>
      <c r="U281" s="395">
        <f>Interim!FE352</f>
        <v>471</v>
      </c>
      <c r="V281" s="395">
        <f>Interim!FM352</f>
        <v>329</v>
      </c>
      <c r="W281" s="432">
        <f>Interim!FU352</f>
        <v>290</v>
      </c>
      <c r="X281" s="395"/>
      <c r="Y281" s="395"/>
      <c r="Z281" s="395"/>
      <c r="AA281" s="395"/>
      <c r="AB281" s="395"/>
      <c r="AC281" s="395"/>
      <c r="AE281" s="340"/>
      <c r="AQ281" s="530"/>
      <c r="AR281" s="530"/>
      <c r="AS281" s="530"/>
      <c r="AT281" s="345"/>
    </row>
    <row r="282" hidden="1" customHeight="1" outlineLevel="1" spans="1:46">
      <c r="A282" s="361" t="s">
        <v>61</v>
      </c>
      <c r="B282" s="525"/>
      <c r="C282" s="526"/>
      <c r="D282" s="525"/>
      <c r="E282" s="525"/>
      <c r="F282" s="525"/>
      <c r="G282" s="525"/>
      <c r="H282" s="525"/>
      <c r="I282" s="525"/>
      <c r="J282" s="525"/>
      <c r="K282" s="525"/>
      <c r="L282" s="527"/>
      <c r="M282" s="527"/>
      <c r="N282" s="527"/>
      <c r="O282" s="527"/>
      <c r="P282" s="527"/>
      <c r="Q282" s="527"/>
      <c r="R282" s="527"/>
      <c r="S282" s="527"/>
      <c r="T282" s="527"/>
      <c r="U282" s="363">
        <f>Interim!FE353</f>
        <v>0</v>
      </c>
      <c r="V282" s="363">
        <f>Interim!FM353</f>
        <v>-0.301486199575372</v>
      </c>
      <c r="W282" s="383">
        <f>Interim!FU353</f>
        <v>-0.11854103343465</v>
      </c>
      <c r="X282" s="363"/>
      <c r="Y282" s="363"/>
      <c r="Z282" s="363"/>
      <c r="AA282" s="363"/>
      <c r="AB282" s="363"/>
      <c r="AC282" s="363"/>
      <c r="AE282" s="340"/>
      <c r="AQ282" s="530"/>
      <c r="AR282" s="530"/>
      <c r="AS282" s="530"/>
      <c r="AT282" s="345"/>
    </row>
    <row r="283" hidden="1" customHeight="1" outlineLevel="1" spans="1:46">
      <c r="A283" s="361" t="s">
        <v>130</v>
      </c>
      <c r="B283" s="525"/>
      <c r="C283" s="526"/>
      <c r="D283" s="525"/>
      <c r="E283" s="525"/>
      <c r="F283" s="525"/>
      <c r="G283" s="525"/>
      <c r="H283" s="525"/>
      <c r="I283" s="525"/>
      <c r="J283" s="525"/>
      <c r="K283" s="525"/>
      <c r="L283" s="527"/>
      <c r="M283" s="527"/>
      <c r="N283" s="527"/>
      <c r="O283" s="527"/>
      <c r="P283" s="527"/>
      <c r="Q283" s="527"/>
      <c r="R283" s="527"/>
      <c r="S283" s="527"/>
      <c r="T283" s="527"/>
      <c r="U283" s="363">
        <f>Interim!FE354</f>
        <v>0.42896174863388</v>
      </c>
      <c r="V283" s="363">
        <f>Interim!FM354</f>
        <v>0.445196211096076</v>
      </c>
      <c r="W283" s="383">
        <f>Interim!FU354</f>
        <v>0.427098674521355</v>
      </c>
      <c r="X283" s="363"/>
      <c r="Y283" s="363"/>
      <c r="Z283" s="363"/>
      <c r="AA283" s="363"/>
      <c r="AB283" s="363"/>
      <c r="AC283" s="363"/>
      <c r="AE283" s="340"/>
      <c r="AQ283" s="530"/>
      <c r="AR283" s="530"/>
      <c r="AS283" s="530"/>
      <c r="AT283" s="345"/>
    </row>
    <row r="284" hidden="1" customHeight="1" outlineLevel="1" spans="1:46">
      <c r="A284" s="444" t="s">
        <v>131</v>
      </c>
      <c r="B284" s="525"/>
      <c r="C284" s="526"/>
      <c r="D284" s="525"/>
      <c r="E284" s="525"/>
      <c r="F284" s="525"/>
      <c r="G284" s="525"/>
      <c r="H284" s="525"/>
      <c r="I284" s="525"/>
      <c r="J284" s="525"/>
      <c r="K284" s="525"/>
      <c r="L284" s="527"/>
      <c r="M284" s="527"/>
      <c r="N284" s="527"/>
      <c r="O284" s="527"/>
      <c r="P284" s="527"/>
      <c r="Q284" s="527"/>
      <c r="R284" s="527"/>
      <c r="S284" s="527"/>
      <c r="T284" s="527"/>
      <c r="U284" s="356">
        <f>Interim!FE355</f>
        <v>173</v>
      </c>
      <c r="V284" s="356">
        <f>Interim!FM355</f>
        <v>85</v>
      </c>
      <c r="W284" s="357">
        <f>Interim!FU355</f>
        <v>105</v>
      </c>
      <c r="X284" s="356"/>
      <c r="Y284" s="356"/>
      <c r="Z284" s="356"/>
      <c r="AA284" s="356"/>
      <c r="AB284" s="356"/>
      <c r="AC284" s="356"/>
      <c r="AE284" s="340"/>
      <c r="AQ284" s="530"/>
      <c r="AR284" s="530"/>
      <c r="AS284" s="530"/>
      <c r="AT284" s="345"/>
    </row>
    <row r="285" hidden="1" customHeight="1" outlineLevel="1" spans="1:46">
      <c r="A285" s="361" t="s">
        <v>61</v>
      </c>
      <c r="B285" s="525"/>
      <c r="C285" s="526"/>
      <c r="D285" s="525"/>
      <c r="E285" s="525"/>
      <c r="F285" s="525"/>
      <c r="G285" s="525"/>
      <c r="H285" s="525"/>
      <c r="I285" s="525"/>
      <c r="J285" s="525"/>
      <c r="K285" s="525"/>
      <c r="L285" s="527"/>
      <c r="M285" s="527"/>
      <c r="N285" s="527"/>
      <c r="O285" s="527"/>
      <c r="P285" s="527"/>
      <c r="Q285" s="527"/>
      <c r="R285" s="527"/>
      <c r="S285" s="527"/>
      <c r="T285" s="527"/>
      <c r="U285" s="363">
        <f>Interim!FE356</f>
        <v>0</v>
      </c>
      <c r="V285" s="363">
        <f>Interim!FM356</f>
        <v>-0.508670520231214</v>
      </c>
      <c r="W285" s="383">
        <f>Interim!FU356</f>
        <v>0.235294117647059</v>
      </c>
      <c r="X285" s="363"/>
      <c r="Y285" s="363"/>
      <c r="Z285" s="363"/>
      <c r="AA285" s="363"/>
      <c r="AB285" s="363"/>
      <c r="AC285" s="363"/>
      <c r="AE285" s="340"/>
      <c r="AQ285" s="530"/>
      <c r="AR285" s="530"/>
      <c r="AS285" s="530"/>
      <c r="AT285" s="345"/>
    </row>
    <row r="286" hidden="1" customHeight="1" outlineLevel="1" spans="1:46">
      <c r="A286" s="361" t="s">
        <v>132</v>
      </c>
      <c r="B286" s="525"/>
      <c r="C286" s="526"/>
      <c r="D286" s="525"/>
      <c r="E286" s="525"/>
      <c r="F286" s="525"/>
      <c r="G286" s="525"/>
      <c r="H286" s="525"/>
      <c r="I286" s="525"/>
      <c r="J286" s="525"/>
      <c r="K286" s="525"/>
      <c r="L286" s="527"/>
      <c r="M286" s="527"/>
      <c r="N286" s="527"/>
      <c r="O286" s="527"/>
      <c r="P286" s="527"/>
      <c r="Q286" s="527"/>
      <c r="R286" s="527"/>
      <c r="S286" s="527"/>
      <c r="T286" s="527"/>
      <c r="U286" s="363">
        <f>Interim!FE357</f>
        <v>0.157559198542805</v>
      </c>
      <c r="V286" s="363">
        <f>Interim!FM357</f>
        <v>0.115020297699594</v>
      </c>
      <c r="W286" s="383">
        <f>Interim!FU357</f>
        <v>0.154639175257732</v>
      </c>
      <c r="X286" s="363"/>
      <c r="Y286" s="363"/>
      <c r="Z286" s="363"/>
      <c r="AA286" s="363"/>
      <c r="AB286" s="363"/>
      <c r="AC286" s="363"/>
      <c r="AE286" s="340"/>
      <c r="AQ286" s="530"/>
      <c r="AR286" s="530"/>
      <c r="AS286" s="530"/>
      <c r="AT286" s="345"/>
    </row>
    <row r="287" hidden="1" customHeight="1" outlineLevel="1" spans="1:46">
      <c r="A287" s="531" t="s">
        <v>116</v>
      </c>
      <c r="B287" s="525"/>
      <c r="C287" s="526"/>
      <c r="D287" s="525"/>
      <c r="E287" s="525"/>
      <c r="F287" s="525"/>
      <c r="G287" s="525"/>
      <c r="H287" s="525"/>
      <c r="I287" s="525"/>
      <c r="J287" s="525"/>
      <c r="K287" s="525"/>
      <c r="L287" s="527"/>
      <c r="M287" s="527"/>
      <c r="N287" s="527"/>
      <c r="O287" s="527"/>
      <c r="P287" s="527"/>
      <c r="Q287" s="527"/>
      <c r="R287" s="527"/>
      <c r="S287" s="527"/>
      <c r="T287" s="527"/>
      <c r="U287" s="532">
        <f>Interim!FE358</f>
        <v>0</v>
      </c>
      <c r="V287" s="532">
        <f>Interim!FM358</f>
        <v>0</v>
      </c>
      <c r="W287" s="533">
        <f>Interim!FU358</f>
        <v>0</v>
      </c>
      <c r="X287" s="532"/>
      <c r="Y287" s="532"/>
      <c r="Z287" s="532"/>
      <c r="AA287" s="532"/>
      <c r="AB287" s="532"/>
      <c r="AC287" s="532"/>
      <c r="AE287" s="340"/>
      <c r="AQ287" s="530"/>
      <c r="AR287" s="530"/>
      <c r="AS287" s="530"/>
      <c r="AT287" s="345"/>
    </row>
    <row r="288" hidden="1" customHeight="1" outlineLevel="1" spans="1:46">
      <c r="A288" s="361" t="s">
        <v>126</v>
      </c>
      <c r="B288" s="525"/>
      <c r="C288" s="526"/>
      <c r="D288" s="525"/>
      <c r="E288" s="525"/>
      <c r="F288" s="525"/>
      <c r="G288" s="525"/>
      <c r="H288" s="525"/>
      <c r="I288" s="525"/>
      <c r="J288" s="525"/>
      <c r="K288" s="525"/>
      <c r="L288" s="527"/>
      <c r="M288" s="527"/>
      <c r="N288" s="527"/>
      <c r="O288" s="527"/>
      <c r="P288" s="527"/>
      <c r="Q288" s="527"/>
      <c r="R288" s="527"/>
      <c r="S288" s="527"/>
      <c r="T288" s="527"/>
      <c r="U288" s="395">
        <f>Interim!FE359</f>
        <v>930</v>
      </c>
      <c r="V288" s="395">
        <f>Interim!FM359</f>
        <v>1160</v>
      </c>
      <c r="W288" s="432">
        <f>Interim!FU359</f>
        <v>1341</v>
      </c>
      <c r="X288" s="395"/>
      <c r="Y288" s="395"/>
      <c r="Z288" s="395"/>
      <c r="AA288" s="395"/>
      <c r="AB288" s="395"/>
      <c r="AC288" s="395"/>
      <c r="AE288" s="340"/>
      <c r="AQ288" s="530"/>
      <c r="AR288" s="530"/>
      <c r="AS288" s="530"/>
      <c r="AT288" s="345"/>
    </row>
    <row r="289" hidden="1" customHeight="1" outlineLevel="1" spans="1:46">
      <c r="A289" s="444" t="s">
        <v>127</v>
      </c>
      <c r="B289" s="525"/>
      <c r="C289" s="526"/>
      <c r="D289" s="525"/>
      <c r="E289" s="525"/>
      <c r="F289" s="525"/>
      <c r="G289" s="525"/>
      <c r="H289" s="525"/>
      <c r="I289" s="525"/>
      <c r="J289" s="525"/>
      <c r="K289" s="525"/>
      <c r="L289" s="527"/>
      <c r="M289" s="527"/>
      <c r="N289" s="527"/>
      <c r="O289" s="527"/>
      <c r="P289" s="527"/>
      <c r="Q289" s="527"/>
      <c r="R289" s="527"/>
      <c r="S289" s="527"/>
      <c r="T289" s="527"/>
      <c r="U289" s="356">
        <f>Interim!FE360</f>
        <v>995</v>
      </c>
      <c r="V289" s="356">
        <f>Interim!FM360</f>
        <v>1228</v>
      </c>
      <c r="W289" s="357">
        <f>Interim!FU360</f>
        <v>1344</v>
      </c>
      <c r="X289" s="356"/>
      <c r="Y289" s="356"/>
      <c r="Z289" s="356"/>
      <c r="AA289" s="356"/>
      <c r="AB289" s="356"/>
      <c r="AC289" s="356"/>
      <c r="AE289" s="340"/>
      <c r="AQ289" s="530"/>
      <c r="AR289" s="530"/>
      <c r="AS289" s="530"/>
      <c r="AT289" s="345"/>
    </row>
    <row r="290" hidden="1" customHeight="1" outlineLevel="1" spans="1:46">
      <c r="A290" s="361" t="s">
        <v>61</v>
      </c>
      <c r="B290" s="525"/>
      <c r="C290" s="526"/>
      <c r="D290" s="525"/>
      <c r="E290" s="525"/>
      <c r="F290" s="525"/>
      <c r="G290" s="525"/>
      <c r="H290" s="525"/>
      <c r="I290" s="525"/>
      <c r="J290" s="525"/>
      <c r="K290" s="525"/>
      <c r="L290" s="527"/>
      <c r="M290" s="527"/>
      <c r="N290" s="527"/>
      <c r="O290" s="527"/>
      <c r="P290" s="527"/>
      <c r="Q290" s="527"/>
      <c r="R290" s="527"/>
      <c r="S290" s="527"/>
      <c r="T290" s="527"/>
      <c r="U290" s="363"/>
      <c r="V290" s="363">
        <f>Interim!FM361</f>
        <v>0.234170854271357</v>
      </c>
      <c r="W290" s="383">
        <f>Interim!FU361</f>
        <v>0.0944625407166124</v>
      </c>
      <c r="X290" s="363"/>
      <c r="Y290" s="363"/>
      <c r="Z290" s="363"/>
      <c r="AA290" s="363"/>
      <c r="AB290" s="363"/>
      <c r="AC290" s="363"/>
      <c r="AD290" s="362"/>
      <c r="AE290" s="340"/>
      <c r="AQ290" s="530"/>
      <c r="AR290" s="530"/>
      <c r="AS290" s="530"/>
      <c r="AT290" s="345"/>
    </row>
    <row r="291" hidden="1" customHeight="1" outlineLevel="1" spans="1:46">
      <c r="A291" s="361" t="s">
        <v>128</v>
      </c>
      <c r="B291" s="525"/>
      <c r="C291" s="526"/>
      <c r="D291" s="525"/>
      <c r="E291" s="525"/>
      <c r="F291" s="525"/>
      <c r="G291" s="525"/>
      <c r="H291" s="525"/>
      <c r="I291" s="525"/>
      <c r="J291" s="525"/>
      <c r="K291" s="525"/>
      <c r="L291" s="527"/>
      <c r="M291" s="527"/>
      <c r="N291" s="527"/>
      <c r="O291" s="527"/>
      <c r="P291" s="527"/>
      <c r="Q291" s="527"/>
      <c r="R291" s="527"/>
      <c r="S291" s="527"/>
      <c r="T291" s="527"/>
      <c r="U291" s="363">
        <f>Interim!FE362</f>
        <v>0.516883116883117</v>
      </c>
      <c r="V291" s="363">
        <f>Interim!FM362</f>
        <v>0.514237855946399</v>
      </c>
      <c r="W291" s="383">
        <f>Interim!FU362</f>
        <v>0.500558659217877</v>
      </c>
      <c r="X291" s="363"/>
      <c r="Y291" s="363"/>
      <c r="Z291" s="363"/>
      <c r="AA291" s="363"/>
      <c r="AB291" s="363"/>
      <c r="AC291" s="363"/>
      <c r="AE291" s="340"/>
      <c r="AQ291" s="530"/>
      <c r="AR291" s="530"/>
      <c r="AS291" s="530"/>
      <c r="AT291" s="345"/>
    </row>
    <row r="292" hidden="1" customHeight="1" outlineLevel="1" spans="1:46">
      <c r="A292" s="361" t="s">
        <v>129</v>
      </c>
      <c r="B292" s="525"/>
      <c r="C292" s="526"/>
      <c r="D292" s="525"/>
      <c r="E292" s="525"/>
      <c r="F292" s="525"/>
      <c r="G292" s="525"/>
      <c r="H292" s="525"/>
      <c r="I292" s="525"/>
      <c r="J292" s="525"/>
      <c r="K292" s="525"/>
      <c r="L292" s="527"/>
      <c r="M292" s="527"/>
      <c r="N292" s="527"/>
      <c r="O292" s="527"/>
      <c r="P292" s="527"/>
      <c r="Q292" s="527"/>
      <c r="R292" s="527"/>
      <c r="S292" s="527"/>
      <c r="T292" s="527"/>
      <c r="U292" s="395">
        <f>Interim!FE363</f>
        <v>439</v>
      </c>
      <c r="V292" s="395">
        <f>Interim!FM363</f>
        <v>564</v>
      </c>
      <c r="W292" s="432">
        <f>Interim!FU363</f>
        <v>622</v>
      </c>
      <c r="X292" s="395"/>
      <c r="Y292" s="395"/>
      <c r="Z292" s="395"/>
      <c r="AA292" s="395"/>
      <c r="AB292" s="395"/>
      <c r="AC292" s="395"/>
      <c r="AE292" s="340"/>
      <c r="AQ292" s="530"/>
      <c r="AR292" s="530"/>
      <c r="AS292" s="530"/>
      <c r="AT292" s="345"/>
    </row>
    <row r="293" hidden="1" customHeight="1" outlineLevel="1" spans="1:46">
      <c r="A293" s="361" t="s">
        <v>61</v>
      </c>
      <c r="B293" s="525"/>
      <c r="C293" s="526"/>
      <c r="D293" s="525"/>
      <c r="E293" s="525"/>
      <c r="F293" s="525"/>
      <c r="G293" s="525"/>
      <c r="H293" s="525"/>
      <c r="I293" s="525"/>
      <c r="J293" s="525"/>
      <c r="K293" s="525"/>
      <c r="L293" s="527"/>
      <c r="M293" s="527"/>
      <c r="N293" s="527"/>
      <c r="O293" s="527"/>
      <c r="P293" s="527"/>
      <c r="Q293" s="527"/>
      <c r="R293" s="527"/>
      <c r="S293" s="527"/>
      <c r="T293" s="527"/>
      <c r="U293" s="363">
        <f>Interim!FE364</f>
        <v>0</v>
      </c>
      <c r="V293" s="363">
        <f>Interim!FM364</f>
        <v>0.284738041002278</v>
      </c>
      <c r="W293" s="383">
        <f>Interim!FU364</f>
        <v>0.102836879432624</v>
      </c>
      <c r="X293" s="363"/>
      <c r="Y293" s="363"/>
      <c r="Z293" s="363"/>
      <c r="AA293" s="363"/>
      <c r="AB293" s="363"/>
      <c r="AC293" s="363"/>
      <c r="AE293" s="340"/>
      <c r="AQ293" s="530"/>
      <c r="AR293" s="530"/>
      <c r="AS293" s="530"/>
      <c r="AT293" s="345"/>
    </row>
    <row r="294" hidden="1" customHeight="1" outlineLevel="1" spans="1:46">
      <c r="A294" s="361" t="s">
        <v>130</v>
      </c>
      <c r="B294" s="525"/>
      <c r="C294" s="526"/>
      <c r="D294" s="525"/>
      <c r="E294" s="525"/>
      <c r="F294" s="525"/>
      <c r="G294" s="525"/>
      <c r="H294" s="525"/>
      <c r="I294" s="525"/>
      <c r="J294" s="525"/>
      <c r="K294" s="525"/>
      <c r="L294" s="527"/>
      <c r="M294" s="527"/>
      <c r="N294" s="527"/>
      <c r="O294" s="527"/>
      <c r="P294" s="527"/>
      <c r="Q294" s="527"/>
      <c r="R294" s="527"/>
      <c r="S294" s="527"/>
      <c r="T294" s="527"/>
      <c r="U294" s="363">
        <f>Interim!FE365</f>
        <v>0.228051948051948</v>
      </c>
      <c r="V294" s="363">
        <f>Interim!FM365</f>
        <v>0.236180904522613</v>
      </c>
      <c r="W294" s="383">
        <f>Interim!FU365</f>
        <v>0.231657355679702</v>
      </c>
      <c r="X294" s="363"/>
      <c r="Y294" s="363"/>
      <c r="Z294" s="363"/>
      <c r="AA294" s="363"/>
      <c r="AB294" s="363"/>
      <c r="AC294" s="363"/>
      <c r="AE294" s="340"/>
      <c r="AQ294" s="530"/>
      <c r="AR294" s="530"/>
      <c r="AS294" s="530"/>
      <c r="AT294" s="345"/>
    </row>
    <row r="295" hidden="1" customHeight="1" outlineLevel="1" spans="1:46">
      <c r="A295" s="444" t="s">
        <v>131</v>
      </c>
      <c r="B295" s="525"/>
      <c r="C295" s="526"/>
      <c r="D295" s="525"/>
      <c r="E295" s="525"/>
      <c r="F295" s="525"/>
      <c r="G295" s="525"/>
      <c r="H295" s="525"/>
      <c r="I295" s="525"/>
      <c r="J295" s="525"/>
      <c r="K295" s="525"/>
      <c r="L295" s="527"/>
      <c r="M295" s="527"/>
      <c r="N295" s="527"/>
      <c r="O295" s="527"/>
      <c r="P295" s="527"/>
      <c r="Q295" s="527"/>
      <c r="R295" s="527"/>
      <c r="S295" s="527"/>
      <c r="T295" s="527"/>
      <c r="U295" s="356">
        <f>Interim!FE366</f>
        <v>556</v>
      </c>
      <c r="V295" s="356">
        <f>Interim!FM366</f>
        <v>664</v>
      </c>
      <c r="W295" s="357">
        <f>Interim!FU366</f>
        <v>722</v>
      </c>
      <c r="X295" s="356"/>
      <c r="Y295" s="356"/>
      <c r="Z295" s="356"/>
      <c r="AA295" s="356"/>
      <c r="AB295" s="356"/>
      <c r="AC295" s="356"/>
      <c r="AE295" s="340"/>
      <c r="AQ295" s="530"/>
      <c r="AR295" s="530"/>
      <c r="AS295" s="530"/>
      <c r="AT295" s="345"/>
    </row>
    <row r="296" hidden="1" customHeight="1" outlineLevel="1" spans="1:46">
      <c r="A296" s="361" t="s">
        <v>61</v>
      </c>
      <c r="B296" s="525"/>
      <c r="C296" s="526"/>
      <c r="D296" s="525"/>
      <c r="E296" s="525"/>
      <c r="F296" s="525"/>
      <c r="G296" s="525"/>
      <c r="H296" s="525"/>
      <c r="I296" s="525"/>
      <c r="J296" s="525"/>
      <c r="K296" s="525"/>
      <c r="L296" s="527"/>
      <c r="M296" s="527"/>
      <c r="N296" s="527"/>
      <c r="O296" s="527"/>
      <c r="P296" s="527"/>
      <c r="Q296" s="527"/>
      <c r="R296" s="527"/>
      <c r="S296" s="527"/>
      <c r="T296" s="527"/>
      <c r="U296" s="363">
        <f>Interim!FE367</f>
        <v>0</v>
      </c>
      <c r="V296" s="363">
        <f>Interim!FM367</f>
        <v>0.194244604316547</v>
      </c>
      <c r="W296" s="383">
        <f>Interim!FU367</f>
        <v>0.0873493975903614</v>
      </c>
      <c r="X296" s="363"/>
      <c r="Y296" s="363"/>
      <c r="Z296" s="363"/>
      <c r="AA296" s="363"/>
      <c r="AB296" s="363"/>
      <c r="AC296" s="363"/>
      <c r="AE296" s="340"/>
      <c r="AQ296" s="530"/>
      <c r="AR296" s="530"/>
      <c r="AS296" s="530"/>
      <c r="AT296" s="345"/>
    </row>
    <row r="297" hidden="1" customHeight="1" outlineLevel="1" spans="1:46">
      <c r="A297" s="361" t="s">
        <v>132</v>
      </c>
      <c r="B297" s="525"/>
      <c r="C297" s="526"/>
      <c r="D297" s="525"/>
      <c r="E297" s="525"/>
      <c r="F297" s="525"/>
      <c r="G297" s="525"/>
      <c r="H297" s="525"/>
      <c r="I297" s="525"/>
      <c r="J297" s="525"/>
      <c r="K297" s="525"/>
      <c r="L297" s="527"/>
      <c r="M297" s="527"/>
      <c r="N297" s="527"/>
      <c r="O297" s="527"/>
      <c r="P297" s="527"/>
      <c r="Q297" s="527"/>
      <c r="R297" s="527"/>
      <c r="S297" s="527"/>
      <c r="T297" s="527"/>
      <c r="U297" s="363">
        <f>Interim!FE368</f>
        <v>0.288831168831169</v>
      </c>
      <c r="V297" s="363">
        <f>Interim!FM368</f>
        <v>0.278056951423786</v>
      </c>
      <c r="W297" s="383">
        <f>Interim!FU368</f>
        <v>0.268901303538175</v>
      </c>
      <c r="X297" s="363"/>
      <c r="Y297" s="363"/>
      <c r="Z297" s="363"/>
      <c r="AA297" s="363"/>
      <c r="AB297" s="363"/>
      <c r="AC297" s="363"/>
      <c r="AE297" s="340"/>
      <c r="AQ297" s="530"/>
      <c r="AR297" s="530"/>
      <c r="AS297" s="530"/>
      <c r="AT297" s="345"/>
    </row>
    <row r="298" hidden="1" customHeight="1" outlineLevel="1" spans="1:46">
      <c r="A298" s="539" t="s">
        <v>135</v>
      </c>
      <c r="B298" s="525"/>
      <c r="C298" s="526"/>
      <c r="D298" s="525"/>
      <c r="E298" s="525"/>
      <c r="F298" s="525"/>
      <c r="G298" s="525"/>
      <c r="H298" s="525"/>
      <c r="I298" s="525"/>
      <c r="J298" s="525"/>
      <c r="K298" s="525"/>
      <c r="L298" s="527"/>
      <c r="M298" s="527"/>
      <c r="N298" s="527"/>
      <c r="O298" s="527"/>
      <c r="P298" s="527"/>
      <c r="Q298" s="527"/>
      <c r="R298" s="527"/>
      <c r="S298" s="527"/>
      <c r="T298" s="527"/>
      <c r="U298" s="540">
        <f>Interim!FE369</f>
        <v>5415.426</v>
      </c>
      <c r="V298" s="540">
        <f>Interim!FM369</f>
        <v>6460.004</v>
      </c>
      <c r="W298" s="541">
        <f>Interim!FU369</f>
        <v>7446.69</v>
      </c>
      <c r="X298" s="540"/>
      <c r="Y298" s="540"/>
      <c r="Z298" s="540"/>
      <c r="AA298" s="540"/>
      <c r="AB298" s="540"/>
      <c r="AC298" s="540"/>
      <c r="AE298" s="340"/>
      <c r="AQ298" s="530"/>
      <c r="AR298" s="530"/>
      <c r="AS298" s="530"/>
      <c r="AT298" s="345"/>
    </row>
    <row r="299" hidden="1" customHeight="1" outlineLevel="1" spans="1:46">
      <c r="A299" s="361" t="s">
        <v>61</v>
      </c>
      <c r="B299" s="525"/>
      <c r="C299" s="526"/>
      <c r="D299" s="525"/>
      <c r="E299" s="525"/>
      <c r="F299" s="525"/>
      <c r="G299" s="525"/>
      <c r="H299" s="525"/>
      <c r="I299" s="525"/>
      <c r="J299" s="525"/>
      <c r="K299" s="525"/>
      <c r="L299" s="527"/>
      <c r="M299" s="527"/>
      <c r="N299" s="527"/>
      <c r="O299" s="527"/>
      <c r="P299" s="527"/>
      <c r="Q299" s="527"/>
      <c r="R299" s="527"/>
      <c r="S299" s="527"/>
      <c r="T299" s="527"/>
      <c r="U299" s="518">
        <f>Interim!FE370</f>
        <v>0</v>
      </c>
      <c r="V299" s="518">
        <f>Interim!FM370</f>
        <v>0.192889349794458</v>
      </c>
      <c r="W299" s="516">
        <f>Interim!FU370</f>
        <v>0.15273767632342</v>
      </c>
      <c r="X299" s="518"/>
      <c r="Y299" s="518"/>
      <c r="Z299" s="518"/>
      <c r="AA299" s="518"/>
      <c r="AB299" s="518"/>
      <c r="AC299" s="518"/>
      <c r="AE299" s="340"/>
      <c r="AF299" s="362"/>
      <c r="AQ299" s="530"/>
      <c r="AR299" s="530"/>
      <c r="AS299" s="530"/>
      <c r="AT299" s="345"/>
    </row>
    <row r="300" hidden="1" customHeight="1" outlineLevel="1" spans="1:46">
      <c r="A300" s="361" t="s">
        <v>128</v>
      </c>
      <c r="B300" s="525"/>
      <c r="C300" s="526"/>
      <c r="D300" s="525"/>
      <c r="E300" s="525"/>
      <c r="F300" s="525"/>
      <c r="G300" s="525"/>
      <c r="H300" s="525"/>
      <c r="I300" s="525"/>
      <c r="J300" s="525"/>
      <c r="K300" s="525"/>
      <c r="L300" s="527"/>
      <c r="M300" s="527"/>
      <c r="N300" s="527"/>
      <c r="O300" s="527"/>
      <c r="P300" s="527"/>
      <c r="Q300" s="527"/>
      <c r="R300" s="527"/>
      <c r="S300" s="527"/>
      <c r="T300" s="527"/>
      <c r="U300" s="363">
        <f>Interim!FE371</f>
        <v>0.466686142709411</v>
      </c>
      <c r="V300" s="363">
        <f>Interim!FM371</f>
        <v>0.471257951561132</v>
      </c>
      <c r="W300" s="383">
        <f>Interim!FU371</f>
        <v>0.463939318422528</v>
      </c>
      <c r="X300" s="363"/>
      <c r="Y300" s="363"/>
      <c r="Z300" s="363"/>
      <c r="AA300" s="363"/>
      <c r="AB300" s="363"/>
      <c r="AC300" s="363"/>
      <c r="AE300" s="340"/>
      <c r="AQ300" s="530"/>
      <c r="AR300" s="530"/>
      <c r="AS300" s="530"/>
      <c r="AT300" s="345"/>
    </row>
    <row r="301" hidden="1" customHeight="1" outlineLevel="1" spans="1:46">
      <c r="A301" s="539" t="s">
        <v>136</v>
      </c>
      <c r="B301" s="525"/>
      <c r="C301" s="526"/>
      <c r="D301" s="525"/>
      <c r="E301" s="525"/>
      <c r="F301" s="525"/>
      <c r="G301" s="525"/>
      <c r="H301" s="525"/>
      <c r="I301" s="525"/>
      <c r="J301" s="525"/>
      <c r="K301" s="525"/>
      <c r="L301" s="527"/>
      <c r="M301" s="527"/>
      <c r="N301" s="527"/>
      <c r="O301" s="527"/>
      <c r="P301" s="527"/>
      <c r="Q301" s="527"/>
      <c r="R301" s="527"/>
      <c r="S301" s="527"/>
      <c r="T301" s="527"/>
      <c r="U301" s="540">
        <f>Interim!FE372</f>
        <v>582.149</v>
      </c>
      <c r="V301" s="540">
        <f>Interim!FM372</f>
        <v>647.554</v>
      </c>
      <c r="W301" s="541">
        <f>Interim!FU372</f>
        <v>647.92</v>
      </c>
      <c r="X301" s="540"/>
      <c r="Y301" s="540"/>
      <c r="Z301" s="540"/>
      <c r="AA301" s="540"/>
      <c r="AB301" s="540"/>
      <c r="AC301" s="540"/>
      <c r="AE301" s="340"/>
      <c r="AQ301" s="530"/>
      <c r="AR301" s="530"/>
      <c r="AS301" s="530"/>
      <c r="AT301" s="345"/>
    </row>
    <row r="302" hidden="1" customHeight="1" outlineLevel="1" spans="1:46">
      <c r="A302" s="361" t="s">
        <v>61</v>
      </c>
      <c r="B302" s="525"/>
      <c r="C302" s="526"/>
      <c r="D302" s="525"/>
      <c r="E302" s="525"/>
      <c r="F302" s="525"/>
      <c r="G302" s="525"/>
      <c r="H302" s="525"/>
      <c r="I302" s="525"/>
      <c r="J302" s="525"/>
      <c r="K302" s="525"/>
      <c r="L302" s="527"/>
      <c r="M302" s="527"/>
      <c r="N302" s="527"/>
      <c r="O302" s="527"/>
      <c r="P302" s="527"/>
      <c r="Q302" s="527"/>
      <c r="R302" s="527"/>
      <c r="S302" s="527"/>
      <c r="T302" s="527"/>
      <c r="U302" s="518">
        <f>Interim!FE373</f>
        <v>0</v>
      </c>
      <c r="V302" s="518">
        <f>Interim!FM373</f>
        <v>0.112350961695374</v>
      </c>
      <c r="W302" s="516">
        <f>Interim!FU373</f>
        <v>0.000565203828561067</v>
      </c>
      <c r="X302" s="518"/>
      <c r="Y302" s="518"/>
      <c r="Z302" s="518"/>
      <c r="AA302" s="518"/>
      <c r="AB302" s="518"/>
      <c r="AC302" s="518"/>
      <c r="AE302" s="340"/>
      <c r="AQ302" s="530"/>
      <c r="AR302" s="530"/>
      <c r="AS302" s="530"/>
      <c r="AT302" s="345"/>
    </row>
    <row r="303" hidden="1" customHeight="1" outlineLevel="1" spans="1:46">
      <c r="A303" s="361" t="s">
        <v>128</v>
      </c>
      <c r="B303" s="525"/>
      <c r="C303" s="526"/>
      <c r="D303" s="525"/>
      <c r="E303" s="525"/>
      <c r="F303" s="525"/>
      <c r="G303" s="525"/>
      <c r="H303" s="525"/>
      <c r="I303" s="525"/>
      <c r="J303" s="525"/>
      <c r="K303" s="525"/>
      <c r="L303" s="527"/>
      <c r="M303" s="527"/>
      <c r="N303" s="527"/>
      <c r="O303" s="527"/>
      <c r="P303" s="527"/>
      <c r="Q303" s="527"/>
      <c r="R303" s="527"/>
      <c r="S303" s="527"/>
      <c r="T303" s="527"/>
      <c r="U303" s="363">
        <f>Interim!FE374</f>
        <v>0.370795541401274</v>
      </c>
      <c r="V303" s="363">
        <f>Interim!FM374</f>
        <v>0.371730195177956</v>
      </c>
      <c r="W303" s="383">
        <f>Interim!FU374</f>
        <v>0.366885617214043</v>
      </c>
      <c r="X303" s="363"/>
      <c r="Y303" s="363"/>
      <c r="Z303" s="363"/>
      <c r="AA303" s="363"/>
      <c r="AB303" s="363"/>
      <c r="AC303" s="363"/>
      <c r="AE303" s="340"/>
      <c r="AQ303" s="530"/>
      <c r="AR303" s="530"/>
      <c r="AS303" s="530"/>
      <c r="AT303" s="345"/>
    </row>
    <row r="304" hidden="1" customHeight="1" outlineLevel="1" spans="1:46">
      <c r="A304" s="539" t="s">
        <v>137</v>
      </c>
      <c r="B304" s="525"/>
      <c r="C304" s="526"/>
      <c r="D304" s="525"/>
      <c r="E304" s="525"/>
      <c r="F304" s="525"/>
      <c r="G304" s="525"/>
      <c r="H304" s="525"/>
      <c r="I304" s="525"/>
      <c r="J304" s="525"/>
      <c r="K304" s="525"/>
      <c r="L304" s="527"/>
      <c r="M304" s="527"/>
      <c r="N304" s="527"/>
      <c r="O304" s="527"/>
      <c r="P304" s="527"/>
      <c r="Q304" s="527"/>
      <c r="R304" s="527"/>
      <c r="S304" s="527"/>
      <c r="T304" s="527"/>
      <c r="U304" s="540">
        <f>U229+U240+U251+U262+U273+U284+U295</f>
        <v>2454</v>
      </c>
      <c r="V304" s="540">
        <f>V229+V240+V251+V262+V273+V284+V295</f>
        <v>2975</v>
      </c>
      <c r="W304" s="541">
        <f>W229+W240+W251+W262+W273+W284+W295</f>
        <v>3486</v>
      </c>
      <c r="X304" s="540"/>
      <c r="Y304" s="540"/>
      <c r="Z304" s="540"/>
      <c r="AA304" s="540"/>
      <c r="AB304" s="540"/>
      <c r="AC304" s="540"/>
      <c r="AE304" s="340"/>
      <c r="AQ304" s="530"/>
      <c r="AR304" s="530"/>
      <c r="AS304" s="530"/>
      <c r="AT304" s="345"/>
    </row>
    <row r="305" hidden="1" customHeight="1" outlineLevel="1" spans="1:46">
      <c r="A305" s="361" t="s">
        <v>132</v>
      </c>
      <c r="B305" s="525"/>
      <c r="C305" s="526"/>
      <c r="D305" s="525"/>
      <c r="E305" s="525"/>
      <c r="F305" s="525"/>
      <c r="G305" s="525"/>
      <c r="H305" s="525"/>
      <c r="I305" s="525"/>
      <c r="J305" s="525"/>
      <c r="K305" s="525"/>
      <c r="L305" s="527"/>
      <c r="M305" s="527"/>
      <c r="N305" s="527"/>
      <c r="O305" s="527"/>
      <c r="P305" s="527"/>
      <c r="Q305" s="527"/>
      <c r="R305" s="527"/>
      <c r="S305" s="527"/>
      <c r="T305" s="527"/>
      <c r="U305" s="363">
        <f>U304/(U196+U200)</f>
        <v>0.18627599817823</v>
      </c>
      <c r="V305" s="363">
        <f>V304/(V196+V200)</f>
        <v>0.192556634304207</v>
      </c>
      <c r="W305" s="383">
        <f>W304/(W196+W200)</f>
        <v>0.195677799607073</v>
      </c>
      <c r="X305" s="363"/>
      <c r="Y305" s="363"/>
      <c r="Z305" s="363"/>
      <c r="AA305" s="363"/>
      <c r="AB305" s="363"/>
      <c r="AC305" s="363"/>
      <c r="AE305" s="340"/>
      <c r="AQ305" s="530"/>
      <c r="AR305" s="530"/>
      <c r="AS305" s="530"/>
      <c r="AT305" s="345"/>
    </row>
    <row r="306" hidden="1" customHeight="1" outlineLevel="1" spans="1:46">
      <c r="A306" s="531" t="s">
        <v>70</v>
      </c>
      <c r="B306" s="525"/>
      <c r="C306" s="526"/>
      <c r="D306" s="525"/>
      <c r="E306" s="525"/>
      <c r="F306" s="525"/>
      <c r="G306" s="525"/>
      <c r="H306" s="525"/>
      <c r="I306" s="525"/>
      <c r="J306" s="525"/>
      <c r="K306" s="525"/>
      <c r="L306" s="527"/>
      <c r="M306" s="527"/>
      <c r="N306" s="527"/>
      <c r="O306" s="527"/>
      <c r="P306" s="527"/>
      <c r="Q306" s="527"/>
      <c r="R306" s="527"/>
      <c r="S306" s="527"/>
      <c r="T306" s="527"/>
      <c r="U306" s="532">
        <f>Interim!FE375</f>
        <v>0</v>
      </c>
      <c r="V306" s="532">
        <f>Interim!FM375</f>
        <v>0</v>
      </c>
      <c r="W306" s="533">
        <f>Interim!FU375</f>
        <v>0</v>
      </c>
      <c r="X306" s="532"/>
      <c r="Y306" s="532"/>
      <c r="Z306" s="532"/>
      <c r="AE306" s="340"/>
      <c r="AQ306" s="530"/>
      <c r="AR306" s="530"/>
      <c r="AS306" s="530"/>
      <c r="AT306" s="345"/>
    </row>
    <row r="307" hidden="1" customHeight="1" outlineLevel="1" spans="1:46">
      <c r="A307" s="361" t="s">
        <v>126</v>
      </c>
      <c r="B307" s="525"/>
      <c r="C307" s="526"/>
      <c r="D307" s="525"/>
      <c r="E307" s="525"/>
      <c r="F307" s="525"/>
      <c r="G307" s="525"/>
      <c r="H307" s="525"/>
      <c r="I307" s="525"/>
      <c r="J307" s="525"/>
      <c r="K307" s="525"/>
      <c r="L307" s="527"/>
      <c r="M307" s="527"/>
      <c r="N307" s="527"/>
      <c r="O307" s="527"/>
      <c r="P307" s="527"/>
      <c r="Q307" s="527"/>
      <c r="R307" s="527"/>
      <c r="S307" s="527"/>
      <c r="T307" s="527"/>
      <c r="U307" s="395">
        <f>Interim!FE376</f>
        <v>887</v>
      </c>
      <c r="V307" s="395">
        <f>Interim!FM376</f>
        <v>970</v>
      </c>
      <c r="W307" s="432">
        <f>Interim!FU376</f>
        <v>922</v>
      </c>
      <c r="X307" s="395"/>
      <c r="Y307" s="395"/>
      <c r="Z307" s="395"/>
      <c r="AE307" s="340"/>
      <c r="AQ307" s="530"/>
      <c r="AR307" s="530"/>
      <c r="AS307" s="530"/>
      <c r="AT307" s="345"/>
    </row>
    <row r="308" hidden="1" customHeight="1" outlineLevel="1" spans="1:46">
      <c r="A308" s="444" t="s">
        <v>127</v>
      </c>
      <c r="B308" s="525"/>
      <c r="C308" s="526"/>
      <c r="D308" s="525"/>
      <c r="E308" s="525"/>
      <c r="F308" s="525"/>
      <c r="G308" s="525"/>
      <c r="H308" s="525"/>
      <c r="I308" s="525"/>
      <c r="J308" s="525"/>
      <c r="K308" s="525"/>
      <c r="L308" s="527"/>
      <c r="M308" s="527"/>
      <c r="N308" s="527"/>
      <c r="O308" s="527"/>
      <c r="P308" s="527"/>
      <c r="Q308" s="527"/>
      <c r="R308" s="527"/>
      <c r="S308" s="527"/>
      <c r="T308" s="527"/>
      <c r="U308" s="356">
        <f>Interim!FE377</f>
        <v>471</v>
      </c>
      <c r="V308" s="356">
        <f>Interim!FM377</f>
        <v>497</v>
      </c>
      <c r="W308" s="357">
        <f>Interim!FU377</f>
        <v>553</v>
      </c>
      <c r="X308" s="356"/>
      <c r="Y308" s="356"/>
      <c r="Z308" s="356"/>
      <c r="AE308" s="340"/>
      <c r="AQ308" s="530"/>
      <c r="AR308" s="530"/>
      <c r="AS308" s="530"/>
      <c r="AT308" s="345"/>
    </row>
    <row r="309" hidden="1" customHeight="1" outlineLevel="1" spans="1:46">
      <c r="A309" s="361" t="s">
        <v>61</v>
      </c>
      <c r="B309" s="525"/>
      <c r="C309" s="526"/>
      <c r="D309" s="525"/>
      <c r="E309" s="525"/>
      <c r="F309" s="525"/>
      <c r="G309" s="525"/>
      <c r="H309" s="525"/>
      <c r="I309" s="525"/>
      <c r="J309" s="525"/>
      <c r="K309" s="525"/>
      <c r="L309" s="527"/>
      <c r="M309" s="527"/>
      <c r="N309" s="527"/>
      <c r="O309" s="527"/>
      <c r="P309" s="527"/>
      <c r="Q309" s="527"/>
      <c r="R309" s="527"/>
      <c r="S309" s="527"/>
      <c r="T309" s="527"/>
      <c r="U309" s="363">
        <f>Interim!FE378</f>
        <v>0</v>
      </c>
      <c r="V309" s="363">
        <f>Interim!FM378</f>
        <v>0.0552016985138004</v>
      </c>
      <c r="W309" s="383">
        <f>Interim!FU378</f>
        <v>0.112676056338028</v>
      </c>
      <c r="X309" s="363"/>
      <c r="Y309" s="363"/>
      <c r="Z309" s="363"/>
      <c r="AE309" s="340"/>
      <c r="AQ309" s="530"/>
      <c r="AR309" s="530"/>
      <c r="AS309" s="530"/>
      <c r="AT309" s="345"/>
    </row>
    <row r="310" hidden="1" customHeight="1" outlineLevel="1" spans="1:46">
      <c r="A310" s="361" t="s">
        <v>128</v>
      </c>
      <c r="B310" s="525"/>
      <c r="C310" s="526"/>
      <c r="D310" s="525"/>
      <c r="E310" s="525"/>
      <c r="F310" s="525"/>
      <c r="G310" s="525"/>
      <c r="H310" s="525"/>
      <c r="I310" s="525"/>
      <c r="J310" s="525"/>
      <c r="K310" s="525"/>
      <c r="L310" s="527"/>
      <c r="M310" s="527"/>
      <c r="N310" s="527"/>
      <c r="O310" s="527"/>
      <c r="P310" s="527"/>
      <c r="Q310" s="527"/>
      <c r="R310" s="527"/>
      <c r="S310" s="527"/>
      <c r="T310" s="527"/>
      <c r="U310" s="363">
        <f>Interim!FE379</f>
        <v>0.346833578792342</v>
      </c>
      <c r="V310" s="363">
        <f>Interim!FM379</f>
        <v>0.338786639400136</v>
      </c>
      <c r="W310" s="383">
        <f>Interim!FU379</f>
        <v>0.374915254237288</v>
      </c>
      <c r="X310" s="363"/>
      <c r="Y310" s="363"/>
      <c r="Z310" s="363"/>
      <c r="AE310" s="340"/>
      <c r="AQ310" s="530"/>
      <c r="AR310" s="530"/>
      <c r="AS310" s="530"/>
      <c r="AT310" s="345"/>
    </row>
    <row r="311" hidden="1" customHeight="1" outlineLevel="1" spans="1:46">
      <c r="A311" s="361" t="s">
        <v>129</v>
      </c>
      <c r="B311" s="525"/>
      <c r="C311" s="526"/>
      <c r="D311" s="525"/>
      <c r="E311" s="525"/>
      <c r="F311" s="525"/>
      <c r="G311" s="525"/>
      <c r="H311" s="525"/>
      <c r="I311" s="525"/>
      <c r="J311" s="525"/>
      <c r="K311" s="525"/>
      <c r="L311" s="527"/>
      <c r="M311" s="527"/>
      <c r="N311" s="527"/>
      <c r="O311" s="527"/>
      <c r="P311" s="527"/>
      <c r="Q311" s="527"/>
      <c r="R311" s="527"/>
      <c r="S311" s="527"/>
      <c r="T311" s="527"/>
      <c r="U311" s="395">
        <f>Interim!FE380</f>
        <v>529</v>
      </c>
      <c r="V311" s="395">
        <f>Interim!FM380</f>
        <v>586</v>
      </c>
      <c r="W311" s="432">
        <f>Interim!FU380</f>
        <v>567</v>
      </c>
      <c r="X311" s="395"/>
      <c r="Y311" s="395"/>
      <c r="Z311" s="395"/>
      <c r="AE311" s="340"/>
      <c r="AQ311" s="530"/>
      <c r="AR311" s="530"/>
      <c r="AS311" s="530"/>
      <c r="AT311" s="345"/>
    </row>
    <row r="312" hidden="1" customHeight="1" outlineLevel="1" spans="1:46">
      <c r="A312" s="361" t="s">
        <v>61</v>
      </c>
      <c r="B312" s="525"/>
      <c r="C312" s="526"/>
      <c r="D312" s="525"/>
      <c r="E312" s="525"/>
      <c r="F312" s="525"/>
      <c r="G312" s="525"/>
      <c r="H312" s="525"/>
      <c r="I312" s="525"/>
      <c r="J312" s="525"/>
      <c r="K312" s="525"/>
      <c r="L312" s="527"/>
      <c r="M312" s="527"/>
      <c r="N312" s="527"/>
      <c r="O312" s="527"/>
      <c r="P312" s="527"/>
      <c r="Q312" s="527"/>
      <c r="R312" s="527"/>
      <c r="S312" s="527"/>
      <c r="T312" s="527"/>
      <c r="U312" s="363">
        <f>Interim!FE381</f>
        <v>0</v>
      </c>
      <c r="V312" s="363">
        <f>Interim!FM381</f>
        <v>0.107750472589792</v>
      </c>
      <c r="W312" s="383">
        <f>Interim!FU381</f>
        <v>-0.0324232081911263</v>
      </c>
      <c r="X312" s="363"/>
      <c r="Y312" s="363"/>
      <c r="Z312" s="363"/>
      <c r="AE312" s="340"/>
      <c r="AG312" s="461"/>
      <c r="AH312" s="461"/>
      <c r="AI312" s="461"/>
      <c r="AJ312" s="461"/>
      <c r="AK312" s="497"/>
      <c r="AL312" s="497"/>
      <c r="AM312" s="497"/>
      <c r="AN312" s="513"/>
      <c r="AQ312" s="530"/>
      <c r="AR312" s="530"/>
      <c r="AS312" s="530"/>
      <c r="AT312" s="345"/>
    </row>
    <row r="313" hidden="1" customHeight="1" outlineLevel="1" spans="1:46">
      <c r="A313" s="361" t="s">
        <v>130</v>
      </c>
      <c r="B313" s="525"/>
      <c r="C313" s="526"/>
      <c r="D313" s="525"/>
      <c r="E313" s="525"/>
      <c r="F313" s="525"/>
      <c r="G313" s="525"/>
      <c r="H313" s="525"/>
      <c r="I313" s="525"/>
      <c r="J313" s="525"/>
      <c r="K313" s="525"/>
      <c r="L313" s="527"/>
      <c r="M313" s="527"/>
      <c r="N313" s="527"/>
      <c r="O313" s="527"/>
      <c r="P313" s="527"/>
      <c r="Q313" s="527"/>
      <c r="R313" s="527"/>
      <c r="S313" s="527"/>
      <c r="T313" s="527"/>
      <c r="U313" s="363">
        <f>Interim!FE382</f>
        <v>0.389543446244477</v>
      </c>
      <c r="V313" s="363">
        <f>Interim!FM382</f>
        <v>0.39945466939332</v>
      </c>
      <c r="W313" s="383">
        <f>Interim!FU382</f>
        <v>0.384406779661017</v>
      </c>
      <c r="X313" s="363"/>
      <c r="Y313" s="363"/>
      <c r="Z313" s="363"/>
      <c r="AE313" s="340"/>
      <c r="AG313" s="463"/>
      <c r="AH313" s="463"/>
      <c r="AI313" s="463"/>
      <c r="AJ313" s="463"/>
      <c r="AK313" s="508"/>
      <c r="AL313" s="508"/>
      <c r="AM313" s="508"/>
      <c r="AN313" s="508"/>
      <c r="AQ313" s="530"/>
      <c r="AR313" s="530"/>
      <c r="AS313" s="530"/>
      <c r="AT313" s="345"/>
    </row>
    <row r="314" hidden="1" customHeight="1" outlineLevel="1" spans="1:46">
      <c r="A314" s="444" t="s">
        <v>131</v>
      </c>
      <c r="B314" s="525"/>
      <c r="C314" s="526"/>
      <c r="D314" s="525"/>
      <c r="E314" s="525"/>
      <c r="F314" s="525"/>
      <c r="G314" s="525"/>
      <c r="H314" s="525"/>
      <c r="I314" s="525"/>
      <c r="J314" s="525"/>
      <c r="K314" s="525"/>
      <c r="L314" s="527"/>
      <c r="M314" s="527"/>
      <c r="N314" s="527"/>
      <c r="O314" s="527"/>
      <c r="P314" s="527"/>
      <c r="Q314" s="527"/>
      <c r="R314" s="527"/>
      <c r="S314" s="527"/>
      <c r="T314" s="527"/>
      <c r="U314" s="356">
        <f>Interim!FE383</f>
        <v>-58</v>
      </c>
      <c r="V314" s="356">
        <f>Interim!FM383</f>
        <v>-89</v>
      </c>
      <c r="W314" s="357">
        <f>Interim!FU383</f>
        <v>-14</v>
      </c>
      <c r="X314" s="542">
        <f>X316*X204</f>
        <v>18.525</v>
      </c>
      <c r="Y314" s="542">
        <f>Y316*Y204</f>
        <v>20.7103535920764</v>
      </c>
      <c r="Z314" s="542">
        <f>Z316*Z204</f>
        <v>21.7458712716802</v>
      </c>
      <c r="AA314" s="542">
        <f>AA316*AA204</f>
        <v>22.8331648352642</v>
      </c>
      <c r="AB314" s="542">
        <f>AB316*AB204</f>
        <v>23.9748230770274</v>
      </c>
      <c r="AC314" s="542"/>
      <c r="AE314" s="340"/>
      <c r="AG314" s="512"/>
      <c r="AH314" s="512"/>
      <c r="AI314" s="512"/>
      <c r="AJ314" s="512"/>
      <c r="AK314" s="512"/>
      <c r="AL314" s="512"/>
      <c r="AM314" s="512"/>
      <c r="AN314" s="513"/>
      <c r="AQ314" s="530"/>
      <c r="AR314" s="530"/>
      <c r="AS314" s="530"/>
      <c r="AT314" s="345"/>
    </row>
    <row r="315" hidden="1" customHeight="1" outlineLevel="1" spans="1:46">
      <c r="A315" s="361" t="s">
        <v>61</v>
      </c>
      <c r="B315" s="525"/>
      <c r="C315" s="526"/>
      <c r="D315" s="525"/>
      <c r="E315" s="525"/>
      <c r="F315" s="525"/>
      <c r="G315" s="525"/>
      <c r="H315" s="525"/>
      <c r="I315" s="525"/>
      <c r="J315" s="525"/>
      <c r="K315" s="525"/>
      <c r="L315" s="527"/>
      <c r="M315" s="527"/>
      <c r="N315" s="527"/>
      <c r="O315" s="527"/>
      <c r="P315" s="527"/>
      <c r="Q315" s="527"/>
      <c r="R315" s="527"/>
      <c r="S315" s="527"/>
      <c r="T315" s="527"/>
      <c r="U315" s="363">
        <f>Interim!FE384</f>
        <v>0</v>
      </c>
      <c r="V315" s="363">
        <f>Interim!FM384</f>
        <v>0.53448275862069</v>
      </c>
      <c r="W315" s="383">
        <f>Interim!FU384</f>
        <v>0.842696629213483</v>
      </c>
      <c r="X315" s="465">
        <f>X314/W314-1</f>
        <v>-2.32321428571429</v>
      </c>
      <c r="Y315" s="465">
        <f>Y314/X314-1</f>
        <v>0.117967805240291</v>
      </c>
      <c r="Z315" s="465">
        <f>Z314/Y314-1</f>
        <v>0.0500000000000003</v>
      </c>
      <c r="AA315" s="465">
        <f>AA314/Z314-1</f>
        <v>0.0499999999999998</v>
      </c>
      <c r="AB315" s="465">
        <f>AB314/AA314-1</f>
        <v>0.05</v>
      </c>
      <c r="AC315" s="465"/>
      <c r="AD315" s="461"/>
      <c r="AE315" s="340"/>
      <c r="AG315" s="512"/>
      <c r="AH315" s="512"/>
      <c r="AI315" s="512"/>
      <c r="AJ315" s="498"/>
      <c r="AK315" s="512"/>
      <c r="AL315" s="512"/>
      <c r="AM315" s="512"/>
      <c r="AN315" s="513"/>
      <c r="AQ315" s="530"/>
      <c r="AR315" s="530"/>
      <c r="AS315" s="530"/>
      <c r="AT315" s="345"/>
    </row>
    <row r="316" hidden="1" customHeight="1" outlineLevel="1" spans="1:46">
      <c r="A316" s="361" t="s">
        <v>132</v>
      </c>
      <c r="B316" s="525"/>
      <c r="C316" s="526"/>
      <c r="D316" s="525"/>
      <c r="E316" s="525"/>
      <c r="F316" s="525"/>
      <c r="G316" s="525"/>
      <c r="H316" s="525"/>
      <c r="I316" s="525"/>
      <c r="J316" s="525"/>
      <c r="K316" s="525"/>
      <c r="L316" s="527"/>
      <c r="M316" s="527"/>
      <c r="N316" s="527"/>
      <c r="O316" s="527"/>
      <c r="P316" s="527"/>
      <c r="Q316" s="527"/>
      <c r="R316" s="527"/>
      <c r="S316" s="527"/>
      <c r="T316" s="527"/>
      <c r="U316" s="363">
        <f>Interim!FE385</f>
        <v>-0.0427098674521355</v>
      </c>
      <c r="V316" s="363">
        <f>Interim!FM385</f>
        <v>-0.0606680299931834</v>
      </c>
      <c r="W316" s="383">
        <f>Interim!FU385</f>
        <v>-0.00949152542372881</v>
      </c>
      <c r="X316" s="465">
        <v>0.025</v>
      </c>
      <c r="Y316" s="465">
        <f>X316+(Y44-X44)+0.25%</f>
        <v>0.0275</v>
      </c>
      <c r="Z316" s="465">
        <f>Y316+(Z44-Y44)</f>
        <v>0.0275</v>
      </c>
      <c r="AA316" s="465">
        <f>Z316+(AA44-Z44)</f>
        <v>0.0275</v>
      </c>
      <c r="AB316" s="465">
        <f>AA316+(AB44-AA44)</f>
        <v>0.0275</v>
      </c>
      <c r="AC316" s="465"/>
      <c r="AE316" s="340"/>
      <c r="AG316" s="512"/>
      <c r="AH316" s="512"/>
      <c r="AI316" s="512"/>
      <c r="AJ316" s="512"/>
      <c r="AK316" s="512"/>
      <c r="AL316" s="512"/>
      <c r="AM316" s="512"/>
      <c r="AN316" s="513"/>
      <c r="AQ316" s="530"/>
      <c r="AR316" s="530"/>
      <c r="AS316" s="530"/>
      <c r="AT316" s="345"/>
    </row>
    <row r="317" customHeight="1" collapsed="1" spans="1:46">
      <c r="A317" s="525"/>
      <c r="B317" s="525"/>
      <c r="C317" s="526"/>
      <c r="D317" s="525"/>
      <c r="E317" s="525"/>
      <c r="F317" s="525"/>
      <c r="G317" s="525"/>
      <c r="H317" s="525"/>
      <c r="I317" s="525"/>
      <c r="J317" s="525"/>
      <c r="K317" s="525"/>
      <c r="L317" s="527"/>
      <c r="M317" s="527"/>
      <c r="N317" s="527"/>
      <c r="O317" s="527"/>
      <c r="P317" s="527"/>
      <c r="Q317" s="527"/>
      <c r="R317" s="527"/>
      <c r="S317" s="527"/>
      <c r="T317" s="527"/>
      <c r="U317" s="527"/>
      <c r="V317" s="527"/>
      <c r="W317" s="357"/>
      <c r="X317" s="529"/>
      <c r="Y317" s="529"/>
      <c r="Z317" s="529"/>
      <c r="AA317" s="529"/>
      <c r="AB317" s="529"/>
      <c r="AC317" s="529"/>
      <c r="AD317" s="362"/>
      <c r="AF317" s="461"/>
      <c r="AG317" s="463"/>
      <c r="AH317" s="463"/>
      <c r="AI317" s="463"/>
      <c r="AJ317" s="463"/>
      <c r="AK317" s="463"/>
      <c r="AL317" s="463"/>
      <c r="AM317" s="466"/>
      <c r="AN317" s="513"/>
      <c r="AQ317" s="530"/>
      <c r="AR317" s="530"/>
      <c r="AS317" s="530"/>
      <c r="AT317" s="345"/>
    </row>
    <row r="318" customHeight="1" spans="1:46">
      <c r="A318" s="351" t="s">
        <v>139</v>
      </c>
      <c r="B318" s="543" t="s">
        <v>14</v>
      </c>
      <c r="C318" s="543" t="s">
        <v>15</v>
      </c>
      <c r="D318" s="543" t="s">
        <v>16</v>
      </c>
      <c r="E318" s="543" t="s">
        <v>17</v>
      </c>
      <c r="F318" s="543" t="s">
        <v>18</v>
      </c>
      <c r="G318" s="543" t="s">
        <v>19</v>
      </c>
      <c r="H318" s="543" t="s">
        <v>20</v>
      </c>
      <c r="I318" s="543" t="s">
        <v>21</v>
      </c>
      <c r="J318" s="543" t="s">
        <v>22</v>
      </c>
      <c r="K318" s="543" t="s">
        <v>23</v>
      </c>
      <c r="L318" s="544" t="s">
        <v>24</v>
      </c>
      <c r="M318" s="544" t="s">
        <v>25</v>
      </c>
      <c r="N318" s="544" t="s">
        <v>26</v>
      </c>
      <c r="O318" s="544" t="s">
        <v>27</v>
      </c>
      <c r="P318" s="544" t="s">
        <v>28</v>
      </c>
      <c r="Q318" s="544" t="s">
        <v>29</v>
      </c>
      <c r="R318" s="544" t="s">
        <v>30</v>
      </c>
      <c r="S318" s="544" t="s">
        <v>31</v>
      </c>
      <c r="T318" s="544" t="s">
        <v>32</v>
      </c>
      <c r="U318" s="544" t="s">
        <v>33</v>
      </c>
      <c r="V318" s="544" t="s">
        <v>34</v>
      </c>
      <c r="W318" s="545" t="s">
        <v>35</v>
      </c>
      <c r="X318" s="544" t="s">
        <v>53</v>
      </c>
      <c r="Y318" s="544" t="s">
        <v>54</v>
      </c>
      <c r="Z318" s="544" t="s">
        <v>55</v>
      </c>
      <c r="AA318" s="544" t="s">
        <v>1260</v>
      </c>
      <c r="AB318" s="544" t="s">
        <v>1261</v>
      </c>
      <c r="AC318" s="354">
        <v>2017</v>
      </c>
      <c r="AD318" s="354"/>
      <c r="AF318" s="461"/>
      <c r="AG318" s="463"/>
      <c r="AH318" s="463"/>
      <c r="AI318" s="463"/>
      <c r="AJ318" s="463"/>
      <c r="AK318" s="463"/>
      <c r="AL318" s="463"/>
      <c r="AM318" s="466"/>
      <c r="AO318" s="345"/>
      <c r="AQ318" s="546"/>
      <c r="AR318" s="546"/>
    </row>
    <row r="319" customHeight="1" spans="1:46">
      <c r="A319" s="486" t="s">
        <v>71</v>
      </c>
      <c r="B319" s="547"/>
      <c r="C319" s="547">
        <v>2408</v>
      </c>
      <c r="D319" s="547">
        <v>3425</v>
      </c>
      <c r="E319" s="547">
        <v>5065</v>
      </c>
      <c r="F319" s="547">
        <v>5354</v>
      </c>
      <c r="G319" s="547">
        <v>5835</v>
      </c>
      <c r="H319" s="547">
        <v>6112</v>
      </c>
      <c r="I319" s="547">
        <v>6523</v>
      </c>
      <c r="J319" s="547">
        <v>6267</v>
      </c>
      <c r="K319" s="547">
        <v>5860</v>
      </c>
      <c r="L319" s="548">
        <v>6636</v>
      </c>
      <c r="M319" s="548">
        <v>10084</v>
      </c>
      <c r="N319" s="548">
        <v>10299</v>
      </c>
      <c r="O319" s="548">
        <v>10799</v>
      </c>
      <c r="P319" s="548">
        <v>10381</v>
      </c>
      <c r="Q319" s="548">
        <f>Q32</f>
        <v>11990</v>
      </c>
      <c r="R319" s="548">
        <f>R32</f>
        <v>13323</v>
      </c>
      <c r="S319" s="548">
        <f>S32</f>
        <v>14883</v>
      </c>
      <c r="T319" s="548">
        <v>14205</v>
      </c>
      <c r="U319" s="548">
        <v>14534</v>
      </c>
      <c r="V319" s="548">
        <f t="shared" ref="V319:AB319" si="118">V137</f>
        <v>16915</v>
      </c>
      <c r="W319" s="549">
        <f t="shared" si="118"/>
        <v>19290</v>
      </c>
      <c r="X319" s="548">
        <f t="shared" si="118"/>
        <v>21218</v>
      </c>
      <c r="Y319" s="548">
        <f t="shared" si="118"/>
        <v>22498.85566376</v>
      </c>
      <c r="Z319" s="548">
        <f t="shared" si="118"/>
        <v>24269.360719362</v>
      </c>
      <c r="AA319" s="548">
        <f t="shared" si="118"/>
        <v>25989.7524500747</v>
      </c>
      <c r="AB319" s="548">
        <f t="shared" si="118"/>
        <v>27846.8561367975</v>
      </c>
      <c r="AC319" s="548"/>
      <c r="AD319" s="550"/>
      <c r="AE319" s="362">
        <f>((AA319/W319)^0.25)-1</f>
        <v>0.077376451476759</v>
      </c>
      <c r="AF319" s="461"/>
      <c r="AG319" s="463"/>
      <c r="AH319" s="463"/>
      <c r="AI319" s="463"/>
      <c r="AJ319" s="463"/>
      <c r="AK319" s="463"/>
      <c r="AL319" s="463"/>
      <c r="AM319" s="466"/>
      <c r="AO319" s="345"/>
      <c r="AQ319" s="328"/>
      <c r="AR319" s="328"/>
    </row>
    <row r="320" customHeight="1" spans="1:46">
      <c r="A320" s="340" t="s">
        <v>140</v>
      </c>
      <c r="B320" s="551"/>
      <c r="C320" s="551">
        <v>0</v>
      </c>
      <c r="D320" s="551">
        <v>0</v>
      </c>
      <c r="E320" s="551">
        <v>0</v>
      </c>
      <c r="F320" s="551">
        <v>0</v>
      </c>
      <c r="G320" s="551">
        <v>0</v>
      </c>
      <c r="H320" s="551">
        <v>0</v>
      </c>
      <c r="I320" s="551">
        <v>0</v>
      </c>
      <c r="J320" s="551">
        <v>0</v>
      </c>
      <c r="K320" s="551">
        <v>0</v>
      </c>
      <c r="L320" s="496">
        <v>0</v>
      </c>
      <c r="M320" s="496">
        <v>0</v>
      </c>
      <c r="N320" s="496">
        <v>0</v>
      </c>
      <c r="O320" s="496">
        <v>0</v>
      </c>
      <c r="P320" s="496">
        <v>0</v>
      </c>
      <c r="Q320" s="496">
        <v>0</v>
      </c>
      <c r="R320" s="496">
        <v>0</v>
      </c>
      <c r="S320" s="496">
        <v>0</v>
      </c>
      <c r="T320" s="496">
        <v>0</v>
      </c>
      <c r="U320" s="496">
        <v>0</v>
      </c>
      <c r="V320" s="496">
        <v>0</v>
      </c>
      <c r="W320" s="552">
        <v>0</v>
      </c>
      <c r="X320" s="496">
        <v>0</v>
      </c>
      <c r="Y320" s="496">
        <v>0</v>
      </c>
      <c r="Z320" s="496">
        <v>0</v>
      </c>
      <c r="AA320" s="496">
        <v>0</v>
      </c>
      <c r="AB320" s="496">
        <v>0</v>
      </c>
      <c r="AC320" s="496"/>
      <c r="AD320" s="362"/>
      <c r="AF320" s="461"/>
      <c r="AG320" s="463"/>
      <c r="AH320" s="463"/>
      <c r="AI320" s="463"/>
      <c r="AJ320" s="463"/>
      <c r="AK320" s="463"/>
      <c r="AL320" s="463"/>
      <c r="AM320" s="466"/>
      <c r="AO320" s="345"/>
      <c r="AQ320" s="334"/>
      <c r="AR320" s="334"/>
    </row>
    <row r="321" customHeight="1" spans="1:54">
      <c r="A321" s="486" t="s">
        <v>141</v>
      </c>
      <c r="B321" s="547"/>
      <c r="C321" s="547">
        <f>C319+C320</f>
        <v>2408</v>
      </c>
      <c r="D321" s="547">
        <f>D319+D320</f>
        <v>3425</v>
      </c>
      <c r="E321" s="547">
        <f>E319+E320</f>
        <v>5065</v>
      </c>
      <c r="F321" s="547">
        <f t="shared" ref="F321:L321" si="119">F319+F320</f>
        <v>5354</v>
      </c>
      <c r="G321" s="547">
        <f t="shared" si="119"/>
        <v>5835</v>
      </c>
      <c r="H321" s="547">
        <f t="shared" si="119"/>
        <v>6112</v>
      </c>
      <c r="I321" s="547">
        <f t="shared" si="119"/>
        <v>6523</v>
      </c>
      <c r="J321" s="547">
        <f t="shared" si="119"/>
        <v>6267</v>
      </c>
      <c r="K321" s="547">
        <f t="shared" si="119"/>
        <v>5860</v>
      </c>
      <c r="L321" s="548">
        <f t="shared" si="119"/>
        <v>6636</v>
      </c>
      <c r="M321" s="548">
        <f>M319</f>
        <v>10084</v>
      </c>
      <c r="N321" s="548">
        <f>N319+N320</f>
        <v>10299</v>
      </c>
      <c r="O321" s="548">
        <f>O319+O320</f>
        <v>10799</v>
      </c>
      <c r="P321" s="548">
        <f>P319+P320</f>
        <v>10381</v>
      </c>
      <c r="Q321" s="548">
        <f t="shared" ref="Q321:AB321" si="120">Q319+Q320</f>
        <v>11990</v>
      </c>
      <c r="R321" s="548">
        <f t="shared" si="120"/>
        <v>13323</v>
      </c>
      <c r="S321" s="548">
        <f t="shared" si="120"/>
        <v>14883</v>
      </c>
      <c r="T321" s="548">
        <f t="shared" si="120"/>
        <v>14205</v>
      </c>
      <c r="U321" s="548">
        <f t="shared" si="120"/>
        <v>14534</v>
      </c>
      <c r="V321" s="548">
        <f t="shared" si="120"/>
        <v>16915</v>
      </c>
      <c r="W321" s="549">
        <f t="shared" si="120"/>
        <v>19290</v>
      </c>
      <c r="X321" s="548">
        <f t="shared" si="120"/>
        <v>21218</v>
      </c>
      <c r="Y321" s="548">
        <f t="shared" si="120"/>
        <v>22498.85566376</v>
      </c>
      <c r="Z321" s="548">
        <f t="shared" si="120"/>
        <v>24269.360719362</v>
      </c>
      <c r="AA321" s="548">
        <f t="shared" si="120"/>
        <v>25989.7524500747</v>
      </c>
      <c r="AB321" s="548">
        <f t="shared" si="120"/>
        <v>27846.8561367975</v>
      </c>
      <c r="AC321" s="553"/>
      <c r="AD321" s="553"/>
      <c r="AF321" s="461"/>
      <c r="AG321" s="463"/>
      <c r="AH321" s="463"/>
      <c r="AI321" s="463"/>
      <c r="AJ321" s="463"/>
      <c r="AK321" s="463"/>
      <c r="AL321" s="463"/>
      <c r="AM321" s="466"/>
      <c r="AO321" s="345"/>
      <c r="AQ321" s="334"/>
      <c r="AR321" s="334"/>
    </row>
    <row r="322" s="334" customFormat="1" customHeight="1" spans="1:54">
      <c r="A322" s="334" t="s">
        <v>142</v>
      </c>
      <c r="B322" s="411"/>
      <c r="C322" s="411"/>
      <c r="D322" s="411">
        <f>D321/C321-1</f>
        <v>0.42234219269103</v>
      </c>
      <c r="E322" s="411">
        <f>E321/D321-1</f>
        <v>0.478832116788321</v>
      </c>
      <c r="F322" s="411">
        <f t="shared" ref="F322:AB322" si="121">F321/E321-1</f>
        <v>0.0570582428430404</v>
      </c>
      <c r="G322" s="411">
        <f t="shared" si="121"/>
        <v>0.0898393724318267</v>
      </c>
      <c r="H322" s="411">
        <f t="shared" si="121"/>
        <v>0.0474721508140532</v>
      </c>
      <c r="I322" s="411">
        <f t="shared" si="121"/>
        <v>0.0672447643979057</v>
      </c>
      <c r="J322" s="411">
        <f t="shared" si="121"/>
        <v>-0.0392457458224743</v>
      </c>
      <c r="K322" s="411">
        <f t="shared" si="121"/>
        <v>-0.0649433540769108</v>
      </c>
      <c r="L322" s="362">
        <f t="shared" si="121"/>
        <v>0.132423208191126</v>
      </c>
      <c r="M322" s="362">
        <f t="shared" si="121"/>
        <v>0.519590114526823</v>
      </c>
      <c r="N322" s="362">
        <f t="shared" si="121"/>
        <v>0.0213209044030147</v>
      </c>
      <c r="O322" s="362">
        <f t="shared" si="121"/>
        <v>0.0485484027575493</v>
      </c>
      <c r="P322" s="363">
        <f t="shared" si="121"/>
        <v>-0.0387072877118252</v>
      </c>
      <c r="Q322" s="407">
        <f t="shared" si="121"/>
        <v>0.154994701859166</v>
      </c>
      <c r="R322" s="407">
        <f t="shared" si="121"/>
        <v>0.111175979983319</v>
      </c>
      <c r="S322" s="407">
        <f t="shared" si="121"/>
        <v>0.117090745327629</v>
      </c>
      <c r="T322" s="407">
        <f t="shared" si="121"/>
        <v>-0.0455553315863737</v>
      </c>
      <c r="U322" s="407">
        <f t="shared" si="121"/>
        <v>0.0231608588525167</v>
      </c>
      <c r="V322" s="407">
        <f t="shared" si="121"/>
        <v>0.163822760423834</v>
      </c>
      <c r="W322" s="408">
        <f t="shared" si="121"/>
        <v>0.140407921962755</v>
      </c>
      <c r="X322" s="407">
        <f t="shared" si="121"/>
        <v>0.0999481596682219</v>
      </c>
      <c r="Y322" s="407">
        <f t="shared" si="121"/>
        <v>0.06036646544255</v>
      </c>
      <c r="Z322" s="407">
        <f t="shared" si="121"/>
        <v>0.0786931158660571</v>
      </c>
      <c r="AA322" s="407">
        <f t="shared" si="121"/>
        <v>0.0708873938051524</v>
      </c>
      <c r="AB322" s="407">
        <f t="shared" si="121"/>
        <v>0.0714552279899638</v>
      </c>
      <c r="AC322" s="2141" t="s">
        <v>1263</v>
      </c>
      <c r="AD322" s="554"/>
      <c r="AE322" s="342"/>
      <c r="AF322" s="461"/>
      <c r="AG322" s="463"/>
      <c r="AH322" s="463"/>
      <c r="AI322" s="463"/>
      <c r="AJ322" s="463"/>
      <c r="AK322" s="463"/>
      <c r="AL322" s="463"/>
      <c r="AM322" s="466"/>
    </row>
    <row r="323" customHeight="1" spans="1:54">
      <c r="A323" s="483" t="s">
        <v>144</v>
      </c>
      <c r="B323" s="555"/>
      <c r="C323" s="555">
        <f>C321-C326</f>
        <v>1448</v>
      </c>
      <c r="D323" s="555">
        <f>D321-D326</f>
        <v>1988</v>
      </c>
      <c r="E323" s="555">
        <f>E321-E326</f>
        <v>2941</v>
      </c>
      <c r="F323" s="555">
        <f t="shared" ref="F323:AB323" si="122">F321-F326</f>
        <v>3002</v>
      </c>
      <c r="G323" s="555">
        <f t="shared" si="122"/>
        <v>3307</v>
      </c>
      <c r="H323" s="555">
        <f t="shared" si="122"/>
        <v>3511</v>
      </c>
      <c r="I323" s="555">
        <f t="shared" si="122"/>
        <v>3704</v>
      </c>
      <c r="J323" s="555">
        <f t="shared" si="122"/>
        <v>3453</v>
      </c>
      <c r="K323" s="555">
        <f t="shared" si="122"/>
        <v>3047</v>
      </c>
      <c r="L323" s="556">
        <f t="shared" si="122"/>
        <v>3439</v>
      </c>
      <c r="M323" s="556">
        <f t="shared" si="122"/>
        <v>5589</v>
      </c>
      <c r="N323" s="556">
        <f t="shared" si="122"/>
        <v>5417</v>
      </c>
      <c r="O323" s="556">
        <f t="shared" si="122"/>
        <v>5543</v>
      </c>
      <c r="P323" s="556">
        <f t="shared" si="122"/>
        <v>5669</v>
      </c>
      <c r="Q323" s="556">
        <f t="shared" si="122"/>
        <v>6260</v>
      </c>
      <c r="R323" s="556">
        <f t="shared" si="122"/>
        <v>6994</v>
      </c>
      <c r="S323" s="556">
        <f t="shared" si="122"/>
        <v>7780</v>
      </c>
      <c r="T323" s="556">
        <f t="shared" si="122"/>
        <v>7204</v>
      </c>
      <c r="U323" s="556">
        <f t="shared" si="122"/>
        <v>7610</v>
      </c>
      <c r="V323" s="556">
        <f t="shared" si="122"/>
        <v>8747</v>
      </c>
      <c r="W323" s="557">
        <f t="shared" si="122"/>
        <v>9911</v>
      </c>
      <c r="X323" s="556">
        <f t="shared" si="122"/>
        <v>10515</v>
      </c>
      <c r="Y323" s="556">
        <f t="shared" si="122"/>
        <v>10947.2636831546</v>
      </c>
      <c r="Z323" s="556">
        <f t="shared" si="122"/>
        <v>11626.7177671941</v>
      </c>
      <c r="AA323" s="556">
        <f t="shared" si="122"/>
        <v>12320.9567259682</v>
      </c>
      <c r="AB323" s="556">
        <f t="shared" si="122"/>
        <v>13062.1192171927</v>
      </c>
      <c r="AC323" s="556"/>
      <c r="AD323" s="556"/>
      <c r="AF323" s="461"/>
      <c r="AG323" s="463"/>
      <c r="AH323" s="463"/>
      <c r="AI323" s="463"/>
      <c r="AJ323" s="463"/>
      <c r="AK323" s="463"/>
      <c r="AL323" s="463"/>
      <c r="AM323" s="466"/>
      <c r="AO323" s="345"/>
    </row>
    <row r="324" s="334" customFormat="1" customHeight="1" spans="1:54">
      <c r="A324" s="334" t="s">
        <v>142</v>
      </c>
      <c r="B324" s="411"/>
      <c r="C324" s="411"/>
      <c r="D324" s="411">
        <f>D323/C323-1</f>
        <v>0.37292817679558</v>
      </c>
      <c r="E324" s="411">
        <f>E323/D323-1</f>
        <v>0.479376257545272</v>
      </c>
      <c r="F324" s="411">
        <f t="shared" ref="F324:AB324" si="123">F323/E323-1</f>
        <v>0.0207412444746684</v>
      </c>
      <c r="G324" s="411">
        <f t="shared" si="123"/>
        <v>0.101598934043971</v>
      </c>
      <c r="H324" s="411">
        <f t="shared" si="123"/>
        <v>0.0616873299062595</v>
      </c>
      <c r="I324" s="411">
        <f t="shared" si="123"/>
        <v>0.0549700939903162</v>
      </c>
      <c r="J324" s="411">
        <f t="shared" si="123"/>
        <v>-0.0677645788336934</v>
      </c>
      <c r="K324" s="411">
        <f t="shared" si="123"/>
        <v>-0.117578916883869</v>
      </c>
      <c r="L324" s="362">
        <f t="shared" si="123"/>
        <v>0.12865113226124</v>
      </c>
      <c r="M324" s="362">
        <f t="shared" si="123"/>
        <v>0.625181738877581</v>
      </c>
      <c r="N324" s="362">
        <f t="shared" si="123"/>
        <v>-0.0307747360887457</v>
      </c>
      <c r="O324" s="362">
        <f t="shared" si="123"/>
        <v>0.0232601070703342</v>
      </c>
      <c r="P324" s="362">
        <f t="shared" si="123"/>
        <v>0.0227313729027603</v>
      </c>
      <c r="Q324" s="362">
        <f t="shared" si="123"/>
        <v>0.104251190686188</v>
      </c>
      <c r="R324" s="362">
        <f t="shared" si="123"/>
        <v>0.117252396166134</v>
      </c>
      <c r="S324" s="362">
        <f t="shared" si="123"/>
        <v>0.112382041750071</v>
      </c>
      <c r="T324" s="362">
        <f t="shared" si="123"/>
        <v>-0.0740359897172237</v>
      </c>
      <c r="U324" s="362">
        <f t="shared" si="123"/>
        <v>0.0563575791227096</v>
      </c>
      <c r="V324" s="362">
        <f t="shared" si="123"/>
        <v>0.149408672798949</v>
      </c>
      <c r="W324" s="384">
        <f t="shared" si="123"/>
        <v>0.133074196867497</v>
      </c>
      <c r="X324" s="362">
        <f t="shared" si="123"/>
        <v>0.0609423872464936</v>
      </c>
      <c r="Y324" s="362">
        <f t="shared" si="123"/>
        <v>0.0411092423351944</v>
      </c>
      <c r="Z324" s="362">
        <f t="shared" si="123"/>
        <v>0.0620661111036431</v>
      </c>
      <c r="AA324" s="362">
        <f t="shared" si="123"/>
        <v>0.0597106571841743</v>
      </c>
      <c r="AB324" s="362">
        <f t="shared" si="123"/>
        <v>0.0601546217318045</v>
      </c>
      <c r="AC324" s="362"/>
      <c r="AD324" s="558"/>
      <c r="AE324" s="342"/>
      <c r="AF324" s="461"/>
      <c r="AG324" s="463"/>
      <c r="AH324" s="463"/>
      <c r="AI324" s="463"/>
      <c r="AJ324" s="463"/>
      <c r="AK324" s="463"/>
      <c r="AL324" s="463"/>
      <c r="AM324" s="466"/>
      <c r="AQ324" s="559"/>
      <c r="AR324" s="559"/>
      <c r="AS324" s="559"/>
      <c r="AT324" s="559"/>
    </row>
    <row r="325" customHeight="1" spans="1:54">
      <c r="A325" s="340" t="s">
        <v>145</v>
      </c>
      <c r="B325" s="411"/>
      <c r="C325" s="411">
        <f>C323/C$319</f>
        <v>0.601328903654485</v>
      </c>
      <c r="D325" s="411">
        <f>D323/D$319</f>
        <v>0.58043795620438</v>
      </c>
      <c r="E325" s="411">
        <f>E323/E$319</f>
        <v>0.580651530108588</v>
      </c>
      <c r="F325" s="411">
        <f t="shared" ref="F325:AB325" si="124">F323/F$319</f>
        <v>0.560702278670153</v>
      </c>
      <c r="G325" s="411">
        <f t="shared" si="124"/>
        <v>0.56675235646958</v>
      </c>
      <c r="H325" s="411">
        <f t="shared" si="124"/>
        <v>0.574443717277487</v>
      </c>
      <c r="I325" s="411">
        <f t="shared" si="124"/>
        <v>0.567836884868925</v>
      </c>
      <c r="J325" s="411">
        <f t="shared" si="124"/>
        <v>0.550981330780278</v>
      </c>
      <c r="K325" s="411">
        <f t="shared" si="124"/>
        <v>0.519965870307167</v>
      </c>
      <c r="L325" s="362">
        <f t="shared" si="124"/>
        <v>0.518233875828813</v>
      </c>
      <c r="M325" s="362">
        <f t="shared" si="124"/>
        <v>0.554244347481158</v>
      </c>
      <c r="N325" s="362">
        <f t="shared" si="124"/>
        <v>0.525973395475289</v>
      </c>
      <c r="O325" s="362">
        <f t="shared" si="124"/>
        <v>0.51328826743217</v>
      </c>
      <c r="P325" s="362">
        <f t="shared" si="124"/>
        <v>0.546093825257682</v>
      </c>
      <c r="Q325" s="362">
        <f t="shared" si="124"/>
        <v>0.52210175145955</v>
      </c>
      <c r="R325" s="362">
        <f t="shared" si="124"/>
        <v>0.524956841552203</v>
      </c>
      <c r="S325" s="362">
        <f t="shared" si="124"/>
        <v>0.522744070415911</v>
      </c>
      <c r="T325" s="362">
        <f t="shared" si="124"/>
        <v>0.507145371348117</v>
      </c>
      <c r="U325" s="362">
        <f t="shared" si="124"/>
        <v>0.52359983486996</v>
      </c>
      <c r="V325" s="362">
        <f t="shared" si="124"/>
        <v>0.517114986698197</v>
      </c>
      <c r="W325" s="384">
        <f t="shared" si="124"/>
        <v>0.513789528252981</v>
      </c>
      <c r="X325" s="362">
        <f t="shared" si="124"/>
        <v>0.495569799227071</v>
      </c>
      <c r="Y325" s="362">
        <f t="shared" si="124"/>
        <v>0.486569799227071</v>
      </c>
      <c r="Z325" s="362">
        <f t="shared" si="124"/>
        <v>0.479069799227071</v>
      </c>
      <c r="AA325" s="362">
        <f t="shared" si="124"/>
        <v>0.474069799227071</v>
      </c>
      <c r="AB325" s="362">
        <f t="shared" si="124"/>
        <v>0.469069799227071</v>
      </c>
      <c r="AC325" s="362"/>
      <c r="AD325" s="560"/>
      <c r="AF325" s="461"/>
      <c r="AG325" s="463"/>
      <c r="AH325" s="463"/>
      <c r="AI325" s="463"/>
      <c r="AJ325" s="463"/>
      <c r="AK325" s="463"/>
      <c r="AL325" s="463"/>
      <c r="AM325" s="466"/>
      <c r="AO325" s="345"/>
      <c r="AQ325" s="401"/>
      <c r="AR325" s="401"/>
    </row>
    <row r="326" customHeight="1" spans="1:54">
      <c r="A326" s="486" t="s">
        <v>146</v>
      </c>
      <c r="B326" s="547"/>
      <c r="C326" s="547">
        <v>960</v>
      </c>
      <c r="D326" s="547">
        <v>1437</v>
      </c>
      <c r="E326" s="547">
        <v>2124</v>
      </c>
      <c r="F326" s="547">
        <v>2352</v>
      </c>
      <c r="G326" s="547">
        <v>2528</v>
      </c>
      <c r="H326" s="547">
        <v>2601</v>
      </c>
      <c r="I326" s="547">
        <v>2819</v>
      </c>
      <c r="J326" s="547">
        <v>2814</v>
      </c>
      <c r="K326" s="547">
        <v>2813</v>
      </c>
      <c r="L326" s="548">
        <v>3197</v>
      </c>
      <c r="M326" s="548">
        <v>4495</v>
      </c>
      <c r="N326" s="548">
        <v>4882</v>
      </c>
      <c r="O326" s="548">
        <v>5256</v>
      </c>
      <c r="P326" s="548">
        <v>4712</v>
      </c>
      <c r="Q326" s="548">
        <v>5730</v>
      </c>
      <c r="R326" s="548">
        <v>6329</v>
      </c>
      <c r="S326" s="548">
        <v>7103</v>
      </c>
      <c r="T326" s="548">
        <v>7001</v>
      </c>
      <c r="U326" s="548">
        <v>6924</v>
      </c>
      <c r="V326" s="548">
        <v>8168</v>
      </c>
      <c r="W326" s="549">
        <v>9379</v>
      </c>
      <c r="X326" s="548">
        <f>Interim!GC395</f>
        <v>10703</v>
      </c>
      <c r="Y326" s="548">
        <f>Y328*Y321</f>
        <v>11551.5919806055</v>
      </c>
      <c r="Z326" s="548">
        <f>Z328*Z321</f>
        <v>12642.6429521679</v>
      </c>
      <c r="AA326" s="548">
        <f>AA328*AA321</f>
        <v>13668.7957241065</v>
      </c>
      <c r="AB326" s="548">
        <f>AB328*AB321</f>
        <v>14784.7369196048</v>
      </c>
      <c r="AC326" s="548"/>
      <c r="AD326" s="548"/>
      <c r="AF326" s="461"/>
      <c r="AG326" s="463"/>
      <c r="AH326" s="463"/>
      <c r="AI326" s="463"/>
      <c r="AJ326" s="463"/>
      <c r="AK326" s="463"/>
      <c r="AL326" s="463"/>
      <c r="AM326" s="466"/>
      <c r="AO326" s="345"/>
    </row>
    <row r="327" s="334" customFormat="1" customHeight="1" spans="1:54">
      <c r="A327" s="334" t="s">
        <v>142</v>
      </c>
      <c r="B327" s="411"/>
      <c r="C327" s="411"/>
      <c r="D327" s="411">
        <f>D326/C326-1</f>
        <v>0.496875</v>
      </c>
      <c r="E327" s="411">
        <f>E326/D326-1</f>
        <v>0.478079331941545</v>
      </c>
      <c r="F327" s="411">
        <f t="shared" ref="F327:K327" si="125">F326/E326-1</f>
        <v>0.107344632768362</v>
      </c>
      <c r="G327" s="411">
        <f t="shared" si="125"/>
        <v>0.0748299319727892</v>
      </c>
      <c r="H327" s="411">
        <f t="shared" si="125"/>
        <v>0.0288765822784811</v>
      </c>
      <c r="I327" s="411">
        <f t="shared" si="125"/>
        <v>0.0838139177239523</v>
      </c>
      <c r="J327" s="411">
        <f t="shared" si="125"/>
        <v>-0.001773678609436</v>
      </c>
      <c r="K327" s="411">
        <f t="shared" si="125"/>
        <v>-0.000355366027007809</v>
      </c>
      <c r="L327" s="362">
        <v>0.136105188343994</v>
      </c>
      <c r="M327" s="362">
        <f t="shared" ref="M327:AB327" si="126">M326/L326-1</f>
        <v>0.406005630278386</v>
      </c>
      <c r="N327" s="362">
        <f t="shared" si="126"/>
        <v>0.0860956618464961</v>
      </c>
      <c r="O327" s="362">
        <f t="shared" si="126"/>
        <v>0.0766079475624744</v>
      </c>
      <c r="P327" s="362">
        <f t="shared" si="126"/>
        <v>-0.103500761035008</v>
      </c>
      <c r="Q327" s="362">
        <f t="shared" si="126"/>
        <v>0.216044142614601</v>
      </c>
      <c r="R327" s="362">
        <f t="shared" si="126"/>
        <v>0.104537521815009</v>
      </c>
      <c r="S327" s="362">
        <f t="shared" si="126"/>
        <v>0.122294201295623</v>
      </c>
      <c r="T327" s="362">
        <f t="shared" si="126"/>
        <v>-0.0143601295227369</v>
      </c>
      <c r="U327" s="362">
        <f t="shared" si="126"/>
        <v>-0.0109984287958863</v>
      </c>
      <c r="V327" s="362">
        <f t="shared" si="126"/>
        <v>0.179664933564414</v>
      </c>
      <c r="W327" s="384">
        <f t="shared" si="126"/>
        <v>0.148261508325171</v>
      </c>
      <c r="X327" s="362">
        <f t="shared" si="126"/>
        <v>0.141166435654121</v>
      </c>
      <c r="Y327" s="362">
        <f t="shared" si="126"/>
        <v>0.0792854321784036</v>
      </c>
      <c r="Z327" s="362">
        <f t="shared" si="126"/>
        <v>0.094450269139893</v>
      </c>
      <c r="AA327" s="362">
        <f t="shared" si="126"/>
        <v>0.0811660011139266</v>
      </c>
      <c r="AB327" s="504">
        <f t="shared" si="126"/>
        <v>0.081641515318732</v>
      </c>
      <c r="AC327" s="362"/>
      <c r="AD327" s="561"/>
      <c r="AE327" s="342"/>
      <c r="AF327" s="461"/>
      <c r="AG327" s="463"/>
      <c r="AH327" s="463"/>
      <c r="AI327" s="463"/>
      <c r="AJ327" s="463"/>
      <c r="AK327" s="463"/>
      <c r="AL327" s="463"/>
      <c r="AM327" s="466"/>
      <c r="AN327" s="562"/>
      <c r="AO327" s="562"/>
      <c r="AP327" s="563"/>
      <c r="AQ327" s="563"/>
      <c r="AR327" s="563"/>
      <c r="AS327" s="340"/>
      <c r="AT327" s="559"/>
    </row>
    <row r="328" customHeight="1" spans="1:54">
      <c r="A328" s="340" t="s">
        <v>145</v>
      </c>
      <c r="B328" s="411"/>
      <c r="C328" s="411">
        <f>C326/C$319</f>
        <v>0.398671096345515</v>
      </c>
      <c r="D328" s="411">
        <f>D326/D$319</f>
        <v>0.41956204379562</v>
      </c>
      <c r="E328" s="411">
        <f>E326/E$319</f>
        <v>0.419348469891412</v>
      </c>
      <c r="F328" s="411">
        <f t="shared" ref="F328:M328" si="127">F326/F$319</f>
        <v>0.439297721329847</v>
      </c>
      <c r="G328" s="411">
        <f t="shared" si="127"/>
        <v>0.43324764353042</v>
      </c>
      <c r="H328" s="411">
        <f t="shared" si="127"/>
        <v>0.425556282722513</v>
      </c>
      <c r="I328" s="411">
        <f t="shared" si="127"/>
        <v>0.432163115131075</v>
      </c>
      <c r="J328" s="411">
        <f t="shared" si="127"/>
        <v>0.449018669219722</v>
      </c>
      <c r="K328" s="411">
        <f t="shared" si="127"/>
        <v>0.480034129692833</v>
      </c>
      <c r="L328" s="362">
        <f t="shared" si="127"/>
        <v>0.481766124171187</v>
      </c>
      <c r="M328" s="362">
        <f t="shared" si="127"/>
        <v>0.445755652518842</v>
      </c>
      <c r="N328" s="362">
        <f>N326/N321</f>
        <v>0.474026604524711</v>
      </c>
      <c r="O328" s="362">
        <f>O326/O321</f>
        <v>0.48671173256783</v>
      </c>
      <c r="P328" s="362">
        <f t="shared" ref="P328:X328" si="128">P326/P$319</f>
        <v>0.453906174742318</v>
      </c>
      <c r="Q328" s="362">
        <f t="shared" si="128"/>
        <v>0.47789824854045</v>
      </c>
      <c r="R328" s="362">
        <f t="shared" si="128"/>
        <v>0.475043158447797</v>
      </c>
      <c r="S328" s="362">
        <f t="shared" si="128"/>
        <v>0.477255929584089</v>
      </c>
      <c r="T328" s="362">
        <f t="shared" si="128"/>
        <v>0.492854628651883</v>
      </c>
      <c r="U328" s="362">
        <f t="shared" si="128"/>
        <v>0.47640016513004</v>
      </c>
      <c r="V328" s="362">
        <f t="shared" si="128"/>
        <v>0.482885013301803</v>
      </c>
      <c r="W328" s="408">
        <f t="shared" si="128"/>
        <v>0.486210471747019</v>
      </c>
      <c r="X328" s="407">
        <f t="shared" si="128"/>
        <v>0.504430200772929</v>
      </c>
      <c r="Y328" s="504">
        <f>X328+0.6%+0.3%</f>
        <v>0.513430200772929</v>
      </c>
      <c r="Z328" s="504">
        <f>Y328+0.75%</f>
        <v>0.520930200772929</v>
      </c>
      <c r="AA328" s="504">
        <f>Z328+0.5%</f>
        <v>0.525930200772929</v>
      </c>
      <c r="AB328" s="504">
        <f>AA328+0.5%</f>
        <v>0.530930200772929</v>
      </c>
      <c r="AC328" s="372" t="s">
        <v>1264</v>
      </c>
      <c r="AD328" s="372"/>
      <c r="AF328" s="461"/>
      <c r="AG328" s="463"/>
      <c r="AH328" s="463"/>
      <c r="AI328" s="463"/>
      <c r="AJ328" s="463"/>
      <c r="AK328" s="463"/>
      <c r="AL328" s="463"/>
      <c r="AM328" s="466"/>
      <c r="AN328" s="562"/>
      <c r="AO328" s="562"/>
    </row>
    <row r="329" customHeight="1" spans="1:54">
      <c r="A329" s="564" t="s">
        <v>147</v>
      </c>
      <c r="B329" s="565"/>
      <c r="C329" s="565">
        <v>49</v>
      </c>
      <c r="D329" s="565">
        <v>44</v>
      </c>
      <c r="E329" s="565">
        <v>45</v>
      </c>
      <c r="F329" s="565">
        <v>34.8495</v>
      </c>
      <c r="G329" s="565">
        <v>43</v>
      </c>
      <c r="H329" s="565">
        <v>32</v>
      </c>
      <c r="I329" s="565">
        <v>46.5</v>
      </c>
      <c r="J329" s="565">
        <v>43</v>
      </c>
      <c r="K329" s="565">
        <v>42.458</v>
      </c>
      <c r="L329" s="566">
        <v>47.207</v>
      </c>
      <c r="M329" s="566">
        <v>90</v>
      </c>
      <c r="N329" s="566">
        <v>102</v>
      </c>
      <c r="O329" s="566">
        <v>89</v>
      </c>
      <c r="P329" s="566">
        <v>86</v>
      </c>
      <c r="Q329" s="566">
        <v>100</v>
      </c>
      <c r="R329" s="566">
        <v>93</v>
      </c>
      <c r="S329" s="566">
        <v>105</v>
      </c>
      <c r="T329" s="566">
        <v>103</v>
      </c>
      <c r="U329" s="566">
        <v>102</v>
      </c>
      <c r="V329" s="566">
        <v>119</v>
      </c>
      <c r="W329" s="567">
        <v>109</v>
      </c>
      <c r="X329" s="568">
        <f>X331*X319</f>
        <v>119.894349403836</v>
      </c>
      <c r="Y329" s="568">
        <f>Y331*Y319</f>
        <v>127.13194750388</v>
      </c>
      <c r="Z329" s="568">
        <f>Z331*Z319</f>
        <v>137.13635657908</v>
      </c>
      <c r="AA329" s="568">
        <f>AA331*AA319</f>
        <v>146.857595492905</v>
      </c>
      <c r="AB329" s="568">
        <f>AB331*AB319</f>
        <v>157.351338460909</v>
      </c>
      <c r="AC329" s="568"/>
      <c r="AD329" s="566"/>
      <c r="AF329" s="461"/>
      <c r="AG329" s="463"/>
      <c r="AH329" s="463"/>
      <c r="AI329" s="463"/>
      <c r="AJ329" s="463"/>
      <c r="AK329" s="463"/>
      <c r="AL329" s="463"/>
      <c r="AM329" s="466"/>
      <c r="AN329" s="569"/>
      <c r="AO329" s="569"/>
    </row>
    <row r="330" s="334" customFormat="1" customHeight="1" spans="1:54">
      <c r="A330" s="334" t="s">
        <v>142</v>
      </c>
      <c r="B330" s="411"/>
      <c r="C330" s="411"/>
      <c r="D330" s="411">
        <f>D329/C329-1</f>
        <v>-0.102040816326531</v>
      </c>
      <c r="E330" s="411">
        <f>E329/D329-1</f>
        <v>0.0227272727272727</v>
      </c>
      <c r="F330" s="411">
        <f t="shared" ref="F330:K330" si="129">F329/E329-1</f>
        <v>-0.225566666666667</v>
      </c>
      <c r="G330" s="411">
        <f t="shared" si="129"/>
        <v>0.233877100101867</v>
      </c>
      <c r="H330" s="411">
        <f t="shared" si="129"/>
        <v>-0.255813953488372</v>
      </c>
      <c r="I330" s="411">
        <f t="shared" si="129"/>
        <v>0.453125</v>
      </c>
      <c r="J330" s="411">
        <f t="shared" si="129"/>
        <v>-0.0752688172043011</v>
      </c>
      <c r="K330" s="411">
        <f t="shared" si="129"/>
        <v>-0.0126046511627907</v>
      </c>
      <c r="L330" s="362">
        <v>0.119047619047619</v>
      </c>
      <c r="M330" s="362">
        <f t="shared" ref="M330:AB330" si="130">M329/L329-1</f>
        <v>0.906496917829983</v>
      </c>
      <c r="N330" s="362">
        <f t="shared" si="130"/>
        <v>0.133333333333333</v>
      </c>
      <c r="O330" s="362">
        <f t="shared" si="130"/>
        <v>-0.127450980392157</v>
      </c>
      <c r="P330" s="362">
        <f t="shared" si="130"/>
        <v>-0.0337078651685393</v>
      </c>
      <c r="Q330" s="362">
        <f t="shared" si="130"/>
        <v>0.162790697674419</v>
      </c>
      <c r="R330" s="362">
        <v>-0.0654</v>
      </c>
      <c r="S330" s="362">
        <f t="shared" si="130"/>
        <v>0.129032258064516</v>
      </c>
      <c r="T330" s="362">
        <f t="shared" si="130"/>
        <v>-0.0190476190476191</v>
      </c>
      <c r="U330" s="362">
        <f t="shared" si="130"/>
        <v>-0.00970873786407767</v>
      </c>
      <c r="V330" s="362">
        <f t="shared" si="130"/>
        <v>0.166666666666667</v>
      </c>
      <c r="W330" s="384">
        <f t="shared" si="130"/>
        <v>-0.0840336134453782</v>
      </c>
      <c r="X330" s="498">
        <f t="shared" si="130"/>
        <v>0.0999481596682217</v>
      </c>
      <c r="Y330" s="498">
        <f t="shared" si="130"/>
        <v>0.06036646544255</v>
      </c>
      <c r="Z330" s="498">
        <f t="shared" si="130"/>
        <v>0.0786931158660571</v>
      </c>
      <c r="AA330" s="498">
        <f t="shared" si="130"/>
        <v>0.0708873938051522</v>
      </c>
      <c r="AB330" s="498">
        <f t="shared" si="130"/>
        <v>0.0714552279899641</v>
      </c>
      <c r="AC330" s="498"/>
      <c r="AD330" s="561"/>
      <c r="AE330" s="342"/>
      <c r="AF330" s="461"/>
      <c r="AG330" s="463"/>
      <c r="AH330" s="463"/>
      <c r="AI330" s="463"/>
      <c r="AJ330" s="463"/>
      <c r="AK330" s="463"/>
      <c r="AL330" s="463"/>
      <c r="AM330" s="466"/>
      <c r="AN330" s="562"/>
      <c r="AO330" s="562"/>
      <c r="BA330" s="548"/>
      <c r="BB330" s="548"/>
    </row>
    <row r="331" customHeight="1" spans="1:54">
      <c r="A331" s="340" t="s">
        <v>145</v>
      </c>
      <c r="B331" s="411"/>
      <c r="C331" s="411">
        <f>C329/C$319</f>
        <v>0.0203488372093023</v>
      </c>
      <c r="D331" s="411">
        <f>D329/D$319</f>
        <v>0.0128467153284672</v>
      </c>
      <c r="E331" s="411">
        <f>E329/E$319</f>
        <v>0.00888450148075025</v>
      </c>
      <c r="F331" s="411">
        <f t="shared" ref="F331:K331" si="131">F329/F$319</f>
        <v>0.00650905864774001</v>
      </c>
      <c r="G331" s="411">
        <f t="shared" si="131"/>
        <v>0.00736932305055698</v>
      </c>
      <c r="H331" s="411">
        <f t="shared" si="131"/>
        <v>0.00523560209424084</v>
      </c>
      <c r="I331" s="411">
        <f t="shared" si="131"/>
        <v>0.00712862179978537</v>
      </c>
      <c r="J331" s="411">
        <f t="shared" si="131"/>
        <v>0.00686133716291687</v>
      </c>
      <c r="K331" s="411">
        <f t="shared" si="131"/>
        <v>0.00724539249146758</v>
      </c>
      <c r="L331" s="362">
        <f>L329/L319</f>
        <v>0.00711377335744424</v>
      </c>
      <c r="M331" s="362">
        <f>M329/M321</f>
        <v>0.00892502975009917</v>
      </c>
      <c r="N331" s="362">
        <f>N329/N321</f>
        <v>0.00990387416254005</v>
      </c>
      <c r="O331" s="362">
        <f>O329/O321</f>
        <v>0.00824150384294842</v>
      </c>
      <c r="P331" s="362">
        <f>P329/P321</f>
        <v>0.00828436566804739</v>
      </c>
      <c r="Q331" s="362">
        <f>Q329/Q319</f>
        <v>0.00834028356964137</v>
      </c>
      <c r="R331" s="362">
        <f t="shared" ref="R331:W331" si="132">R329/R$319</f>
        <v>0.00698040981760865</v>
      </c>
      <c r="S331" s="362">
        <f t="shared" si="132"/>
        <v>0.00705502922797823</v>
      </c>
      <c r="T331" s="362">
        <f t="shared" si="132"/>
        <v>0.00725096796902499</v>
      </c>
      <c r="U331" s="362">
        <f t="shared" si="132"/>
        <v>0.00701802669602312</v>
      </c>
      <c r="V331" s="362">
        <f t="shared" si="132"/>
        <v>0.00703517587939699</v>
      </c>
      <c r="W331" s="384">
        <f t="shared" si="132"/>
        <v>0.00565059616381545</v>
      </c>
      <c r="X331" s="570">
        <f>W331</f>
        <v>0.00565059616381545</v>
      </c>
      <c r="Y331" s="570">
        <f>X331</f>
        <v>0.00565059616381545</v>
      </c>
      <c r="Z331" s="570">
        <f>Y331</f>
        <v>0.00565059616381545</v>
      </c>
      <c r="AA331" s="570">
        <f>Z331</f>
        <v>0.00565059616381545</v>
      </c>
      <c r="AB331" s="570">
        <f>AA331</f>
        <v>0.00565059616381545</v>
      </c>
      <c r="AC331" s="570"/>
      <c r="AD331" s="571"/>
      <c r="AF331" s="461"/>
      <c r="AG331" s="463"/>
      <c r="AH331" s="463"/>
      <c r="AI331" s="463"/>
      <c r="AJ331" s="463"/>
      <c r="AK331" s="463"/>
      <c r="AL331" s="463"/>
      <c r="AM331" s="466"/>
      <c r="AN331" s="562"/>
      <c r="AO331" s="562"/>
      <c r="BA331" s="334"/>
      <c r="BB331" s="334"/>
    </row>
    <row r="332" hidden="1" customHeight="1" spans="1:54">
      <c r="A332" s="564" t="s">
        <v>148</v>
      </c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566"/>
      <c r="M332" s="566"/>
      <c r="N332" s="566"/>
      <c r="O332" s="566"/>
      <c r="P332" s="566">
        <v>100</v>
      </c>
      <c r="Q332" s="566">
        <v>110</v>
      </c>
      <c r="R332" s="566"/>
      <c r="S332" s="566"/>
      <c r="T332" s="566"/>
      <c r="U332" s="566"/>
      <c r="V332" s="566"/>
      <c r="W332" s="567"/>
      <c r="X332" s="568"/>
      <c r="Y332" s="568"/>
      <c r="Z332" s="568"/>
      <c r="AA332" s="568"/>
      <c r="AB332" s="568"/>
      <c r="AC332" s="568"/>
      <c r="AD332" s="566"/>
      <c r="AF332" s="461"/>
      <c r="AG332" s="463"/>
      <c r="AH332" s="463"/>
      <c r="AI332" s="463"/>
      <c r="AJ332" s="463"/>
      <c r="AK332" s="463"/>
      <c r="AL332" s="463"/>
      <c r="AM332" s="466"/>
      <c r="AN332" s="562"/>
      <c r="AO332" s="562"/>
    </row>
    <row r="333" hidden="1" customHeight="1" spans="1:54">
      <c r="A333" s="334" t="s">
        <v>142</v>
      </c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362"/>
      <c r="M333" s="362"/>
      <c r="N333" s="362"/>
      <c r="O333" s="362"/>
      <c r="P333" s="362"/>
      <c r="Q333" s="362">
        <f>Q332/P332-1</f>
        <v>0.1</v>
      </c>
      <c r="R333" s="362"/>
      <c r="S333" s="362"/>
      <c r="T333" s="362"/>
      <c r="U333" s="362"/>
      <c r="V333" s="362"/>
      <c r="W333" s="384"/>
      <c r="X333" s="498"/>
      <c r="Y333" s="498"/>
      <c r="Z333" s="498"/>
      <c r="AA333" s="498"/>
      <c r="AB333" s="498"/>
      <c r="AC333" s="498"/>
      <c r="AD333" s="362"/>
      <c r="AF333" s="461"/>
      <c r="AG333" s="463"/>
      <c r="AH333" s="463"/>
      <c r="AI333" s="463"/>
      <c r="AJ333" s="463"/>
      <c r="AK333" s="463"/>
      <c r="AL333" s="463"/>
      <c r="AM333" s="466"/>
      <c r="AN333" s="562"/>
      <c r="AO333" s="562"/>
    </row>
    <row r="334" hidden="1" customHeight="1" spans="1:54">
      <c r="A334" s="340" t="s">
        <v>145</v>
      </c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362"/>
      <c r="M334" s="362"/>
      <c r="N334" s="362"/>
      <c r="O334" s="362"/>
      <c r="P334" s="362">
        <f>P332/P$319</f>
        <v>0.00963298333493883</v>
      </c>
      <c r="Q334" s="362">
        <f>Q332/Q$319</f>
        <v>0.00917431192660551</v>
      </c>
      <c r="R334" s="362"/>
      <c r="S334" s="362"/>
      <c r="T334" s="362"/>
      <c r="U334" s="362"/>
      <c r="V334" s="362"/>
      <c r="W334" s="384"/>
      <c r="X334" s="498"/>
      <c r="Y334" s="498"/>
      <c r="Z334" s="498"/>
      <c r="AA334" s="498"/>
      <c r="AB334" s="498"/>
      <c r="AC334" s="498"/>
      <c r="AD334" s="468"/>
      <c r="AF334" s="461"/>
      <c r="AG334" s="463"/>
      <c r="AH334" s="463"/>
      <c r="AI334" s="463"/>
      <c r="AJ334" s="463"/>
      <c r="AK334" s="463"/>
      <c r="AL334" s="463"/>
      <c r="AM334" s="466"/>
      <c r="AN334" s="562"/>
      <c r="AO334" s="562"/>
    </row>
    <row r="335" hidden="1" customHeight="1" spans="1:54">
      <c r="A335" s="333" t="s">
        <v>149</v>
      </c>
      <c r="B335" s="401"/>
      <c r="C335" s="401"/>
      <c r="D335" s="401"/>
      <c r="E335" s="401"/>
      <c r="F335" s="401">
        <f>F337*F319</f>
        <v>722.79</v>
      </c>
      <c r="G335" s="401">
        <f>G337*G319</f>
        <v>799.395</v>
      </c>
      <c r="H335" s="401">
        <f>H337*H319</f>
        <v>733.44</v>
      </c>
      <c r="I335" s="401">
        <f>I337*I319</f>
        <v>821.898</v>
      </c>
      <c r="J335" s="401">
        <f>J337*J319</f>
        <v>808.443</v>
      </c>
      <c r="K335" s="401">
        <v>833</v>
      </c>
      <c r="L335" s="461">
        <v>942</v>
      </c>
      <c r="M335" s="461">
        <v>1301</v>
      </c>
      <c r="N335" s="461">
        <v>1378</v>
      </c>
      <c r="O335" s="461">
        <f>1132+297</f>
        <v>1429</v>
      </c>
      <c r="P335" s="461">
        <f>1028+241</f>
        <v>1269</v>
      </c>
      <c r="Q335" s="461">
        <f>1288+308</f>
        <v>1596</v>
      </c>
      <c r="R335" s="461">
        <f>1361+338</f>
        <v>1699</v>
      </c>
      <c r="S335" s="461">
        <f>1502+304</f>
        <v>1806</v>
      </c>
      <c r="T335" s="572">
        <f>1451+336</f>
        <v>1787</v>
      </c>
      <c r="U335" s="572">
        <f>1548+375</f>
        <v>1923</v>
      </c>
      <c r="V335" s="572">
        <f>1886+462</f>
        <v>2348</v>
      </c>
      <c r="W335" s="462">
        <f>1981+540</f>
        <v>2521</v>
      </c>
      <c r="X335" s="497">
        <f>X337*X$319</f>
        <v>2758.34</v>
      </c>
      <c r="Y335" s="497">
        <f>Y337*Y$319</f>
        <v>2891.10295279316</v>
      </c>
      <c r="Z335" s="497">
        <f>Z337*Z$319</f>
        <v>3082.20881135897</v>
      </c>
      <c r="AA335" s="497">
        <f>AA337*AA$319</f>
        <v>3261.71393248437</v>
      </c>
      <c r="AB335" s="497">
        <f>AB337*AB$319</f>
        <v>3453.01016096289</v>
      </c>
      <c r="AC335" s="497"/>
      <c r="AF335" s="461"/>
      <c r="AG335" s="463"/>
      <c r="AH335" s="463"/>
      <c r="AI335" s="463"/>
      <c r="AJ335" s="463"/>
      <c r="AK335" s="463"/>
      <c r="AL335" s="463"/>
      <c r="AM335" s="466"/>
      <c r="AO335" s="345"/>
    </row>
    <row r="336" hidden="1" customHeight="1" spans="1:54">
      <c r="A336" s="334" t="s">
        <v>142</v>
      </c>
      <c r="B336" s="573"/>
      <c r="C336" s="401"/>
      <c r="D336" s="401"/>
      <c r="E336" s="573"/>
      <c r="F336" s="573"/>
      <c r="G336" s="411">
        <f t="shared" ref="G336:AB336" si="133">G335/F335-1</f>
        <v>0.105985140912298</v>
      </c>
      <c r="H336" s="411">
        <f t="shared" si="133"/>
        <v>-0.0825061452723624</v>
      </c>
      <c r="I336" s="411">
        <f t="shared" si="133"/>
        <v>0.120607002617801</v>
      </c>
      <c r="J336" s="411">
        <f t="shared" si="133"/>
        <v>-0.0163706445325332</v>
      </c>
      <c r="K336" s="411">
        <f t="shared" si="133"/>
        <v>0.0303756727437803</v>
      </c>
      <c r="L336" s="362">
        <f t="shared" si="133"/>
        <v>0.130852340936375</v>
      </c>
      <c r="M336" s="362">
        <f t="shared" si="133"/>
        <v>0.381104033970276</v>
      </c>
      <c r="N336" s="362">
        <f t="shared" si="133"/>
        <v>0.0591852421214449</v>
      </c>
      <c r="O336" s="363">
        <f t="shared" si="133"/>
        <v>0.037010159651669</v>
      </c>
      <c r="P336" s="363">
        <f t="shared" si="133"/>
        <v>-0.111966410076977</v>
      </c>
      <c r="Q336" s="363">
        <f t="shared" si="133"/>
        <v>0.257683215130024</v>
      </c>
      <c r="R336" s="363">
        <f t="shared" si="133"/>
        <v>0.0645363408521302</v>
      </c>
      <c r="S336" s="363">
        <f t="shared" si="133"/>
        <v>0.062978222483814</v>
      </c>
      <c r="T336" s="363">
        <f t="shared" si="133"/>
        <v>-0.0105204872646734</v>
      </c>
      <c r="U336" s="363">
        <f t="shared" si="133"/>
        <v>0.076105204252938</v>
      </c>
      <c r="V336" s="363">
        <f t="shared" si="133"/>
        <v>0.221008840353614</v>
      </c>
      <c r="W336" s="383">
        <f t="shared" si="133"/>
        <v>0.073679727427598</v>
      </c>
      <c r="X336" s="574">
        <f t="shared" si="133"/>
        <v>0.0941451804839351</v>
      </c>
      <c r="Y336" s="574">
        <f t="shared" si="133"/>
        <v>0.0481314677643667</v>
      </c>
      <c r="Z336" s="574">
        <f t="shared" si="133"/>
        <v>0.0661013674318229</v>
      </c>
      <c r="AA336" s="574">
        <f t="shared" si="133"/>
        <v>0.0582391175003669</v>
      </c>
      <c r="AB336" s="574">
        <f t="shared" si="133"/>
        <v>0.0586489902052232</v>
      </c>
      <c r="AC336" s="574"/>
      <c r="AD336" s="431"/>
      <c r="AF336" s="461"/>
      <c r="AG336" s="463"/>
      <c r="AH336" s="463"/>
      <c r="AI336" s="463"/>
      <c r="AJ336" s="463"/>
      <c r="AK336" s="463"/>
      <c r="AL336" s="463"/>
      <c r="AM336" s="466"/>
      <c r="AO336" s="345"/>
    </row>
    <row r="337" hidden="1" customHeight="1" spans="1:43">
      <c r="A337" s="340" t="s">
        <v>145</v>
      </c>
      <c r="B337" s="411"/>
      <c r="C337" s="401"/>
      <c r="D337" s="401"/>
      <c r="E337" s="411"/>
      <c r="F337" s="411">
        <v>0.135</v>
      </c>
      <c r="G337" s="411">
        <v>0.137</v>
      </c>
      <c r="H337" s="411">
        <v>0.12</v>
      </c>
      <c r="I337" s="411">
        <v>0.126</v>
      </c>
      <c r="J337" s="411">
        <v>0.129</v>
      </c>
      <c r="K337" s="411">
        <f t="shared" ref="K337:W337" si="134">K335/K$319</f>
        <v>0.142150170648464</v>
      </c>
      <c r="L337" s="362">
        <f t="shared" si="134"/>
        <v>0.141952983725136</v>
      </c>
      <c r="M337" s="362">
        <f t="shared" si="134"/>
        <v>0.129016263387545</v>
      </c>
      <c r="N337" s="362">
        <f t="shared" si="134"/>
        <v>0.133799397999806</v>
      </c>
      <c r="O337" s="363">
        <f t="shared" si="134"/>
        <v>0.132327067321048</v>
      </c>
      <c r="P337" s="363">
        <f t="shared" si="134"/>
        <v>0.122242558520374</v>
      </c>
      <c r="Q337" s="407">
        <f t="shared" si="134"/>
        <v>0.133110925771476</v>
      </c>
      <c r="R337" s="407">
        <f t="shared" si="134"/>
        <v>0.127523830969001</v>
      </c>
      <c r="S337" s="407">
        <f t="shared" si="134"/>
        <v>0.121346502721226</v>
      </c>
      <c r="T337" s="407">
        <f t="shared" si="134"/>
        <v>0.12580077437522</v>
      </c>
      <c r="U337" s="407">
        <f t="shared" si="134"/>
        <v>0.132310444475024</v>
      </c>
      <c r="V337" s="407">
        <f t="shared" si="134"/>
        <v>0.138811705586757</v>
      </c>
      <c r="W337" s="408">
        <f t="shared" si="134"/>
        <v>0.130689476412649</v>
      </c>
      <c r="X337" s="504">
        <v>0.13</v>
      </c>
      <c r="Y337" s="504">
        <f>X337-0.15%</f>
        <v>0.1285</v>
      </c>
      <c r="Z337" s="504">
        <f>Y337-0.15%</f>
        <v>0.127</v>
      </c>
      <c r="AA337" s="504">
        <f>Z337-0.15%</f>
        <v>0.1255</v>
      </c>
      <c r="AB337" s="504">
        <f>AA337-0.15%</f>
        <v>0.124</v>
      </c>
      <c r="AC337" s="504"/>
      <c r="AD337" s="575"/>
      <c r="AF337" s="461"/>
      <c r="AG337" s="463"/>
      <c r="AH337" s="463"/>
      <c r="AI337" s="463"/>
      <c r="AJ337" s="463"/>
      <c r="AK337" s="463"/>
      <c r="AL337" s="463"/>
      <c r="AM337" s="466"/>
      <c r="AO337" s="345"/>
    </row>
    <row r="338" hidden="1" customHeight="1" spans="1:43">
      <c r="A338" s="333" t="s">
        <v>150</v>
      </c>
      <c r="B338" s="401"/>
      <c r="C338" s="401"/>
      <c r="D338" s="401"/>
      <c r="E338" s="401"/>
      <c r="F338" s="401"/>
      <c r="G338" s="401"/>
      <c r="H338" s="401"/>
      <c r="I338" s="401"/>
      <c r="J338" s="401"/>
      <c r="K338" s="401">
        <v>183</v>
      </c>
      <c r="L338" s="461">
        <v>207</v>
      </c>
      <c r="M338" s="461">
        <v>291</v>
      </c>
      <c r="N338" s="461">
        <v>327</v>
      </c>
      <c r="O338" s="461">
        <v>376</v>
      </c>
      <c r="P338" s="461">
        <v>348</v>
      </c>
      <c r="Q338" s="461">
        <v>380</v>
      </c>
      <c r="R338" s="461">
        <v>402</v>
      </c>
      <c r="S338" s="461">
        <v>445</v>
      </c>
      <c r="T338" s="461">
        <v>420</v>
      </c>
      <c r="U338" s="461">
        <v>427</v>
      </c>
      <c r="V338" s="461">
        <v>554</v>
      </c>
      <c r="W338" s="462">
        <v>684</v>
      </c>
      <c r="X338" s="497">
        <f>X340*X$319</f>
        <v>752.364541213064</v>
      </c>
      <c r="Y338" s="497">
        <f>Y340*Y$319</f>
        <v>797.782129290402</v>
      </c>
      <c r="Z338" s="497">
        <f>Z340*Z$319</f>
        <v>860.562090826522</v>
      </c>
      <c r="AA338" s="497">
        <f>AA340*AA$319</f>
        <v>921.565094652726</v>
      </c>
      <c r="AB338" s="497">
        <f>AB340*AB$319</f>
        <v>987.41573859873</v>
      </c>
      <c r="AC338" s="497"/>
      <c r="AD338" s="524"/>
      <c r="AF338" s="461"/>
      <c r="AG338" s="463"/>
      <c r="AH338" s="463"/>
      <c r="AI338" s="463"/>
      <c r="AJ338" s="463"/>
      <c r="AK338" s="463"/>
      <c r="AL338" s="463"/>
      <c r="AM338" s="466"/>
      <c r="AO338" s="345"/>
    </row>
    <row r="339" hidden="1" customHeight="1" spans="1:43">
      <c r="A339" s="334" t="s">
        <v>142</v>
      </c>
      <c r="B339" s="573"/>
      <c r="C339" s="401"/>
      <c r="D339" s="401"/>
      <c r="E339" s="573"/>
      <c r="F339" s="573"/>
      <c r="G339" s="573"/>
      <c r="H339" s="573"/>
      <c r="I339" s="573"/>
      <c r="J339" s="411" t="e">
        <f>J338/I338-1</f>
        <v>#DIV/0!</v>
      </c>
      <c r="K339" s="411" t="e">
        <f>K338/J338-1</f>
        <v>#DIV/0!</v>
      </c>
      <c r="L339" s="362">
        <f>L338/K338-1</f>
        <v>0.131147540983606</v>
      </c>
      <c r="M339" s="362">
        <f t="shared" ref="M339:AB339" si="135">M338/L338-1</f>
        <v>0.405797101449275</v>
      </c>
      <c r="N339" s="362">
        <f t="shared" si="135"/>
        <v>0.123711340206186</v>
      </c>
      <c r="O339" s="363">
        <f t="shared" si="135"/>
        <v>0.149847094801223</v>
      </c>
      <c r="P339" s="363">
        <f t="shared" si="135"/>
        <v>-0.074468085106383</v>
      </c>
      <c r="Q339" s="363">
        <f t="shared" si="135"/>
        <v>0.0919540229885059</v>
      </c>
      <c r="R339" s="363">
        <f t="shared" si="135"/>
        <v>0.0578947368421052</v>
      </c>
      <c r="S339" s="363">
        <f t="shared" si="135"/>
        <v>0.106965174129353</v>
      </c>
      <c r="T339" s="363">
        <f t="shared" si="135"/>
        <v>-0.0561797752808989</v>
      </c>
      <c r="U339" s="363">
        <f t="shared" si="135"/>
        <v>0.0166666666666666</v>
      </c>
      <c r="V339" s="363">
        <f t="shared" si="135"/>
        <v>0.297423887587822</v>
      </c>
      <c r="W339" s="383">
        <f t="shared" si="135"/>
        <v>0.234657039711191</v>
      </c>
      <c r="X339" s="574">
        <f t="shared" si="135"/>
        <v>0.0999481596682219</v>
      </c>
      <c r="Y339" s="574">
        <f t="shared" si="135"/>
        <v>0.0603664654425498</v>
      </c>
      <c r="Z339" s="574">
        <f t="shared" si="135"/>
        <v>0.0786931158660573</v>
      </c>
      <c r="AA339" s="574">
        <f t="shared" si="135"/>
        <v>0.0708873938051524</v>
      </c>
      <c r="AB339" s="574">
        <f t="shared" si="135"/>
        <v>0.0714552279899638</v>
      </c>
      <c r="AC339" s="574"/>
      <c r="AD339" s="363"/>
      <c r="AF339" s="461"/>
      <c r="AG339" s="463"/>
      <c r="AH339" s="463"/>
      <c r="AI339" s="463"/>
      <c r="AJ339" s="463"/>
      <c r="AK339" s="463"/>
      <c r="AL339" s="463"/>
      <c r="AM339" s="466"/>
      <c r="AO339" s="345"/>
    </row>
    <row r="340" hidden="1" customHeight="1" spans="1:43">
      <c r="A340" s="340" t="s">
        <v>145</v>
      </c>
      <c r="B340" s="411"/>
      <c r="C340" s="401"/>
      <c r="D340" s="401"/>
      <c r="E340" s="411"/>
      <c r="F340" s="411"/>
      <c r="G340" s="411"/>
      <c r="H340" s="411"/>
      <c r="I340" s="411"/>
      <c r="J340" s="411">
        <f t="shared" ref="J340:W340" si="136">J338/J$319</f>
        <v>0</v>
      </c>
      <c r="K340" s="411">
        <f t="shared" si="136"/>
        <v>0.0312286689419795</v>
      </c>
      <c r="L340" s="362">
        <f t="shared" si="136"/>
        <v>0.0311934900542495</v>
      </c>
      <c r="M340" s="362">
        <f t="shared" si="136"/>
        <v>0.0288575961919873</v>
      </c>
      <c r="N340" s="362">
        <f t="shared" si="136"/>
        <v>0.0317506554034372</v>
      </c>
      <c r="O340" s="363">
        <f t="shared" si="136"/>
        <v>0.0348180387072877</v>
      </c>
      <c r="P340" s="363">
        <f t="shared" si="136"/>
        <v>0.0335227820055871</v>
      </c>
      <c r="Q340" s="407">
        <f t="shared" si="136"/>
        <v>0.0316930775646372</v>
      </c>
      <c r="R340" s="407">
        <f t="shared" si="136"/>
        <v>0.030173384372889</v>
      </c>
      <c r="S340" s="407">
        <f t="shared" si="136"/>
        <v>0.0298998857757173</v>
      </c>
      <c r="T340" s="407">
        <f t="shared" si="136"/>
        <v>0.0295670538542767</v>
      </c>
      <c r="U340" s="407">
        <f t="shared" si="136"/>
        <v>0.029379386266685</v>
      </c>
      <c r="V340" s="407">
        <f t="shared" si="136"/>
        <v>0.03275199527047</v>
      </c>
      <c r="W340" s="408">
        <f t="shared" si="136"/>
        <v>0.0354587869362364</v>
      </c>
      <c r="X340" s="504">
        <f>W340</f>
        <v>0.0354587869362364</v>
      </c>
      <c r="Y340" s="504">
        <f>X340</f>
        <v>0.0354587869362364</v>
      </c>
      <c r="Z340" s="504">
        <f>Y340</f>
        <v>0.0354587869362364</v>
      </c>
      <c r="AA340" s="504">
        <f>Z340</f>
        <v>0.0354587869362364</v>
      </c>
      <c r="AB340" s="504">
        <f>AA340</f>
        <v>0.0354587869362364</v>
      </c>
      <c r="AC340" s="504"/>
      <c r="AD340" s="366"/>
      <c r="AF340" s="461"/>
      <c r="AG340" s="463"/>
      <c r="AH340" s="463"/>
      <c r="AI340" s="463"/>
      <c r="AJ340" s="463"/>
      <c r="AK340" s="463"/>
      <c r="AL340" s="463"/>
      <c r="AM340" s="466"/>
      <c r="AO340" s="345"/>
    </row>
    <row r="341" hidden="1" customHeight="1" spans="1:43">
      <c r="A341" s="333" t="s">
        <v>151</v>
      </c>
      <c r="B341" s="401"/>
      <c r="C341" s="401"/>
      <c r="D341" s="401"/>
      <c r="E341" s="401"/>
      <c r="F341" s="401"/>
      <c r="G341" s="401"/>
      <c r="H341" s="401"/>
      <c r="I341" s="401"/>
      <c r="J341" s="401"/>
      <c r="K341" s="401">
        <v>454</v>
      </c>
      <c r="L341" s="461">
        <v>534</v>
      </c>
      <c r="M341" s="461">
        <v>904</v>
      </c>
      <c r="N341" s="461">
        <v>1045</v>
      </c>
      <c r="O341" s="461">
        <v>1179</v>
      </c>
      <c r="P341" s="461">
        <v>1296</v>
      </c>
      <c r="Q341" s="461">
        <v>1496</v>
      </c>
      <c r="R341" s="461">
        <v>1673</v>
      </c>
      <c r="S341" s="461">
        <v>1885</v>
      </c>
      <c r="T341" s="461">
        <v>1815</v>
      </c>
      <c r="U341" s="461">
        <v>1915</v>
      </c>
      <c r="V341" s="461">
        <v>2040</v>
      </c>
      <c r="W341" s="462">
        <v>2237</v>
      </c>
      <c r="X341" s="497">
        <f>X343*X$319</f>
        <v>2396.93003317781</v>
      </c>
      <c r="Y341" s="497">
        <f>Y343*Y$319</f>
        <v>2530.37479936197</v>
      </c>
      <c r="Z341" s="497">
        <f>Z343*Z$319</f>
        <v>2717.36319627303</v>
      </c>
      <c r="AA341" s="497">
        <f>AA343*AA$319</f>
        <v>2896.99511505383</v>
      </c>
      <c r="AB341" s="497">
        <f>AB343*AB$319</f>
        <v>3090.07713341741</v>
      </c>
      <c r="AC341" s="497"/>
      <c r="AD341" s="444"/>
      <c r="AF341" s="461"/>
      <c r="AG341" s="463"/>
      <c r="AH341" s="463"/>
      <c r="AI341" s="463"/>
      <c r="AJ341" s="463"/>
      <c r="AK341" s="463"/>
      <c r="AL341" s="463"/>
      <c r="AM341" s="466"/>
      <c r="AO341" s="345"/>
    </row>
    <row r="342" hidden="1" customHeight="1" spans="1:43">
      <c r="A342" s="334" t="s">
        <v>142</v>
      </c>
      <c r="B342" s="573"/>
      <c r="C342" s="401"/>
      <c r="D342" s="401"/>
      <c r="E342" s="573"/>
      <c r="F342" s="573"/>
      <c r="G342" s="573"/>
      <c r="H342" s="573"/>
      <c r="I342" s="573"/>
      <c r="J342" s="573"/>
      <c r="K342" s="411" t="e">
        <f>K341/J341-1</f>
        <v>#DIV/0!</v>
      </c>
      <c r="L342" s="362">
        <f>L341/K341-1</f>
        <v>0.176211453744493</v>
      </c>
      <c r="M342" s="362">
        <f t="shared" ref="M342:AB342" si="137">M341/L341-1</f>
        <v>0.692883895131086</v>
      </c>
      <c r="N342" s="362">
        <f t="shared" si="137"/>
        <v>0.155973451327434</v>
      </c>
      <c r="O342" s="363">
        <f t="shared" si="137"/>
        <v>0.12822966507177</v>
      </c>
      <c r="P342" s="363">
        <f t="shared" si="137"/>
        <v>0.0992366412213741</v>
      </c>
      <c r="Q342" s="363">
        <f t="shared" si="137"/>
        <v>0.154320987654321</v>
      </c>
      <c r="R342" s="363">
        <f t="shared" si="137"/>
        <v>0.11831550802139</v>
      </c>
      <c r="S342" s="363">
        <f t="shared" si="137"/>
        <v>0.126718469814704</v>
      </c>
      <c r="T342" s="363">
        <f t="shared" si="137"/>
        <v>-0.0371352785145889</v>
      </c>
      <c r="U342" s="363">
        <f t="shared" si="137"/>
        <v>0.0550964187327823</v>
      </c>
      <c r="V342" s="363">
        <f t="shared" si="137"/>
        <v>0.0652741514360313</v>
      </c>
      <c r="W342" s="383">
        <f t="shared" si="137"/>
        <v>0.0965686274509805</v>
      </c>
      <c r="X342" s="574">
        <f t="shared" si="137"/>
        <v>0.0714930859087224</v>
      </c>
      <c r="Y342" s="574">
        <f t="shared" si="137"/>
        <v>0.0556732004426677</v>
      </c>
      <c r="Z342" s="574">
        <f t="shared" si="137"/>
        <v>0.0738975099492021</v>
      </c>
      <c r="AA342" s="574">
        <f t="shared" si="137"/>
        <v>0.0661052298887277</v>
      </c>
      <c r="AB342" s="574">
        <f t="shared" si="137"/>
        <v>0.0666490659097976</v>
      </c>
      <c r="AC342" s="574"/>
      <c r="AD342" s="431"/>
      <c r="AF342" s="461"/>
      <c r="AG342" s="463"/>
      <c r="AH342" s="463"/>
      <c r="AI342" s="463"/>
      <c r="AJ342" s="463"/>
      <c r="AK342" s="463"/>
      <c r="AL342" s="463"/>
      <c r="AM342" s="466"/>
      <c r="AO342" s="345"/>
    </row>
    <row r="343" hidden="1" customHeight="1" spans="1:43">
      <c r="A343" s="340" t="s">
        <v>145</v>
      </c>
      <c r="B343" s="411"/>
      <c r="C343" s="401"/>
      <c r="D343" s="401"/>
      <c r="E343" s="411"/>
      <c r="F343" s="411"/>
      <c r="G343" s="411"/>
      <c r="H343" s="411"/>
      <c r="I343" s="411"/>
      <c r="J343" s="411">
        <f t="shared" ref="J343:W343" si="138">J341/J$319</f>
        <v>0</v>
      </c>
      <c r="K343" s="411">
        <f t="shared" si="138"/>
        <v>0.0774744027303754</v>
      </c>
      <c r="L343" s="362">
        <f t="shared" si="138"/>
        <v>0.0804701627486438</v>
      </c>
      <c r="M343" s="362">
        <f t="shared" si="138"/>
        <v>0.089646965489885</v>
      </c>
      <c r="N343" s="362">
        <f t="shared" si="138"/>
        <v>0.101466161763278</v>
      </c>
      <c r="O343" s="363">
        <f t="shared" si="138"/>
        <v>0.109176775627373</v>
      </c>
      <c r="P343" s="363">
        <f t="shared" si="138"/>
        <v>0.124843464020807</v>
      </c>
      <c r="Q343" s="407">
        <f t="shared" si="138"/>
        <v>0.124770642201835</v>
      </c>
      <c r="R343" s="407">
        <f t="shared" si="138"/>
        <v>0.125572318546874</v>
      </c>
      <c r="S343" s="407">
        <f t="shared" si="138"/>
        <v>0.126654572330847</v>
      </c>
      <c r="T343" s="407">
        <f t="shared" si="138"/>
        <v>0.127771911298838</v>
      </c>
      <c r="U343" s="407">
        <f t="shared" si="138"/>
        <v>0.131760011008669</v>
      </c>
      <c r="V343" s="407">
        <f t="shared" si="138"/>
        <v>0.120603015075377</v>
      </c>
      <c r="W343" s="408">
        <f t="shared" si="138"/>
        <v>0.115966822187662</v>
      </c>
      <c r="X343" s="504">
        <f>W343-0.3%</f>
        <v>0.112966822187662</v>
      </c>
      <c r="Y343" s="504">
        <f>X343-0.05%</f>
        <v>0.112466822187662</v>
      </c>
      <c r="Z343" s="504">
        <f>Y343-0.05%</f>
        <v>0.111966822187662</v>
      </c>
      <c r="AA343" s="504">
        <f>Z343-0.05%</f>
        <v>0.111466822187662</v>
      </c>
      <c r="AB343" s="504">
        <f>AA343-0.05%</f>
        <v>0.110966822187662</v>
      </c>
      <c r="AC343" s="504"/>
      <c r="AD343" s="371"/>
      <c r="AF343" s="461"/>
      <c r="AG343" s="463"/>
      <c r="AH343" s="463"/>
      <c r="AI343" s="463"/>
      <c r="AJ343" s="463"/>
      <c r="AK343" s="463"/>
      <c r="AL343" s="463"/>
      <c r="AM343" s="466"/>
      <c r="AO343" s="345"/>
    </row>
    <row r="344" hidden="1" customHeight="1" spans="1:43">
      <c r="A344" s="333" t="s">
        <v>152</v>
      </c>
      <c r="B344" s="401"/>
      <c r="C344" s="401"/>
      <c r="D344" s="401"/>
      <c r="E344" s="401"/>
      <c r="F344" s="401"/>
      <c r="G344" s="401"/>
      <c r="H344" s="401"/>
      <c r="I344" s="401"/>
      <c r="J344" s="401"/>
      <c r="K344" s="401">
        <v>325</v>
      </c>
      <c r="L344" s="461">
        <v>347</v>
      </c>
      <c r="M344" s="461">
        <v>491</v>
      </c>
      <c r="N344" s="461">
        <v>535</v>
      </c>
      <c r="O344" s="461">
        <v>565</v>
      </c>
      <c r="P344" s="461">
        <v>582</v>
      </c>
      <c r="Q344" s="461">
        <v>617</v>
      </c>
      <c r="R344" s="461">
        <v>678</v>
      </c>
      <c r="S344" s="461">
        <v>750</v>
      </c>
      <c r="T344" s="461">
        <v>753</v>
      </c>
      <c r="U344" s="461">
        <v>763</v>
      </c>
      <c r="V344" s="461">
        <v>859</v>
      </c>
      <c r="W344" s="462">
        <v>967</v>
      </c>
      <c r="X344" s="497">
        <f>X346*X$319</f>
        <v>1116.69487039917</v>
      </c>
      <c r="Y344" s="497">
        <f>Y346*Y$319</f>
        <v>1240.35293186239</v>
      </c>
      <c r="Z344" s="497">
        <f>Z346*Z$319</f>
        <v>1398.63357064265</v>
      </c>
      <c r="AA344" s="497">
        <f>AA346*AA$319</f>
        <v>1562.75344047909</v>
      </c>
      <c r="AB344" s="497">
        <f>AB346*AB$319</f>
        <v>1744.03748420262</v>
      </c>
      <c r="AC344" s="497"/>
      <c r="AD344" s="524"/>
      <c r="AF344" s="461"/>
      <c r="AG344" s="463"/>
      <c r="AH344" s="463"/>
      <c r="AI344" s="463"/>
      <c r="AJ344" s="463"/>
      <c r="AK344" s="463"/>
      <c r="AL344" s="463"/>
      <c r="AM344" s="466"/>
      <c r="AO344" s="345"/>
    </row>
    <row r="345" hidden="1" customHeight="1" spans="1:43">
      <c r="A345" s="334" t="s">
        <v>142</v>
      </c>
      <c r="B345" s="573"/>
      <c r="C345" s="401"/>
      <c r="D345" s="401"/>
      <c r="E345" s="573"/>
      <c r="F345" s="573"/>
      <c r="G345" s="573"/>
      <c r="H345" s="573"/>
      <c r="I345" s="573"/>
      <c r="J345" s="576" t="e">
        <f>J344/I344-1</f>
        <v>#DIV/0!</v>
      </c>
      <c r="K345" s="576" t="e">
        <f>K344/J344-1</f>
        <v>#DIV/0!</v>
      </c>
      <c r="L345" s="577">
        <f>L344/K344-1</f>
        <v>0.0676923076923077</v>
      </c>
      <c r="M345" s="577">
        <f t="shared" ref="M345:AB345" si="139">M344/L344-1</f>
        <v>0.414985590778098</v>
      </c>
      <c r="N345" s="577">
        <f t="shared" si="139"/>
        <v>0.089613034623218</v>
      </c>
      <c r="O345" s="577">
        <f t="shared" si="139"/>
        <v>0.0560747663551402</v>
      </c>
      <c r="P345" s="363">
        <f t="shared" si="139"/>
        <v>0.0300884955752212</v>
      </c>
      <c r="Q345" s="363">
        <f t="shared" si="139"/>
        <v>0.0601374570446735</v>
      </c>
      <c r="R345" s="363">
        <f t="shared" si="139"/>
        <v>0.0988654781199352</v>
      </c>
      <c r="S345" s="363">
        <f t="shared" si="139"/>
        <v>0.106194690265487</v>
      </c>
      <c r="T345" s="363">
        <f t="shared" si="139"/>
        <v>0.004</v>
      </c>
      <c r="U345" s="363">
        <f t="shared" si="139"/>
        <v>0.0132802124833997</v>
      </c>
      <c r="V345" s="363">
        <f t="shared" si="139"/>
        <v>0.125819134993447</v>
      </c>
      <c r="W345" s="383">
        <f t="shared" si="139"/>
        <v>0.125727590221187</v>
      </c>
      <c r="X345" s="574">
        <f t="shared" si="139"/>
        <v>0.154803382005347</v>
      </c>
      <c r="Y345" s="574">
        <f t="shared" si="139"/>
        <v>0.110735765642965</v>
      </c>
      <c r="Z345" s="574">
        <f t="shared" si="139"/>
        <v>0.127609355945648</v>
      </c>
      <c r="AA345" s="574">
        <f t="shared" si="139"/>
        <v>0.117343007690734</v>
      </c>
      <c r="AB345" s="574">
        <f t="shared" si="139"/>
        <v>0.116002972079813</v>
      </c>
      <c r="AC345" s="574">
        <f>225/177-1</f>
        <v>0.271186440677966</v>
      </c>
      <c r="AD345" s="363"/>
      <c r="AF345" s="461"/>
      <c r="AG345" s="463"/>
      <c r="AH345" s="463"/>
      <c r="AI345" s="463"/>
      <c r="AJ345" s="463"/>
      <c r="AK345" s="463"/>
      <c r="AL345" s="463"/>
      <c r="AM345" s="466"/>
      <c r="AO345" s="345"/>
    </row>
    <row r="346" hidden="1" customHeight="1" spans="1:43">
      <c r="A346" s="340" t="s">
        <v>145</v>
      </c>
      <c r="B346" s="411"/>
      <c r="C346" s="401"/>
      <c r="D346" s="401"/>
      <c r="E346" s="411"/>
      <c r="F346" s="411"/>
      <c r="G346" s="411"/>
      <c r="H346" s="411"/>
      <c r="I346" s="411"/>
      <c r="J346" s="411">
        <f t="shared" ref="J346:W346" si="140">J344/J$319</f>
        <v>0</v>
      </c>
      <c r="K346" s="411">
        <f t="shared" si="140"/>
        <v>0.0554607508532423</v>
      </c>
      <c r="L346" s="362">
        <f t="shared" si="140"/>
        <v>0.0522905364677517</v>
      </c>
      <c r="M346" s="362">
        <f t="shared" si="140"/>
        <v>0.0486909956366521</v>
      </c>
      <c r="N346" s="362">
        <f t="shared" si="140"/>
        <v>0.0519467909505777</v>
      </c>
      <c r="O346" s="363">
        <f t="shared" si="140"/>
        <v>0.0523196592277063</v>
      </c>
      <c r="P346" s="363">
        <f t="shared" si="140"/>
        <v>0.056063963009344</v>
      </c>
      <c r="Q346" s="407">
        <f t="shared" si="140"/>
        <v>0.0514595496246872</v>
      </c>
      <c r="R346" s="407">
        <f t="shared" si="140"/>
        <v>0.0508894393154695</v>
      </c>
      <c r="S346" s="407">
        <f t="shared" si="140"/>
        <v>0.0503930659141302</v>
      </c>
      <c r="T346" s="407">
        <f t="shared" si="140"/>
        <v>0.0530095036958817</v>
      </c>
      <c r="U346" s="407">
        <f t="shared" si="140"/>
        <v>0.0524975918535847</v>
      </c>
      <c r="V346" s="407">
        <f t="shared" si="140"/>
        <v>0.0507833284067396</v>
      </c>
      <c r="W346" s="408">
        <f t="shared" si="140"/>
        <v>0.0501296008294453</v>
      </c>
      <c r="X346" s="504">
        <f>W346+0.25%</f>
        <v>0.0526296008294453</v>
      </c>
      <c r="Y346" s="504">
        <f>X346+0.25%</f>
        <v>0.0551296008294453</v>
      </c>
      <c r="Z346" s="504">
        <f>Y346+0.25%</f>
        <v>0.0576296008294453</v>
      </c>
      <c r="AA346" s="504">
        <f>Z346+0.25%</f>
        <v>0.0601296008294453</v>
      </c>
      <c r="AB346" s="504">
        <f>AA346+0.25%</f>
        <v>0.0626296008294453</v>
      </c>
      <c r="AC346" s="504"/>
      <c r="AD346" s="578"/>
      <c r="AF346" s="461"/>
      <c r="AG346" s="463"/>
      <c r="AH346" s="463"/>
      <c r="AI346" s="463"/>
      <c r="AJ346" s="463"/>
      <c r="AK346" s="463"/>
      <c r="AL346" s="463"/>
      <c r="AM346" s="466"/>
      <c r="AO346" s="345"/>
    </row>
    <row r="347" hidden="1" customHeight="1" spans="1:43">
      <c r="A347" s="333" t="s">
        <v>153</v>
      </c>
      <c r="B347" s="401"/>
      <c r="C347" s="401"/>
      <c r="D347" s="401"/>
      <c r="E347" s="401"/>
      <c r="F347" s="401"/>
      <c r="G347" s="401"/>
      <c r="H347" s="401"/>
      <c r="I347" s="401"/>
      <c r="J347" s="401"/>
      <c r="K347" s="401">
        <v>59</v>
      </c>
      <c r="L347" s="461">
        <v>63</v>
      </c>
      <c r="M347" s="461">
        <v>98</v>
      </c>
      <c r="N347" s="461">
        <v>84</v>
      </c>
      <c r="O347" s="461">
        <v>81</v>
      </c>
      <c r="P347" s="461">
        <v>86</v>
      </c>
      <c r="Q347" s="461">
        <v>102</v>
      </c>
      <c r="R347" s="461">
        <v>115</v>
      </c>
      <c r="S347" s="461">
        <v>128</v>
      </c>
      <c r="T347" s="461">
        <v>124</v>
      </c>
      <c r="U347" s="461">
        <v>126</v>
      </c>
      <c r="V347" s="461">
        <v>139</v>
      </c>
      <c r="W347" s="462">
        <v>164</v>
      </c>
      <c r="X347" s="497">
        <f>X349*X$319</f>
        <v>180.391498185588</v>
      </c>
      <c r="Y347" s="497">
        <f>Y349*Y$319</f>
        <v>191.281095326938</v>
      </c>
      <c r="Z347" s="497">
        <f>Z349*Z$319</f>
        <v>206.333600724488</v>
      </c>
      <c r="AA347" s="497">
        <f>AA349*AA$319</f>
        <v>220.960051934279</v>
      </c>
      <c r="AB347" s="497">
        <f>AB349*AB$319</f>
        <v>236.748802821918</v>
      </c>
      <c r="AC347" s="497"/>
      <c r="AD347" s="470"/>
      <c r="AF347" s="461"/>
      <c r="AG347" s="463"/>
      <c r="AH347" s="463"/>
      <c r="AI347" s="463"/>
      <c r="AJ347" s="463"/>
      <c r="AK347" s="463"/>
      <c r="AL347" s="463"/>
      <c r="AM347" s="466"/>
      <c r="AO347" s="345"/>
    </row>
    <row r="348" hidden="1" customHeight="1" spans="1:43">
      <c r="A348" s="334" t="s">
        <v>142</v>
      </c>
      <c r="B348" s="573"/>
      <c r="C348" s="401"/>
      <c r="D348" s="401"/>
      <c r="E348" s="573"/>
      <c r="F348" s="573"/>
      <c r="G348" s="573"/>
      <c r="H348" s="573"/>
      <c r="I348" s="573"/>
      <c r="J348" s="411" t="e">
        <f>J347/I347-1</f>
        <v>#DIV/0!</v>
      </c>
      <c r="K348" s="411" t="e">
        <f>K347/J347-1</f>
        <v>#DIV/0!</v>
      </c>
      <c r="L348" s="362">
        <f>L347/K347-1</f>
        <v>0.0677966101694916</v>
      </c>
      <c r="M348" s="362">
        <f t="shared" ref="M348:AB348" si="141">M347/L347-1</f>
        <v>0.555555555555556</v>
      </c>
      <c r="N348" s="362">
        <f t="shared" si="141"/>
        <v>-0.142857142857143</v>
      </c>
      <c r="O348" s="363">
        <f t="shared" si="141"/>
        <v>-0.0357142857142857</v>
      </c>
      <c r="P348" s="363">
        <f t="shared" si="141"/>
        <v>0.0617283950617284</v>
      </c>
      <c r="Q348" s="363">
        <f t="shared" si="141"/>
        <v>0.186046511627907</v>
      </c>
      <c r="R348" s="363">
        <f t="shared" si="141"/>
        <v>0.127450980392157</v>
      </c>
      <c r="S348" s="363">
        <f t="shared" si="141"/>
        <v>0.11304347826087</v>
      </c>
      <c r="T348" s="363">
        <f t="shared" si="141"/>
        <v>-0.03125</v>
      </c>
      <c r="U348" s="363">
        <f t="shared" si="141"/>
        <v>0.0161290322580645</v>
      </c>
      <c r="V348" s="363">
        <f t="shared" si="141"/>
        <v>0.103174603174603</v>
      </c>
      <c r="W348" s="383">
        <f t="shared" si="141"/>
        <v>0.179856115107914</v>
      </c>
      <c r="X348" s="574">
        <f t="shared" si="141"/>
        <v>0.0999481596682219</v>
      </c>
      <c r="Y348" s="574">
        <f t="shared" si="141"/>
        <v>0.06036646544255</v>
      </c>
      <c r="Z348" s="574">
        <f t="shared" si="141"/>
        <v>0.0786931158660571</v>
      </c>
      <c r="AA348" s="574">
        <f t="shared" si="141"/>
        <v>0.0708873938051524</v>
      </c>
      <c r="AB348" s="574">
        <f t="shared" si="141"/>
        <v>0.0714552279899638</v>
      </c>
      <c r="AC348" s="574"/>
      <c r="AD348" s="363"/>
      <c r="AF348" s="461"/>
      <c r="AG348" s="463"/>
      <c r="AH348" s="463"/>
      <c r="AI348" s="463"/>
      <c r="AJ348" s="463"/>
      <c r="AK348" s="463"/>
      <c r="AL348" s="463"/>
      <c r="AM348" s="466"/>
      <c r="AO348" s="345"/>
    </row>
    <row r="349" hidden="1" customHeight="1" spans="1:43">
      <c r="A349" s="340" t="s">
        <v>145</v>
      </c>
      <c r="B349" s="411"/>
      <c r="C349" s="401"/>
      <c r="D349" s="401"/>
      <c r="E349" s="411"/>
      <c r="F349" s="411"/>
      <c r="G349" s="411"/>
      <c r="H349" s="411"/>
      <c r="I349" s="411"/>
      <c r="J349" s="411">
        <f t="shared" ref="J349:W349" si="142">J347/J$319</f>
        <v>0</v>
      </c>
      <c r="K349" s="411">
        <f t="shared" si="142"/>
        <v>0.0100682593856655</v>
      </c>
      <c r="L349" s="362">
        <f t="shared" si="142"/>
        <v>0.00949367088607595</v>
      </c>
      <c r="M349" s="362">
        <f t="shared" si="142"/>
        <v>0.00971836572788576</v>
      </c>
      <c r="N349" s="362">
        <f t="shared" si="142"/>
        <v>0.00815613166326828</v>
      </c>
      <c r="O349" s="363">
        <f t="shared" si="142"/>
        <v>0.00750069450875081</v>
      </c>
      <c r="P349" s="363">
        <f t="shared" si="142"/>
        <v>0.00828436566804739</v>
      </c>
      <c r="Q349" s="407">
        <f t="shared" si="142"/>
        <v>0.00850708924103419</v>
      </c>
      <c r="R349" s="407">
        <f t="shared" si="142"/>
        <v>0.00863168955940854</v>
      </c>
      <c r="S349" s="407">
        <f t="shared" si="142"/>
        <v>0.00860041658267822</v>
      </c>
      <c r="T349" s="407">
        <f t="shared" si="142"/>
        <v>0.00872932066173882</v>
      </c>
      <c r="U349" s="407">
        <f t="shared" si="142"/>
        <v>0.00866932709508738</v>
      </c>
      <c r="V349" s="407">
        <f t="shared" si="142"/>
        <v>0.00821755838013597</v>
      </c>
      <c r="W349" s="408">
        <f t="shared" si="142"/>
        <v>0.00850181441161223</v>
      </c>
      <c r="X349" s="570">
        <f>W349</f>
        <v>0.00850181441161223</v>
      </c>
      <c r="Y349" s="570">
        <f>X349</f>
        <v>0.00850181441161223</v>
      </c>
      <c r="Z349" s="570">
        <f>Y349</f>
        <v>0.00850181441161223</v>
      </c>
      <c r="AA349" s="570">
        <f>Z349</f>
        <v>0.00850181441161223</v>
      </c>
      <c r="AB349" s="570">
        <f>AA349</f>
        <v>0.00850181441161223</v>
      </c>
      <c r="AC349" s="570"/>
      <c r="AD349" s="366"/>
      <c r="AF349" s="461"/>
      <c r="AG349" s="463"/>
      <c r="AH349" s="463"/>
      <c r="AI349" s="463"/>
      <c r="AJ349" s="463"/>
      <c r="AK349" s="463"/>
      <c r="AL349" s="463"/>
      <c r="AM349" s="466"/>
      <c r="AO349" s="345"/>
    </row>
    <row r="350" hidden="1" customHeight="1" spans="1:43">
      <c r="A350" s="333" t="s">
        <v>154</v>
      </c>
      <c r="B350" s="401"/>
      <c r="C350" s="401"/>
      <c r="D350" s="401"/>
      <c r="E350" s="401"/>
      <c r="F350" s="401"/>
      <c r="G350" s="401"/>
      <c r="H350" s="401"/>
      <c r="I350" s="401"/>
      <c r="J350" s="401"/>
      <c r="K350" s="401">
        <v>382</v>
      </c>
      <c r="L350" s="461">
        <f>439+5</f>
        <v>444</v>
      </c>
      <c r="M350" s="461">
        <v>619</v>
      </c>
      <c r="N350" s="461">
        <f t="shared" ref="N350:W350" si="143">N353-N347-N344-N341-N338-N335+N357</f>
        <v>666</v>
      </c>
      <c r="O350" s="461">
        <f t="shared" si="143"/>
        <v>645</v>
      </c>
      <c r="P350" s="461">
        <f t="shared" si="143"/>
        <v>709</v>
      </c>
      <c r="Q350" s="461">
        <f t="shared" si="143"/>
        <v>745</v>
      </c>
      <c r="R350" s="461">
        <f t="shared" si="143"/>
        <v>902</v>
      </c>
      <c r="S350" s="461">
        <f t="shared" si="143"/>
        <v>1274</v>
      </c>
      <c r="T350" s="461">
        <f t="shared" si="143"/>
        <v>1024</v>
      </c>
      <c r="U350" s="461">
        <f t="shared" si="143"/>
        <v>989</v>
      </c>
      <c r="V350" s="461">
        <f t="shared" si="143"/>
        <v>1288</v>
      </c>
      <c r="W350" s="579">
        <f t="shared" si="143"/>
        <v>1424</v>
      </c>
      <c r="X350" s="497">
        <f>X326+X329-X335-X338-X341-X344-X347-X361</f>
        <v>1548.1734064282</v>
      </c>
      <c r="Y350" s="497">
        <f>Y352*Y$319</f>
        <v>1652.01541946643</v>
      </c>
      <c r="Z350" s="497">
        <f>Z352*Z$319</f>
        <v>1756.70573927683</v>
      </c>
      <c r="AA350" s="497">
        <f>AA352*AA$319</f>
        <v>1857.93556977497</v>
      </c>
      <c r="AB350" s="497">
        <f>AB352*AB$319</f>
        <v>1962.07363043876</v>
      </c>
      <c r="AC350" s="497"/>
      <c r="AD350" s="580"/>
      <c r="AF350" s="461"/>
      <c r="AG350" s="463"/>
      <c r="AH350" s="463"/>
      <c r="AI350" s="463"/>
      <c r="AJ350" s="463"/>
      <c r="AK350" s="463"/>
      <c r="AL350" s="463"/>
      <c r="AM350" s="466"/>
      <c r="AO350" s="345"/>
    </row>
    <row r="351" hidden="1" customHeight="1" spans="1:43">
      <c r="A351" s="334" t="s">
        <v>142</v>
      </c>
      <c r="B351" s="573"/>
      <c r="C351" s="581"/>
      <c r="D351" s="401"/>
      <c r="E351" s="573"/>
      <c r="F351" s="573"/>
      <c r="G351" s="573"/>
      <c r="H351" s="573"/>
      <c r="I351" s="573"/>
      <c r="J351" s="411" t="e">
        <f t="shared" ref="J351:S351" si="144">J350/I350-1</f>
        <v>#DIV/0!</v>
      </c>
      <c r="K351" s="411" t="e">
        <f t="shared" si="144"/>
        <v>#DIV/0!</v>
      </c>
      <c r="L351" s="362">
        <f t="shared" si="144"/>
        <v>0.162303664921466</v>
      </c>
      <c r="M351" s="362">
        <f t="shared" si="144"/>
        <v>0.394144144144144</v>
      </c>
      <c r="N351" s="362">
        <f t="shared" si="144"/>
        <v>0.0759289176090467</v>
      </c>
      <c r="O351" s="362">
        <f t="shared" si="144"/>
        <v>-0.0315315315315315</v>
      </c>
      <c r="P351" s="363">
        <f t="shared" si="144"/>
        <v>0.0992248062015504</v>
      </c>
      <c r="Q351" s="363">
        <f t="shared" si="144"/>
        <v>0.0507757404795486</v>
      </c>
      <c r="R351" s="363">
        <f t="shared" si="144"/>
        <v>0.210738255033557</v>
      </c>
      <c r="S351" s="363">
        <f t="shared" si="144"/>
        <v>0.412416851441242</v>
      </c>
      <c r="T351" s="363">
        <f t="shared" ref="T351:AB351" si="145">T350/S350-1</f>
        <v>-0.196232339089482</v>
      </c>
      <c r="U351" s="363">
        <f t="shared" si="145"/>
        <v>-0.0341796875</v>
      </c>
      <c r="V351" s="363">
        <f t="shared" si="145"/>
        <v>0.302325581395349</v>
      </c>
      <c r="W351" s="383">
        <f t="shared" si="145"/>
        <v>0.105590062111801</v>
      </c>
      <c r="X351" s="574">
        <f t="shared" si="145"/>
        <v>0.0872004258625019</v>
      </c>
      <c r="Y351" s="574">
        <f t="shared" si="145"/>
        <v>0.0670738901773316</v>
      </c>
      <c r="Z351" s="574">
        <f t="shared" si="145"/>
        <v>0.0633712727961167</v>
      </c>
      <c r="AA351" s="574">
        <f t="shared" si="145"/>
        <v>0.0576248077494237</v>
      </c>
      <c r="AB351" s="574">
        <f t="shared" si="145"/>
        <v>0.0560504155030521</v>
      </c>
      <c r="AC351" s="574"/>
      <c r="AD351" s="365"/>
      <c r="AF351" s="461"/>
      <c r="AG351" s="463"/>
      <c r="AH351" s="463"/>
      <c r="AI351" s="463"/>
      <c r="AJ351" s="463"/>
      <c r="AK351" s="463"/>
      <c r="AL351" s="463"/>
      <c r="AM351" s="466"/>
      <c r="AO351" s="345"/>
      <c r="AP351" s="401"/>
      <c r="AQ351" s="401"/>
    </row>
    <row r="352" hidden="1" customHeight="1" spans="1:43">
      <c r="A352" s="340" t="s">
        <v>145</v>
      </c>
      <c r="B352" s="411"/>
      <c r="C352" s="401"/>
      <c r="D352" s="401"/>
      <c r="E352" s="411"/>
      <c r="F352" s="411"/>
      <c r="G352" s="411"/>
      <c r="H352" s="411"/>
      <c r="I352" s="411"/>
      <c r="J352" s="411">
        <f t="shared" ref="J352:Q352" si="146">J350/J$319</f>
        <v>0</v>
      </c>
      <c r="K352" s="411">
        <f t="shared" si="146"/>
        <v>0.0651877133105802</v>
      </c>
      <c r="L352" s="362">
        <f t="shared" si="146"/>
        <v>0.0669077757685353</v>
      </c>
      <c r="M352" s="362">
        <f t="shared" si="146"/>
        <v>0.0613843712812376</v>
      </c>
      <c r="N352" s="362">
        <f t="shared" si="146"/>
        <v>0.0646664724730556</v>
      </c>
      <c r="O352" s="362">
        <f t="shared" si="146"/>
        <v>0.0597277525696824</v>
      </c>
      <c r="P352" s="363">
        <f t="shared" si="146"/>
        <v>0.0682978518447163</v>
      </c>
      <c r="Q352" s="407">
        <f t="shared" si="146"/>
        <v>0.0621351125938282</v>
      </c>
      <c r="R352" s="407">
        <f t="shared" ref="R352:X352" si="147">R350/R321</f>
        <v>0.0677024694137957</v>
      </c>
      <c r="S352" s="407">
        <f t="shared" si="147"/>
        <v>0.0856010212994692</v>
      </c>
      <c r="T352" s="363">
        <f t="shared" si="147"/>
        <v>0.0720872932066174</v>
      </c>
      <c r="U352" s="363">
        <f t="shared" si="147"/>
        <v>0.0680473372781065</v>
      </c>
      <c r="V352" s="363">
        <f t="shared" si="147"/>
        <v>0.0761454330475909</v>
      </c>
      <c r="W352" s="408">
        <f t="shared" si="147"/>
        <v>0.0738206324520477</v>
      </c>
      <c r="X352" s="363">
        <f t="shared" si="147"/>
        <v>0.0729650959764447</v>
      </c>
      <c r="Y352" s="504">
        <v>0.0734266419659473</v>
      </c>
      <c r="Z352" s="504">
        <v>0.0723836840858911</v>
      </c>
      <c r="AA352" s="504">
        <v>0.0714872361075386</v>
      </c>
      <c r="AB352" s="504">
        <v>0.0704594307091645</v>
      </c>
      <c r="AC352" s="504"/>
      <c r="AD352" s="582"/>
      <c r="AF352" s="461"/>
      <c r="AG352" s="463"/>
      <c r="AH352" s="463"/>
      <c r="AI352" s="463"/>
      <c r="AJ352" s="463"/>
      <c r="AK352" s="463"/>
      <c r="AL352" s="463"/>
      <c r="AM352" s="466"/>
      <c r="AO352" s="345"/>
    </row>
    <row r="353" customHeight="1" spans="1:45">
      <c r="A353" s="564" t="s">
        <v>1265</v>
      </c>
      <c r="B353" s="565"/>
      <c r="C353" s="565"/>
      <c r="D353" s="565"/>
      <c r="E353" s="565"/>
      <c r="F353" s="565">
        <f>F326-F361+F329</f>
        <v>1904.8495</v>
      </c>
      <c r="G353" s="565">
        <f>G326-G361+G329</f>
        <v>2134</v>
      </c>
      <c r="H353" s="565">
        <f>H326-H361+H329</f>
        <v>2158</v>
      </c>
      <c r="I353" s="565">
        <f>I326-I361+I329</f>
        <v>2388.5</v>
      </c>
      <c r="J353" s="565">
        <f>J326-J361+J329</f>
        <v>2367</v>
      </c>
      <c r="K353" s="565">
        <f>K326+K329-K357-K361</f>
        <v>2140.808</v>
      </c>
      <c r="L353" s="566">
        <v>2425.291</v>
      </c>
      <c r="M353" s="566">
        <f t="shared" ref="M353:X353" si="148">M326+M329-M357-M361</f>
        <v>3511</v>
      </c>
      <c r="N353" s="566">
        <f t="shared" si="148"/>
        <v>3820</v>
      </c>
      <c r="O353" s="566">
        <f t="shared" si="148"/>
        <v>4041</v>
      </c>
      <c r="P353" s="566">
        <f t="shared" si="148"/>
        <v>3991</v>
      </c>
      <c r="Q353" s="566">
        <f t="shared" si="148"/>
        <v>4676</v>
      </c>
      <c r="R353" s="566">
        <f t="shared" si="148"/>
        <v>5220</v>
      </c>
      <c r="S353" s="566">
        <f t="shared" si="148"/>
        <v>6025</v>
      </c>
      <c r="T353" s="566">
        <f t="shared" si="148"/>
        <v>5637</v>
      </c>
      <c r="U353" s="566">
        <f t="shared" si="148"/>
        <v>5820</v>
      </c>
      <c r="V353" s="566">
        <f t="shared" si="148"/>
        <v>6874</v>
      </c>
      <c r="W353" s="567">
        <f t="shared" si="148"/>
        <v>7609</v>
      </c>
      <c r="X353" s="568">
        <f t="shared" si="148"/>
        <v>8332.75195003712</v>
      </c>
      <c r="Y353" s="568">
        <f>Y350+Y344+Y341+Y338+Y335+Y347-Y357</f>
        <v>8849.3096010668</v>
      </c>
      <c r="Z353" s="568">
        <f>Z350+Z344+Z341+Z338+Z335+Z347-Z357</f>
        <v>9498.48623169676</v>
      </c>
      <c r="AA353" s="568">
        <f>AA350+AA344+AA341+AA338+AA335+AA347-AA357</f>
        <v>10127.1118067959</v>
      </c>
      <c r="AB353" s="568">
        <f>AB350+AB344+AB341+AB338+AB335+AB347-AB357</f>
        <v>10467.0837175886</v>
      </c>
      <c r="AC353" s="568"/>
      <c r="AF353" s="461"/>
      <c r="AG353" s="463"/>
      <c r="AH353" s="463"/>
      <c r="AI353" s="463"/>
      <c r="AJ353" s="463"/>
      <c r="AK353" s="463"/>
      <c r="AL353" s="463"/>
      <c r="AM353" s="466"/>
      <c r="AN353" s="569"/>
      <c r="AO353" s="569"/>
      <c r="AP353" s="555"/>
      <c r="AQ353" s="555"/>
      <c r="AR353" s="555"/>
      <c r="AS353" s="555"/>
    </row>
    <row r="354" customHeight="1" spans="1:45">
      <c r="A354" s="583" t="s">
        <v>72</v>
      </c>
      <c r="B354" s="565"/>
      <c r="C354" s="565"/>
      <c r="D354" s="565"/>
      <c r="E354" s="565"/>
      <c r="F354" s="565"/>
      <c r="G354" s="565"/>
      <c r="H354" s="565"/>
      <c r="I354" s="565"/>
      <c r="J354" s="565"/>
      <c r="K354" s="565"/>
      <c r="L354" s="566"/>
      <c r="M354" s="566"/>
      <c r="N354" s="566"/>
      <c r="O354" s="566"/>
      <c r="P354" s="566"/>
      <c r="Q354" s="566"/>
      <c r="R354" s="566">
        <f>R335+R338+R341+R344+R347+R350-R357</f>
        <v>5220</v>
      </c>
      <c r="S354" s="566"/>
      <c r="T354" s="566"/>
      <c r="U354" s="566"/>
      <c r="V354" s="566"/>
      <c r="W354" s="567"/>
      <c r="X354" s="568"/>
      <c r="Y354" s="568"/>
      <c r="Z354" s="568"/>
      <c r="AA354" s="568"/>
      <c r="AB354" s="568"/>
      <c r="AC354" s="568"/>
      <c r="AD354" s="566"/>
      <c r="AF354" s="461"/>
      <c r="AG354" s="463"/>
      <c r="AH354" s="463"/>
      <c r="AI354" s="463"/>
      <c r="AJ354" s="463"/>
      <c r="AK354" s="463"/>
      <c r="AL354" s="463"/>
      <c r="AM354" s="466"/>
      <c r="AN354" s="569"/>
      <c r="AO354" s="569"/>
      <c r="AP354" s="555"/>
      <c r="AQ354" s="555"/>
      <c r="AR354" s="555"/>
      <c r="AS354" s="555"/>
    </row>
    <row r="355" s="334" customFormat="1" customHeight="1" spans="1:45">
      <c r="A355" s="334" t="s">
        <v>142</v>
      </c>
      <c r="B355" s="411"/>
      <c r="C355" s="411"/>
      <c r="D355" s="411"/>
      <c r="E355" s="411"/>
      <c r="F355" s="411" t="e">
        <f t="shared" ref="F355:AB355" si="149">F353/E353-1</f>
        <v>#DIV/0!</v>
      </c>
      <c r="G355" s="411">
        <f t="shared" si="149"/>
        <v>0.120298480273638</v>
      </c>
      <c r="H355" s="411">
        <f t="shared" si="149"/>
        <v>0.0112464854732897</v>
      </c>
      <c r="I355" s="411">
        <f t="shared" si="149"/>
        <v>0.106811862835959</v>
      </c>
      <c r="J355" s="411">
        <f t="shared" si="149"/>
        <v>-0.00900146535482516</v>
      </c>
      <c r="K355" s="411">
        <f t="shared" si="149"/>
        <v>-0.0955606252640473</v>
      </c>
      <c r="L355" s="362">
        <f t="shared" si="149"/>
        <v>0.132885807601616</v>
      </c>
      <c r="M355" s="362">
        <f t="shared" si="149"/>
        <v>0.447661332186529</v>
      </c>
      <c r="N355" s="362">
        <f t="shared" si="149"/>
        <v>0.088009114212475</v>
      </c>
      <c r="O355" s="362">
        <f t="shared" si="149"/>
        <v>0.0578534031413613</v>
      </c>
      <c r="P355" s="362">
        <f t="shared" si="149"/>
        <v>-0.0123731749566939</v>
      </c>
      <c r="Q355" s="362">
        <f t="shared" si="149"/>
        <v>0.171636181408168</v>
      </c>
      <c r="R355" s="362">
        <f t="shared" si="149"/>
        <v>0.11633875106929</v>
      </c>
      <c r="S355" s="362">
        <f t="shared" si="149"/>
        <v>0.154214559386973</v>
      </c>
      <c r="T355" s="362">
        <f t="shared" si="149"/>
        <v>-0.0643983402489626</v>
      </c>
      <c r="U355" s="362">
        <f t="shared" si="149"/>
        <v>0.0324640766365087</v>
      </c>
      <c r="V355" s="362">
        <f t="shared" si="149"/>
        <v>0.181099656357388</v>
      </c>
      <c r="W355" s="384">
        <f t="shared" si="149"/>
        <v>0.106924643584521</v>
      </c>
      <c r="X355" s="498">
        <f t="shared" si="149"/>
        <v>0.0951178801468153</v>
      </c>
      <c r="Y355" s="498">
        <f t="shared" si="149"/>
        <v>0.0619912430043448</v>
      </c>
      <c r="Z355" s="498">
        <f t="shared" si="149"/>
        <v>0.0733590144198033</v>
      </c>
      <c r="AA355" s="498">
        <f t="shared" si="149"/>
        <v>0.0661816588206885</v>
      </c>
      <c r="AB355" s="498">
        <f t="shared" si="149"/>
        <v>0.033570470759942</v>
      </c>
      <c r="AC355" s="498"/>
      <c r="AD355" s="342"/>
      <c r="AE355" s="342"/>
      <c r="AF355" s="461"/>
      <c r="AG355" s="463"/>
      <c r="AH355" s="463"/>
      <c r="AI355" s="463"/>
      <c r="AJ355" s="463"/>
      <c r="AK355" s="463"/>
      <c r="AL355" s="463"/>
      <c r="AM355" s="466"/>
      <c r="AN355" s="584"/>
      <c r="AO355" s="584"/>
      <c r="AP355" s="559"/>
      <c r="AQ355" s="559"/>
      <c r="AR355" s="559"/>
    </row>
    <row r="356" customHeight="1" spans="1:45">
      <c r="A356" s="340" t="s">
        <v>145</v>
      </c>
      <c r="B356" s="411"/>
      <c r="C356" s="411"/>
      <c r="D356" s="411"/>
      <c r="E356" s="411"/>
      <c r="F356" s="411">
        <f t="shared" ref="F356:K356" si="150">F353/F$319</f>
        <v>0.355780631303698</v>
      </c>
      <c r="G356" s="411">
        <f t="shared" si="150"/>
        <v>0.365724078834619</v>
      </c>
      <c r="H356" s="411">
        <f t="shared" si="150"/>
        <v>0.353075916230366</v>
      </c>
      <c r="I356" s="411">
        <f t="shared" si="150"/>
        <v>0.366165874597578</v>
      </c>
      <c r="J356" s="411">
        <f t="shared" si="150"/>
        <v>0.377692675921494</v>
      </c>
      <c r="K356" s="411">
        <f t="shared" si="150"/>
        <v>0.365325597269625</v>
      </c>
      <c r="L356" s="362">
        <v>0.365390413023817</v>
      </c>
      <c r="M356" s="362">
        <f t="shared" ref="M356:AB356" si="151">M353/M$319</f>
        <v>0.348175327251091</v>
      </c>
      <c r="N356" s="362">
        <f t="shared" si="151"/>
        <v>0.370909797067676</v>
      </c>
      <c r="O356" s="362">
        <f t="shared" si="151"/>
        <v>0.374201314936568</v>
      </c>
      <c r="P356" s="362">
        <f t="shared" si="151"/>
        <v>0.384452364897409</v>
      </c>
      <c r="Q356" s="362">
        <f t="shared" si="151"/>
        <v>0.38999165971643</v>
      </c>
      <c r="R356" s="362">
        <f t="shared" si="151"/>
        <v>0.391803647827066</v>
      </c>
      <c r="S356" s="362">
        <f t="shared" si="151"/>
        <v>0.404824296176846</v>
      </c>
      <c r="T356" s="362">
        <f t="shared" si="151"/>
        <v>0.396832101372756</v>
      </c>
      <c r="U356" s="362">
        <f t="shared" si="151"/>
        <v>0.400440346773084</v>
      </c>
      <c r="V356" s="362">
        <f t="shared" si="151"/>
        <v>0.406384865503991</v>
      </c>
      <c r="W356" s="384">
        <f t="shared" si="151"/>
        <v>0.394453084499741</v>
      </c>
      <c r="X356" s="498">
        <f t="shared" si="151"/>
        <v>0.392720894996565</v>
      </c>
      <c r="Y356" s="498">
        <f t="shared" si="151"/>
        <v>0.393322653085899</v>
      </c>
      <c r="Z356" s="498">
        <f t="shared" si="151"/>
        <v>0.391377685697296</v>
      </c>
      <c r="AA356" s="498">
        <f t="shared" si="151"/>
        <v>0.389657878667745</v>
      </c>
      <c r="AB356" s="498">
        <f t="shared" si="151"/>
        <v>0.375880266920228</v>
      </c>
      <c r="AC356" s="498"/>
      <c r="AD356" s="362"/>
      <c r="AF356" s="461"/>
      <c r="AG356" s="463"/>
      <c r="AH356" s="463"/>
      <c r="AI356" s="463"/>
      <c r="AJ356" s="463"/>
      <c r="AK356" s="463"/>
      <c r="AL356" s="463"/>
      <c r="AM356" s="466"/>
      <c r="AN356" s="585"/>
      <c r="AO356" s="585"/>
      <c r="AP356" s="586"/>
      <c r="AQ356" s="586"/>
      <c r="AR356" s="586"/>
    </row>
    <row r="357" customHeight="1" spans="1:45">
      <c r="A357" s="483" t="s">
        <v>156</v>
      </c>
      <c r="B357" s="555"/>
      <c r="C357" s="555"/>
      <c r="D357" s="555"/>
      <c r="E357" s="555"/>
      <c r="F357" s="555">
        <v>104.0848</v>
      </c>
      <c r="G357" s="555">
        <v>120</v>
      </c>
      <c r="H357" s="555">
        <v>100.5</v>
      </c>
      <c r="I357" s="555">
        <v>142</v>
      </c>
      <c r="J357" s="555">
        <v>140</v>
      </c>
      <c r="K357" s="555">
        <f>94.744+35.906</f>
        <v>130.65</v>
      </c>
      <c r="L357" s="556">
        <v>111.526</v>
      </c>
      <c r="M357" s="556">
        <v>193</v>
      </c>
      <c r="N357" s="556">
        <v>215</v>
      </c>
      <c r="O357" s="556">
        <v>234</v>
      </c>
      <c r="P357" s="556">
        <v>299</v>
      </c>
      <c r="Q357" s="556">
        <v>260</v>
      </c>
      <c r="R357" s="556">
        <v>249</v>
      </c>
      <c r="S357" s="556">
        <v>263</v>
      </c>
      <c r="T357" s="556">
        <v>286</v>
      </c>
      <c r="U357" s="556">
        <v>323</v>
      </c>
      <c r="V357" s="556">
        <v>354</v>
      </c>
      <c r="W357" s="557">
        <v>388</v>
      </c>
      <c r="X357" s="587">
        <f>X472</f>
        <v>420.14239936672</v>
      </c>
      <c r="Y357" s="587">
        <f>Y472</f>
        <v>453.599727034503</v>
      </c>
      <c r="Z357" s="587">
        <f>Z472</f>
        <v>523.320777405736</v>
      </c>
      <c r="AA357" s="587">
        <f>AA472</f>
        <v>594.811397583345</v>
      </c>
      <c r="AB357" s="587">
        <f>AB472</f>
        <v>1006.27923285369</v>
      </c>
      <c r="AC357" s="587"/>
      <c r="AD357" s="588"/>
      <c r="AF357" s="461"/>
      <c r="AG357" s="463"/>
      <c r="AH357" s="463"/>
      <c r="AI357" s="463"/>
      <c r="AJ357" s="463"/>
      <c r="AK357" s="463"/>
      <c r="AL357" s="463"/>
      <c r="AM357" s="466"/>
      <c r="AN357" s="556"/>
      <c r="AO357" s="556"/>
    </row>
    <row r="358" s="334" customFormat="1" customHeight="1" spans="1:45">
      <c r="A358" s="334" t="s">
        <v>142</v>
      </c>
      <c r="B358" s="411"/>
      <c r="C358" s="411"/>
      <c r="D358" s="411"/>
      <c r="E358" s="411"/>
      <c r="F358" s="411" t="e">
        <f t="shared" ref="F358:K358" si="152">F357/E357-1</f>
        <v>#DIV/0!</v>
      </c>
      <c r="G358" s="411">
        <f t="shared" si="152"/>
        <v>0.15290609195579</v>
      </c>
      <c r="H358" s="411">
        <f t="shared" si="152"/>
        <v>-0.1625</v>
      </c>
      <c r="I358" s="411">
        <f t="shared" si="152"/>
        <v>0.412935323383085</v>
      </c>
      <c r="J358" s="411">
        <f t="shared" si="152"/>
        <v>-0.0140845070422535</v>
      </c>
      <c r="K358" s="411">
        <f t="shared" si="152"/>
        <v>-0.0667857142857142</v>
      </c>
      <c r="L358" s="362">
        <v>-0.145038167938931</v>
      </c>
      <c r="M358" s="362">
        <f t="shared" ref="M358:AB358" si="153">M357/L357-1</f>
        <v>0.73053817047146</v>
      </c>
      <c r="N358" s="362">
        <f t="shared" si="153"/>
        <v>0.113989637305699</v>
      </c>
      <c r="O358" s="362">
        <f t="shared" si="153"/>
        <v>0.0883720930232559</v>
      </c>
      <c r="P358" s="362">
        <f t="shared" si="153"/>
        <v>0.277777777777778</v>
      </c>
      <c r="Q358" s="362">
        <f t="shared" si="153"/>
        <v>-0.130434782608696</v>
      </c>
      <c r="R358" s="362">
        <f t="shared" si="153"/>
        <v>-0.0423076923076923</v>
      </c>
      <c r="S358" s="362">
        <f t="shared" si="153"/>
        <v>0.0562248995983936</v>
      </c>
      <c r="T358" s="362">
        <f t="shared" si="153"/>
        <v>0.0874524714828897</v>
      </c>
      <c r="U358" s="362">
        <f t="shared" si="153"/>
        <v>0.129370629370629</v>
      </c>
      <c r="V358" s="362">
        <f t="shared" si="153"/>
        <v>0.0959752321981424</v>
      </c>
      <c r="W358" s="384">
        <f t="shared" si="153"/>
        <v>0.0960451977401129</v>
      </c>
      <c r="X358" s="498">
        <f t="shared" si="153"/>
        <v>0.0828412354812371</v>
      </c>
      <c r="Y358" s="498">
        <f t="shared" si="153"/>
        <v>0.0796333046086588</v>
      </c>
      <c r="Z358" s="498">
        <f t="shared" si="153"/>
        <v>0.15370611183355</v>
      </c>
      <c r="AA358" s="498">
        <f t="shared" si="153"/>
        <v>0.136609558160505</v>
      </c>
      <c r="AB358" s="498">
        <f t="shared" si="153"/>
        <v>0.691761854164357</v>
      </c>
      <c r="AC358" s="498"/>
      <c r="AE358" s="342"/>
      <c r="AF358" s="461"/>
      <c r="AG358" s="463"/>
      <c r="AH358" s="463"/>
      <c r="AI358" s="463"/>
      <c r="AJ358" s="463"/>
      <c r="AK358" s="463"/>
      <c r="AL358" s="463"/>
      <c r="AM358" s="466"/>
      <c r="AN358" s="422"/>
      <c r="AO358" s="422"/>
      <c r="AP358" s="340"/>
    </row>
    <row r="359" customHeight="1" spans="1:45">
      <c r="A359" s="340" t="s">
        <v>145</v>
      </c>
      <c r="B359" s="411"/>
      <c r="C359" s="411"/>
      <c r="D359" s="411"/>
      <c r="E359" s="411"/>
      <c r="F359" s="411">
        <f t="shared" ref="F359:K359" si="154">F357/F$319</f>
        <v>0.0194405677997759</v>
      </c>
      <c r="G359" s="411">
        <f t="shared" si="154"/>
        <v>0.0205655526992288</v>
      </c>
      <c r="H359" s="411">
        <f t="shared" si="154"/>
        <v>0.0164430628272251</v>
      </c>
      <c r="I359" s="411">
        <f t="shared" si="154"/>
        <v>0.0217691246359037</v>
      </c>
      <c r="J359" s="411">
        <f t="shared" si="154"/>
        <v>0.0223392372746131</v>
      </c>
      <c r="K359" s="411">
        <f t="shared" si="154"/>
        <v>0.0222952218430034</v>
      </c>
      <c r="L359" s="362">
        <f>L357/L319</f>
        <v>0.0168062085593731</v>
      </c>
      <c r="M359" s="362">
        <f>M357/M319</f>
        <v>0.0191392304641015</v>
      </c>
      <c r="N359" s="362">
        <f>N357/N319</f>
        <v>0.0208758131857462</v>
      </c>
      <c r="O359" s="362">
        <f>O357/O319</f>
        <v>0.0216686730252801</v>
      </c>
      <c r="P359" s="362">
        <f>P357/P319</f>
        <v>0.0288026201714671</v>
      </c>
      <c r="Q359" s="362">
        <f>Q357/Q$319</f>
        <v>0.0216847372810676</v>
      </c>
      <c r="R359" s="362">
        <f>R357/R$319</f>
        <v>0.0186894843503715</v>
      </c>
      <c r="S359" s="362">
        <f>S357/S$319</f>
        <v>0.0176711684472217</v>
      </c>
      <c r="T359" s="362">
        <f t="shared" ref="T359:AB359" si="155">T357/T$321</f>
        <v>0.020133755719817</v>
      </c>
      <c r="U359" s="362">
        <f t="shared" si="155"/>
        <v>0.0222237512040732</v>
      </c>
      <c r="V359" s="362">
        <f t="shared" si="155"/>
        <v>0.0209281702630801</v>
      </c>
      <c r="W359" s="384">
        <f t="shared" si="155"/>
        <v>0.0201140487299119</v>
      </c>
      <c r="X359" s="498">
        <f t="shared" si="155"/>
        <v>0.0198012253448355</v>
      </c>
      <c r="Y359" s="498">
        <f t="shared" si="155"/>
        <v>0.0201610132450042</v>
      </c>
      <c r="Z359" s="498">
        <f t="shared" si="155"/>
        <v>0.0215630227535509</v>
      </c>
      <c r="AA359" s="498">
        <f t="shared" si="155"/>
        <v>0.02288638180475</v>
      </c>
      <c r="AB359" s="498">
        <f t="shared" si="155"/>
        <v>0.0361361881538926</v>
      </c>
      <c r="AC359" s="498"/>
      <c r="AL359" s="422"/>
      <c r="AM359" s="422"/>
      <c r="AN359" s="562"/>
      <c r="AO359" s="562"/>
    </row>
    <row r="360" customHeight="1" spans="1:45">
      <c r="A360" s="340" t="s">
        <v>157</v>
      </c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589">
        <f>L357/-'Balance Sheet &amp; Cash Flow'!M111</f>
        <v>0.518725581395349</v>
      </c>
      <c r="M360" s="589">
        <f>M357/-'Balance Sheet &amp; Cash Flow'!N111</f>
        <v>0.696750902527076</v>
      </c>
      <c r="N360" s="589">
        <f>N357/-'Balance Sheet &amp; Cash Flow'!O111</f>
        <v>0.754385964912281</v>
      </c>
      <c r="O360" s="589">
        <f>O357/-'Balance Sheet &amp; Cash Flow'!P111</f>
        <v>0.622340425531915</v>
      </c>
      <c r="P360" s="589">
        <f>P357/-'Balance Sheet &amp; Cash Flow'!Q111</f>
        <v>1.24066390041494</v>
      </c>
      <c r="Q360" s="589">
        <f>Q357/-'Balance Sheet &amp; Cash Flow'!R111</f>
        <v>0.966542750929368</v>
      </c>
      <c r="R360" s="589">
        <f>R357/-'Balance Sheet &amp; Cash Flow'!S111</f>
        <v>0.662234042553192</v>
      </c>
      <c r="S360" s="589">
        <f>S357/-'Balance Sheet &amp; Cash Flow'!T111</f>
        <v>0.605990783410138</v>
      </c>
      <c r="T360" s="589">
        <f>T357/-'Balance Sheet &amp; Cash Flow'!U111</f>
        <v>0.60337552742616</v>
      </c>
      <c r="U360" s="589">
        <f>U357/-'Balance Sheet &amp; Cash Flow'!V111</f>
        <v>0.589416058394161</v>
      </c>
      <c r="V360" s="589">
        <f>V357/-'Balance Sheet &amp; Cash Flow'!W111</f>
        <v>0.690058479532164</v>
      </c>
      <c r="W360" s="590">
        <f>W357/-'Balance Sheet &amp; Cash Flow'!X111</f>
        <v>0.596006144393241</v>
      </c>
      <c r="X360" s="591">
        <f>X357/-'Balance Sheet &amp; Cash Flow'!Y111</f>
        <v>0.693304289384026</v>
      </c>
      <c r="Y360" s="591">
        <f>Y357/-'Balance Sheet &amp; Cash Flow'!Z111</f>
        <v>0.742389078616208</v>
      </c>
      <c r="Z360" s="591">
        <f>Z357/-'Balance Sheet &amp; Cash Flow'!AA111</f>
        <v>0.875118356865779</v>
      </c>
      <c r="AA360" s="591">
        <f>AA357/-'Balance Sheet &amp; Cash Flow'!AB111</f>
        <v>1.61633531951996</v>
      </c>
      <c r="AB360" s="591">
        <f>AB357/-'Balance Sheet &amp; Cash Flow'!AC111</f>
        <v>2.03700249565525</v>
      </c>
      <c r="AC360" s="591"/>
      <c r="AL360" s="422"/>
      <c r="AM360" s="422"/>
      <c r="AN360" s="562"/>
      <c r="AO360" s="562"/>
    </row>
    <row r="361" customHeight="1" spans="1:45">
      <c r="A361" s="486" t="s">
        <v>158</v>
      </c>
      <c r="B361" s="547"/>
      <c r="C361" s="547">
        <v>192</v>
      </c>
      <c r="D361" s="547">
        <v>316</v>
      </c>
      <c r="E361" s="547">
        <v>416</v>
      </c>
      <c r="F361" s="547">
        <v>482</v>
      </c>
      <c r="G361" s="547">
        <v>437</v>
      </c>
      <c r="H361" s="547">
        <v>475</v>
      </c>
      <c r="I361" s="547">
        <v>477</v>
      </c>
      <c r="J361" s="547">
        <v>490</v>
      </c>
      <c r="K361" s="547">
        <v>584</v>
      </c>
      <c r="L361" s="548">
        <v>707</v>
      </c>
      <c r="M361" s="548">
        <v>881</v>
      </c>
      <c r="N361" s="548">
        <v>949</v>
      </c>
      <c r="O361" s="548">
        <v>1070</v>
      </c>
      <c r="P361" s="548">
        <v>508</v>
      </c>
      <c r="Q361" s="548">
        <v>894</v>
      </c>
      <c r="R361" s="548">
        <v>953</v>
      </c>
      <c r="S361" s="548">
        <v>920</v>
      </c>
      <c r="T361" s="548">
        <v>1181</v>
      </c>
      <c r="U361" s="548">
        <v>883</v>
      </c>
      <c r="V361" s="548">
        <v>1059</v>
      </c>
      <c r="W361" s="549">
        <v>1491</v>
      </c>
      <c r="X361" s="592">
        <f>Interim!GC426</f>
        <v>2070</v>
      </c>
      <c r="Y361" s="592">
        <f>Y326+Y329-Y353-Y357</f>
        <v>2375.81460000803</v>
      </c>
      <c r="Z361" s="592">
        <f>Z326+Z329-Z353-Z357</f>
        <v>2757.97229964445</v>
      </c>
      <c r="AA361" s="592">
        <f>AA326+AA329-AA353-AA357</f>
        <v>3093.73011522014</v>
      </c>
      <c r="AB361" s="592">
        <f>AB326+AB329-AB353-AB357</f>
        <v>3468.72530762335</v>
      </c>
      <c r="AC361" s="592"/>
      <c r="AL361" s="422"/>
      <c r="AM361" s="422"/>
      <c r="AN361" s="562"/>
      <c r="AO361" s="562"/>
    </row>
    <row r="362" s="334" customFormat="1" customHeight="1" spans="1:45">
      <c r="A362" s="334" t="s">
        <v>142</v>
      </c>
      <c r="B362" s="411"/>
      <c r="C362" s="411"/>
      <c r="D362" s="411">
        <f>D361/C361-1</f>
        <v>0.645833333333333</v>
      </c>
      <c r="E362" s="411">
        <f>E361/D361-1</f>
        <v>0.316455696202532</v>
      </c>
      <c r="F362" s="411">
        <f t="shared" ref="F362:AB362" si="156">F361/E361-1</f>
        <v>0.158653846153846</v>
      </c>
      <c r="G362" s="411">
        <f t="shared" si="156"/>
        <v>-0.0933609958506224</v>
      </c>
      <c r="H362" s="411">
        <f t="shared" si="156"/>
        <v>0.0869565217391304</v>
      </c>
      <c r="I362" s="411">
        <f t="shared" si="156"/>
        <v>0.00421052631578944</v>
      </c>
      <c r="J362" s="411">
        <f t="shared" si="156"/>
        <v>0.0272536687631026</v>
      </c>
      <c r="K362" s="411">
        <f t="shared" si="156"/>
        <v>0.191836734693878</v>
      </c>
      <c r="L362" s="362">
        <f t="shared" si="156"/>
        <v>0.210616438356164</v>
      </c>
      <c r="M362" s="362">
        <f t="shared" si="156"/>
        <v>0.246110325318246</v>
      </c>
      <c r="N362" s="362">
        <f t="shared" si="156"/>
        <v>0.0771850170261068</v>
      </c>
      <c r="O362" s="362">
        <f t="shared" si="156"/>
        <v>0.127502634351949</v>
      </c>
      <c r="P362" s="362">
        <f t="shared" si="156"/>
        <v>-0.525233644859813</v>
      </c>
      <c r="Q362" s="362">
        <f t="shared" si="156"/>
        <v>0.759842519685039</v>
      </c>
      <c r="R362" s="362">
        <f t="shared" si="156"/>
        <v>0.0659955257270695</v>
      </c>
      <c r="S362" s="362">
        <f t="shared" si="156"/>
        <v>-0.0346274921301154</v>
      </c>
      <c r="T362" s="362">
        <f t="shared" si="156"/>
        <v>0.283695652173913</v>
      </c>
      <c r="U362" s="362">
        <f t="shared" si="156"/>
        <v>-0.252328535139712</v>
      </c>
      <c r="V362" s="362">
        <f t="shared" si="156"/>
        <v>0.199320498301246</v>
      </c>
      <c r="W362" s="384">
        <f t="shared" si="156"/>
        <v>0.407932011331445</v>
      </c>
      <c r="X362" s="498">
        <f t="shared" si="156"/>
        <v>0.388329979879276</v>
      </c>
      <c r="Y362" s="498">
        <f t="shared" si="156"/>
        <v>0.147736521743012</v>
      </c>
      <c r="Z362" s="498">
        <f t="shared" si="156"/>
        <v>0.16085333410912</v>
      </c>
      <c r="AA362" s="498">
        <f t="shared" si="156"/>
        <v>0.121740822276921</v>
      </c>
      <c r="AB362" s="498">
        <f t="shared" si="156"/>
        <v>0.121211346315684</v>
      </c>
      <c r="AC362" s="498"/>
      <c r="AD362" s="362"/>
      <c r="AE362" s="342"/>
      <c r="AF362" s="342"/>
      <c r="AG362" s="342"/>
      <c r="AH362" s="342"/>
      <c r="AI362" s="342"/>
      <c r="AJ362" s="342"/>
      <c r="AK362" s="344"/>
      <c r="AL362" s="422"/>
      <c r="AM362" s="422"/>
      <c r="AN362" s="562"/>
      <c r="AO362" s="562"/>
      <c r="AP362" s="340"/>
      <c r="AQ362" s="340"/>
      <c r="AR362" s="340"/>
      <c r="AS362" s="340"/>
    </row>
    <row r="363" customHeight="1" spans="1:45">
      <c r="A363" s="340" t="s">
        <v>145</v>
      </c>
      <c r="B363" s="411"/>
      <c r="C363" s="411">
        <f>C361/C$319</f>
        <v>0.079734219269103</v>
      </c>
      <c r="D363" s="411">
        <f>D361/D$319</f>
        <v>0.0922627737226277</v>
      </c>
      <c r="E363" s="411">
        <f>E361/E$319</f>
        <v>0.0821322803553801</v>
      </c>
      <c r="F363" s="411">
        <f t="shared" ref="F363:K363" si="157">F361/F$319</f>
        <v>0.0900261486738887</v>
      </c>
      <c r="G363" s="411">
        <f t="shared" si="157"/>
        <v>0.0748928877463582</v>
      </c>
      <c r="H363" s="411">
        <f t="shared" si="157"/>
        <v>0.0777159685863874</v>
      </c>
      <c r="I363" s="411">
        <f t="shared" si="157"/>
        <v>0.0731258623332822</v>
      </c>
      <c r="J363" s="411">
        <f t="shared" si="157"/>
        <v>0.0781873304611457</v>
      </c>
      <c r="K363" s="411">
        <f t="shared" si="157"/>
        <v>0.0996587030716723</v>
      </c>
      <c r="L363" s="362">
        <v>0.106873681037082</v>
      </c>
      <c r="M363" s="362">
        <f t="shared" ref="M363:AB363" si="158">M361/M319</f>
        <v>0.0873661245537485</v>
      </c>
      <c r="N363" s="362">
        <f t="shared" si="158"/>
        <v>0.0921448684338285</v>
      </c>
      <c r="O363" s="362">
        <f t="shared" si="158"/>
        <v>0.0990832484489305</v>
      </c>
      <c r="P363" s="362">
        <f t="shared" si="158"/>
        <v>0.0489355553414893</v>
      </c>
      <c r="Q363" s="362">
        <f t="shared" si="158"/>
        <v>0.0745621351125938</v>
      </c>
      <c r="R363" s="362">
        <f t="shared" si="158"/>
        <v>0.0715304360879682</v>
      </c>
      <c r="S363" s="362">
        <f t="shared" si="158"/>
        <v>0.0618154941879997</v>
      </c>
      <c r="T363" s="362">
        <f t="shared" si="158"/>
        <v>0.0831397395283351</v>
      </c>
      <c r="U363" s="362">
        <f t="shared" si="158"/>
        <v>0.060754093848906</v>
      </c>
      <c r="V363" s="362">
        <f t="shared" si="158"/>
        <v>0.0626071534141295</v>
      </c>
      <c r="W363" s="384">
        <f t="shared" si="158"/>
        <v>0.077293934681182</v>
      </c>
      <c r="X363" s="498">
        <f t="shared" si="158"/>
        <v>0.0975586765953436</v>
      </c>
      <c r="Y363" s="498">
        <f t="shared" si="158"/>
        <v>0.105597130605841</v>
      </c>
      <c r="Z363" s="498">
        <f t="shared" si="158"/>
        <v>0.113640088485897</v>
      </c>
      <c r="AA363" s="498">
        <f t="shared" si="158"/>
        <v>0.11903653646425</v>
      </c>
      <c r="AB363" s="498">
        <f t="shared" si="158"/>
        <v>0.124564341862624</v>
      </c>
      <c r="AC363" s="498"/>
      <c r="AD363" s="367"/>
      <c r="AL363" s="422"/>
      <c r="AM363" s="422"/>
      <c r="AN363" s="562"/>
      <c r="AO363" s="562"/>
    </row>
    <row r="364" customHeight="1" spans="1:45">
      <c r="A364" s="340" t="s">
        <v>159</v>
      </c>
      <c r="B364" s="411"/>
      <c r="C364" s="593"/>
      <c r="D364" s="593">
        <f>D362/D322</f>
        <v>1.52917076368404</v>
      </c>
      <c r="E364" s="593">
        <f>E362/E322</f>
        <v>0.660890707008336</v>
      </c>
      <c r="F364" s="593">
        <f>F362/F322</f>
        <v>2.78055962203887</v>
      </c>
      <c r="G364" s="593">
        <f>G362/G322</f>
        <v>-1.03919910973853</v>
      </c>
      <c r="H364" s="593">
        <f>H362/H322</f>
        <v>1.83173756082247</v>
      </c>
      <c r="I364" s="593">
        <f t="shared" ref="I364:AB364" si="159">I362/I322</f>
        <v>0.0626149314893068</v>
      </c>
      <c r="J364" s="593">
        <f t="shared" si="159"/>
        <v>-0.694436255241088</v>
      </c>
      <c r="K364" s="593">
        <f t="shared" si="159"/>
        <v>-2.95390863962293</v>
      </c>
      <c r="L364" s="594">
        <f t="shared" si="159"/>
        <v>1.59047980511227</v>
      </c>
      <c r="M364" s="594">
        <f t="shared" si="159"/>
        <v>0.473662447451242</v>
      </c>
      <c r="N364" s="594">
        <f t="shared" si="159"/>
        <v>3.620156798564</v>
      </c>
      <c r="O364" s="594">
        <f t="shared" si="159"/>
        <v>2.62629926238145</v>
      </c>
      <c r="P364" s="594">
        <f t="shared" si="159"/>
        <v>13.5693735187587</v>
      </c>
      <c r="Q364" s="594">
        <f t="shared" si="159"/>
        <v>4.90237737529546</v>
      </c>
      <c r="R364" s="594">
        <f t="shared" si="159"/>
        <v>0.59361316839277</v>
      </c>
      <c r="S364" s="594">
        <f t="shared" si="159"/>
        <v>-0.29573210105739</v>
      </c>
      <c r="T364" s="594">
        <f t="shared" si="159"/>
        <v>-6.2274961523663</v>
      </c>
      <c r="U364" s="594">
        <f t="shared" si="159"/>
        <v>-10.8946104609715</v>
      </c>
      <c r="V364" s="594">
        <f t="shared" si="159"/>
        <v>1.21668379769437</v>
      </c>
      <c r="W364" s="595">
        <f t="shared" si="159"/>
        <v>2.90533472491427</v>
      </c>
      <c r="X364" s="596">
        <f t="shared" si="159"/>
        <v>3.88531395843943</v>
      </c>
      <c r="Y364" s="596">
        <f t="shared" si="159"/>
        <v>2.44732767870286</v>
      </c>
      <c r="Z364" s="596">
        <f t="shared" si="159"/>
        <v>2.04405852200473</v>
      </c>
      <c r="AA364" s="596">
        <f t="shared" si="159"/>
        <v>1.71738324322585</v>
      </c>
      <c r="AB364" s="596">
        <f t="shared" si="159"/>
        <v>1.69632579344242</v>
      </c>
      <c r="AC364" s="596"/>
      <c r="AL364" s="422"/>
      <c r="AM364" s="422"/>
      <c r="AN364" s="562"/>
      <c r="AO364" s="562"/>
    </row>
    <row r="365" customHeight="1" spans="1:45">
      <c r="A365" s="340" t="s">
        <v>160</v>
      </c>
      <c r="B365" s="411"/>
      <c r="C365" s="449">
        <v>0</v>
      </c>
      <c r="D365" s="449">
        <v>0</v>
      </c>
      <c r="E365" s="449">
        <v>0</v>
      </c>
      <c r="F365" s="449">
        <v>0</v>
      </c>
      <c r="G365" s="449">
        <v>0</v>
      </c>
      <c r="H365" s="449">
        <v>0</v>
      </c>
      <c r="I365" s="449">
        <v>0</v>
      </c>
      <c r="J365" s="449">
        <v>0</v>
      </c>
      <c r="K365" s="449">
        <v>0</v>
      </c>
      <c r="L365" s="449">
        <v>0</v>
      </c>
      <c r="M365" s="449">
        <v>0</v>
      </c>
      <c r="N365" s="449">
        <v>0</v>
      </c>
      <c r="O365" s="449">
        <v>0</v>
      </c>
      <c r="P365" s="449">
        <v>0</v>
      </c>
      <c r="Q365" s="449">
        <v>0</v>
      </c>
      <c r="R365" s="449">
        <v>0</v>
      </c>
      <c r="S365" s="449">
        <v>265</v>
      </c>
      <c r="T365" s="449">
        <v>52</v>
      </c>
      <c r="U365" s="449">
        <v>78</v>
      </c>
      <c r="V365" s="449">
        <v>34</v>
      </c>
      <c r="W365" s="450">
        <v>0</v>
      </c>
      <c r="X365" s="535">
        <v>0</v>
      </c>
      <c r="Y365" s="535">
        <v>0</v>
      </c>
      <c r="Z365" s="535">
        <v>0</v>
      </c>
      <c r="AA365" s="535">
        <v>0</v>
      </c>
      <c r="AB365" s="535">
        <v>0</v>
      </c>
      <c r="AC365" s="535"/>
      <c r="AD365" s="594"/>
      <c r="AL365" s="422"/>
      <c r="AM365" s="422"/>
      <c r="AN365" s="562"/>
      <c r="AO365" s="562"/>
    </row>
    <row r="366" customHeight="1" spans="1:45">
      <c r="A366" s="486" t="s">
        <v>161</v>
      </c>
      <c r="B366" s="411"/>
      <c r="C366" s="548">
        <f t="shared" ref="C366:AB366" si="160">C361+C365</f>
        <v>192</v>
      </c>
      <c r="D366" s="548">
        <f t="shared" si="160"/>
        <v>316</v>
      </c>
      <c r="E366" s="548">
        <f t="shared" si="160"/>
        <v>416</v>
      </c>
      <c r="F366" s="548">
        <f t="shared" si="160"/>
        <v>482</v>
      </c>
      <c r="G366" s="548">
        <f t="shared" si="160"/>
        <v>437</v>
      </c>
      <c r="H366" s="548">
        <f t="shared" si="160"/>
        <v>475</v>
      </c>
      <c r="I366" s="548">
        <f t="shared" si="160"/>
        <v>477</v>
      </c>
      <c r="J366" s="548">
        <f t="shared" si="160"/>
        <v>490</v>
      </c>
      <c r="K366" s="548">
        <f t="shared" si="160"/>
        <v>584</v>
      </c>
      <c r="L366" s="548">
        <f t="shared" si="160"/>
        <v>707</v>
      </c>
      <c r="M366" s="548">
        <f t="shared" si="160"/>
        <v>881</v>
      </c>
      <c r="N366" s="548">
        <f t="shared" si="160"/>
        <v>949</v>
      </c>
      <c r="O366" s="548">
        <f t="shared" si="160"/>
        <v>1070</v>
      </c>
      <c r="P366" s="548">
        <f t="shared" si="160"/>
        <v>508</v>
      </c>
      <c r="Q366" s="548">
        <f t="shared" si="160"/>
        <v>894</v>
      </c>
      <c r="R366" s="548">
        <f t="shared" si="160"/>
        <v>953</v>
      </c>
      <c r="S366" s="548">
        <f t="shared" si="160"/>
        <v>1185</v>
      </c>
      <c r="T366" s="548">
        <f t="shared" si="160"/>
        <v>1233</v>
      </c>
      <c r="U366" s="548">
        <f t="shared" si="160"/>
        <v>961</v>
      </c>
      <c r="V366" s="548">
        <f t="shared" si="160"/>
        <v>1093</v>
      </c>
      <c r="W366" s="549">
        <f t="shared" si="160"/>
        <v>1491</v>
      </c>
      <c r="X366" s="592">
        <f t="shared" si="160"/>
        <v>2070</v>
      </c>
      <c r="Y366" s="592">
        <f t="shared" si="160"/>
        <v>2375.81460000803</v>
      </c>
      <c r="Z366" s="592">
        <f t="shared" si="160"/>
        <v>2757.97229964445</v>
      </c>
      <c r="AA366" s="592">
        <f t="shared" si="160"/>
        <v>3093.73011522014</v>
      </c>
      <c r="AB366" s="592">
        <f t="shared" si="160"/>
        <v>3468.72530762335</v>
      </c>
      <c r="AC366" s="592"/>
      <c r="AD366" s="597"/>
      <c r="AL366" s="422"/>
      <c r="AM366" s="422"/>
      <c r="AN366" s="562"/>
      <c r="AO366" s="562"/>
    </row>
    <row r="367" customHeight="1" spans="1:45">
      <c r="A367" s="334" t="s">
        <v>142</v>
      </c>
      <c r="B367" s="411"/>
      <c r="C367" s="593"/>
      <c r="D367" s="362">
        <f t="shared" ref="D367:AB367" si="161">D366/C366-1</f>
        <v>0.645833333333333</v>
      </c>
      <c r="E367" s="362">
        <f t="shared" si="161"/>
        <v>0.316455696202532</v>
      </c>
      <c r="F367" s="362">
        <f t="shared" si="161"/>
        <v>0.158653846153846</v>
      </c>
      <c r="G367" s="362">
        <f t="shared" si="161"/>
        <v>-0.0933609958506224</v>
      </c>
      <c r="H367" s="362">
        <f t="shared" si="161"/>
        <v>0.0869565217391304</v>
      </c>
      <c r="I367" s="362">
        <f t="shared" si="161"/>
        <v>0.00421052631578944</v>
      </c>
      <c r="J367" s="362">
        <f t="shared" si="161"/>
        <v>0.0272536687631026</v>
      </c>
      <c r="K367" s="384">
        <f t="shared" si="161"/>
        <v>0.191836734693878</v>
      </c>
      <c r="L367" s="362">
        <f t="shared" si="161"/>
        <v>0.210616438356164</v>
      </c>
      <c r="M367" s="362">
        <f t="shared" si="161"/>
        <v>0.246110325318246</v>
      </c>
      <c r="N367" s="362">
        <f t="shared" si="161"/>
        <v>0.0771850170261068</v>
      </c>
      <c r="O367" s="362">
        <f t="shared" si="161"/>
        <v>0.127502634351949</v>
      </c>
      <c r="P367" s="362">
        <f t="shared" si="161"/>
        <v>-0.525233644859813</v>
      </c>
      <c r="Q367" s="362">
        <f t="shared" si="161"/>
        <v>0.759842519685039</v>
      </c>
      <c r="R367" s="362">
        <f t="shared" si="161"/>
        <v>0.0659955257270695</v>
      </c>
      <c r="S367" s="362">
        <f t="shared" si="161"/>
        <v>0.243441762854145</v>
      </c>
      <c r="T367" s="362">
        <f t="shared" si="161"/>
        <v>0.040506329113924</v>
      </c>
      <c r="U367" s="362">
        <f t="shared" si="161"/>
        <v>-0.220600162206002</v>
      </c>
      <c r="V367" s="362">
        <f t="shared" si="161"/>
        <v>0.13735691987513</v>
      </c>
      <c r="W367" s="384">
        <f t="shared" si="161"/>
        <v>0.364135407136322</v>
      </c>
      <c r="X367" s="498">
        <f t="shared" si="161"/>
        <v>0.388329979879276</v>
      </c>
      <c r="Y367" s="498">
        <f t="shared" si="161"/>
        <v>0.147736521743012</v>
      </c>
      <c r="Z367" s="498">
        <f t="shared" si="161"/>
        <v>0.16085333410912</v>
      </c>
      <c r="AA367" s="498">
        <f t="shared" si="161"/>
        <v>0.121740822276921</v>
      </c>
      <c r="AB367" s="498">
        <f t="shared" si="161"/>
        <v>0.121211346315684</v>
      </c>
      <c r="AC367" s="2142" t="s">
        <v>1266</v>
      </c>
      <c r="AD367" s="350"/>
      <c r="AL367" s="422"/>
      <c r="AM367" s="422"/>
      <c r="AN367" s="562"/>
      <c r="AO367" s="562"/>
    </row>
    <row r="368" customHeight="1" spans="1:45">
      <c r="A368" s="340" t="s">
        <v>145</v>
      </c>
      <c r="B368" s="411"/>
      <c r="C368" s="593"/>
      <c r="D368" s="362">
        <f t="shared" ref="D368:AB368" si="162">D366/D319</f>
        <v>0.0922627737226277</v>
      </c>
      <c r="E368" s="362">
        <f t="shared" si="162"/>
        <v>0.0821322803553801</v>
      </c>
      <c r="F368" s="362">
        <f t="shared" si="162"/>
        <v>0.0900261486738887</v>
      </c>
      <c r="G368" s="362">
        <f t="shared" si="162"/>
        <v>0.0748928877463582</v>
      </c>
      <c r="H368" s="362">
        <f t="shared" si="162"/>
        <v>0.0777159685863874</v>
      </c>
      <c r="I368" s="362">
        <f t="shared" si="162"/>
        <v>0.0731258623332822</v>
      </c>
      <c r="J368" s="362">
        <f t="shared" si="162"/>
        <v>0.0781873304611457</v>
      </c>
      <c r="K368" s="384">
        <f t="shared" si="162"/>
        <v>0.0996587030716723</v>
      </c>
      <c r="L368" s="362">
        <f t="shared" si="162"/>
        <v>0.106540084388186</v>
      </c>
      <c r="M368" s="362">
        <f t="shared" si="162"/>
        <v>0.0873661245537485</v>
      </c>
      <c r="N368" s="362">
        <f t="shared" si="162"/>
        <v>0.0921448684338285</v>
      </c>
      <c r="O368" s="362">
        <f t="shared" si="162"/>
        <v>0.0990832484489305</v>
      </c>
      <c r="P368" s="362">
        <f t="shared" si="162"/>
        <v>0.0489355553414893</v>
      </c>
      <c r="Q368" s="362">
        <f t="shared" si="162"/>
        <v>0.0745621351125938</v>
      </c>
      <c r="R368" s="362">
        <f t="shared" si="162"/>
        <v>0.0715304360879682</v>
      </c>
      <c r="S368" s="362">
        <f t="shared" si="162"/>
        <v>0.0796210441443257</v>
      </c>
      <c r="T368" s="362">
        <f t="shared" si="162"/>
        <v>0.0868004223864836</v>
      </c>
      <c r="U368" s="362">
        <f t="shared" si="162"/>
        <v>0.0661208201458649</v>
      </c>
      <c r="V368" s="362">
        <f t="shared" si="162"/>
        <v>0.0646172036653858</v>
      </c>
      <c r="W368" s="384">
        <f t="shared" si="162"/>
        <v>0.077293934681182</v>
      </c>
      <c r="X368" s="498">
        <f t="shared" si="162"/>
        <v>0.0975586765953436</v>
      </c>
      <c r="Y368" s="498">
        <f t="shared" si="162"/>
        <v>0.105597130605841</v>
      </c>
      <c r="Z368" s="498">
        <f t="shared" si="162"/>
        <v>0.113640088485897</v>
      </c>
      <c r="AA368" s="498">
        <f t="shared" si="162"/>
        <v>0.11903653646425</v>
      </c>
      <c r="AB368" s="498">
        <f t="shared" si="162"/>
        <v>0.124564341862624</v>
      </c>
      <c r="AC368" s="367" t="s">
        <v>1267</v>
      </c>
      <c r="AD368" s="372"/>
      <c r="AL368" s="422"/>
      <c r="AM368" s="422"/>
      <c r="AN368" s="562"/>
      <c r="AO368" s="562"/>
    </row>
    <row r="369" customHeight="1" spans="1:48">
      <c r="A369" s="340" t="s">
        <v>159</v>
      </c>
      <c r="B369" s="411"/>
      <c r="C369" s="593"/>
      <c r="D369" s="594">
        <f t="shared" ref="D369:AB369" si="163">D367/D322</f>
        <v>1.52917076368404</v>
      </c>
      <c r="E369" s="594">
        <f t="shared" si="163"/>
        <v>0.660890707008336</v>
      </c>
      <c r="F369" s="594">
        <f t="shared" si="163"/>
        <v>2.78055962203887</v>
      </c>
      <c r="G369" s="594">
        <f t="shared" si="163"/>
        <v>-1.03919910973853</v>
      </c>
      <c r="H369" s="594">
        <f t="shared" si="163"/>
        <v>1.83173756082247</v>
      </c>
      <c r="I369" s="594">
        <f t="shared" si="163"/>
        <v>0.0626149314893068</v>
      </c>
      <c r="J369" s="594">
        <f t="shared" si="163"/>
        <v>-0.694436255241088</v>
      </c>
      <c r="K369" s="595">
        <f t="shared" si="163"/>
        <v>-2.95390863962293</v>
      </c>
      <c r="L369" s="594">
        <f t="shared" si="163"/>
        <v>1.59047980511227</v>
      </c>
      <c r="M369" s="594">
        <f t="shared" si="163"/>
        <v>0.473662447451242</v>
      </c>
      <c r="N369" s="594">
        <f t="shared" si="163"/>
        <v>3.620156798564</v>
      </c>
      <c r="O369" s="594">
        <f t="shared" si="163"/>
        <v>2.62629926238145</v>
      </c>
      <c r="P369" s="594">
        <f t="shared" si="163"/>
        <v>13.5693735187587</v>
      </c>
      <c r="Q369" s="594">
        <f t="shared" si="163"/>
        <v>4.90237737529546</v>
      </c>
      <c r="R369" s="594">
        <f t="shared" si="163"/>
        <v>0.59361316839277</v>
      </c>
      <c r="S369" s="594">
        <f t="shared" si="163"/>
        <v>2.07908628622165</v>
      </c>
      <c r="T369" s="594">
        <f t="shared" si="163"/>
        <v>-0.889167693514059</v>
      </c>
      <c r="U369" s="594">
        <f t="shared" si="163"/>
        <v>-9.52469697305852</v>
      </c>
      <c r="V369" s="594">
        <f t="shared" si="163"/>
        <v>0.838448329888761</v>
      </c>
      <c r="W369" s="595">
        <f t="shared" si="163"/>
        <v>2.59341069966774</v>
      </c>
      <c r="X369" s="596">
        <f t="shared" si="163"/>
        <v>3.88531395843943</v>
      </c>
      <c r="Y369" s="596">
        <f t="shared" si="163"/>
        <v>2.44732767870286</v>
      </c>
      <c r="Z369" s="596">
        <f t="shared" si="163"/>
        <v>2.04405852200473</v>
      </c>
      <c r="AA369" s="596">
        <f t="shared" si="163"/>
        <v>1.71738324322585</v>
      </c>
      <c r="AB369" s="596">
        <f t="shared" si="163"/>
        <v>1.69632579344242</v>
      </c>
      <c r="AC369" s="596"/>
      <c r="AD369" s="362"/>
      <c r="AL369" s="422"/>
      <c r="AM369" s="422"/>
      <c r="AN369" s="562"/>
      <c r="AO369" s="562"/>
    </row>
    <row r="370" customHeight="1" spans="1:48">
      <c r="A370" s="486" t="s">
        <v>162</v>
      </c>
      <c r="B370" s="547"/>
      <c r="C370" s="547">
        <f t="shared" ref="C370:R370" si="164">C361+C357</f>
        <v>192</v>
      </c>
      <c r="D370" s="547">
        <f t="shared" si="164"/>
        <v>316</v>
      </c>
      <c r="E370" s="547">
        <f t="shared" si="164"/>
        <v>416</v>
      </c>
      <c r="F370" s="547">
        <f t="shared" si="164"/>
        <v>586.0848</v>
      </c>
      <c r="G370" s="547">
        <f t="shared" si="164"/>
        <v>557</v>
      </c>
      <c r="H370" s="547">
        <f t="shared" si="164"/>
        <v>575.5</v>
      </c>
      <c r="I370" s="547">
        <f t="shared" si="164"/>
        <v>619</v>
      </c>
      <c r="J370" s="547">
        <f t="shared" si="164"/>
        <v>630</v>
      </c>
      <c r="K370" s="547">
        <f t="shared" si="164"/>
        <v>714.65</v>
      </c>
      <c r="L370" s="548">
        <f t="shared" si="164"/>
        <v>818.526</v>
      </c>
      <c r="M370" s="548">
        <f t="shared" si="164"/>
        <v>1074</v>
      </c>
      <c r="N370" s="548">
        <f t="shared" si="164"/>
        <v>1164</v>
      </c>
      <c r="O370" s="548">
        <f t="shared" si="164"/>
        <v>1304</v>
      </c>
      <c r="P370" s="548">
        <f t="shared" si="164"/>
        <v>807</v>
      </c>
      <c r="Q370" s="548">
        <f t="shared" si="164"/>
        <v>1154</v>
      </c>
      <c r="R370" s="548">
        <f t="shared" si="164"/>
        <v>1202</v>
      </c>
      <c r="S370" s="548">
        <f t="shared" ref="S370:AB370" si="165">S361+S357</f>
        <v>1183</v>
      </c>
      <c r="T370" s="548">
        <f t="shared" si="165"/>
        <v>1467</v>
      </c>
      <c r="U370" s="548">
        <f t="shared" si="165"/>
        <v>1206</v>
      </c>
      <c r="V370" s="548">
        <f t="shared" si="165"/>
        <v>1413</v>
      </c>
      <c r="W370" s="549">
        <f t="shared" si="165"/>
        <v>1879</v>
      </c>
      <c r="X370" s="592">
        <f t="shared" si="165"/>
        <v>2490.14239936672</v>
      </c>
      <c r="Y370" s="592">
        <f t="shared" si="165"/>
        <v>2829.41432704254</v>
      </c>
      <c r="Z370" s="592">
        <f t="shared" si="165"/>
        <v>3281.29307705019</v>
      </c>
      <c r="AA370" s="592">
        <f t="shared" si="165"/>
        <v>3688.54151280348</v>
      </c>
      <c r="AB370" s="592">
        <f t="shared" si="165"/>
        <v>4475.00454047704</v>
      </c>
      <c r="AC370" s="592"/>
      <c r="AD370" s="598"/>
      <c r="AL370" s="422"/>
      <c r="AM370" s="422"/>
      <c r="AN370" s="562"/>
      <c r="AO370" s="562"/>
    </row>
    <row r="371" customHeight="1" spans="1:48">
      <c r="A371" s="334" t="s">
        <v>142</v>
      </c>
      <c r="B371" s="411"/>
      <c r="C371" s="411"/>
      <c r="D371" s="411">
        <f t="shared" ref="D371:K371" si="166">D370/C370-1</f>
        <v>0.645833333333333</v>
      </c>
      <c r="E371" s="411">
        <f t="shared" si="166"/>
        <v>0.316455696202532</v>
      </c>
      <c r="F371" s="411">
        <f t="shared" si="166"/>
        <v>0.408857692307692</v>
      </c>
      <c r="G371" s="411">
        <f t="shared" si="166"/>
        <v>-0.0496255831920568</v>
      </c>
      <c r="H371" s="411">
        <f t="shared" si="166"/>
        <v>0.033213644524237</v>
      </c>
      <c r="I371" s="411">
        <f t="shared" si="166"/>
        <v>0.0755864465682015</v>
      </c>
      <c r="J371" s="411">
        <f t="shared" si="166"/>
        <v>0.0177705977382876</v>
      </c>
      <c r="K371" s="411">
        <f t="shared" si="166"/>
        <v>0.134365079365079</v>
      </c>
      <c r="L371" s="362">
        <v>0.214041095890411</v>
      </c>
      <c r="M371" s="362">
        <f t="shared" ref="M371:AB371" si="167">M370/L370-1</f>
        <v>0.312114703747957</v>
      </c>
      <c r="N371" s="362">
        <f t="shared" si="167"/>
        <v>0.0837988826815643</v>
      </c>
      <c r="O371" s="362">
        <f t="shared" si="167"/>
        <v>0.120274914089347</v>
      </c>
      <c r="P371" s="362">
        <f t="shared" si="167"/>
        <v>-0.381134969325153</v>
      </c>
      <c r="Q371" s="362">
        <f t="shared" si="167"/>
        <v>0.42998760842627</v>
      </c>
      <c r="R371" s="362">
        <f t="shared" si="167"/>
        <v>0.0415944540727904</v>
      </c>
      <c r="S371" s="362">
        <f t="shared" si="167"/>
        <v>-0.0158069883527454</v>
      </c>
      <c r="T371" s="362">
        <f t="shared" si="167"/>
        <v>0.240067624683009</v>
      </c>
      <c r="U371" s="362">
        <f t="shared" si="167"/>
        <v>-0.177914110429448</v>
      </c>
      <c r="V371" s="362">
        <f t="shared" si="167"/>
        <v>0.171641791044776</v>
      </c>
      <c r="W371" s="384">
        <f t="shared" si="167"/>
        <v>0.329794762915782</v>
      </c>
      <c r="X371" s="498">
        <f t="shared" si="167"/>
        <v>0.325248748997722</v>
      </c>
      <c r="Y371" s="498">
        <f t="shared" si="167"/>
        <v>0.136245994511037</v>
      </c>
      <c r="Z371" s="498">
        <f t="shared" si="167"/>
        <v>0.159707521690533</v>
      </c>
      <c r="AA371" s="498">
        <f t="shared" si="167"/>
        <v>0.12411217961652</v>
      </c>
      <c r="AB371" s="498">
        <f t="shared" si="167"/>
        <v>0.213217887054714</v>
      </c>
      <c r="AC371" s="498"/>
      <c r="AD371" s="362"/>
      <c r="AL371" s="422"/>
      <c r="AM371" s="422"/>
      <c r="AN371" s="562"/>
      <c r="AO371" s="562"/>
    </row>
    <row r="372" customHeight="1" spans="1:48">
      <c r="A372" s="340" t="s">
        <v>145</v>
      </c>
      <c r="B372" s="411"/>
      <c r="C372" s="411">
        <f t="shared" ref="C372:K372" si="168">C370/C$319</f>
        <v>0.079734219269103</v>
      </c>
      <c r="D372" s="411">
        <f t="shared" si="168"/>
        <v>0.0922627737226277</v>
      </c>
      <c r="E372" s="411">
        <f t="shared" si="168"/>
        <v>0.0821322803553801</v>
      </c>
      <c r="F372" s="411">
        <f t="shared" si="168"/>
        <v>0.109466716473665</v>
      </c>
      <c r="G372" s="411">
        <f t="shared" si="168"/>
        <v>0.095458440445587</v>
      </c>
      <c r="H372" s="411">
        <f t="shared" si="168"/>
        <v>0.0941590314136126</v>
      </c>
      <c r="I372" s="411">
        <f t="shared" si="168"/>
        <v>0.094894986969186</v>
      </c>
      <c r="J372" s="411">
        <f t="shared" si="168"/>
        <v>0.100526567735759</v>
      </c>
      <c r="K372" s="411">
        <f t="shared" si="168"/>
        <v>0.121953924914676</v>
      </c>
      <c r="L372" s="362">
        <v>0.106873681037082</v>
      </c>
      <c r="M372" s="362">
        <f t="shared" ref="M372:AB372" si="169">M370/M$319</f>
        <v>0.10650535501785</v>
      </c>
      <c r="N372" s="362">
        <f t="shared" si="169"/>
        <v>0.113020681619575</v>
      </c>
      <c r="O372" s="362">
        <f t="shared" si="169"/>
        <v>0.120751921474211</v>
      </c>
      <c r="P372" s="362">
        <f t="shared" si="169"/>
        <v>0.0777381755129564</v>
      </c>
      <c r="Q372" s="362">
        <f t="shared" si="169"/>
        <v>0.0962468723936614</v>
      </c>
      <c r="R372" s="362">
        <f t="shared" si="169"/>
        <v>0.0902199204383397</v>
      </c>
      <c r="S372" s="362">
        <f t="shared" si="169"/>
        <v>0.0794866626352214</v>
      </c>
      <c r="T372" s="362">
        <f t="shared" si="169"/>
        <v>0.103273495248152</v>
      </c>
      <c r="U372" s="362">
        <f t="shared" si="169"/>
        <v>0.0829778450529792</v>
      </c>
      <c r="V372" s="362">
        <f t="shared" si="169"/>
        <v>0.0835353236772096</v>
      </c>
      <c r="W372" s="384">
        <f t="shared" si="169"/>
        <v>0.0974079834110938</v>
      </c>
      <c r="X372" s="498">
        <f t="shared" si="169"/>
        <v>0.117359901940179</v>
      </c>
      <c r="Y372" s="498">
        <f t="shared" si="169"/>
        <v>0.125758143850845</v>
      </c>
      <c r="Z372" s="498">
        <f t="shared" si="169"/>
        <v>0.135203111239448</v>
      </c>
      <c r="AA372" s="498">
        <f t="shared" si="169"/>
        <v>0.141922918269</v>
      </c>
      <c r="AB372" s="498">
        <f t="shared" si="169"/>
        <v>0.160700530016516</v>
      </c>
      <c r="AC372" s="498"/>
      <c r="AD372" s="362"/>
      <c r="AL372" s="422"/>
      <c r="AM372" s="422"/>
      <c r="AN372" s="562"/>
      <c r="AO372" s="562"/>
    </row>
    <row r="373" s="335" customFormat="1" customHeight="1" spans="1:48">
      <c r="A373" s="483" t="s">
        <v>163</v>
      </c>
      <c r="B373" s="555"/>
      <c r="C373" s="555">
        <v>6</v>
      </c>
      <c r="D373" s="555">
        <v>16</v>
      </c>
      <c r="E373" s="555">
        <v>115</v>
      </c>
      <c r="F373" s="555">
        <v>84</v>
      </c>
      <c r="G373" s="555">
        <v>94</v>
      </c>
      <c r="H373" s="555">
        <v>102</v>
      </c>
      <c r="I373" s="555">
        <v>87</v>
      </c>
      <c r="J373" s="555">
        <v>49</v>
      </c>
      <c r="K373" s="555">
        <v>59</v>
      </c>
      <c r="L373" s="556">
        <v>52</v>
      </c>
      <c r="M373" s="556">
        <v>158</v>
      </c>
      <c r="N373" s="556">
        <v>135</v>
      </c>
      <c r="O373" s="556">
        <f>203-37</f>
        <v>166</v>
      </c>
      <c r="P373" s="556">
        <f>169-19</f>
        <v>150</v>
      </c>
      <c r="Q373" s="556">
        <f>'Balance Sheet &amp; Cash Flow'!R192</f>
        <v>88</v>
      </c>
      <c r="R373" s="556">
        <f>'Balance Sheet &amp; Cash Flow'!S192</f>
        <v>84</v>
      </c>
      <c r="S373" s="556">
        <f>+'Balance Sheet &amp; Cash Flow'!T192</f>
        <v>69</v>
      </c>
      <c r="T373" s="556">
        <f>+'Balance Sheet &amp; Cash Flow'!U192</f>
        <v>68</v>
      </c>
      <c r="U373" s="556">
        <f>+'Balance Sheet &amp; Cash Flow'!V192</f>
        <v>48</v>
      </c>
      <c r="V373" s="556">
        <f>+'Balance Sheet &amp; Cash Flow'!W192</f>
        <v>21</v>
      </c>
      <c r="W373" s="557">
        <f>+'Balance Sheet &amp; Cash Flow'!X192</f>
        <v>46</v>
      </c>
      <c r="X373" s="587">
        <v>25</v>
      </c>
      <c r="Y373" s="587">
        <f>X373-5</f>
        <v>20</v>
      </c>
      <c r="Z373" s="587">
        <v>0</v>
      </c>
      <c r="AA373" s="587">
        <f>Z373-20</f>
        <v>-20</v>
      </c>
      <c r="AB373" s="587">
        <f>AA373-30</f>
        <v>-50</v>
      </c>
      <c r="AC373" s="587"/>
      <c r="AD373" s="599"/>
      <c r="AE373" s="342"/>
      <c r="AF373" s="342"/>
      <c r="AG373" s="342"/>
      <c r="AH373" s="342"/>
      <c r="AI373" s="342"/>
      <c r="AJ373" s="342"/>
      <c r="AK373" s="344"/>
      <c r="AL373" s="422"/>
      <c r="AM373" s="422"/>
      <c r="AN373" s="562"/>
      <c r="AO373" s="562"/>
      <c r="AP373" s="340"/>
      <c r="AQ373" s="340"/>
      <c r="AR373" s="340"/>
    </row>
    <row r="374" s="334" customFormat="1" customHeight="1" spans="1:48">
      <c r="A374" s="334" t="s">
        <v>142</v>
      </c>
      <c r="B374" s="411"/>
      <c r="C374" s="411"/>
      <c r="D374" s="411">
        <f>D373/C373-1</f>
        <v>1.66666666666667</v>
      </c>
      <c r="E374" s="411">
        <f>E373/D373-1</f>
        <v>6.1875</v>
      </c>
      <c r="F374" s="411">
        <f t="shared" ref="F374:K374" si="170">F373/E373-1</f>
        <v>-0.269565217391304</v>
      </c>
      <c r="G374" s="411">
        <f t="shared" si="170"/>
        <v>0.119047619047619</v>
      </c>
      <c r="H374" s="411">
        <f t="shared" si="170"/>
        <v>0.0851063829787233</v>
      </c>
      <c r="I374" s="411">
        <f t="shared" si="170"/>
        <v>-0.147058823529412</v>
      </c>
      <c r="J374" s="411">
        <f t="shared" si="170"/>
        <v>-0.436781609195402</v>
      </c>
      <c r="K374" s="411">
        <f t="shared" si="170"/>
        <v>0.204081632653061</v>
      </c>
      <c r="L374" s="362">
        <v>-0.142857142857143</v>
      </c>
      <c r="M374" s="362">
        <f t="shared" ref="M374:AB374" si="171">M373/L373-1</f>
        <v>2.03846153846154</v>
      </c>
      <c r="N374" s="362">
        <f t="shared" si="171"/>
        <v>-0.145569620253165</v>
      </c>
      <c r="O374" s="362">
        <f t="shared" si="171"/>
        <v>0.22962962962963</v>
      </c>
      <c r="P374" s="362">
        <f t="shared" si="171"/>
        <v>-0.0963855421686747</v>
      </c>
      <c r="Q374" s="362">
        <f t="shared" si="171"/>
        <v>-0.413333333333333</v>
      </c>
      <c r="R374" s="362">
        <f t="shared" si="171"/>
        <v>-0.0454545454545454</v>
      </c>
      <c r="S374" s="362">
        <f t="shared" si="171"/>
        <v>-0.178571428571429</v>
      </c>
      <c r="T374" s="362">
        <f t="shared" si="171"/>
        <v>-0.0144927536231884</v>
      </c>
      <c r="U374" s="362">
        <f t="shared" si="171"/>
        <v>-0.294117647058823</v>
      </c>
      <c r="V374" s="362">
        <f t="shared" si="171"/>
        <v>-0.5625</v>
      </c>
      <c r="W374" s="384">
        <f t="shared" si="171"/>
        <v>1.19047619047619</v>
      </c>
      <c r="X374" s="498">
        <f t="shared" si="171"/>
        <v>-0.456521739130435</v>
      </c>
      <c r="Y374" s="498">
        <f t="shared" si="171"/>
        <v>-0.2</v>
      </c>
      <c r="Z374" s="498">
        <f t="shared" si="171"/>
        <v>-1</v>
      </c>
      <c r="AA374" s="498" t="e">
        <f t="shared" si="171"/>
        <v>#DIV/0!</v>
      </c>
      <c r="AB374" s="498">
        <f t="shared" si="171"/>
        <v>1.5</v>
      </c>
      <c r="AC374" s="498"/>
      <c r="AD374" s="362"/>
      <c r="AE374" s="342"/>
      <c r="AF374" s="342"/>
      <c r="AG374" s="342"/>
      <c r="AH374" s="342"/>
      <c r="AI374" s="342"/>
      <c r="AJ374" s="342"/>
      <c r="AK374" s="344"/>
      <c r="AL374" s="422"/>
      <c r="AM374" s="422"/>
      <c r="AN374" s="562"/>
      <c r="AO374" s="562"/>
      <c r="AP374" s="340"/>
      <c r="AQ374" s="340"/>
      <c r="AR374" s="340"/>
    </row>
    <row r="375" customHeight="1" spans="1:48">
      <c r="A375" s="340" t="s">
        <v>145</v>
      </c>
      <c r="B375" s="411"/>
      <c r="C375" s="411">
        <f>C373/C$319</f>
        <v>0.00249169435215947</v>
      </c>
      <c r="D375" s="411">
        <f>D373/D$319</f>
        <v>0.00467153284671533</v>
      </c>
      <c r="E375" s="411">
        <f>E373/E$319</f>
        <v>0.0227048371174729</v>
      </c>
      <c r="F375" s="411">
        <f t="shared" ref="F375:K375" si="172">F373/F$319</f>
        <v>0.0156892043332088</v>
      </c>
      <c r="G375" s="411">
        <f t="shared" si="172"/>
        <v>0.0161096829477292</v>
      </c>
      <c r="H375" s="411">
        <f t="shared" si="172"/>
        <v>0.0166884816753927</v>
      </c>
      <c r="I375" s="411">
        <f t="shared" si="172"/>
        <v>0.0133374214318565</v>
      </c>
      <c r="J375" s="411">
        <f t="shared" si="172"/>
        <v>0.00781873304611457</v>
      </c>
      <c r="K375" s="411">
        <f t="shared" si="172"/>
        <v>0.0100682593856655</v>
      </c>
      <c r="L375" s="362">
        <v>0.00723545372324389</v>
      </c>
      <c r="M375" s="362">
        <f t="shared" ref="M375:AB375" si="173">M373/M$319</f>
        <v>0.0156683855612852</v>
      </c>
      <c r="N375" s="362">
        <f t="shared" si="173"/>
        <v>0.0131080687445383</v>
      </c>
      <c r="O375" s="362">
        <f t="shared" si="173"/>
        <v>0.0153717936846004</v>
      </c>
      <c r="P375" s="362">
        <f t="shared" si="173"/>
        <v>0.0144494750024082</v>
      </c>
      <c r="Q375" s="362">
        <f t="shared" si="173"/>
        <v>0.0073394495412844</v>
      </c>
      <c r="R375" s="362">
        <f t="shared" si="173"/>
        <v>0.00630488628687233</v>
      </c>
      <c r="S375" s="362">
        <f t="shared" si="173"/>
        <v>0.00463616206409998</v>
      </c>
      <c r="T375" s="362">
        <f t="shared" si="173"/>
        <v>0.00478704681450194</v>
      </c>
      <c r="U375" s="362">
        <f t="shared" si="173"/>
        <v>0.00330260079812853</v>
      </c>
      <c r="V375" s="362">
        <f t="shared" si="173"/>
        <v>0.00124150162577594</v>
      </c>
      <c r="W375" s="384">
        <f t="shared" si="173"/>
        <v>0.00238465526179368</v>
      </c>
      <c r="X375" s="498">
        <f t="shared" si="173"/>
        <v>0.00117824488641719</v>
      </c>
      <c r="Y375" s="498">
        <f t="shared" si="173"/>
        <v>0.000888934099533558</v>
      </c>
      <c r="Z375" s="498">
        <f t="shared" si="173"/>
        <v>0</v>
      </c>
      <c r="AA375" s="498">
        <f t="shared" si="173"/>
        <v>-0.000769534070723422</v>
      </c>
      <c r="AB375" s="498">
        <f t="shared" si="173"/>
        <v>-0.00179553482642261</v>
      </c>
      <c r="AC375" s="498"/>
      <c r="AD375" s="362"/>
      <c r="AL375" s="422"/>
      <c r="AM375" s="422"/>
      <c r="AN375" s="562"/>
      <c r="AO375" s="562"/>
      <c r="AS375" s="401"/>
      <c r="AT375" s="401"/>
      <c r="AU375" s="401"/>
      <c r="AV375" s="401"/>
    </row>
    <row r="376" customHeight="1" spans="1:48">
      <c r="A376" s="486" t="s">
        <v>164</v>
      </c>
      <c r="B376" s="547"/>
      <c r="C376" s="547">
        <f t="shared" ref="C376:AB376" si="174">C361-C373</f>
        <v>186</v>
      </c>
      <c r="D376" s="547">
        <f t="shared" si="174"/>
        <v>300</v>
      </c>
      <c r="E376" s="547">
        <f t="shared" si="174"/>
        <v>301</v>
      </c>
      <c r="F376" s="547">
        <f t="shared" si="174"/>
        <v>398</v>
      </c>
      <c r="G376" s="547">
        <f t="shared" si="174"/>
        <v>343</v>
      </c>
      <c r="H376" s="547">
        <f t="shared" si="174"/>
        <v>373</v>
      </c>
      <c r="I376" s="547">
        <f t="shared" si="174"/>
        <v>390</v>
      </c>
      <c r="J376" s="547">
        <f t="shared" si="174"/>
        <v>441</v>
      </c>
      <c r="K376" s="547">
        <f t="shared" si="174"/>
        <v>525</v>
      </c>
      <c r="L376" s="548">
        <f t="shared" si="174"/>
        <v>655</v>
      </c>
      <c r="M376" s="548">
        <f t="shared" si="174"/>
        <v>723</v>
      </c>
      <c r="N376" s="548">
        <f t="shared" si="174"/>
        <v>814</v>
      </c>
      <c r="O376" s="548">
        <f t="shared" si="174"/>
        <v>904</v>
      </c>
      <c r="P376" s="548">
        <f t="shared" si="174"/>
        <v>358</v>
      </c>
      <c r="Q376" s="548">
        <f t="shared" si="174"/>
        <v>806</v>
      </c>
      <c r="R376" s="548">
        <f t="shared" si="174"/>
        <v>869</v>
      </c>
      <c r="S376" s="548">
        <f t="shared" si="174"/>
        <v>851</v>
      </c>
      <c r="T376" s="548">
        <f t="shared" si="174"/>
        <v>1113</v>
      </c>
      <c r="U376" s="548">
        <f t="shared" si="174"/>
        <v>835</v>
      </c>
      <c r="V376" s="548">
        <f t="shared" si="174"/>
        <v>1038</v>
      </c>
      <c r="W376" s="549">
        <f t="shared" si="174"/>
        <v>1445</v>
      </c>
      <c r="X376" s="592">
        <f t="shared" si="174"/>
        <v>2045</v>
      </c>
      <c r="Y376" s="592">
        <f t="shared" si="174"/>
        <v>2355.81460000803</v>
      </c>
      <c r="Z376" s="592">
        <f t="shared" si="174"/>
        <v>2757.97229964445</v>
      </c>
      <c r="AA376" s="592">
        <f t="shared" si="174"/>
        <v>3113.73011522014</v>
      </c>
      <c r="AB376" s="592">
        <f t="shared" si="174"/>
        <v>3518.72530762335</v>
      </c>
      <c r="AC376" s="592"/>
      <c r="AD376" s="548"/>
      <c r="AL376" s="422"/>
      <c r="AM376" s="422"/>
      <c r="AN376" s="562"/>
      <c r="AO376" s="562"/>
    </row>
    <row r="377" s="334" customFormat="1" customHeight="1" spans="1:48">
      <c r="A377" s="334" t="s">
        <v>142</v>
      </c>
      <c r="B377" s="411"/>
      <c r="C377" s="411"/>
      <c r="D377" s="411">
        <f>D376/C376-1</f>
        <v>0.612903225806452</v>
      </c>
      <c r="E377" s="411">
        <f>E376/D376-1</f>
        <v>0.00333333333333341</v>
      </c>
      <c r="F377" s="411">
        <f t="shared" ref="F377:AB377" si="175">F376/E376-1</f>
        <v>0.322259136212625</v>
      </c>
      <c r="G377" s="411">
        <f t="shared" si="175"/>
        <v>-0.138190954773869</v>
      </c>
      <c r="H377" s="411">
        <f t="shared" si="175"/>
        <v>0.087463556851312</v>
      </c>
      <c r="I377" s="411">
        <f t="shared" si="175"/>
        <v>0.0455764075067024</v>
      </c>
      <c r="J377" s="411">
        <f t="shared" si="175"/>
        <v>0.130769230769231</v>
      </c>
      <c r="K377" s="411">
        <f t="shared" si="175"/>
        <v>0.19047619047619</v>
      </c>
      <c r="L377" s="362">
        <f t="shared" si="175"/>
        <v>0.247619047619048</v>
      </c>
      <c r="M377" s="362">
        <f t="shared" si="175"/>
        <v>0.10381679389313</v>
      </c>
      <c r="N377" s="362">
        <f t="shared" si="175"/>
        <v>0.125864453665284</v>
      </c>
      <c r="O377" s="362">
        <f t="shared" si="175"/>
        <v>0.110565110565111</v>
      </c>
      <c r="P377" s="362">
        <f t="shared" si="175"/>
        <v>-0.603982300884956</v>
      </c>
      <c r="Q377" s="362">
        <f t="shared" si="175"/>
        <v>1.25139664804469</v>
      </c>
      <c r="R377" s="362">
        <f t="shared" si="175"/>
        <v>0.0781637717121588</v>
      </c>
      <c r="S377" s="362">
        <f t="shared" si="175"/>
        <v>-0.0207134637514385</v>
      </c>
      <c r="T377" s="362">
        <f t="shared" si="175"/>
        <v>0.307873090481786</v>
      </c>
      <c r="U377" s="362">
        <f t="shared" si="175"/>
        <v>-0.249775381850854</v>
      </c>
      <c r="V377" s="362">
        <f t="shared" si="175"/>
        <v>0.24311377245509</v>
      </c>
      <c r="W377" s="384">
        <f t="shared" si="175"/>
        <v>0.392100192678227</v>
      </c>
      <c r="X377" s="498">
        <f t="shared" si="175"/>
        <v>0.41522491349481</v>
      </c>
      <c r="Y377" s="498">
        <f t="shared" si="175"/>
        <v>0.151987579466032</v>
      </c>
      <c r="Z377" s="498">
        <f t="shared" si="175"/>
        <v>0.170708552207396</v>
      </c>
      <c r="AA377" s="498">
        <f t="shared" si="175"/>
        <v>0.128992526727534</v>
      </c>
      <c r="AB377" s="498">
        <f t="shared" si="175"/>
        <v>0.130067532321945</v>
      </c>
      <c r="AC377" s="498"/>
      <c r="AD377" s="362"/>
      <c r="AE377" s="342"/>
      <c r="AF377" s="342"/>
      <c r="AG377" s="342"/>
      <c r="AH377" s="342"/>
      <c r="AI377" s="342"/>
      <c r="AJ377" s="342"/>
      <c r="AK377" s="344"/>
      <c r="AL377" s="422"/>
      <c r="AM377" s="422"/>
      <c r="AN377" s="562"/>
      <c r="AO377" s="562"/>
      <c r="AP377" s="340"/>
      <c r="AQ377" s="340"/>
      <c r="AR377" s="340"/>
      <c r="AS377" s="340"/>
    </row>
    <row r="378" customHeight="1" spans="1:48">
      <c r="A378" s="340" t="s">
        <v>145</v>
      </c>
      <c r="B378" s="411"/>
      <c r="C378" s="411">
        <f>C376/C$319</f>
        <v>0.0772425249169435</v>
      </c>
      <c r="D378" s="411">
        <f>D376/D$319</f>
        <v>0.0875912408759124</v>
      </c>
      <c r="E378" s="411">
        <f>E376/E$319</f>
        <v>0.0594274432379072</v>
      </c>
      <c r="F378" s="411">
        <f t="shared" ref="F378:AB378" si="176">F376/F$319</f>
        <v>0.0743369443406799</v>
      </c>
      <c r="G378" s="411">
        <f t="shared" si="176"/>
        <v>0.058783204798629</v>
      </c>
      <c r="H378" s="411">
        <f t="shared" si="176"/>
        <v>0.0610274869109948</v>
      </c>
      <c r="I378" s="411">
        <f t="shared" si="176"/>
        <v>0.0597884409014257</v>
      </c>
      <c r="J378" s="411">
        <f t="shared" si="176"/>
        <v>0.0703685974150311</v>
      </c>
      <c r="K378" s="411">
        <f t="shared" si="176"/>
        <v>0.0895904436860068</v>
      </c>
      <c r="L378" s="362">
        <f t="shared" si="176"/>
        <v>0.0987040385774563</v>
      </c>
      <c r="M378" s="362">
        <f t="shared" si="176"/>
        <v>0.0716977389924633</v>
      </c>
      <c r="N378" s="362">
        <f t="shared" si="176"/>
        <v>0.0790367996892902</v>
      </c>
      <c r="O378" s="362">
        <f t="shared" si="176"/>
        <v>0.08371145476433</v>
      </c>
      <c r="P378" s="362">
        <f t="shared" si="176"/>
        <v>0.034486080339081</v>
      </c>
      <c r="Q378" s="362">
        <f t="shared" si="176"/>
        <v>0.0672226855713094</v>
      </c>
      <c r="R378" s="362">
        <f t="shared" si="176"/>
        <v>0.0652255498010958</v>
      </c>
      <c r="S378" s="362">
        <f t="shared" si="176"/>
        <v>0.0571793321238998</v>
      </c>
      <c r="T378" s="362">
        <f t="shared" si="176"/>
        <v>0.0783526927138332</v>
      </c>
      <c r="U378" s="362">
        <f t="shared" si="176"/>
        <v>0.0574514930507775</v>
      </c>
      <c r="V378" s="362">
        <f t="shared" si="176"/>
        <v>0.0613656517883535</v>
      </c>
      <c r="W378" s="384">
        <f t="shared" si="176"/>
        <v>0.0749092794193883</v>
      </c>
      <c r="X378" s="498">
        <f t="shared" si="176"/>
        <v>0.0963804317089264</v>
      </c>
      <c r="Y378" s="498">
        <f t="shared" si="176"/>
        <v>0.104708196506308</v>
      </c>
      <c r="Z378" s="498">
        <f t="shared" si="176"/>
        <v>0.113640088485897</v>
      </c>
      <c r="AA378" s="498">
        <f t="shared" si="176"/>
        <v>0.119806070534973</v>
      </c>
      <c r="AB378" s="498">
        <f t="shared" si="176"/>
        <v>0.126359876689046</v>
      </c>
      <c r="AC378" s="498"/>
      <c r="AD378" s="362"/>
      <c r="AL378" s="422"/>
      <c r="AM378" s="422"/>
      <c r="AN378" s="562"/>
      <c r="AO378" s="562"/>
    </row>
    <row r="379" customHeight="1" spans="1:48">
      <c r="A379" s="483" t="s">
        <v>166</v>
      </c>
      <c r="B379" s="555"/>
      <c r="C379" s="555">
        <v>55</v>
      </c>
      <c r="D379" s="555">
        <v>95</v>
      </c>
      <c r="E379" s="555">
        <v>105</v>
      </c>
      <c r="F379" s="555">
        <v>153</v>
      </c>
      <c r="G379" s="555">
        <v>140</v>
      </c>
      <c r="H379" s="555">
        <v>147</v>
      </c>
      <c r="I379" s="555">
        <v>148</v>
      </c>
      <c r="J379" s="555">
        <v>167</v>
      </c>
      <c r="K379" s="555">
        <v>193</v>
      </c>
      <c r="L379" s="556">
        <v>221</v>
      </c>
      <c r="M379" s="556">
        <v>227</v>
      </c>
      <c r="N379" s="556">
        <v>260</v>
      </c>
      <c r="O379" s="556">
        <v>260</v>
      </c>
      <c r="P379" s="556">
        <v>113</v>
      </c>
      <c r="Q379" s="556">
        <v>238</v>
      </c>
      <c r="R379" s="556">
        <v>261</v>
      </c>
      <c r="S379" s="556">
        <v>327</v>
      </c>
      <c r="T379" s="556">
        <v>340</v>
      </c>
      <c r="U379" s="556">
        <v>271</v>
      </c>
      <c r="V379" s="556">
        <v>353</v>
      </c>
      <c r="W379" s="557">
        <v>426</v>
      </c>
      <c r="X379" s="587">
        <f>X381*X376</f>
        <v>593.05</v>
      </c>
      <c r="Y379" s="587">
        <f>Y381*Y376</f>
        <v>683.18623400233</v>
      </c>
      <c r="Z379" s="587">
        <f>Z381*Z376</f>
        <v>799.811966896891</v>
      </c>
      <c r="AA379" s="587">
        <f>AA381*AA376</f>
        <v>902.98173341384</v>
      </c>
      <c r="AB379" s="587">
        <f>AB381*AB376</f>
        <v>1020.43033921077</v>
      </c>
      <c r="AC379" s="587"/>
      <c r="AD379" s="556"/>
      <c r="AL379" s="422"/>
      <c r="AM379" s="422"/>
      <c r="AN379" s="562"/>
      <c r="AO379" s="562"/>
    </row>
    <row r="380" s="334" customFormat="1" customHeight="1" spans="1:48">
      <c r="A380" s="334" t="s">
        <v>142</v>
      </c>
      <c r="B380" s="411"/>
      <c r="C380" s="411">
        <v>0.446769988550032</v>
      </c>
      <c r="D380" s="411">
        <v>0.446769988550032</v>
      </c>
      <c r="E380" s="411">
        <v>0.446769988550032</v>
      </c>
      <c r="F380" s="411">
        <v>0.446769988550032</v>
      </c>
      <c r="G380" s="411">
        <v>-0.0812750065459157</v>
      </c>
      <c r="H380" s="411">
        <v>-0.2384</v>
      </c>
      <c r="I380" s="411">
        <v>0.384880913302821</v>
      </c>
      <c r="J380" s="411">
        <v>0.132928704168182</v>
      </c>
      <c r="K380" s="411">
        <v>0.159662860900233</v>
      </c>
      <c r="L380" s="362">
        <v>0.139175257731959</v>
      </c>
      <c r="M380" s="362">
        <f t="shared" ref="M380:AB380" si="177">M379/L379-1</f>
        <v>0.0271493212669682</v>
      </c>
      <c r="N380" s="362">
        <f t="shared" si="177"/>
        <v>0.145374449339207</v>
      </c>
      <c r="O380" s="362">
        <f t="shared" si="177"/>
        <v>0</v>
      </c>
      <c r="P380" s="362">
        <f t="shared" si="177"/>
        <v>-0.565384615384615</v>
      </c>
      <c r="Q380" s="362">
        <f t="shared" si="177"/>
        <v>1.10619469026549</v>
      </c>
      <c r="R380" s="362">
        <f t="shared" si="177"/>
        <v>0.096638655462185</v>
      </c>
      <c r="S380" s="362">
        <f t="shared" si="177"/>
        <v>0.252873563218391</v>
      </c>
      <c r="T380" s="362">
        <f t="shared" si="177"/>
        <v>0.0397553516819571</v>
      </c>
      <c r="U380" s="362">
        <f t="shared" si="177"/>
        <v>-0.202941176470588</v>
      </c>
      <c r="V380" s="362">
        <f t="shared" si="177"/>
        <v>0.302583025830258</v>
      </c>
      <c r="W380" s="384">
        <f t="shared" si="177"/>
        <v>0.206798866855524</v>
      </c>
      <c r="X380" s="498">
        <f t="shared" si="177"/>
        <v>0.392136150234742</v>
      </c>
      <c r="Y380" s="498">
        <f t="shared" si="177"/>
        <v>0.151987579466032</v>
      </c>
      <c r="Z380" s="498">
        <f t="shared" si="177"/>
        <v>0.170708552207396</v>
      </c>
      <c r="AA380" s="498">
        <f t="shared" si="177"/>
        <v>0.128992526727534</v>
      </c>
      <c r="AB380" s="498">
        <f t="shared" si="177"/>
        <v>0.130067532321945</v>
      </c>
      <c r="AC380" s="498"/>
      <c r="AD380" s="362"/>
      <c r="AE380" s="342"/>
      <c r="AF380" s="342"/>
      <c r="AG380" s="342"/>
      <c r="AH380" s="342"/>
      <c r="AI380" s="342"/>
      <c r="AJ380" s="342"/>
      <c r="AK380" s="344"/>
      <c r="AL380" s="422"/>
      <c r="AM380" s="422"/>
      <c r="AN380" s="562"/>
      <c r="AO380" s="562"/>
      <c r="AP380" s="340"/>
      <c r="AQ380" s="340"/>
      <c r="AR380" s="340"/>
    </row>
    <row r="381" customHeight="1" spans="1:48">
      <c r="A381" s="340" t="s">
        <v>167</v>
      </c>
      <c r="B381" s="600"/>
      <c r="C381" s="600">
        <f>C379/C376</f>
        <v>0.295698924731183</v>
      </c>
      <c r="D381" s="600">
        <f>D379/D376</f>
        <v>0.316666666666667</v>
      </c>
      <c r="E381" s="600">
        <f>E379/E376</f>
        <v>0.348837209302326</v>
      </c>
      <c r="F381" s="600">
        <f t="shared" ref="F381:W381" si="178">F379/F376</f>
        <v>0.384422110552764</v>
      </c>
      <c r="G381" s="600">
        <f t="shared" si="178"/>
        <v>0.408163265306122</v>
      </c>
      <c r="H381" s="600">
        <f t="shared" si="178"/>
        <v>0.394101876675603</v>
      </c>
      <c r="I381" s="600">
        <f t="shared" si="178"/>
        <v>0.379487179487179</v>
      </c>
      <c r="J381" s="600">
        <f t="shared" si="178"/>
        <v>0.378684807256236</v>
      </c>
      <c r="K381" s="600">
        <f t="shared" si="178"/>
        <v>0.367619047619048</v>
      </c>
      <c r="L381" s="601">
        <f t="shared" si="178"/>
        <v>0.337404580152672</v>
      </c>
      <c r="M381" s="601">
        <f t="shared" si="178"/>
        <v>0.313969571230982</v>
      </c>
      <c r="N381" s="601">
        <f t="shared" si="178"/>
        <v>0.319410319410319</v>
      </c>
      <c r="O381" s="601">
        <f t="shared" si="178"/>
        <v>0.287610619469027</v>
      </c>
      <c r="P381" s="601">
        <f t="shared" si="178"/>
        <v>0.315642458100559</v>
      </c>
      <c r="Q381" s="362">
        <f t="shared" si="178"/>
        <v>0.295285359801489</v>
      </c>
      <c r="R381" s="362">
        <f t="shared" si="178"/>
        <v>0.300345224395857</v>
      </c>
      <c r="S381" s="362">
        <f t="shared" si="178"/>
        <v>0.384253819036428</v>
      </c>
      <c r="T381" s="362">
        <f t="shared" si="178"/>
        <v>0.305480682839173</v>
      </c>
      <c r="U381" s="362">
        <f t="shared" si="178"/>
        <v>0.324550898203593</v>
      </c>
      <c r="V381" s="362">
        <f t="shared" si="178"/>
        <v>0.340077071290944</v>
      </c>
      <c r="W381" s="384">
        <f t="shared" si="178"/>
        <v>0.294809688581315</v>
      </c>
      <c r="X381" s="570">
        <v>0.29</v>
      </c>
      <c r="Y381" s="570">
        <f>X381</f>
        <v>0.29</v>
      </c>
      <c r="Z381" s="570">
        <f>Y381</f>
        <v>0.29</v>
      </c>
      <c r="AA381" s="570">
        <f>Z381</f>
        <v>0.29</v>
      </c>
      <c r="AB381" s="570">
        <f>AA381</f>
        <v>0.29</v>
      </c>
      <c r="AC381" s="570"/>
      <c r="AD381" s="372"/>
      <c r="AL381" s="422"/>
      <c r="AM381" s="422"/>
      <c r="AN381" s="562"/>
      <c r="AO381" s="562"/>
    </row>
    <row r="382" customHeight="1" spans="1:48">
      <c r="A382" s="486" t="s">
        <v>168</v>
      </c>
      <c r="B382" s="547"/>
      <c r="C382" s="547">
        <f>C376-C379</f>
        <v>131</v>
      </c>
      <c r="D382" s="547">
        <f>D376-D379</f>
        <v>205</v>
      </c>
      <c r="E382" s="547">
        <f>E376-E379</f>
        <v>196</v>
      </c>
      <c r="F382" s="547">
        <f t="shared" ref="F382:Q382" si="179">F376-F379</f>
        <v>245</v>
      </c>
      <c r="G382" s="547">
        <f t="shared" si="179"/>
        <v>203</v>
      </c>
      <c r="H382" s="547">
        <f t="shared" si="179"/>
        <v>226</v>
      </c>
      <c r="I382" s="547">
        <f t="shared" si="179"/>
        <v>242</v>
      </c>
      <c r="J382" s="547">
        <f t="shared" si="179"/>
        <v>274</v>
      </c>
      <c r="K382" s="547">
        <f t="shared" si="179"/>
        <v>332</v>
      </c>
      <c r="L382" s="548">
        <f t="shared" si="179"/>
        <v>434</v>
      </c>
      <c r="M382" s="548">
        <f t="shared" si="179"/>
        <v>496</v>
      </c>
      <c r="N382" s="548">
        <f t="shared" si="179"/>
        <v>554</v>
      </c>
      <c r="O382" s="548">
        <f t="shared" si="179"/>
        <v>644</v>
      </c>
      <c r="P382" s="548">
        <f t="shared" si="179"/>
        <v>245</v>
      </c>
      <c r="Q382" s="548">
        <f t="shared" si="179"/>
        <v>568</v>
      </c>
      <c r="R382" s="548">
        <f t="shared" ref="R382:AB382" si="180">R376-R379</f>
        <v>608</v>
      </c>
      <c r="S382" s="548">
        <f t="shared" si="180"/>
        <v>524</v>
      </c>
      <c r="T382" s="548">
        <f t="shared" si="180"/>
        <v>773</v>
      </c>
      <c r="U382" s="548">
        <f t="shared" si="180"/>
        <v>564</v>
      </c>
      <c r="V382" s="548">
        <f t="shared" si="180"/>
        <v>685</v>
      </c>
      <c r="W382" s="549">
        <f t="shared" si="180"/>
        <v>1019</v>
      </c>
      <c r="X382" s="592">
        <f t="shared" si="180"/>
        <v>1451.95</v>
      </c>
      <c r="Y382" s="592">
        <f t="shared" si="180"/>
        <v>1672.6283660057</v>
      </c>
      <c r="Z382" s="592">
        <f t="shared" si="180"/>
        <v>1958.16033274756</v>
      </c>
      <c r="AA382" s="592">
        <f t="shared" si="180"/>
        <v>2210.7483818063</v>
      </c>
      <c r="AB382" s="592">
        <f t="shared" si="180"/>
        <v>2498.29496841258</v>
      </c>
      <c r="AC382" s="602" t="s">
        <v>1268</v>
      </c>
      <c r="AD382" s="602"/>
      <c r="AL382" s="422"/>
      <c r="AM382" s="422"/>
      <c r="AN382" s="562"/>
      <c r="AO382" s="562"/>
    </row>
    <row r="383" s="334" customFormat="1" customHeight="1" spans="1:48">
      <c r="A383" s="334" t="s">
        <v>142</v>
      </c>
      <c r="B383" s="411"/>
      <c r="C383" s="411"/>
      <c r="D383" s="411">
        <f>D382/C382-1</f>
        <v>0.564885496183206</v>
      </c>
      <c r="E383" s="411">
        <f>E382/D382-1</f>
        <v>-0.0439024390243903</v>
      </c>
      <c r="F383" s="411">
        <f t="shared" ref="F383:K383" si="181">F382/E382-1</f>
        <v>0.25</v>
      </c>
      <c r="G383" s="411">
        <f t="shared" si="181"/>
        <v>-0.171428571428571</v>
      </c>
      <c r="H383" s="411">
        <f t="shared" si="181"/>
        <v>0.113300492610837</v>
      </c>
      <c r="I383" s="411">
        <f t="shared" si="181"/>
        <v>0.0707964601769913</v>
      </c>
      <c r="J383" s="411">
        <f t="shared" si="181"/>
        <v>0.132231404958678</v>
      </c>
      <c r="K383" s="411">
        <f t="shared" si="181"/>
        <v>0.211678832116788</v>
      </c>
      <c r="L383" s="362">
        <v>-0.142857142857143</v>
      </c>
      <c r="M383" s="362">
        <f t="shared" ref="M383:AB383" si="182">M382/L382-1</f>
        <v>0.142857142857143</v>
      </c>
      <c r="N383" s="362">
        <f t="shared" si="182"/>
        <v>0.116935483870968</v>
      </c>
      <c r="O383" s="362">
        <f t="shared" si="182"/>
        <v>0.162454873646209</v>
      </c>
      <c r="P383" s="362">
        <f t="shared" si="182"/>
        <v>-0.619565217391304</v>
      </c>
      <c r="Q383" s="362">
        <f t="shared" si="182"/>
        <v>1.31836734693878</v>
      </c>
      <c r="R383" s="362">
        <f t="shared" si="182"/>
        <v>0.0704225352112675</v>
      </c>
      <c r="S383" s="362">
        <f t="shared" si="182"/>
        <v>-0.138157894736842</v>
      </c>
      <c r="T383" s="362">
        <f t="shared" si="182"/>
        <v>0.475190839694656</v>
      </c>
      <c r="U383" s="362">
        <f t="shared" si="182"/>
        <v>-0.270375161707633</v>
      </c>
      <c r="V383" s="362">
        <f t="shared" si="182"/>
        <v>0.214539007092199</v>
      </c>
      <c r="W383" s="384">
        <f t="shared" si="182"/>
        <v>0.487591240875912</v>
      </c>
      <c r="X383" s="498">
        <f t="shared" si="182"/>
        <v>0.424877330716389</v>
      </c>
      <c r="Y383" s="498">
        <f t="shared" si="182"/>
        <v>0.151987579466032</v>
      </c>
      <c r="Z383" s="498">
        <f t="shared" si="182"/>
        <v>0.170708552207396</v>
      </c>
      <c r="AA383" s="498">
        <f t="shared" si="182"/>
        <v>0.128992526727534</v>
      </c>
      <c r="AB383" s="498">
        <f t="shared" si="182"/>
        <v>0.130067532321945</v>
      </c>
      <c r="AC383" s="2142" t="s">
        <v>1266</v>
      </c>
      <c r="AD383" s="367"/>
      <c r="AE383" s="342"/>
      <c r="AF383" s="342"/>
      <c r="AG383" s="342"/>
      <c r="AH383" s="342"/>
      <c r="AI383" s="342"/>
      <c r="AJ383" s="342"/>
      <c r="AK383" s="344"/>
      <c r="AL383" s="422"/>
      <c r="AM383" s="422"/>
      <c r="AN383" s="562"/>
      <c r="AO383" s="562"/>
      <c r="AP383" s="340"/>
      <c r="AQ383" s="340"/>
      <c r="AR383" s="340"/>
      <c r="AS383" s="340"/>
    </row>
    <row r="384" customHeight="1" spans="1:48">
      <c r="A384" s="340" t="s">
        <v>145</v>
      </c>
      <c r="B384" s="411"/>
      <c r="C384" s="411">
        <f>C382/C$319</f>
        <v>0.0544019933554817</v>
      </c>
      <c r="D384" s="411">
        <f>D382/D$319</f>
        <v>0.0598540145985401</v>
      </c>
      <c r="E384" s="411">
        <f>E382/E$319</f>
        <v>0.0386969397828233</v>
      </c>
      <c r="F384" s="411">
        <f t="shared" ref="F384:K384" si="183">F382/F$319</f>
        <v>0.0457601793051924</v>
      </c>
      <c r="G384" s="411">
        <f t="shared" si="183"/>
        <v>0.034790059982862</v>
      </c>
      <c r="H384" s="411">
        <f t="shared" si="183"/>
        <v>0.0369764397905759</v>
      </c>
      <c r="I384" s="411">
        <f t="shared" si="183"/>
        <v>0.0370994940978078</v>
      </c>
      <c r="J384" s="411">
        <f t="shared" si="183"/>
        <v>0.0437210786660284</v>
      </c>
      <c r="K384" s="411">
        <f t="shared" si="183"/>
        <v>0.0566552901023891</v>
      </c>
      <c r="L384" s="362">
        <v>0.00723545372324389</v>
      </c>
      <c r="M384" s="362">
        <f t="shared" ref="M384:AB384" si="184">M382/M$319</f>
        <v>0.0491868306227687</v>
      </c>
      <c r="N384" s="362">
        <f t="shared" si="184"/>
        <v>0.0537916302553646</v>
      </c>
      <c r="O384" s="362">
        <f t="shared" si="184"/>
        <v>0.0596351514029077</v>
      </c>
      <c r="P384" s="362">
        <f t="shared" si="184"/>
        <v>0.0236008091706001</v>
      </c>
      <c r="Q384" s="362">
        <f t="shared" si="184"/>
        <v>0.047372810675563</v>
      </c>
      <c r="R384" s="362">
        <f t="shared" si="184"/>
        <v>0.0456353674097425</v>
      </c>
      <c r="S384" s="362">
        <f t="shared" si="184"/>
        <v>0.035207955385339</v>
      </c>
      <c r="T384" s="362">
        <f t="shared" si="184"/>
        <v>0.0544174586413235</v>
      </c>
      <c r="U384" s="362">
        <f t="shared" si="184"/>
        <v>0.0388055593780102</v>
      </c>
      <c r="V384" s="362">
        <f t="shared" si="184"/>
        <v>0.0404966006503104</v>
      </c>
      <c r="W384" s="384">
        <f t="shared" si="184"/>
        <v>0.0528252980819077</v>
      </c>
      <c r="X384" s="498">
        <f t="shared" si="184"/>
        <v>0.0684301065133377</v>
      </c>
      <c r="Y384" s="498">
        <f t="shared" si="184"/>
        <v>0.0743428195194784</v>
      </c>
      <c r="Z384" s="498">
        <f t="shared" si="184"/>
        <v>0.080684462824987</v>
      </c>
      <c r="AA384" s="498">
        <f t="shared" si="184"/>
        <v>0.0850623100798309</v>
      </c>
      <c r="AB384" s="498">
        <f t="shared" si="184"/>
        <v>0.0897155124492229</v>
      </c>
      <c r="AC384" s="498"/>
      <c r="AD384" s="362"/>
      <c r="AL384" s="422"/>
      <c r="AM384" s="422"/>
      <c r="AN384" s="562"/>
      <c r="AO384" s="562"/>
    </row>
    <row r="385" customHeight="1" spans="1:48">
      <c r="A385" s="483" t="s">
        <v>169</v>
      </c>
      <c r="B385" s="555"/>
      <c r="C385" s="555">
        <v>12</v>
      </c>
      <c r="D385" s="555">
        <v>14</v>
      </c>
      <c r="E385" s="555">
        <v>9</v>
      </c>
      <c r="F385" s="555">
        <v>18</v>
      </c>
      <c r="G385" s="555">
        <v>25</v>
      </c>
      <c r="H385" s="555">
        <v>21</v>
      </c>
      <c r="I385" s="555">
        <v>14</v>
      </c>
      <c r="J385" s="555">
        <v>11</v>
      </c>
      <c r="K385" s="555">
        <v>7</v>
      </c>
      <c r="L385" s="556">
        <v>8</v>
      </c>
      <c r="M385" s="556">
        <v>13</v>
      </c>
      <c r="N385" s="556">
        <v>4</v>
      </c>
      <c r="O385" s="556">
        <v>2</v>
      </c>
      <c r="P385" s="556">
        <v>0</v>
      </c>
      <c r="Q385" s="556">
        <v>1</v>
      </c>
      <c r="R385" s="556">
        <v>-5</v>
      </c>
      <c r="S385" s="556">
        <v>-2</v>
      </c>
      <c r="T385" s="603">
        <v>3</v>
      </c>
      <c r="U385" s="603">
        <v>6</v>
      </c>
      <c r="V385" s="603">
        <v>6</v>
      </c>
      <c r="W385" s="604">
        <v>2</v>
      </c>
      <c r="X385" s="605">
        <f>W385*(1+X386)</f>
        <v>2.1</v>
      </c>
      <c r="Y385" s="605">
        <f>X385*(1+Y386)</f>
        <v>2.205</v>
      </c>
      <c r="Z385" s="605">
        <f>Y385*(1+Z386)</f>
        <v>2.31525</v>
      </c>
      <c r="AA385" s="605">
        <f>Z385*(1+AA386)</f>
        <v>2.4310125</v>
      </c>
      <c r="AB385" s="605">
        <f>AA385*(1+AB386)</f>
        <v>2.552563125</v>
      </c>
      <c r="AC385" s="605"/>
      <c r="AD385" s="606"/>
      <c r="AL385" s="422"/>
      <c r="AM385" s="422"/>
      <c r="AN385" s="562"/>
      <c r="AO385" s="562"/>
    </row>
    <row r="386" s="334" customFormat="1" customHeight="1" spans="1:48">
      <c r="A386" s="334" t="s">
        <v>142</v>
      </c>
      <c r="B386" s="411"/>
      <c r="C386" s="411"/>
      <c r="D386" s="411">
        <f t="shared" ref="D386:O386" si="185">D385/C385-1</f>
        <v>0.166666666666667</v>
      </c>
      <c r="E386" s="411">
        <f t="shared" si="185"/>
        <v>-0.357142857142857</v>
      </c>
      <c r="F386" s="411">
        <f t="shared" si="185"/>
        <v>1</v>
      </c>
      <c r="G386" s="411">
        <f t="shared" si="185"/>
        <v>0.388888888888889</v>
      </c>
      <c r="H386" s="411">
        <f t="shared" si="185"/>
        <v>-0.16</v>
      </c>
      <c r="I386" s="411">
        <f t="shared" si="185"/>
        <v>-0.333333333333333</v>
      </c>
      <c r="J386" s="411">
        <f t="shared" si="185"/>
        <v>-0.214285714285714</v>
      </c>
      <c r="K386" s="411">
        <f t="shared" si="185"/>
        <v>-0.363636363636364</v>
      </c>
      <c r="L386" s="362">
        <f t="shared" si="185"/>
        <v>0.142857142857143</v>
      </c>
      <c r="M386" s="362">
        <f t="shared" si="185"/>
        <v>0.625</v>
      </c>
      <c r="N386" s="362">
        <f t="shared" si="185"/>
        <v>-0.692307692307692</v>
      </c>
      <c r="O386" s="362">
        <f t="shared" si="185"/>
        <v>-0.5</v>
      </c>
      <c r="P386" s="362">
        <v>0.05</v>
      </c>
      <c r="Q386" s="362">
        <v>0.05</v>
      </c>
      <c r="R386" s="362">
        <f>+R385/Q385-1</f>
        <v>-6</v>
      </c>
      <c r="S386" s="362">
        <f>+S385/R385-1</f>
        <v>-0.6</v>
      </c>
      <c r="T386" s="362">
        <f>+T385/S385-1</f>
        <v>-2.5</v>
      </c>
      <c r="U386" s="362">
        <f>+U385/T385-1</f>
        <v>1</v>
      </c>
      <c r="V386" s="362">
        <v>0.05</v>
      </c>
      <c r="W386" s="384">
        <f t="shared" ref="W386:AB386" si="186">V386</f>
        <v>0.05</v>
      </c>
      <c r="X386" s="498">
        <f t="shared" si="186"/>
        <v>0.05</v>
      </c>
      <c r="Y386" s="498">
        <f t="shared" si="186"/>
        <v>0.05</v>
      </c>
      <c r="Z386" s="498">
        <f t="shared" si="186"/>
        <v>0.05</v>
      </c>
      <c r="AA386" s="498">
        <f t="shared" si="186"/>
        <v>0.05</v>
      </c>
      <c r="AB386" s="498">
        <f t="shared" si="186"/>
        <v>0.05</v>
      </c>
      <c r="AC386" s="498"/>
      <c r="AD386" s="362"/>
      <c r="AE386" s="342"/>
      <c r="AF386" s="342"/>
      <c r="AG386" s="342"/>
      <c r="AH386" s="342"/>
      <c r="AI386" s="342"/>
      <c r="AJ386" s="342"/>
      <c r="AK386" s="344"/>
      <c r="AL386" s="422"/>
      <c r="AM386" s="422"/>
      <c r="AN386" s="562"/>
      <c r="AO386" s="562"/>
      <c r="AP386" s="340"/>
      <c r="AQ386" s="340"/>
      <c r="AR386" s="340"/>
    </row>
    <row r="387" customHeight="1" spans="1:48">
      <c r="A387" s="486" t="s">
        <v>170</v>
      </c>
      <c r="B387" s="547"/>
      <c r="C387" s="547">
        <f t="shared" ref="C387:AB387" si="187">C382-C385</f>
        <v>119</v>
      </c>
      <c r="D387" s="547">
        <f t="shared" si="187"/>
        <v>191</v>
      </c>
      <c r="E387" s="547">
        <f t="shared" si="187"/>
        <v>187</v>
      </c>
      <c r="F387" s="547">
        <f t="shared" si="187"/>
        <v>227</v>
      </c>
      <c r="G387" s="547">
        <f t="shared" si="187"/>
        <v>178</v>
      </c>
      <c r="H387" s="547">
        <f t="shared" si="187"/>
        <v>205</v>
      </c>
      <c r="I387" s="547">
        <f t="shared" si="187"/>
        <v>228</v>
      </c>
      <c r="J387" s="547">
        <f t="shared" si="187"/>
        <v>263</v>
      </c>
      <c r="K387" s="547">
        <f t="shared" si="187"/>
        <v>325</v>
      </c>
      <c r="L387" s="548">
        <f t="shared" si="187"/>
        <v>426</v>
      </c>
      <c r="M387" s="548">
        <f t="shared" si="187"/>
        <v>483</v>
      </c>
      <c r="N387" s="548">
        <f t="shared" si="187"/>
        <v>550</v>
      </c>
      <c r="O387" s="548">
        <f t="shared" si="187"/>
        <v>642</v>
      </c>
      <c r="P387" s="548">
        <f t="shared" si="187"/>
        <v>245</v>
      </c>
      <c r="Q387" s="548">
        <f t="shared" si="187"/>
        <v>567</v>
      </c>
      <c r="R387" s="548">
        <f t="shared" si="187"/>
        <v>613</v>
      </c>
      <c r="S387" s="548">
        <f t="shared" si="187"/>
        <v>526</v>
      </c>
      <c r="T387" s="548">
        <f t="shared" si="187"/>
        <v>770</v>
      </c>
      <c r="U387" s="548">
        <f t="shared" si="187"/>
        <v>558</v>
      </c>
      <c r="V387" s="548">
        <f t="shared" si="187"/>
        <v>679</v>
      </c>
      <c r="W387" s="549">
        <f t="shared" si="187"/>
        <v>1017</v>
      </c>
      <c r="X387" s="592">
        <f t="shared" si="187"/>
        <v>1449.85</v>
      </c>
      <c r="Y387" s="592">
        <f t="shared" si="187"/>
        <v>1670.4233660057</v>
      </c>
      <c r="Z387" s="592">
        <f t="shared" si="187"/>
        <v>1955.84508274756</v>
      </c>
      <c r="AA387" s="592">
        <f t="shared" si="187"/>
        <v>2208.3173693063</v>
      </c>
      <c r="AB387" s="592">
        <f t="shared" si="187"/>
        <v>2495.74240528758</v>
      </c>
      <c r="AC387" s="607"/>
      <c r="AD387" s="608"/>
      <c r="AL387" s="422"/>
      <c r="AM387" s="422"/>
      <c r="AN387" s="562"/>
      <c r="AO387" s="562"/>
    </row>
    <row r="388" s="334" customFormat="1" customHeight="1" spans="1:48">
      <c r="A388" s="334" t="s">
        <v>142</v>
      </c>
      <c r="B388" s="411"/>
      <c r="C388" s="411"/>
      <c r="D388" s="411">
        <f>D387/C387-1</f>
        <v>0.605042016806723</v>
      </c>
      <c r="E388" s="411">
        <f>E387/D387-1</f>
        <v>-0.0209424083769634</v>
      </c>
      <c r="F388" s="411">
        <f t="shared" ref="F388:AB388" si="188">F387/E387-1</f>
        <v>0.213903743315508</v>
      </c>
      <c r="G388" s="411">
        <f t="shared" si="188"/>
        <v>-0.215859030837004</v>
      </c>
      <c r="H388" s="411">
        <f t="shared" si="188"/>
        <v>0.151685393258427</v>
      </c>
      <c r="I388" s="411">
        <f t="shared" si="188"/>
        <v>0.11219512195122</v>
      </c>
      <c r="J388" s="411">
        <f t="shared" si="188"/>
        <v>0.153508771929824</v>
      </c>
      <c r="K388" s="411">
        <f t="shared" si="188"/>
        <v>0.23574144486692</v>
      </c>
      <c r="L388" s="362">
        <f t="shared" si="188"/>
        <v>0.310769230769231</v>
      </c>
      <c r="M388" s="362">
        <f t="shared" si="188"/>
        <v>0.133802816901408</v>
      </c>
      <c r="N388" s="362">
        <f t="shared" si="188"/>
        <v>0.138716356107661</v>
      </c>
      <c r="O388" s="362">
        <f t="shared" si="188"/>
        <v>0.167272727272727</v>
      </c>
      <c r="P388" s="362">
        <f t="shared" si="188"/>
        <v>-0.618380062305296</v>
      </c>
      <c r="Q388" s="362">
        <f t="shared" si="188"/>
        <v>1.31428571428571</v>
      </c>
      <c r="R388" s="362">
        <f t="shared" si="188"/>
        <v>0.0811287477954146</v>
      </c>
      <c r="S388" s="362">
        <f t="shared" si="188"/>
        <v>-0.141924959216966</v>
      </c>
      <c r="T388" s="362">
        <f t="shared" si="188"/>
        <v>0.463878326996198</v>
      </c>
      <c r="U388" s="362">
        <f t="shared" si="188"/>
        <v>-0.275324675324675</v>
      </c>
      <c r="V388" s="362">
        <f t="shared" si="188"/>
        <v>0.216845878136201</v>
      </c>
      <c r="W388" s="384">
        <f t="shared" si="188"/>
        <v>0.49779086892489</v>
      </c>
      <c r="X388" s="498">
        <f t="shared" si="188"/>
        <v>0.425614552605703</v>
      </c>
      <c r="Y388" s="498">
        <f t="shared" si="188"/>
        <v>0.15213530089713</v>
      </c>
      <c r="Z388" s="498">
        <f t="shared" si="188"/>
        <v>0.170867890470398</v>
      </c>
      <c r="AA388" s="498">
        <f t="shared" si="188"/>
        <v>0.129086034873511</v>
      </c>
      <c r="AB388" s="498">
        <f t="shared" si="188"/>
        <v>0.130155674169048</v>
      </c>
      <c r="AC388" s="498"/>
      <c r="AD388" s="362"/>
      <c r="AE388" s="342"/>
      <c r="AF388" s="342"/>
      <c r="AG388" s="342"/>
      <c r="AH388" s="342"/>
      <c r="AI388" s="342"/>
      <c r="AJ388" s="342"/>
      <c r="AK388" s="344"/>
      <c r="AL388" s="422"/>
      <c r="AM388" s="422"/>
      <c r="AN388" s="562"/>
      <c r="AO388" s="562"/>
      <c r="AP388" s="340"/>
      <c r="AQ388" s="340"/>
      <c r="AR388" s="340"/>
    </row>
    <row r="389" customHeight="1" spans="1:48">
      <c r="A389" s="340" t="s">
        <v>145</v>
      </c>
      <c r="B389" s="411"/>
      <c r="C389" s="411">
        <f>C387/C$319</f>
        <v>0.0494186046511628</v>
      </c>
      <c r="D389" s="411">
        <f>D387/D$319</f>
        <v>0.0557664233576642</v>
      </c>
      <c r="E389" s="411">
        <f>E387/E$319</f>
        <v>0.0369200394866732</v>
      </c>
      <c r="F389" s="411">
        <f t="shared" ref="F389:AB389" si="189">F387/F$319</f>
        <v>0.0423982069480762</v>
      </c>
      <c r="G389" s="411">
        <f t="shared" si="189"/>
        <v>0.0305055698371894</v>
      </c>
      <c r="H389" s="411">
        <f t="shared" si="189"/>
        <v>0.0335405759162304</v>
      </c>
      <c r="I389" s="411">
        <f t="shared" si="189"/>
        <v>0.0349532423731412</v>
      </c>
      <c r="J389" s="411">
        <f t="shared" si="189"/>
        <v>0.041965852880166</v>
      </c>
      <c r="K389" s="411">
        <f t="shared" si="189"/>
        <v>0.0554607508532423</v>
      </c>
      <c r="L389" s="362">
        <f t="shared" si="189"/>
        <v>0.0641952983725136</v>
      </c>
      <c r="M389" s="362">
        <f t="shared" si="189"/>
        <v>0.0478976596588655</v>
      </c>
      <c r="N389" s="362">
        <f t="shared" si="189"/>
        <v>0.0534032430333042</v>
      </c>
      <c r="O389" s="362">
        <f t="shared" si="189"/>
        <v>0.0594499490693583</v>
      </c>
      <c r="P389" s="362">
        <f t="shared" si="189"/>
        <v>0.0236008091706001</v>
      </c>
      <c r="Q389" s="362">
        <f t="shared" si="189"/>
        <v>0.0472894078398666</v>
      </c>
      <c r="R389" s="362">
        <f t="shared" si="189"/>
        <v>0.0460106582601516</v>
      </c>
      <c r="S389" s="362">
        <f t="shared" si="189"/>
        <v>0.0353423368944433</v>
      </c>
      <c r="T389" s="362">
        <f t="shared" si="189"/>
        <v>0.0542062653995072</v>
      </c>
      <c r="U389" s="362">
        <f t="shared" si="189"/>
        <v>0.0383927342782441</v>
      </c>
      <c r="V389" s="362">
        <f t="shared" si="189"/>
        <v>0.0401418859000887</v>
      </c>
      <c r="W389" s="384">
        <f t="shared" si="189"/>
        <v>0.0527216174183515</v>
      </c>
      <c r="X389" s="498">
        <f t="shared" si="189"/>
        <v>0.0683311339428787</v>
      </c>
      <c r="Y389" s="498">
        <f t="shared" si="189"/>
        <v>0.0742448145350048</v>
      </c>
      <c r="Z389" s="498">
        <f t="shared" si="189"/>
        <v>0.0805890647621054</v>
      </c>
      <c r="AA389" s="498">
        <f t="shared" si="189"/>
        <v>0.0849687727325757</v>
      </c>
      <c r="AB389" s="498">
        <f t="shared" si="189"/>
        <v>0.0896238481294714</v>
      </c>
      <c r="AC389" s="498"/>
      <c r="AD389" s="362"/>
      <c r="AL389" s="422"/>
      <c r="AM389" s="422"/>
      <c r="AN389" s="562"/>
      <c r="AO389" s="562"/>
    </row>
    <row r="390" customHeight="1" spans="1:48">
      <c r="A390" s="483" t="s">
        <v>171</v>
      </c>
      <c r="B390" s="555"/>
      <c r="C390" s="555">
        <f>C391-C387</f>
        <v>42</v>
      </c>
      <c r="D390" s="555">
        <f>D391-D387</f>
        <v>46</v>
      </c>
      <c r="E390" s="555">
        <f>E391-E387</f>
        <v>18</v>
      </c>
      <c r="F390" s="555">
        <f t="shared" ref="F390:O390" si="190">F391-F387</f>
        <v>1</v>
      </c>
      <c r="G390" s="555">
        <f t="shared" si="190"/>
        <v>4</v>
      </c>
      <c r="H390" s="555">
        <f t="shared" si="190"/>
        <v>3</v>
      </c>
      <c r="I390" s="555">
        <f t="shared" si="190"/>
        <v>1</v>
      </c>
      <c r="J390" s="555">
        <f t="shared" si="190"/>
        <v>-3</v>
      </c>
      <c r="K390" s="555">
        <f t="shared" si="190"/>
        <v>-11</v>
      </c>
      <c r="L390" s="556">
        <f t="shared" si="190"/>
        <v>-43</v>
      </c>
      <c r="M390" s="556">
        <f t="shared" si="190"/>
        <v>0</v>
      </c>
      <c r="N390" s="556">
        <f t="shared" si="190"/>
        <v>1</v>
      </c>
      <c r="O390" s="556">
        <f t="shared" si="190"/>
        <v>0</v>
      </c>
      <c r="P390" s="556">
        <v>0</v>
      </c>
      <c r="Q390" s="556">
        <v>0</v>
      </c>
      <c r="R390" s="556">
        <v>0</v>
      </c>
      <c r="S390" s="556">
        <v>0</v>
      </c>
      <c r="T390" s="556">
        <v>17</v>
      </c>
      <c r="U390" s="556">
        <v>-68</v>
      </c>
      <c r="V390" s="556">
        <v>-46</v>
      </c>
      <c r="W390" s="557">
        <v>1</v>
      </c>
      <c r="X390" s="587">
        <v>-200</v>
      </c>
      <c r="Y390" s="587">
        <v>0</v>
      </c>
      <c r="Z390" s="587">
        <v>0</v>
      </c>
      <c r="AA390" s="587">
        <v>0</v>
      </c>
      <c r="AB390" s="587">
        <v>0</v>
      </c>
      <c r="AC390" s="587"/>
      <c r="AD390" s="556"/>
      <c r="AL390" s="422"/>
      <c r="AM390" s="422"/>
      <c r="AN390" s="562"/>
      <c r="AO390" s="562"/>
    </row>
    <row r="391" customHeight="1" spans="1:48">
      <c r="A391" s="486" t="s">
        <v>172</v>
      </c>
      <c r="B391" s="547"/>
      <c r="C391" s="547">
        <v>161</v>
      </c>
      <c r="D391" s="547">
        <v>237</v>
      </c>
      <c r="E391" s="547">
        <v>205</v>
      </c>
      <c r="F391" s="547">
        <v>228</v>
      </c>
      <c r="G391" s="547">
        <v>182</v>
      </c>
      <c r="H391" s="547">
        <v>208</v>
      </c>
      <c r="I391" s="547">
        <v>229</v>
      </c>
      <c r="J391" s="547">
        <v>260</v>
      </c>
      <c r="K391" s="547">
        <v>314</v>
      </c>
      <c r="L391" s="548">
        <v>383</v>
      </c>
      <c r="M391" s="548">
        <v>483</v>
      </c>
      <c r="N391" s="548">
        <v>551</v>
      </c>
      <c r="O391" s="548">
        <v>642</v>
      </c>
      <c r="P391" s="548">
        <f t="shared" ref="P391:AB391" si="191">P387+P390</f>
        <v>245</v>
      </c>
      <c r="Q391" s="548">
        <f t="shared" si="191"/>
        <v>567</v>
      </c>
      <c r="R391" s="548">
        <f t="shared" si="191"/>
        <v>613</v>
      </c>
      <c r="S391" s="548">
        <f t="shared" si="191"/>
        <v>526</v>
      </c>
      <c r="T391" s="597">
        <f t="shared" si="191"/>
        <v>787</v>
      </c>
      <c r="U391" s="597">
        <f t="shared" si="191"/>
        <v>490</v>
      </c>
      <c r="V391" s="597">
        <f t="shared" si="191"/>
        <v>633</v>
      </c>
      <c r="W391" s="549">
        <f t="shared" si="191"/>
        <v>1018</v>
      </c>
      <c r="X391" s="592">
        <f t="shared" si="191"/>
        <v>1249.85</v>
      </c>
      <c r="Y391" s="592">
        <f t="shared" si="191"/>
        <v>1670.4233660057</v>
      </c>
      <c r="Z391" s="592">
        <f t="shared" si="191"/>
        <v>1955.84508274756</v>
      </c>
      <c r="AA391" s="592">
        <f t="shared" si="191"/>
        <v>2208.3173693063</v>
      </c>
      <c r="AB391" s="592">
        <f t="shared" si="191"/>
        <v>2495.74240528758</v>
      </c>
      <c r="AC391" s="592"/>
      <c r="AD391" s="609"/>
      <c r="AL391" s="422"/>
      <c r="AM391" s="422"/>
      <c r="AN391" s="562"/>
      <c r="AO391" s="562"/>
    </row>
    <row r="392" s="334" customFormat="1" customHeight="1" spans="1:48">
      <c r="A392" s="334" t="s">
        <v>142</v>
      </c>
      <c r="B392" s="411"/>
      <c r="C392" s="411"/>
      <c r="D392" s="411">
        <f>D391/C391-1</f>
        <v>0.472049689440994</v>
      </c>
      <c r="E392" s="411">
        <f>E391/D391-1</f>
        <v>-0.135021097046414</v>
      </c>
      <c r="F392" s="411">
        <f>F391/E391-1</f>
        <v>0.11219512195122</v>
      </c>
      <c r="G392" s="411">
        <f>G391/F391-1</f>
        <v>-0.201754385964912</v>
      </c>
      <c r="H392" s="411" t="s">
        <v>173</v>
      </c>
      <c r="I392" s="411">
        <f t="shared" ref="I392:AB392" si="192">I391/H391-1</f>
        <v>0.100961538461539</v>
      </c>
      <c r="J392" s="411">
        <f t="shared" si="192"/>
        <v>0.135371179039301</v>
      </c>
      <c r="K392" s="411">
        <f t="shared" si="192"/>
        <v>0.207692307692308</v>
      </c>
      <c r="L392" s="362">
        <f t="shared" si="192"/>
        <v>0.219745222929936</v>
      </c>
      <c r="M392" s="362">
        <f t="shared" si="192"/>
        <v>0.261096605744125</v>
      </c>
      <c r="N392" s="362">
        <f t="shared" si="192"/>
        <v>0.140786749482402</v>
      </c>
      <c r="O392" s="362">
        <f t="shared" si="192"/>
        <v>0.165154264972777</v>
      </c>
      <c r="P392" s="362">
        <f t="shared" si="192"/>
        <v>-0.618380062305296</v>
      </c>
      <c r="Q392" s="362">
        <f t="shared" si="192"/>
        <v>1.31428571428571</v>
      </c>
      <c r="R392" s="362">
        <f t="shared" si="192"/>
        <v>0.0811287477954146</v>
      </c>
      <c r="S392" s="362">
        <f t="shared" si="192"/>
        <v>-0.141924959216966</v>
      </c>
      <c r="T392" s="362">
        <f t="shared" si="192"/>
        <v>0.496197718631179</v>
      </c>
      <c r="U392" s="362">
        <f t="shared" si="192"/>
        <v>-0.377382465057179</v>
      </c>
      <c r="V392" s="362">
        <f t="shared" si="192"/>
        <v>0.291836734693877</v>
      </c>
      <c r="W392" s="384">
        <f t="shared" si="192"/>
        <v>0.608214849921011</v>
      </c>
      <c r="X392" s="498">
        <f t="shared" si="192"/>
        <v>0.227750491159136</v>
      </c>
      <c r="Y392" s="498">
        <f t="shared" si="192"/>
        <v>0.336499072693287</v>
      </c>
      <c r="Z392" s="498">
        <f t="shared" si="192"/>
        <v>0.170867890470398</v>
      </c>
      <c r="AA392" s="498">
        <f t="shared" si="192"/>
        <v>0.129086034873511</v>
      </c>
      <c r="AB392" s="498">
        <f t="shared" si="192"/>
        <v>0.130155674169048</v>
      </c>
      <c r="AC392" s="498"/>
      <c r="AD392" s="362"/>
      <c r="AE392" s="342"/>
      <c r="AF392" s="342"/>
      <c r="AG392" s="342"/>
      <c r="AH392" s="342"/>
      <c r="AI392" s="342"/>
      <c r="AJ392" s="342"/>
      <c r="AK392" s="344"/>
      <c r="AL392" s="422"/>
      <c r="AM392" s="422"/>
      <c r="AN392" s="562"/>
      <c r="AO392" s="562"/>
      <c r="AP392" s="340"/>
      <c r="AQ392" s="340"/>
      <c r="AR392" s="340"/>
      <c r="AS392" s="610"/>
      <c r="AT392" s="610"/>
      <c r="AU392" s="611"/>
      <c r="AV392" s="611"/>
    </row>
    <row r="393" customHeight="1" spans="1:48">
      <c r="A393" s="340" t="s">
        <v>145</v>
      </c>
      <c r="B393" s="411"/>
      <c r="C393" s="411">
        <f t="shared" ref="C393:AB393" si="193">C391/C$319</f>
        <v>0.0668604651162791</v>
      </c>
      <c r="D393" s="411">
        <f t="shared" si="193"/>
        <v>0.0691970802919708</v>
      </c>
      <c r="E393" s="411">
        <f t="shared" si="193"/>
        <v>0.0404738400789733</v>
      </c>
      <c r="F393" s="411">
        <f t="shared" si="193"/>
        <v>0.0425849831901382</v>
      </c>
      <c r="G393" s="411">
        <f t="shared" si="193"/>
        <v>0.031191088260497</v>
      </c>
      <c r="H393" s="411">
        <f t="shared" si="193"/>
        <v>0.0340314136125654</v>
      </c>
      <c r="I393" s="411">
        <f t="shared" si="193"/>
        <v>0.0351065460677602</v>
      </c>
      <c r="J393" s="411">
        <f t="shared" si="193"/>
        <v>0.0414871549385671</v>
      </c>
      <c r="K393" s="411">
        <f t="shared" si="193"/>
        <v>0.0535836177474403</v>
      </c>
      <c r="L393" s="362">
        <f t="shared" si="193"/>
        <v>0.0577154912597951</v>
      </c>
      <c r="M393" s="362">
        <f t="shared" si="193"/>
        <v>0.0478976596588655</v>
      </c>
      <c r="N393" s="362">
        <f t="shared" si="193"/>
        <v>0.0535003398388193</v>
      </c>
      <c r="O393" s="362">
        <f t="shared" si="193"/>
        <v>0.0594499490693583</v>
      </c>
      <c r="P393" s="362">
        <f t="shared" si="193"/>
        <v>0.0236008091706001</v>
      </c>
      <c r="Q393" s="362">
        <f t="shared" si="193"/>
        <v>0.0472894078398666</v>
      </c>
      <c r="R393" s="362">
        <f t="shared" si="193"/>
        <v>0.0460106582601516</v>
      </c>
      <c r="S393" s="362">
        <f t="shared" si="193"/>
        <v>0.0353423368944433</v>
      </c>
      <c r="T393" s="362">
        <f t="shared" si="193"/>
        <v>0.0554030271031327</v>
      </c>
      <c r="U393" s="362">
        <f t="shared" si="193"/>
        <v>0.0337140498142287</v>
      </c>
      <c r="V393" s="362">
        <f t="shared" si="193"/>
        <v>0.037422406148389</v>
      </c>
      <c r="W393" s="384">
        <f t="shared" si="193"/>
        <v>0.0527734577501296</v>
      </c>
      <c r="X393" s="498">
        <f t="shared" si="193"/>
        <v>0.0589051748515411</v>
      </c>
      <c r="Y393" s="498">
        <f t="shared" si="193"/>
        <v>0.0742448145350048</v>
      </c>
      <c r="Z393" s="498">
        <f t="shared" si="193"/>
        <v>0.0805890647621054</v>
      </c>
      <c r="AA393" s="498">
        <f t="shared" si="193"/>
        <v>0.0849687727325757</v>
      </c>
      <c r="AB393" s="498">
        <f t="shared" si="193"/>
        <v>0.0896238481294714</v>
      </c>
      <c r="AC393" s="498"/>
      <c r="AD393" s="362"/>
      <c r="AL393" s="422"/>
      <c r="AM393" s="422"/>
      <c r="AN393" s="562"/>
      <c r="AO393" s="562"/>
      <c r="AS393" s="333"/>
      <c r="AT393" s="333"/>
      <c r="AU393" s="333"/>
      <c r="AV393" s="333"/>
    </row>
    <row r="394" customHeight="1" spans="1:48">
      <c r="A394" s="486" t="s">
        <v>174</v>
      </c>
      <c r="B394" s="547"/>
      <c r="C394" s="547">
        <f t="shared" ref="C394:S394" si="194">C366-C373-C379</f>
        <v>131</v>
      </c>
      <c r="D394" s="547">
        <f t="shared" si="194"/>
        <v>205</v>
      </c>
      <c r="E394" s="547">
        <f t="shared" si="194"/>
        <v>196</v>
      </c>
      <c r="F394" s="547">
        <f t="shared" si="194"/>
        <v>245</v>
      </c>
      <c r="G394" s="547">
        <f t="shared" si="194"/>
        <v>203</v>
      </c>
      <c r="H394" s="547">
        <f t="shared" si="194"/>
        <v>226</v>
      </c>
      <c r="I394" s="547">
        <f t="shared" si="194"/>
        <v>242</v>
      </c>
      <c r="J394" s="547">
        <f t="shared" si="194"/>
        <v>274</v>
      </c>
      <c r="K394" s="547">
        <f t="shared" si="194"/>
        <v>332</v>
      </c>
      <c r="L394" s="548">
        <f t="shared" si="194"/>
        <v>434</v>
      </c>
      <c r="M394" s="548">
        <f t="shared" si="194"/>
        <v>496</v>
      </c>
      <c r="N394" s="548">
        <f t="shared" si="194"/>
        <v>554</v>
      </c>
      <c r="O394" s="548">
        <f t="shared" si="194"/>
        <v>644</v>
      </c>
      <c r="P394" s="548">
        <f t="shared" si="194"/>
        <v>245</v>
      </c>
      <c r="Q394" s="548">
        <f t="shared" si="194"/>
        <v>568</v>
      </c>
      <c r="R394" s="548">
        <f t="shared" si="194"/>
        <v>608</v>
      </c>
      <c r="S394" s="548">
        <f t="shared" si="194"/>
        <v>789</v>
      </c>
      <c r="T394" s="597">
        <f>T366-T373-T379-T385</f>
        <v>822</v>
      </c>
      <c r="U394" s="597">
        <f>U366-U373-U379-U385</f>
        <v>636</v>
      </c>
      <c r="V394" s="597">
        <f>V366-V373-V379-V385+V390</f>
        <v>667</v>
      </c>
      <c r="W394" s="549">
        <f>W366-W373-W379-W385+W390</f>
        <v>1018</v>
      </c>
      <c r="X394" s="592">
        <f>X366-X373-X379-X385</f>
        <v>1449.85</v>
      </c>
      <c r="Y394" s="592">
        <f>Y366-Y373-Y379-Y385</f>
        <v>1670.4233660057</v>
      </c>
      <c r="Z394" s="592">
        <f>Z366-Z373-Z379-Z385</f>
        <v>1955.84508274756</v>
      </c>
      <c r="AA394" s="592">
        <f>AA366-AA373-AA379-AA385</f>
        <v>2208.3173693063</v>
      </c>
      <c r="AB394" s="592">
        <f>AB366-AB373-AB379-AB385</f>
        <v>2495.74240528758</v>
      </c>
      <c r="AC394" s="592"/>
      <c r="AD394" s="612"/>
      <c r="AL394" s="422"/>
      <c r="AM394" s="422"/>
      <c r="AN394" s="562"/>
      <c r="AO394" s="562"/>
    </row>
    <row r="395" customHeight="1" spans="1:48">
      <c r="A395" s="334" t="s">
        <v>142</v>
      </c>
      <c r="B395" s="411"/>
      <c r="C395" s="411"/>
      <c r="D395" s="411">
        <f>D394/C394-1</f>
        <v>0.564885496183206</v>
      </c>
      <c r="E395" s="411">
        <f>E394/D394-1</f>
        <v>-0.0439024390243903</v>
      </c>
      <c r="F395" s="411">
        <f>F394/E394-1</f>
        <v>0.25</v>
      </c>
      <c r="G395" s="411">
        <f>G394/F394-1</f>
        <v>-0.171428571428571</v>
      </c>
      <c r="H395" s="411" t="s">
        <v>173</v>
      </c>
      <c r="I395" s="411">
        <f t="shared" ref="I395:AB395" si="195">I394/H394-1</f>
        <v>0.0707964601769913</v>
      </c>
      <c r="J395" s="411">
        <f t="shared" si="195"/>
        <v>0.132231404958678</v>
      </c>
      <c r="K395" s="411">
        <f t="shared" si="195"/>
        <v>0.211678832116788</v>
      </c>
      <c r="L395" s="362">
        <f t="shared" si="195"/>
        <v>0.307228915662651</v>
      </c>
      <c r="M395" s="362">
        <f t="shared" si="195"/>
        <v>0.142857142857143</v>
      </c>
      <c r="N395" s="362">
        <f t="shared" si="195"/>
        <v>0.116935483870968</v>
      </c>
      <c r="O395" s="362">
        <f t="shared" si="195"/>
        <v>0.162454873646209</v>
      </c>
      <c r="P395" s="362">
        <f t="shared" si="195"/>
        <v>-0.619565217391304</v>
      </c>
      <c r="Q395" s="362">
        <f t="shared" si="195"/>
        <v>1.31836734693878</v>
      </c>
      <c r="R395" s="362">
        <f t="shared" si="195"/>
        <v>0.0704225352112675</v>
      </c>
      <c r="S395" s="362">
        <f t="shared" si="195"/>
        <v>0.297697368421053</v>
      </c>
      <c r="T395" s="362">
        <f t="shared" si="195"/>
        <v>0.0418250950570342</v>
      </c>
      <c r="U395" s="362">
        <f t="shared" si="195"/>
        <v>-0.226277372262774</v>
      </c>
      <c r="V395" s="362">
        <f t="shared" si="195"/>
        <v>0.0487421383647799</v>
      </c>
      <c r="W395" s="384">
        <f t="shared" si="195"/>
        <v>0.52623688155922</v>
      </c>
      <c r="X395" s="498">
        <f t="shared" si="195"/>
        <v>0.424214145383104</v>
      </c>
      <c r="Y395" s="498">
        <f t="shared" si="195"/>
        <v>0.15213530089713</v>
      </c>
      <c r="Z395" s="498">
        <f t="shared" si="195"/>
        <v>0.170867890470398</v>
      </c>
      <c r="AA395" s="498">
        <f t="shared" si="195"/>
        <v>0.129086034873511</v>
      </c>
      <c r="AB395" s="498">
        <f t="shared" si="195"/>
        <v>0.130155674169048</v>
      </c>
      <c r="AC395" s="498"/>
      <c r="AD395" s="609"/>
      <c r="AL395" s="422"/>
      <c r="AM395" s="422"/>
      <c r="AN395" s="562"/>
      <c r="AO395" s="562"/>
    </row>
    <row r="396" customHeight="1" spans="1:48">
      <c r="A396" s="340" t="s">
        <v>145</v>
      </c>
      <c r="B396" s="411"/>
      <c r="C396" s="411">
        <f t="shared" ref="C396:U396" si="196">C394/C$319</f>
        <v>0.0544019933554817</v>
      </c>
      <c r="D396" s="411">
        <f t="shared" si="196"/>
        <v>0.0598540145985401</v>
      </c>
      <c r="E396" s="411">
        <f t="shared" si="196"/>
        <v>0.0386969397828233</v>
      </c>
      <c r="F396" s="411">
        <f t="shared" si="196"/>
        <v>0.0457601793051924</v>
      </c>
      <c r="G396" s="411">
        <f t="shared" si="196"/>
        <v>0.034790059982862</v>
      </c>
      <c r="H396" s="411">
        <f t="shared" si="196"/>
        <v>0.0369764397905759</v>
      </c>
      <c r="I396" s="411">
        <f t="shared" si="196"/>
        <v>0.0370994940978078</v>
      </c>
      <c r="J396" s="411">
        <f t="shared" si="196"/>
        <v>0.0437210786660284</v>
      </c>
      <c r="K396" s="411">
        <f t="shared" si="196"/>
        <v>0.0566552901023891</v>
      </c>
      <c r="L396" s="362">
        <f t="shared" si="196"/>
        <v>0.0654008438818565</v>
      </c>
      <c r="M396" s="362">
        <f t="shared" si="196"/>
        <v>0.0491868306227687</v>
      </c>
      <c r="N396" s="362">
        <f t="shared" si="196"/>
        <v>0.0537916302553646</v>
      </c>
      <c r="O396" s="362">
        <f t="shared" si="196"/>
        <v>0.0596351514029077</v>
      </c>
      <c r="P396" s="362">
        <f t="shared" si="196"/>
        <v>0.0236008091706001</v>
      </c>
      <c r="Q396" s="362">
        <f t="shared" si="196"/>
        <v>0.047372810675563</v>
      </c>
      <c r="R396" s="362">
        <f t="shared" si="196"/>
        <v>0.0456353674097425</v>
      </c>
      <c r="S396" s="362">
        <f t="shared" si="196"/>
        <v>0.053013505341665</v>
      </c>
      <c r="T396" s="362">
        <f t="shared" si="196"/>
        <v>0.0578669482576558</v>
      </c>
      <c r="U396" s="362">
        <f t="shared" si="196"/>
        <v>0.043759460575203</v>
      </c>
      <c r="V396" s="362">
        <f t="shared" ref="V396:AB396" si="197">V394/V$319</f>
        <v>0.0394324563996453</v>
      </c>
      <c r="W396" s="384">
        <f t="shared" si="197"/>
        <v>0.0527734577501296</v>
      </c>
      <c r="X396" s="498">
        <f t="shared" si="197"/>
        <v>0.0683311339428787</v>
      </c>
      <c r="Y396" s="498">
        <f t="shared" si="197"/>
        <v>0.0742448145350048</v>
      </c>
      <c r="Z396" s="498">
        <f t="shared" si="197"/>
        <v>0.0805890647621054</v>
      </c>
      <c r="AA396" s="498">
        <f t="shared" si="197"/>
        <v>0.0849687727325757</v>
      </c>
      <c r="AB396" s="498">
        <f t="shared" si="197"/>
        <v>0.0896238481294714</v>
      </c>
      <c r="AC396" s="498"/>
      <c r="AD396" s="613"/>
      <c r="AL396" s="422"/>
      <c r="AM396" s="422"/>
      <c r="AN396" s="562"/>
      <c r="AO396" s="562"/>
    </row>
    <row r="397" s="336" customFormat="1" customHeight="1" spans="1:48">
      <c r="A397" s="614" t="s">
        <v>175</v>
      </c>
      <c r="B397" s="615"/>
      <c r="C397" s="615">
        <f>3.54/4</f>
        <v>0.885</v>
      </c>
      <c r="D397" s="615">
        <f>5.22/4</f>
        <v>1.305</v>
      </c>
      <c r="E397" s="615">
        <f>4.52/4</f>
        <v>1.13</v>
      </c>
      <c r="F397" s="615">
        <v>1.26</v>
      </c>
      <c r="G397" s="615">
        <v>1</v>
      </c>
      <c r="H397" s="615">
        <v>1.15</v>
      </c>
      <c r="I397" s="615">
        <v>1.26</v>
      </c>
      <c r="J397" s="615">
        <v>1.43</v>
      </c>
      <c r="K397" s="615">
        <v>1.64</v>
      </c>
      <c r="L397" s="616">
        <v>1.93</v>
      </c>
      <c r="M397" s="616">
        <v>2.25</v>
      </c>
      <c r="N397" s="616">
        <v>2.57</v>
      </c>
      <c r="O397" s="616">
        <v>3.07</v>
      </c>
      <c r="P397" s="616">
        <v>1.22</v>
      </c>
      <c r="Q397" s="616">
        <f t="shared" ref="Q397:AB397" si="198">(Q391/Q406)</f>
        <v>2.71011536363635</v>
      </c>
      <c r="R397" s="616">
        <f t="shared" si="198"/>
        <v>2.92998362946928</v>
      </c>
      <c r="S397" s="616">
        <f t="shared" si="198"/>
        <v>2.51414582235048</v>
      </c>
      <c r="T397" s="616">
        <f t="shared" si="198"/>
        <v>3.76165924370689</v>
      </c>
      <c r="U397" s="616">
        <f t="shared" si="198"/>
        <v>2.34700792915554</v>
      </c>
      <c r="V397" s="616">
        <f t="shared" si="198"/>
        <v>3.14087154213488</v>
      </c>
      <c r="W397" s="617">
        <f t="shared" si="198"/>
        <v>4.93822589859073</v>
      </c>
      <c r="X397" s="618">
        <f t="shared" si="198"/>
        <v>6.11957618073033</v>
      </c>
      <c r="Y397" s="618">
        <f t="shared" si="198"/>
        <v>8.17632582479542</v>
      </c>
      <c r="Z397" s="618">
        <f t="shared" si="198"/>
        <v>9.57339737027685</v>
      </c>
      <c r="AA397" s="618">
        <f t="shared" si="198"/>
        <v>10.8091892770744</v>
      </c>
      <c r="AB397" s="618">
        <f t="shared" si="198"/>
        <v>12.2160665946528</v>
      </c>
      <c r="AC397" s="618"/>
      <c r="AE397" s="342"/>
      <c r="AF397" s="342"/>
      <c r="AG397" s="342"/>
      <c r="AH397" s="342"/>
      <c r="AI397" s="342"/>
      <c r="AJ397" s="342"/>
      <c r="AK397" s="344"/>
      <c r="AL397" s="422"/>
      <c r="AM397" s="422"/>
      <c r="AN397" s="562"/>
      <c r="AO397" s="562"/>
      <c r="AP397" s="340"/>
      <c r="AQ397" s="340"/>
      <c r="AR397" s="340"/>
      <c r="AS397" s="340"/>
    </row>
    <row r="398" s="334" customFormat="1" customHeight="1" spans="1:48">
      <c r="A398" s="334" t="s">
        <v>142</v>
      </c>
      <c r="B398" s="411"/>
      <c r="C398" s="411"/>
      <c r="D398" s="411">
        <f>D397/C397-1</f>
        <v>0.474576271186441</v>
      </c>
      <c r="E398" s="411">
        <f>E397/D397-1</f>
        <v>-0.134099616858238</v>
      </c>
      <c r="F398" s="411">
        <f t="shared" ref="F398:K398" si="199">F397/E397-1</f>
        <v>0.115044247787611</v>
      </c>
      <c r="G398" s="411">
        <f t="shared" si="199"/>
        <v>-0.206349206349206</v>
      </c>
      <c r="H398" s="411">
        <f t="shared" si="199"/>
        <v>0.15</v>
      </c>
      <c r="I398" s="411">
        <f t="shared" si="199"/>
        <v>0.0956521739130436</v>
      </c>
      <c r="J398" s="411">
        <f t="shared" si="199"/>
        <v>0.134920634920635</v>
      </c>
      <c r="K398" s="411">
        <f t="shared" si="199"/>
        <v>0.146853146853147</v>
      </c>
      <c r="L398" s="362">
        <v>-0.142857142857143</v>
      </c>
      <c r="M398" s="362">
        <f t="shared" ref="M398:T398" si="200">M397/L397-1</f>
        <v>0.16580310880829</v>
      </c>
      <c r="N398" s="362">
        <f t="shared" si="200"/>
        <v>0.142222222222222</v>
      </c>
      <c r="O398" s="362">
        <f t="shared" si="200"/>
        <v>0.194552529182879</v>
      </c>
      <c r="P398" s="362">
        <f t="shared" si="200"/>
        <v>-0.602605863192182</v>
      </c>
      <c r="Q398" s="362">
        <f t="shared" si="200"/>
        <v>1.2214060357675</v>
      </c>
      <c r="R398" s="362">
        <f t="shared" si="200"/>
        <v>0.0811287477954143</v>
      </c>
      <c r="S398" s="362">
        <f t="shared" si="200"/>
        <v>-0.141924959216966</v>
      </c>
      <c r="T398" s="362">
        <f t="shared" si="200"/>
        <v>0.496197718631179</v>
      </c>
      <c r="U398" s="362">
        <f t="shared" ref="U398:AB398" si="201">U397/T397-1</f>
        <v>-0.376071095997866</v>
      </c>
      <c r="V398" s="362">
        <f t="shared" si="201"/>
        <v>0.338244964202136</v>
      </c>
      <c r="W398" s="384">
        <f t="shared" si="201"/>
        <v>0.572247012443612</v>
      </c>
      <c r="X398" s="498">
        <f t="shared" si="201"/>
        <v>0.239225646294701</v>
      </c>
      <c r="Y398" s="498">
        <f t="shared" si="201"/>
        <v>0.336093478261045</v>
      </c>
      <c r="Z398" s="498">
        <f t="shared" si="201"/>
        <v>0.170867890470398</v>
      </c>
      <c r="AA398" s="498">
        <f t="shared" si="201"/>
        <v>0.129086034873511</v>
      </c>
      <c r="AB398" s="498">
        <f t="shared" si="201"/>
        <v>0.130155674169048</v>
      </c>
      <c r="AC398" s="498"/>
      <c r="AE398" s="342"/>
      <c r="AF398" s="342"/>
      <c r="AG398" s="342"/>
      <c r="AH398" s="342"/>
      <c r="AI398" s="342"/>
      <c r="AJ398" s="342"/>
      <c r="AK398" s="344"/>
      <c r="AL398" s="422"/>
      <c r="AM398" s="422"/>
      <c r="AN398" s="562"/>
      <c r="AO398" s="559"/>
      <c r="AP398" s="619"/>
      <c r="AQ398" s="619"/>
      <c r="AR398" s="619"/>
      <c r="AS398" s="340"/>
      <c r="AT398" s="620"/>
      <c r="AU398" s="620"/>
      <c r="AV398" s="620"/>
    </row>
    <row r="399" s="334" customFormat="1" customHeight="1" spans="1:48">
      <c r="A399" s="614" t="s">
        <v>176</v>
      </c>
      <c r="B399" s="615"/>
      <c r="C399" s="615">
        <f>3.54/4</f>
        <v>0.885</v>
      </c>
      <c r="D399" s="615">
        <f>5.22/4</f>
        <v>1.305</v>
      </c>
      <c r="E399" s="615">
        <f>4.52/4</f>
        <v>1.13</v>
      </c>
      <c r="F399" s="615">
        <v>1.26</v>
      </c>
      <c r="G399" s="615">
        <v>1</v>
      </c>
      <c r="H399" s="615">
        <v>1.15</v>
      </c>
      <c r="I399" s="615">
        <v>1.26</v>
      </c>
      <c r="J399" s="615">
        <v>1.43</v>
      </c>
      <c r="K399" s="615">
        <v>1.72</v>
      </c>
      <c r="L399" s="616">
        <v>2.05</v>
      </c>
      <c r="M399" s="616">
        <v>2.37</v>
      </c>
      <c r="N399" s="616">
        <v>2.71</v>
      </c>
      <c r="O399" s="616">
        <v>3.25</v>
      </c>
      <c r="P399" s="616">
        <v>1.25</v>
      </c>
      <c r="Q399" s="616">
        <f t="shared" ref="Q399:AB399" si="202">Q391/Q408</f>
        <v>2.71011536363635</v>
      </c>
      <c r="R399" s="616">
        <f t="shared" si="202"/>
        <v>2.92998362946928</v>
      </c>
      <c r="S399" s="616">
        <f t="shared" si="202"/>
        <v>2.51414582235048</v>
      </c>
      <c r="T399" s="616">
        <f t="shared" si="202"/>
        <v>3.76165924370689</v>
      </c>
      <c r="U399" s="616">
        <f t="shared" si="202"/>
        <v>2.34700792915554</v>
      </c>
      <c r="V399" s="616">
        <f t="shared" si="202"/>
        <v>3.14087154213488</v>
      </c>
      <c r="W399" s="617">
        <f t="shared" si="202"/>
        <v>5.08521288229686</v>
      </c>
      <c r="X399" s="618">
        <f t="shared" si="202"/>
        <v>6.15011324947509</v>
      </c>
      <c r="Y399" s="618">
        <f t="shared" si="202"/>
        <v>8.21962065488215</v>
      </c>
      <c r="Z399" s="618">
        <f t="shared" si="202"/>
        <v>9.62408989664877</v>
      </c>
      <c r="AA399" s="618">
        <f t="shared" si="202"/>
        <v>10.8664255006734</v>
      </c>
      <c r="AB399" s="618">
        <f t="shared" si="202"/>
        <v>12.2807524375213</v>
      </c>
      <c r="AC399" s="618"/>
      <c r="AD399" s="616"/>
      <c r="AE399" s="342"/>
      <c r="AF399" s="342"/>
      <c r="AG399" s="342"/>
      <c r="AH399" s="342"/>
      <c r="AI399" s="342"/>
      <c r="AJ399" s="342"/>
      <c r="AK399" s="344"/>
      <c r="AL399" s="422"/>
      <c r="AM399" s="422"/>
      <c r="AN399" s="562"/>
      <c r="AO399" s="336"/>
      <c r="AS399" s="340"/>
      <c r="AT399" s="336"/>
      <c r="AU399" s="336"/>
      <c r="AV399" s="336"/>
    </row>
    <row r="400" s="334" customFormat="1" customHeight="1" spans="1:48">
      <c r="A400" s="334" t="s">
        <v>142</v>
      </c>
      <c r="B400" s="411"/>
      <c r="C400" s="411"/>
      <c r="D400" s="411">
        <f>D399/C399-1</f>
        <v>0.474576271186441</v>
      </c>
      <c r="E400" s="411">
        <f>E399/D399-1</f>
        <v>-0.134099616858238</v>
      </c>
      <c r="F400" s="411">
        <f>F399/E399-1</f>
        <v>0.115044247787611</v>
      </c>
      <c r="G400" s="411">
        <f>G399/F399-1</f>
        <v>-0.206349206349206</v>
      </c>
      <c r="H400" s="411">
        <f>H399/G399-1</f>
        <v>0.15</v>
      </c>
      <c r="I400" s="411">
        <f t="shared" ref="I400:AB400" si="203">I399/H399-1</f>
        <v>0.0956521739130436</v>
      </c>
      <c r="J400" s="411">
        <f t="shared" si="203"/>
        <v>0.134920634920635</v>
      </c>
      <c r="K400" s="411">
        <f t="shared" si="203"/>
        <v>0.202797202797203</v>
      </c>
      <c r="L400" s="362">
        <f t="shared" si="203"/>
        <v>0.191860465116279</v>
      </c>
      <c r="M400" s="362">
        <f t="shared" si="203"/>
        <v>0.15609756097561</v>
      </c>
      <c r="N400" s="362">
        <f t="shared" si="203"/>
        <v>0.143459915611814</v>
      </c>
      <c r="O400" s="362">
        <f t="shared" si="203"/>
        <v>0.199261992619926</v>
      </c>
      <c r="P400" s="362">
        <f t="shared" si="203"/>
        <v>-0.615384615384615</v>
      </c>
      <c r="Q400" s="362">
        <f t="shared" si="203"/>
        <v>1.16809229090908</v>
      </c>
      <c r="R400" s="362">
        <f t="shared" si="203"/>
        <v>0.0811287477954143</v>
      </c>
      <c r="S400" s="362">
        <f t="shared" si="203"/>
        <v>-0.141924959216966</v>
      </c>
      <c r="T400" s="362">
        <f t="shared" si="203"/>
        <v>0.496197718631179</v>
      </c>
      <c r="U400" s="362">
        <f t="shared" si="203"/>
        <v>-0.376071095997866</v>
      </c>
      <c r="V400" s="362">
        <f t="shared" si="203"/>
        <v>0.338244964202136</v>
      </c>
      <c r="W400" s="384">
        <f t="shared" si="203"/>
        <v>0.619045164400577</v>
      </c>
      <c r="X400" s="498">
        <f t="shared" si="203"/>
        <v>0.209411167600369</v>
      </c>
      <c r="Y400" s="498">
        <f t="shared" si="203"/>
        <v>0.336499072693287</v>
      </c>
      <c r="Z400" s="498">
        <f t="shared" si="203"/>
        <v>0.170867890470398</v>
      </c>
      <c r="AA400" s="498">
        <f t="shared" si="203"/>
        <v>0.129086034873511</v>
      </c>
      <c r="AB400" s="498">
        <f t="shared" si="203"/>
        <v>0.130155674169048</v>
      </c>
      <c r="AC400" s="498"/>
      <c r="AD400" s="362"/>
      <c r="AE400" s="342"/>
      <c r="AF400" s="342"/>
      <c r="AG400" s="342"/>
      <c r="AH400" s="342"/>
      <c r="AI400" s="342"/>
      <c r="AJ400" s="342"/>
      <c r="AK400" s="344"/>
      <c r="AL400" s="422"/>
      <c r="AM400" s="422"/>
      <c r="AN400" s="562"/>
      <c r="AO400" s="559"/>
      <c r="AT400" s="559"/>
      <c r="AU400" s="559"/>
      <c r="AV400" s="559"/>
    </row>
    <row r="401" s="334" customFormat="1" customHeight="1" spans="1:48">
      <c r="A401" s="614" t="s">
        <v>177</v>
      </c>
      <c r="B401" s="615"/>
      <c r="C401" s="615">
        <f t="shared" ref="C401:R401" si="204">C391/C406</f>
        <v>0.885</v>
      </c>
      <c r="D401" s="615">
        <f t="shared" si="204"/>
        <v>1.305</v>
      </c>
      <c r="E401" s="615">
        <f t="shared" si="204"/>
        <v>1.13</v>
      </c>
      <c r="F401" s="615">
        <f t="shared" si="204"/>
        <v>1.26</v>
      </c>
      <c r="G401" s="615">
        <f t="shared" si="204"/>
        <v>1</v>
      </c>
      <c r="H401" s="615">
        <f t="shared" si="204"/>
        <v>1.15</v>
      </c>
      <c r="I401" s="615">
        <f t="shared" si="204"/>
        <v>1.26</v>
      </c>
      <c r="J401" s="615">
        <f t="shared" si="204"/>
        <v>1.43</v>
      </c>
      <c r="K401" s="615">
        <f t="shared" si="204"/>
        <v>1.64</v>
      </c>
      <c r="L401" s="616">
        <f t="shared" si="204"/>
        <v>1.93</v>
      </c>
      <c r="M401" s="616">
        <f t="shared" si="204"/>
        <v>2.25</v>
      </c>
      <c r="N401" s="616">
        <f t="shared" si="204"/>
        <v>2.57</v>
      </c>
      <c r="O401" s="616">
        <f t="shared" si="204"/>
        <v>3.07</v>
      </c>
      <c r="P401" s="616">
        <f t="shared" si="204"/>
        <v>1.17091541689368</v>
      </c>
      <c r="Q401" s="616">
        <f t="shared" si="204"/>
        <v>2.71011536363635</v>
      </c>
      <c r="R401" s="616">
        <f t="shared" si="204"/>
        <v>2.92998362946928</v>
      </c>
      <c r="S401" s="616">
        <f>S394/S406</f>
        <v>3.77121873352571</v>
      </c>
      <c r="T401" s="616">
        <f>T394/T406</f>
        <v>3.92895031553629</v>
      </c>
      <c r="U401" s="616">
        <f>U394/U406</f>
        <v>3.04632049580188</v>
      </c>
      <c r="V401" s="616">
        <f>V387/V406</f>
        <v>3.36911813129476</v>
      </c>
      <c r="W401" s="617">
        <f>W394/W406</f>
        <v>4.93822589859073</v>
      </c>
      <c r="X401" s="618">
        <f>X387/X406</f>
        <v>7.09882587961104</v>
      </c>
      <c r="Y401" s="618">
        <f>Y387/Y406</f>
        <v>8.17632582479542</v>
      </c>
      <c r="Z401" s="618">
        <f>Z387/Z406</f>
        <v>9.57339737027685</v>
      </c>
      <c r="AA401" s="618">
        <f>AA387/AA406</f>
        <v>10.8091892770744</v>
      </c>
      <c r="AB401" s="618">
        <f>AB387/AB406</f>
        <v>12.2160665946528</v>
      </c>
      <c r="AC401" s="618"/>
      <c r="AD401" s="616"/>
      <c r="AE401" s="342"/>
      <c r="AF401" s="342"/>
      <c r="AG401" s="342"/>
      <c r="AH401" s="342"/>
      <c r="AI401" s="342"/>
      <c r="AJ401" s="342"/>
      <c r="AK401" s="344"/>
      <c r="AL401" s="422"/>
      <c r="AM401" s="422"/>
      <c r="AN401" s="562"/>
      <c r="AO401" s="559"/>
      <c r="AT401" s="559"/>
      <c r="AU401" s="559"/>
      <c r="AV401" s="559"/>
    </row>
    <row r="402" s="334" customFormat="1" customHeight="1" spans="1:48">
      <c r="A402" s="334" t="s">
        <v>142</v>
      </c>
      <c r="B402" s="411"/>
      <c r="C402" s="411" t="e">
        <f t="shared" ref="C402:AB402" si="205">C401/B401-1</f>
        <v>#DIV/0!</v>
      </c>
      <c r="D402" s="411">
        <f t="shared" si="205"/>
        <v>0.474576271186441</v>
      </c>
      <c r="E402" s="411">
        <f t="shared" si="205"/>
        <v>-0.134099616858238</v>
      </c>
      <c r="F402" s="411">
        <f t="shared" si="205"/>
        <v>0.115044247787611</v>
      </c>
      <c r="G402" s="411">
        <f t="shared" si="205"/>
        <v>-0.206349206349206</v>
      </c>
      <c r="H402" s="411">
        <f t="shared" si="205"/>
        <v>0.15</v>
      </c>
      <c r="I402" s="411">
        <f t="shared" si="205"/>
        <v>0.0956521739130436</v>
      </c>
      <c r="J402" s="411">
        <f t="shared" si="205"/>
        <v>0.134920634920635</v>
      </c>
      <c r="K402" s="411">
        <f t="shared" si="205"/>
        <v>0.146853146853147</v>
      </c>
      <c r="L402" s="362">
        <f t="shared" si="205"/>
        <v>0.176829268292683</v>
      </c>
      <c r="M402" s="362">
        <f t="shared" si="205"/>
        <v>0.16580310880829</v>
      </c>
      <c r="N402" s="362">
        <f t="shared" si="205"/>
        <v>0.142222222222222</v>
      </c>
      <c r="O402" s="362">
        <f t="shared" si="205"/>
        <v>0.194552529182879</v>
      </c>
      <c r="P402" s="362">
        <f t="shared" si="205"/>
        <v>-0.618594326744729</v>
      </c>
      <c r="Q402" s="362">
        <f t="shared" si="205"/>
        <v>1.31452701410834</v>
      </c>
      <c r="R402" s="362">
        <f t="shared" si="205"/>
        <v>0.0811287477954143</v>
      </c>
      <c r="S402" s="362">
        <f t="shared" si="205"/>
        <v>0.287112561174552</v>
      </c>
      <c r="T402" s="362">
        <f t="shared" si="205"/>
        <v>0.0418250950570342</v>
      </c>
      <c r="U402" s="362">
        <f t="shared" si="205"/>
        <v>-0.224647742742946</v>
      </c>
      <c r="V402" s="362">
        <f t="shared" si="205"/>
        <v>0.105963123688964</v>
      </c>
      <c r="W402" s="384">
        <f t="shared" si="205"/>
        <v>0.465732487300157</v>
      </c>
      <c r="X402" s="498">
        <f t="shared" si="205"/>
        <v>0.437525545689781</v>
      </c>
      <c r="Y402" s="498">
        <f t="shared" si="205"/>
        <v>0.151785656312424</v>
      </c>
      <c r="Z402" s="498">
        <f t="shared" si="205"/>
        <v>0.170867890470398</v>
      </c>
      <c r="AA402" s="498">
        <f t="shared" si="205"/>
        <v>0.129086034873511</v>
      </c>
      <c r="AB402" s="498">
        <f t="shared" si="205"/>
        <v>0.130155674169048</v>
      </c>
      <c r="AC402" s="498"/>
      <c r="AD402" s="362"/>
      <c r="AE402" s="342"/>
      <c r="AF402" s="342"/>
      <c r="AG402" s="342"/>
      <c r="AH402" s="342"/>
      <c r="AI402" s="342"/>
      <c r="AJ402" s="342"/>
      <c r="AK402" s="344"/>
      <c r="AL402" s="422"/>
      <c r="AM402" s="422"/>
      <c r="AN402" s="562"/>
      <c r="AO402" s="559"/>
      <c r="AT402" s="559"/>
      <c r="AU402" s="559"/>
      <c r="AV402" s="559"/>
    </row>
    <row r="403" s="334" customFormat="1" customHeight="1" spans="1:48">
      <c r="A403" s="614" t="s">
        <v>178</v>
      </c>
      <c r="B403" s="615"/>
      <c r="C403" s="615">
        <f t="shared" ref="C403:R403" si="206">C391/C408</f>
        <v>0.885</v>
      </c>
      <c r="D403" s="615">
        <f t="shared" si="206"/>
        <v>1.305</v>
      </c>
      <c r="E403" s="615">
        <f t="shared" si="206"/>
        <v>1.13</v>
      </c>
      <c r="F403" s="615">
        <f t="shared" si="206"/>
        <v>1.26</v>
      </c>
      <c r="G403" s="615">
        <f t="shared" si="206"/>
        <v>1</v>
      </c>
      <c r="H403" s="615">
        <f t="shared" si="206"/>
        <v>1.15</v>
      </c>
      <c r="I403" s="615">
        <f t="shared" si="206"/>
        <v>1.26</v>
      </c>
      <c r="J403" s="615">
        <f t="shared" si="206"/>
        <v>1.43</v>
      </c>
      <c r="K403" s="615">
        <f t="shared" si="206"/>
        <v>1.72</v>
      </c>
      <c r="L403" s="616">
        <f t="shared" si="206"/>
        <v>2.05</v>
      </c>
      <c r="M403" s="616">
        <f t="shared" si="206"/>
        <v>2.37</v>
      </c>
      <c r="N403" s="616">
        <f t="shared" si="206"/>
        <v>2.71</v>
      </c>
      <c r="O403" s="616">
        <f t="shared" si="206"/>
        <v>3.25</v>
      </c>
      <c r="P403" s="616">
        <f t="shared" si="206"/>
        <v>1.25</v>
      </c>
      <c r="Q403" s="616">
        <f t="shared" si="206"/>
        <v>2.71011536363635</v>
      </c>
      <c r="R403" s="616">
        <f t="shared" si="206"/>
        <v>2.92998362946928</v>
      </c>
      <c r="S403" s="616">
        <f>S394/S408</f>
        <v>3.77121873352571</v>
      </c>
      <c r="T403" s="616">
        <f>T394/T408</f>
        <v>3.92895031553629</v>
      </c>
      <c r="U403" s="616">
        <f>U394/U408</f>
        <v>3.04632049580188</v>
      </c>
      <c r="V403" s="616">
        <f>V387/V408</f>
        <v>3.36911813129476</v>
      </c>
      <c r="W403" s="617">
        <f>W394/W408</f>
        <v>5.08521288229686</v>
      </c>
      <c r="X403" s="618">
        <f>X387/X408</f>
        <v>7.13424946573705</v>
      </c>
      <c r="Y403" s="618">
        <f>Y387/Y408</f>
        <v>8.21962065488215</v>
      </c>
      <c r="Z403" s="618">
        <f>Z387/Z408</f>
        <v>9.62408989664877</v>
      </c>
      <c r="AA403" s="618">
        <f>AA387/AA408</f>
        <v>10.8664255006734</v>
      </c>
      <c r="AB403" s="618">
        <f>AB387/AB408</f>
        <v>12.2807524375213</v>
      </c>
      <c r="AC403" s="618"/>
      <c r="AD403" s="616"/>
      <c r="AE403" s="455">
        <f>((AA403/X403)^0.333)-1</f>
        <v>0.150407997867011</v>
      </c>
      <c r="AF403" s="342"/>
      <c r="AG403" s="342"/>
      <c r="AH403" s="342"/>
      <c r="AI403" s="342"/>
      <c r="AJ403" s="342"/>
      <c r="AK403" s="344"/>
      <c r="AL403" s="422"/>
      <c r="AM403" s="422"/>
      <c r="AN403" s="562"/>
      <c r="AO403" s="559"/>
      <c r="AT403" s="559"/>
      <c r="AU403" s="559"/>
      <c r="AV403" s="559"/>
    </row>
    <row r="404" s="334" customFormat="1" customHeight="1" spans="1:48">
      <c r="A404" s="334" t="s">
        <v>142</v>
      </c>
      <c r="B404" s="411"/>
      <c r="C404" s="411" t="e">
        <f t="shared" ref="C404:L404" si="207">C403/B403-1</f>
        <v>#DIV/0!</v>
      </c>
      <c r="D404" s="411">
        <f t="shared" si="207"/>
        <v>0.474576271186441</v>
      </c>
      <c r="E404" s="411">
        <f t="shared" si="207"/>
        <v>-0.134099616858238</v>
      </c>
      <c r="F404" s="411">
        <f t="shared" si="207"/>
        <v>0.115044247787611</v>
      </c>
      <c r="G404" s="411">
        <f t="shared" si="207"/>
        <v>-0.206349206349206</v>
      </c>
      <c r="H404" s="411">
        <f t="shared" si="207"/>
        <v>0.15</v>
      </c>
      <c r="I404" s="411">
        <f t="shared" si="207"/>
        <v>0.0956521739130436</v>
      </c>
      <c r="J404" s="411">
        <f t="shared" si="207"/>
        <v>0.134920634920635</v>
      </c>
      <c r="K404" s="411">
        <f t="shared" si="207"/>
        <v>0.202797202797203</v>
      </c>
      <c r="L404" s="362">
        <f t="shared" si="207"/>
        <v>0.191860465116279</v>
      </c>
      <c r="M404" s="362">
        <f t="shared" ref="M404:AB404" si="208">M403/L403-1</f>
        <v>0.15609756097561</v>
      </c>
      <c r="N404" s="362">
        <f t="shared" si="208"/>
        <v>0.143459915611814</v>
      </c>
      <c r="O404" s="362">
        <f t="shared" si="208"/>
        <v>0.199261992619926</v>
      </c>
      <c r="P404" s="362">
        <f t="shared" si="208"/>
        <v>-0.615384615384615</v>
      </c>
      <c r="Q404" s="362">
        <f t="shared" si="208"/>
        <v>1.16809229090908</v>
      </c>
      <c r="R404" s="362">
        <f t="shared" si="208"/>
        <v>0.0811287477954143</v>
      </c>
      <c r="S404" s="362">
        <f t="shared" si="208"/>
        <v>0.287112561174552</v>
      </c>
      <c r="T404" s="362">
        <f t="shared" si="208"/>
        <v>0.0418250950570342</v>
      </c>
      <c r="U404" s="362">
        <f t="shared" si="208"/>
        <v>-0.224647742742946</v>
      </c>
      <c r="V404" s="362">
        <f t="shared" si="208"/>
        <v>0.105963123688964</v>
      </c>
      <c r="W404" s="384">
        <f t="shared" si="208"/>
        <v>0.509360219536915</v>
      </c>
      <c r="X404" s="498">
        <f t="shared" si="208"/>
        <v>0.402940177897664</v>
      </c>
      <c r="Y404" s="498">
        <f t="shared" si="208"/>
        <v>0.15213530089713</v>
      </c>
      <c r="Z404" s="498">
        <f t="shared" si="208"/>
        <v>0.170867890470398</v>
      </c>
      <c r="AA404" s="498">
        <f t="shared" si="208"/>
        <v>0.129086034873511</v>
      </c>
      <c r="AB404" s="498">
        <f t="shared" si="208"/>
        <v>0.130155674169048</v>
      </c>
      <c r="AC404" s="498"/>
      <c r="AD404" s="362"/>
      <c r="AE404" s="342"/>
      <c r="AF404" s="342"/>
      <c r="AG404" s="342"/>
      <c r="AH404" s="342"/>
      <c r="AI404" s="342"/>
      <c r="AJ404" s="342"/>
      <c r="AK404" s="344"/>
      <c r="AL404" s="422"/>
      <c r="AM404" s="422"/>
      <c r="AN404" s="562"/>
      <c r="AO404" s="559"/>
      <c r="AT404" s="559"/>
      <c r="AU404" s="559"/>
      <c r="AV404" s="559"/>
    </row>
    <row r="405" customHeight="1" spans="1:48">
      <c r="B405" s="621"/>
      <c r="C405" s="621"/>
      <c r="D405" s="621"/>
      <c r="E405" s="621"/>
      <c r="F405" s="621"/>
      <c r="G405" s="621"/>
      <c r="H405" s="621"/>
      <c r="I405" s="621"/>
      <c r="J405" s="621"/>
      <c r="K405" s="621"/>
      <c r="L405" s="622"/>
      <c r="M405" s="622"/>
      <c r="W405" s="623"/>
      <c r="AL405" s="422"/>
      <c r="AM405" s="422"/>
      <c r="AN405" s="562"/>
      <c r="AP405" s="334"/>
      <c r="AQ405" s="334"/>
      <c r="AR405" s="334"/>
    </row>
    <row r="406" customHeight="1" spans="1:48">
      <c r="A406" s="333" t="s">
        <v>180</v>
      </c>
      <c r="B406" s="401"/>
      <c r="C406" s="401">
        <f t="shared" ref="C406:O406" si="209">C391/C397</f>
        <v>181.920903954802</v>
      </c>
      <c r="D406" s="401">
        <f t="shared" si="209"/>
        <v>181.609195402299</v>
      </c>
      <c r="E406" s="401">
        <f t="shared" si="209"/>
        <v>181.41592920354</v>
      </c>
      <c r="F406" s="401">
        <f t="shared" si="209"/>
        <v>180.952380952381</v>
      </c>
      <c r="G406" s="401">
        <f t="shared" si="209"/>
        <v>182</v>
      </c>
      <c r="H406" s="401">
        <f t="shared" si="209"/>
        <v>180.869565217391</v>
      </c>
      <c r="I406" s="401">
        <f t="shared" si="209"/>
        <v>181.746031746032</v>
      </c>
      <c r="J406" s="401">
        <f t="shared" si="209"/>
        <v>181.818181818182</v>
      </c>
      <c r="K406" s="401">
        <f t="shared" si="209"/>
        <v>191.463414634146</v>
      </c>
      <c r="L406" s="461">
        <f t="shared" si="209"/>
        <v>198.445595854922</v>
      </c>
      <c r="M406" s="461">
        <f t="shared" si="209"/>
        <v>214.666666666667</v>
      </c>
      <c r="N406" s="461">
        <f t="shared" si="209"/>
        <v>214.396887159533</v>
      </c>
      <c r="O406" s="461">
        <f t="shared" si="209"/>
        <v>209.120521172638</v>
      </c>
      <c r="P406" s="461">
        <v>209.238</v>
      </c>
      <c r="Q406" s="461">
        <f>+Q408</f>
        <v>209.216186</v>
      </c>
      <c r="R406" s="461">
        <f>+R408</f>
        <v>209.216186</v>
      </c>
      <c r="S406" s="461">
        <f>S$408</f>
        <v>209.216186</v>
      </c>
      <c r="T406" s="461">
        <f>T$408</f>
        <v>209.216186</v>
      </c>
      <c r="U406" s="461">
        <v>208.776457</v>
      </c>
      <c r="V406" s="461">
        <f>Interim!FM455</f>
        <v>201.536418</v>
      </c>
      <c r="W406" s="462">
        <f>Interim!FU455</f>
        <v>206.146908</v>
      </c>
      <c r="X406" s="461">
        <f>Interim!GC455</f>
        <v>204.238</v>
      </c>
      <c r="Y406" s="461">
        <v>204.3</v>
      </c>
      <c r="Z406" s="461">
        <f>Y406</f>
        <v>204.3</v>
      </c>
      <c r="AA406" s="461">
        <f>Z406</f>
        <v>204.3</v>
      </c>
      <c r="AB406" s="461">
        <f>AA406</f>
        <v>204.3</v>
      </c>
      <c r="AC406" s="461"/>
      <c r="AD406" s="524"/>
      <c r="AL406" s="422"/>
      <c r="AM406" s="422"/>
      <c r="AN406" s="562"/>
    </row>
    <row r="407" customHeight="1" spans="1:48">
      <c r="A407" s="333"/>
      <c r="B407" s="401"/>
      <c r="C407" s="401"/>
      <c r="D407" s="401"/>
      <c r="E407" s="401"/>
      <c r="F407" s="401"/>
      <c r="G407" s="401"/>
      <c r="H407" s="401"/>
      <c r="I407" s="401"/>
      <c r="J407" s="401"/>
      <c r="K407" s="401"/>
      <c r="L407" s="461"/>
      <c r="M407" s="461"/>
      <c r="AL407" s="422"/>
      <c r="AM407" s="422"/>
      <c r="AN407" s="562"/>
      <c r="AO407" s="624"/>
      <c r="AP407" s="624"/>
      <c r="AQ407" s="624"/>
    </row>
    <row r="408" customHeight="1" spans="1:48">
      <c r="A408" s="333" t="s">
        <v>181</v>
      </c>
      <c r="B408" s="401"/>
      <c r="C408" s="401">
        <f t="shared" ref="C408:P408" si="210">C391/C399</f>
        <v>181.920903954802</v>
      </c>
      <c r="D408" s="401">
        <f t="shared" si="210"/>
        <v>181.609195402299</v>
      </c>
      <c r="E408" s="401">
        <f t="shared" si="210"/>
        <v>181.41592920354</v>
      </c>
      <c r="F408" s="401">
        <f t="shared" si="210"/>
        <v>180.952380952381</v>
      </c>
      <c r="G408" s="401">
        <f t="shared" si="210"/>
        <v>182</v>
      </c>
      <c r="H408" s="401">
        <f t="shared" si="210"/>
        <v>180.869565217391</v>
      </c>
      <c r="I408" s="401">
        <f t="shared" si="210"/>
        <v>181.746031746032</v>
      </c>
      <c r="J408" s="401">
        <f t="shared" si="210"/>
        <v>181.818181818182</v>
      </c>
      <c r="K408" s="401">
        <f t="shared" si="210"/>
        <v>182.558139534884</v>
      </c>
      <c r="L408" s="461">
        <f t="shared" si="210"/>
        <v>186.829268292683</v>
      </c>
      <c r="M408" s="461">
        <f t="shared" si="210"/>
        <v>203.79746835443</v>
      </c>
      <c r="N408" s="461">
        <f t="shared" si="210"/>
        <v>203.321033210332</v>
      </c>
      <c r="O408" s="461">
        <f t="shared" si="210"/>
        <v>197.538461538462</v>
      </c>
      <c r="P408" s="461">
        <f t="shared" si="210"/>
        <v>196</v>
      </c>
      <c r="Q408" s="572">
        <v>209.216186</v>
      </c>
      <c r="R408" s="572">
        <v>209.216186</v>
      </c>
      <c r="S408" s="572">
        <v>209.216186</v>
      </c>
      <c r="T408" s="572">
        <v>209.216186</v>
      </c>
      <c r="U408" s="572">
        <f>U406</f>
        <v>208.776457</v>
      </c>
      <c r="V408" s="572">
        <f>Interim!FM456</f>
        <v>201.536418</v>
      </c>
      <c r="W408" s="462">
        <f>Interim!FU456</f>
        <v>200.188276</v>
      </c>
      <c r="X408" s="461">
        <f>Interim!GC456</f>
        <v>203.2239</v>
      </c>
      <c r="Y408" s="461">
        <f>X408</f>
        <v>203.2239</v>
      </c>
      <c r="Z408" s="461">
        <f>Y408</f>
        <v>203.2239</v>
      </c>
      <c r="AA408" s="461">
        <f>Z408</f>
        <v>203.2239</v>
      </c>
      <c r="AB408" s="461">
        <f>AA408</f>
        <v>203.2239</v>
      </c>
      <c r="AC408" s="461"/>
      <c r="AD408" s="461"/>
      <c r="AL408" s="422"/>
      <c r="AM408" s="422"/>
      <c r="AN408" s="562"/>
    </row>
    <row r="409" customHeight="1" spans="1:48">
      <c r="A409" s="333"/>
      <c r="B409" s="401"/>
      <c r="C409" s="401"/>
      <c r="D409" s="401"/>
      <c r="E409" s="401"/>
      <c r="F409" s="401"/>
      <c r="G409" s="401"/>
      <c r="H409" s="401"/>
      <c r="I409" s="401"/>
      <c r="J409" s="401"/>
      <c r="K409" s="401"/>
      <c r="L409" s="461"/>
      <c r="M409" s="461"/>
      <c r="N409" s="461"/>
      <c r="O409" s="625"/>
      <c r="P409" s="461"/>
      <c r="Q409" s="572"/>
      <c r="R409" s="572"/>
      <c r="S409" s="572"/>
      <c r="T409" s="625"/>
      <c r="U409" s="625"/>
      <c r="V409" s="625"/>
      <c r="W409" s="626"/>
      <c r="X409" s="625"/>
      <c r="Y409" s="625"/>
      <c r="Z409" s="625"/>
      <c r="AA409" s="625"/>
      <c r="AB409" s="625"/>
      <c r="AC409" s="625"/>
      <c r="AD409" s="625"/>
      <c r="AL409" s="422"/>
      <c r="AM409" s="422"/>
      <c r="AN409" s="562"/>
      <c r="AO409" s="624"/>
      <c r="AP409" s="624"/>
    </row>
    <row r="410" s="336" customFormat="1" customHeight="1" spans="1:48">
      <c r="A410" s="614" t="s">
        <v>182</v>
      </c>
      <c r="B410" s="615"/>
      <c r="C410" s="615">
        <f>0.56/4</f>
        <v>0.14</v>
      </c>
      <c r="D410" s="615">
        <f>0.84/4</f>
        <v>0.21</v>
      </c>
      <c r="E410" s="615">
        <f>0.84/4</f>
        <v>0.21</v>
      </c>
      <c r="F410" s="615">
        <v>0.23</v>
      </c>
      <c r="G410" s="615">
        <v>0.23</v>
      </c>
      <c r="H410" s="615">
        <v>0.23</v>
      </c>
      <c r="I410" s="615">
        <v>0.25</v>
      </c>
      <c r="J410" s="615">
        <v>0.25</v>
      </c>
      <c r="K410" s="615">
        <v>0.33</v>
      </c>
      <c r="L410" s="616">
        <v>0.33</v>
      </c>
      <c r="M410" s="616">
        <v>0.42</v>
      </c>
      <c r="N410" s="616">
        <v>0.5</v>
      </c>
      <c r="O410" s="616">
        <v>0.5</v>
      </c>
      <c r="P410" s="616">
        <v>0.35</v>
      </c>
      <c r="Q410" s="616">
        <v>0.8</v>
      </c>
      <c r="R410" s="616">
        <v>1</v>
      </c>
      <c r="S410" s="616">
        <v>1.35</v>
      </c>
      <c r="T410" s="616">
        <v>1.5</v>
      </c>
      <c r="U410" s="616">
        <v>1.5</v>
      </c>
      <c r="V410" s="616">
        <v>1.5</v>
      </c>
      <c r="W410" s="617">
        <v>2</v>
      </c>
      <c r="X410" s="616">
        <f>X399*X412</f>
        <v>2.57257516643762</v>
      </c>
      <c r="Y410" s="616">
        <f>Y399*Y412</f>
        <v>3.52044053092647</v>
      </c>
      <c r="Z410" s="616">
        <f>Z399*Z412</f>
        <v>4.21821167693885</v>
      </c>
      <c r="AA410" s="616">
        <f>AA399*AA412</f>
        <v>4.87138815157877</v>
      </c>
      <c r="AB410" s="616">
        <f>AB399*AB412</f>
        <v>5.62823448496183</v>
      </c>
      <c r="AC410" s="616"/>
      <c r="AD410" s="616"/>
      <c r="AE410" s="342"/>
      <c r="AF410" s="342"/>
      <c r="AG410" s="342"/>
      <c r="AH410" s="342"/>
      <c r="AI410" s="342"/>
      <c r="AJ410" s="342"/>
      <c r="AK410" s="344"/>
      <c r="AL410" s="422"/>
      <c r="AM410" s="422"/>
      <c r="AN410" s="562"/>
    </row>
    <row r="411" s="337" customFormat="1" customHeight="1" spans="1:48">
      <c r="A411" s="627" t="s">
        <v>183</v>
      </c>
      <c r="B411" s="628"/>
      <c r="C411" s="629"/>
      <c r="D411" s="629"/>
      <c r="E411" s="629"/>
      <c r="F411" s="629"/>
      <c r="G411" s="629"/>
      <c r="H411" s="629"/>
      <c r="I411" s="629"/>
      <c r="J411" s="629"/>
      <c r="K411" s="629"/>
      <c r="L411" s="407"/>
      <c r="M411" s="407"/>
      <c r="N411" s="407"/>
      <c r="O411" s="407"/>
      <c r="P411" s="407"/>
      <c r="Q411" s="407">
        <f>Q410/P410-1</f>
        <v>1.28571428571429</v>
      </c>
      <c r="R411" s="407">
        <f>R410/Q410-1</f>
        <v>0.25</v>
      </c>
      <c r="S411" s="407">
        <f t="shared" ref="S411:AB411" si="211">S410/R410-1</f>
        <v>0.35</v>
      </c>
      <c r="T411" s="407">
        <f t="shared" si="211"/>
        <v>0.111111111111111</v>
      </c>
      <c r="U411" s="407">
        <f t="shared" si="211"/>
        <v>0</v>
      </c>
      <c r="V411" s="407">
        <f t="shared" si="211"/>
        <v>0</v>
      </c>
      <c r="W411" s="408">
        <f t="shared" si="211"/>
        <v>0.333333333333333</v>
      </c>
      <c r="X411" s="507">
        <f t="shared" si="211"/>
        <v>0.286287583218808</v>
      </c>
      <c r="Y411" s="507">
        <f t="shared" si="211"/>
        <v>0.36845001726477</v>
      </c>
      <c r="Z411" s="507">
        <f t="shared" si="211"/>
        <v>0.198205633608232</v>
      </c>
      <c r="AA411" s="507">
        <f t="shared" si="211"/>
        <v>0.15484677504708</v>
      </c>
      <c r="AB411" s="507">
        <f t="shared" si="211"/>
        <v>0.15536563908129</v>
      </c>
      <c r="AC411" s="507"/>
      <c r="AD411" s="630"/>
      <c r="AE411" s="342"/>
      <c r="AF411" s="342"/>
      <c r="AG411" s="342"/>
      <c r="AH411" s="342"/>
      <c r="AI411" s="342"/>
      <c r="AJ411" s="342"/>
      <c r="AK411" s="344"/>
      <c r="AL411" s="422"/>
      <c r="AM411" s="422"/>
      <c r="AN411" s="562"/>
      <c r="AO411" s="336"/>
    </row>
    <row r="412" s="337" customFormat="1" customHeight="1" spans="1:48">
      <c r="A412" s="627" t="s">
        <v>184</v>
      </c>
      <c r="B412" s="628"/>
      <c r="C412" s="629">
        <f t="shared" ref="C412:W412" si="212">C410/C403</f>
        <v>0.15819209039548</v>
      </c>
      <c r="D412" s="629">
        <f t="shared" si="212"/>
        <v>0.160919540229885</v>
      </c>
      <c r="E412" s="629">
        <f t="shared" si="212"/>
        <v>0.185840707964602</v>
      </c>
      <c r="F412" s="629">
        <f t="shared" si="212"/>
        <v>0.182539682539683</v>
      </c>
      <c r="G412" s="629">
        <f t="shared" si="212"/>
        <v>0.23</v>
      </c>
      <c r="H412" s="629">
        <f t="shared" si="212"/>
        <v>0.2</v>
      </c>
      <c r="I412" s="629">
        <f t="shared" si="212"/>
        <v>0.198412698412698</v>
      </c>
      <c r="J412" s="629">
        <f t="shared" si="212"/>
        <v>0.174825174825175</v>
      </c>
      <c r="K412" s="629">
        <f t="shared" si="212"/>
        <v>0.191860465116279</v>
      </c>
      <c r="L412" s="407">
        <f t="shared" si="212"/>
        <v>0.160975609756098</v>
      </c>
      <c r="M412" s="407">
        <f t="shared" si="212"/>
        <v>0.177215189873418</v>
      </c>
      <c r="N412" s="407">
        <f t="shared" si="212"/>
        <v>0.18450184501845</v>
      </c>
      <c r="O412" s="407">
        <f t="shared" si="212"/>
        <v>0.153846153846154</v>
      </c>
      <c r="P412" s="407">
        <f t="shared" si="212"/>
        <v>0.28</v>
      </c>
      <c r="Q412" s="407">
        <f t="shared" si="212"/>
        <v>0.295190385890653</v>
      </c>
      <c r="R412" s="407">
        <f t="shared" si="212"/>
        <v>0.341298835236542</v>
      </c>
      <c r="S412" s="407">
        <f t="shared" si="212"/>
        <v>0.357974462737643</v>
      </c>
      <c r="T412" s="407">
        <f t="shared" si="212"/>
        <v>0.381781361313869</v>
      </c>
      <c r="U412" s="407">
        <f t="shared" si="212"/>
        <v>0.492397304245283</v>
      </c>
      <c r="V412" s="407">
        <f t="shared" si="212"/>
        <v>0.44522036377025</v>
      </c>
      <c r="W412" s="408">
        <f t="shared" si="212"/>
        <v>0.393297202357564</v>
      </c>
      <c r="X412" s="507">
        <f>W412+2.5%</f>
        <v>0.418297202357564</v>
      </c>
      <c r="Y412" s="507">
        <f>X412+1%</f>
        <v>0.428297202357564</v>
      </c>
      <c r="Z412" s="507">
        <f>Y412+1%</f>
        <v>0.438297202357564</v>
      </c>
      <c r="AA412" s="507">
        <f>Z412+1%</f>
        <v>0.448297202357564</v>
      </c>
      <c r="AB412" s="507">
        <f>AA412+1%</f>
        <v>0.458297202357564</v>
      </c>
      <c r="AC412" s="507"/>
      <c r="AD412" s="630"/>
      <c r="AE412" s="342"/>
      <c r="AF412" s="342"/>
      <c r="AG412" s="342"/>
      <c r="AH412" s="342"/>
      <c r="AI412" s="342"/>
      <c r="AJ412" s="342"/>
      <c r="AK412" s="344"/>
      <c r="AL412" s="422"/>
      <c r="AM412" s="422"/>
      <c r="AN412" s="562"/>
      <c r="AO412" s="336"/>
    </row>
    <row r="413" s="337" customFormat="1" customHeight="1" spans="1:48">
      <c r="A413" s="631" t="s">
        <v>185</v>
      </c>
      <c r="B413" s="632"/>
      <c r="C413" s="633">
        <f t="shared" ref="C413:AB413" si="213">B410*B408</f>
        <v>0</v>
      </c>
      <c r="D413" s="633">
        <f t="shared" si="213"/>
        <v>25.4689265536723</v>
      </c>
      <c r="E413" s="633">
        <f t="shared" si="213"/>
        <v>38.1379310344828</v>
      </c>
      <c r="F413" s="633">
        <f t="shared" si="213"/>
        <v>38.0973451327434</v>
      </c>
      <c r="G413" s="633">
        <f t="shared" si="213"/>
        <v>41.6190476190476</v>
      </c>
      <c r="H413" s="633">
        <f t="shared" si="213"/>
        <v>41.86</v>
      </c>
      <c r="I413" s="633">
        <f t="shared" si="213"/>
        <v>41.6</v>
      </c>
      <c r="J413" s="633">
        <f t="shared" si="213"/>
        <v>45.4365079365079</v>
      </c>
      <c r="K413" s="633">
        <f t="shared" si="213"/>
        <v>45.4545454545455</v>
      </c>
      <c r="L413" s="634">
        <f t="shared" si="213"/>
        <v>60.2441860465116</v>
      </c>
      <c r="M413" s="634">
        <f t="shared" si="213"/>
        <v>61.6536585365854</v>
      </c>
      <c r="N413" s="634">
        <f t="shared" si="213"/>
        <v>85.5949367088608</v>
      </c>
      <c r="O413" s="634">
        <f t="shared" si="213"/>
        <v>101.660516605166</v>
      </c>
      <c r="P413" s="634">
        <f t="shared" si="213"/>
        <v>98.7692307692308</v>
      </c>
      <c r="Q413" s="634">
        <f t="shared" si="213"/>
        <v>68.6</v>
      </c>
      <c r="R413" s="634">
        <f t="shared" si="213"/>
        <v>167.3729488</v>
      </c>
      <c r="S413" s="634">
        <f t="shared" si="213"/>
        <v>209.216186</v>
      </c>
      <c r="T413" s="634">
        <f t="shared" si="213"/>
        <v>282.4418511</v>
      </c>
      <c r="U413" s="634">
        <f t="shared" si="213"/>
        <v>313.824279</v>
      </c>
      <c r="V413" s="634">
        <f t="shared" si="213"/>
        <v>313.1646855</v>
      </c>
      <c r="W413" s="635">
        <f t="shared" si="213"/>
        <v>302.304627</v>
      </c>
      <c r="X413" s="634">
        <f t="shared" si="213"/>
        <v>400.376552</v>
      </c>
      <c r="Y413" s="634">
        <f t="shared" si="213"/>
        <v>522.808758366601</v>
      </c>
      <c r="Z413" s="634">
        <f t="shared" si="213"/>
        <v>715.437654412948</v>
      </c>
      <c r="AA413" s="634">
        <f t="shared" si="213"/>
        <v>857.241428013054</v>
      </c>
      <c r="AB413" s="634">
        <f t="shared" si="213"/>
        <v>989.982498577629</v>
      </c>
      <c r="AC413" s="634"/>
      <c r="AD413" s="634"/>
      <c r="AE413" s="342"/>
      <c r="AF413" s="342"/>
      <c r="AG413" s="342"/>
      <c r="AH413" s="342"/>
      <c r="AI413" s="342"/>
      <c r="AJ413" s="342"/>
      <c r="AK413" s="344"/>
      <c r="AL413" s="422"/>
      <c r="AM413" s="422"/>
      <c r="AN413" s="562"/>
      <c r="AO413" s="336"/>
    </row>
    <row r="414" s="337" customFormat="1" customHeight="1" spans="1:48">
      <c r="A414" s="627"/>
      <c r="B414" s="628"/>
      <c r="C414" s="628"/>
      <c r="D414" s="628"/>
      <c r="E414" s="628"/>
      <c r="F414" s="628"/>
      <c r="G414" s="628"/>
      <c r="H414" s="628"/>
      <c r="I414" s="628"/>
      <c r="J414" s="628"/>
      <c r="K414" s="628"/>
      <c r="L414" s="636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8"/>
      <c r="X414" s="407"/>
      <c r="Y414" s="407"/>
      <c r="Z414" s="407"/>
      <c r="AA414" s="407"/>
      <c r="AB414" s="407"/>
      <c r="AC414" s="407"/>
      <c r="AD414" s="407"/>
      <c r="AE414" s="342"/>
      <c r="AF414" s="342"/>
      <c r="AG414" s="342"/>
      <c r="AH414" s="342"/>
      <c r="AI414" s="342"/>
      <c r="AJ414" s="342"/>
      <c r="AK414" s="344"/>
      <c r="AL414" s="422"/>
      <c r="AM414" s="422"/>
      <c r="AN414" s="562"/>
      <c r="AO414" s="336"/>
    </row>
    <row r="415" customHeight="1" spans="1:48">
      <c r="A415" s="637" t="s">
        <v>187</v>
      </c>
      <c r="B415" s="638"/>
      <c r="C415" s="638"/>
      <c r="D415" s="638"/>
      <c r="E415" s="638"/>
      <c r="F415" s="638"/>
      <c r="G415" s="638"/>
      <c r="H415" s="638"/>
      <c r="I415" s="638"/>
      <c r="J415" s="638"/>
      <c r="K415" s="638"/>
      <c r="L415" s="639"/>
      <c r="M415" s="639"/>
      <c r="N415" s="639"/>
      <c r="O415" s="639" t="str">
        <f>QueryTool.Functions.GQ("ADSG.DE","EPS_PUB","2008","default","publishing")</f>
        <v>Error:Failed to create QP Model for GIR_TICKER ADSG.DE</v>
      </c>
      <c r="P415" s="616" t="str">
        <f>QueryTool.Functions.GQ("ADSG.DE","EPS_PUB","2009","default","publishing")</f>
        <v>Error:Failed to create QP Model for GIR_TICKER ADSG.DE</v>
      </c>
      <c r="Q415" s="616" t="str">
        <f>QueryTool.Functions.GQ("ADSG.DE","EPS_PUB","2010","default","publishing")</f>
        <v>Error:Failed to create QP Model for GIR_TICKER ADSG.DE</v>
      </c>
      <c r="R415" s="616" t="str">
        <f>QueryTool.Functions.GQ("ADSG.DE","EPS_PUB","2011","default","publishing")</f>
        <v>Error:Failed to create QP Model for GIR_TICKER ADSG.DE</v>
      </c>
      <c r="S415" s="616" t="str">
        <f>QueryTool.Functions.GQ("ADSG.DE","EPS_PUB","2012","default","publishing")</f>
        <v>Error:Failed to create QP Model for GIR_TICKER ADSG.DE</v>
      </c>
      <c r="T415" s="616" t="str">
        <f>QueryTool.Functions.GQ("ADSG.DE","EPS_PUB","2013","default","publishing")</f>
        <v>Error:Failed to create QP Model for GIR_TICKER ADSG.DE</v>
      </c>
      <c r="U415" s="616" t="str">
        <f>QueryTool.Functions.GQ("ADSG.DE","EPS_PUB","2014","default","publishing")</f>
        <v>Error:Failed to create QP Model for GIR_TICKER ADSG.DE</v>
      </c>
      <c r="V415" s="616" t="str">
        <f>QueryTool.Functions.GQ("ADSG.DE","EPS_PUB","2014","default","publishing")</f>
        <v>Error:Failed to create QP Model for GIR_TICKER ADSG.DE</v>
      </c>
      <c r="W415" s="617" t="str">
        <f>QueryTool.Functions.GQ("ADSG.DE","EPS_PUB","2014","default","publishing")</f>
        <v>Error:Failed to create QP Model for GIR_TICKER ADSG.DE</v>
      </c>
      <c r="X415" s="616" t="str">
        <f>QueryTool.Functions.GQ("ADSG.DE","EPS_PUB","2014","default","publishing")</f>
        <v>Error:Failed to create QP Model for GIR_TICKER ADSG.DE</v>
      </c>
      <c r="Y415" s="616" t="str">
        <f>QueryTool.Functions.GQ("ADSG.DE","EPS_PUB","2014","default","publishing")</f>
        <v>Error:Failed to create QP Model for GIR_TICKER ADSG.DE</v>
      </c>
      <c r="Z415" s="616" t="str">
        <f>QueryTool.Functions.GQ("ADSG.DE","EPS_PUB","2014","default","publishing")</f>
        <v>Error:Failed to create QP Model for GIR_TICKER ADSG.DE</v>
      </c>
      <c r="AA415" s="616" t="str">
        <f>QueryTool.Functions.GQ("ADSG.DE","EPS_PUB","2014","default","publishing")</f>
        <v>Error:Failed to create QP Model for GIR_TICKER ADSG.DE</v>
      </c>
      <c r="AB415" s="616" t="str">
        <f>QueryTool.Functions.GQ("ADSG.DE","EPS_PUB","2014","default","publishing")</f>
        <v>Error:Failed to create QP Model for GIR_TICKER ADSG.DE</v>
      </c>
      <c r="AC415" s="616"/>
      <c r="AD415" s="616"/>
      <c r="AL415" s="422"/>
      <c r="AM415" s="422"/>
      <c r="AN415" s="562"/>
    </row>
    <row r="416" s="338" customFormat="1" customHeight="1" spans="1:48">
      <c r="A416" s="640" t="s">
        <v>188</v>
      </c>
      <c r="B416" s="641"/>
      <c r="C416" s="641"/>
      <c r="D416" s="641"/>
      <c r="E416" s="641"/>
      <c r="F416" s="641"/>
      <c r="G416" s="641"/>
      <c r="H416" s="641"/>
      <c r="I416" s="641"/>
      <c r="J416" s="641"/>
      <c r="K416" s="641"/>
      <c r="L416" s="642"/>
      <c r="M416" s="642"/>
      <c r="N416" s="643"/>
      <c r="O416" s="643" t="e">
        <f t="shared" ref="O416:AB416" si="214">+O399/O415-1</f>
        <v>#VALUE!</v>
      </c>
      <c r="P416" s="644" t="e">
        <f t="shared" si="214"/>
        <v>#VALUE!</v>
      </c>
      <c r="Q416" s="644" t="e">
        <f t="shared" si="214"/>
        <v>#VALUE!</v>
      </c>
      <c r="R416" s="644" t="e">
        <f t="shared" si="214"/>
        <v>#VALUE!</v>
      </c>
      <c r="S416" s="644" t="e">
        <f t="shared" si="214"/>
        <v>#VALUE!</v>
      </c>
      <c r="T416" s="644" t="e">
        <f t="shared" si="214"/>
        <v>#VALUE!</v>
      </c>
      <c r="U416" s="644" t="e">
        <f t="shared" si="214"/>
        <v>#VALUE!</v>
      </c>
      <c r="V416" s="644" t="e">
        <f t="shared" si="214"/>
        <v>#VALUE!</v>
      </c>
      <c r="W416" s="645" t="e">
        <f t="shared" si="214"/>
        <v>#VALUE!</v>
      </c>
      <c r="X416" s="644" t="e">
        <f t="shared" si="214"/>
        <v>#VALUE!</v>
      </c>
      <c r="Y416" s="644" t="e">
        <f t="shared" si="214"/>
        <v>#VALUE!</v>
      </c>
      <c r="Z416" s="644" t="e">
        <f t="shared" si="214"/>
        <v>#VALUE!</v>
      </c>
      <c r="AA416" s="644" t="e">
        <f t="shared" si="214"/>
        <v>#VALUE!</v>
      </c>
      <c r="AB416" s="644" t="e">
        <f t="shared" si="214"/>
        <v>#VALUE!</v>
      </c>
      <c r="AC416" s="644"/>
      <c r="AD416" s="644"/>
      <c r="AE416" s="342"/>
      <c r="AF416" s="342"/>
      <c r="AG416" s="342"/>
      <c r="AH416" s="342"/>
      <c r="AI416" s="342"/>
      <c r="AJ416" s="342"/>
      <c r="AK416" s="344"/>
      <c r="AL416" s="422"/>
      <c r="AM416" s="422"/>
      <c r="AN416" s="562"/>
      <c r="AO416" s="340"/>
    </row>
    <row r="417" customHeight="1" spans="1:40">
      <c r="A417" s="333"/>
      <c r="B417" s="401"/>
      <c r="C417" s="401"/>
      <c r="D417" s="401"/>
      <c r="E417" s="401"/>
      <c r="F417" s="401"/>
      <c r="G417" s="401"/>
      <c r="H417" s="401"/>
      <c r="I417" s="401"/>
      <c r="J417" s="401"/>
      <c r="K417" s="401"/>
      <c r="L417" s="470"/>
      <c r="M417" s="470"/>
      <c r="N417" s="646"/>
      <c r="O417" s="646"/>
      <c r="P417" s="646"/>
      <c r="Q417" s="646"/>
      <c r="R417" s="646"/>
      <c r="S417" s="646"/>
      <c r="T417" s="646"/>
      <c r="U417" s="646"/>
      <c r="V417" s="646"/>
      <c r="W417" s="647"/>
      <c r="X417" s="646"/>
      <c r="Y417" s="646"/>
      <c r="Z417" s="646"/>
      <c r="AA417" s="646"/>
      <c r="AB417" s="646"/>
      <c r="AC417" s="646"/>
      <c r="AD417" s="646"/>
      <c r="AL417" s="422"/>
      <c r="AM417" s="422"/>
      <c r="AN417" s="562"/>
    </row>
    <row r="418" customHeight="1" spans="1:40">
      <c r="A418" s="351" t="s">
        <v>192</v>
      </c>
      <c r="B418" s="543" t="str">
        <f t="shared" ref="B418:AB418" si="215">B1</f>
        <v>FY 95</v>
      </c>
      <c r="C418" s="543" t="str">
        <f t="shared" si="215"/>
        <v>FY 96</v>
      </c>
      <c r="D418" s="543" t="str">
        <f t="shared" si="215"/>
        <v>FY 97</v>
      </c>
      <c r="E418" s="543" t="str">
        <f t="shared" si="215"/>
        <v>FY 98</v>
      </c>
      <c r="F418" s="543" t="str">
        <f t="shared" si="215"/>
        <v>FY 99</v>
      </c>
      <c r="G418" s="543" t="str">
        <f t="shared" si="215"/>
        <v>FY 00</v>
      </c>
      <c r="H418" s="543" t="str">
        <f t="shared" si="215"/>
        <v>FY 01</v>
      </c>
      <c r="I418" s="543" t="str">
        <f t="shared" si="215"/>
        <v>FY 02</v>
      </c>
      <c r="J418" s="543" t="str">
        <f t="shared" si="215"/>
        <v>FY 03</v>
      </c>
      <c r="K418" s="543" t="str">
        <f t="shared" si="215"/>
        <v>FY 04</v>
      </c>
      <c r="L418" s="544" t="str">
        <f t="shared" si="215"/>
        <v>FY 05</v>
      </c>
      <c r="M418" s="544" t="str">
        <f t="shared" si="215"/>
        <v>FY 06</v>
      </c>
      <c r="N418" s="544" t="str">
        <f t="shared" si="215"/>
        <v>FY 07</v>
      </c>
      <c r="O418" s="544" t="str">
        <f t="shared" si="215"/>
        <v>FY 08</v>
      </c>
      <c r="P418" s="544" t="str">
        <f t="shared" si="215"/>
        <v>FY 09</v>
      </c>
      <c r="Q418" s="544" t="str">
        <f t="shared" si="215"/>
        <v>FY 10</v>
      </c>
      <c r="R418" s="544" t="str">
        <f t="shared" si="215"/>
        <v>FY 11</v>
      </c>
      <c r="S418" s="544" t="str">
        <f t="shared" si="215"/>
        <v>FY 12</v>
      </c>
      <c r="T418" s="544" t="str">
        <f t="shared" si="215"/>
        <v>FY 13</v>
      </c>
      <c r="U418" s="544" t="str">
        <f t="shared" si="215"/>
        <v>FY 14</v>
      </c>
      <c r="V418" s="544" t="str">
        <f t="shared" si="215"/>
        <v>FY 15</v>
      </c>
      <c r="W418" s="545" t="str">
        <f t="shared" si="215"/>
        <v>FY 16</v>
      </c>
      <c r="X418" s="544" t="str">
        <f t="shared" si="215"/>
        <v>FY 17E</v>
      </c>
      <c r="Y418" s="544" t="str">
        <f t="shared" si="215"/>
        <v>FY 18E</v>
      </c>
      <c r="Z418" s="544" t="str">
        <f t="shared" si="215"/>
        <v>FY 19E</v>
      </c>
      <c r="AA418" s="544" t="str">
        <f t="shared" si="215"/>
        <v>FY 20E</v>
      </c>
      <c r="AB418" s="544" t="str">
        <f t="shared" si="215"/>
        <v>FY 21E</v>
      </c>
      <c r="AC418" s="544"/>
      <c r="AD418" s="544"/>
      <c r="AL418" s="422"/>
      <c r="AM418" s="422"/>
      <c r="AN418" s="562"/>
    </row>
    <row r="419" customHeight="1" spans="1:40">
      <c r="A419" s="340" t="s">
        <v>127</v>
      </c>
      <c r="B419" s="600">
        <v>0.397395354891602</v>
      </c>
      <c r="C419" s="600">
        <v>0.398479475036633</v>
      </c>
      <c r="D419" s="600">
        <v>0.419384443117349</v>
      </c>
      <c r="E419" s="600">
        <v>0.419299485212476</v>
      </c>
      <c r="F419" s="600">
        <v>0.43925567688166</v>
      </c>
      <c r="G419" s="600">
        <v>0.43324764353042</v>
      </c>
      <c r="H419" s="600">
        <v>0.428351817283408</v>
      </c>
      <c r="I419" s="600">
        <v>0.431955838380741</v>
      </c>
      <c r="J419" s="600">
        <v>0.44910657306956</v>
      </c>
      <c r="K419" s="600">
        <v>0.480204778156997</v>
      </c>
      <c r="L419" s="601">
        <v>0.48191136569189</v>
      </c>
      <c r="M419" s="601">
        <v>0.450964861257231</v>
      </c>
      <c r="N419" s="601">
        <f t="shared" ref="N419:AB419" si="216">1-N323/N321</f>
        <v>0.474026604524711</v>
      </c>
      <c r="O419" s="601">
        <f t="shared" si="216"/>
        <v>0.48671173256783</v>
      </c>
      <c r="P419" s="601">
        <f t="shared" si="216"/>
        <v>0.453906174742318</v>
      </c>
      <c r="Q419" s="601">
        <f t="shared" si="216"/>
        <v>0.47789824854045</v>
      </c>
      <c r="R419" s="601">
        <f t="shared" si="216"/>
        <v>0.475043158447797</v>
      </c>
      <c r="S419" s="601">
        <f t="shared" si="216"/>
        <v>0.477255929584089</v>
      </c>
      <c r="T419" s="601">
        <f t="shared" si="216"/>
        <v>0.492854628651883</v>
      </c>
      <c r="U419" s="601">
        <f t="shared" si="216"/>
        <v>0.47640016513004</v>
      </c>
      <c r="V419" s="601">
        <f t="shared" si="216"/>
        <v>0.482885013301803</v>
      </c>
      <c r="W419" s="648">
        <f t="shared" si="216"/>
        <v>0.486210471747019</v>
      </c>
      <c r="X419" s="601">
        <f t="shared" si="216"/>
        <v>0.504430200772929</v>
      </c>
      <c r="Y419" s="601">
        <f t="shared" si="216"/>
        <v>0.513430200772929</v>
      </c>
      <c r="Z419" s="601">
        <f t="shared" si="216"/>
        <v>0.520930200772929</v>
      </c>
      <c r="AA419" s="601">
        <f t="shared" si="216"/>
        <v>0.525930200772929</v>
      </c>
      <c r="AB419" s="601">
        <f t="shared" si="216"/>
        <v>0.530930200772929</v>
      </c>
      <c r="AC419" s="601"/>
      <c r="AD419" s="601"/>
      <c r="AL419" s="422"/>
      <c r="AM419" s="422"/>
      <c r="AN419" s="562"/>
    </row>
    <row r="420" customHeight="1" spans="1:40">
      <c r="A420" s="340" t="s">
        <v>193</v>
      </c>
      <c r="B420" s="341">
        <v>31.2577966079439</v>
      </c>
      <c r="C420" s="341">
        <v>30.8776996750833</v>
      </c>
      <c r="D420" s="341">
        <v>31.7855628545835</v>
      </c>
      <c r="E420" s="341">
        <v>32.6637730897345</v>
      </c>
      <c r="F420" s="341">
        <v>33.7440402328663</v>
      </c>
      <c r="G420" s="341">
        <v>34.4987146529563</v>
      </c>
      <c r="H420" s="411">
        <f>(H353/H321)</f>
        <v>0.353075916230366</v>
      </c>
      <c r="I420" s="411">
        <f>(I353/I321)</f>
        <v>0.366165874597578</v>
      </c>
      <c r="J420" s="411">
        <f>(J353/J321)</f>
        <v>0.377692675921494</v>
      </c>
      <c r="K420" s="411">
        <f>(K353/K321)</f>
        <v>0.365325597269625</v>
      </c>
      <c r="L420" s="362">
        <f>(L353/L321)</f>
        <v>0.365474834237492</v>
      </c>
      <c r="M420" s="362">
        <v>0.350424233031055</v>
      </c>
      <c r="N420" s="362">
        <f t="shared" ref="N420:AB420" si="217">(N353/N321)</f>
        <v>0.370909797067676</v>
      </c>
      <c r="O420" s="362">
        <f t="shared" si="217"/>
        <v>0.374201314936568</v>
      </c>
      <c r="P420" s="362">
        <f t="shared" si="217"/>
        <v>0.384452364897409</v>
      </c>
      <c r="Q420" s="362">
        <f t="shared" si="217"/>
        <v>0.38999165971643</v>
      </c>
      <c r="R420" s="362">
        <f t="shared" si="217"/>
        <v>0.391803647827066</v>
      </c>
      <c r="S420" s="362">
        <f t="shared" si="217"/>
        <v>0.404824296176846</v>
      </c>
      <c r="T420" s="362">
        <f t="shared" si="217"/>
        <v>0.396832101372756</v>
      </c>
      <c r="U420" s="362">
        <f t="shared" si="217"/>
        <v>0.400440346773084</v>
      </c>
      <c r="V420" s="362">
        <f t="shared" si="217"/>
        <v>0.406384865503991</v>
      </c>
      <c r="W420" s="384">
        <f t="shared" si="217"/>
        <v>0.394453084499741</v>
      </c>
      <c r="X420" s="362">
        <f t="shared" si="217"/>
        <v>0.392720894996565</v>
      </c>
      <c r="Y420" s="362">
        <f t="shared" si="217"/>
        <v>0.393322653085899</v>
      </c>
      <c r="Z420" s="362">
        <f t="shared" si="217"/>
        <v>0.391377685697296</v>
      </c>
      <c r="AA420" s="362">
        <f t="shared" si="217"/>
        <v>0.389657878667745</v>
      </c>
      <c r="AB420" s="362">
        <f t="shared" si="217"/>
        <v>0.375880266920228</v>
      </c>
      <c r="AC420" s="362"/>
      <c r="AD420" s="362"/>
      <c r="AL420" s="422"/>
      <c r="AM420" s="422"/>
      <c r="AN420" s="562"/>
    </row>
    <row r="421" customHeight="1" spans="1:40">
      <c r="A421" s="340" t="s">
        <v>194</v>
      </c>
      <c r="B421" s="341">
        <v>9.79125501052489</v>
      </c>
      <c r="C421" s="341">
        <v>9.69334664146617</v>
      </c>
      <c r="D421" s="341">
        <v>10.2349955210511</v>
      </c>
      <c r="E421" s="341">
        <v>8.31775512264056</v>
      </c>
      <c r="F421" s="341">
        <v>8.88840315613975</v>
      </c>
      <c r="G421" s="341">
        <v>7.50642673521851</v>
      </c>
      <c r="H421" s="411">
        <f>(H361/H321)</f>
        <v>0.0777159685863874</v>
      </c>
      <c r="I421" s="411">
        <f>(I361/I321)</f>
        <v>0.0731258623332822</v>
      </c>
      <c r="J421" s="411">
        <f>(J361/J321)</f>
        <v>0.0781873304611457</v>
      </c>
      <c r="K421" s="411">
        <f>(K361/K321)</f>
        <v>0.0996587030716723</v>
      </c>
      <c r="L421" s="362">
        <f>(L361/L321)</f>
        <v>0.106540084388186</v>
      </c>
      <c r="M421" s="362">
        <v>0.0895406282261755</v>
      </c>
      <c r="N421" s="362">
        <f t="shared" ref="N421:AB421" si="218">(N361/N321)</f>
        <v>0.0921448684338285</v>
      </c>
      <c r="O421" s="362">
        <f t="shared" si="218"/>
        <v>0.0990832484489305</v>
      </c>
      <c r="P421" s="362">
        <f t="shared" si="218"/>
        <v>0.0489355553414893</v>
      </c>
      <c r="Q421" s="362">
        <f t="shared" si="218"/>
        <v>0.0745621351125938</v>
      </c>
      <c r="R421" s="362">
        <f t="shared" si="218"/>
        <v>0.0715304360879682</v>
      </c>
      <c r="S421" s="362">
        <f t="shared" si="218"/>
        <v>0.0618154941879997</v>
      </c>
      <c r="T421" s="362">
        <f t="shared" si="218"/>
        <v>0.0831397395283351</v>
      </c>
      <c r="U421" s="362">
        <f t="shared" si="218"/>
        <v>0.060754093848906</v>
      </c>
      <c r="V421" s="362">
        <f t="shared" si="218"/>
        <v>0.0626071534141295</v>
      </c>
      <c r="W421" s="384">
        <f t="shared" si="218"/>
        <v>0.077293934681182</v>
      </c>
      <c r="X421" s="362">
        <f t="shared" si="218"/>
        <v>0.0975586765953436</v>
      </c>
      <c r="Y421" s="362">
        <f t="shared" si="218"/>
        <v>0.105597130605841</v>
      </c>
      <c r="Z421" s="362">
        <f t="shared" si="218"/>
        <v>0.113640088485897</v>
      </c>
      <c r="AA421" s="362">
        <f t="shared" si="218"/>
        <v>0.11903653646425</v>
      </c>
      <c r="AB421" s="362">
        <f t="shared" si="218"/>
        <v>0.124564341862624</v>
      </c>
      <c r="AC421" s="362"/>
      <c r="AD421" s="362"/>
      <c r="AL421" s="422"/>
      <c r="AM421" s="422"/>
      <c r="AN421" s="562"/>
    </row>
    <row r="422" customHeight="1" spans="1:40">
      <c r="A422" s="340" t="s">
        <v>195</v>
      </c>
      <c r="B422" s="341">
        <v>11.3213170180005</v>
      </c>
      <c r="C422" s="341">
        <v>11.4772027437406</v>
      </c>
      <c r="D422" s="341">
        <v>11.6876886924045</v>
      </c>
      <c r="E422" s="341">
        <v>6.05672756636722</v>
      </c>
      <c r="F422" s="341">
        <v>7.30305289569872</v>
      </c>
      <c r="G422" s="341">
        <v>5.91259640102828</v>
      </c>
      <c r="H422" s="411">
        <f>(H376/H321)</f>
        <v>0.0610274869109948</v>
      </c>
      <c r="I422" s="411">
        <f>(I376/I321)</f>
        <v>0.0597884409014257</v>
      </c>
      <c r="J422" s="411">
        <f>(J376/J321)</f>
        <v>0.0703685974150311</v>
      </c>
      <c r="K422" s="411">
        <f>(K376/K321)</f>
        <v>0.0895904436860068</v>
      </c>
      <c r="L422" s="362">
        <f>(L376/L321)</f>
        <v>0.0987040385774563</v>
      </c>
      <c r="M422" s="362">
        <v>0.0749287955463849</v>
      </c>
      <c r="N422" s="362">
        <f t="shared" ref="N422:AB422" si="219">(N376/N321)</f>
        <v>0.0790367996892902</v>
      </c>
      <c r="O422" s="362">
        <f t="shared" si="219"/>
        <v>0.08371145476433</v>
      </c>
      <c r="P422" s="362">
        <f t="shared" si="219"/>
        <v>0.034486080339081</v>
      </c>
      <c r="Q422" s="362">
        <f t="shared" si="219"/>
        <v>0.0672226855713094</v>
      </c>
      <c r="R422" s="362">
        <f t="shared" si="219"/>
        <v>0.0652255498010958</v>
      </c>
      <c r="S422" s="362">
        <f t="shared" si="219"/>
        <v>0.0571793321238998</v>
      </c>
      <c r="T422" s="362">
        <f t="shared" si="219"/>
        <v>0.0783526927138332</v>
      </c>
      <c r="U422" s="362">
        <f t="shared" si="219"/>
        <v>0.0574514930507775</v>
      </c>
      <c r="V422" s="362">
        <f t="shared" si="219"/>
        <v>0.0613656517883535</v>
      </c>
      <c r="W422" s="384">
        <f t="shared" si="219"/>
        <v>0.0749092794193883</v>
      </c>
      <c r="X422" s="362">
        <f t="shared" si="219"/>
        <v>0.0963804317089264</v>
      </c>
      <c r="Y422" s="362">
        <f t="shared" si="219"/>
        <v>0.104708196506308</v>
      </c>
      <c r="Z422" s="362">
        <f t="shared" si="219"/>
        <v>0.113640088485897</v>
      </c>
      <c r="AA422" s="362">
        <f t="shared" si="219"/>
        <v>0.119806070534973</v>
      </c>
      <c r="AB422" s="362">
        <f t="shared" si="219"/>
        <v>0.126359876689046</v>
      </c>
      <c r="AC422" s="362"/>
      <c r="AD422" s="362"/>
      <c r="AL422" s="422"/>
      <c r="AM422" s="422"/>
      <c r="AN422" s="562"/>
    </row>
    <row r="423" customHeight="1" spans="1:40">
      <c r="A423" s="340" t="s">
        <v>168</v>
      </c>
      <c r="B423" s="341">
        <v>10.0795689335753</v>
      </c>
      <c r="C423" s="341">
        <v>9.35356452674723</v>
      </c>
      <c r="D423" s="341">
        <v>8.88909209640565</v>
      </c>
      <c r="E423" s="341">
        <v>3.97738972443727</v>
      </c>
      <c r="F423" s="341">
        <v>4.4569198444963</v>
      </c>
      <c r="G423" s="341">
        <v>3.51328191945158</v>
      </c>
      <c r="H423" s="411">
        <f>(H382/H321)</f>
        <v>0.0369764397905759</v>
      </c>
      <c r="I423" s="411">
        <f>(I382/I321)</f>
        <v>0.0370994940978078</v>
      </c>
      <c r="J423" s="411">
        <f>(J382/J321)</f>
        <v>0.0437210786660284</v>
      </c>
      <c r="K423" s="411">
        <f>(K382/K321)</f>
        <v>0.0566552901023891</v>
      </c>
      <c r="L423" s="362">
        <f>(L382/L321)</f>
        <v>0.0654008438818565</v>
      </c>
      <c r="M423" s="362">
        <v>0.0502022930160779</v>
      </c>
      <c r="N423" s="362">
        <f t="shared" ref="N423:AB423" si="220">(N382/N321)</f>
        <v>0.0537916302553646</v>
      </c>
      <c r="O423" s="362">
        <f t="shared" si="220"/>
        <v>0.0596351514029077</v>
      </c>
      <c r="P423" s="362">
        <f t="shared" si="220"/>
        <v>0.0236008091706001</v>
      </c>
      <c r="Q423" s="362">
        <f t="shared" si="220"/>
        <v>0.047372810675563</v>
      </c>
      <c r="R423" s="362">
        <f t="shared" si="220"/>
        <v>0.0456353674097425</v>
      </c>
      <c r="S423" s="362">
        <f t="shared" si="220"/>
        <v>0.035207955385339</v>
      </c>
      <c r="T423" s="362">
        <f t="shared" si="220"/>
        <v>0.0544174586413235</v>
      </c>
      <c r="U423" s="362">
        <f t="shared" si="220"/>
        <v>0.0388055593780102</v>
      </c>
      <c r="V423" s="362">
        <f t="shared" si="220"/>
        <v>0.0404966006503104</v>
      </c>
      <c r="W423" s="384">
        <f t="shared" si="220"/>
        <v>0.0528252980819077</v>
      </c>
      <c r="X423" s="362">
        <f t="shared" si="220"/>
        <v>0.0684301065133377</v>
      </c>
      <c r="Y423" s="362">
        <f t="shared" si="220"/>
        <v>0.0743428195194784</v>
      </c>
      <c r="Z423" s="362">
        <f t="shared" si="220"/>
        <v>0.080684462824987</v>
      </c>
      <c r="AA423" s="362">
        <f t="shared" si="220"/>
        <v>0.0850623100798309</v>
      </c>
      <c r="AB423" s="362">
        <f t="shared" si="220"/>
        <v>0.0897155124492229</v>
      </c>
      <c r="AC423" s="362"/>
      <c r="AD423" s="362"/>
      <c r="AL423" s="422"/>
      <c r="AM423" s="422"/>
      <c r="AN423" s="562"/>
    </row>
    <row r="424" customHeight="1" spans="1:40">
      <c r="B424" s="600"/>
      <c r="C424" s="600"/>
      <c r="D424" s="600"/>
      <c r="E424" s="600"/>
      <c r="F424" s="600"/>
      <c r="G424" s="600"/>
      <c r="H424" s="600"/>
      <c r="I424" s="600"/>
      <c r="J424" s="600"/>
      <c r="K424" s="600"/>
      <c r="L424" s="601"/>
      <c r="M424" s="601"/>
      <c r="N424" s="601"/>
      <c r="O424" s="601"/>
      <c r="P424" s="601"/>
      <c r="Q424" s="601"/>
      <c r="R424" s="601"/>
      <c r="S424" s="601"/>
      <c r="T424" s="601"/>
      <c r="U424" s="601"/>
      <c r="V424" s="601"/>
      <c r="W424" s="648"/>
      <c r="X424" s="601"/>
      <c r="Y424" s="601"/>
      <c r="Z424" s="601"/>
      <c r="AA424" s="601"/>
      <c r="AB424" s="601"/>
      <c r="AC424" s="601"/>
      <c r="AD424" s="601"/>
      <c r="AL424" s="422"/>
      <c r="AM424" s="422"/>
      <c r="AN424" s="562"/>
    </row>
    <row r="425" customHeight="1" spans="1:40">
      <c r="A425" s="351" t="s">
        <v>196</v>
      </c>
      <c r="B425" s="543" t="str">
        <f t="shared" ref="B425:P425" si="221">B1</f>
        <v>FY 95</v>
      </c>
      <c r="C425" s="543" t="str">
        <f t="shared" si="221"/>
        <v>FY 96</v>
      </c>
      <c r="D425" s="543" t="str">
        <f t="shared" si="221"/>
        <v>FY 97</v>
      </c>
      <c r="E425" s="543" t="str">
        <f t="shared" si="221"/>
        <v>FY 98</v>
      </c>
      <c r="F425" s="543" t="str">
        <f t="shared" si="221"/>
        <v>FY 99</v>
      </c>
      <c r="G425" s="543" t="str">
        <f t="shared" si="221"/>
        <v>FY 00</v>
      </c>
      <c r="H425" s="543" t="str">
        <f t="shared" si="221"/>
        <v>FY 01</v>
      </c>
      <c r="I425" s="543" t="str">
        <f t="shared" si="221"/>
        <v>FY 02</v>
      </c>
      <c r="J425" s="543" t="str">
        <f t="shared" si="221"/>
        <v>FY 03</v>
      </c>
      <c r="K425" s="543" t="str">
        <f t="shared" si="221"/>
        <v>FY 04</v>
      </c>
      <c r="L425" s="544" t="str">
        <f t="shared" si="221"/>
        <v>FY 05</v>
      </c>
      <c r="M425" s="544" t="str">
        <f t="shared" si="221"/>
        <v>FY 06</v>
      </c>
      <c r="N425" s="544" t="str">
        <f t="shared" si="221"/>
        <v>FY 07</v>
      </c>
      <c r="O425" s="544" t="str">
        <f t="shared" si="221"/>
        <v>FY 08</v>
      </c>
      <c r="P425" s="544" t="str">
        <f t="shared" si="221"/>
        <v>FY 09</v>
      </c>
      <c r="Q425" s="544" t="str">
        <f t="shared" ref="Q425:AB425" si="222">Q$1</f>
        <v>FY 10</v>
      </c>
      <c r="R425" s="544" t="str">
        <f t="shared" si="222"/>
        <v>FY 11</v>
      </c>
      <c r="S425" s="544" t="str">
        <f t="shared" si="222"/>
        <v>FY 12</v>
      </c>
      <c r="T425" s="544" t="str">
        <f t="shared" si="222"/>
        <v>FY 13</v>
      </c>
      <c r="U425" s="544" t="str">
        <f t="shared" si="222"/>
        <v>FY 14</v>
      </c>
      <c r="V425" s="544" t="str">
        <f t="shared" si="222"/>
        <v>FY 15</v>
      </c>
      <c r="W425" s="545" t="str">
        <f t="shared" si="222"/>
        <v>FY 16</v>
      </c>
      <c r="X425" s="544" t="str">
        <f t="shared" si="222"/>
        <v>FY 17E</v>
      </c>
      <c r="Y425" s="544" t="str">
        <f t="shared" si="222"/>
        <v>FY 18E</v>
      </c>
      <c r="Z425" s="544" t="str">
        <f t="shared" si="222"/>
        <v>FY 19E</v>
      </c>
      <c r="AA425" s="544" t="str">
        <f t="shared" si="222"/>
        <v>FY 20E</v>
      </c>
      <c r="AB425" s="544" t="str">
        <f t="shared" si="222"/>
        <v>FY 21E</v>
      </c>
      <c r="AC425" s="544"/>
      <c r="AD425" s="544"/>
      <c r="AL425" s="422"/>
      <c r="AM425" s="422"/>
      <c r="AN425" s="562"/>
    </row>
    <row r="426" customHeight="1" spans="1:40">
      <c r="A426" s="360" t="s">
        <v>197</v>
      </c>
      <c r="B426" s="401"/>
      <c r="C426" s="401"/>
      <c r="D426" s="401"/>
      <c r="E426" s="401"/>
      <c r="F426" s="401"/>
      <c r="G426" s="401"/>
      <c r="H426" s="401"/>
      <c r="I426" s="401"/>
      <c r="J426" s="401"/>
      <c r="K426" s="401"/>
      <c r="L426" s="392">
        <v>1.24448859110941</v>
      </c>
      <c r="M426" s="392">
        <v>1.25609692307692</v>
      </c>
      <c r="N426" s="392">
        <v>1.37040095571096</v>
      </c>
      <c r="O426" s="392">
        <v>1.47154165535957</v>
      </c>
      <c r="P426" s="392">
        <v>1.39527312294099</v>
      </c>
      <c r="Q426" s="392">
        <f>'[137]Master FX'!$AA$76</f>
        <v>1.32690896661932</v>
      </c>
      <c r="R426" s="392">
        <f>'[137]Master FX'!$AE$76</f>
        <v>1.39200917431527</v>
      </c>
      <c r="S426" s="392">
        <f>'[137]Master FX'!$AI$76</f>
        <v>1.28553307692308</v>
      </c>
      <c r="T426" s="392">
        <f>'[137]Master FX'!$AM$76</f>
        <v>1.32794221244901</v>
      </c>
      <c r="U426" s="392">
        <f>'[137]Master FX'!$AQ$76</f>
        <v>1.32907636227054</v>
      </c>
      <c r="V426" s="392">
        <f>'[137]Master FX'!$AU$76</f>
        <v>1.10998815523019</v>
      </c>
      <c r="W426" s="649">
        <f>'[137]Master FX'!$AY$76</f>
        <v>1.10646912004662</v>
      </c>
      <c r="X426" s="392">
        <f>'[137]Master FX'!$BC$76</f>
        <v>1.12992290236686</v>
      </c>
      <c r="Y426" s="392">
        <f>'[137]Master FX'!$BF$10</f>
        <v>1.17765314792899</v>
      </c>
      <c r="Z426" s="392">
        <f t="shared" ref="Z426:AB435" si="223">Y426</f>
        <v>1.17765314792899</v>
      </c>
      <c r="AA426" s="392">
        <f t="shared" si="223"/>
        <v>1.17765314792899</v>
      </c>
      <c r="AB426" s="392">
        <f t="shared" si="223"/>
        <v>1.17765314792899</v>
      </c>
      <c r="AC426" s="392"/>
      <c r="AD426" s="392"/>
      <c r="AL426" s="422"/>
      <c r="AM426" s="422"/>
      <c r="AN426" s="562"/>
    </row>
    <row r="427" customHeight="1" spans="1:40">
      <c r="A427" s="360" t="s">
        <v>198</v>
      </c>
      <c r="B427" s="573"/>
      <c r="C427" s="401"/>
      <c r="D427" s="401"/>
      <c r="E427" s="573"/>
      <c r="F427" s="573"/>
      <c r="G427" s="573"/>
      <c r="H427" s="573"/>
      <c r="I427" s="573"/>
      <c r="J427" s="573"/>
      <c r="K427" s="573"/>
      <c r="L427" s="392">
        <v>136.960813701923</v>
      </c>
      <c r="M427" s="392">
        <v>146.134192307692</v>
      </c>
      <c r="N427" s="392">
        <v>161.274825174825</v>
      </c>
      <c r="O427" s="392">
        <v>152.627834055248</v>
      </c>
      <c r="P427" s="392">
        <v>130.58939728786</v>
      </c>
      <c r="Q427" s="392">
        <f>'[137]Master FX'!$AA$75</f>
        <v>116.560710227273</v>
      </c>
      <c r="R427" s="392">
        <f>'[137]Master FX'!$AE$75</f>
        <v>111.130393411276</v>
      </c>
      <c r="S427" s="392">
        <f>'[137]Master FX'!$AI$75</f>
        <v>102.652534382284</v>
      </c>
      <c r="T427" s="392">
        <f>'[137]Master FX'!$AM$75</f>
        <v>129.603662514569</v>
      </c>
      <c r="U427" s="392">
        <f>'[137]Master FX'!$AQ$75</f>
        <v>140.461670472756</v>
      </c>
      <c r="V427" s="392">
        <f>'[137]Master FX'!$AU$75</f>
        <v>134.40786509324</v>
      </c>
      <c r="W427" s="649">
        <f>'[137]Master FX'!$AY$75</f>
        <v>120.327902680653</v>
      </c>
      <c r="X427" s="392">
        <f>'[137]Master FX'!$BC$75</f>
        <v>126.761461538462</v>
      </c>
      <c r="Y427" s="392">
        <f>'[137]Master FX'!$BF$9</f>
        <v>133.297076923077</v>
      </c>
      <c r="Z427" s="392">
        <f t="shared" si="223"/>
        <v>133.297076923077</v>
      </c>
      <c r="AA427" s="392">
        <f t="shared" si="223"/>
        <v>133.297076923077</v>
      </c>
      <c r="AB427" s="392">
        <f t="shared" si="223"/>
        <v>133.297076923077</v>
      </c>
      <c r="AC427" s="392"/>
      <c r="AD427" s="392"/>
      <c r="AL427" s="422"/>
      <c r="AM427" s="422"/>
      <c r="AN427" s="562"/>
    </row>
    <row r="428" customHeight="1" spans="1:40">
      <c r="A428" s="360" t="s">
        <v>199</v>
      </c>
      <c r="B428" s="411"/>
      <c r="C428" s="401"/>
      <c r="D428" s="401"/>
      <c r="E428" s="411"/>
      <c r="F428" s="411"/>
      <c r="G428" s="411"/>
      <c r="H428" s="411"/>
      <c r="I428" s="411"/>
      <c r="J428" s="411"/>
      <c r="K428" s="411"/>
      <c r="L428" s="392">
        <v>200.34774371722</v>
      </c>
      <c r="M428" s="392">
        <v>214.411653846154</v>
      </c>
      <c r="N428" s="392">
        <v>235.804172494172</v>
      </c>
      <c r="O428" s="392">
        <v>192.805751008941</v>
      </c>
      <c r="P428" s="392">
        <v>146.454469571843</v>
      </c>
      <c r="Q428" s="392">
        <v>147.106774193548</v>
      </c>
      <c r="R428" s="392">
        <v>147.106774193548</v>
      </c>
      <c r="S428" s="392">
        <f t="shared" ref="S428:Y428" si="224">R428</f>
        <v>147.106774193548</v>
      </c>
      <c r="T428" s="392">
        <f t="shared" si="224"/>
        <v>147.106774193548</v>
      </c>
      <c r="U428" s="392">
        <f t="shared" si="224"/>
        <v>147.106774193548</v>
      </c>
      <c r="V428" s="392">
        <f t="shared" si="224"/>
        <v>147.106774193548</v>
      </c>
      <c r="W428" s="649">
        <f t="shared" si="224"/>
        <v>147.106774193548</v>
      </c>
      <c r="X428" s="392">
        <f t="shared" si="224"/>
        <v>147.106774193548</v>
      </c>
      <c r="Y428" s="392">
        <f t="shared" si="224"/>
        <v>147.106774193548</v>
      </c>
      <c r="Z428" s="392">
        <f t="shared" si="223"/>
        <v>147.106774193548</v>
      </c>
      <c r="AA428" s="392">
        <f t="shared" si="223"/>
        <v>147.106774193548</v>
      </c>
      <c r="AB428" s="392">
        <f t="shared" si="223"/>
        <v>147.106774193548</v>
      </c>
      <c r="AC428" s="392"/>
      <c r="AD428" s="392"/>
      <c r="AL428" s="422"/>
      <c r="AM428" s="422"/>
      <c r="AN428" s="562"/>
    </row>
    <row r="429" customHeight="1" spans="1:40">
      <c r="A429" s="360" t="s">
        <v>200</v>
      </c>
      <c r="B429" s="411"/>
      <c r="C429" s="401"/>
      <c r="D429" s="401"/>
      <c r="E429" s="411"/>
      <c r="F429" s="411"/>
      <c r="G429" s="411"/>
      <c r="H429" s="411"/>
      <c r="I429" s="411"/>
      <c r="J429" s="411"/>
      <c r="K429" s="411"/>
      <c r="L429" s="392">
        <f>'[137]Master FX'!$G$92</f>
        <v>35.1890122636218</v>
      </c>
      <c r="M429" s="392">
        <f>'[137]Master FX'!$K$92</f>
        <v>34.1156769230769</v>
      </c>
      <c r="N429" s="392">
        <f>'[137]Master FX'!$O$92</f>
        <v>35.0154693356643</v>
      </c>
      <c r="O429" s="392">
        <f>'[137]Master FX'!$S$92</f>
        <v>36.4592889417423</v>
      </c>
      <c r="P429" s="392">
        <f>'[137]Master FX'!W92</f>
        <v>44.1099169105114</v>
      </c>
      <c r="Q429" s="392">
        <f>'[137]Master FX'!AA92</f>
        <v>40.2763605705492</v>
      </c>
      <c r="R429" s="392">
        <f>'[137]Master FX'!AE92</f>
        <v>40.873406572516</v>
      </c>
      <c r="S429" s="392">
        <f>'[137]Master FX'!AI92</f>
        <v>39.9054985081585</v>
      </c>
      <c r="T429" s="392">
        <f>'[137]Master FX'!AM92</f>
        <v>42.3046438029939</v>
      </c>
      <c r="U429" s="392">
        <f>'[137]Master FX'!AQ92</f>
        <v>51.0051874007503</v>
      </c>
      <c r="V429" s="392">
        <f>'[137]Master FX'!AU92</f>
        <v>67.994849667468</v>
      </c>
      <c r="W429" s="649">
        <f>'[137]Master FX'!AY92</f>
        <v>74.1525691142191</v>
      </c>
      <c r="X429" s="392">
        <f>'[137]Master FX'!BC92</f>
        <v>65.6270796153846</v>
      </c>
      <c r="Y429" s="392">
        <f>'[137]Master FX'!$BF$27</f>
        <v>67.6436461538461</v>
      </c>
      <c r="Z429" s="392">
        <f t="shared" si="223"/>
        <v>67.6436461538461</v>
      </c>
      <c r="AA429" s="392">
        <f t="shared" si="223"/>
        <v>67.6436461538461</v>
      </c>
      <c r="AB429" s="392">
        <f t="shared" si="223"/>
        <v>67.6436461538461</v>
      </c>
      <c r="AC429" s="392"/>
      <c r="AD429" s="392"/>
      <c r="AL429" s="422"/>
      <c r="AM429" s="422"/>
      <c r="AN429" s="562"/>
    </row>
    <row r="430" customHeight="1" spans="1:40">
      <c r="A430" s="360" t="s">
        <v>201</v>
      </c>
      <c r="B430" s="411"/>
      <c r="C430" s="401"/>
      <c r="D430" s="401"/>
      <c r="E430" s="411"/>
      <c r="F430" s="411"/>
      <c r="G430" s="411"/>
      <c r="H430" s="411"/>
      <c r="I430" s="411"/>
      <c r="J430" s="411"/>
      <c r="K430" s="411"/>
      <c r="L430" s="392"/>
      <c r="M430" s="392"/>
      <c r="N430" s="392"/>
      <c r="O430" s="392">
        <f>'[137]Master FX'!$S$93</f>
        <v>24.8799885804196</v>
      </c>
      <c r="P430" s="392">
        <f>'[137]Master FX'!W93</f>
        <v>31.7553252744027</v>
      </c>
      <c r="Q430" s="392">
        <f>'[137]Master FX'!AA93</f>
        <v>30.3811129256854</v>
      </c>
      <c r="R430" s="392">
        <f>'[137]Master FX'!AE93</f>
        <v>29.4029356786313</v>
      </c>
      <c r="S430" s="392">
        <f>'[137]Master FX'!AI93</f>
        <v>31.0677959778555</v>
      </c>
      <c r="T430" s="392">
        <f>'[137]Master FX'!AM93</f>
        <v>31.8522827468313</v>
      </c>
      <c r="U430" s="392">
        <f>'[137]Master FX'!AQ93</f>
        <v>38.5971936969697</v>
      </c>
      <c r="V430" s="392">
        <f>'[137]Master FX'!AU93</f>
        <v>61.2474579526697</v>
      </c>
      <c r="W430" s="649">
        <f>'[137]Master FX'!AY93</f>
        <v>67.0144026247086</v>
      </c>
      <c r="X430" s="392">
        <f>'[137]Master FX'!BC93</f>
        <v>58.0840131153846</v>
      </c>
      <c r="Y430" s="392">
        <f>'[137]Master FX'!$BF$28</f>
        <v>57.4388389230769</v>
      </c>
      <c r="Z430" s="392">
        <f>Y430</f>
        <v>57.4388389230769</v>
      </c>
      <c r="AA430" s="392">
        <f>Z430</f>
        <v>57.4388389230769</v>
      </c>
      <c r="AB430" s="392">
        <f>AA430</f>
        <v>57.4388389230769</v>
      </c>
      <c r="AC430" s="392"/>
      <c r="AD430" s="392"/>
      <c r="AL430" s="422"/>
      <c r="AM430" s="422"/>
      <c r="AN430" s="562"/>
    </row>
    <row r="431" customHeight="1" spans="1:40">
      <c r="A431" s="360" t="s">
        <v>202</v>
      </c>
      <c r="B431" s="411"/>
      <c r="C431" s="401"/>
      <c r="D431" s="401"/>
      <c r="E431" s="411"/>
      <c r="F431" s="411"/>
      <c r="G431" s="411"/>
      <c r="H431" s="411"/>
      <c r="I431" s="411"/>
      <c r="J431" s="411"/>
      <c r="K431" s="411"/>
      <c r="L431" s="392">
        <f>'[137]Master FX'!$G$89</f>
        <v>3.03812043851981</v>
      </c>
      <c r="M431" s="392">
        <f>'[137]Master FX'!$K$89</f>
        <v>2.73249980769231</v>
      </c>
      <c r="N431" s="392">
        <f>'[137]Master FX'!$O$89</f>
        <v>2.66368690850816</v>
      </c>
      <c r="O431" s="392">
        <f>'[137]Master FX'!$S$89</f>
        <v>2.67550293153985</v>
      </c>
      <c r="P431" s="392">
        <f>'[137]Master FX'!$W$89</f>
        <v>2.77141821623689</v>
      </c>
      <c r="Q431" s="392">
        <f>'[137]Master FX'!$AA$89</f>
        <v>2.33460454545455</v>
      </c>
      <c r="R431" s="392">
        <f>'[137]Master FX'!$AE$89</f>
        <v>2.32733085773601</v>
      </c>
      <c r="S431" s="392">
        <f>'[137]Master FX'!$AI$89</f>
        <v>2.51000071386946</v>
      </c>
      <c r="T431" s="392">
        <f>'[137]Master FX'!$AM$89</f>
        <v>2.86701591792322</v>
      </c>
      <c r="U431" s="392">
        <f>'[137]Master FX'!$AQ$89</f>
        <v>3.12334078525641</v>
      </c>
      <c r="V431" s="392">
        <f>'[137]Master FX'!$AU$89</f>
        <v>3.69560962285111</v>
      </c>
      <c r="W431" s="649">
        <f>'[137]Master FX'!$AY$89</f>
        <v>3.85961662296037</v>
      </c>
      <c r="X431" s="392">
        <f>'[137]Master FX'!$BC$89</f>
        <v>3.58454211538462</v>
      </c>
      <c r="Y431" s="392">
        <f>'[137]Master FX'!$BF$23</f>
        <v>3.72918461538462</v>
      </c>
      <c r="Z431" s="392">
        <f t="shared" si="223"/>
        <v>3.72918461538462</v>
      </c>
      <c r="AA431" s="392">
        <f t="shared" si="223"/>
        <v>3.72918461538462</v>
      </c>
      <c r="AB431" s="392">
        <f t="shared" si="223"/>
        <v>3.72918461538462</v>
      </c>
      <c r="AC431" s="392"/>
      <c r="AD431" s="392"/>
      <c r="AL431" s="422"/>
      <c r="AM431" s="422"/>
      <c r="AN431" s="562"/>
    </row>
    <row r="432" customHeight="1" spans="1:40">
      <c r="A432" s="360" t="s">
        <v>203</v>
      </c>
      <c r="B432" s="411"/>
      <c r="C432" s="401"/>
      <c r="D432" s="401"/>
      <c r="E432" s="411"/>
      <c r="F432" s="411"/>
      <c r="G432" s="411"/>
      <c r="H432" s="411"/>
      <c r="I432" s="411"/>
      <c r="J432" s="411"/>
      <c r="K432" s="411"/>
      <c r="L432" s="392">
        <f>'[137]Master FX'!$G$82</f>
        <v>10.1995265996504</v>
      </c>
      <c r="M432" s="392">
        <f>'[137]Master FX'!$K$82</f>
        <v>10.0119753846154</v>
      </c>
      <c r="N432" s="392">
        <f>'[137]Master FX'!$O$82</f>
        <v>10.4182988141026</v>
      </c>
      <c r="O432" s="392">
        <f>'[137]Master FX'!$S$82</f>
        <v>10.2326392482083</v>
      </c>
      <c r="P432" s="392">
        <f>'[137]Master FX'!$W$82</f>
        <v>9.51805056799971</v>
      </c>
      <c r="Q432" s="392">
        <f>'[137]Master FX'!$AA$82</f>
        <v>8.98128603219697</v>
      </c>
      <c r="R432" s="392">
        <f>'[137]Master FX'!$AE$82</f>
        <v>8.99933711793415</v>
      </c>
      <c r="S432" s="392">
        <f>'[137]Master FX'!$AI$82</f>
        <v>8.11033960664336</v>
      </c>
      <c r="T432" s="392">
        <f>'[137]Master FX'!$AM$82</f>
        <v>8.16424476061699</v>
      </c>
      <c r="U432" s="392">
        <f>'[137]Master FX'!$AQ$82</f>
        <v>8.18965801027098</v>
      </c>
      <c r="V432" s="392">
        <f>'[137]Master FX'!$AU$82</f>
        <v>6.97492091592002</v>
      </c>
      <c r="W432" s="649">
        <f>'[137]Master FX'!$AY$82</f>
        <v>7.3483296969697</v>
      </c>
      <c r="X432" s="392">
        <f>'[137]Master FX'!$BC$82</f>
        <v>7.63258403846154</v>
      </c>
      <c r="Y432" s="392">
        <f>'[137]Master FX'!$BF$16</f>
        <v>7.79582846153846</v>
      </c>
      <c r="Z432" s="392">
        <f t="shared" si="223"/>
        <v>7.79582846153846</v>
      </c>
      <c r="AA432" s="392">
        <f t="shared" si="223"/>
        <v>7.79582846153846</v>
      </c>
      <c r="AB432" s="392">
        <f t="shared" si="223"/>
        <v>7.79582846153846</v>
      </c>
      <c r="AC432" s="392"/>
      <c r="AD432" s="392"/>
      <c r="AL432" s="422"/>
      <c r="AM432" s="422"/>
      <c r="AN432" s="562"/>
    </row>
    <row r="433" customHeight="1" spans="1:40">
      <c r="A433" s="360" t="s">
        <v>204</v>
      </c>
      <c r="B433" s="411"/>
      <c r="C433" s="401"/>
      <c r="D433" s="401"/>
      <c r="E433" s="411"/>
      <c r="F433" s="411"/>
      <c r="G433" s="411"/>
      <c r="H433" s="411"/>
      <c r="I433" s="411"/>
      <c r="J433" s="411"/>
      <c r="K433" s="411"/>
      <c r="L433" s="392">
        <f>'[137]Master FX'!$G$77</f>
        <v>0.683858430124563</v>
      </c>
      <c r="M433" s="392">
        <f>'[137]Master FX'!$K$77</f>
        <v>0.681765384615385</v>
      </c>
      <c r="N433" s="392">
        <f>'[137]Master FX'!$O$77</f>
        <v>0.684561637529138</v>
      </c>
      <c r="O433" s="392">
        <f>'[137]Master FX'!$S$77</f>
        <v>0.797026576296838</v>
      </c>
      <c r="P433" s="392">
        <f>'[137]Master FX'!$W$77</f>
        <v>0.89133998361014</v>
      </c>
      <c r="Q433" s="392">
        <f>'[137]Master FX'!$AA$77</f>
        <v>0.858468957149621</v>
      </c>
      <c r="R433" s="392">
        <f>'[137]Master FX'!$AE$77</f>
        <v>0.867843630354021</v>
      </c>
      <c r="S433" s="392">
        <f>'[137]Master FX'!$AI$77</f>
        <v>0.81113858974359</v>
      </c>
      <c r="T433" s="392">
        <f>'[137]Master FX'!$AM$77</f>
        <v>0.849086033653846</v>
      </c>
      <c r="U433" s="392">
        <f>'[137]Master FX'!$AQ$77</f>
        <v>0.806411954672931</v>
      </c>
      <c r="V433" s="392">
        <f>'[137]Master FX'!$AU$77</f>
        <v>0.726473229075612</v>
      </c>
      <c r="W433" s="649">
        <f>'[137]Master FX'!$AY$77</f>
        <v>0.819196028554779</v>
      </c>
      <c r="X433" s="392">
        <f>'[137]Master FX'!$BC$77</f>
        <v>0.878719076923077</v>
      </c>
      <c r="Y433" s="392">
        <f>'[137]Master FX'!$BF$11</f>
        <v>0.896481692307692</v>
      </c>
      <c r="Z433" s="392">
        <f t="shared" si="223"/>
        <v>0.896481692307692</v>
      </c>
      <c r="AA433" s="392">
        <f t="shared" si="223"/>
        <v>0.896481692307692</v>
      </c>
      <c r="AB433" s="392">
        <f t="shared" si="223"/>
        <v>0.896481692307692</v>
      </c>
      <c r="AC433" s="392"/>
      <c r="AD433" s="392"/>
      <c r="AL433" s="422"/>
      <c r="AM433" s="422"/>
      <c r="AN433" s="562"/>
    </row>
    <row r="434" customHeight="1" spans="1:40">
      <c r="A434" s="360" t="s">
        <v>205</v>
      </c>
      <c r="B434" s="411"/>
      <c r="C434" s="401"/>
      <c r="D434" s="401"/>
      <c r="E434" s="411"/>
      <c r="F434" s="411"/>
      <c r="G434" s="411"/>
      <c r="H434" s="411"/>
      <c r="I434" s="411"/>
      <c r="J434" s="411"/>
      <c r="K434" s="411"/>
      <c r="L434" s="392"/>
      <c r="M434" s="392"/>
      <c r="N434" s="392"/>
      <c r="O434" s="392"/>
      <c r="P434" s="392">
        <f>AVERAGE('[137]Master FX'!$W$24:$Z$24)</f>
        <v>5.20366385580565</v>
      </c>
      <c r="Q434" s="392">
        <f>AVERAGE('[137]Master FX'!$AA$24:$AD$24)</f>
        <v>5.1899201467803</v>
      </c>
      <c r="R434" s="392">
        <f>AVERAGE('[137]Master FX'!$AE$24:$AH$24)</f>
        <v>5.74628736860796</v>
      </c>
      <c r="S434" s="392">
        <f>AVERAGE('[137]Master FX'!$AI$24:$AL$24)</f>
        <v>5.84641298368299</v>
      </c>
      <c r="T434" s="392">
        <f>AVERAGE('[137]Master FX'!$AM$24:$AP$24)</f>
        <v>7.27700661877185</v>
      </c>
      <c r="U434" s="392">
        <f>AVERAGE('[137]Master FX'!$AQ$24:$AT$24)</f>
        <v>10.7690482960919</v>
      </c>
      <c r="V434" s="392">
        <f>AVERAGE('[137]Master FX'!$AU$24:$AX$24)</f>
        <v>10.275041037205</v>
      </c>
      <c r="W434" s="649">
        <f>AVERAGE('[137]Master FX'!$AY$24:$BB$24)</f>
        <v>16.3334266351981</v>
      </c>
      <c r="X434" s="392">
        <f>AVERAGE('[137]Master FX'!$BC$24:$BF$24)</f>
        <v>18.6896767692308</v>
      </c>
      <c r="Y434" s="392">
        <f>'[137]Master FX'!$BF$24</f>
        <v>20.4232653846154</v>
      </c>
      <c r="Z434" s="392">
        <f t="shared" si="223"/>
        <v>20.4232653846154</v>
      </c>
      <c r="AA434" s="392">
        <f t="shared" si="223"/>
        <v>20.4232653846154</v>
      </c>
      <c r="AB434" s="392">
        <f t="shared" si="223"/>
        <v>20.4232653846154</v>
      </c>
      <c r="AC434" s="392"/>
      <c r="AD434" s="392"/>
      <c r="AL434" s="422"/>
      <c r="AM434" s="422"/>
      <c r="AN434" s="562"/>
    </row>
    <row r="435" customHeight="1" spans="1:40">
      <c r="A435" s="360" t="s">
        <v>206</v>
      </c>
      <c r="B435" s="411"/>
      <c r="C435" s="401"/>
      <c r="D435" s="401"/>
      <c r="E435" s="411"/>
      <c r="F435" s="411"/>
      <c r="G435" s="411"/>
      <c r="H435" s="411"/>
      <c r="I435" s="411"/>
      <c r="J435" s="411"/>
      <c r="K435" s="411"/>
      <c r="L435" s="392"/>
      <c r="M435" s="392"/>
      <c r="N435" s="392"/>
      <c r="O435" s="392"/>
      <c r="P435" s="392">
        <f>'[137]Master FX'!$W$90</f>
        <v>18.7839553395068</v>
      </c>
      <c r="Q435" s="392">
        <f>'[137]Master FX'!$AA$90</f>
        <v>16.7522020809659</v>
      </c>
      <c r="R435" s="392">
        <f>'[137]Master FX'!$AE$90</f>
        <v>17.2853406011619</v>
      </c>
      <c r="S435" s="392">
        <f>'[137]Master FX'!$AI$90</f>
        <v>16.9078725885781</v>
      </c>
      <c r="T435" s="392">
        <f>'[137]Master FX'!$AM$90</f>
        <v>16.9544990877222</v>
      </c>
      <c r="U435" s="392">
        <f>'[137]Master FX'!$AQ$90</f>
        <v>17.6711930537405</v>
      </c>
      <c r="V435" s="392">
        <f>'[137]Master FX'!$AU$90</f>
        <v>17.6039281874454</v>
      </c>
      <c r="W435" s="649">
        <f>'[137]Master FX'!$AY$90</f>
        <v>20.6648463706294</v>
      </c>
      <c r="X435" s="392">
        <f>'[137]Master FX'!$BC$90</f>
        <v>21.2886941153846</v>
      </c>
      <c r="Y435" s="392">
        <f>'[137]Master FX'!$BF$25</f>
        <v>22.1543192307692</v>
      </c>
      <c r="Z435" s="392">
        <f t="shared" si="223"/>
        <v>22.1543192307692</v>
      </c>
      <c r="AA435" s="392">
        <f t="shared" si="223"/>
        <v>22.1543192307692</v>
      </c>
      <c r="AB435" s="392">
        <f t="shared" si="223"/>
        <v>22.1543192307692</v>
      </c>
      <c r="AC435" s="392"/>
      <c r="AD435" s="392"/>
      <c r="AL435" s="422"/>
      <c r="AM435" s="422"/>
      <c r="AN435" s="562"/>
    </row>
    <row r="436" customHeight="1" spans="1:40">
      <c r="B436" s="600"/>
      <c r="C436" s="600"/>
      <c r="D436" s="600"/>
      <c r="E436" s="600"/>
      <c r="F436" s="600"/>
      <c r="G436" s="600"/>
      <c r="H436" s="600"/>
      <c r="I436" s="600"/>
      <c r="J436" s="600"/>
      <c r="K436" s="600"/>
      <c r="L436" s="601"/>
      <c r="M436" s="601"/>
      <c r="N436" s="601"/>
      <c r="O436" s="601"/>
      <c r="P436" s="601"/>
      <c r="Q436" s="601"/>
      <c r="R436" s="601"/>
      <c r="S436" s="601"/>
      <c r="T436" s="601"/>
      <c r="U436" s="601"/>
      <c r="V436" s="601"/>
      <c r="W436" s="648"/>
      <c r="X436" s="601"/>
      <c r="Y436" s="601"/>
      <c r="Z436" s="601"/>
      <c r="AA436" s="601"/>
      <c r="AB436" s="601"/>
      <c r="AC436" s="601"/>
      <c r="AD436" s="601"/>
      <c r="AL436" s="422"/>
      <c r="AM436" s="422"/>
      <c r="AN436" s="562"/>
    </row>
    <row r="437" customHeight="1" spans="1:40">
      <c r="A437" s="351" t="s">
        <v>207</v>
      </c>
      <c r="B437" s="543" t="str">
        <f t="shared" ref="B437:L437" si="225">B1</f>
        <v>FY 95</v>
      </c>
      <c r="C437" s="543" t="str">
        <f t="shared" si="225"/>
        <v>FY 96</v>
      </c>
      <c r="D437" s="543" t="str">
        <f t="shared" si="225"/>
        <v>FY 97</v>
      </c>
      <c r="E437" s="543" t="str">
        <f t="shared" si="225"/>
        <v>FY 98</v>
      </c>
      <c r="F437" s="543" t="str">
        <f t="shared" si="225"/>
        <v>FY 99</v>
      </c>
      <c r="G437" s="543" t="str">
        <f t="shared" si="225"/>
        <v>FY 00</v>
      </c>
      <c r="H437" s="543" t="str">
        <f t="shared" si="225"/>
        <v>FY 01</v>
      </c>
      <c r="I437" s="543" t="str">
        <f t="shared" si="225"/>
        <v>FY 02</v>
      </c>
      <c r="J437" s="543" t="str">
        <f t="shared" si="225"/>
        <v>FY 03</v>
      </c>
      <c r="K437" s="543" t="str">
        <f t="shared" si="225"/>
        <v>FY 04</v>
      </c>
      <c r="L437" s="544" t="str">
        <f t="shared" si="225"/>
        <v>FY 05</v>
      </c>
      <c r="M437" s="544" t="s">
        <v>25</v>
      </c>
      <c r="N437" s="544" t="s">
        <v>26</v>
      </c>
      <c r="O437" s="544" t="s">
        <v>27</v>
      </c>
      <c r="P437" s="544" t="str">
        <f>P$1</f>
        <v>FY 09</v>
      </c>
      <c r="Q437" s="544" t="str">
        <f t="shared" ref="Q437:AB437" si="226">Q1</f>
        <v>FY 10</v>
      </c>
      <c r="R437" s="544" t="str">
        <f t="shared" si="226"/>
        <v>FY 11</v>
      </c>
      <c r="S437" s="544" t="str">
        <f t="shared" si="226"/>
        <v>FY 12</v>
      </c>
      <c r="T437" s="544" t="str">
        <f t="shared" si="226"/>
        <v>FY 13</v>
      </c>
      <c r="U437" s="544" t="str">
        <f t="shared" si="226"/>
        <v>FY 14</v>
      </c>
      <c r="V437" s="544" t="str">
        <f t="shared" si="226"/>
        <v>FY 15</v>
      </c>
      <c r="W437" s="545" t="str">
        <f t="shared" si="226"/>
        <v>FY 16</v>
      </c>
      <c r="X437" s="544" t="str">
        <f t="shared" si="226"/>
        <v>FY 17E</v>
      </c>
      <c r="Y437" s="544" t="str">
        <f t="shared" si="226"/>
        <v>FY 18E</v>
      </c>
      <c r="Z437" s="544" t="str">
        <f t="shared" si="226"/>
        <v>FY 19E</v>
      </c>
      <c r="AA437" s="544" t="str">
        <f t="shared" si="226"/>
        <v>FY 20E</v>
      </c>
      <c r="AB437" s="544" t="str">
        <f t="shared" si="226"/>
        <v>FY 21E</v>
      </c>
      <c r="AC437" s="544"/>
      <c r="AD437" s="544"/>
      <c r="AL437" s="422"/>
      <c r="AM437" s="422"/>
      <c r="AN437" s="562"/>
    </row>
    <row r="438" customHeight="1" spans="1:40">
      <c r="A438" s="360" t="s">
        <v>197</v>
      </c>
      <c r="B438" s="401"/>
      <c r="C438" s="401"/>
      <c r="D438" s="401"/>
      <c r="E438" s="401"/>
      <c r="F438" s="401"/>
      <c r="G438" s="401"/>
      <c r="H438" s="401"/>
      <c r="I438" s="401"/>
      <c r="J438" s="401"/>
      <c r="K438" s="401"/>
      <c r="L438" s="392"/>
      <c r="M438" s="362">
        <f t="shared" ref="M438:AB447" si="227">-(M426/L426-1)</f>
        <v>-0.00932779299902076</v>
      </c>
      <c r="N438" s="362">
        <f t="shared" si="227"/>
        <v>-0.0909993731646397</v>
      </c>
      <c r="O438" s="362">
        <f t="shared" si="227"/>
        <v>-0.0738037281914614</v>
      </c>
      <c r="P438" s="362">
        <f t="shared" si="227"/>
        <v>0.051828999974821</v>
      </c>
      <c r="Q438" s="362">
        <f t="shared" si="227"/>
        <v>0.0489969706988762</v>
      </c>
      <c r="R438" s="362">
        <f t="shared" si="227"/>
        <v>-0.049061547802945</v>
      </c>
      <c r="S438" s="362">
        <f t="shared" si="227"/>
        <v>0.0764909451437824</v>
      </c>
      <c r="T438" s="362">
        <f t="shared" si="227"/>
        <v>-0.0329895327372194</v>
      </c>
      <c r="U438" s="362">
        <f t="shared" si="227"/>
        <v>-0.00085406564449908</v>
      </c>
      <c r="V438" s="362">
        <f t="shared" si="227"/>
        <v>0.164842452442743</v>
      </c>
      <c r="W438" s="384">
        <f t="shared" si="227"/>
        <v>0.00317033579771564</v>
      </c>
      <c r="X438" s="362">
        <f t="shared" si="227"/>
        <v>-0.021196960579664</v>
      </c>
      <c r="Y438" s="362">
        <f t="shared" si="227"/>
        <v>-0.0422420374541919</v>
      </c>
      <c r="Z438" s="362">
        <f t="shared" si="227"/>
        <v>0</v>
      </c>
      <c r="AA438" s="362">
        <f t="shared" si="227"/>
        <v>0</v>
      </c>
      <c r="AB438" s="362">
        <f t="shared" si="227"/>
        <v>0</v>
      </c>
      <c r="AC438" s="362"/>
      <c r="AD438" s="362"/>
      <c r="AL438" s="422"/>
      <c r="AM438" s="422"/>
      <c r="AN438" s="562"/>
    </row>
    <row r="439" customHeight="1" spans="1:40">
      <c r="A439" s="360" t="s">
        <v>198</v>
      </c>
      <c r="B439" s="573"/>
      <c r="C439" s="401"/>
      <c r="D439" s="401"/>
      <c r="E439" s="573"/>
      <c r="F439" s="573"/>
      <c r="G439" s="573"/>
      <c r="H439" s="573"/>
      <c r="I439" s="573"/>
      <c r="J439" s="573"/>
      <c r="K439" s="573"/>
      <c r="L439" s="392"/>
      <c r="M439" s="362">
        <f t="shared" si="227"/>
        <v>-0.0669781257705859</v>
      </c>
      <c r="N439" s="362">
        <f t="shared" si="227"/>
        <v>-0.10360773634177</v>
      </c>
      <c r="O439" s="362">
        <f t="shared" si="227"/>
        <v>0.053616496624341</v>
      </c>
      <c r="P439" s="362">
        <f t="shared" si="227"/>
        <v>0.144393300893011</v>
      </c>
      <c r="Q439" s="362">
        <f t="shared" si="227"/>
        <v>0.107425927004347</v>
      </c>
      <c r="R439" s="362">
        <f t="shared" si="227"/>
        <v>0.046587883733793</v>
      </c>
      <c r="S439" s="362">
        <f t="shared" si="227"/>
        <v>0.0762874922760021</v>
      </c>
      <c r="T439" s="362">
        <f t="shared" si="227"/>
        <v>-0.262547128470464</v>
      </c>
      <c r="U439" s="362">
        <f t="shared" si="227"/>
        <v>-0.0837785580092472</v>
      </c>
      <c r="V439" s="362">
        <f>-(V427/U427-1)</f>
        <v>0.0430993406182687</v>
      </c>
      <c r="W439" s="384">
        <f t="shared" si="227"/>
        <v>0.104755494798016</v>
      </c>
      <c r="X439" s="362">
        <f t="shared" si="227"/>
        <v>-0.0534668910076774</v>
      </c>
      <c r="Y439" s="362">
        <f t="shared" si="227"/>
        <v>-0.0515583782743967</v>
      </c>
      <c r="Z439" s="362">
        <f t="shared" si="227"/>
        <v>0</v>
      </c>
      <c r="AA439" s="362">
        <f t="shared" si="227"/>
        <v>0</v>
      </c>
      <c r="AB439" s="362">
        <f t="shared" si="227"/>
        <v>0</v>
      </c>
      <c r="AC439" s="362"/>
      <c r="AD439" s="362"/>
      <c r="AL439" s="422"/>
      <c r="AM439" s="422"/>
      <c r="AN439" s="562"/>
    </row>
    <row r="440" customHeight="1" spans="1:40">
      <c r="A440" s="360" t="s">
        <v>199</v>
      </c>
      <c r="B440" s="411"/>
      <c r="C440" s="401"/>
      <c r="D440" s="401"/>
      <c r="E440" s="411"/>
      <c r="F440" s="411"/>
      <c r="G440" s="411"/>
      <c r="H440" s="411"/>
      <c r="I440" s="411"/>
      <c r="J440" s="411"/>
      <c r="K440" s="411"/>
      <c r="L440" s="392"/>
      <c r="M440" s="362">
        <f t="shared" si="227"/>
        <v>-0.0701974969520194</v>
      </c>
      <c r="N440" s="362">
        <f t="shared" si="227"/>
        <v>-0.0997731152401273</v>
      </c>
      <c r="O440" s="362">
        <f t="shared" si="227"/>
        <v>0.182348009496286</v>
      </c>
      <c r="P440" s="362">
        <f t="shared" si="227"/>
        <v>0.240404039788984</v>
      </c>
      <c r="Q440" s="362">
        <f t="shared" si="227"/>
        <v>-0.00445397551616278</v>
      </c>
      <c r="R440" s="362">
        <f t="shared" si="227"/>
        <v>0</v>
      </c>
      <c r="S440" s="362">
        <f t="shared" si="227"/>
        <v>0</v>
      </c>
      <c r="T440" s="362">
        <f t="shared" si="227"/>
        <v>0</v>
      </c>
      <c r="U440" s="362">
        <f t="shared" si="227"/>
        <v>0</v>
      </c>
      <c r="V440" s="362">
        <f t="shared" si="227"/>
        <v>0</v>
      </c>
      <c r="W440" s="384">
        <f t="shared" si="227"/>
        <v>0</v>
      </c>
      <c r="X440" s="362">
        <f t="shared" si="227"/>
        <v>0</v>
      </c>
      <c r="Y440" s="362">
        <f t="shared" si="227"/>
        <v>0</v>
      </c>
      <c r="Z440" s="362">
        <f t="shared" si="227"/>
        <v>0</v>
      </c>
      <c r="AA440" s="362">
        <f t="shared" si="227"/>
        <v>0</v>
      </c>
      <c r="AB440" s="362">
        <f t="shared" si="227"/>
        <v>0</v>
      </c>
      <c r="AC440" s="362"/>
      <c r="AD440" s="362"/>
      <c r="AL440" s="422"/>
      <c r="AM440" s="422"/>
      <c r="AN440" s="562"/>
    </row>
    <row r="441" customHeight="1" spans="1:40">
      <c r="A441" s="360" t="s">
        <v>200</v>
      </c>
      <c r="B441" s="411"/>
      <c r="C441" s="401"/>
      <c r="D441" s="401"/>
      <c r="E441" s="411"/>
      <c r="F441" s="411"/>
      <c r="G441" s="411"/>
      <c r="H441" s="411"/>
      <c r="I441" s="411"/>
      <c r="J441" s="411"/>
      <c r="K441" s="411"/>
      <c r="L441" s="392"/>
      <c r="M441" s="362">
        <f t="shared" si="227"/>
        <v>0.0305020025144178</v>
      </c>
      <c r="N441" s="362">
        <f t="shared" si="227"/>
        <v>-0.0263747489055028</v>
      </c>
      <c r="O441" s="362">
        <f t="shared" si="227"/>
        <v>-0.0412337642039668</v>
      </c>
      <c r="P441" s="362">
        <f t="shared" si="227"/>
        <v>-0.209840295596379</v>
      </c>
      <c r="Q441" s="362">
        <f t="shared" si="227"/>
        <v>0.0869091716436353</v>
      </c>
      <c r="R441" s="362">
        <f t="shared" si="227"/>
        <v>-0.0148237326687197</v>
      </c>
      <c r="S441" s="362">
        <f t="shared" si="227"/>
        <v>0.0236806311370277</v>
      </c>
      <c r="T441" s="362">
        <f t="shared" si="227"/>
        <v>-0.0601206696953023</v>
      </c>
      <c r="U441" s="362">
        <f t="shared" si="227"/>
        <v>-0.205664031548723</v>
      </c>
      <c r="V441" s="362">
        <f t="shared" si="227"/>
        <v>-0.333096752164227</v>
      </c>
      <c r="W441" s="384">
        <f t="shared" si="227"/>
        <v>-0.0905615568953499</v>
      </c>
      <c r="X441" s="362">
        <f t="shared" si="227"/>
        <v>0.114972274065144</v>
      </c>
      <c r="Y441" s="362">
        <f t="shared" si="227"/>
        <v>-0.0307276592266463</v>
      </c>
      <c r="Z441" s="362">
        <f t="shared" si="227"/>
        <v>0</v>
      </c>
      <c r="AA441" s="362">
        <f t="shared" si="227"/>
        <v>0</v>
      </c>
      <c r="AB441" s="362">
        <f t="shared" si="227"/>
        <v>0</v>
      </c>
      <c r="AC441" s="362"/>
      <c r="AD441" s="560"/>
      <c r="AL441" s="422"/>
      <c r="AM441" s="422"/>
      <c r="AN441" s="562"/>
    </row>
    <row r="442" customHeight="1" spans="1:40">
      <c r="A442" s="360" t="s">
        <v>201</v>
      </c>
      <c r="B442" s="411"/>
      <c r="C442" s="401"/>
      <c r="D442" s="401"/>
      <c r="E442" s="411"/>
      <c r="F442" s="411"/>
      <c r="G442" s="411"/>
      <c r="H442" s="411"/>
      <c r="I442" s="411"/>
      <c r="J442" s="411"/>
      <c r="K442" s="411"/>
      <c r="L442" s="392"/>
      <c r="M442" s="362"/>
      <c r="N442" s="362"/>
      <c r="O442" s="362"/>
      <c r="P442" s="362">
        <f t="shared" si="227"/>
        <v>-0.276340026112148</v>
      </c>
      <c r="Q442" s="362">
        <f t="shared" si="227"/>
        <v>0.0432750203892566</v>
      </c>
      <c r="R442" s="362">
        <f t="shared" si="227"/>
        <v>0.032196886580385</v>
      </c>
      <c r="S442" s="362">
        <f t="shared" si="227"/>
        <v>-0.0566222474320537</v>
      </c>
      <c r="T442" s="362">
        <f t="shared" si="227"/>
        <v>-0.0252508021339841</v>
      </c>
      <c r="U442" s="362">
        <f t="shared" si="227"/>
        <v>-0.211755967499987</v>
      </c>
      <c r="V442" s="362">
        <f t="shared" si="227"/>
        <v>-0.586837075087102</v>
      </c>
      <c r="W442" s="384">
        <f t="shared" si="227"/>
        <v>-0.0941581065535066</v>
      </c>
      <c r="X442" s="362">
        <f t="shared" si="227"/>
        <v>0.133260749324822</v>
      </c>
      <c r="Y442" s="362">
        <f t="shared" si="227"/>
        <v>0.0111076035849321</v>
      </c>
      <c r="Z442" s="362">
        <f t="shared" si="227"/>
        <v>0</v>
      </c>
      <c r="AA442" s="362">
        <f t="shared" si="227"/>
        <v>0</v>
      </c>
      <c r="AB442" s="362">
        <f t="shared" si="227"/>
        <v>0</v>
      </c>
      <c r="AC442" s="362"/>
      <c r="AD442" s="362"/>
      <c r="AL442" s="422"/>
      <c r="AM442" s="422"/>
      <c r="AN442" s="562"/>
    </row>
    <row r="443" customHeight="1" spans="1:40">
      <c r="A443" s="360" t="s">
        <v>202</v>
      </c>
      <c r="B443" s="411"/>
      <c r="C443" s="401"/>
      <c r="D443" s="401"/>
      <c r="E443" s="411"/>
      <c r="F443" s="411"/>
      <c r="G443" s="411"/>
      <c r="H443" s="411"/>
      <c r="I443" s="411"/>
      <c r="J443" s="411"/>
      <c r="K443" s="411"/>
      <c r="L443" s="392"/>
      <c r="M443" s="362">
        <f t="shared" ref="M443:O445" si="228">-(M431/L431-1)</f>
        <v>0.100595297985094</v>
      </c>
      <c r="N443" s="362">
        <f t="shared" si="228"/>
        <v>0.0251831304765083</v>
      </c>
      <c r="O443" s="362">
        <f t="shared" si="228"/>
        <v>-0.00443596542594893</v>
      </c>
      <c r="P443" s="362">
        <f t="shared" si="227"/>
        <v>-0.0358494410775443</v>
      </c>
      <c r="Q443" s="362">
        <f t="shared" si="227"/>
        <v>0.157613769088759</v>
      </c>
      <c r="R443" s="362">
        <f t="shared" si="227"/>
        <v>0.00311559734289624</v>
      </c>
      <c r="S443" s="362">
        <f t="shared" si="227"/>
        <v>-0.0784889933144906</v>
      </c>
      <c r="T443" s="362">
        <f t="shared" si="227"/>
        <v>-0.142237092635475</v>
      </c>
      <c r="U443" s="362">
        <f t="shared" si="227"/>
        <v>-0.089404759049563</v>
      </c>
      <c r="V443" s="362">
        <f t="shared" si="227"/>
        <v>-0.183223310211958</v>
      </c>
      <c r="W443" s="384">
        <f t="shared" si="227"/>
        <v>-0.0443788757056911</v>
      </c>
      <c r="X443" s="362">
        <f t="shared" si="227"/>
        <v>0.0712699043576952</v>
      </c>
      <c r="Y443" s="362">
        <f t="shared" si="227"/>
        <v>-0.0403517368032038</v>
      </c>
      <c r="Z443" s="362">
        <f t="shared" si="227"/>
        <v>0</v>
      </c>
      <c r="AA443" s="362">
        <f t="shared" si="227"/>
        <v>0</v>
      </c>
      <c r="AB443" s="362">
        <f t="shared" si="227"/>
        <v>0</v>
      </c>
      <c r="AC443" s="362"/>
      <c r="AD443" s="362"/>
      <c r="AL443" s="422"/>
      <c r="AM443" s="422"/>
      <c r="AN443" s="562"/>
    </row>
    <row r="444" customHeight="1" spans="1:40">
      <c r="A444" s="360" t="s">
        <v>203</v>
      </c>
      <c r="B444" s="411"/>
      <c r="C444" s="401"/>
      <c r="D444" s="401"/>
      <c r="E444" s="411"/>
      <c r="F444" s="411"/>
      <c r="G444" s="411"/>
      <c r="H444" s="411"/>
      <c r="I444" s="411"/>
      <c r="J444" s="411"/>
      <c r="K444" s="411"/>
      <c r="L444" s="392"/>
      <c r="M444" s="362">
        <f t="shared" si="228"/>
        <v>0.0183882274537522</v>
      </c>
      <c r="N444" s="362">
        <f t="shared" si="228"/>
        <v>-0.0405837423563329</v>
      </c>
      <c r="O444" s="362">
        <f t="shared" si="228"/>
        <v>0.0178205260961595</v>
      </c>
      <c r="P444" s="362">
        <f t="shared" si="227"/>
        <v>0.06983424929533</v>
      </c>
      <c r="Q444" s="362">
        <f t="shared" si="227"/>
        <v>0.0563943773956583</v>
      </c>
      <c r="R444" s="362">
        <f t="shared" si="227"/>
        <v>-0.00200985534504361</v>
      </c>
      <c r="S444" s="362">
        <f t="shared" si="227"/>
        <v>0.0987847771053239</v>
      </c>
      <c r="T444" s="362">
        <f t="shared" si="227"/>
        <v>-0.00664647309336797</v>
      </c>
      <c r="U444" s="362">
        <f t="shared" si="227"/>
        <v>-0.00311274960503116</v>
      </c>
      <c r="V444" s="362">
        <f t="shared" si="227"/>
        <v>0.148325741175945</v>
      </c>
      <c r="W444" s="384">
        <f t="shared" si="227"/>
        <v>-0.0535359161130251</v>
      </c>
      <c r="X444" s="362">
        <f t="shared" si="227"/>
        <v>-0.0386828508265031</v>
      </c>
      <c r="Y444" s="362">
        <f t="shared" si="227"/>
        <v>-0.0213878317296361</v>
      </c>
      <c r="Z444" s="362">
        <f t="shared" si="227"/>
        <v>0</v>
      </c>
      <c r="AA444" s="362">
        <f t="shared" si="227"/>
        <v>0</v>
      </c>
      <c r="AB444" s="362">
        <f t="shared" si="227"/>
        <v>0</v>
      </c>
      <c r="AC444" s="362"/>
      <c r="AD444" s="362"/>
      <c r="AL444" s="422"/>
      <c r="AM444" s="422"/>
      <c r="AN444" s="562"/>
    </row>
    <row r="445" customHeight="1" spans="1:40">
      <c r="A445" s="360" t="s">
        <v>204</v>
      </c>
      <c r="B445" s="411"/>
      <c r="C445" s="401"/>
      <c r="D445" s="401"/>
      <c r="E445" s="411"/>
      <c r="F445" s="411"/>
      <c r="G445" s="411"/>
      <c r="H445" s="411"/>
      <c r="I445" s="411"/>
      <c r="J445" s="411"/>
      <c r="K445" s="411"/>
      <c r="L445" s="392"/>
      <c r="M445" s="362">
        <f t="shared" si="228"/>
        <v>0.00306064152604957</v>
      </c>
      <c r="N445" s="362">
        <f t="shared" si="228"/>
        <v>-0.00410148854261716</v>
      </c>
      <c r="O445" s="362">
        <f t="shared" si="228"/>
        <v>-0.164287527378297</v>
      </c>
      <c r="P445" s="362">
        <f t="shared" si="227"/>
        <v>-0.118331571516101</v>
      </c>
      <c r="Q445" s="362">
        <f t="shared" si="227"/>
        <v>0.036878213773585</v>
      </c>
      <c r="R445" s="362">
        <f t="shared" si="227"/>
        <v>-0.0109202238780146</v>
      </c>
      <c r="S445" s="362">
        <f t="shared" si="227"/>
        <v>0.0653401587879365</v>
      </c>
      <c r="T445" s="362">
        <f t="shared" si="227"/>
        <v>-0.0467829349880298</v>
      </c>
      <c r="U445" s="362">
        <f t="shared" si="227"/>
        <v>0.0502588398460367</v>
      </c>
      <c r="V445" s="362">
        <f t="shared" si="227"/>
        <v>0.0991288945235703</v>
      </c>
      <c r="W445" s="384">
        <f t="shared" si="227"/>
        <v>-0.127634158793642</v>
      </c>
      <c r="X445" s="362">
        <f t="shared" si="227"/>
        <v>-0.0726603234067291</v>
      </c>
      <c r="Y445" s="362">
        <f t="shared" si="227"/>
        <v>-0.0202142139064658</v>
      </c>
      <c r="Z445" s="362">
        <f t="shared" si="227"/>
        <v>0</v>
      </c>
      <c r="AA445" s="362">
        <f t="shared" si="227"/>
        <v>0</v>
      </c>
      <c r="AB445" s="362">
        <f t="shared" si="227"/>
        <v>0</v>
      </c>
      <c r="AC445" s="362"/>
      <c r="AD445" s="362"/>
      <c r="AL445" s="422"/>
      <c r="AM445" s="422"/>
      <c r="AN445" s="562"/>
    </row>
    <row r="446" customHeight="1" spans="1:40">
      <c r="A446" s="360" t="s">
        <v>205</v>
      </c>
      <c r="B446" s="411"/>
      <c r="C446" s="401"/>
      <c r="D446" s="401"/>
      <c r="E446" s="411"/>
      <c r="F446" s="411"/>
      <c r="G446" s="411"/>
      <c r="H446" s="411"/>
      <c r="I446" s="411"/>
      <c r="J446" s="411"/>
      <c r="K446" s="411"/>
      <c r="L446" s="392"/>
      <c r="M446" s="362"/>
      <c r="N446" s="362"/>
      <c r="O446" s="362"/>
      <c r="P446" s="362"/>
      <c r="Q446" s="362">
        <f t="shared" si="227"/>
        <v>0.00264116003765624</v>
      </c>
      <c r="R446" s="362">
        <f t="shared" si="227"/>
        <v>-0.107201499462917</v>
      </c>
      <c r="S446" s="362">
        <f t="shared" si="227"/>
        <v>-0.0174244009483442</v>
      </c>
      <c r="T446" s="362">
        <f t="shared" si="227"/>
        <v>-0.244695959570693</v>
      </c>
      <c r="U446" s="362">
        <f t="shared" si="227"/>
        <v>-0.479873368303935</v>
      </c>
      <c r="V446" s="362">
        <f t="shared" si="227"/>
        <v>0.0458728798779947</v>
      </c>
      <c r="W446" s="384">
        <f t="shared" si="227"/>
        <v>-0.58962154759833</v>
      </c>
      <c r="X446" s="362">
        <f t="shared" si="227"/>
        <v>-0.144259388226288</v>
      </c>
      <c r="Y446" s="362">
        <f t="shared" si="227"/>
        <v>-0.0927564792473381</v>
      </c>
      <c r="Z446" s="362">
        <f t="shared" si="227"/>
        <v>0</v>
      </c>
      <c r="AA446" s="362">
        <f t="shared" si="227"/>
        <v>0</v>
      </c>
      <c r="AB446" s="362">
        <f t="shared" si="227"/>
        <v>0</v>
      </c>
      <c r="AC446" s="362"/>
      <c r="AD446" s="362"/>
      <c r="AL446" s="422"/>
      <c r="AM446" s="422"/>
      <c r="AN446" s="562"/>
    </row>
    <row r="447" customHeight="1" spans="1:40">
      <c r="A447" s="360" t="s">
        <v>206</v>
      </c>
      <c r="B447" s="411"/>
      <c r="C447" s="401"/>
      <c r="D447" s="401"/>
      <c r="E447" s="411"/>
      <c r="F447" s="411"/>
      <c r="G447" s="411"/>
      <c r="H447" s="411"/>
      <c r="I447" s="411"/>
      <c r="J447" s="411"/>
      <c r="K447" s="411"/>
      <c r="L447" s="392"/>
      <c r="M447" s="461"/>
      <c r="N447" s="461"/>
      <c r="O447" s="461"/>
      <c r="P447" s="461"/>
      <c r="Q447" s="362">
        <f t="shared" si="227"/>
        <v>0.10816429350573</v>
      </c>
      <c r="R447" s="362">
        <f t="shared" si="227"/>
        <v>-0.0318249814334384</v>
      </c>
      <c r="S447" s="362">
        <f t="shared" si="227"/>
        <v>0.0218374645483351</v>
      </c>
      <c r="T447" s="362">
        <f t="shared" si="227"/>
        <v>-0.00275767982635355</v>
      </c>
      <c r="U447" s="362">
        <f t="shared" si="227"/>
        <v>-0.0422716095775051</v>
      </c>
      <c r="V447" s="362">
        <f t="shared" si="227"/>
        <v>0.0038064700040682</v>
      </c>
      <c r="W447" s="384">
        <f t="shared" si="227"/>
        <v>-0.173876997826369</v>
      </c>
      <c r="X447" s="362">
        <f t="shared" si="227"/>
        <v>-0.0301888401958752</v>
      </c>
      <c r="Y447" s="362">
        <f t="shared" si="227"/>
        <v>-0.0406612594785256</v>
      </c>
      <c r="Z447" s="362">
        <f t="shared" si="227"/>
        <v>0</v>
      </c>
      <c r="AA447" s="362">
        <f t="shared" si="227"/>
        <v>0</v>
      </c>
      <c r="AB447" s="362">
        <f t="shared" si="227"/>
        <v>0</v>
      </c>
      <c r="AC447" s="362"/>
      <c r="AD447" s="362"/>
      <c r="AL447" s="422"/>
      <c r="AM447" s="422"/>
      <c r="AN447" s="562"/>
    </row>
    <row r="448" customHeight="1" spans="1:40">
      <c r="A448" s="360"/>
      <c r="B448" s="411"/>
      <c r="C448" s="401"/>
      <c r="D448" s="401"/>
      <c r="E448" s="411"/>
      <c r="F448" s="411"/>
      <c r="G448" s="411"/>
      <c r="H448" s="411"/>
      <c r="I448" s="411"/>
      <c r="J448" s="411"/>
      <c r="K448" s="411"/>
      <c r="L448" s="392"/>
      <c r="M448" s="362"/>
      <c r="N448" s="362"/>
      <c r="O448" s="362"/>
      <c r="P448" s="461"/>
      <c r="Q448" s="461"/>
      <c r="R448" s="461"/>
      <c r="S448" s="461"/>
      <c r="T448" s="572"/>
      <c r="U448" s="572"/>
      <c r="V448" s="572"/>
      <c r="W448" s="384"/>
      <c r="X448" s="362"/>
      <c r="Y448" s="362"/>
      <c r="Z448" s="362"/>
      <c r="AA448" s="362"/>
      <c r="AB448" s="362"/>
      <c r="AC448" s="362"/>
      <c r="AD448" s="362"/>
      <c r="AL448" s="422"/>
      <c r="AM448" s="422"/>
      <c r="AN448" s="562"/>
    </row>
    <row r="449" customHeight="1" spans="1:40">
      <c r="A449" s="351" t="s">
        <v>208</v>
      </c>
      <c r="B449" s="543" t="s">
        <v>14</v>
      </c>
      <c r="C449" s="543" t="s">
        <v>15</v>
      </c>
      <c r="D449" s="543" t="s">
        <v>16</v>
      </c>
      <c r="E449" s="543" t="s">
        <v>17</v>
      </c>
      <c r="F449" s="543" t="s">
        <v>18</v>
      </c>
      <c r="G449" s="543" t="s">
        <v>19</v>
      </c>
      <c r="H449" s="543" t="s">
        <v>20</v>
      </c>
      <c r="I449" s="543" t="s">
        <v>21</v>
      </c>
      <c r="J449" s="543" t="s">
        <v>22</v>
      </c>
      <c r="K449" s="543" t="s">
        <v>23</v>
      </c>
      <c r="L449" s="544" t="s">
        <v>24</v>
      </c>
      <c r="M449" s="544" t="s">
        <v>25</v>
      </c>
      <c r="N449" s="544" t="s">
        <v>26</v>
      </c>
      <c r="O449" s="544" t="s">
        <v>27</v>
      </c>
      <c r="P449" s="544" t="str">
        <f t="shared" ref="P449:AB449" si="229">P$1</f>
        <v>FY 09</v>
      </c>
      <c r="Q449" s="544" t="str">
        <f t="shared" si="229"/>
        <v>FY 10</v>
      </c>
      <c r="R449" s="544" t="str">
        <f t="shared" si="229"/>
        <v>FY 11</v>
      </c>
      <c r="S449" s="544" t="str">
        <f t="shared" si="229"/>
        <v>FY 12</v>
      </c>
      <c r="T449" s="544" t="str">
        <f t="shared" si="229"/>
        <v>FY 13</v>
      </c>
      <c r="U449" s="544" t="str">
        <f t="shared" si="229"/>
        <v>FY 14</v>
      </c>
      <c r="V449" s="544" t="str">
        <f t="shared" si="229"/>
        <v>FY 15</v>
      </c>
      <c r="W449" s="545" t="str">
        <f t="shared" si="229"/>
        <v>FY 16</v>
      </c>
      <c r="X449" s="544" t="str">
        <f t="shared" si="229"/>
        <v>FY 17E</v>
      </c>
      <c r="Y449" s="544" t="str">
        <f t="shared" si="229"/>
        <v>FY 18E</v>
      </c>
      <c r="Z449" s="544" t="str">
        <f t="shared" si="229"/>
        <v>FY 19E</v>
      </c>
      <c r="AA449" s="544" t="str">
        <f t="shared" si="229"/>
        <v>FY 20E</v>
      </c>
      <c r="AB449" s="544" t="str">
        <f t="shared" si="229"/>
        <v>FY 21E</v>
      </c>
      <c r="AC449" s="544"/>
      <c r="AD449" s="544"/>
      <c r="AL449" s="422"/>
      <c r="AM449" s="422"/>
      <c r="AN449" s="562"/>
    </row>
    <row r="450" customHeight="1" spans="1:40">
      <c r="A450" s="360" t="s">
        <v>209</v>
      </c>
      <c r="B450" s="401"/>
      <c r="C450" s="401"/>
      <c r="D450" s="401"/>
      <c r="E450" s="401"/>
      <c r="F450" s="401"/>
      <c r="G450" s="401"/>
      <c r="H450" s="401"/>
      <c r="I450" s="401"/>
      <c r="J450" s="401"/>
      <c r="K450" s="401"/>
      <c r="L450" s="392"/>
      <c r="M450" s="362"/>
      <c r="N450" s="362"/>
      <c r="O450" s="362"/>
      <c r="P450" s="362"/>
      <c r="Q450" s="362"/>
      <c r="R450" s="362"/>
      <c r="S450" s="362"/>
      <c r="T450" s="362"/>
      <c r="U450" s="362">
        <v>0</v>
      </c>
      <c r="V450" s="362">
        <v>0</v>
      </c>
      <c r="W450" s="384">
        <v>1</v>
      </c>
      <c r="X450" s="362">
        <v>1</v>
      </c>
      <c r="Y450" s="362">
        <v>1</v>
      </c>
      <c r="Z450" s="362">
        <v>1</v>
      </c>
      <c r="AA450" s="362">
        <v>1</v>
      </c>
      <c r="AB450" s="362">
        <v>1</v>
      </c>
      <c r="AC450" s="362"/>
      <c r="AD450" s="362"/>
      <c r="AL450" s="422"/>
      <c r="AM450" s="422"/>
      <c r="AN450" s="562"/>
    </row>
    <row r="451" customHeight="1" spans="1:40">
      <c r="A451" s="360" t="s">
        <v>210</v>
      </c>
      <c r="B451" s="573"/>
      <c r="C451" s="401"/>
      <c r="D451" s="401"/>
      <c r="E451" s="573"/>
      <c r="F451" s="573"/>
      <c r="G451" s="573"/>
      <c r="H451" s="573"/>
      <c r="I451" s="573"/>
      <c r="J451" s="573"/>
      <c r="K451" s="573"/>
      <c r="L451" s="392"/>
      <c r="M451" s="362"/>
      <c r="N451" s="362"/>
      <c r="O451" s="362"/>
      <c r="P451" s="362"/>
      <c r="Q451" s="362"/>
      <c r="R451" s="362"/>
      <c r="S451" s="362"/>
      <c r="T451" s="362"/>
      <c r="U451" s="362">
        <f>U106*U438</f>
        <v>-0.000130287176347242</v>
      </c>
      <c r="V451" s="362">
        <f t="shared" ref="V451:AB451" si="230">V106*V438</f>
        <v>0.0268386706489692</v>
      </c>
      <c r="W451" s="362">
        <f t="shared" si="230"/>
        <v>0.000560766497760796</v>
      </c>
      <c r="X451" s="362">
        <f t="shared" si="230"/>
        <v>-0.00427076098020849</v>
      </c>
      <c r="Y451" s="362">
        <f t="shared" si="230"/>
        <v>-0.00889130334161788</v>
      </c>
      <c r="Z451" s="362">
        <f t="shared" si="230"/>
        <v>0</v>
      </c>
      <c r="AA451" s="362">
        <f t="shared" si="230"/>
        <v>0</v>
      </c>
      <c r="AB451" s="362">
        <f t="shared" si="230"/>
        <v>0</v>
      </c>
      <c r="AC451" s="362"/>
      <c r="AD451" s="362"/>
      <c r="AL451" s="422"/>
      <c r="AM451" s="422"/>
      <c r="AN451" s="562"/>
    </row>
    <row r="452" customHeight="1" spans="1:40">
      <c r="A452" s="360" t="s">
        <v>211</v>
      </c>
      <c r="B452" s="411"/>
      <c r="C452" s="401"/>
      <c r="D452" s="401"/>
      <c r="E452" s="411"/>
      <c r="F452" s="411"/>
      <c r="G452" s="411"/>
      <c r="H452" s="411"/>
      <c r="I452" s="411"/>
      <c r="J452" s="411"/>
      <c r="K452" s="411"/>
      <c r="L452" s="392"/>
      <c r="M452" s="362"/>
      <c r="N452" s="362"/>
      <c r="O452" s="362"/>
      <c r="P452" s="362"/>
      <c r="Q452" s="362"/>
      <c r="R452" s="362"/>
      <c r="S452" s="362"/>
      <c r="T452" s="362"/>
      <c r="U452" s="362">
        <f>U444*U116</f>
        <v>-0.000382534287111103</v>
      </c>
      <c r="V452" s="362">
        <f t="shared" ref="V452:AB452" si="231">V444*V116</f>
        <v>0.0216503845677451</v>
      </c>
      <c r="W452" s="362">
        <f t="shared" si="231"/>
        <v>-0.00835371215656846</v>
      </c>
      <c r="X452" s="362">
        <f t="shared" si="231"/>
        <v>-0.00690778215579321</v>
      </c>
      <c r="Y452" s="362">
        <f t="shared" si="231"/>
        <v>-0.00406514145748735</v>
      </c>
      <c r="Z452" s="362">
        <f t="shared" si="231"/>
        <v>0</v>
      </c>
      <c r="AA452" s="362">
        <f t="shared" si="231"/>
        <v>0</v>
      </c>
      <c r="AB452" s="362">
        <f t="shared" si="231"/>
        <v>0</v>
      </c>
      <c r="AC452" s="362"/>
      <c r="AD452" s="362"/>
      <c r="AL452" s="422"/>
      <c r="AM452" s="422"/>
      <c r="AN452" s="562"/>
    </row>
    <row r="453" customHeight="1" spans="1:40">
      <c r="A453" s="614" t="s">
        <v>212</v>
      </c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8"/>
      <c r="M453" s="548"/>
      <c r="N453" s="650"/>
      <c r="O453" s="650"/>
      <c r="P453" s="650"/>
      <c r="Q453" s="650"/>
      <c r="R453" s="650"/>
      <c r="S453" s="650"/>
      <c r="T453" s="650"/>
      <c r="U453" s="650">
        <f t="shared" ref="U453:AB453" si="232">SUM(U450:U452)</f>
        <v>-0.000512821463458344</v>
      </c>
      <c r="V453" s="650">
        <f t="shared" si="232"/>
        <v>0.0484890552167143</v>
      </c>
      <c r="W453" s="651">
        <f t="shared" si="232"/>
        <v>0.992207054341192</v>
      </c>
      <c r="X453" s="650">
        <f t="shared" si="232"/>
        <v>0.988821456863998</v>
      </c>
      <c r="Y453" s="650">
        <f t="shared" si="232"/>
        <v>0.987043555200895</v>
      </c>
      <c r="Z453" s="650">
        <f t="shared" si="232"/>
        <v>1</v>
      </c>
      <c r="AA453" s="650">
        <f t="shared" si="232"/>
        <v>1</v>
      </c>
      <c r="AB453" s="650">
        <f t="shared" si="232"/>
        <v>1</v>
      </c>
      <c r="AC453" s="650"/>
      <c r="AD453" s="650"/>
      <c r="AL453" s="422"/>
      <c r="AM453" s="422"/>
      <c r="AN453" s="562"/>
    </row>
    <row r="454" customHeight="1" spans="1:40"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1"/>
      <c r="M454" s="601"/>
      <c r="N454" s="601"/>
      <c r="O454" s="601"/>
      <c r="P454" s="601"/>
      <c r="Q454" s="601"/>
      <c r="R454" s="601"/>
      <c r="S454" s="601"/>
      <c r="T454" s="601"/>
      <c r="U454" s="601"/>
      <c r="V454" s="601"/>
      <c r="W454" s="648"/>
      <c r="X454" s="601"/>
      <c r="Y454" s="601"/>
      <c r="Z454" s="601"/>
      <c r="AA454" s="601"/>
      <c r="AB454" s="601"/>
      <c r="AC454" s="601"/>
      <c r="AD454" s="601"/>
      <c r="AL454" s="422"/>
      <c r="AM454" s="422"/>
      <c r="AN454" s="562"/>
    </row>
    <row r="455" customHeight="1" spans="1:40">
      <c r="A455" s="351" t="s">
        <v>213</v>
      </c>
      <c r="B455" s="543" t="s">
        <v>14</v>
      </c>
      <c r="C455" s="543" t="s">
        <v>15</v>
      </c>
      <c r="D455" s="543" t="s">
        <v>16</v>
      </c>
      <c r="E455" s="543" t="s">
        <v>17</v>
      </c>
      <c r="F455" s="543" t="s">
        <v>18</v>
      </c>
      <c r="G455" s="543" t="s">
        <v>19</v>
      </c>
      <c r="H455" s="543" t="s">
        <v>20</v>
      </c>
      <c r="I455" s="543" t="s">
        <v>21</v>
      </c>
      <c r="J455" s="543" t="s">
        <v>22</v>
      </c>
      <c r="K455" s="543" t="s">
        <v>23</v>
      </c>
      <c r="L455" s="544" t="s">
        <v>24</v>
      </c>
      <c r="M455" s="544" t="s">
        <v>25</v>
      </c>
      <c r="N455" s="544" t="s">
        <v>26</v>
      </c>
      <c r="O455" s="544" t="s">
        <v>27</v>
      </c>
      <c r="P455" s="544" t="str">
        <f t="shared" ref="P455:AB455" si="233">P$1</f>
        <v>FY 09</v>
      </c>
      <c r="Q455" s="544" t="str">
        <f t="shared" si="233"/>
        <v>FY 10</v>
      </c>
      <c r="R455" s="544" t="str">
        <f t="shared" si="233"/>
        <v>FY 11</v>
      </c>
      <c r="S455" s="544" t="str">
        <f t="shared" si="233"/>
        <v>FY 12</v>
      </c>
      <c r="T455" s="544" t="str">
        <f t="shared" si="233"/>
        <v>FY 13</v>
      </c>
      <c r="U455" s="544" t="str">
        <f t="shared" si="233"/>
        <v>FY 14</v>
      </c>
      <c r="V455" s="544" t="str">
        <f t="shared" si="233"/>
        <v>FY 15</v>
      </c>
      <c r="W455" s="545" t="str">
        <f t="shared" si="233"/>
        <v>FY 16</v>
      </c>
      <c r="X455" s="544" t="str">
        <f t="shared" si="233"/>
        <v>FY 17E</v>
      </c>
      <c r="Y455" s="544" t="str">
        <f t="shared" si="233"/>
        <v>FY 18E</v>
      </c>
      <c r="Z455" s="544" t="str">
        <f t="shared" si="233"/>
        <v>FY 19E</v>
      </c>
      <c r="AA455" s="544" t="str">
        <f t="shared" si="233"/>
        <v>FY 20E</v>
      </c>
      <c r="AB455" s="544" t="str">
        <f t="shared" si="233"/>
        <v>FY 21E</v>
      </c>
      <c r="AC455" s="544"/>
      <c r="AD455" s="544"/>
      <c r="AL455" s="422"/>
      <c r="AM455" s="422"/>
      <c r="AN455" s="562"/>
    </row>
    <row r="456" customHeight="1" spans="1:40">
      <c r="A456" s="360" t="s">
        <v>209</v>
      </c>
      <c r="B456" s="401"/>
      <c r="C456" s="401"/>
      <c r="D456" s="401"/>
      <c r="E456" s="401"/>
      <c r="F456" s="401"/>
      <c r="G456" s="401"/>
      <c r="H456" s="401"/>
      <c r="I456" s="401"/>
      <c r="J456" s="401"/>
      <c r="K456" s="401"/>
      <c r="L456" s="392"/>
      <c r="M456" s="362">
        <v>0.19</v>
      </c>
      <c r="N456" s="362">
        <v>0.17</v>
      </c>
      <c r="O456" s="362">
        <v>0.13</v>
      </c>
      <c r="P456" s="362">
        <v>0.16</v>
      </c>
      <c r="Q456" s="362">
        <v>0.09</v>
      </c>
      <c r="R456" s="362">
        <v>0.08</v>
      </c>
      <c r="S456" s="362">
        <v>0.08</v>
      </c>
      <c r="T456" s="465">
        <f>S456</f>
        <v>0.08</v>
      </c>
      <c r="U456" s="465">
        <f>7%+1%</f>
        <v>0.08</v>
      </c>
      <c r="V456" s="465">
        <f t="shared" ref="V456:AB458" si="234">U456</f>
        <v>0.08</v>
      </c>
      <c r="W456" s="384">
        <f t="shared" si="234"/>
        <v>0.08</v>
      </c>
      <c r="X456" s="362">
        <f t="shared" si="234"/>
        <v>0.08</v>
      </c>
      <c r="Y456" s="362">
        <f t="shared" si="234"/>
        <v>0.08</v>
      </c>
      <c r="Z456" s="362">
        <f t="shared" si="234"/>
        <v>0.08</v>
      </c>
      <c r="AA456" s="362">
        <f t="shared" si="234"/>
        <v>0.08</v>
      </c>
      <c r="AB456" s="362">
        <f t="shared" si="234"/>
        <v>0.08</v>
      </c>
      <c r="AC456" s="362"/>
      <c r="AD456" s="362"/>
      <c r="AL456" s="422"/>
      <c r="AM456" s="422"/>
      <c r="AN456" s="562"/>
    </row>
    <row r="457" customHeight="1" spans="1:40">
      <c r="A457" s="360" t="s">
        <v>210</v>
      </c>
      <c r="B457" s="573"/>
      <c r="C457" s="401"/>
      <c r="D457" s="401"/>
      <c r="E457" s="573"/>
      <c r="F457" s="573"/>
      <c r="G457" s="573"/>
      <c r="H457" s="573"/>
      <c r="I457" s="573"/>
      <c r="J457" s="573"/>
      <c r="K457" s="573"/>
      <c r="L457" s="392"/>
      <c r="M457" s="362">
        <v>0.15</v>
      </c>
      <c r="N457" s="362">
        <v>0.12</v>
      </c>
      <c r="O457" s="362">
        <v>0.13</v>
      </c>
      <c r="P457" s="362">
        <v>0.1</v>
      </c>
      <c r="Q457" s="362">
        <v>0.16</v>
      </c>
      <c r="R457" s="362">
        <v>0.15</v>
      </c>
      <c r="S457" s="362">
        <v>0.16</v>
      </c>
      <c r="T457" s="465">
        <v>0.14</v>
      </c>
      <c r="U457" s="465">
        <v>0.09</v>
      </c>
      <c r="V457" s="465">
        <f t="shared" si="234"/>
        <v>0.09</v>
      </c>
      <c r="W457" s="384">
        <f t="shared" si="234"/>
        <v>0.09</v>
      </c>
      <c r="X457" s="362">
        <f t="shared" si="234"/>
        <v>0.09</v>
      </c>
      <c r="Y457" s="362">
        <f t="shared" si="234"/>
        <v>0.09</v>
      </c>
      <c r="Z457" s="362">
        <f t="shared" si="234"/>
        <v>0.09</v>
      </c>
      <c r="AA457" s="362">
        <f t="shared" si="234"/>
        <v>0.09</v>
      </c>
      <c r="AB457" s="362">
        <f t="shared" si="234"/>
        <v>0.09</v>
      </c>
      <c r="AC457" s="362"/>
      <c r="AD457" s="362"/>
      <c r="AL457" s="422"/>
      <c r="AM457" s="422"/>
      <c r="AN457" s="562"/>
    </row>
    <row r="458" customHeight="1" spans="1:40">
      <c r="A458" s="360" t="s">
        <v>211</v>
      </c>
      <c r="B458" s="411"/>
      <c r="C458" s="401"/>
      <c r="D458" s="401"/>
      <c r="E458" s="411"/>
      <c r="F458" s="411"/>
      <c r="G458" s="411"/>
      <c r="H458" s="411"/>
      <c r="I458" s="411"/>
      <c r="J458" s="411"/>
      <c r="K458" s="411"/>
      <c r="L458" s="392"/>
      <c r="M458" s="362">
        <v>0.66</v>
      </c>
      <c r="N458" s="362">
        <v>0.71</v>
      </c>
      <c r="O458" s="362">
        <v>0.74</v>
      </c>
      <c r="P458" s="362">
        <v>0.74</v>
      </c>
      <c r="Q458" s="362">
        <v>0.75</v>
      </c>
      <c r="R458" s="362">
        <v>0.77</v>
      </c>
      <c r="S458" s="362">
        <v>0.76</v>
      </c>
      <c r="T458" s="465">
        <v>0.78</v>
      </c>
      <c r="U458" s="465">
        <f>1-U456-U457</f>
        <v>0.83</v>
      </c>
      <c r="V458" s="465">
        <f t="shared" si="234"/>
        <v>0.83</v>
      </c>
      <c r="W458" s="384">
        <f t="shared" si="234"/>
        <v>0.83</v>
      </c>
      <c r="X458" s="362">
        <f t="shared" si="234"/>
        <v>0.83</v>
      </c>
      <c r="Y458" s="362">
        <f t="shared" si="234"/>
        <v>0.83</v>
      </c>
      <c r="Z458" s="362">
        <f t="shared" si="234"/>
        <v>0.83</v>
      </c>
      <c r="AA458" s="362">
        <f t="shared" si="234"/>
        <v>0.83</v>
      </c>
      <c r="AB458" s="362">
        <f t="shared" si="234"/>
        <v>0.83</v>
      </c>
      <c r="AC458" s="362"/>
      <c r="AD458" s="362"/>
      <c r="AL458" s="422"/>
      <c r="AM458" s="422"/>
      <c r="AN458" s="562"/>
    </row>
    <row r="459" customHeight="1" spans="1:40">
      <c r="A459" s="614" t="s">
        <v>212</v>
      </c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8"/>
      <c r="M459" s="548"/>
      <c r="N459" s="652">
        <f t="shared" ref="N459:S459" si="235">SUM(N456:N458)</f>
        <v>1</v>
      </c>
      <c r="O459" s="652">
        <f t="shared" si="235"/>
        <v>1</v>
      </c>
      <c r="P459" s="652">
        <f t="shared" si="235"/>
        <v>1</v>
      </c>
      <c r="Q459" s="652">
        <f t="shared" si="235"/>
        <v>1</v>
      </c>
      <c r="R459" s="652">
        <f t="shared" si="235"/>
        <v>1</v>
      </c>
      <c r="S459" s="652">
        <f t="shared" si="235"/>
        <v>1</v>
      </c>
      <c r="T459" s="652">
        <f t="shared" ref="T459:AB459" si="236">SUM(T456:T458)</f>
        <v>1</v>
      </c>
      <c r="U459" s="652">
        <f t="shared" si="236"/>
        <v>1</v>
      </c>
      <c r="V459" s="652">
        <f t="shared" si="236"/>
        <v>1</v>
      </c>
      <c r="W459" s="653">
        <f t="shared" si="236"/>
        <v>1</v>
      </c>
      <c r="X459" s="652">
        <f t="shared" si="236"/>
        <v>1</v>
      </c>
      <c r="Y459" s="652">
        <f t="shared" si="236"/>
        <v>1</v>
      </c>
      <c r="Z459" s="652">
        <f t="shared" si="236"/>
        <v>1</v>
      </c>
      <c r="AA459" s="652">
        <f t="shared" si="236"/>
        <v>1</v>
      </c>
      <c r="AB459" s="652">
        <f t="shared" si="236"/>
        <v>1</v>
      </c>
      <c r="AC459" s="652"/>
      <c r="AD459" s="652"/>
      <c r="AL459" s="422"/>
      <c r="AM459" s="422"/>
      <c r="AN459" s="562"/>
    </row>
    <row r="460" customHeight="1" spans="1:40"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1"/>
      <c r="M460" s="601"/>
      <c r="N460" s="601"/>
      <c r="O460" s="601"/>
      <c r="P460" s="601"/>
      <c r="Q460" s="601"/>
      <c r="R460" s="601"/>
      <c r="S460" s="601"/>
      <c r="T460" s="601"/>
      <c r="U460" s="601"/>
      <c r="V460" s="601"/>
      <c r="W460" s="648"/>
      <c r="X460" s="601"/>
      <c r="Y460" s="601"/>
      <c r="Z460" s="601"/>
      <c r="AA460" s="601"/>
      <c r="AB460" s="601"/>
      <c r="AC460" s="601"/>
      <c r="AD460" s="601"/>
      <c r="AL460" s="422"/>
      <c r="AM460" s="422"/>
      <c r="AN460" s="562"/>
    </row>
    <row r="461" customHeight="1" spans="1:40">
      <c r="A461" s="351" t="s">
        <v>208</v>
      </c>
      <c r="B461" s="543" t="s">
        <v>14</v>
      </c>
      <c r="C461" s="543" t="s">
        <v>15</v>
      </c>
      <c r="D461" s="543" t="s">
        <v>16</v>
      </c>
      <c r="E461" s="543" t="s">
        <v>17</v>
      </c>
      <c r="F461" s="543" t="s">
        <v>18</v>
      </c>
      <c r="G461" s="543" t="s">
        <v>19</v>
      </c>
      <c r="H461" s="543" t="s">
        <v>20</v>
      </c>
      <c r="I461" s="543" t="s">
        <v>21</v>
      </c>
      <c r="J461" s="543" t="s">
        <v>22</v>
      </c>
      <c r="K461" s="543" t="s">
        <v>23</v>
      </c>
      <c r="L461" s="544" t="s">
        <v>24</v>
      </c>
      <c r="M461" s="544" t="s">
        <v>25</v>
      </c>
      <c r="N461" s="544" t="s">
        <v>214</v>
      </c>
      <c r="O461" s="544" t="s">
        <v>215</v>
      </c>
      <c r="P461" s="544" t="str">
        <f t="shared" ref="P461:AB461" si="237">P$1</f>
        <v>FY 09</v>
      </c>
      <c r="Q461" s="544" t="str">
        <f t="shared" si="237"/>
        <v>FY 10</v>
      </c>
      <c r="R461" s="544" t="str">
        <f t="shared" si="237"/>
        <v>FY 11</v>
      </c>
      <c r="S461" s="544" t="str">
        <f t="shared" si="237"/>
        <v>FY 12</v>
      </c>
      <c r="T461" s="544" t="str">
        <f t="shared" si="237"/>
        <v>FY 13</v>
      </c>
      <c r="U461" s="544" t="str">
        <f t="shared" si="237"/>
        <v>FY 14</v>
      </c>
      <c r="V461" s="544" t="str">
        <f t="shared" si="237"/>
        <v>FY 15</v>
      </c>
      <c r="W461" s="545" t="str">
        <f t="shared" si="237"/>
        <v>FY 16</v>
      </c>
      <c r="X461" s="544" t="str">
        <f t="shared" si="237"/>
        <v>FY 17E</v>
      </c>
      <c r="Y461" s="544" t="str">
        <f t="shared" si="237"/>
        <v>FY 18E</v>
      </c>
      <c r="Z461" s="544" t="str">
        <f t="shared" si="237"/>
        <v>FY 19E</v>
      </c>
      <c r="AA461" s="544" t="str">
        <f t="shared" si="237"/>
        <v>FY 20E</v>
      </c>
      <c r="AB461" s="544" t="str">
        <f t="shared" si="237"/>
        <v>FY 21E</v>
      </c>
      <c r="AC461" s="544"/>
      <c r="AD461" s="544"/>
      <c r="AL461" s="422"/>
      <c r="AM461" s="422"/>
      <c r="AN461" s="562"/>
    </row>
    <row r="462" customHeight="1" spans="1:40">
      <c r="A462" s="360" t="s">
        <v>209</v>
      </c>
      <c r="B462" s="401"/>
      <c r="C462" s="401"/>
      <c r="D462" s="401"/>
      <c r="E462" s="401"/>
      <c r="F462" s="401"/>
      <c r="G462" s="401"/>
      <c r="H462" s="401"/>
      <c r="I462" s="401"/>
      <c r="J462" s="401"/>
      <c r="K462" s="401"/>
      <c r="L462" s="392"/>
      <c r="M462" s="362"/>
      <c r="N462" s="362">
        <v>0</v>
      </c>
      <c r="O462" s="362">
        <v>0</v>
      </c>
      <c r="P462" s="362">
        <v>0</v>
      </c>
      <c r="Q462" s="362">
        <v>0</v>
      </c>
      <c r="R462" s="362">
        <v>0</v>
      </c>
      <c r="S462" s="362">
        <v>0</v>
      </c>
      <c r="T462" s="362">
        <v>0</v>
      </c>
      <c r="U462" s="362">
        <v>0</v>
      </c>
      <c r="V462" s="362">
        <v>0</v>
      </c>
      <c r="W462" s="384">
        <v>1</v>
      </c>
      <c r="X462" s="362">
        <v>1</v>
      </c>
      <c r="Y462" s="362">
        <v>1</v>
      </c>
      <c r="Z462" s="362">
        <v>1</v>
      </c>
      <c r="AA462" s="362">
        <v>1</v>
      </c>
      <c r="AB462" s="362">
        <v>1</v>
      </c>
      <c r="AC462" s="362"/>
      <c r="AD462" s="362"/>
      <c r="AL462" s="422"/>
      <c r="AM462" s="422"/>
      <c r="AN462" s="562"/>
    </row>
    <row r="463" customHeight="1" spans="1:40">
      <c r="A463" s="360" t="s">
        <v>210</v>
      </c>
      <c r="B463" s="573"/>
      <c r="C463" s="401"/>
      <c r="D463" s="401"/>
      <c r="E463" s="573"/>
      <c r="F463" s="573"/>
      <c r="G463" s="573"/>
      <c r="H463" s="573"/>
      <c r="I463" s="573"/>
      <c r="J463" s="573"/>
      <c r="K463" s="573"/>
      <c r="L463" s="392"/>
      <c r="M463" s="362"/>
      <c r="N463" s="362">
        <f t="shared" ref="N463:AB463" si="238">N457*N438</f>
        <v>-0.0109199247797568</v>
      </c>
      <c r="O463" s="362">
        <f t="shared" si="238"/>
        <v>-0.00959448466488998</v>
      </c>
      <c r="P463" s="362">
        <f t="shared" si="238"/>
        <v>0.00518289999748211</v>
      </c>
      <c r="Q463" s="362">
        <f t="shared" si="238"/>
        <v>0.00783951531182019</v>
      </c>
      <c r="R463" s="362">
        <f t="shared" si="238"/>
        <v>-0.00735923217044175</v>
      </c>
      <c r="S463" s="362">
        <f t="shared" si="238"/>
        <v>0.0122385512230052</v>
      </c>
      <c r="T463" s="362">
        <f t="shared" si="238"/>
        <v>-0.00461853458321071</v>
      </c>
      <c r="U463" s="362">
        <f t="shared" si="238"/>
        <v>-7.68659080049172e-5</v>
      </c>
      <c r="V463" s="362">
        <f t="shared" si="238"/>
        <v>0.0148358207198469</v>
      </c>
      <c r="W463" s="384">
        <f t="shared" si="238"/>
        <v>0.000285330221794408</v>
      </c>
      <c r="X463" s="362">
        <f t="shared" si="238"/>
        <v>-0.00190772645216976</v>
      </c>
      <c r="Y463" s="362">
        <f t="shared" si="238"/>
        <v>-0.00380178337087727</v>
      </c>
      <c r="Z463" s="362">
        <f t="shared" si="238"/>
        <v>0</v>
      </c>
      <c r="AA463" s="362">
        <f t="shared" si="238"/>
        <v>0</v>
      </c>
      <c r="AB463" s="362">
        <f t="shared" si="238"/>
        <v>0</v>
      </c>
      <c r="AC463" s="362"/>
      <c r="AD463" s="362"/>
      <c r="AL463" s="422"/>
      <c r="AM463" s="422"/>
      <c r="AN463" s="562"/>
    </row>
    <row r="464" customHeight="1" spans="1:40">
      <c r="A464" s="360" t="s">
        <v>211</v>
      </c>
      <c r="B464" s="411"/>
      <c r="C464" s="401"/>
      <c r="D464" s="401"/>
      <c r="E464" s="411"/>
      <c r="F464" s="411"/>
      <c r="G464" s="411"/>
      <c r="H464" s="411"/>
      <c r="I464" s="411"/>
      <c r="J464" s="411"/>
      <c r="K464" s="411"/>
      <c r="L464" s="392"/>
      <c r="M464" s="362"/>
      <c r="N464" s="362">
        <f t="shared" ref="N464:AB464" si="239">N458*N440</f>
        <v>-0.0708389118204904</v>
      </c>
      <c r="O464" s="362">
        <f t="shared" si="239"/>
        <v>0.134937527027252</v>
      </c>
      <c r="P464" s="362">
        <f t="shared" si="239"/>
        <v>0.177898989443848</v>
      </c>
      <c r="Q464" s="362">
        <f t="shared" si="239"/>
        <v>-0.00334048163712208</v>
      </c>
      <c r="R464" s="362">
        <f t="shared" si="239"/>
        <v>0</v>
      </c>
      <c r="S464" s="362">
        <f t="shared" si="239"/>
        <v>0</v>
      </c>
      <c r="T464" s="362">
        <f t="shared" si="239"/>
        <v>0</v>
      </c>
      <c r="U464" s="362">
        <f t="shared" si="239"/>
        <v>0</v>
      </c>
      <c r="V464" s="362">
        <f t="shared" si="239"/>
        <v>0</v>
      </c>
      <c r="W464" s="384">
        <f t="shared" si="239"/>
        <v>0</v>
      </c>
      <c r="X464" s="362">
        <f t="shared" si="239"/>
        <v>0</v>
      </c>
      <c r="Y464" s="362">
        <f t="shared" si="239"/>
        <v>0</v>
      </c>
      <c r="Z464" s="362">
        <f t="shared" si="239"/>
        <v>0</v>
      </c>
      <c r="AA464" s="362">
        <f t="shared" si="239"/>
        <v>0</v>
      </c>
      <c r="AB464" s="362">
        <f t="shared" si="239"/>
        <v>0</v>
      </c>
      <c r="AC464" s="362"/>
      <c r="AD464" s="362"/>
      <c r="AL464" s="422"/>
      <c r="AM464" s="422"/>
      <c r="AN464" s="562"/>
    </row>
    <row r="465" customHeight="1" spans="1:151">
      <c r="A465" s="614" t="s">
        <v>212</v>
      </c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8"/>
      <c r="M465" s="548"/>
      <c r="N465" s="650">
        <f t="shared" ref="N465:AB465" si="240">SUM(N462:N464)</f>
        <v>-0.0817588366002472</v>
      </c>
      <c r="O465" s="650">
        <f t="shared" si="240"/>
        <v>0.125343042362362</v>
      </c>
      <c r="P465" s="650">
        <f t="shared" si="240"/>
        <v>0.18308188944133</v>
      </c>
      <c r="Q465" s="650">
        <f t="shared" si="240"/>
        <v>0.00449903367469811</v>
      </c>
      <c r="R465" s="650">
        <f t="shared" si="240"/>
        <v>-0.00735923217044175</v>
      </c>
      <c r="S465" s="650">
        <f t="shared" si="240"/>
        <v>0.0122385512230052</v>
      </c>
      <c r="T465" s="650">
        <f t="shared" si="240"/>
        <v>-0.00461853458321071</v>
      </c>
      <c r="U465" s="650">
        <f t="shared" si="240"/>
        <v>-7.68659080049172e-5</v>
      </c>
      <c r="V465" s="650">
        <f t="shared" si="240"/>
        <v>0.0148358207198469</v>
      </c>
      <c r="W465" s="651">
        <f t="shared" si="240"/>
        <v>1.00028533022179</v>
      </c>
      <c r="X465" s="650">
        <f t="shared" si="240"/>
        <v>0.99809227354783</v>
      </c>
      <c r="Y465" s="650">
        <f t="shared" si="240"/>
        <v>0.996198216629123</v>
      </c>
      <c r="Z465" s="650">
        <f t="shared" si="240"/>
        <v>1</v>
      </c>
      <c r="AA465" s="650">
        <f t="shared" si="240"/>
        <v>1</v>
      </c>
      <c r="AB465" s="650">
        <f t="shared" si="240"/>
        <v>1</v>
      </c>
      <c r="AC465" s="650"/>
      <c r="AD465" s="650"/>
      <c r="AL465" s="422"/>
      <c r="AM465" s="422"/>
      <c r="AN465" s="562"/>
    </row>
    <row r="466" customHeight="1" spans="1:151">
      <c r="AL466" s="422"/>
      <c r="AM466" s="422"/>
      <c r="AN466" s="562"/>
    </row>
    <row r="467" customHeight="1" spans="1:151">
      <c r="A467" s="351" t="s">
        <v>216</v>
      </c>
      <c r="B467" s="543" t="s">
        <v>14</v>
      </c>
      <c r="C467" s="543" t="s">
        <v>15</v>
      </c>
      <c r="D467" s="543" t="s">
        <v>16</v>
      </c>
      <c r="E467" s="543" t="s">
        <v>17</v>
      </c>
      <c r="F467" s="543" t="s">
        <v>18</v>
      </c>
      <c r="G467" s="543" t="s">
        <v>19</v>
      </c>
      <c r="H467" s="543" t="s">
        <v>20</v>
      </c>
      <c r="I467" s="543" t="s">
        <v>21</v>
      </c>
      <c r="J467" s="543" t="s">
        <v>22</v>
      </c>
      <c r="K467" s="543" t="s">
        <v>23</v>
      </c>
      <c r="L467" s="544" t="s">
        <v>24</v>
      </c>
      <c r="M467" s="544" t="s">
        <v>25</v>
      </c>
      <c r="N467" s="544" t="s">
        <v>26</v>
      </c>
      <c r="O467" s="544" t="s">
        <v>27</v>
      </c>
      <c r="P467" s="544" t="str">
        <f t="shared" ref="P467:AB467" si="241">P$1</f>
        <v>FY 09</v>
      </c>
      <c r="Q467" s="544" t="str">
        <f t="shared" si="241"/>
        <v>FY 10</v>
      </c>
      <c r="R467" s="544" t="str">
        <f t="shared" si="241"/>
        <v>FY 11</v>
      </c>
      <c r="S467" s="544" t="str">
        <f t="shared" si="241"/>
        <v>FY 12</v>
      </c>
      <c r="T467" s="544" t="str">
        <f t="shared" si="241"/>
        <v>FY 13</v>
      </c>
      <c r="U467" s="544" t="str">
        <f t="shared" si="241"/>
        <v>FY 14</v>
      </c>
      <c r="V467" s="544" t="str">
        <f t="shared" si="241"/>
        <v>FY 15</v>
      </c>
      <c r="W467" s="545" t="str">
        <f t="shared" si="241"/>
        <v>FY 16</v>
      </c>
      <c r="X467" s="544" t="str">
        <f t="shared" si="241"/>
        <v>FY 17E</v>
      </c>
      <c r="Y467" s="544" t="str">
        <f t="shared" si="241"/>
        <v>FY 18E</v>
      </c>
      <c r="Z467" s="544" t="str">
        <f t="shared" si="241"/>
        <v>FY 19E</v>
      </c>
      <c r="AA467" s="544" t="str">
        <f t="shared" si="241"/>
        <v>FY 20E</v>
      </c>
      <c r="AB467" s="544" t="str">
        <f t="shared" si="241"/>
        <v>FY 21E</v>
      </c>
      <c r="AC467" s="544"/>
      <c r="AD467" s="544"/>
      <c r="AL467" s="422"/>
      <c r="AM467" s="422"/>
      <c r="AN467" s="562"/>
    </row>
    <row r="468" customHeight="1" spans="1:151">
      <c r="A468" s="360" t="s">
        <v>217</v>
      </c>
      <c r="B468" s="654"/>
      <c r="C468" s="654"/>
      <c r="D468" s="654"/>
      <c r="E468" s="654"/>
      <c r="F468" s="654"/>
      <c r="G468" s="654">
        <v>60</v>
      </c>
      <c r="H468" s="654">
        <v>52</v>
      </c>
      <c r="I468" s="654">
        <v>62</v>
      </c>
      <c r="J468" s="654">
        <v>73</v>
      </c>
      <c r="K468" s="654">
        <v>94</v>
      </c>
      <c r="L468" s="342">
        <v>117</v>
      </c>
      <c r="M468" s="342">
        <v>171</v>
      </c>
      <c r="N468" s="342">
        <v>212</v>
      </c>
      <c r="O468" s="342">
        <v>213</v>
      </c>
      <c r="P468" s="342">
        <v>360</v>
      </c>
      <c r="Q468" s="342">
        <v>404</v>
      </c>
      <c r="R468" s="342">
        <v>449</v>
      </c>
      <c r="S468" s="342">
        <v>456</v>
      </c>
      <c r="T468" s="342">
        <v>447</v>
      </c>
      <c r="U468" s="342">
        <v>476</v>
      </c>
      <c r="V468" s="342">
        <v>516</v>
      </c>
      <c r="W468" s="343">
        <v>688</v>
      </c>
      <c r="X468" s="342">
        <f>X470*X321</f>
        <v>735.546333851737</v>
      </c>
      <c r="Y468" s="342">
        <f>Y470*Y321</f>
        <v>757.449810531832</v>
      </c>
      <c r="Z468" s="342">
        <f>Z470*Z321</f>
        <v>817.055896234736</v>
      </c>
      <c r="AA468" s="343">
        <f>AA470*AA321</f>
        <v>874.97485931195</v>
      </c>
      <c r="AB468" s="343">
        <f>AB470*AB321</f>
        <v>937.496387369572</v>
      </c>
      <c r="AD468" s="655"/>
      <c r="AL468" s="422"/>
      <c r="AM468" s="422"/>
      <c r="AN468" s="562"/>
    </row>
    <row r="469" customHeight="1" spans="1:151">
      <c r="A469" s="360" t="s">
        <v>113</v>
      </c>
      <c r="B469" s="654"/>
      <c r="C469" s="654"/>
      <c r="D469" s="654"/>
      <c r="E469" s="654"/>
      <c r="F469" s="654"/>
      <c r="G469" s="654"/>
      <c r="H469" s="411">
        <f>H468/G468-1</f>
        <v>-0.133333333333333</v>
      </c>
      <c r="I469" s="411">
        <f t="shared" ref="I469:AB469" si="242">I468/H468-1</f>
        <v>0.192307692307692</v>
      </c>
      <c r="J469" s="411">
        <f t="shared" si="242"/>
        <v>0.17741935483871</v>
      </c>
      <c r="K469" s="411">
        <f t="shared" si="242"/>
        <v>0.287671232876712</v>
      </c>
      <c r="L469" s="362">
        <f t="shared" si="242"/>
        <v>0.24468085106383</v>
      </c>
      <c r="M469" s="362">
        <f t="shared" si="242"/>
        <v>0.461538461538461</v>
      </c>
      <c r="N469" s="362">
        <f t="shared" si="242"/>
        <v>0.239766081871345</v>
      </c>
      <c r="O469" s="362">
        <f t="shared" si="242"/>
        <v>0.00471698113207553</v>
      </c>
      <c r="P469" s="362">
        <f t="shared" si="242"/>
        <v>0.690140845070423</v>
      </c>
      <c r="Q469" s="362">
        <f t="shared" si="242"/>
        <v>0.122222222222222</v>
      </c>
      <c r="R469" s="362">
        <f t="shared" si="242"/>
        <v>0.111386138613861</v>
      </c>
      <c r="S469" s="362">
        <f t="shared" si="242"/>
        <v>0.0155902004454342</v>
      </c>
      <c r="T469" s="362">
        <f t="shared" si="242"/>
        <v>-0.0197368421052632</v>
      </c>
      <c r="U469" s="362">
        <f t="shared" si="242"/>
        <v>0.0648769574944072</v>
      </c>
      <c r="V469" s="362">
        <f t="shared" si="242"/>
        <v>0.0840336134453781</v>
      </c>
      <c r="W469" s="384">
        <f t="shared" si="242"/>
        <v>0.333333333333333</v>
      </c>
      <c r="X469" s="362">
        <f t="shared" si="242"/>
        <v>0.0691080433891522</v>
      </c>
      <c r="Y469" s="362">
        <f t="shared" si="242"/>
        <v>0.0297785138366418</v>
      </c>
      <c r="Z469" s="362">
        <f t="shared" si="242"/>
        <v>0.0786931158660571</v>
      </c>
      <c r="AA469" s="362">
        <f t="shared" si="242"/>
        <v>0.0708873938051522</v>
      </c>
      <c r="AB469" s="362">
        <f t="shared" si="242"/>
        <v>0.0714552279899641</v>
      </c>
      <c r="AC469" s="362"/>
      <c r="AD469" s="655"/>
      <c r="AE469" s="655"/>
      <c r="AF469" s="655"/>
      <c r="AG469" s="655"/>
      <c r="AH469" s="655"/>
      <c r="AI469" s="655"/>
      <c r="AJ469" s="655"/>
      <c r="AK469" s="656"/>
      <c r="AL469" s="656"/>
      <c r="AM469" s="656"/>
    </row>
    <row r="470" customHeight="1" spans="1:151">
      <c r="A470" s="360" t="s">
        <v>218</v>
      </c>
      <c r="B470" s="411"/>
      <c r="C470" s="411"/>
      <c r="D470" s="411"/>
      <c r="E470" s="411"/>
      <c r="F470" s="411"/>
      <c r="G470" s="411">
        <f>H470</f>
        <v>0.017631103074141</v>
      </c>
      <c r="H470" s="411">
        <f>I470</f>
        <v>0.017631103074141</v>
      </c>
      <c r="I470" s="411">
        <f>J470</f>
        <v>0.017631103074141</v>
      </c>
      <c r="J470" s="411">
        <f>K470</f>
        <v>0.017631103074141</v>
      </c>
      <c r="K470" s="411">
        <f>L470</f>
        <v>0.017631103074141</v>
      </c>
      <c r="L470" s="362">
        <f t="shared" ref="L470:W470" si="243">L468/L321</f>
        <v>0.017631103074141</v>
      </c>
      <c r="M470" s="362">
        <f t="shared" si="243"/>
        <v>0.0169575565251884</v>
      </c>
      <c r="N470" s="362">
        <f t="shared" si="243"/>
        <v>0.0205845227692009</v>
      </c>
      <c r="O470" s="362">
        <f t="shared" si="243"/>
        <v>0.0197240485230114</v>
      </c>
      <c r="P470" s="362">
        <f t="shared" si="243"/>
        <v>0.0346787400057798</v>
      </c>
      <c r="Q470" s="362">
        <f t="shared" si="243"/>
        <v>0.0336947456213511</v>
      </c>
      <c r="R470" s="362">
        <f t="shared" si="243"/>
        <v>0.0337011183667342</v>
      </c>
      <c r="S470" s="362">
        <f t="shared" si="243"/>
        <v>0.0306389840757912</v>
      </c>
      <c r="T470" s="362">
        <f t="shared" si="243"/>
        <v>0.031467793030623</v>
      </c>
      <c r="U470" s="362">
        <f t="shared" si="243"/>
        <v>0.0327507912481079</v>
      </c>
      <c r="V470" s="362">
        <f t="shared" si="243"/>
        <v>0.0305054685190659</v>
      </c>
      <c r="W470" s="384">
        <f t="shared" si="243"/>
        <v>0.0356661482633489</v>
      </c>
      <c r="X470" s="362">
        <f>W470-0.1%</f>
        <v>0.0346661482633489</v>
      </c>
      <c r="Y470" s="362">
        <f>X470-0.1%</f>
        <v>0.0336661482633489</v>
      </c>
      <c r="Z470" s="362">
        <f>Y470</f>
        <v>0.0336661482633489</v>
      </c>
      <c r="AA470" s="362">
        <f>Z470</f>
        <v>0.0336661482633489</v>
      </c>
      <c r="AB470" s="362">
        <f>AA470</f>
        <v>0.0336661482633489</v>
      </c>
      <c r="AC470" s="362"/>
      <c r="AD470" s="362"/>
      <c r="AE470" s="362"/>
      <c r="AF470" s="362"/>
      <c r="AG470" s="362"/>
      <c r="AH470" s="362"/>
      <c r="AI470" s="362"/>
      <c r="AJ470" s="468"/>
      <c r="AK470" s="422"/>
      <c r="AL470" s="422"/>
      <c r="AM470" s="422"/>
    </row>
    <row r="471" customHeight="1" spans="1:151">
      <c r="W471" s="657"/>
    </row>
    <row r="472" customHeight="1" spans="1:151">
      <c r="A472" s="340" t="s">
        <v>219</v>
      </c>
      <c r="L472" s="342">
        <f t="shared" ref="L472:W472" si="244">L357</f>
        <v>111.526</v>
      </c>
      <c r="M472" s="342">
        <f t="shared" si="244"/>
        <v>193</v>
      </c>
      <c r="N472" s="342">
        <f t="shared" si="244"/>
        <v>215</v>
      </c>
      <c r="O472" s="342">
        <f t="shared" si="244"/>
        <v>234</v>
      </c>
      <c r="P472" s="342">
        <f t="shared" si="244"/>
        <v>299</v>
      </c>
      <c r="Q472" s="342">
        <f t="shared" si="244"/>
        <v>260</v>
      </c>
      <c r="R472" s="342">
        <f t="shared" si="244"/>
        <v>249</v>
      </c>
      <c r="S472" s="342">
        <f t="shared" si="244"/>
        <v>263</v>
      </c>
      <c r="T472" s="342">
        <f t="shared" si="244"/>
        <v>286</v>
      </c>
      <c r="U472" s="342">
        <f t="shared" si="244"/>
        <v>323</v>
      </c>
      <c r="V472" s="342">
        <f t="shared" si="244"/>
        <v>354</v>
      </c>
      <c r="W472" s="343">
        <f t="shared" si="244"/>
        <v>388</v>
      </c>
      <c r="X472" s="342">
        <f>X473*AVERAGE('Balance Sheet &amp; Cash Flow'!X21:Y21)</f>
        <v>420.14239936672</v>
      </c>
      <c r="Y472" s="342">
        <f>Y473*AVERAGE('Balance Sheet &amp; Cash Flow'!Y21:Z21)</f>
        <v>453.599727034503</v>
      </c>
      <c r="Z472" s="342">
        <f>Z473*AVERAGE('Balance Sheet &amp; Cash Flow'!Z21:AA21)</f>
        <v>523.320777405736</v>
      </c>
      <c r="AA472" s="342">
        <f>AA473*AVERAGE('Balance Sheet &amp; Cash Flow'!AA21:AB21)</f>
        <v>594.811397583345</v>
      </c>
      <c r="AB472" s="342">
        <f>AB473*AVERAGE('Balance Sheet &amp; Cash Flow'!AB21:AM21)</f>
        <v>1006.27923285369</v>
      </c>
    </row>
    <row r="473" customHeight="1" spans="1:151">
      <c r="A473" s="361" t="s">
        <v>220</v>
      </c>
      <c r="L473" s="362">
        <f>L472/AVERAGE('Balance Sheet &amp; Cash Flow'!L21:M21)</f>
        <v>0.135976556522884</v>
      </c>
      <c r="M473" s="362">
        <f>M472/AVERAGE('Balance Sheet &amp; Cash Flow'!M21:N21)</f>
        <v>0.193677872553939</v>
      </c>
      <c r="N473" s="362">
        <f>N472/AVERAGE('Balance Sheet &amp; Cash Flow'!N21:O21)</f>
        <v>0.183525394793</v>
      </c>
      <c r="O473" s="362">
        <f>O472/AVERAGE('Balance Sheet &amp; Cash Flow'!O21:P21)</f>
        <v>0.172312223858616</v>
      </c>
      <c r="P473" s="362">
        <f>P472/AVERAGE('Balance Sheet &amp; Cash Flow'!P21:Q21)</f>
        <v>0.197882197220384</v>
      </c>
      <c r="Q473" s="362">
        <f>Q472/AVERAGE('Balance Sheet &amp; Cash Flow'!Q21:R21)</f>
        <v>0.158633312995729</v>
      </c>
      <c r="R473" s="362">
        <f>R472/AVERAGE('Balance Sheet &amp; Cash Flow'!R21:S21)</f>
        <v>0.128748707342296</v>
      </c>
      <c r="S473" s="362">
        <f>S472/AVERAGE('Balance Sheet &amp; Cash Flow'!S21:T21)</f>
        <v>0.121421975992613</v>
      </c>
      <c r="T473" s="362">
        <f>T472/AVERAGE('Balance Sheet &amp; Cash Flow'!T21:U21)</f>
        <v>0.122196111941893</v>
      </c>
      <c r="U473" s="362">
        <f>U472/AVERAGE('Balance Sheet &amp; Cash Flow'!U21:V21)</f>
        <v>0.123235406333461</v>
      </c>
      <c r="V473" s="362">
        <f>V472/AVERAGE('Balance Sheet &amp; Cash Flow'!V21:W21)</f>
        <v>0.117140966247518</v>
      </c>
      <c r="W473" s="384">
        <f>W472/AVERAGE('Balance Sheet &amp; Cash Flow'!W21:X21)</f>
        <v>0.112971320425098</v>
      </c>
      <c r="X473" s="468">
        <f>W473+0.25%</f>
        <v>0.115471320425098</v>
      </c>
      <c r="Y473" s="468">
        <f>X473+0.25%</f>
        <v>0.117971320425098</v>
      </c>
      <c r="Z473" s="468">
        <f>Y473</f>
        <v>0.117971320425098</v>
      </c>
      <c r="AA473" s="468">
        <f>Z473</f>
        <v>0.117971320425098</v>
      </c>
      <c r="AB473" s="468">
        <f>AA473</f>
        <v>0.117971320425098</v>
      </c>
      <c r="AC473" s="468"/>
    </row>
    <row r="474" customHeight="1" spans="1:151">
      <c r="A474" s="340" t="s">
        <v>221</v>
      </c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342">
        <f>-'Balance Sheet &amp; Cash Flow'!M111</f>
        <v>215</v>
      </c>
      <c r="M474" s="342">
        <f>-'Balance Sheet &amp; Cash Flow'!N111</f>
        <v>277</v>
      </c>
      <c r="N474" s="342">
        <f>-'Balance Sheet &amp; Cash Flow'!O111</f>
        <v>285</v>
      </c>
      <c r="O474" s="342">
        <f>-'Balance Sheet &amp; Cash Flow'!P111</f>
        <v>376</v>
      </c>
      <c r="P474" s="342">
        <f>-'Balance Sheet &amp; Cash Flow'!Q111</f>
        <v>241</v>
      </c>
      <c r="Q474" s="342">
        <f>-'Balance Sheet &amp; Cash Flow'!R111</f>
        <v>269</v>
      </c>
      <c r="R474" s="342">
        <f>-'Balance Sheet &amp; Cash Flow'!S111</f>
        <v>376</v>
      </c>
      <c r="S474" s="342">
        <f>-'Balance Sheet &amp; Cash Flow'!T111</f>
        <v>434</v>
      </c>
      <c r="T474" s="342">
        <f>-'Balance Sheet &amp; Cash Flow'!U111</f>
        <v>474</v>
      </c>
      <c r="U474" s="342">
        <f>-'Balance Sheet &amp; Cash Flow'!V111</f>
        <v>548</v>
      </c>
      <c r="V474" s="342">
        <f>-'Balance Sheet &amp; Cash Flow'!W111</f>
        <v>513</v>
      </c>
      <c r="W474" s="343">
        <f>-'Balance Sheet &amp; Cash Flow'!X111</f>
        <v>651</v>
      </c>
      <c r="X474" s="342">
        <f>-'Balance Sheet &amp; Cash Flow'!Y111</f>
        <v>606</v>
      </c>
      <c r="Y474" s="342">
        <f>-'Balance Sheet &amp; Cash Flow'!Z111</f>
        <v>611</v>
      </c>
      <c r="Z474" s="342">
        <f>-'Balance Sheet &amp; Cash Flow'!AA111</f>
        <v>598</v>
      </c>
      <c r="AA474" s="342">
        <f>-'Balance Sheet &amp; Cash Flow'!AB111</f>
        <v>368</v>
      </c>
      <c r="AB474" s="342" t="e">
        <f>-'Balance Sheet &amp; Cash Flow'!#REF!</f>
        <v>#REF!</v>
      </c>
      <c r="AN474" s="659"/>
    </row>
    <row r="475" customHeight="1" spans="1:151">
      <c r="A475" s="660" t="s">
        <v>222</v>
      </c>
      <c r="B475" s="661"/>
      <c r="C475" s="661"/>
      <c r="D475" s="661"/>
      <c r="E475" s="661"/>
      <c r="F475" s="661"/>
      <c r="G475" s="661"/>
      <c r="H475" s="661"/>
      <c r="I475" s="661"/>
      <c r="J475" s="661"/>
      <c r="K475" s="661"/>
      <c r="L475" s="662">
        <f t="shared" ref="L475:AB475" si="245">L474/L472</f>
        <v>1.92780158886717</v>
      </c>
      <c r="M475" s="662">
        <f t="shared" si="245"/>
        <v>1.43523316062176</v>
      </c>
      <c r="N475" s="662">
        <f t="shared" si="245"/>
        <v>1.32558139534884</v>
      </c>
      <c r="O475" s="662">
        <f t="shared" si="245"/>
        <v>1.60683760683761</v>
      </c>
      <c r="P475" s="662">
        <f t="shared" si="245"/>
        <v>0.806020066889632</v>
      </c>
      <c r="Q475" s="662">
        <f t="shared" si="245"/>
        <v>1.03461538461538</v>
      </c>
      <c r="R475" s="662">
        <f t="shared" si="245"/>
        <v>1.51004016064257</v>
      </c>
      <c r="S475" s="662">
        <f t="shared" si="245"/>
        <v>1.65019011406844</v>
      </c>
      <c r="T475" s="662">
        <f t="shared" si="245"/>
        <v>1.65734265734266</v>
      </c>
      <c r="U475" s="662">
        <f t="shared" si="245"/>
        <v>1.69659442724458</v>
      </c>
      <c r="V475" s="662">
        <f t="shared" si="245"/>
        <v>1.44915254237288</v>
      </c>
      <c r="W475" s="663">
        <f t="shared" si="245"/>
        <v>1.67783505154639</v>
      </c>
      <c r="X475" s="662">
        <f t="shared" si="245"/>
        <v>1.44236811355727</v>
      </c>
      <c r="Y475" s="662">
        <f t="shared" si="245"/>
        <v>1.34700257426197</v>
      </c>
      <c r="Z475" s="662">
        <f t="shared" si="245"/>
        <v>1.14270257520535</v>
      </c>
      <c r="AA475" s="662">
        <f t="shared" si="245"/>
        <v>0.618683504544708</v>
      </c>
      <c r="AB475" s="662" t="e">
        <f t="shared" si="245"/>
        <v>#REF!</v>
      </c>
      <c r="AC475" s="662"/>
      <c r="AD475" s="662"/>
      <c r="AE475" s="662"/>
      <c r="AN475" s="664"/>
    </row>
    <row r="477" customHeight="1" spans="1:151">
      <c r="A477" s="351" t="s">
        <v>223</v>
      </c>
      <c r="B477" s="543" t="s">
        <v>14</v>
      </c>
      <c r="C477" s="543" t="s">
        <v>15</v>
      </c>
      <c r="D477" s="543" t="s">
        <v>16</v>
      </c>
      <c r="E477" s="543" t="s">
        <v>17</v>
      </c>
      <c r="F477" s="543" t="s">
        <v>18</v>
      </c>
      <c r="G477" s="543" t="s">
        <v>19</v>
      </c>
      <c r="H477" s="543" t="s">
        <v>20</v>
      </c>
      <c r="I477" s="543" t="s">
        <v>21</v>
      </c>
      <c r="J477" s="543" t="s">
        <v>22</v>
      </c>
      <c r="K477" s="543" t="s">
        <v>23</v>
      </c>
      <c r="L477" s="544" t="s">
        <v>24</v>
      </c>
      <c r="M477" s="544" t="s">
        <v>25</v>
      </c>
      <c r="N477" s="544" t="s">
        <v>26</v>
      </c>
      <c r="O477" s="544" t="s">
        <v>27</v>
      </c>
      <c r="P477" s="544" t="str">
        <f t="shared" ref="P477:AB477" si="246">P$1</f>
        <v>FY 09</v>
      </c>
      <c r="Q477" s="544" t="str">
        <f t="shared" si="246"/>
        <v>FY 10</v>
      </c>
      <c r="R477" s="544" t="str">
        <f t="shared" si="246"/>
        <v>FY 11</v>
      </c>
      <c r="S477" s="544" t="str">
        <f t="shared" si="246"/>
        <v>FY 12</v>
      </c>
      <c r="T477" s="544" t="str">
        <f t="shared" si="246"/>
        <v>FY 13</v>
      </c>
      <c r="U477" s="544" t="str">
        <f t="shared" si="246"/>
        <v>FY 14</v>
      </c>
      <c r="V477" s="544" t="str">
        <f t="shared" si="246"/>
        <v>FY 15</v>
      </c>
      <c r="W477" s="545" t="str">
        <f t="shared" si="246"/>
        <v>FY 16</v>
      </c>
      <c r="X477" s="544" t="str">
        <f t="shared" si="246"/>
        <v>FY 17E</v>
      </c>
      <c r="Y477" s="544" t="str">
        <f t="shared" si="246"/>
        <v>FY 18E</v>
      </c>
      <c r="Z477" s="544" t="str">
        <f t="shared" si="246"/>
        <v>FY 19E</v>
      </c>
      <c r="AA477" s="544" t="str">
        <f t="shared" si="246"/>
        <v>FY 20E</v>
      </c>
      <c r="AB477" s="544" t="str">
        <f t="shared" si="246"/>
        <v>FY 21E</v>
      </c>
      <c r="AC477" s="544"/>
      <c r="AD477" s="544"/>
      <c r="AE477" s="544"/>
    </row>
    <row r="478" customHeight="1" spans="1:151">
      <c r="A478" s="360" t="s">
        <v>224</v>
      </c>
      <c r="B478" s="654"/>
      <c r="C478" s="654"/>
      <c r="D478" s="654"/>
      <c r="E478" s="654"/>
      <c r="F478" s="654">
        <v>580</v>
      </c>
      <c r="G478" s="654">
        <v>630</v>
      </c>
      <c r="H478" s="654">
        <v>695</v>
      </c>
      <c r="I478" s="654">
        <v>758</v>
      </c>
      <c r="J478" s="654">
        <v>709</v>
      </c>
      <c r="K478" s="654">
        <v>637</v>
      </c>
      <c r="L478" s="665">
        <v>706</v>
      </c>
      <c r="M478" s="665">
        <v>1087</v>
      </c>
      <c r="N478" s="665">
        <v>1186</v>
      </c>
      <c r="O478" s="655">
        <v>1283</v>
      </c>
      <c r="P478" s="655">
        <v>1352</v>
      </c>
      <c r="Q478" s="666">
        <v>1521</v>
      </c>
      <c r="R478" s="666">
        <v>1646</v>
      </c>
      <c r="S478" s="666">
        <v>1872</v>
      </c>
      <c r="T478" s="666">
        <v>1833</v>
      </c>
      <c r="U478" s="666">
        <v>1842</v>
      </c>
      <c r="V478" s="666">
        <v>2184</v>
      </c>
      <c r="W478" s="667">
        <v>2532</v>
      </c>
      <c r="X478" s="666">
        <f>W478/W341*X341</f>
        <v>2713.02049352089</v>
      </c>
      <c r="Y478" s="666">
        <f>X478/X341*Y341</f>
        <v>2864.06302726174</v>
      </c>
      <c r="Z478" s="666">
        <f>Y478/Y341*Z341</f>
        <v>3075.71015331395</v>
      </c>
      <c r="AA478" s="666">
        <f>Z478/Z341*AA341</f>
        <v>3279.03068006987</v>
      </c>
      <c r="AB478" s="666">
        <f>AA478/AA341*AB341</f>
        <v>3497.57501198609</v>
      </c>
      <c r="AC478" s="666"/>
      <c r="AD478" s="655"/>
      <c r="AE478" s="655"/>
    </row>
    <row r="479" s="339" customFormat="1" customHeight="1" spans="1:151">
      <c r="A479" s="360" t="s">
        <v>218</v>
      </c>
      <c r="B479" s="341"/>
      <c r="C479" s="341"/>
      <c r="D479" s="341"/>
      <c r="E479" s="341"/>
      <c r="F479" s="576">
        <f t="shared" ref="F479:AB479" si="247">F478/F321</f>
        <v>0.108330220395966</v>
      </c>
      <c r="G479" s="576">
        <f t="shared" si="247"/>
        <v>0.107969151670951</v>
      </c>
      <c r="H479" s="576">
        <f t="shared" si="247"/>
        <v>0.113710732984293</v>
      </c>
      <c r="I479" s="576">
        <f t="shared" si="247"/>
        <v>0.116204200521233</v>
      </c>
      <c r="J479" s="576">
        <f t="shared" si="247"/>
        <v>0.113132280197862</v>
      </c>
      <c r="K479" s="576">
        <f t="shared" si="247"/>
        <v>0.108703071672355</v>
      </c>
      <c r="L479" s="577">
        <f t="shared" si="247"/>
        <v>0.106389391199518</v>
      </c>
      <c r="M479" s="577">
        <f t="shared" si="247"/>
        <v>0.107794525981753</v>
      </c>
      <c r="N479" s="577">
        <f t="shared" si="247"/>
        <v>0.115156811340907</v>
      </c>
      <c r="O479" s="577">
        <f t="shared" si="247"/>
        <v>0.118807296971942</v>
      </c>
      <c r="P479" s="577">
        <f t="shared" si="247"/>
        <v>0.130237934688373</v>
      </c>
      <c r="Q479" s="577">
        <f t="shared" si="247"/>
        <v>0.126855713094245</v>
      </c>
      <c r="R479" s="577">
        <f t="shared" si="247"/>
        <v>0.123545747954665</v>
      </c>
      <c r="S479" s="577">
        <f t="shared" si="247"/>
        <v>0.125781092521669</v>
      </c>
      <c r="T479" s="577">
        <f t="shared" si="247"/>
        <v>0.129039070749736</v>
      </c>
      <c r="U479" s="577">
        <f t="shared" si="247"/>
        <v>0.126737305628182</v>
      </c>
      <c r="V479" s="577">
        <f t="shared" si="247"/>
        <v>0.129116169080698</v>
      </c>
      <c r="W479" s="668">
        <f t="shared" si="247"/>
        <v>0.131259720062208</v>
      </c>
      <c r="X479" s="577">
        <f t="shared" si="247"/>
        <v>0.127864100929441</v>
      </c>
      <c r="Y479" s="577">
        <f t="shared" si="247"/>
        <v>0.127298164407313</v>
      </c>
      <c r="Z479" s="577">
        <f t="shared" si="247"/>
        <v>0.126732227885186</v>
      </c>
      <c r="AA479" s="577">
        <f t="shared" si="247"/>
        <v>0.126166291363058</v>
      </c>
      <c r="AB479" s="577">
        <f t="shared" si="247"/>
        <v>0.12560035484093</v>
      </c>
      <c r="AC479" s="577"/>
      <c r="AD479" s="577"/>
      <c r="AE479" s="577"/>
      <c r="AF479" s="342"/>
      <c r="AG479" s="342"/>
      <c r="AH479" s="342"/>
      <c r="AI479" s="342"/>
      <c r="AJ479" s="342"/>
      <c r="AK479" s="344"/>
      <c r="AL479" s="344"/>
      <c r="AM479" s="344"/>
      <c r="AN479" s="345"/>
      <c r="AO479" s="340"/>
      <c r="AP479" s="340"/>
      <c r="AQ479" s="340"/>
      <c r="AR479" s="340"/>
      <c r="AS479" s="340"/>
      <c r="AT479" s="340"/>
      <c r="AU479" s="340"/>
      <c r="AV479" s="340"/>
      <c r="AW479" s="340"/>
      <c r="AX479" s="340"/>
      <c r="AY479" s="340"/>
      <c r="AZ479" s="340"/>
      <c r="BA479" s="340"/>
      <c r="BB479" s="340"/>
      <c r="BC479" s="340"/>
      <c r="BD479" s="340"/>
      <c r="BE479" s="340"/>
      <c r="BF479" s="340"/>
      <c r="BG479" s="340"/>
      <c r="BH479" s="340"/>
      <c r="BI479" s="340"/>
      <c r="BJ479" s="340"/>
      <c r="BK479" s="340"/>
      <c r="BL479" s="340"/>
      <c r="BM479" s="340"/>
      <c r="BN479" s="340"/>
      <c r="BO479" s="340"/>
      <c r="BP479" s="340"/>
      <c r="BQ479" s="340"/>
      <c r="BR479" s="340"/>
      <c r="BS479" s="340"/>
      <c r="BT479" s="340"/>
      <c r="BU479" s="340"/>
      <c r="BV479" s="340"/>
      <c r="BW479" s="340"/>
      <c r="BX479" s="340"/>
      <c r="BY479" s="340"/>
      <c r="BZ479" s="340"/>
      <c r="CA479" s="340"/>
      <c r="CB479" s="340"/>
      <c r="CC479" s="340"/>
      <c r="CD479" s="340"/>
      <c r="CE479" s="340"/>
      <c r="CF479" s="340"/>
      <c r="CG479" s="340"/>
      <c r="CH479" s="340"/>
      <c r="CI479" s="340"/>
      <c r="CJ479" s="340"/>
      <c r="CK479" s="340"/>
      <c r="CL479" s="340"/>
      <c r="CM479" s="340"/>
      <c r="CN479" s="340"/>
      <c r="CO479" s="340"/>
      <c r="CP479" s="340"/>
      <c r="CQ479" s="340"/>
      <c r="CR479" s="340"/>
      <c r="CS479" s="340"/>
      <c r="CT479" s="340"/>
      <c r="CU479" s="340"/>
      <c r="CV479" s="340"/>
      <c r="CW479" s="340"/>
      <c r="CX479" s="340"/>
      <c r="CY479" s="340"/>
      <c r="CZ479" s="340"/>
      <c r="DA479" s="340"/>
      <c r="DB479" s="340"/>
      <c r="DC479" s="340"/>
      <c r="DD479" s="340"/>
      <c r="DE479" s="340"/>
      <c r="DF479" s="340"/>
      <c r="DG479" s="340"/>
      <c r="DH479" s="340"/>
      <c r="DI479" s="340"/>
      <c r="DJ479" s="340"/>
      <c r="DK479" s="340"/>
      <c r="DL479" s="340"/>
      <c r="DM479" s="340"/>
      <c r="DN479" s="340"/>
      <c r="DO479" s="340"/>
      <c r="DP479" s="340"/>
      <c r="DQ479" s="340"/>
      <c r="DR479" s="340"/>
      <c r="DS479" s="340"/>
      <c r="DT479" s="340"/>
      <c r="DU479" s="340"/>
      <c r="DV479" s="340"/>
      <c r="DW479" s="340"/>
      <c r="DX479" s="340"/>
      <c r="DY479" s="340"/>
      <c r="DZ479" s="340"/>
      <c r="EA479" s="340"/>
      <c r="EB479" s="340"/>
      <c r="EC479" s="340"/>
      <c r="ED479" s="340"/>
      <c r="EE479" s="340"/>
      <c r="EF479" s="340"/>
      <c r="EG479" s="340"/>
      <c r="EH479" s="340"/>
      <c r="EI479" s="340"/>
      <c r="EJ479" s="340"/>
      <c r="EK479" s="340"/>
      <c r="EL479" s="340"/>
      <c r="EM479" s="340"/>
      <c r="EN479" s="340"/>
      <c r="EO479" s="340"/>
      <c r="EP479" s="340"/>
      <c r="EQ479" s="340"/>
      <c r="ER479" s="340"/>
      <c r="ES479" s="340"/>
      <c r="ET479" s="340"/>
      <c r="EU479" s="340"/>
    </row>
    <row r="480" customHeight="1" spans="1:151">
      <c r="A480" s="340" t="s">
        <v>225</v>
      </c>
      <c r="F480" s="386">
        <v>12829</v>
      </c>
      <c r="G480" s="386">
        <v>13362</v>
      </c>
      <c r="H480" s="386">
        <v>13941</v>
      </c>
      <c r="I480" s="386">
        <v>14716</v>
      </c>
      <c r="J480" s="386">
        <v>15686</v>
      </c>
      <c r="K480" s="386">
        <v>14254</v>
      </c>
      <c r="L480" s="395">
        <v>15935</v>
      </c>
      <c r="M480" s="395">
        <v>26376</v>
      </c>
      <c r="N480" s="395">
        <v>31344</v>
      </c>
      <c r="O480" s="395">
        <v>38982</v>
      </c>
      <c r="P480" s="342">
        <v>39596</v>
      </c>
      <c r="Q480" s="342">
        <v>42541</v>
      </c>
      <c r="R480" s="342">
        <v>46824</v>
      </c>
      <c r="S480" s="342">
        <v>46306</v>
      </c>
      <c r="T480" s="342">
        <v>49808</v>
      </c>
      <c r="U480" s="342">
        <v>53731</v>
      </c>
      <c r="V480" s="342">
        <v>55555</v>
      </c>
      <c r="W480" s="669">
        <v>60617</v>
      </c>
      <c r="X480" s="342">
        <f>X321*1000/X481</f>
        <v>65368.1937202045</v>
      </c>
      <c r="Y480" s="342">
        <f>Y321*1000/Y481</f>
        <v>67955.1377720168</v>
      </c>
      <c r="Z480" s="342">
        <f>Z321*1000/Z481</f>
        <v>71865.4306886314</v>
      </c>
      <c r="AA480" s="342">
        <f>AA321*1000/AA481</f>
        <v>75450.7684066993</v>
      </c>
      <c r="AB480" s="342">
        <f>AB321*1000/AB481</f>
        <v>79256.9806521745</v>
      </c>
    </row>
    <row r="481" customHeight="1" spans="1:33">
      <c r="A481" s="340" t="s">
        <v>226</v>
      </c>
      <c r="F481" s="341">
        <f t="shared" ref="F481:W481" si="248">F321*1000/F480</f>
        <v>417.335723750877</v>
      </c>
      <c r="G481" s="341">
        <f t="shared" si="248"/>
        <v>436.686124831612</v>
      </c>
      <c r="H481" s="341">
        <f t="shared" si="248"/>
        <v>438.419051717954</v>
      </c>
      <c r="I481" s="341">
        <f t="shared" si="248"/>
        <v>443.259037782006</v>
      </c>
      <c r="J481" s="341">
        <f t="shared" si="248"/>
        <v>399.528241744231</v>
      </c>
      <c r="K481" s="341">
        <f t="shared" si="248"/>
        <v>411.112670127683</v>
      </c>
      <c r="L481" s="342">
        <f t="shared" si="248"/>
        <v>416.44179479134</v>
      </c>
      <c r="M481" s="342">
        <f t="shared" si="248"/>
        <v>382.317258113436</v>
      </c>
      <c r="N481" s="342">
        <f t="shared" si="248"/>
        <v>328.579632465544</v>
      </c>
      <c r="O481" s="342">
        <f t="shared" si="248"/>
        <v>277.025293725309</v>
      </c>
      <c r="P481" s="342">
        <f t="shared" si="248"/>
        <v>262.172946762299</v>
      </c>
      <c r="Q481" s="342">
        <f t="shared" si="248"/>
        <v>281.845748807033</v>
      </c>
      <c r="R481" s="342">
        <f t="shared" si="248"/>
        <v>284.533572526909</v>
      </c>
      <c r="S481" s="342">
        <f t="shared" si="248"/>
        <v>321.405433421155</v>
      </c>
      <c r="T481" s="342">
        <f t="shared" si="248"/>
        <v>285.195149373595</v>
      </c>
      <c r="U481" s="342">
        <f t="shared" si="248"/>
        <v>270.495617055331</v>
      </c>
      <c r="V481" s="342">
        <f t="shared" si="248"/>
        <v>304.473044730447</v>
      </c>
      <c r="W481" s="669">
        <f t="shared" si="248"/>
        <v>318.227559925433</v>
      </c>
      <c r="X481" s="670">
        <f>W481*(1+2%)</f>
        <v>324.592111123942</v>
      </c>
      <c r="Y481" s="670">
        <f>X481*(1+2%)</f>
        <v>331.083953346421</v>
      </c>
      <c r="Z481" s="670">
        <f>Y481*(1+2%)</f>
        <v>337.705632413349</v>
      </c>
      <c r="AA481" s="670">
        <f>Z481*(1+2%)</f>
        <v>344.459745061616</v>
      </c>
      <c r="AB481" s="670">
        <f>AA481*(1+2%)</f>
        <v>351.348939962849</v>
      </c>
      <c r="AC481" s="670"/>
      <c r="AD481" s="670"/>
      <c r="AE481" s="670"/>
    </row>
    <row r="482" customHeight="1" spans="1:33">
      <c r="A482" s="340" t="s">
        <v>227</v>
      </c>
      <c r="L482" s="342">
        <f t="shared" ref="L482:AB482" si="249">(L478*1000000)/L480</f>
        <v>44304.9890178852</v>
      </c>
      <c r="M482" s="342">
        <f t="shared" si="249"/>
        <v>41211.7076129815</v>
      </c>
      <c r="N482" s="342">
        <f t="shared" si="249"/>
        <v>37838.1827462991</v>
      </c>
      <c r="O482" s="342">
        <f t="shared" si="249"/>
        <v>32912.6263403622</v>
      </c>
      <c r="P482" s="342">
        <f t="shared" si="249"/>
        <v>34144.8631174866</v>
      </c>
      <c r="Q482" s="342">
        <f t="shared" si="249"/>
        <v>35753.7434474977</v>
      </c>
      <c r="R482" s="342">
        <f t="shared" si="249"/>
        <v>35152.9130360499</v>
      </c>
      <c r="S482" s="342">
        <f t="shared" si="249"/>
        <v>40426.7265581134</v>
      </c>
      <c r="T482" s="342">
        <f t="shared" si="249"/>
        <v>36801.3170575008</v>
      </c>
      <c r="U482" s="342">
        <f t="shared" si="249"/>
        <v>34281.8856898252</v>
      </c>
      <c r="V482" s="342">
        <f t="shared" si="249"/>
        <v>39312.3931239312</v>
      </c>
      <c r="W482" s="669">
        <f t="shared" si="249"/>
        <v>41770.460431892</v>
      </c>
      <c r="X482" s="342">
        <f t="shared" si="249"/>
        <v>41503.6784576522</v>
      </c>
      <c r="Y482" s="342">
        <f t="shared" si="249"/>
        <v>42146.379525716</v>
      </c>
      <c r="Z482" s="342">
        <f t="shared" si="249"/>
        <v>42798.1871651193</v>
      </c>
      <c r="AA482" s="342">
        <f t="shared" si="249"/>
        <v>43459.2085582885</v>
      </c>
      <c r="AB482" s="342">
        <f t="shared" si="249"/>
        <v>44129.5515323184</v>
      </c>
      <c r="AD482" s="670"/>
      <c r="AE482" s="670"/>
    </row>
    <row r="483" customHeight="1" spans="1:33">
      <c r="A483" s="361" t="s">
        <v>228</v>
      </c>
      <c r="E483" s="671"/>
      <c r="L483" s="577" t="e">
        <f t="shared" ref="L483:AB483" si="250">L482/K482-1</f>
        <v>#DIV/0!</v>
      </c>
      <c r="M483" s="577">
        <f t="shared" si="250"/>
        <v>-0.0698179025313596</v>
      </c>
      <c r="N483" s="577">
        <f t="shared" si="250"/>
        <v>-0.081858410196517</v>
      </c>
      <c r="O483" s="577">
        <f t="shared" si="250"/>
        <v>-0.130174232704626</v>
      </c>
      <c r="P483" s="577">
        <f t="shared" si="250"/>
        <v>0.0374396368245231</v>
      </c>
      <c r="Q483" s="577">
        <f t="shared" si="250"/>
        <v>0.0471192496650288</v>
      </c>
      <c r="R483" s="577">
        <f t="shared" si="250"/>
        <v>-0.0168046854262995</v>
      </c>
      <c r="S483" s="577">
        <f t="shared" si="250"/>
        <v>0.15002493581841</v>
      </c>
      <c r="T483" s="577">
        <f t="shared" si="250"/>
        <v>-0.0896785322304315</v>
      </c>
      <c r="U483" s="577">
        <f t="shared" si="250"/>
        <v>-0.0684603587349615</v>
      </c>
      <c r="V483" s="577">
        <f t="shared" si="250"/>
        <v>0.146739519512459</v>
      </c>
      <c r="W483" s="668">
        <f t="shared" si="250"/>
        <v>0.062526524401906</v>
      </c>
      <c r="X483" s="577">
        <f t="shared" si="250"/>
        <v>-0.00638685739830136</v>
      </c>
      <c r="Y483" s="577">
        <f t="shared" si="250"/>
        <v>0.0154854001367519</v>
      </c>
      <c r="Z483" s="577">
        <f t="shared" si="250"/>
        <v>0.0154653293293108</v>
      </c>
      <c r="AA483" s="577">
        <f t="shared" si="250"/>
        <v>0.0154450792651308</v>
      </c>
      <c r="AB483" s="577">
        <f t="shared" si="250"/>
        <v>0.0154246475319677</v>
      </c>
      <c r="AC483" s="577"/>
    </row>
    <row r="485" customHeight="1" spans="1:33">
      <c r="A485" s="351" t="s">
        <v>229</v>
      </c>
      <c r="B485" s="543"/>
      <c r="C485" s="543"/>
      <c r="D485" s="543"/>
      <c r="E485" s="543"/>
      <c r="F485" s="543"/>
      <c r="G485" s="543"/>
      <c r="H485" s="543"/>
      <c r="I485" s="543"/>
      <c r="J485" s="543"/>
      <c r="K485" s="543"/>
      <c r="L485" s="544"/>
      <c r="M485" s="544"/>
      <c r="N485" s="544"/>
      <c r="O485" s="544"/>
      <c r="P485" s="544"/>
      <c r="Q485" s="544"/>
      <c r="R485" s="544"/>
      <c r="S485" s="544"/>
      <c r="T485" s="544"/>
      <c r="U485" s="544"/>
      <c r="V485" s="544"/>
      <c r="W485" s="545"/>
      <c r="X485" s="544"/>
      <c r="Y485" s="544"/>
      <c r="Z485" s="544"/>
      <c r="AA485" s="544"/>
      <c r="AB485" s="544"/>
      <c r="AC485" s="544"/>
      <c r="AE485" s="362"/>
      <c r="AF485" s="362"/>
      <c r="AG485" s="461"/>
    </row>
    <row r="486" customHeight="1" spans="1:33">
      <c r="A486" s="672" t="s">
        <v>230</v>
      </c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4"/>
      <c r="M486" s="674"/>
      <c r="N486" s="674"/>
      <c r="O486" s="674"/>
      <c r="P486" s="674"/>
      <c r="Q486" s="674"/>
      <c r="R486" s="674"/>
      <c r="S486" s="674"/>
      <c r="T486" s="674"/>
      <c r="U486" s="674"/>
      <c r="V486" s="674"/>
      <c r="W486" s="675"/>
      <c r="X486" s="674"/>
      <c r="Y486" s="674"/>
      <c r="Z486" s="674"/>
      <c r="AA486" s="674"/>
      <c r="AB486" s="674"/>
      <c r="AC486" s="674"/>
      <c r="AE486" s="362"/>
      <c r="AF486" s="362"/>
    </row>
    <row r="487" customHeight="1" spans="1:33">
      <c r="A487" s="672" t="s">
        <v>231</v>
      </c>
      <c r="B487" s="673"/>
      <c r="C487" s="673"/>
      <c r="D487" s="673"/>
      <c r="E487" s="673"/>
      <c r="F487" s="673"/>
      <c r="G487" s="673"/>
      <c r="H487" s="673"/>
      <c r="I487" s="673"/>
      <c r="J487" s="673"/>
      <c r="K487" s="673"/>
      <c r="L487" s="674"/>
      <c r="M487" s="674"/>
      <c r="N487" s="674"/>
      <c r="O487" s="676"/>
      <c r="P487" s="676">
        <f t="shared" ref="P487:U487" si="251">P489*P$510</f>
        <v>819.58</v>
      </c>
      <c r="Q487" s="676">
        <f t="shared" si="251"/>
        <v>1098.94</v>
      </c>
      <c r="R487" s="676">
        <f t="shared" si="251"/>
        <v>1312.71</v>
      </c>
      <c r="S487" s="676">
        <f t="shared" si="251"/>
        <v>1585.31</v>
      </c>
      <c r="T487" s="676">
        <f t="shared" si="251"/>
        <v>1585.16</v>
      </c>
      <c r="U487" s="676">
        <f t="shared" si="251"/>
        <v>1681.04868470819</v>
      </c>
      <c r="V487" s="676">
        <f t="shared" ref="V487:AB487" si="252">V490*(AVERAGE(U521:V521))</f>
        <v>1849.06312885236</v>
      </c>
      <c r="W487" s="677">
        <f t="shared" si="252"/>
        <v>1854.51437628412</v>
      </c>
      <c r="X487" s="676">
        <f t="shared" si="252"/>
        <v>1974.4418197828</v>
      </c>
      <c r="Y487" s="676">
        <f t="shared" si="252"/>
        <v>2094.36926328148</v>
      </c>
      <c r="Z487" s="676">
        <f t="shared" si="252"/>
        <v>2214.29670678016</v>
      </c>
      <c r="AA487" s="676">
        <f t="shared" si="252"/>
        <v>2334.22415027884</v>
      </c>
      <c r="AB487" s="676">
        <f t="shared" si="252"/>
        <v>2454.15159377752</v>
      </c>
      <c r="AC487" s="676"/>
      <c r="AE487" s="362"/>
      <c r="AF487" s="362"/>
    </row>
    <row r="488" customHeight="1" spans="1:33">
      <c r="A488" s="678" t="s">
        <v>61</v>
      </c>
      <c r="B488" s="673"/>
      <c r="C488" s="673"/>
      <c r="D488" s="673"/>
      <c r="E488" s="673"/>
      <c r="F488" s="673"/>
      <c r="G488" s="673"/>
      <c r="H488" s="673"/>
      <c r="I488" s="673"/>
      <c r="J488" s="673"/>
      <c r="K488" s="673"/>
      <c r="L488" s="674"/>
      <c r="M488" s="674"/>
      <c r="N488" s="674"/>
      <c r="O488" s="362"/>
      <c r="P488" s="362"/>
      <c r="Q488" s="362">
        <f t="shared" ref="Q488:AB488" si="253">Q487/P487-1</f>
        <v>0.340857512384392</v>
      </c>
      <c r="R488" s="362">
        <f t="shared" si="253"/>
        <v>0.194523813856989</v>
      </c>
      <c r="S488" s="362">
        <f t="shared" si="253"/>
        <v>0.20766201217329</v>
      </c>
      <c r="T488" s="362">
        <f t="shared" si="253"/>
        <v>-9.46187181055658e-5</v>
      </c>
      <c r="U488" s="362">
        <f t="shared" si="253"/>
        <v>0.060491486479717</v>
      </c>
      <c r="V488" s="362">
        <f t="shared" si="253"/>
        <v>0.0999462095729486</v>
      </c>
      <c r="W488" s="384">
        <f t="shared" si="253"/>
        <v>0.00294811320754729</v>
      </c>
      <c r="X488" s="362">
        <f t="shared" si="253"/>
        <v>0.0646678424456202</v>
      </c>
      <c r="Y488" s="362">
        <f t="shared" si="253"/>
        <v>0.0607399226946437</v>
      </c>
      <c r="Z488" s="362">
        <f t="shared" si="253"/>
        <v>0.0572618427902134</v>
      </c>
      <c r="AA488" s="362">
        <f t="shared" si="253"/>
        <v>0.0541605120630233</v>
      </c>
      <c r="AB488" s="362">
        <f t="shared" si="253"/>
        <v>0.0513778608127042</v>
      </c>
      <c r="AC488" s="362"/>
      <c r="AE488" s="362"/>
      <c r="AF488" s="362"/>
    </row>
    <row r="489" customHeight="1" spans="1:33">
      <c r="A489" s="678" t="s">
        <v>232</v>
      </c>
      <c r="B489" s="673"/>
      <c r="C489" s="673"/>
      <c r="D489" s="673"/>
      <c r="E489" s="673"/>
      <c r="F489" s="673"/>
      <c r="G489" s="673"/>
      <c r="H489" s="673"/>
      <c r="I489" s="673"/>
      <c r="J489" s="673"/>
      <c r="K489" s="673"/>
      <c r="L489" s="674"/>
      <c r="M489" s="674"/>
      <c r="N489" s="674"/>
      <c r="O489" s="362"/>
      <c r="P489" s="362">
        <v>0.43</v>
      </c>
      <c r="Q489" s="362">
        <v>0.46</v>
      </c>
      <c r="R489" s="362">
        <v>0.47</v>
      </c>
      <c r="S489" s="362">
        <v>0.47</v>
      </c>
      <c r="T489" s="362">
        <v>0.46</v>
      </c>
      <c r="U489" s="362">
        <v>0.44</v>
      </c>
      <c r="V489" s="362">
        <f t="shared" ref="V489:AB489" si="254">V487/V$510</f>
        <v>0.43806281185794</v>
      </c>
      <c r="W489" s="384">
        <f t="shared" si="254"/>
        <v>0.370680466976638</v>
      </c>
      <c r="X489" s="362">
        <f t="shared" si="254"/>
        <v>0.336935464126758</v>
      </c>
      <c r="Y489" s="362">
        <f t="shared" si="254"/>
        <v>0.312168096627772</v>
      </c>
      <c r="Z489" s="362">
        <f t="shared" si="254"/>
        <v>0.281631314931453</v>
      </c>
      <c r="AA489" s="362">
        <f t="shared" si="254"/>
        <v>0.253336376645972</v>
      </c>
      <c r="AB489" s="362">
        <f t="shared" si="254"/>
        <v>0.227282632213428</v>
      </c>
      <c r="AC489" s="362"/>
      <c r="AE489" s="362"/>
      <c r="AF489" s="362"/>
    </row>
    <row r="490" customHeight="1" spans="1:33">
      <c r="A490" s="678" t="s">
        <v>233</v>
      </c>
      <c r="B490" s="673"/>
      <c r="C490" s="673"/>
      <c r="D490" s="673"/>
      <c r="E490" s="673"/>
      <c r="F490" s="673"/>
      <c r="G490" s="673"/>
      <c r="H490" s="673"/>
      <c r="I490" s="673"/>
      <c r="J490" s="673"/>
      <c r="K490" s="673"/>
      <c r="L490" s="674"/>
      <c r="M490" s="674"/>
      <c r="N490" s="674"/>
      <c r="O490" s="679"/>
      <c r="P490" s="679">
        <f t="shared" ref="P490:U490" si="255">P487/AVERAGE(O521:P521)</f>
        <v>0.737695769576958</v>
      </c>
      <c r="Q490" s="679">
        <f t="shared" si="255"/>
        <v>0.860227005870842</v>
      </c>
      <c r="R490" s="679">
        <f t="shared" si="255"/>
        <v>0.969863317325453</v>
      </c>
      <c r="S490" s="679">
        <f t="shared" si="255"/>
        <v>1.13560888252149</v>
      </c>
      <c r="T490" s="679">
        <f t="shared" si="255"/>
        <v>1.0233440929632</v>
      </c>
      <c r="U490" s="679">
        <f t="shared" si="255"/>
        <v>0.986820478255467</v>
      </c>
      <c r="V490" s="679">
        <f>U490*(1+V511)</f>
        <v>1.09024948635163</v>
      </c>
      <c r="W490" s="680">
        <f t="shared" ref="W490:AB490" si="256">V490*(1+$AE490)</f>
        <v>1.09024948635163</v>
      </c>
      <c r="X490" s="679">
        <f t="shared" si="256"/>
        <v>1.09024948635163</v>
      </c>
      <c r="Y490" s="679">
        <f t="shared" si="256"/>
        <v>1.09024948635163</v>
      </c>
      <c r="Z490" s="679">
        <f t="shared" si="256"/>
        <v>1.09024948635163</v>
      </c>
      <c r="AA490" s="679">
        <f t="shared" si="256"/>
        <v>1.09024948635163</v>
      </c>
      <c r="AB490" s="679">
        <f t="shared" si="256"/>
        <v>1.09024948635163</v>
      </c>
      <c r="AC490" s="679"/>
      <c r="AE490" s="367"/>
      <c r="AF490" s="367"/>
      <c r="AG490" s="362"/>
    </row>
    <row r="491" customHeight="1" spans="1:33">
      <c r="A491" s="678" t="s">
        <v>61</v>
      </c>
      <c r="B491" s="673"/>
      <c r="C491" s="673"/>
      <c r="D491" s="673"/>
      <c r="E491" s="673"/>
      <c r="F491" s="673"/>
      <c r="G491" s="673"/>
      <c r="H491" s="673"/>
      <c r="I491" s="673"/>
      <c r="J491" s="673"/>
      <c r="K491" s="673"/>
      <c r="L491" s="674"/>
      <c r="M491" s="674"/>
      <c r="N491" s="674"/>
      <c r="O491" s="362"/>
      <c r="P491" s="362"/>
      <c r="Q491" s="362">
        <f t="shared" ref="Q491:AB491" si="257">Q490/P490-1</f>
        <v>0.166099957932728</v>
      </c>
      <c r="R491" s="362">
        <f t="shared" si="257"/>
        <v>0.127450441228152</v>
      </c>
      <c r="S491" s="362">
        <f t="shared" si="257"/>
        <v>0.170895797619304</v>
      </c>
      <c r="T491" s="362">
        <f t="shared" si="257"/>
        <v>-0.0988586751003714</v>
      </c>
      <c r="U491" s="362">
        <f t="shared" si="257"/>
        <v>-0.0356904534446247</v>
      </c>
      <c r="V491" s="362">
        <f t="shared" si="257"/>
        <v>0.104810358494999</v>
      </c>
      <c r="W491" s="384">
        <f t="shared" si="257"/>
        <v>0</v>
      </c>
      <c r="X491" s="362">
        <f t="shared" si="257"/>
        <v>0</v>
      </c>
      <c r="Y491" s="362">
        <f t="shared" si="257"/>
        <v>0</v>
      </c>
      <c r="Z491" s="362">
        <f t="shared" si="257"/>
        <v>0</v>
      </c>
      <c r="AA491" s="362">
        <f t="shared" si="257"/>
        <v>0</v>
      </c>
      <c r="AB491" s="362">
        <f t="shared" si="257"/>
        <v>0</v>
      </c>
      <c r="AC491" s="362"/>
    </row>
    <row r="492" customHeight="1" spans="1:33">
      <c r="A492" s="672" t="s">
        <v>234</v>
      </c>
      <c r="B492" s="673"/>
      <c r="C492" s="673"/>
      <c r="D492" s="673"/>
      <c r="E492" s="673"/>
      <c r="F492" s="673"/>
      <c r="G492" s="673"/>
      <c r="H492" s="673"/>
      <c r="I492" s="673"/>
      <c r="J492" s="673"/>
      <c r="K492" s="673"/>
      <c r="L492" s="674"/>
      <c r="M492" s="674"/>
      <c r="N492" s="674"/>
      <c r="O492" s="676"/>
      <c r="P492" s="676">
        <f t="shared" ref="P492:U492" si="258">P494*P$510</f>
        <v>1010.18</v>
      </c>
      <c r="Q492" s="676">
        <f t="shared" si="258"/>
        <v>1194.5</v>
      </c>
      <c r="R492" s="676">
        <f t="shared" si="258"/>
        <v>1312.71</v>
      </c>
      <c r="S492" s="676">
        <f t="shared" si="258"/>
        <v>1517.85</v>
      </c>
      <c r="T492" s="676">
        <f t="shared" si="258"/>
        <v>1516.24</v>
      </c>
      <c r="U492" s="676">
        <f t="shared" si="258"/>
        <v>1604.63738085782</v>
      </c>
      <c r="V492" s="676"/>
      <c r="W492" s="677"/>
      <c r="X492" s="676"/>
      <c r="Y492" s="676"/>
      <c r="Z492" s="676"/>
      <c r="AA492" s="676"/>
      <c r="AB492" s="676"/>
      <c r="AC492" s="676"/>
    </row>
    <row r="493" customHeight="1" spans="1:33">
      <c r="A493" s="678" t="s">
        <v>61</v>
      </c>
      <c r="B493" s="673"/>
      <c r="C493" s="673"/>
      <c r="D493" s="673"/>
      <c r="E493" s="673"/>
      <c r="F493" s="673"/>
      <c r="G493" s="673"/>
      <c r="H493" s="673"/>
      <c r="I493" s="673"/>
      <c r="J493" s="673"/>
      <c r="K493" s="673"/>
      <c r="L493" s="674"/>
      <c r="M493" s="674"/>
      <c r="N493" s="674"/>
      <c r="O493" s="362"/>
      <c r="P493" s="362"/>
      <c r="Q493" s="362">
        <f>Q492/P492-1</f>
        <v>0.182462531430042</v>
      </c>
      <c r="R493" s="362">
        <f>R492/Q492-1</f>
        <v>0.0989619087484304</v>
      </c>
      <c r="S493" s="362">
        <f>S492/R492-1</f>
        <v>0.156272139314853</v>
      </c>
      <c r="T493" s="362">
        <f>T492/S492-1</f>
        <v>-0.00106071087393356</v>
      </c>
      <c r="U493" s="362">
        <f>U492/T492-1</f>
        <v>0.0583003883671556</v>
      </c>
      <c r="V493" s="362"/>
      <c r="W493" s="384"/>
      <c r="X493" s="362"/>
      <c r="Y493" s="362"/>
      <c r="Z493" s="362"/>
      <c r="AA493" s="362"/>
      <c r="AB493" s="362"/>
      <c r="AC493" s="362"/>
    </row>
    <row r="494" customHeight="1" spans="1:33">
      <c r="A494" s="678" t="s">
        <v>232</v>
      </c>
      <c r="B494" s="673"/>
      <c r="C494" s="673"/>
      <c r="D494" s="673"/>
      <c r="E494" s="673"/>
      <c r="F494" s="673"/>
      <c r="G494" s="673"/>
      <c r="H494" s="673"/>
      <c r="I494" s="673"/>
      <c r="J494" s="673"/>
      <c r="K494" s="673"/>
      <c r="L494" s="674"/>
      <c r="M494" s="674"/>
      <c r="N494" s="674"/>
      <c r="O494" s="362"/>
      <c r="P494" s="362">
        <v>0.53</v>
      </c>
      <c r="Q494" s="362">
        <v>0.5</v>
      </c>
      <c r="R494" s="362">
        <v>0.47</v>
      </c>
      <c r="S494" s="362">
        <v>0.45</v>
      </c>
      <c r="T494" s="362">
        <v>0.44</v>
      </c>
      <c r="U494" s="362">
        <v>0.42</v>
      </c>
      <c r="V494" s="362"/>
      <c r="W494" s="384"/>
      <c r="X494" s="362"/>
      <c r="Y494" s="362"/>
      <c r="Z494" s="362"/>
      <c r="AA494" s="362"/>
      <c r="AB494" s="362"/>
      <c r="AC494" s="362"/>
    </row>
    <row r="495" customHeight="1" spans="1:33">
      <c r="A495" s="678" t="s">
        <v>233</v>
      </c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4"/>
      <c r="M495" s="674"/>
      <c r="N495" s="674"/>
      <c r="O495" s="679"/>
      <c r="P495" s="679">
        <f t="shared" ref="P495:U495" si="259">P492/AVERAGE(O522:P522)</f>
        <v>1.40693593314763</v>
      </c>
      <c r="Q495" s="679">
        <f t="shared" si="259"/>
        <v>1.61418918918919</v>
      </c>
      <c r="R495" s="679">
        <f t="shared" si="259"/>
        <v>1.79946538725154</v>
      </c>
      <c r="S495" s="679">
        <f t="shared" si="259"/>
        <v>2.07356557377049</v>
      </c>
      <c r="T495" s="679">
        <f t="shared" si="259"/>
        <v>2.00959575878065</v>
      </c>
      <c r="U495" s="679">
        <f t="shared" si="259"/>
        <v>1.96888022191143</v>
      </c>
      <c r="V495" s="679"/>
      <c r="W495" s="680"/>
      <c r="X495" s="679"/>
      <c r="Y495" s="679"/>
      <c r="Z495" s="679"/>
      <c r="AA495" s="679"/>
      <c r="AB495" s="679"/>
      <c r="AC495" s="679"/>
      <c r="AE495" s="362"/>
      <c r="AF495" s="362"/>
      <c r="AG495" s="362"/>
    </row>
    <row r="496" customHeight="1" spans="1:33">
      <c r="A496" s="678" t="s">
        <v>61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4"/>
      <c r="M496" s="674"/>
      <c r="N496" s="674"/>
      <c r="O496" s="362"/>
      <c r="P496" s="362"/>
      <c r="Q496" s="362">
        <f>Q495/P495-1</f>
        <v>0.147308239955095</v>
      </c>
      <c r="R496" s="362">
        <f>R495/Q495-1</f>
        <v>0.114779729230759</v>
      </c>
      <c r="S496" s="362">
        <f>S495/R495-1</f>
        <v>0.152323122445608</v>
      </c>
      <c r="T496" s="362">
        <f>T495/S495-1</f>
        <v>-0.0308501528955857</v>
      </c>
      <c r="U496" s="362">
        <f>U495/T495-1</f>
        <v>-0.0202605607079523</v>
      </c>
      <c r="V496" s="362"/>
      <c r="W496" s="384"/>
      <c r="X496" s="362"/>
      <c r="Y496" s="362"/>
      <c r="Z496" s="362"/>
      <c r="AA496" s="362"/>
      <c r="AB496" s="362"/>
      <c r="AC496" s="362"/>
    </row>
    <row r="497" customHeight="1" spans="1:38">
      <c r="A497" s="672" t="s">
        <v>235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4"/>
      <c r="M497" s="674"/>
      <c r="N497" s="674"/>
      <c r="O497" s="676"/>
      <c r="P497" s="676">
        <f>P510-P507-P492-P487</f>
        <v>46.6542011834318</v>
      </c>
      <c r="Q497" s="676">
        <f>Q510-Q507-Q492-Q487</f>
        <v>40.5599999999999</v>
      </c>
      <c r="R497" s="676">
        <f>R510-R507-R492-R487</f>
        <v>78.5799999999999</v>
      </c>
      <c r="S497" s="676">
        <f>S499*S$510</f>
        <v>101.19</v>
      </c>
      <c r="T497" s="676">
        <f>T499*T$510</f>
        <v>103.38</v>
      </c>
      <c r="U497" s="676">
        <f>U499*U$510</f>
        <v>114.616955775558</v>
      </c>
      <c r="V497" s="676"/>
      <c r="W497" s="677"/>
      <c r="X497" s="676"/>
      <c r="Y497" s="676"/>
      <c r="Z497" s="676"/>
      <c r="AA497" s="676"/>
      <c r="AB497" s="676"/>
      <c r="AC497" s="676"/>
    </row>
    <row r="498" customHeight="1" spans="1:38">
      <c r="A498" s="678" t="s">
        <v>61</v>
      </c>
      <c r="B498" s="673"/>
      <c r="C498" s="673"/>
      <c r="D498" s="673"/>
      <c r="E498" s="673"/>
      <c r="F498" s="673"/>
      <c r="G498" s="673"/>
      <c r="H498" s="673"/>
      <c r="I498" s="673"/>
      <c r="J498" s="673"/>
      <c r="K498" s="673"/>
      <c r="L498" s="674"/>
      <c r="M498" s="674"/>
      <c r="N498" s="674"/>
      <c r="O498" s="362"/>
      <c r="P498" s="362"/>
      <c r="Q498" s="362">
        <f>Q497/P497-1</f>
        <v>-0.130624917560396</v>
      </c>
      <c r="R498" s="362">
        <f>R497/Q497-1</f>
        <v>0.937376725838265</v>
      </c>
      <c r="S498" s="362">
        <f>S497/R497-1</f>
        <v>0.287732247391195</v>
      </c>
      <c r="T498" s="362">
        <f>T497/S497-1</f>
        <v>0.0216424547880225</v>
      </c>
      <c r="U498" s="362">
        <f>U497/T497-1</f>
        <v>0.108695644956068</v>
      </c>
      <c r="V498" s="362"/>
      <c r="W498" s="384"/>
      <c r="X498" s="362"/>
      <c r="Y498" s="362"/>
      <c r="Z498" s="362"/>
      <c r="AA498" s="362"/>
      <c r="AB498" s="362"/>
      <c r="AC498" s="362"/>
    </row>
    <row r="499" customHeight="1" spans="1:38">
      <c r="A499" s="678" t="s">
        <v>232</v>
      </c>
      <c r="B499" s="673"/>
      <c r="C499" s="673"/>
      <c r="D499" s="673"/>
      <c r="E499" s="673"/>
      <c r="F499" s="673"/>
      <c r="G499" s="673"/>
      <c r="H499" s="673"/>
      <c r="I499" s="673"/>
      <c r="J499" s="673"/>
      <c r="K499" s="673"/>
      <c r="L499" s="674"/>
      <c r="M499" s="674"/>
      <c r="N499" s="674"/>
      <c r="O499" s="362"/>
      <c r="P499" s="362">
        <f>P497/P$510</f>
        <v>0.0244775452169107</v>
      </c>
      <c r="Q499" s="362">
        <f>Q497/Q$510</f>
        <v>0.0169778149853495</v>
      </c>
      <c r="R499" s="362">
        <f>R497/R$510</f>
        <v>0.0281346222699606</v>
      </c>
      <c r="S499" s="362">
        <v>0.03</v>
      </c>
      <c r="T499" s="362">
        <v>0.03</v>
      </c>
      <c r="U499" s="362">
        <v>0.03</v>
      </c>
      <c r="V499" s="362"/>
      <c r="W499" s="384"/>
      <c r="X499" s="362"/>
      <c r="Y499" s="362"/>
      <c r="Z499" s="362"/>
      <c r="AA499" s="362"/>
      <c r="AB499" s="362"/>
      <c r="AC499" s="362"/>
    </row>
    <row r="500" customHeight="1" spans="1:38">
      <c r="A500" s="678" t="s">
        <v>233</v>
      </c>
      <c r="B500" s="673"/>
      <c r="C500" s="673"/>
      <c r="D500" s="673"/>
      <c r="E500" s="673"/>
      <c r="F500" s="673"/>
      <c r="G500" s="673"/>
      <c r="H500" s="673"/>
      <c r="I500" s="673"/>
      <c r="J500" s="673"/>
      <c r="K500" s="673"/>
      <c r="L500" s="674"/>
      <c r="M500" s="674"/>
      <c r="N500" s="674"/>
      <c r="O500" s="679"/>
      <c r="P500" s="679">
        <f t="shared" ref="P500:U500" si="260">P497/AVERAGE(O523:P523)</f>
        <v>0.223761156755069</v>
      </c>
      <c r="Q500" s="679">
        <f t="shared" si="260"/>
        <v>0.185629290617849</v>
      </c>
      <c r="R500" s="679">
        <f t="shared" si="260"/>
        <v>0.322049180327869</v>
      </c>
      <c r="S500" s="679">
        <f t="shared" si="260"/>
        <v>0.352578397212544</v>
      </c>
      <c r="T500" s="679">
        <f t="shared" si="260"/>
        <v>0.357098445595855</v>
      </c>
      <c r="U500" s="679">
        <f t="shared" si="260"/>
        <v>0.372132973297267</v>
      </c>
      <c r="V500" s="679"/>
      <c r="W500" s="680"/>
      <c r="X500" s="679"/>
      <c r="Y500" s="679"/>
      <c r="Z500" s="679"/>
      <c r="AA500" s="679"/>
      <c r="AB500" s="679"/>
      <c r="AC500" s="679"/>
      <c r="AE500" s="362"/>
      <c r="AF500" s="362"/>
      <c r="AG500" s="362"/>
    </row>
    <row r="501" customHeight="1" spans="1:38">
      <c r="A501" s="678" t="s">
        <v>61</v>
      </c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4"/>
      <c r="M501" s="674"/>
      <c r="N501" s="674"/>
      <c r="O501" s="362"/>
      <c r="P501" s="362"/>
      <c r="Q501" s="362">
        <f>Q500/P500-1</f>
        <v>-0.170413250852826</v>
      </c>
      <c r="R501" s="362">
        <f>R500/Q500-1</f>
        <v>0.734904977851069</v>
      </c>
      <c r="S501" s="362">
        <f>S500/R500-1</f>
        <v>0.0947967538796219</v>
      </c>
      <c r="T501" s="362">
        <f>T500/S500-1</f>
        <v>0.0128199810851899</v>
      </c>
      <c r="U501" s="362">
        <f>U500/T500-1</f>
        <v>0.0421019130350053</v>
      </c>
      <c r="V501" s="362"/>
      <c r="W501" s="384"/>
      <c r="X501" s="362"/>
      <c r="Y501" s="362"/>
      <c r="Z501" s="362"/>
      <c r="AA501" s="362"/>
      <c r="AB501" s="362"/>
      <c r="AC501" s="362"/>
      <c r="AE501" s="362"/>
      <c r="AF501" s="362"/>
    </row>
    <row r="502" customHeight="1" spans="1:38">
      <c r="A502" s="672" t="s">
        <v>236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4"/>
      <c r="M502" s="674"/>
      <c r="N502" s="674"/>
      <c r="O502" s="362"/>
      <c r="P502" s="676">
        <f t="shared" ref="P502:U502" si="261">P492+P497</f>
        <v>1056.83420118343</v>
      </c>
      <c r="Q502" s="676">
        <f t="shared" si="261"/>
        <v>1235.06</v>
      </c>
      <c r="R502" s="676">
        <f t="shared" si="261"/>
        <v>1391.29</v>
      </c>
      <c r="S502" s="676">
        <f t="shared" si="261"/>
        <v>1619.04</v>
      </c>
      <c r="T502" s="676">
        <f t="shared" si="261"/>
        <v>1619.62</v>
      </c>
      <c r="U502" s="676">
        <f t="shared" si="261"/>
        <v>1719.25433663337</v>
      </c>
      <c r="V502" s="676">
        <f t="shared" ref="V502:AB502" si="262">V510-V487-V507</f>
        <v>1744.18581011413</v>
      </c>
      <c r="W502" s="677">
        <f t="shared" si="262"/>
        <v>2147.97056427502</v>
      </c>
      <c r="X502" s="676">
        <f t="shared" si="262"/>
        <v>2403.29511965557</v>
      </c>
      <c r="Y502" s="676">
        <f t="shared" si="262"/>
        <v>2503.47667001341</v>
      </c>
      <c r="Z502" s="676">
        <f t="shared" si="262"/>
        <v>2726.85697740718</v>
      </c>
      <c r="AA502" s="676">
        <f t="shared" si="262"/>
        <v>3005.84835282916</v>
      </c>
      <c r="AB502" s="676">
        <f t="shared" si="262"/>
        <v>3396.00834197056</v>
      </c>
      <c r="AC502" s="676"/>
      <c r="AE502" s="362"/>
      <c r="AF502" s="362"/>
    </row>
    <row r="503" customHeight="1" spans="1:38">
      <c r="A503" s="678" t="s">
        <v>61</v>
      </c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4"/>
      <c r="M503" s="674"/>
      <c r="N503" s="674"/>
      <c r="O503" s="362"/>
      <c r="P503" s="362"/>
      <c r="Q503" s="362">
        <f t="shared" ref="Q503:AB503" si="263">Q502/P502-1</f>
        <v>0.168641210340271</v>
      </c>
      <c r="R503" s="362">
        <f t="shared" si="263"/>
        <v>0.126495878742733</v>
      </c>
      <c r="S503" s="362">
        <f t="shared" si="263"/>
        <v>0.163697000625319</v>
      </c>
      <c r="T503" s="362">
        <f t="shared" si="263"/>
        <v>0.000358236979938642</v>
      </c>
      <c r="U503" s="362">
        <f t="shared" si="263"/>
        <v>0.0615171068728309</v>
      </c>
      <c r="V503" s="362">
        <f t="shared" si="263"/>
        <v>0.014501329413293</v>
      </c>
      <c r="W503" s="384">
        <f t="shared" si="263"/>
        <v>0.231503290428946</v>
      </c>
      <c r="X503" s="362">
        <f t="shared" si="263"/>
        <v>0.118867809283376</v>
      </c>
      <c r="Y503" s="362">
        <f t="shared" si="263"/>
        <v>0.0416850804291524</v>
      </c>
      <c r="Z503" s="362">
        <f t="shared" si="263"/>
        <v>0.0892280363821309</v>
      </c>
      <c r="AA503" s="362">
        <f t="shared" si="263"/>
        <v>0.102312434327694</v>
      </c>
      <c r="AB503" s="362">
        <f t="shared" si="263"/>
        <v>0.12980029041524</v>
      </c>
      <c r="AC503" s="362"/>
      <c r="AE503" s="362"/>
      <c r="AF503" s="362"/>
      <c r="AH503" s="463"/>
      <c r="AI503" s="463"/>
      <c r="AJ503" s="463"/>
      <c r="AK503" s="463"/>
      <c r="AL503" s="463"/>
    </row>
    <row r="504" customHeight="1" spans="1:38">
      <c r="A504" s="678" t="s">
        <v>232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4"/>
      <c r="M504" s="674"/>
      <c r="N504" s="674"/>
      <c r="O504" s="362"/>
      <c r="P504" s="362">
        <f t="shared" ref="P504:AB504" si="264">P502/P$510</f>
        <v>0.554477545216911</v>
      </c>
      <c r="Q504" s="362">
        <f t="shared" si="264"/>
        <v>0.516977814985349</v>
      </c>
      <c r="R504" s="362">
        <f t="shared" si="264"/>
        <v>0.498134622269961</v>
      </c>
      <c r="S504" s="362">
        <f t="shared" si="264"/>
        <v>0.48</v>
      </c>
      <c r="T504" s="362">
        <f t="shared" si="264"/>
        <v>0.47</v>
      </c>
      <c r="U504" s="362">
        <f t="shared" si="264"/>
        <v>0.45</v>
      </c>
      <c r="V504" s="362">
        <f t="shared" si="264"/>
        <v>0.413216254469113</v>
      </c>
      <c r="W504" s="384">
        <f t="shared" si="264"/>
        <v>0.429336510948436</v>
      </c>
      <c r="X504" s="362">
        <f t="shared" si="264"/>
        <v>0.410118621101634</v>
      </c>
      <c r="Y504" s="362">
        <f t="shared" si="264"/>
        <v>0.373146016192792</v>
      </c>
      <c r="Z504" s="362">
        <f t="shared" si="264"/>
        <v>0.346822679104241</v>
      </c>
      <c r="AA504" s="362">
        <f t="shared" si="264"/>
        <v>0.326228623057489</v>
      </c>
      <c r="AB504" s="362">
        <f t="shared" si="264"/>
        <v>0.314509387659205</v>
      </c>
      <c r="AC504" s="362"/>
      <c r="AE504" s="362"/>
      <c r="AF504" s="362"/>
      <c r="AK504" s="342"/>
    </row>
    <row r="505" customHeight="1" spans="1:38">
      <c r="A505" s="678" t="s">
        <v>233</v>
      </c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4"/>
      <c r="M505" s="674"/>
      <c r="N505" s="674"/>
      <c r="O505" s="362"/>
      <c r="P505" s="679">
        <f t="shared" ref="P505:U505" si="265">P502/AVERAGE((P522+P523),(O522+O523))</f>
        <v>1.14067371957197</v>
      </c>
      <c r="Q505" s="679">
        <f t="shared" si="265"/>
        <v>1.28853416797079</v>
      </c>
      <c r="R505" s="679">
        <f t="shared" si="265"/>
        <v>1.42916281458654</v>
      </c>
      <c r="S505" s="679">
        <f t="shared" si="265"/>
        <v>1.5888518155054</v>
      </c>
      <c r="T505" s="679">
        <f t="shared" si="265"/>
        <v>1.5513601532567</v>
      </c>
      <c r="U505" s="679">
        <f t="shared" si="265"/>
        <v>1.53094776191752</v>
      </c>
      <c r="V505" s="679">
        <f t="shared" ref="V505:AB505" si="266">V502/AVERAGE((V525-V521),(U525-U521))</f>
        <v>1.48821314856154</v>
      </c>
      <c r="W505" s="680">
        <f t="shared" si="266"/>
        <v>1.79446162428991</v>
      </c>
      <c r="X505" s="679">
        <f t="shared" si="266"/>
        <v>2.0593788514615</v>
      </c>
      <c r="Y505" s="679">
        <f t="shared" si="266"/>
        <v>2.34627616683543</v>
      </c>
      <c r="Z505" s="679">
        <f t="shared" si="266"/>
        <v>2.81991414416461</v>
      </c>
      <c r="AA505" s="679">
        <f t="shared" si="266"/>
        <v>3.46695311745002</v>
      </c>
      <c r="AB505" s="679">
        <f t="shared" si="266"/>
        <v>4.42765103255614</v>
      </c>
      <c r="AC505" s="679"/>
      <c r="AE505" s="362"/>
      <c r="AF505" s="362"/>
      <c r="AG505" s="362"/>
    </row>
    <row r="506" customHeight="1" spans="1:38">
      <c r="A506" s="678" t="s">
        <v>61</v>
      </c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4"/>
      <c r="M506" s="674"/>
      <c r="N506" s="674"/>
      <c r="O506" s="362"/>
      <c r="P506" s="362"/>
      <c r="Q506" s="362">
        <f t="shared" ref="Q506:AB506" si="267">Q505/P505-1</f>
        <v>0.129625541346126</v>
      </c>
      <c r="R506" s="362">
        <f t="shared" si="267"/>
        <v>0.109138469208947</v>
      </c>
      <c r="S506" s="362">
        <f t="shared" si="267"/>
        <v>0.111736045249017</v>
      </c>
      <c r="T506" s="362">
        <f t="shared" si="267"/>
        <v>-0.02359670164506</v>
      </c>
      <c r="U506" s="362">
        <f t="shared" si="267"/>
        <v>-0.0131577385794877</v>
      </c>
      <c r="V506" s="362">
        <f t="shared" si="267"/>
        <v>-0.0279138285570579</v>
      </c>
      <c r="W506" s="384">
        <f t="shared" si="267"/>
        <v>0.205782670328091</v>
      </c>
      <c r="X506" s="362">
        <f t="shared" si="267"/>
        <v>0.147630477902486</v>
      </c>
      <c r="Y506" s="362">
        <f t="shared" si="267"/>
        <v>0.139312548135727</v>
      </c>
      <c r="Z506" s="362">
        <f t="shared" si="267"/>
        <v>0.201867957414409</v>
      </c>
      <c r="AA506" s="362">
        <f t="shared" si="267"/>
        <v>0.229453430213241</v>
      </c>
      <c r="AB506" s="362">
        <f t="shared" si="267"/>
        <v>0.277101501681895</v>
      </c>
      <c r="AC506" s="362"/>
      <c r="AE506" s="362"/>
      <c r="AF506" s="362"/>
      <c r="AI506" s="455"/>
      <c r="AJ506" s="455"/>
      <c r="AK506" s="455"/>
    </row>
    <row r="507" customHeight="1" spans="1:38">
      <c r="A507" s="672" t="s">
        <v>237</v>
      </c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4"/>
      <c r="M507" s="674"/>
      <c r="N507" s="674"/>
      <c r="O507" s="676"/>
      <c r="P507" s="676">
        <f t="shared" ref="P507:AB507" si="268">P21</f>
        <v>29.585798816568</v>
      </c>
      <c r="Q507" s="676">
        <f t="shared" si="268"/>
        <v>55</v>
      </c>
      <c r="R507" s="676">
        <f t="shared" si="268"/>
        <v>89</v>
      </c>
      <c r="S507" s="676">
        <f t="shared" si="268"/>
        <v>158</v>
      </c>
      <c r="T507" s="676">
        <f t="shared" si="268"/>
        <v>250</v>
      </c>
      <c r="U507" s="676">
        <f t="shared" si="268"/>
        <v>422</v>
      </c>
      <c r="V507" s="676">
        <f t="shared" si="268"/>
        <v>627.75106103351</v>
      </c>
      <c r="W507" s="677">
        <f t="shared" si="268"/>
        <v>1000.51505944085</v>
      </c>
      <c r="X507" s="676">
        <f t="shared" si="268"/>
        <v>1482.26306056163</v>
      </c>
      <c r="Y507" s="676">
        <f t="shared" si="268"/>
        <v>2111.26139031095</v>
      </c>
      <c r="Z507" s="676">
        <f t="shared" si="268"/>
        <v>2921.24154455027</v>
      </c>
      <c r="AA507" s="676">
        <f t="shared" si="268"/>
        <v>3873.8595076937</v>
      </c>
      <c r="AB507" s="676">
        <f t="shared" si="268"/>
        <v>4947.63649012649</v>
      </c>
      <c r="AC507" s="676"/>
      <c r="AE507" s="362"/>
      <c r="AF507" s="362"/>
    </row>
    <row r="508" customHeight="1" spans="1:38">
      <c r="A508" s="678" t="s">
        <v>61</v>
      </c>
      <c r="B508" s="673"/>
      <c r="C508" s="673"/>
      <c r="D508" s="673"/>
      <c r="E508" s="673"/>
      <c r="F508" s="673"/>
      <c r="G508" s="673"/>
      <c r="H508" s="673"/>
      <c r="I508" s="673"/>
      <c r="J508" s="673"/>
      <c r="K508" s="673"/>
      <c r="L508" s="674"/>
      <c r="M508" s="674"/>
      <c r="N508" s="674"/>
      <c r="O508" s="362"/>
      <c r="P508" s="362"/>
      <c r="Q508" s="362">
        <f t="shared" ref="Q508:AB508" si="269">Q507/P507-1</f>
        <v>0.859</v>
      </c>
      <c r="R508" s="362">
        <f t="shared" si="269"/>
        <v>0.618181818181818</v>
      </c>
      <c r="S508" s="362">
        <f t="shared" si="269"/>
        <v>0.775280898876404</v>
      </c>
      <c r="T508" s="362">
        <f t="shared" si="269"/>
        <v>0.582278481012658</v>
      </c>
      <c r="U508" s="362">
        <f t="shared" si="269"/>
        <v>0.688</v>
      </c>
      <c r="V508" s="362">
        <f t="shared" si="269"/>
        <v>0.487561756003578</v>
      </c>
      <c r="W508" s="384">
        <f t="shared" si="269"/>
        <v>0.593808631392255</v>
      </c>
      <c r="X508" s="362">
        <f t="shared" si="269"/>
        <v>0.4815</v>
      </c>
      <c r="Y508" s="362">
        <f t="shared" si="269"/>
        <v>0.42435</v>
      </c>
      <c r="Z508" s="362">
        <f t="shared" si="269"/>
        <v>0.3836475</v>
      </c>
      <c r="AA508" s="362">
        <f t="shared" si="269"/>
        <v>0.326100375</v>
      </c>
      <c r="AB508" s="362">
        <f t="shared" si="269"/>
        <v>0.27718531875</v>
      </c>
      <c r="AC508" s="362"/>
      <c r="AE508" s="362"/>
      <c r="AF508" s="362"/>
    </row>
    <row r="509" customHeight="1" spans="1:38">
      <c r="A509" s="678" t="s">
        <v>232</v>
      </c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4"/>
      <c r="M509" s="674"/>
      <c r="N509" s="674"/>
      <c r="O509" s="362"/>
      <c r="P509" s="362">
        <f t="shared" ref="P509:AB509" si="270">P507/P$510</f>
        <v>0.0155224547830892</v>
      </c>
      <c r="Q509" s="362">
        <f t="shared" si="270"/>
        <v>0.0230221850146505</v>
      </c>
      <c r="R509" s="362">
        <f t="shared" si="270"/>
        <v>0.0318653777300394</v>
      </c>
      <c r="S509" s="362">
        <f t="shared" si="270"/>
        <v>0.0468425733768159</v>
      </c>
      <c r="T509" s="362">
        <f t="shared" si="270"/>
        <v>0.0725478816018572</v>
      </c>
      <c r="U509" s="362">
        <f t="shared" si="270"/>
        <v>0.110454861711654</v>
      </c>
      <c r="V509" s="362">
        <f t="shared" si="270"/>
        <v>0.148720933672947</v>
      </c>
      <c r="W509" s="384">
        <f t="shared" si="270"/>
        <v>0.199983022074926</v>
      </c>
      <c r="X509" s="362">
        <f t="shared" si="270"/>
        <v>0.252945914771609</v>
      </c>
      <c r="Y509" s="362">
        <f t="shared" si="270"/>
        <v>0.314685887179436</v>
      </c>
      <c r="Z509" s="362">
        <f t="shared" si="270"/>
        <v>0.371546005964306</v>
      </c>
      <c r="AA509" s="362">
        <f t="shared" si="270"/>
        <v>0.420435000296538</v>
      </c>
      <c r="AB509" s="362">
        <f t="shared" si="270"/>
        <v>0.458207980127367</v>
      </c>
      <c r="AC509" s="362"/>
      <c r="AE509" s="362"/>
      <c r="AF509" s="362"/>
    </row>
    <row r="510" customHeight="1" spans="1:38">
      <c r="A510" s="672" t="s">
        <v>238</v>
      </c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4"/>
      <c r="M510" s="674"/>
      <c r="N510" s="674"/>
      <c r="O510" s="362"/>
      <c r="P510" s="676">
        <f t="shared" ref="P510:AB510" si="271">P$10</f>
        <v>1906</v>
      </c>
      <c r="Q510" s="676">
        <f t="shared" si="271"/>
        <v>2389</v>
      </c>
      <c r="R510" s="676">
        <f t="shared" si="271"/>
        <v>2793</v>
      </c>
      <c r="S510" s="676">
        <f t="shared" si="271"/>
        <v>3373</v>
      </c>
      <c r="T510" s="676">
        <f t="shared" si="271"/>
        <v>3446</v>
      </c>
      <c r="U510" s="676">
        <f t="shared" si="271"/>
        <v>3820.56519251861</v>
      </c>
      <c r="V510" s="676">
        <f t="shared" si="271"/>
        <v>4221</v>
      </c>
      <c r="W510" s="677">
        <f t="shared" si="271"/>
        <v>5003</v>
      </c>
      <c r="X510" s="676">
        <f t="shared" si="271"/>
        <v>5860</v>
      </c>
      <c r="Y510" s="676">
        <f t="shared" si="271"/>
        <v>6709.10732360584</v>
      </c>
      <c r="Z510" s="676">
        <f t="shared" si="271"/>
        <v>7862.39522873761</v>
      </c>
      <c r="AA510" s="676">
        <f t="shared" si="271"/>
        <v>9213.9320108017</v>
      </c>
      <c r="AB510" s="676">
        <f t="shared" si="271"/>
        <v>10797.7964258746</v>
      </c>
      <c r="AC510" s="676"/>
      <c r="AE510" s="362"/>
      <c r="AF510" s="362"/>
    </row>
    <row r="511" customHeight="1" spans="1:38">
      <c r="A511" s="678" t="s">
        <v>61</v>
      </c>
      <c r="B511" s="673"/>
      <c r="C511" s="673"/>
      <c r="D511" s="673"/>
      <c r="E511" s="673"/>
      <c r="F511" s="673"/>
      <c r="G511" s="673"/>
      <c r="H511" s="673"/>
      <c r="I511" s="673"/>
      <c r="J511" s="673"/>
      <c r="K511" s="673"/>
      <c r="L511" s="674"/>
      <c r="M511" s="674"/>
      <c r="N511" s="674"/>
      <c r="O511" s="362"/>
      <c r="P511" s="362"/>
      <c r="Q511" s="362">
        <f>Q510/P510-1</f>
        <v>0.253410283315845</v>
      </c>
      <c r="R511" s="362">
        <f>R510/Q510-1</f>
        <v>0.16910841356216</v>
      </c>
      <c r="S511" s="362">
        <f>S510/R510-1</f>
        <v>0.20766201217329</v>
      </c>
      <c r="T511" s="362">
        <f>T510/S510-1</f>
        <v>0.0216424547880225</v>
      </c>
      <c r="U511" s="362">
        <f>U510/T510-1</f>
        <v>0.108695644956068</v>
      </c>
      <c r="V511" s="362">
        <f t="shared" ref="V511:AB511" si="272">V510/U510-1</f>
        <v>0.104810358494999</v>
      </c>
      <c r="W511" s="384">
        <f t="shared" si="272"/>
        <v>0.185264155413409</v>
      </c>
      <c r="X511" s="362">
        <f t="shared" si="272"/>
        <v>0.171297221667</v>
      </c>
      <c r="Y511" s="362">
        <f t="shared" si="272"/>
        <v>0.14489886068359</v>
      </c>
      <c r="Z511" s="362">
        <f t="shared" si="272"/>
        <v>0.17189886068359</v>
      </c>
      <c r="AA511" s="362">
        <f t="shared" si="272"/>
        <v>0.17189886068359</v>
      </c>
      <c r="AB511" s="362">
        <f t="shared" si="272"/>
        <v>0.17189886068359</v>
      </c>
      <c r="AC511" s="362"/>
      <c r="AE511" s="362"/>
      <c r="AF511" s="362"/>
    </row>
    <row r="512" customHeight="1" spans="1:38">
      <c r="A512" s="678" t="s">
        <v>100</v>
      </c>
      <c r="B512" s="673"/>
      <c r="C512" s="673"/>
      <c r="D512" s="673"/>
      <c r="E512" s="673"/>
      <c r="F512" s="673"/>
      <c r="G512" s="673"/>
      <c r="H512" s="673"/>
      <c r="I512" s="673"/>
      <c r="J512" s="673"/>
      <c r="K512" s="673"/>
      <c r="L512" s="674"/>
      <c r="M512" s="674"/>
      <c r="N512" s="674"/>
      <c r="O512" s="362"/>
      <c r="P512" s="362"/>
      <c r="Q512" s="362">
        <f t="shared" ref="Q512:AB512" si="273">Q13</f>
        <v>0.178</v>
      </c>
      <c r="R512" s="362">
        <f t="shared" si="273"/>
        <v>0.2</v>
      </c>
      <c r="S512" s="362">
        <f t="shared" si="273"/>
        <v>0.137507697815968</v>
      </c>
      <c r="T512" s="362">
        <f t="shared" si="273"/>
        <v>0.0811464571597984</v>
      </c>
      <c r="U512" s="362">
        <f t="shared" si="273"/>
        <v>0.209</v>
      </c>
      <c r="V512" s="362">
        <f t="shared" si="273"/>
        <v>0.11</v>
      </c>
      <c r="W512" s="384">
        <f t="shared" si="273"/>
        <v>0.23</v>
      </c>
      <c r="X512" s="362">
        <f t="shared" si="273"/>
        <v>0.17189886068359</v>
      </c>
      <c r="Y512" s="362">
        <f t="shared" si="273"/>
        <v>0.17189886068359</v>
      </c>
      <c r="Z512" s="362">
        <f t="shared" si="273"/>
        <v>0.17189886068359</v>
      </c>
      <c r="AA512" s="362">
        <f t="shared" si="273"/>
        <v>0.17189886068359</v>
      </c>
      <c r="AB512" s="362">
        <f t="shared" si="273"/>
        <v>0.17189886068359</v>
      </c>
      <c r="AC512" s="362"/>
      <c r="AE512" s="362"/>
      <c r="AF512" s="362"/>
    </row>
    <row r="513" customHeight="1" spans="1:40">
      <c r="A513" s="672" t="s">
        <v>239</v>
      </c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4"/>
      <c r="M513" s="674"/>
      <c r="N513" s="674"/>
      <c r="O513" s="362"/>
      <c r="P513" s="676">
        <f t="shared" ref="P513:AB513" si="274">P510-P507</f>
        <v>1876.41420118343</v>
      </c>
      <c r="Q513" s="676">
        <f t="shared" si="274"/>
        <v>2334</v>
      </c>
      <c r="R513" s="676">
        <f t="shared" si="274"/>
        <v>2704</v>
      </c>
      <c r="S513" s="676">
        <f t="shared" si="274"/>
        <v>3215</v>
      </c>
      <c r="T513" s="676">
        <f t="shared" si="274"/>
        <v>3196</v>
      </c>
      <c r="U513" s="676">
        <f t="shared" si="274"/>
        <v>3398.56519251861</v>
      </c>
      <c r="V513" s="676">
        <f t="shared" si="274"/>
        <v>3593.24893896649</v>
      </c>
      <c r="W513" s="677">
        <f t="shared" si="274"/>
        <v>4002.48494055915</v>
      </c>
      <c r="X513" s="676">
        <f t="shared" si="274"/>
        <v>4377.73693943837</v>
      </c>
      <c r="Y513" s="676">
        <f t="shared" si="274"/>
        <v>4597.84593329489</v>
      </c>
      <c r="Z513" s="676">
        <f t="shared" si="274"/>
        <v>4941.15368418734</v>
      </c>
      <c r="AA513" s="676">
        <f t="shared" si="274"/>
        <v>5340.072503108</v>
      </c>
      <c r="AB513" s="676">
        <f t="shared" si="274"/>
        <v>5850.15993574808</v>
      </c>
      <c r="AC513" s="676"/>
      <c r="AE513" s="362"/>
      <c r="AF513" s="362"/>
    </row>
    <row r="514" customHeight="1" spans="1:40">
      <c r="A514" s="678" t="s">
        <v>61</v>
      </c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4"/>
      <c r="M514" s="674"/>
      <c r="N514" s="674"/>
      <c r="O514" s="362"/>
      <c r="P514" s="362"/>
      <c r="Q514" s="362">
        <f t="shared" ref="Q514:AB514" si="275">Q513/P513-1</f>
        <v>0.243861828869113</v>
      </c>
      <c r="R514" s="362">
        <f t="shared" si="275"/>
        <v>0.158526135389889</v>
      </c>
      <c r="S514" s="362">
        <f t="shared" si="275"/>
        <v>0.188979289940828</v>
      </c>
      <c r="T514" s="362">
        <f t="shared" si="275"/>
        <v>-0.00590979782270606</v>
      </c>
      <c r="U514" s="362">
        <f t="shared" si="275"/>
        <v>0.0633808487229692</v>
      </c>
      <c r="V514" s="362">
        <f t="shared" si="275"/>
        <v>0.05728409944186</v>
      </c>
      <c r="W514" s="384">
        <f t="shared" si="275"/>
        <v>0.113890244885277</v>
      </c>
      <c r="X514" s="362">
        <f t="shared" si="275"/>
        <v>0.093754755970876</v>
      </c>
      <c r="Y514" s="362">
        <f t="shared" si="275"/>
        <v>0.0502791732124381</v>
      </c>
      <c r="Z514" s="362">
        <f t="shared" si="275"/>
        <v>0.0746670845159076</v>
      </c>
      <c r="AA514" s="362">
        <f t="shared" si="275"/>
        <v>0.080733942803132</v>
      </c>
      <c r="AB514" s="362">
        <f t="shared" si="275"/>
        <v>0.0955206942121471</v>
      </c>
      <c r="AC514" s="362"/>
      <c r="AE514" s="362"/>
      <c r="AF514" s="362"/>
    </row>
    <row r="515" customHeight="1" spans="1:40">
      <c r="A515" s="678" t="s">
        <v>100</v>
      </c>
      <c r="B515" s="673"/>
      <c r="C515" s="673"/>
      <c r="D515" s="673"/>
      <c r="E515" s="673"/>
      <c r="F515" s="673"/>
      <c r="G515" s="673"/>
      <c r="H515" s="673"/>
      <c r="I515" s="673"/>
      <c r="J515" s="673"/>
      <c r="K515" s="673"/>
      <c r="L515" s="674"/>
      <c r="M515" s="674"/>
      <c r="N515" s="674"/>
      <c r="O515" s="362"/>
      <c r="P515" s="362"/>
      <c r="Q515" s="362">
        <f t="shared" ref="Q515:AB515" si="276">Q18</f>
        <v>0.168372834669276</v>
      </c>
      <c r="R515" s="362">
        <f t="shared" si="276"/>
        <v>0.189702090359504</v>
      </c>
      <c r="S515" s="362">
        <f t="shared" si="276"/>
        <v>0.118270663353226</v>
      </c>
      <c r="T515" s="362">
        <f t="shared" si="276"/>
        <v>0.0536818040435459</v>
      </c>
      <c r="U515" s="362">
        <f t="shared" si="276"/>
        <v>0.16902816020025</v>
      </c>
      <c r="V515" s="362">
        <f t="shared" si="276"/>
        <v>0.0715072854015044</v>
      </c>
      <c r="W515" s="384">
        <f t="shared" si="276"/>
        <v>0.167106950893009</v>
      </c>
      <c r="X515" s="362">
        <f t="shared" si="276"/>
        <v>0.0895073193305667</v>
      </c>
      <c r="Y515" s="362">
        <f t="shared" si="276"/>
        <v>0.0772791732124381</v>
      </c>
      <c r="Z515" s="362">
        <f t="shared" si="276"/>
        <v>0.0746670845159077</v>
      </c>
      <c r="AA515" s="362">
        <f t="shared" si="276"/>
        <v>0.080733942803132</v>
      </c>
      <c r="AB515" s="362">
        <f t="shared" si="276"/>
        <v>0.0955206942121472</v>
      </c>
      <c r="AC515" s="362"/>
      <c r="AE515" s="362"/>
      <c r="AF515" s="362"/>
    </row>
    <row r="516" customHeight="1" spans="1:40">
      <c r="A516" s="678" t="s">
        <v>240</v>
      </c>
      <c r="B516" s="673"/>
      <c r="C516" s="673"/>
      <c r="D516" s="673"/>
      <c r="E516" s="673"/>
      <c r="F516" s="673"/>
      <c r="G516" s="673"/>
      <c r="H516" s="673"/>
      <c r="I516" s="673"/>
      <c r="J516" s="673"/>
      <c r="K516" s="673"/>
      <c r="L516" s="674"/>
      <c r="M516" s="674"/>
      <c r="N516" s="674"/>
      <c r="O516" s="362"/>
      <c r="P516" s="362"/>
      <c r="Q516" s="362">
        <f>Q515-Q518</f>
        <v>0.0583728346692758</v>
      </c>
      <c r="R516" s="362">
        <f>R515-R518</f>
        <v>0.0497020903595041</v>
      </c>
      <c r="S516" s="362">
        <f>S515-S518</f>
        <v>0.048270663353226</v>
      </c>
      <c r="T516" s="362">
        <f>T515-T518</f>
        <v>0.0636818040435459</v>
      </c>
      <c r="U516" s="362">
        <f>U515-U518</f>
        <v>0.0790281602002503</v>
      </c>
      <c r="V516" s="362">
        <f t="shared" ref="V516:AB516" si="277">V527*V517</f>
        <v>-0.0231719876416066</v>
      </c>
      <c r="W516" s="384">
        <f t="shared" si="277"/>
        <v>0.0398512221041445</v>
      </c>
      <c r="X516" s="362">
        <f t="shared" si="277"/>
        <v>0.00252270433905138</v>
      </c>
      <c r="Y516" s="362">
        <f t="shared" si="277"/>
        <v>0.00251424740194428</v>
      </c>
      <c r="Z516" s="362">
        <f t="shared" si="277"/>
        <v>0.00250584697627804</v>
      </c>
      <c r="AA516" s="362">
        <f t="shared" si="277"/>
        <v>0.00249750249750258</v>
      </c>
      <c r="AB516" s="362">
        <f t="shared" si="277"/>
        <v>0.00248921340856284</v>
      </c>
      <c r="AC516" s="362"/>
      <c r="AE516" s="362"/>
      <c r="AF516" s="362"/>
    </row>
    <row r="517" customHeight="1" spans="1:40">
      <c r="A517" s="678" t="s">
        <v>241</v>
      </c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4"/>
      <c r="M517" s="674"/>
      <c r="N517" s="674"/>
      <c r="O517" s="362"/>
      <c r="P517" s="362"/>
      <c r="Q517" s="362">
        <f>Q516/Q527</f>
        <v>2.2262191429041</v>
      </c>
      <c r="R517" s="362">
        <f>R516/R527</f>
        <v>0.989681974702408</v>
      </c>
      <c r="S517" s="362">
        <f>S516/S527</f>
        <v>1.85608486184017</v>
      </c>
      <c r="T517" s="362">
        <f>T516/T527</f>
        <v>0.529815281260249</v>
      </c>
      <c r="U517" s="362">
        <f>U516/U527</f>
        <v>1.2516598783161</v>
      </c>
      <c r="V517" s="362">
        <v>0.75</v>
      </c>
      <c r="W517" s="384">
        <v>0.75</v>
      </c>
      <c r="X517" s="500">
        <v>0.75</v>
      </c>
      <c r="Y517" s="500">
        <v>0.75</v>
      </c>
      <c r="Z517" s="500">
        <v>0.75</v>
      </c>
      <c r="AA517" s="500">
        <v>0.75</v>
      </c>
      <c r="AB517" s="500">
        <v>0.75</v>
      </c>
      <c r="AC517" s="500"/>
      <c r="AE517" s="362"/>
      <c r="AF517" s="362"/>
    </row>
    <row r="518" customHeight="1" spans="1:40">
      <c r="A518" s="678" t="s">
        <v>242</v>
      </c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4"/>
      <c r="M518" s="674"/>
      <c r="N518" s="674"/>
      <c r="O518" s="674"/>
      <c r="P518" s="674"/>
      <c r="Q518" s="362">
        <f>Interim!DY16</f>
        <v>0.11</v>
      </c>
      <c r="R518" s="362">
        <f>Interim!EG16</f>
        <v>0.14</v>
      </c>
      <c r="S518" s="362">
        <f>Interim!EO16</f>
        <v>0.07</v>
      </c>
      <c r="T518" s="362">
        <f>Interim!EW16</f>
        <v>-0.01</v>
      </c>
      <c r="U518" s="362">
        <f>Interim!FE16</f>
        <v>0.09</v>
      </c>
      <c r="V518" s="362">
        <f t="shared" ref="V518:AB518" si="278">V515-V516</f>
        <v>0.094679273043111</v>
      </c>
      <c r="W518" s="384">
        <f t="shared" si="278"/>
        <v>0.127255728788864</v>
      </c>
      <c r="X518" s="362">
        <f t="shared" si="278"/>
        <v>0.0869846149915153</v>
      </c>
      <c r="Y518" s="362">
        <f t="shared" si="278"/>
        <v>0.0747649258104938</v>
      </c>
      <c r="Z518" s="362">
        <f t="shared" si="278"/>
        <v>0.0721612375396296</v>
      </c>
      <c r="AA518" s="362">
        <f t="shared" si="278"/>
        <v>0.0782364403056294</v>
      </c>
      <c r="AB518" s="362">
        <f t="shared" si="278"/>
        <v>0.0930314808035844</v>
      </c>
      <c r="AC518" s="362"/>
      <c r="AE518" s="362"/>
      <c r="AF518" s="362"/>
    </row>
    <row r="519" customHeight="1" spans="1:40">
      <c r="A519" s="678" t="s">
        <v>243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4"/>
      <c r="M519" s="674"/>
      <c r="N519" s="674"/>
      <c r="O519" s="674"/>
      <c r="P519" s="674"/>
      <c r="Q519" s="362"/>
      <c r="R519" s="362"/>
      <c r="S519" s="362"/>
      <c r="T519" s="362"/>
      <c r="U519" s="362"/>
      <c r="V519" s="362">
        <f t="shared" ref="V519:AB519" si="279">U509*V508+(1-U509)*V518</f>
        <v>0.13807505336744</v>
      </c>
      <c r="W519" s="384">
        <f t="shared" si="279"/>
        <v>0.196641912071864</v>
      </c>
      <c r="X519" s="362">
        <f t="shared" si="279"/>
        <v>0.165880993940565</v>
      </c>
      <c r="Y519" s="362">
        <f t="shared" si="279"/>
        <v>0.163191042191859</v>
      </c>
      <c r="Z519" s="362">
        <f t="shared" si="279"/>
        <v>0.170181568386178</v>
      </c>
      <c r="AA519" s="362">
        <f t="shared" si="279"/>
        <v>0.17032929526392</v>
      </c>
      <c r="AB519" s="362">
        <f t="shared" si="279"/>
        <v>0.170456199715194</v>
      </c>
      <c r="AC519" s="362"/>
      <c r="AE519" s="362"/>
      <c r="AF519" s="362"/>
    </row>
    <row r="520" customHeight="1" spans="1:40">
      <c r="A520" s="681"/>
      <c r="B520" s="673"/>
      <c r="C520" s="673"/>
      <c r="D520" s="673"/>
      <c r="E520" s="673"/>
      <c r="F520" s="673"/>
      <c r="G520" s="673"/>
      <c r="H520" s="673"/>
      <c r="I520" s="673"/>
      <c r="J520" s="673"/>
      <c r="K520" s="673"/>
      <c r="L520" s="674"/>
      <c r="M520" s="674"/>
      <c r="N520" s="674"/>
      <c r="O520" s="674"/>
      <c r="P520" s="674"/>
      <c r="Q520" s="674"/>
      <c r="R520" s="674"/>
      <c r="S520" s="674"/>
      <c r="T520" s="674"/>
      <c r="U520" s="674"/>
      <c r="V520" s="674"/>
      <c r="W520" s="682"/>
      <c r="X520" s="674"/>
      <c r="Y520" s="674"/>
      <c r="Z520" s="674"/>
      <c r="AA520" s="674"/>
      <c r="AB520" s="674"/>
      <c r="AC520" s="674"/>
      <c r="AE520" s="362"/>
      <c r="AF520" s="362"/>
    </row>
    <row r="521" customHeight="1" spans="1:40">
      <c r="A521" s="683" t="s">
        <v>244</v>
      </c>
      <c r="O521" s="684">
        <f>'Sales &amp; stores'!K400</f>
        <v>1019</v>
      </c>
      <c r="P521" s="684">
        <f>'Sales &amp; stores'!L400</f>
        <v>1203</v>
      </c>
      <c r="Q521" s="684">
        <f>'Sales &amp; stores'!M400</f>
        <v>1352</v>
      </c>
      <c r="R521" s="684">
        <f>'Sales &amp; stores'!N400</f>
        <v>1355</v>
      </c>
      <c r="S521" s="684">
        <f>'Sales &amp; stores'!O400</f>
        <v>1437</v>
      </c>
      <c r="T521" s="684">
        <f>'Sales &amp; stores'!P400</f>
        <v>1661</v>
      </c>
      <c r="U521" s="684">
        <v>1746</v>
      </c>
      <c r="V521" s="684">
        <f>U521-100</f>
        <v>1646</v>
      </c>
      <c r="W521" s="685">
        <f t="shared" ref="W521:AB521" si="280">V521+(550/5)</f>
        <v>1756</v>
      </c>
      <c r="X521" s="686">
        <f t="shared" si="280"/>
        <v>1866</v>
      </c>
      <c r="Y521" s="686">
        <f t="shared" si="280"/>
        <v>1976</v>
      </c>
      <c r="Z521" s="686">
        <f t="shared" si="280"/>
        <v>2086</v>
      </c>
      <c r="AA521" s="686">
        <f t="shared" si="280"/>
        <v>2196</v>
      </c>
      <c r="AB521" s="686">
        <f t="shared" si="280"/>
        <v>2306</v>
      </c>
      <c r="AC521" s="686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</row>
    <row r="522" customHeight="1" spans="1:40">
      <c r="A522" s="683" t="s">
        <v>245</v>
      </c>
      <c r="O522" s="684">
        <f>'Sales &amp; stores'!K401</f>
        <v>681</v>
      </c>
      <c r="P522" s="684">
        <f>'Sales &amp; stores'!L401</f>
        <v>755</v>
      </c>
      <c r="Q522" s="684">
        <f>'Sales &amp; stores'!M401</f>
        <v>725</v>
      </c>
      <c r="R522" s="684">
        <f>'Sales &amp; stores'!N401</f>
        <v>734</v>
      </c>
      <c r="S522" s="684">
        <f>'Sales &amp; stores'!O401</f>
        <v>730</v>
      </c>
      <c r="T522" s="684">
        <f>'Sales &amp; stores'!P401</f>
        <v>779</v>
      </c>
      <c r="U522" s="684">
        <v>851</v>
      </c>
      <c r="V522" s="684"/>
      <c r="W522" s="685"/>
      <c r="X522" s="687"/>
      <c r="Y522" s="687"/>
      <c r="Z522" s="687"/>
      <c r="AA522" s="687"/>
      <c r="AB522" s="687"/>
      <c r="AC522" s="687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</row>
    <row r="523" customHeight="1" spans="1:40">
      <c r="A523" s="683" t="s">
        <v>246</v>
      </c>
      <c r="O523" s="684">
        <f>'Sales &amp; stores'!K402</f>
        <v>173</v>
      </c>
      <c r="P523" s="684">
        <f>'Sales &amp; stores'!L402</f>
        <v>244</v>
      </c>
      <c r="Q523" s="684">
        <f>'Sales &amp; stores'!M402</f>
        <v>193</v>
      </c>
      <c r="R523" s="684">
        <f>'Sales &amp; stores'!N402</f>
        <v>295</v>
      </c>
      <c r="S523" s="684">
        <f>'Sales &amp; stores'!O402</f>
        <v>279</v>
      </c>
      <c r="T523" s="684">
        <f>'Sales &amp; stores'!P402</f>
        <v>300</v>
      </c>
      <c r="U523" s="684">
        <v>316</v>
      </c>
      <c r="V523" s="684"/>
      <c r="W523" s="685"/>
      <c r="X523" s="684"/>
      <c r="Y523" s="687"/>
      <c r="Z523" s="687"/>
      <c r="AA523" s="687"/>
      <c r="AB523" s="687"/>
      <c r="AC523" s="687"/>
      <c r="AD523" s="340"/>
      <c r="AE523" s="333"/>
      <c r="AF523" s="340"/>
      <c r="AG523" s="340"/>
      <c r="AH523" s="340"/>
      <c r="AI523" s="340"/>
      <c r="AJ523" s="340"/>
      <c r="AK523" s="340"/>
      <c r="AL523" s="340"/>
      <c r="AM523" s="340"/>
      <c r="AN523" s="340"/>
    </row>
    <row r="524" customHeight="1" spans="1:40">
      <c r="A524" s="683" t="s">
        <v>64</v>
      </c>
      <c r="O524" s="684">
        <f>'Sales &amp; stores'!K403</f>
        <v>11</v>
      </c>
      <c r="P524" s="684">
        <f>'Sales &amp; stores'!L403</f>
        <v>10</v>
      </c>
      <c r="Q524" s="684">
        <f>'Sales &amp; stores'!M403</f>
        <v>0</v>
      </c>
      <c r="R524" s="684">
        <f>'Sales &amp; stores'!N403</f>
        <v>0.0502202643171805</v>
      </c>
      <c r="S524" s="684">
        <f>'Sales &amp; stores'!O403</f>
        <v>0</v>
      </c>
      <c r="T524" s="684">
        <f>'Sales &amp; stores'!P403</f>
        <v>0</v>
      </c>
      <c r="U524" s="684"/>
      <c r="V524" s="684"/>
      <c r="W524" s="688"/>
      <c r="X524" s="689"/>
      <c r="Y524" s="690"/>
      <c r="Z524" s="690"/>
      <c r="AA524" s="690"/>
      <c r="AB524" s="690"/>
      <c r="AC524" s="690"/>
      <c r="AD524" s="340"/>
      <c r="AG524" s="340"/>
      <c r="AH524" s="340"/>
      <c r="AI524" s="340"/>
      <c r="AJ524" s="340"/>
      <c r="AK524" s="340"/>
      <c r="AL524" s="340"/>
      <c r="AM524" s="340"/>
      <c r="AN524" s="340"/>
    </row>
    <row r="525" customHeight="1" spans="1:40">
      <c r="A525" s="691" t="s">
        <v>247</v>
      </c>
      <c r="O525" s="692">
        <f>'Sales &amp; stores'!K399</f>
        <v>1884</v>
      </c>
      <c r="P525" s="692">
        <f>'Sales &amp; stores'!L399</f>
        <v>2212</v>
      </c>
      <c r="Q525" s="692">
        <f>'Sales &amp; stores'!M399</f>
        <v>2270</v>
      </c>
      <c r="R525" s="692">
        <f>'Sales &amp; stores'!N399</f>
        <v>2384</v>
      </c>
      <c r="S525" s="692">
        <f>'Sales &amp; stores'!O399</f>
        <v>2446</v>
      </c>
      <c r="T525" s="692">
        <v>2740</v>
      </c>
      <c r="U525" s="692">
        <v>2913</v>
      </c>
      <c r="V525" s="692">
        <f t="shared" ref="V525:AB525" si="281">U525+V526</f>
        <v>2823</v>
      </c>
      <c r="W525" s="693">
        <f t="shared" si="281"/>
        <v>2973</v>
      </c>
      <c r="X525" s="692">
        <f t="shared" si="281"/>
        <v>2983</v>
      </c>
      <c r="Y525" s="692">
        <f t="shared" si="281"/>
        <v>2993</v>
      </c>
      <c r="Z525" s="692">
        <f t="shared" si="281"/>
        <v>3003</v>
      </c>
      <c r="AA525" s="692">
        <f t="shared" si="281"/>
        <v>3013</v>
      </c>
      <c r="AB525" s="692">
        <f t="shared" si="281"/>
        <v>3023</v>
      </c>
      <c r="AC525" s="692"/>
      <c r="AF525" s="340"/>
      <c r="AG525" s="340"/>
      <c r="AH525" s="340"/>
      <c r="AI525" s="340"/>
      <c r="AJ525" s="340"/>
      <c r="AK525" s="340"/>
      <c r="AL525" s="340"/>
      <c r="AM525" s="340"/>
      <c r="AN525" s="340"/>
    </row>
    <row r="526" customHeight="1" spans="1:40">
      <c r="A526" s="683" t="s">
        <v>248</v>
      </c>
      <c r="O526" s="687"/>
      <c r="P526" s="684">
        <f t="shared" ref="P526:U526" si="282">P525-O525</f>
        <v>328</v>
      </c>
      <c r="Q526" s="687">
        <f t="shared" si="282"/>
        <v>58</v>
      </c>
      <c r="R526" s="687">
        <f t="shared" si="282"/>
        <v>114</v>
      </c>
      <c r="S526" s="687">
        <f t="shared" si="282"/>
        <v>62</v>
      </c>
      <c r="T526" s="687">
        <f t="shared" si="282"/>
        <v>294</v>
      </c>
      <c r="U526" s="687">
        <f t="shared" si="282"/>
        <v>173</v>
      </c>
      <c r="V526" s="687">
        <v>-90</v>
      </c>
      <c r="W526" s="694">
        <f>(550/5)+40</f>
        <v>150</v>
      </c>
      <c r="X526" s="695">
        <v>10</v>
      </c>
      <c r="Y526" s="695">
        <v>10</v>
      </c>
      <c r="Z526" s="695">
        <v>10</v>
      </c>
      <c r="AA526" s="695">
        <v>10</v>
      </c>
      <c r="AB526" s="695">
        <v>10</v>
      </c>
      <c r="AC526" s="695"/>
      <c r="AD526" s="696"/>
      <c r="AG526" s="697"/>
      <c r="AH526" s="340"/>
      <c r="AI526" s="340"/>
      <c r="AJ526" s="340"/>
      <c r="AK526" s="340"/>
      <c r="AL526" s="340"/>
      <c r="AM526" s="340"/>
      <c r="AN526" s="340"/>
    </row>
    <row r="527" customHeight="1" spans="1:40">
      <c r="A527" s="683" t="s">
        <v>249</v>
      </c>
      <c r="O527" s="687"/>
      <c r="P527" s="362">
        <f t="shared" ref="P527:AB527" si="283">P525/O525-1</f>
        <v>0.174097664543524</v>
      </c>
      <c r="Q527" s="362">
        <f t="shared" si="283"/>
        <v>0.0262206148282098</v>
      </c>
      <c r="R527" s="362">
        <f t="shared" si="283"/>
        <v>0.0502202643171805</v>
      </c>
      <c r="S527" s="362">
        <f t="shared" si="283"/>
        <v>0.026006711409396</v>
      </c>
      <c r="T527" s="362">
        <f t="shared" si="283"/>
        <v>0.120196238757154</v>
      </c>
      <c r="U527" s="362">
        <f t="shared" si="283"/>
        <v>0.063138686131387</v>
      </c>
      <c r="V527" s="362">
        <f t="shared" si="283"/>
        <v>-0.0308959835221421</v>
      </c>
      <c r="W527" s="384">
        <f t="shared" si="283"/>
        <v>0.053134962805526</v>
      </c>
      <c r="X527" s="362">
        <f t="shared" si="283"/>
        <v>0.00336360578540185</v>
      </c>
      <c r="Y527" s="362">
        <f t="shared" si="283"/>
        <v>0.00335232986925904</v>
      </c>
      <c r="Z527" s="362">
        <f t="shared" si="283"/>
        <v>0.00334112930170405</v>
      </c>
      <c r="AA527" s="362">
        <f t="shared" si="283"/>
        <v>0.00333000333000344</v>
      </c>
      <c r="AB527" s="362">
        <f t="shared" si="283"/>
        <v>0.00331895121141712</v>
      </c>
      <c r="AC527" s="362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</row>
    <row r="528" customHeight="1" spans="1:40">
      <c r="A528" s="683" t="s">
        <v>250</v>
      </c>
      <c r="O528" s="695">
        <f>-'Balance Sheet &amp; Cash Flow'!P111*0.75</f>
        <v>282</v>
      </c>
      <c r="P528" s="695">
        <f>-'Balance Sheet &amp; Cash Flow'!Q111*0.75</f>
        <v>180.75</v>
      </c>
      <c r="Q528" s="695">
        <f>-'Balance Sheet &amp; Cash Flow'!R111*0.75</f>
        <v>201.75</v>
      </c>
      <c r="R528" s="695">
        <f>-'Balance Sheet &amp; Cash Flow'!S111*0.75</f>
        <v>282</v>
      </c>
      <c r="S528" s="695">
        <f>-'Balance Sheet &amp; Cash Flow'!T111*0.75</f>
        <v>325.5</v>
      </c>
      <c r="T528" s="695">
        <f>-'Balance Sheet &amp; Cash Flow'!U111*0.75</f>
        <v>355.5</v>
      </c>
      <c r="U528" s="695">
        <f>-'Balance Sheet &amp; Cash Flow'!V111*0.75</f>
        <v>411</v>
      </c>
      <c r="V528" s="695">
        <f>-'Balance Sheet &amp; Cash Flow'!W111*0.7</f>
        <v>359.1</v>
      </c>
      <c r="W528" s="698">
        <f>-'Balance Sheet &amp; Cash Flow'!X111*0.6</f>
        <v>390.6</v>
      </c>
      <c r="X528" s="695">
        <f>-'Balance Sheet &amp; Cash Flow'!Y111*0.6</f>
        <v>363.6</v>
      </c>
      <c r="Y528" s="695">
        <f>-'Balance Sheet &amp; Cash Flow'!Z111*0.6</f>
        <v>366.6</v>
      </c>
      <c r="Z528" s="695">
        <f>-'Balance Sheet &amp; Cash Flow'!AA111*0.6</f>
        <v>358.8</v>
      </c>
      <c r="AA528" s="695">
        <f>-'Balance Sheet &amp; Cash Flow'!AB111*0.6</f>
        <v>220.8</v>
      </c>
      <c r="AB528" s="695" t="e">
        <f>-'Balance Sheet &amp; Cash Flow'!#REF!*0.6</f>
        <v>#REF!</v>
      </c>
      <c r="AC528" s="695"/>
      <c r="AD528" s="340"/>
      <c r="AF528" s="340"/>
      <c r="AG528" s="336"/>
      <c r="AH528" s="340"/>
      <c r="AI528" s="340"/>
      <c r="AJ528" s="340"/>
      <c r="AK528" s="340"/>
      <c r="AL528" s="340"/>
      <c r="AM528" s="340"/>
      <c r="AN528" s="340"/>
    </row>
    <row r="529" customHeight="1" spans="1:40">
      <c r="A529" s="691" t="s">
        <v>251</v>
      </c>
      <c r="B529" s="401"/>
      <c r="C529" s="401"/>
      <c r="D529" s="401"/>
      <c r="E529" s="401"/>
      <c r="F529" s="401"/>
      <c r="G529" s="401"/>
      <c r="H529" s="401"/>
      <c r="I529" s="401"/>
      <c r="J529" s="401"/>
      <c r="K529" s="401"/>
      <c r="L529" s="461"/>
      <c r="M529" s="461"/>
      <c r="N529" s="461"/>
      <c r="O529" s="699"/>
      <c r="P529" s="699">
        <f>P528/(P525-O525)</f>
        <v>0.551067073170732</v>
      </c>
      <c r="Q529" s="699">
        <f>Q528/(Q525-P525)</f>
        <v>3.47844827586207</v>
      </c>
      <c r="R529" s="699">
        <f>R528/(R525-Q525)</f>
        <v>2.47368421052632</v>
      </c>
      <c r="S529" s="699">
        <f>S528/(S525-R525)</f>
        <v>5.25</v>
      </c>
      <c r="T529" s="699">
        <f>T528/(T525-S525)</f>
        <v>1.20918367346939</v>
      </c>
      <c r="U529" s="699">
        <f>U528/U526</f>
        <v>2.3757225433526</v>
      </c>
      <c r="V529" s="699">
        <f t="shared" ref="V529:AB529" si="284">V528/V526</f>
        <v>-3.99</v>
      </c>
      <c r="W529" s="700">
        <f t="shared" si="284"/>
        <v>2.604</v>
      </c>
      <c r="X529" s="701">
        <f t="shared" si="284"/>
        <v>36.36</v>
      </c>
      <c r="Y529" s="701">
        <f t="shared" si="284"/>
        <v>36.66</v>
      </c>
      <c r="Z529" s="701">
        <f t="shared" si="284"/>
        <v>35.88</v>
      </c>
      <c r="AA529" s="701">
        <f t="shared" si="284"/>
        <v>22.08</v>
      </c>
      <c r="AB529" s="701" t="e">
        <f t="shared" si="284"/>
        <v>#REF!</v>
      </c>
      <c r="AC529" s="701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</row>
    <row r="530" customHeight="1" spans="1:40">
      <c r="A530" s="360" t="s">
        <v>61</v>
      </c>
      <c r="O530" s="690"/>
      <c r="P530" s="690"/>
      <c r="Q530" s="362">
        <f t="shared" ref="Q530:AB530" si="285">Q529/P529-1</f>
        <v>5.31220489340392</v>
      </c>
      <c r="R530" s="362">
        <f t="shared" si="285"/>
        <v>-0.288854105524033</v>
      </c>
      <c r="S530" s="362">
        <f t="shared" si="285"/>
        <v>1.12234042553191</v>
      </c>
      <c r="T530" s="362">
        <f t="shared" si="285"/>
        <v>-0.769679300291545</v>
      </c>
      <c r="U530" s="362">
        <f t="shared" si="285"/>
        <v>0.964732567498354</v>
      </c>
      <c r="V530" s="362">
        <f t="shared" si="285"/>
        <v>-2.67948905109489</v>
      </c>
      <c r="W530" s="384">
        <f t="shared" si="285"/>
        <v>-1.65263157894737</v>
      </c>
      <c r="X530" s="362">
        <f t="shared" si="285"/>
        <v>12.963133640553</v>
      </c>
      <c r="Y530" s="362">
        <f t="shared" si="285"/>
        <v>0.00825082508250818</v>
      </c>
      <c r="Z530" s="362">
        <f t="shared" si="285"/>
        <v>-0.0212765957446807</v>
      </c>
      <c r="AA530" s="362">
        <f t="shared" si="285"/>
        <v>-0.384615384615385</v>
      </c>
      <c r="AB530" s="362" t="e">
        <f t="shared" si="285"/>
        <v>#REF!</v>
      </c>
      <c r="AC530" s="362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</row>
    <row r="531" customHeight="1" spans="1:40">
      <c r="A531" s="360"/>
      <c r="O531" s="690"/>
      <c r="P531" s="690"/>
      <c r="Q531" s="690"/>
      <c r="R531" s="690"/>
      <c r="S531" s="690"/>
      <c r="T531" s="702"/>
      <c r="U531" s="702"/>
      <c r="V531" s="702"/>
      <c r="W531" s="703"/>
      <c r="X531" s="687"/>
      <c r="Y531" s="687"/>
      <c r="Z531" s="687"/>
      <c r="AA531" s="687"/>
      <c r="AB531" s="687"/>
      <c r="AC531" s="687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</row>
    <row r="532" customHeight="1" spans="1:40">
      <c r="A532" s="360" t="s">
        <v>252</v>
      </c>
      <c r="O532" s="690"/>
      <c r="P532" s="704">
        <f>P525-O525</f>
        <v>328</v>
      </c>
      <c r="Q532" s="704">
        <f>Q525-P525</f>
        <v>58</v>
      </c>
      <c r="R532" s="704">
        <f>R525-Q525</f>
        <v>114</v>
      </c>
      <c r="S532" s="704">
        <f>S525-R525</f>
        <v>62</v>
      </c>
      <c r="T532" s="704">
        <f>T525-S525</f>
        <v>294</v>
      </c>
      <c r="U532" s="704">
        <f>U528/U529</f>
        <v>173</v>
      </c>
      <c r="V532" s="704">
        <f t="shared" ref="V532:AB532" si="286">V533-U533</f>
        <v>-90</v>
      </c>
      <c r="W532" s="705">
        <f t="shared" si="286"/>
        <v>150</v>
      </c>
      <c r="X532" s="704">
        <f t="shared" si="286"/>
        <v>10</v>
      </c>
      <c r="Y532" s="704">
        <f t="shared" si="286"/>
        <v>10</v>
      </c>
      <c r="Z532" s="704">
        <f t="shared" si="286"/>
        <v>10</v>
      </c>
      <c r="AA532" s="704">
        <f t="shared" si="286"/>
        <v>10</v>
      </c>
      <c r="AB532" s="704">
        <f t="shared" si="286"/>
        <v>10</v>
      </c>
      <c r="AC532" s="704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</row>
    <row r="533" customHeight="1" spans="1:40">
      <c r="A533" s="706" t="s">
        <v>253</v>
      </c>
      <c r="B533" s="401"/>
      <c r="C533" s="401"/>
      <c r="D533" s="401"/>
      <c r="E533" s="401"/>
      <c r="F533" s="401"/>
      <c r="G533" s="401"/>
      <c r="H533" s="401"/>
      <c r="I533" s="401"/>
      <c r="J533" s="401"/>
      <c r="K533" s="401"/>
      <c r="L533" s="461"/>
      <c r="M533" s="461"/>
      <c r="N533" s="461"/>
      <c r="O533" s="707">
        <f>O525</f>
        <v>1884</v>
      </c>
      <c r="P533" s="707">
        <f>P525</f>
        <v>2212</v>
      </c>
      <c r="Q533" s="707">
        <f>Q525</f>
        <v>2270</v>
      </c>
      <c r="R533" s="707">
        <f>R525</f>
        <v>2384</v>
      </c>
      <c r="S533" s="707">
        <f>S525</f>
        <v>2446</v>
      </c>
      <c r="T533" s="707">
        <f>S533+T532</f>
        <v>2740</v>
      </c>
      <c r="U533" s="707">
        <f>T533+U532</f>
        <v>2913</v>
      </c>
      <c r="V533" s="707">
        <f t="shared" ref="V533:AB533" si="287">V525</f>
        <v>2823</v>
      </c>
      <c r="W533" s="708">
        <f t="shared" si="287"/>
        <v>2973</v>
      </c>
      <c r="X533" s="707">
        <f t="shared" si="287"/>
        <v>2983</v>
      </c>
      <c r="Y533" s="707">
        <f t="shared" si="287"/>
        <v>2993</v>
      </c>
      <c r="Z533" s="707">
        <f t="shared" si="287"/>
        <v>3003</v>
      </c>
      <c r="AA533" s="707">
        <f t="shared" si="287"/>
        <v>3013</v>
      </c>
      <c r="AB533" s="707">
        <f t="shared" si="287"/>
        <v>3023</v>
      </c>
      <c r="AC533" s="707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</row>
    <row r="534" customHeight="1" spans="1:40">
      <c r="A534" s="360" t="s">
        <v>254</v>
      </c>
      <c r="O534" s="709"/>
      <c r="P534" s="709">
        <f t="shared" ref="P534:AB534" si="288">P513/AVERAGE(O533:P533)</f>
        <v>0.916217871671598</v>
      </c>
      <c r="Q534" s="709">
        <f t="shared" si="288"/>
        <v>1.04149933065596</v>
      </c>
      <c r="R534" s="709">
        <f t="shared" si="288"/>
        <v>1.16201117318436</v>
      </c>
      <c r="S534" s="709">
        <f t="shared" si="288"/>
        <v>1.33126293995859</v>
      </c>
      <c r="T534" s="709">
        <f t="shared" si="288"/>
        <v>1.23254917084458</v>
      </c>
      <c r="U534" s="709">
        <f t="shared" si="288"/>
        <v>1.20239348753533</v>
      </c>
      <c r="V534" s="709">
        <f t="shared" si="288"/>
        <v>1.25287619908176</v>
      </c>
      <c r="W534" s="710">
        <f t="shared" si="288"/>
        <v>1.38111971723918</v>
      </c>
      <c r="X534" s="709">
        <f t="shared" si="288"/>
        <v>1.47002583594304</v>
      </c>
      <c r="Y534" s="709">
        <f t="shared" si="288"/>
        <v>1.53877039266897</v>
      </c>
      <c r="Z534" s="709">
        <f t="shared" si="288"/>
        <v>1.6481499947256</v>
      </c>
      <c r="AA534" s="709">
        <f t="shared" si="288"/>
        <v>1.77529006087367</v>
      </c>
      <c r="AB534" s="709">
        <f t="shared" si="288"/>
        <v>1.93842277526444</v>
      </c>
      <c r="AC534" s="709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</row>
    <row r="535" customHeight="1" spans="1:40">
      <c r="A535" s="360" t="s">
        <v>113</v>
      </c>
      <c r="O535" s="362"/>
      <c r="P535" s="362" t="e">
        <f t="shared" ref="P535:AB535" si="289">P534/O534-1</f>
        <v>#DIV/0!</v>
      </c>
      <c r="Q535" s="362">
        <f t="shared" si="289"/>
        <v>0.136737628524741</v>
      </c>
      <c r="R535" s="362">
        <f t="shared" si="289"/>
        <v>0.115709956772127</v>
      </c>
      <c r="S535" s="362">
        <f t="shared" si="289"/>
        <v>0.145654164675904</v>
      </c>
      <c r="T535" s="362">
        <f t="shared" si="289"/>
        <v>-0.0741504673127017</v>
      </c>
      <c r="U535" s="362">
        <f t="shared" si="289"/>
        <v>-0.0244661097687389</v>
      </c>
      <c r="V535" s="362">
        <f t="shared" si="289"/>
        <v>0.0419851837769936</v>
      </c>
      <c r="W535" s="384">
        <f t="shared" si="289"/>
        <v>0.10235928996928</v>
      </c>
      <c r="X535" s="362">
        <f t="shared" si="289"/>
        <v>0.064372492546541</v>
      </c>
      <c r="Y535" s="362">
        <f t="shared" si="289"/>
        <v>0.0467641826729053</v>
      </c>
      <c r="Z535" s="362">
        <f t="shared" si="289"/>
        <v>0.0710824711586164</v>
      </c>
      <c r="AA535" s="362">
        <f t="shared" si="289"/>
        <v>0.0771410773017918</v>
      </c>
      <c r="AB535" s="362">
        <f t="shared" si="289"/>
        <v>0.0918907383002447</v>
      </c>
      <c r="AC535" s="362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</row>
    <row r="536" customHeight="1" spans="1:40">
      <c r="A536" s="360" t="s">
        <v>255</v>
      </c>
      <c r="O536" s="709">
        <f t="shared" ref="O536:AB536" si="290">(O15+O21)/O533</f>
        <v>0.922505307855626</v>
      </c>
      <c r="P536" s="709">
        <f t="shared" si="290"/>
        <v>0.861663652802893</v>
      </c>
      <c r="Q536" s="709">
        <f t="shared" si="290"/>
        <v>1.05242290748899</v>
      </c>
      <c r="R536" s="709">
        <f t="shared" si="290"/>
        <v>1.17156040268456</v>
      </c>
      <c r="S536" s="709">
        <f t="shared" si="290"/>
        <v>1.3789860997547</v>
      </c>
      <c r="T536" s="709">
        <f t="shared" si="290"/>
        <v>1.25766423357664</v>
      </c>
      <c r="U536" s="709">
        <f t="shared" si="290"/>
        <v>1.31155688037027</v>
      </c>
      <c r="V536" s="709">
        <f t="shared" si="290"/>
        <v>1.4952178533475</v>
      </c>
      <c r="W536" s="710">
        <f t="shared" si="290"/>
        <v>1.6828119744366</v>
      </c>
      <c r="X536" s="709">
        <f t="shared" si="290"/>
        <v>1.96446530338585</v>
      </c>
      <c r="Y536" s="709">
        <f t="shared" si="290"/>
        <v>2.24159950671762</v>
      </c>
      <c r="Z536" s="709">
        <f t="shared" si="290"/>
        <v>2.61818022934985</v>
      </c>
      <c r="AA536" s="709">
        <f t="shared" si="290"/>
        <v>3.05805908091659</v>
      </c>
      <c r="AB536" s="709">
        <f t="shared" si="290"/>
        <v>3.57188105387845</v>
      </c>
      <c r="AC536" s="709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</row>
    <row r="537" customHeight="1" spans="1:40">
      <c r="A537" s="360" t="s">
        <v>113</v>
      </c>
      <c r="O537" s="362"/>
      <c r="P537" s="362">
        <f t="shared" ref="P537:AB537" si="291">P536/O536-1</f>
        <v>-0.0659526341308108</v>
      </c>
      <c r="Q537" s="362">
        <f t="shared" si="291"/>
        <v>0.221384822332444</v>
      </c>
      <c r="R537" s="362">
        <f t="shared" si="291"/>
        <v>0.113203061571352</v>
      </c>
      <c r="S537" s="362">
        <f t="shared" si="291"/>
        <v>0.177050791913788</v>
      </c>
      <c r="T537" s="362">
        <f t="shared" si="291"/>
        <v>-0.0879790348863128</v>
      </c>
      <c r="U537" s="362">
        <f t="shared" si="291"/>
        <v>0.0428513790523948</v>
      </c>
      <c r="V537" s="362">
        <f t="shared" si="291"/>
        <v>0.140032792878474</v>
      </c>
      <c r="W537" s="384">
        <f t="shared" si="291"/>
        <v>0.125462734857738</v>
      </c>
      <c r="X537" s="362">
        <f t="shared" si="291"/>
        <v>0.167370647005025</v>
      </c>
      <c r="Y537" s="362">
        <f t="shared" si="291"/>
        <v>0.141073605552672</v>
      </c>
      <c r="Z537" s="362">
        <f t="shared" si="291"/>
        <v>0.167996433575087</v>
      </c>
      <c r="AA537" s="362">
        <f t="shared" si="291"/>
        <v>0.168009385540266</v>
      </c>
      <c r="AB537" s="362">
        <f t="shared" si="291"/>
        <v>0.168022251815963</v>
      </c>
      <c r="AC537" s="362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</row>
    <row r="538" customHeight="1" spans="1:40">
      <c r="A538" s="360"/>
      <c r="O538" s="334"/>
      <c r="P538" s="334"/>
      <c r="Q538" s="334"/>
      <c r="R538" s="334"/>
      <c r="S538" s="334"/>
      <c r="T538" s="334"/>
      <c r="U538" s="334"/>
      <c r="V538" s="334"/>
      <c r="W538" s="488"/>
      <c r="X538" s="334"/>
      <c r="Y538" s="334"/>
      <c r="Z538" s="334"/>
      <c r="AA538" s="334"/>
      <c r="AB538" s="334"/>
      <c r="AC538" s="334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</row>
    <row r="539" customHeight="1" spans="1:40">
      <c r="A539" s="711" t="s">
        <v>256</v>
      </c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3"/>
      <c r="M539" s="713"/>
      <c r="N539" s="713"/>
      <c r="O539" s="713"/>
      <c r="P539" s="714"/>
      <c r="Q539" s="714"/>
      <c r="R539" s="714"/>
      <c r="S539" s="714"/>
      <c r="T539" s="714"/>
      <c r="U539" s="714"/>
      <c r="V539" s="714"/>
      <c r="W539" s="715"/>
      <c r="X539" s="714"/>
      <c r="Y539" s="714"/>
      <c r="Z539" s="714"/>
      <c r="AA539" s="714"/>
      <c r="AB539" s="714"/>
      <c r="AC539" s="714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</row>
  </sheetData>
  <mergeCells count="8">
    <mergeCell ref="AD1:AE1"/>
    <mergeCell ref="AF1:AF2"/>
    <mergeCell ref="AG1:AG2"/>
    <mergeCell ref="AH1:AH2"/>
    <mergeCell ref="AI1:AI2"/>
    <mergeCell ref="AJ1:AJ2"/>
    <mergeCell ref="AK1:AK2"/>
    <mergeCell ref="AL1:AL2"/>
  </mergeCells>
  <printOptions horizontalCentered="1" verticalCentered="1"/>
  <pageMargins left="0.51" right="0.3" top="0.44" bottom="0.18" header="0.19" footer="0.18"/>
  <pageSetup paperSize="1" scale="10" fitToHeight="0" orientation="portrait"/>
  <headerFooter alignWithMargins="0">
    <oddHeader>&amp;C&amp;"Arial,Bold"&amp;12Goldman Sachs adidas model</oddHeader>
    <oddFooter>&amp;L&amp;"GS TheSans,Regular"footwear/ads/models/ads/operinc</oddFooter>
  </headerFooter>
  <customProperties>
    <customPr name="Qube.Worksheet.ID" r:id="rId4"/>
    <customPr name="Qube.Worksheet.Visibility" r:id="rId5"/>
  </customPropertie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C4:BV68"/>
  <sheetViews>
    <sheetView showGridLines="0" zoomScale="85" zoomScaleNormal="85" workbookViewId="0">
      <selection activeCell="AY82" sqref="AY82"/>
    </sheetView>
  </sheetViews>
  <sheetFormatPr defaultColWidth="66.2857142857143" defaultRowHeight="15.2"/>
  <cols>
    <col min="1" max="2" width="66.2857142857143" style="218"/>
    <col min="3" max="3" width="230.285714285714" style="218" customWidth="1"/>
    <col min="4" max="5" width="78.7142857142857" style="218" hidden="1" customWidth="1"/>
    <col min="6" max="6" width="71" style="218" hidden="1" customWidth="1"/>
    <col min="7" max="7" width="72.2857142857143" style="218" hidden="1" customWidth="1"/>
    <col min="8" max="12" width="53" hidden="1" customWidth="1"/>
    <col min="13" max="13" width="66.2857142857143" hidden="1" customWidth="1"/>
    <col min="14" max="14" width="53" hidden="1" customWidth="1"/>
    <col min="15" max="15" width="63" hidden="1" customWidth="1"/>
    <col min="16" max="16" width="59" hidden="1" customWidth="1"/>
    <col min="17" max="19" width="53" hidden="1" customWidth="1"/>
    <col min="20" max="21" width="66.2857142857143" hidden="1" customWidth="1"/>
    <col min="22" max="31" width="71" style="219" hidden="1" customWidth="1"/>
    <col min="32" max="41" width="80.2857142857143" style="219" hidden="1" customWidth="1"/>
    <col min="42" max="42" width="80.2857142857143" style="219" customWidth="1"/>
    <col min="43" max="43" width="80.2857142857143" style="219" hidden="1" customWidth="1"/>
    <col min="44" max="46" width="80.2857142857143" style="219" customWidth="1"/>
    <col min="47" max="47" width="80.2857142857143" style="219" hidden="1" customWidth="1"/>
    <col min="48" max="51" width="80.2857142857143" style="219" customWidth="1"/>
    <col min="52" max="53" width="106" style="219" customWidth="1"/>
    <col min="54" max="54" width="99" style="219" hidden="1" customWidth="1"/>
    <col min="55" max="55" width="99" style="219" customWidth="1"/>
    <col min="56" max="56" width="106" hidden="1" customWidth="1"/>
    <col min="57" max="57" width="98" customWidth="1"/>
    <col min="58" max="58" width="119.714285714286" customWidth="1"/>
    <col min="59" max="59" width="134.714285714286" style="218" customWidth="1"/>
    <col min="60" max="60" width="101" style="218" customWidth="1" outlineLevel="1"/>
    <col min="61" max="61" width="76.2857142857143" style="218"/>
    <col min="62" max="62" width="126.714285714286" style="218" customWidth="1"/>
    <col min="63" max="65" width="57" style="218" customWidth="1"/>
    <col min="66" max="66" width="262.285714285714" style="218" customWidth="1"/>
    <col min="67" max="69" width="57" style="218" customWidth="1"/>
    <col min="70" max="72" width="58.2857142857143" style="218" customWidth="1"/>
    <col min="73" max="74" width="76.2857142857143" style="218"/>
    <col min="75" max="75" width="88.7142857142857" style="218" customWidth="1"/>
    <col min="76" max="76" width="136" style="218" customWidth="1"/>
    <col min="77" max="16384" width="66.2857142857143" style="218"/>
  </cols>
  <sheetData>
    <row r="4" ht="15.95" spans="3:74">
      <c r="O4" s="220"/>
      <c r="P4" s="221"/>
      <c r="Q4" s="221"/>
      <c r="R4" s="221"/>
      <c r="S4" s="221"/>
      <c r="T4" s="221"/>
      <c r="U4" s="221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3"/>
      <c r="AX4" s="223"/>
      <c r="AY4" s="223"/>
      <c r="AZ4" s="223"/>
      <c r="BA4" s="223"/>
      <c r="BB4" s="224"/>
      <c r="BC4" s="223"/>
      <c r="BD4" s="225"/>
      <c r="BE4" s="226"/>
      <c r="BM4" s="227"/>
      <c r="BO4" s="227"/>
      <c r="BQ4" s="227"/>
    </row>
    <row r="5" ht="27" customHeight="1" spans="3:74">
      <c r="C5" s="228" t="s">
        <v>527</v>
      </c>
      <c r="D5" s="229"/>
      <c r="E5" s="229"/>
      <c r="F5" s="229"/>
      <c r="G5" s="229"/>
      <c r="H5" s="230" t="s">
        <v>1269</v>
      </c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2"/>
      <c r="AW5" s="233" t="s">
        <v>1270</v>
      </c>
      <c r="AX5" s="234"/>
      <c r="AY5" s="235" t="s">
        <v>1271</v>
      </c>
      <c r="AZ5" s="236"/>
      <c r="BA5" s="233" t="s">
        <v>1272</v>
      </c>
      <c r="BB5" s="234"/>
      <c r="BC5" s="235" t="s">
        <v>1273</v>
      </c>
      <c r="BD5" s="236"/>
      <c r="BH5"/>
      <c r="BI5" s="237" t="s">
        <v>1270</v>
      </c>
      <c r="BJ5" s="237"/>
      <c r="BK5" s="237"/>
      <c r="BL5" s="237" t="s">
        <v>1274</v>
      </c>
      <c r="BM5" s="237" t="s">
        <v>1275</v>
      </c>
      <c r="BN5" s="237"/>
      <c r="BO5" s="237"/>
      <c r="BP5" s="237" t="s">
        <v>1276</v>
      </c>
      <c r="BQ5" s="237"/>
      <c r="BR5" s="237"/>
      <c r="BT5" s="238"/>
      <c r="BU5" s="238" t="s">
        <v>1277</v>
      </c>
      <c r="BV5" s="238" t="s">
        <v>1278</v>
      </c>
    </row>
    <row r="6" ht="15.95" spans="3:74">
      <c r="C6" s="239" t="s">
        <v>1279</v>
      </c>
      <c r="D6" s="229"/>
      <c r="E6" s="229"/>
      <c r="F6" s="229"/>
      <c r="G6" s="229"/>
      <c r="H6" s="240" t="s">
        <v>715</v>
      </c>
      <c r="I6" s="240" t="s">
        <v>716</v>
      </c>
      <c r="J6" s="240" t="s">
        <v>1280</v>
      </c>
      <c r="K6" s="240" t="s">
        <v>1281</v>
      </c>
      <c r="L6" s="240" t="s">
        <v>1282</v>
      </c>
      <c r="M6" s="240" t="s">
        <v>1283</v>
      </c>
      <c r="N6" s="240" t="s">
        <v>1284</v>
      </c>
      <c r="O6" s="241" t="s">
        <v>1285</v>
      </c>
      <c r="P6" s="242" t="s">
        <v>1286</v>
      </c>
      <c r="Q6" s="242" t="s">
        <v>1287</v>
      </c>
      <c r="R6" s="242" t="s">
        <v>1288</v>
      </c>
      <c r="S6" s="242" t="s">
        <v>1289</v>
      </c>
      <c r="T6" s="242" t="s">
        <v>1290</v>
      </c>
      <c r="U6" s="242" t="s">
        <v>1291</v>
      </c>
      <c r="V6" s="242" t="s">
        <v>384</v>
      </c>
      <c r="W6" s="242" t="s">
        <v>385</v>
      </c>
      <c r="X6" s="242" t="s">
        <v>386</v>
      </c>
      <c r="Y6" s="242" t="s">
        <v>387</v>
      </c>
      <c r="Z6" s="242" t="s">
        <v>388</v>
      </c>
      <c r="AA6" s="242" t="s">
        <v>389</v>
      </c>
      <c r="AB6" s="242" t="s">
        <v>390</v>
      </c>
      <c r="AC6" s="242" t="s">
        <v>392</v>
      </c>
      <c r="AD6" s="242" t="s">
        <v>393</v>
      </c>
      <c r="AE6" s="242" t="s">
        <v>394</v>
      </c>
      <c r="AF6" s="242" t="s">
        <v>395</v>
      </c>
      <c r="AG6" s="242" t="s">
        <v>396</v>
      </c>
      <c r="AH6" s="242" t="s">
        <v>397</v>
      </c>
      <c r="AI6" s="242" t="s">
        <v>398</v>
      </c>
      <c r="AJ6" s="242" t="s">
        <v>399</v>
      </c>
      <c r="AK6" s="242" t="s">
        <v>400</v>
      </c>
      <c r="AL6" s="242" t="s">
        <v>401</v>
      </c>
      <c r="AM6" s="242" t="s">
        <v>402</v>
      </c>
      <c r="AN6" s="242" t="s">
        <v>403</v>
      </c>
      <c r="AO6" s="242" t="s">
        <v>404</v>
      </c>
      <c r="AP6" s="242" t="s">
        <v>405</v>
      </c>
      <c r="AQ6" s="242" t="s">
        <v>406</v>
      </c>
      <c r="AR6" s="242" t="s">
        <v>407</v>
      </c>
      <c r="AS6" s="242" t="s">
        <v>408</v>
      </c>
      <c r="AT6" s="242" t="s">
        <v>409</v>
      </c>
      <c r="AU6" s="242" t="s">
        <v>410</v>
      </c>
      <c r="AV6" s="242" t="s">
        <v>411</v>
      </c>
      <c r="AW6" s="242" t="s">
        <v>1292</v>
      </c>
      <c r="AX6" s="242" t="s">
        <v>1293</v>
      </c>
      <c r="AY6" s="243" t="s">
        <v>1294</v>
      </c>
      <c r="AZ6" s="244" t="s">
        <v>1295</v>
      </c>
      <c r="BA6" s="245" t="s">
        <v>1296</v>
      </c>
      <c r="BB6" s="244" t="s">
        <v>1297</v>
      </c>
      <c r="BC6" s="243" t="s">
        <v>1296</v>
      </c>
      <c r="BD6" s="244" t="s">
        <v>1297</v>
      </c>
      <c r="BH6"/>
      <c r="BI6" s="237" t="s">
        <v>391</v>
      </c>
      <c r="BJ6" s="237" t="s">
        <v>399</v>
      </c>
      <c r="BK6" s="237" t="s">
        <v>407</v>
      </c>
      <c r="BL6" s="237"/>
      <c r="BM6" s="237" t="s">
        <v>391</v>
      </c>
      <c r="BN6" s="237" t="s">
        <v>399</v>
      </c>
      <c r="BO6" s="237" t="s">
        <v>407</v>
      </c>
      <c r="BP6" s="237" t="s">
        <v>391</v>
      </c>
      <c r="BQ6" s="237" t="s">
        <v>399</v>
      </c>
      <c r="BR6" s="237" t="s">
        <v>407</v>
      </c>
      <c r="BT6" s="238"/>
      <c r="BU6" s="238"/>
      <c r="BV6" s="238"/>
    </row>
    <row r="7" s="217" customFormat="1" hidden="1" outlineLevel="1" spans="3:74">
      <c r="C7" s="217" t="s">
        <v>112</v>
      </c>
      <c r="H7" s="246">
        <f>Interim!DZ95</f>
        <v>1094</v>
      </c>
      <c r="I7" s="246">
        <f>Interim!EA95</f>
        <v>867</v>
      </c>
      <c r="J7" s="246">
        <f>Interim!EB95</f>
        <v>1961</v>
      </c>
      <c r="K7" s="246">
        <f>Interim!EC95</f>
        <v>1211</v>
      </c>
      <c r="L7" s="246">
        <f>Interim!ED95</f>
        <v>3172</v>
      </c>
      <c r="M7" s="246">
        <f>Interim!EE95</f>
        <v>750</v>
      </c>
      <c r="N7" s="246">
        <f>Interim!EG95</f>
        <v>3922</v>
      </c>
      <c r="O7" s="246">
        <f>Interim!EH95</f>
        <v>1174</v>
      </c>
      <c r="P7" s="246">
        <f>Interim!EI95</f>
        <v>924</v>
      </c>
      <c r="Q7" s="246">
        <f>Interim!EJ95</f>
        <v>2098</v>
      </c>
      <c r="R7" s="246">
        <f>Interim!EK95</f>
        <v>1244</v>
      </c>
      <c r="S7" s="246">
        <f>Interim!EL95</f>
        <v>3342</v>
      </c>
      <c r="T7" s="246">
        <f>Interim!EM95</f>
        <v>733</v>
      </c>
      <c r="U7" s="246">
        <f>Interim!EN95</f>
        <v>1977</v>
      </c>
      <c r="V7" s="247">
        <f>Interim!EP95</f>
        <v>1096</v>
      </c>
      <c r="W7" s="247">
        <f>Interim!EQ95</f>
        <v>811</v>
      </c>
      <c r="X7" s="247">
        <f>Interim!ER95</f>
        <v>1907</v>
      </c>
      <c r="Y7" s="247">
        <f>Interim!ES95</f>
        <v>1145</v>
      </c>
      <c r="Z7" s="247">
        <f>Interim!ET95</f>
        <v>3052</v>
      </c>
      <c r="AA7" s="247">
        <f>Interim!EU95</f>
        <v>747</v>
      </c>
      <c r="AB7" s="247">
        <f>Interim!EV95</f>
        <v>1892</v>
      </c>
      <c r="AC7" s="247">
        <f>Interim!EX95</f>
        <v>1071.5</v>
      </c>
      <c r="AD7" s="247">
        <f>Interim!EY95</f>
        <v>892.5</v>
      </c>
      <c r="AE7" s="247">
        <f>Interim!EZ95</f>
        <v>1964</v>
      </c>
      <c r="AF7" s="247">
        <f>Interim!FA95</f>
        <v>1238.5</v>
      </c>
      <c r="AG7" s="248">
        <f>Interim!FB95</f>
        <v>3202.5</v>
      </c>
      <c r="AH7" s="248">
        <v>850</v>
      </c>
      <c r="AI7" s="248"/>
      <c r="AJ7" s="248">
        <f>AG7+AH7</f>
        <v>4052.5</v>
      </c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50"/>
      <c r="BA7" s="251"/>
      <c r="BB7" s="252"/>
      <c r="BC7" s="252"/>
      <c r="BD7" s="251"/>
      <c r="BE7"/>
      <c r="BG7" s="253"/>
      <c r="BH7" s="217" t="s">
        <v>1298</v>
      </c>
      <c r="BI7" s="254">
        <v>16357.8329817982</v>
      </c>
      <c r="BJ7" s="254">
        <v>17738.8487157113</v>
      </c>
      <c r="BK7" s="254">
        <v>19184.2722726401</v>
      </c>
      <c r="BL7" s="254"/>
      <c r="BM7" s="254" t="e">
        <f>#REF!</f>
        <v>#REF!</v>
      </c>
      <c r="BN7" s="254" t="e">
        <f>#REF!</f>
        <v>#REF!</v>
      </c>
      <c r="BO7" s="254" t="e">
        <f>#REF!</f>
        <v>#REF!</v>
      </c>
      <c r="BP7" s="255" t="e">
        <f>BI7/BM7-1</f>
        <v>#REF!</v>
      </c>
      <c r="BQ7" s="255" t="e">
        <f>BJ7/BN7-1</f>
        <v>#REF!</v>
      </c>
      <c r="BR7" s="255" t="e">
        <f>BK7/BO7-1</f>
        <v>#REF!</v>
      </c>
      <c r="BS7" s="218"/>
      <c r="BT7" s="238" t="s">
        <v>575</v>
      </c>
      <c r="BU7" s="238" t="s">
        <v>1299</v>
      </c>
      <c r="BV7" s="238" t="s">
        <v>1300</v>
      </c>
    </row>
    <row r="8" hidden="1" outlineLevel="1" spans="3:74">
      <c r="C8" s="256" t="s">
        <v>113</v>
      </c>
      <c r="D8" s="256"/>
      <c r="E8" s="256"/>
      <c r="F8" s="256"/>
      <c r="G8" s="256"/>
      <c r="H8" s="257">
        <f>Interim!DZ96</f>
        <v>0.157671957671958</v>
      </c>
      <c r="I8" s="257">
        <f>Interim!EA96</f>
        <v>0.0483675937122128</v>
      </c>
      <c r="J8" s="257">
        <f>Interim!EB96</f>
        <v>0.10665914221219</v>
      </c>
      <c r="K8" s="257">
        <f>Interim!EC96</f>
        <v>0.0989110707803993</v>
      </c>
      <c r="L8" s="257">
        <f>Interim!ED96</f>
        <v>0.103688239387613</v>
      </c>
      <c r="M8" s="257">
        <f>Interim!EE96</f>
        <v>0.121076233183856</v>
      </c>
      <c r="N8" s="257">
        <f>Interim!EG96</f>
        <v>0.106971493084956</v>
      </c>
      <c r="O8" s="257">
        <f>Interim!EH96</f>
        <v>0.0731261425959782</v>
      </c>
      <c r="P8" s="257">
        <f>Interim!EI96</f>
        <v>0.0657439446366781</v>
      </c>
      <c r="Q8" s="257">
        <f>Interim!EJ96</f>
        <v>0.0698623151453339</v>
      </c>
      <c r="R8" s="257">
        <f>Interim!EK96</f>
        <v>0.0272502064409579</v>
      </c>
      <c r="S8" s="257">
        <f>Interim!EL96</f>
        <v>0.0535939470365701</v>
      </c>
      <c r="T8" s="257">
        <f>Interim!EM96</f>
        <v>-0.0226666666666666</v>
      </c>
      <c r="U8" s="257">
        <f>Interim!EN96</f>
        <v>0.00815910249872509</v>
      </c>
      <c r="V8" s="258">
        <f>Interim!EP96</f>
        <v>-0.0664395229982965</v>
      </c>
      <c r="W8" s="258">
        <f>Interim!EQ96</f>
        <v>-0.122294372294372</v>
      </c>
      <c r="X8" s="258">
        <f>Interim!ER96</f>
        <v>-0.0910390848427073</v>
      </c>
      <c r="Y8" s="258">
        <f>Interim!ES96</f>
        <v>-0.0795819935691319</v>
      </c>
      <c r="Z8" s="258">
        <f>Interim!ET96</f>
        <v>-0.0867743865948534</v>
      </c>
      <c r="AA8" s="258">
        <f>Interim!EU96</f>
        <v>0.019099590723056</v>
      </c>
      <c r="AB8" s="258">
        <f>Interim!EV96</f>
        <v>-0.0429944360141629</v>
      </c>
      <c r="AC8" s="258">
        <f>Interim!EX96</f>
        <v>-0.0223540145985401</v>
      </c>
      <c r="AD8" s="258">
        <f>Interim!EY96</f>
        <v>0.100493218249075</v>
      </c>
      <c r="AE8" s="258">
        <f>Interim!EZ96</f>
        <v>0.0298898793917148</v>
      </c>
      <c r="AF8" s="258">
        <f>Interim!FA96</f>
        <v>0.0816593886462882</v>
      </c>
      <c r="AG8" s="259">
        <f>Interim!FB96</f>
        <v>0.0493119266055047</v>
      </c>
      <c r="AH8" s="259">
        <f>AH7/AA7-1</f>
        <v>0.137884872824632</v>
      </c>
      <c r="AI8" s="259"/>
      <c r="AJ8" s="259">
        <f>AJ7/(AB7+X7)-1</f>
        <v>0.0667280863385102</v>
      </c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1"/>
      <c r="BF8" s="218"/>
      <c r="BH8" s="218" t="s">
        <v>1301</v>
      </c>
      <c r="BI8" s="257">
        <v>0.0879903272567265</v>
      </c>
      <c r="BJ8" s="257">
        <v>0.08442534750476</v>
      </c>
      <c r="BK8" s="257">
        <v>0.0814835043746977</v>
      </c>
      <c r="BL8" s="257"/>
      <c r="BM8" s="257" t="e">
        <f>(BM7/#REF!-1)-((BI7/#REF!-1)-BI8)</f>
        <v>#REF!</v>
      </c>
      <c r="BN8" s="257" t="e">
        <f>(BN7/BM7-1)-((BJ7/BI7-1)-BJ8)</f>
        <v>#REF!</v>
      </c>
      <c r="BO8" s="257" t="e">
        <f>(BO7/BN7-1)-((BK7/BJ7-1)-BK8)</f>
        <v>#REF!</v>
      </c>
      <c r="BP8"/>
      <c r="BQ8"/>
      <c r="BR8"/>
      <c r="BT8" s="238" t="s">
        <v>576</v>
      </c>
      <c r="BU8" s="238" t="s">
        <v>1299</v>
      </c>
      <c r="BV8" s="238"/>
    </row>
    <row r="9" hidden="1" outlineLevel="1" spans="3:74">
      <c r="C9" s="256" t="s">
        <v>1302</v>
      </c>
      <c r="D9" s="256"/>
      <c r="E9" s="256"/>
      <c r="F9" s="256"/>
      <c r="G9" s="256"/>
      <c r="H9" s="257">
        <f>Interim!DZ98</f>
        <v>0.14</v>
      </c>
      <c r="I9" s="257">
        <f>Interim!EA98</f>
        <v>0.047</v>
      </c>
      <c r="J9" s="257">
        <f>Interim!EB98</f>
        <v>0.0965965011286682</v>
      </c>
      <c r="K9" s="257">
        <f>Interim!EC98</f>
        <v>0.1</v>
      </c>
      <c r="L9" s="257">
        <f>Interim!ED98</f>
        <v>0.1</v>
      </c>
      <c r="M9" s="257">
        <f>Interim!EE98</f>
        <v>0.13</v>
      </c>
      <c r="N9" s="257">
        <f>Interim!EG98</f>
        <v>0.1</v>
      </c>
      <c r="O9" s="257">
        <f>Interim!EH98</f>
        <v>0.0731261425959782</v>
      </c>
      <c r="P9" s="257">
        <f>Interim!EI98</f>
        <v>0.051</v>
      </c>
      <c r="Q9" s="257">
        <f>Interim!EJ98</f>
        <v>0.061</v>
      </c>
      <c r="R9" s="257">
        <f>Interim!EK98</f>
        <v>0.011</v>
      </c>
      <c r="S9" s="257">
        <f>Interim!EL98</f>
        <v>0.042</v>
      </c>
      <c r="T9" s="257">
        <f>Interim!EM98</f>
        <v>-0.041</v>
      </c>
      <c r="U9" s="257">
        <f>Interim!EN98</f>
        <v>-0.00888781234064253</v>
      </c>
      <c r="V9" s="258">
        <f>Interim!EP98</f>
        <v>-0.064</v>
      </c>
      <c r="W9" s="258">
        <f>Interim!EQ98</f>
        <v>-0.112</v>
      </c>
      <c r="X9" s="258">
        <f>Interim!ER98</f>
        <v>-0.085</v>
      </c>
      <c r="Y9" s="258">
        <f>Interim!ES98</f>
        <v>-0.065</v>
      </c>
      <c r="Z9" s="258">
        <f>Interim!ET98</f>
        <v>-0.0776433273488929</v>
      </c>
      <c r="AA9" s="258">
        <f>Interim!EU98</f>
        <v>0.034</v>
      </c>
      <c r="AB9" s="258">
        <f>Interim!EV98</f>
        <v>-0.0282943854324734</v>
      </c>
      <c r="AC9" s="258">
        <f>Interim!EX98</f>
        <v>0.003</v>
      </c>
      <c r="AD9" s="258">
        <f>Interim!EY98</f>
        <v>0.126</v>
      </c>
      <c r="AE9" s="258">
        <f>Interim!EZ98</f>
        <v>0.0553088620870477</v>
      </c>
      <c r="AF9" s="258">
        <f>Interim!FA98</f>
        <v>0.096</v>
      </c>
      <c r="AG9" s="259">
        <f>Interim!FB98</f>
        <v>0.0705747051114024</v>
      </c>
      <c r="AH9" s="259">
        <v>0.134</v>
      </c>
      <c r="AI9" s="259"/>
      <c r="AJ9" s="259">
        <v>0.083</v>
      </c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1"/>
      <c r="BF9" s="218"/>
      <c r="BH9" s="217" t="s">
        <v>651</v>
      </c>
      <c r="BI9" s="246">
        <v>1543.58175779794</v>
      </c>
      <c r="BJ9" s="246">
        <v>1836.82932444498</v>
      </c>
      <c r="BK9" s="246">
        <v>2138.00328471775</v>
      </c>
      <c r="BL9" s="246"/>
      <c r="BM9" s="246" t="e">
        <f>#REF!</f>
        <v>#REF!</v>
      </c>
      <c r="BN9" s="246" t="e">
        <f>#REF!</f>
        <v>#REF!</v>
      </c>
      <c r="BO9" s="246" t="e">
        <f>#REF!</f>
        <v>#REF!</v>
      </c>
      <c r="BP9" s="255" t="e">
        <f>BI9/BM9-1</f>
        <v>#REF!</v>
      </c>
      <c r="BQ9" s="255" t="e">
        <f>BJ9/BN9-1</f>
        <v>#REF!</v>
      </c>
      <c r="BR9" s="255" t="e">
        <f>BK9/BO9-1</f>
        <v>#REF!</v>
      </c>
      <c r="BT9" s="238" t="s">
        <v>577</v>
      </c>
      <c r="BU9" s="238" t="s">
        <v>1299</v>
      </c>
      <c r="BV9" s="238"/>
    </row>
    <row r="10" hidden="1" outlineLevel="1" spans="3:74">
      <c r="C10" s="217" t="s">
        <v>524</v>
      </c>
      <c r="D10" s="217"/>
      <c r="E10" s="217"/>
      <c r="F10" s="217"/>
      <c r="G10" s="217"/>
      <c r="H10" s="246">
        <f>Interim!DZ100</f>
        <v>370</v>
      </c>
      <c r="I10" s="246">
        <f>Interim!EA100</f>
        <v>380</v>
      </c>
      <c r="J10" s="246">
        <f>Interim!EB100</f>
        <v>750</v>
      </c>
      <c r="K10" s="246">
        <f>Interim!EC100</f>
        <v>439</v>
      </c>
      <c r="L10" s="246">
        <f>Interim!ED100</f>
        <v>1189</v>
      </c>
      <c r="M10" s="246">
        <f>Interim!EE100</f>
        <v>408</v>
      </c>
      <c r="N10" s="246">
        <f>Interim!EG100</f>
        <v>1597</v>
      </c>
      <c r="O10" s="246">
        <f>Interim!EH100</f>
        <v>430</v>
      </c>
      <c r="P10" s="246">
        <f>Interim!EI100</f>
        <v>487</v>
      </c>
      <c r="Q10" s="246">
        <f>Interim!EJ100</f>
        <v>917</v>
      </c>
      <c r="R10" s="246">
        <f>Interim!EK100</f>
        <v>569</v>
      </c>
      <c r="S10" s="246">
        <f>Interim!EL100</f>
        <v>1486</v>
      </c>
      <c r="T10" s="246">
        <f>Interim!EM100</f>
        <v>461</v>
      </c>
      <c r="U10" s="246">
        <f>Interim!EN100</f>
        <v>1030</v>
      </c>
      <c r="V10" s="247">
        <f>Interim!EP100</f>
        <v>433</v>
      </c>
      <c r="W10" s="247">
        <v>467</v>
      </c>
      <c r="X10" s="247">
        <f>Interim!ER100</f>
        <v>901</v>
      </c>
      <c r="Y10" s="247">
        <f>Interim!ES100</f>
        <v>531</v>
      </c>
      <c r="Z10" s="247">
        <f>Interim!ET100</f>
        <v>1432</v>
      </c>
      <c r="AA10" s="247">
        <f>Interim!EU100</f>
        <v>462</v>
      </c>
      <c r="AB10" s="247">
        <f>Interim!EV100</f>
        <v>993</v>
      </c>
      <c r="AC10" s="247">
        <f>Interim!EX100</f>
        <v>477</v>
      </c>
      <c r="AD10" s="247">
        <f>Interim!EY100</f>
        <v>461</v>
      </c>
      <c r="AE10" s="247">
        <f>Interim!EZ100</f>
        <v>938</v>
      </c>
      <c r="AF10" s="247">
        <f>Interim!FA100</f>
        <v>572</v>
      </c>
      <c r="AG10" s="262">
        <f>Interim!FB100</f>
        <v>1510</v>
      </c>
      <c r="AH10" s="262">
        <v>441</v>
      </c>
      <c r="AI10" s="262"/>
      <c r="AJ10" s="262">
        <f>AG10+AH10</f>
        <v>1951</v>
      </c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50"/>
      <c r="BA10" s="251"/>
      <c r="BB10" s="251"/>
      <c r="BC10" s="251"/>
      <c r="BD10" s="251"/>
      <c r="BF10" s="217"/>
      <c r="BG10" s="253"/>
      <c r="BH10" s="218" t="s">
        <v>1303</v>
      </c>
      <c r="BI10" s="257">
        <f>BI9/BI7</f>
        <v>0.0943634624167838</v>
      </c>
      <c r="BJ10" s="257">
        <f>BJ9/BJ7</f>
        <v>0.103548395608002</v>
      </c>
      <c r="BK10" s="257">
        <f>BK9/BK7</f>
        <v>0.111445628707371</v>
      </c>
      <c r="BL10" s="263"/>
      <c r="BM10" s="257" t="e">
        <f>BM9/BM7</f>
        <v>#REF!</v>
      </c>
      <c r="BN10" s="257" t="e">
        <f>BN9/BN7</f>
        <v>#REF!</v>
      </c>
      <c r="BO10" s="257" t="e">
        <f>BO9/BO7</f>
        <v>#REF!</v>
      </c>
      <c r="BP10"/>
      <c r="BQ10"/>
      <c r="BR10"/>
      <c r="BT10" s="238" t="s">
        <v>1304</v>
      </c>
      <c r="BU10" s="238" t="s">
        <v>1299</v>
      </c>
      <c r="BV10" s="238" t="s">
        <v>1300</v>
      </c>
    </row>
    <row r="11" hidden="1" outlineLevel="1" spans="3:74">
      <c r="C11" s="256" t="s">
        <v>113</v>
      </c>
      <c r="D11" s="256"/>
      <c r="E11" s="256"/>
      <c r="F11" s="256"/>
      <c r="G11" s="256"/>
      <c r="H11" s="257">
        <f>Interim!DZ101</f>
        <v>0.275862068965517</v>
      </c>
      <c r="I11" s="257">
        <f>Interim!EA101</f>
        <v>0.107871720116618</v>
      </c>
      <c r="J11" s="257">
        <f>Interim!EB101</f>
        <v>0.184834123222749</v>
      </c>
      <c r="K11" s="257">
        <f>Interim!EC101</f>
        <v>0.0974999999999999</v>
      </c>
      <c r="L11" s="257">
        <f>Interim!ED101</f>
        <v>0.151016456921588</v>
      </c>
      <c r="M11" s="257">
        <f>Interim!EE101</f>
        <v>0.159090909090909</v>
      </c>
      <c r="N11" s="257">
        <f>Interim!EG101</f>
        <v>0.153068592057762</v>
      </c>
      <c r="O11" s="257">
        <f>Interim!EH101</f>
        <v>0.162162162162162</v>
      </c>
      <c r="P11" s="257">
        <f>Interim!EI101</f>
        <v>0.281578947368421</v>
      </c>
      <c r="Q11" s="257">
        <f>Interim!EJ101</f>
        <v>0.222666666666667</v>
      </c>
      <c r="R11" s="257">
        <f>Interim!EK101</f>
        <v>0.296127562642369</v>
      </c>
      <c r="S11" s="257">
        <f>Interim!EL101</f>
        <v>0.249789739276703</v>
      </c>
      <c r="T11" s="257">
        <f>Interim!EM101</f>
        <v>0.129901960784314</v>
      </c>
      <c r="U11" s="257">
        <f>Interim!EN101</f>
        <v>0.216056670602125</v>
      </c>
      <c r="V11" s="258">
        <f>Interim!EP101</f>
        <v>0.00697674418604644</v>
      </c>
      <c r="W11" s="258">
        <f>Interim!EQ101</f>
        <v>-0.0390143737166324</v>
      </c>
      <c r="X11" s="258">
        <f>Interim!ER101</f>
        <v>-0.0174482006543075</v>
      </c>
      <c r="Y11" s="258">
        <f>Interim!ES101</f>
        <v>-0.0667838312829525</v>
      </c>
      <c r="Z11" s="258">
        <f>Interim!ET101</f>
        <v>-0.0363391655450875</v>
      </c>
      <c r="AA11" s="258">
        <f>Interim!EU101</f>
        <v>0.00216919739696309</v>
      </c>
      <c r="AB11" s="258">
        <f>Interim!EV101</f>
        <v>-0.0359223300970873</v>
      </c>
      <c r="AC11" s="258">
        <f>Interim!EX101</f>
        <v>0.10161662817552</v>
      </c>
      <c r="AD11" s="258">
        <f>Interim!EY101</f>
        <v>-0.0149572649572649</v>
      </c>
      <c r="AE11" s="258">
        <f>Interim!EZ101</f>
        <v>0.0410654827968924</v>
      </c>
      <c r="AF11" s="258">
        <f>Interim!FA101</f>
        <v>0.0772128060263653</v>
      </c>
      <c r="AG11" s="259">
        <f>Interim!FB101</f>
        <v>0.0544692737430168</v>
      </c>
      <c r="AH11" s="259">
        <f>AH10/AA10-1</f>
        <v>-0.0454545454545454</v>
      </c>
      <c r="AI11" s="259"/>
      <c r="AJ11" s="259">
        <f>AJ10/(AB10+X10)-1</f>
        <v>0.0300950369588173</v>
      </c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1"/>
      <c r="BF11" s="218"/>
      <c r="BH11" s="217" t="s">
        <v>168</v>
      </c>
      <c r="BI11">
        <v>1066.5870323375</v>
      </c>
      <c r="BJ11">
        <v>1280.9479673834</v>
      </c>
      <c r="BK11">
        <v>1502.13746664616</v>
      </c>
      <c r="BL11"/>
      <c r="BM11"/>
      <c r="BN11"/>
      <c r="BO11"/>
      <c r="BP11"/>
      <c r="BQ11"/>
      <c r="BR11"/>
      <c r="BT11" s="238" t="s">
        <v>1281</v>
      </c>
      <c r="BU11" s="238" t="s">
        <v>1299</v>
      </c>
      <c r="BV11" s="238" t="s">
        <v>1300</v>
      </c>
    </row>
    <row r="12" hidden="1" outlineLevel="1" spans="3:74">
      <c r="C12" s="256" t="s">
        <v>1302</v>
      </c>
      <c r="D12" s="256"/>
      <c r="E12" s="256"/>
      <c r="F12" s="256"/>
      <c r="G12" s="256"/>
      <c r="H12" s="257">
        <f>Interim!DZ103</f>
        <v>0.26</v>
      </c>
      <c r="I12" s="257">
        <f>Interim!EA103</f>
        <v>0.209</v>
      </c>
      <c r="J12" s="257">
        <f>Interim!EB103</f>
        <v>0.232364928909953</v>
      </c>
      <c r="K12" s="257">
        <f>Interim!EC103</f>
        <v>0.22</v>
      </c>
      <c r="L12" s="257">
        <f>Interim!ED103</f>
        <v>0.23</v>
      </c>
      <c r="M12" s="257">
        <f>Interim!EE103</f>
        <v>0.2</v>
      </c>
      <c r="N12" s="257">
        <f>Interim!EG103</f>
        <v>0.22</v>
      </c>
      <c r="O12" s="257">
        <f>Interim!EH103</f>
        <v>0.15</v>
      </c>
      <c r="P12" s="257">
        <f>Interim!EI103</f>
        <v>0.181</v>
      </c>
      <c r="Q12" s="257">
        <f>Interim!EJ103</f>
        <v>0.164</v>
      </c>
      <c r="R12" s="257">
        <f>Interim!EK103</f>
        <v>0.186</v>
      </c>
      <c r="S12" s="257">
        <f>Interim!EL103</f>
        <v>0.173</v>
      </c>
      <c r="T12" s="257">
        <f>Interim!EM103</f>
        <v>0.087</v>
      </c>
      <c r="U12" s="257">
        <f>Interim!EN103</f>
        <v>0.138311688311688</v>
      </c>
      <c r="V12" s="258">
        <f>Interim!EP103</f>
        <v>0.031</v>
      </c>
      <c r="W12" s="258">
        <f>Interim!EQ103</f>
        <v>-0.003</v>
      </c>
      <c r="X12" s="258">
        <f>Interim!ER103</f>
        <v>0.013</v>
      </c>
      <c r="Y12" s="258">
        <f>Interim!ES103</f>
        <v>0.017</v>
      </c>
      <c r="Z12" s="258">
        <f>Interim!ET103</f>
        <v>0.0144966352624495</v>
      </c>
      <c r="AA12" s="258">
        <f>Interim!EU103</f>
        <v>0.107</v>
      </c>
      <c r="AB12" s="258">
        <f>Interim!EV103</f>
        <v>0.0572815533980583</v>
      </c>
      <c r="AC12" s="258">
        <f>Interim!EX103</f>
        <v>0.275</v>
      </c>
      <c r="AD12" s="258">
        <f>Interim!EY103</f>
        <v>0.144</v>
      </c>
      <c r="AE12" s="258">
        <f>Interim!EZ103</f>
        <v>0.206955604883463</v>
      </c>
      <c r="AF12" s="258">
        <f>Interim!FA103</f>
        <v>0.186</v>
      </c>
      <c r="AG12" s="259">
        <f>Interim!FB103</f>
        <v>0.199185055865922</v>
      </c>
      <c r="AH12" s="259">
        <v>0.16</v>
      </c>
      <c r="AI12" s="259"/>
      <c r="AJ12" s="259">
        <v>0.191</v>
      </c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1"/>
      <c r="BF12" s="218"/>
      <c r="BT12" s="238" t="s">
        <v>1283</v>
      </c>
      <c r="BU12" s="238" t="s">
        <v>1305</v>
      </c>
      <c r="BV12" s="238"/>
    </row>
    <row r="13" hidden="1" outlineLevel="1" spans="3:74">
      <c r="C13" s="217" t="s">
        <v>101</v>
      </c>
      <c r="D13" s="217"/>
      <c r="E13" s="217"/>
      <c r="F13" s="217"/>
      <c r="G13" s="217"/>
      <c r="H13" s="246">
        <f>Interim!DZ105</f>
        <v>751</v>
      </c>
      <c r="I13" s="246">
        <f>Interim!EA105</f>
        <v>700.5</v>
      </c>
      <c r="J13" s="246">
        <f>Interim!EB105</f>
        <v>1451.5</v>
      </c>
      <c r="K13" s="246">
        <f>Interim!EC105</f>
        <v>854.5</v>
      </c>
      <c r="L13" s="246">
        <f>Interim!ED105</f>
        <v>2306</v>
      </c>
      <c r="M13" s="246">
        <f>Interim!EE105</f>
        <v>796</v>
      </c>
      <c r="N13" s="246">
        <f>Interim!EG105</f>
        <v>3102</v>
      </c>
      <c r="O13" s="246">
        <f>Interim!EH105</f>
        <v>869</v>
      </c>
      <c r="P13" s="246">
        <f>Interim!EI105</f>
        <v>859</v>
      </c>
      <c r="Q13" s="246">
        <f>Interim!EJ105</f>
        <v>1728</v>
      </c>
      <c r="R13" s="246">
        <f>Interim!EK105</f>
        <v>913</v>
      </c>
      <c r="S13" s="246">
        <f>Interim!EL105</f>
        <v>2641</v>
      </c>
      <c r="T13" s="246">
        <f>Interim!EM105</f>
        <v>769</v>
      </c>
      <c r="U13" s="246">
        <f>Interim!EN105</f>
        <v>1682</v>
      </c>
      <c r="V13" s="247">
        <f>Interim!EP105</f>
        <v>890</v>
      </c>
      <c r="W13" s="247">
        <f>Interim!EQ105</f>
        <v>826</v>
      </c>
      <c r="X13" s="247">
        <f>Interim!ER105</f>
        <v>1716</v>
      </c>
      <c r="Y13" s="247">
        <f>Interim!ES105</f>
        <v>819</v>
      </c>
      <c r="Z13" s="247">
        <f>Interim!ET105</f>
        <v>2535</v>
      </c>
      <c r="AA13" s="247">
        <f>Interim!EU105</f>
        <v>828</v>
      </c>
      <c r="AB13" s="247">
        <f>Interim!EV105</f>
        <v>1647</v>
      </c>
      <c r="AC13" s="247">
        <f>Interim!EX105</f>
        <v>653.5</v>
      </c>
      <c r="AD13" s="247">
        <f>Interim!EY105</f>
        <v>763.5</v>
      </c>
      <c r="AE13" s="247">
        <f>Interim!EZ105</f>
        <v>1417</v>
      </c>
      <c r="AF13" s="247">
        <f>Interim!FA105</f>
        <v>774.5</v>
      </c>
      <c r="AG13" s="262">
        <f>Interim!FB105</f>
        <v>2191.5</v>
      </c>
      <c r="AH13" s="262">
        <v>805</v>
      </c>
      <c r="AI13" s="262"/>
      <c r="AJ13" s="262">
        <f>AG13+AH13</f>
        <v>2996.5</v>
      </c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50"/>
      <c r="BA13" s="251"/>
      <c r="BB13" s="251"/>
      <c r="BC13" s="251"/>
      <c r="BD13" s="251"/>
      <c r="BF13" s="217"/>
      <c r="BG13" s="253"/>
      <c r="BO13" s="218" t="e">
        <f>BO7/17000</f>
        <v>#REF!</v>
      </c>
      <c r="BT13" s="238" t="s">
        <v>1285</v>
      </c>
      <c r="BU13" s="238" t="s">
        <v>1299</v>
      </c>
      <c r="BV13" s="238" t="s">
        <v>1300</v>
      </c>
    </row>
    <row r="14" hidden="1" outlineLevel="1" spans="3:74">
      <c r="C14" s="256" t="s">
        <v>113</v>
      </c>
      <c r="D14" s="256"/>
      <c r="E14" s="256"/>
      <c r="F14" s="256"/>
      <c r="G14" s="256"/>
      <c r="H14" s="257">
        <f>Interim!DZ106</f>
        <v>0.283760683760684</v>
      </c>
      <c r="I14" s="257">
        <f>Interim!EA106</f>
        <v>-0.0364511691884457</v>
      </c>
      <c r="J14" s="257">
        <f>Interim!EB106</f>
        <v>0.106326219512195</v>
      </c>
      <c r="K14" s="257">
        <f>Interim!EC106</f>
        <v>0.0320048309178744</v>
      </c>
      <c r="L14" s="257">
        <f>Interim!ED106</f>
        <v>0.077570093457944</v>
      </c>
      <c r="M14" s="257">
        <f>Interim!EE106</f>
        <v>0.196992481203007</v>
      </c>
      <c r="N14" s="257">
        <f>Interim!EG106</f>
        <v>0.105882352941177</v>
      </c>
      <c r="O14" s="257">
        <f>Interim!EH106</f>
        <v>0.157123834886818</v>
      </c>
      <c r="P14" s="257">
        <f>Interim!EI106</f>
        <v>0.226266952177016</v>
      </c>
      <c r="Q14" s="257">
        <f>Interim!EJ106</f>
        <v>0.190492593868412</v>
      </c>
      <c r="R14" s="257">
        <f>Interim!EK106</f>
        <v>0.0684610883557637</v>
      </c>
      <c r="S14" s="257">
        <f>Interim!EL106</f>
        <v>0.145273200346921</v>
      </c>
      <c r="T14" s="257">
        <f>Interim!EM106</f>
        <v>-0.0339195979899497</v>
      </c>
      <c r="U14" s="257">
        <f>Interim!EN106</f>
        <v>0.0190851257194788</v>
      </c>
      <c r="V14" s="258">
        <f>Interim!EP106</f>
        <v>0.0241657077100115</v>
      </c>
      <c r="W14" s="258">
        <f>Interim!EQ106</f>
        <v>-0.0384167636786962</v>
      </c>
      <c r="X14" s="258">
        <f>Interim!ER106</f>
        <v>-0.00694444444444442</v>
      </c>
      <c r="Y14" s="258">
        <f>Interim!ES106</f>
        <v>-0.102957283680175</v>
      </c>
      <c r="Z14" s="258">
        <f>Interim!ET106</f>
        <v>-0.0401363120030291</v>
      </c>
      <c r="AA14" s="258">
        <f>Interim!EU106</f>
        <v>0.0767230169050714</v>
      </c>
      <c r="AB14" s="258">
        <f>Interim!EV106</f>
        <v>-0.0208085612366231</v>
      </c>
      <c r="AC14" s="258">
        <f>Interim!EX106</f>
        <v>-0.265730337078652</v>
      </c>
      <c r="AD14" s="258">
        <f>Interim!EY106</f>
        <v>-0.0756658595641646</v>
      </c>
      <c r="AE14" s="258">
        <f>Interim!EZ106</f>
        <v>-0.174242424242424</v>
      </c>
      <c r="AF14" s="258">
        <f>Interim!FA106</f>
        <v>-0.0543345543345544</v>
      </c>
      <c r="AG14" s="259">
        <f>Interim!FB106</f>
        <v>-0.135502958579882</v>
      </c>
      <c r="AH14" s="259">
        <f>AH13/AA13-1</f>
        <v>-0.0277777777777778</v>
      </c>
      <c r="AI14" s="259"/>
      <c r="AJ14" s="259">
        <f>AJ13/(AB13+X13)-1</f>
        <v>-0.108980077311924</v>
      </c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1"/>
      <c r="BF14" s="218"/>
      <c r="BT14" s="238" t="s">
        <v>1286</v>
      </c>
      <c r="BU14" s="238" t="s">
        <v>1305</v>
      </c>
      <c r="BV14" s="238"/>
    </row>
    <row r="15" hidden="1" outlineLevel="1" spans="3:74">
      <c r="C15" s="256" t="s">
        <v>1302</v>
      </c>
      <c r="D15" s="256"/>
      <c r="E15" s="256"/>
      <c r="F15" s="256"/>
      <c r="G15" s="256"/>
      <c r="H15" s="257">
        <f>Interim!DZ108</f>
        <v>0.26</v>
      </c>
      <c r="I15" s="257">
        <f>Interim!EA108</f>
        <v>0.054</v>
      </c>
      <c r="J15" s="257">
        <f>Interim!EB108</f>
        <v>0.145852134146341</v>
      </c>
      <c r="K15" s="257">
        <f>Interim!EC108</f>
        <v>0.13</v>
      </c>
      <c r="L15" s="257">
        <f>Interim!ED108</f>
        <v>0.14</v>
      </c>
      <c r="M15" s="257">
        <f>Interim!EE108</f>
        <v>0.19</v>
      </c>
      <c r="N15" s="257">
        <f>Interim!EG108</f>
        <v>0.15</v>
      </c>
      <c r="O15" s="257">
        <f>Interim!EH108</f>
        <v>0.11</v>
      </c>
      <c r="P15" s="257">
        <f>Interim!EI108</f>
        <v>0.098</v>
      </c>
      <c r="Q15" s="257">
        <f>Interim!EJ108</f>
        <v>0.105</v>
      </c>
      <c r="R15" s="257">
        <f>Interim!EK108</f>
        <v>-0.047</v>
      </c>
      <c r="S15" s="257">
        <f>Interim!EL108</f>
        <v>0.048</v>
      </c>
      <c r="T15" s="257">
        <f>Interim!EM108</f>
        <v>-0.075</v>
      </c>
      <c r="U15" s="257">
        <f>Interim!EN108</f>
        <v>-0.0605037867312935</v>
      </c>
      <c r="V15" s="258">
        <f>Interim!EP108</f>
        <v>0.032</v>
      </c>
      <c r="W15" s="258">
        <f>Interim!EQ108</f>
        <v>-0.02</v>
      </c>
      <c r="X15" s="258">
        <f>Interim!ER108</f>
        <v>0.006</v>
      </c>
      <c r="Y15" s="258">
        <f>Interim!ES108</f>
        <v>-0.047</v>
      </c>
      <c r="Z15" s="258">
        <f>Interim!ET108</f>
        <v>-0.0122237788716395</v>
      </c>
      <c r="AA15" s="258">
        <f>Interim!EU108</f>
        <v>0.142</v>
      </c>
      <c r="AB15" s="258">
        <f>Interim!EV108</f>
        <v>0.0394096313912009</v>
      </c>
      <c r="AC15" s="258">
        <f>Interim!EX108</f>
        <v>-0.199</v>
      </c>
      <c r="AD15" s="258">
        <f>Interim!EY108</f>
        <v>0.014</v>
      </c>
      <c r="AE15" s="258">
        <f>Interim!EZ108</f>
        <v>-0.096472027972028</v>
      </c>
      <c r="AF15" s="258">
        <f>Interim!FA108</f>
        <v>-0.014</v>
      </c>
      <c r="AG15" s="259">
        <f>Interim!FB108</f>
        <v>-0.0698272189349113</v>
      </c>
      <c r="AH15" s="259">
        <v>-0.042</v>
      </c>
      <c r="AI15" s="259"/>
      <c r="AJ15" s="259">
        <v>-0.063</v>
      </c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1"/>
      <c r="BF15" s="218"/>
      <c r="BH15" s="217"/>
      <c r="BJ15" s="227"/>
    </row>
    <row r="16" hidden="1" outlineLevel="1" spans="3:74">
      <c r="C16" s="217" t="s">
        <v>114</v>
      </c>
      <c r="D16" s="217"/>
      <c r="E16" s="217"/>
      <c r="F16" s="217"/>
      <c r="G16" s="217"/>
      <c r="H16" s="246">
        <f>Interim!DZ110</f>
        <v>284</v>
      </c>
      <c r="I16" s="246">
        <f>Interim!EA110</f>
        <v>268.1</v>
      </c>
      <c r="J16" s="246">
        <f>Interim!EB110</f>
        <v>552.1</v>
      </c>
      <c r="K16" s="246">
        <f>Interim!EC110</f>
        <v>347.9</v>
      </c>
      <c r="L16" s="246">
        <f>Interim!ED110</f>
        <v>900</v>
      </c>
      <c r="M16" s="246">
        <f>Interim!EE110</f>
        <v>329</v>
      </c>
      <c r="N16" s="246">
        <f>Interim!EG110</f>
        <v>1229</v>
      </c>
      <c r="O16" s="246">
        <f>Interim!EH110</f>
        <v>385</v>
      </c>
      <c r="P16" s="246">
        <f>Interim!EI110</f>
        <v>347</v>
      </c>
      <c r="Q16" s="246">
        <f>Interim!EJ110</f>
        <v>732</v>
      </c>
      <c r="R16" s="246">
        <f>Interim!EK110</f>
        <v>437</v>
      </c>
      <c r="S16" s="246">
        <f>Interim!EL110</f>
        <v>1169</v>
      </c>
      <c r="T16" s="246">
        <f>Interim!EM110</f>
        <v>393</v>
      </c>
      <c r="U16" s="246">
        <f>Interim!EN110</f>
        <v>830</v>
      </c>
      <c r="V16" s="247">
        <f>Interim!EP110</f>
        <v>409</v>
      </c>
      <c r="W16" s="247">
        <f>Interim!EQ110</f>
        <v>372</v>
      </c>
      <c r="X16" s="247">
        <f>Interim!ER110</f>
        <v>781</v>
      </c>
      <c r="Y16" s="247">
        <f>Interim!ES110</f>
        <v>464</v>
      </c>
      <c r="Z16" s="247">
        <f>Interim!ET110</f>
        <v>1245</v>
      </c>
      <c r="AA16" s="247">
        <f>Interim!EU110</f>
        <v>411</v>
      </c>
      <c r="AB16" s="247">
        <f>Interim!EV110</f>
        <v>875</v>
      </c>
      <c r="AC16" s="247">
        <f>Interim!EX110</f>
        <v>419</v>
      </c>
      <c r="AD16" s="247">
        <f>Interim!EY110</f>
        <v>387</v>
      </c>
      <c r="AE16" s="247">
        <f>Interim!EZ110</f>
        <v>806</v>
      </c>
      <c r="AF16" s="247">
        <f>Interim!FA110</f>
        <v>517</v>
      </c>
      <c r="AG16" s="262">
        <f>Interim!FB110</f>
        <v>1323</v>
      </c>
      <c r="AH16" s="262">
        <v>488</v>
      </c>
      <c r="AI16" s="262"/>
      <c r="AJ16" s="262">
        <f>AG16+AH16</f>
        <v>1811</v>
      </c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50"/>
      <c r="BA16" s="251"/>
      <c r="BB16" s="251"/>
      <c r="BC16" s="251"/>
      <c r="BD16" s="251"/>
      <c r="BF16" s="217"/>
      <c r="BG16" s="253"/>
      <c r="BI16" s="217"/>
      <c r="BJ16" s="217"/>
      <c r="BK16" s="217"/>
    </row>
    <row r="17" hidden="1" outlineLevel="1" spans="3:65">
      <c r="C17" s="256" t="s">
        <v>113</v>
      </c>
      <c r="D17" s="256"/>
      <c r="E17" s="256"/>
      <c r="F17" s="256"/>
      <c r="G17" s="256"/>
      <c r="H17" s="257">
        <f>Interim!DZ111</f>
        <v>0.434343434343434</v>
      </c>
      <c r="I17" s="257">
        <f>Interim!EA111</f>
        <v>0.307804878048781</v>
      </c>
      <c r="J17" s="257">
        <f>Interim!EB111</f>
        <v>0.369975186104218</v>
      </c>
      <c r="K17" s="257">
        <f>Interim!EC111</f>
        <v>0.0974763406940062</v>
      </c>
      <c r="L17" s="257">
        <f>Interim!ED111</f>
        <v>0.25</v>
      </c>
      <c r="M17" s="257">
        <f>Interim!EE111</f>
        <v>0.175</v>
      </c>
      <c r="N17" s="257">
        <f>Interim!EG111</f>
        <v>0.229</v>
      </c>
      <c r="O17" s="257">
        <f>Interim!EH111</f>
        <v>0.355633802816901</v>
      </c>
      <c r="P17" s="257">
        <f>Interim!EI111</f>
        <v>0.294293174188735</v>
      </c>
      <c r="Q17" s="257">
        <f>Interim!EJ111</f>
        <v>0.325846766890056</v>
      </c>
      <c r="R17" s="257">
        <f>Interim!EK111</f>
        <v>0.25610807703363</v>
      </c>
      <c r="S17" s="257">
        <f>Interim!EL111</f>
        <v>0.298888888888889</v>
      </c>
      <c r="T17" s="257">
        <f>Interim!EM111</f>
        <v>0.194528875379939</v>
      </c>
      <c r="U17" s="257">
        <f>Interim!EN111</f>
        <v>0.226178165164722</v>
      </c>
      <c r="V17" s="258">
        <f>Interim!EP111</f>
        <v>0.0623376623376624</v>
      </c>
      <c r="W17" s="258">
        <f>Interim!EQ111</f>
        <v>0.0720461095100864</v>
      </c>
      <c r="X17" s="258">
        <f>Interim!ER111</f>
        <v>0.0669398907103824</v>
      </c>
      <c r="Y17" s="258">
        <f>Interim!ES111</f>
        <v>0.0617848970251715</v>
      </c>
      <c r="Z17" s="258">
        <f>Interim!ET111</f>
        <v>0.0650128314798974</v>
      </c>
      <c r="AA17" s="258">
        <f>Interim!EU111</f>
        <v>0.0458015267175573</v>
      </c>
      <c r="AB17" s="258">
        <f>Interim!EV111</f>
        <v>0.0542168674698795</v>
      </c>
      <c r="AC17" s="258">
        <f>Interim!EX111</f>
        <v>0.0244498777506112</v>
      </c>
      <c r="AD17" s="258">
        <f>Interim!EY111</f>
        <v>0.0403225806451613</v>
      </c>
      <c r="AE17" s="258">
        <f>Interim!EZ111</f>
        <v>0.0320102432778488</v>
      </c>
      <c r="AF17" s="258">
        <f>Interim!FA111</f>
        <v>0.114224137931034</v>
      </c>
      <c r="AG17" s="259">
        <f>Interim!FB111</f>
        <v>0.0626506024096385</v>
      </c>
      <c r="AH17" s="259">
        <f>AH16/AA16-1</f>
        <v>0.187347931873479</v>
      </c>
      <c r="AI17" s="259"/>
      <c r="AJ17" s="259">
        <f>AJ16/(AB16+X16)-1</f>
        <v>0.0935990338164252</v>
      </c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1"/>
      <c r="BF17" s="218"/>
      <c r="BH17" s="217"/>
      <c r="BI17" s="246"/>
      <c r="BJ17" s="217"/>
      <c r="BK17" s="217"/>
      <c r="BM17" s="217"/>
    </row>
    <row r="18" hidden="1" outlineLevel="1" spans="3:65">
      <c r="C18" s="256" t="s">
        <v>1302</v>
      </c>
      <c r="D18" s="256"/>
      <c r="E18" s="256"/>
      <c r="F18" s="256"/>
      <c r="G18" s="256"/>
      <c r="H18" s="257">
        <f>Interim!DZ113</f>
        <v>0.36</v>
      </c>
      <c r="I18" s="257">
        <f>Interim!EA113</f>
        <v>0.409</v>
      </c>
      <c r="J18" s="257">
        <f>Interim!EB113</f>
        <v>0.384925558312655</v>
      </c>
      <c r="K18" s="257">
        <f>Interim!EC113</f>
        <v>0.13</v>
      </c>
      <c r="L18" s="257">
        <f>Interim!ED113</f>
        <v>0.28</v>
      </c>
      <c r="M18" s="257">
        <f>Interim!EE113</f>
        <v>0.13</v>
      </c>
      <c r="N18" s="257">
        <f>Interim!EG113</f>
        <v>0.23</v>
      </c>
      <c r="O18" s="257">
        <f>Interim!EH113</f>
        <v>0.26</v>
      </c>
      <c r="P18" s="257">
        <f>Interim!EI113</f>
        <v>0.13</v>
      </c>
      <c r="Q18" s="257">
        <f>Interim!EJ113</f>
        <v>0.194</v>
      </c>
      <c r="R18" s="257">
        <f>Interim!EK113</f>
        <v>0.105</v>
      </c>
      <c r="S18" s="257">
        <f>Interim!EL113</f>
        <v>0.159</v>
      </c>
      <c r="T18" s="257">
        <f>Interim!EM113</f>
        <v>0.125</v>
      </c>
      <c r="U18" s="257">
        <f>Interim!EN113</f>
        <v>0.114720785935884</v>
      </c>
      <c r="V18" s="258">
        <f>Interim!EP113</f>
        <v>0.059</v>
      </c>
      <c r="W18" s="258">
        <f>Interim!EQ113</f>
        <v>0.064</v>
      </c>
      <c r="X18" s="258">
        <f>Interim!ER113</f>
        <v>0.061</v>
      </c>
      <c r="Y18" s="258">
        <f>Interim!ES113</f>
        <v>0.086</v>
      </c>
      <c r="Z18" s="258">
        <f>Interim!ET113</f>
        <v>0.0705774165953807</v>
      </c>
      <c r="AA18" s="258">
        <f>Interim!EU113</f>
        <v>0.075</v>
      </c>
      <c r="AB18" s="258">
        <f>Interim!EV113</f>
        <v>0.0807915662650602</v>
      </c>
      <c r="AC18" s="258">
        <f>Interim!EX113</f>
        <v>0.047</v>
      </c>
      <c r="AD18" s="258">
        <f>Interim!EY113</f>
        <v>0.107</v>
      </c>
      <c r="AE18" s="258">
        <f>Interim!EZ113</f>
        <v>0.0755787451984635</v>
      </c>
      <c r="AF18" s="258">
        <f>Interim!FA113</f>
        <v>0.127</v>
      </c>
      <c r="AG18" s="259">
        <f>Interim!FB113</f>
        <v>0.0947429718875502</v>
      </c>
      <c r="AH18" s="259">
        <v>0.11</v>
      </c>
      <c r="AI18" s="259"/>
      <c r="AJ18" s="259">
        <v>0.099</v>
      </c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1"/>
      <c r="BF18" s="218"/>
      <c r="BI18" s="257"/>
      <c r="BJ18" s="257"/>
      <c r="BL18" s="227"/>
      <c r="BM18" s="227"/>
    </row>
    <row r="19" hidden="1" outlineLevel="1" spans="3:65">
      <c r="C19" s="217" t="s">
        <v>525</v>
      </c>
      <c r="D19" s="217"/>
      <c r="E19" s="217"/>
      <c r="F19" s="217"/>
      <c r="G19" s="217"/>
      <c r="H19" s="246">
        <f>Interim!DZ115</f>
        <v>446</v>
      </c>
      <c r="I19" s="246">
        <f>Interim!EA115</f>
        <v>509.2</v>
      </c>
      <c r="J19" s="246">
        <f>Interim!EB115</f>
        <v>955.2</v>
      </c>
      <c r="K19" s="246">
        <f>Interim!EC115</f>
        <v>526.8</v>
      </c>
      <c r="L19" s="246">
        <f>Interim!ED115</f>
        <v>1482</v>
      </c>
      <c r="M19" s="246">
        <f>Interim!EE115</f>
        <v>621</v>
      </c>
      <c r="N19" s="246">
        <f>Interim!EG115</f>
        <v>2103</v>
      </c>
      <c r="O19" s="246">
        <f>Interim!EH115</f>
        <v>594</v>
      </c>
      <c r="P19" s="246">
        <f>Interim!EI115</f>
        <v>568</v>
      </c>
      <c r="Q19" s="246">
        <f>Interim!EJ115</f>
        <v>1162</v>
      </c>
      <c r="R19" s="246">
        <f>Interim!EK115</f>
        <v>579</v>
      </c>
      <c r="S19" s="246">
        <f>Interim!EL115</f>
        <v>1741</v>
      </c>
      <c r="T19" s="246">
        <f>Interim!EM115</f>
        <v>666</v>
      </c>
      <c r="U19" s="246">
        <f>Interim!EN115</f>
        <v>1245</v>
      </c>
      <c r="V19" s="247">
        <f>Interim!EP115</f>
        <v>533</v>
      </c>
      <c r="W19" s="247">
        <f>Interim!EQ115</f>
        <v>531</v>
      </c>
      <c r="X19" s="247">
        <f>Interim!ER115</f>
        <v>1064</v>
      </c>
      <c r="Y19" s="247">
        <f>Interim!ES115</f>
        <v>502</v>
      </c>
      <c r="Z19" s="247">
        <f>Interim!ET115</f>
        <v>1566</v>
      </c>
      <c r="AA19" s="247">
        <f>Interim!EU115</f>
        <v>640</v>
      </c>
      <c r="AB19" s="247">
        <f>Interim!EV115</f>
        <v>1142</v>
      </c>
      <c r="AC19" s="247">
        <f>Interim!EX115</f>
        <v>482</v>
      </c>
      <c r="AD19" s="247">
        <f>Interim!EY115</f>
        <v>504</v>
      </c>
      <c r="AE19" s="247">
        <f>Interim!EZ115</f>
        <v>986</v>
      </c>
      <c r="AF19" s="247">
        <f>Interim!FA115</f>
        <v>534</v>
      </c>
      <c r="AG19" s="262">
        <f>Interim!FB115</f>
        <v>1520</v>
      </c>
      <c r="AH19" s="262">
        <v>611</v>
      </c>
      <c r="AI19" s="262"/>
      <c r="AJ19" s="262">
        <f>AG19+AH19</f>
        <v>2131</v>
      </c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  <c r="AZ19" s="250"/>
      <c r="BA19" s="251"/>
      <c r="BB19" s="251"/>
      <c r="BC19" s="251"/>
      <c r="BD19" s="251"/>
      <c r="BF19" s="217"/>
      <c r="BG19" s="253"/>
      <c r="BH19" s="217"/>
      <c r="BM19" s="227"/>
    </row>
    <row r="20" hidden="1" outlineLevel="1" spans="3:65">
      <c r="C20" s="256" t="s">
        <v>113</v>
      </c>
      <c r="D20" s="256"/>
      <c r="E20" s="256"/>
      <c r="F20" s="256"/>
      <c r="G20" s="256"/>
      <c r="H20" s="257">
        <f>Interim!DZ116</f>
        <v>0.161458333333333</v>
      </c>
      <c r="I20" s="257">
        <f>Interim!EA116</f>
        <v>0.0520661157024793</v>
      </c>
      <c r="J20" s="257">
        <f>Interim!EB116</f>
        <v>0.100460829493088</v>
      </c>
      <c r="K20" s="257">
        <f>Interim!EC116</f>
        <v>0.0729124236252545</v>
      </c>
      <c r="L20" s="257">
        <f>Interim!ED116</f>
        <v>0.0905077262693157</v>
      </c>
      <c r="M20" s="257">
        <f>Interim!EE116</f>
        <v>0.0130505709624795</v>
      </c>
      <c r="N20" s="257">
        <f>Interim!EG116</f>
        <v>0.0664300202839756</v>
      </c>
      <c r="O20" s="257">
        <f>Interim!EH116</f>
        <v>0.331838565022422</v>
      </c>
      <c r="P20" s="257">
        <f>Interim!EI116</f>
        <v>0.115475255302435</v>
      </c>
      <c r="Q20" s="257">
        <f>Interim!EJ116</f>
        <v>0.216499162479062</v>
      </c>
      <c r="R20" s="257">
        <f>Interim!EK116</f>
        <v>0.0990888382687929</v>
      </c>
      <c r="S20" s="257">
        <f>Interim!EL116</f>
        <v>0.174763832658569</v>
      </c>
      <c r="T20" s="257">
        <f>Interim!EM116</f>
        <v>0.0724637681159421</v>
      </c>
      <c r="U20" s="257">
        <f>Interim!EN116</f>
        <v>0.0846837428123366</v>
      </c>
      <c r="V20" s="258">
        <f>Interim!EP116</f>
        <v>-0.102693602693603</v>
      </c>
      <c r="W20" s="258">
        <f>Interim!EQ116</f>
        <v>-0.0651408450704225</v>
      </c>
      <c r="X20" s="258">
        <f>Interim!ER116</f>
        <v>-0.0843373493975904</v>
      </c>
      <c r="Y20" s="258">
        <f>Interim!ES116</f>
        <v>-0.132987910189983</v>
      </c>
      <c r="Z20" s="258">
        <f>Interim!ET116</f>
        <v>-0.100516944284894</v>
      </c>
      <c r="AA20" s="258">
        <f>Interim!EU116</f>
        <v>-0.039039039039039</v>
      </c>
      <c r="AB20" s="258">
        <f>Interim!EV116</f>
        <v>-0.0827309236947791</v>
      </c>
      <c r="AC20" s="258">
        <f>Interim!EX116</f>
        <v>-0.0956848030018762</v>
      </c>
      <c r="AD20" s="258">
        <f>Interim!EY116</f>
        <v>-0.0508474576271186</v>
      </c>
      <c r="AE20" s="258">
        <f>Interim!EZ116</f>
        <v>-0.0733082706766918</v>
      </c>
      <c r="AF20" s="258">
        <f>Interim!FA116</f>
        <v>0.0637450199203187</v>
      </c>
      <c r="AG20" s="259">
        <f>Interim!FB116</f>
        <v>-0.0293742017879949</v>
      </c>
      <c r="AH20" s="259">
        <f>AH19/AA19-1</f>
        <v>-0.0453125</v>
      </c>
      <c r="AI20" s="259"/>
      <c r="AJ20" s="259">
        <f>AJ19/(AB19+X19)-1</f>
        <v>-0.0339981867633726</v>
      </c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1"/>
      <c r="BF20" s="218"/>
      <c r="BH20" s="217"/>
      <c r="BM20" s="227"/>
    </row>
    <row r="21" hidden="1" outlineLevel="1" spans="3:65">
      <c r="C21" s="256" t="s">
        <v>1302</v>
      </c>
      <c r="D21" s="256"/>
      <c r="E21" s="256"/>
      <c r="F21" s="256"/>
      <c r="G21" s="256"/>
      <c r="H21" s="257">
        <f>Interim!DZ118</f>
        <v>0.07</v>
      </c>
      <c r="I21" s="257">
        <f>Interim!EA118</f>
        <v>0.06</v>
      </c>
      <c r="J21" s="257">
        <f>Interim!EB118</f>
        <v>0.0644239631336406</v>
      </c>
      <c r="K21" s="257">
        <f>Interim!EC118</f>
        <v>0.07</v>
      </c>
      <c r="L21" s="257">
        <f>Interim!ED118</f>
        <v>0.07</v>
      </c>
      <c r="M21" s="257">
        <f>Interim!EE118</f>
        <v>0.02</v>
      </c>
      <c r="N21" s="257">
        <f>Interim!EG118</f>
        <v>0.05</v>
      </c>
      <c r="O21" s="257">
        <f>Interim!EH118</f>
        <v>0.26</v>
      </c>
      <c r="P21" s="257">
        <f>Interim!EI118</f>
        <v>0.019</v>
      </c>
      <c r="Q21" s="257">
        <f>Interim!EJ118</f>
        <v>0.131</v>
      </c>
      <c r="R21" s="257">
        <f>Interim!EK118</f>
        <v>0.01</v>
      </c>
      <c r="S21" s="257">
        <f>Interim!EL118</f>
        <v>0.088</v>
      </c>
      <c r="T21" s="257">
        <f>Interim!EM118</f>
        <v>0.036</v>
      </c>
      <c r="U21" s="257">
        <f>Interim!EN118</f>
        <v>0.0240669106116048</v>
      </c>
      <c r="V21" s="258">
        <f>Interim!EP118</f>
        <v>-0.04</v>
      </c>
      <c r="W21" s="258">
        <f>Interim!EQ118</f>
        <v>0.066</v>
      </c>
      <c r="X21" s="258">
        <f>Interim!ER118</f>
        <v>0.01</v>
      </c>
      <c r="Y21" s="258">
        <f>Interim!ES118</f>
        <v>0.041</v>
      </c>
      <c r="Z21" s="258">
        <f>Interim!ET118</f>
        <v>0.0215203905801264</v>
      </c>
      <c r="AA21" s="258">
        <f>Interim!EU118</f>
        <v>0.145</v>
      </c>
      <c r="AB21" s="258">
        <f>Interim!EV118</f>
        <v>0.096633734939759</v>
      </c>
      <c r="AC21" s="258">
        <f>Interim!EX118</f>
        <v>0.003</v>
      </c>
      <c r="AD21" s="258">
        <f>Interim!EY118</f>
        <v>0.002</v>
      </c>
      <c r="AE21" s="258">
        <f>Interim!EZ118</f>
        <v>0.00250093984962406</v>
      </c>
      <c r="AF21" s="258">
        <f>Interim!FA118</f>
        <v>0.06</v>
      </c>
      <c r="AG21" s="259">
        <f>Interim!FB118</f>
        <v>0.0209329501915709</v>
      </c>
      <c r="AH21" s="259">
        <v>-0.003</v>
      </c>
      <c r="AI21" s="259"/>
      <c r="AJ21" s="259">
        <v>0.015</v>
      </c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1"/>
      <c r="BF21" s="218"/>
      <c r="BI21"/>
      <c r="BJ21" s="253"/>
      <c r="BK21" s="264"/>
      <c r="BL21" s="265"/>
      <c r="BM21" s="253"/>
    </row>
    <row r="22" hidden="1" outlineLevel="1" spans="3:65">
      <c r="C22" s="217" t="s">
        <v>102</v>
      </c>
      <c r="D22" s="217"/>
      <c r="E22" s="217"/>
      <c r="F22" s="217"/>
      <c r="G22" s="217"/>
      <c r="H22" s="246">
        <f>Interim!DZ120</f>
        <v>328</v>
      </c>
      <c r="I22" s="246">
        <f>Interim!EA120</f>
        <v>338</v>
      </c>
      <c r="J22" s="246">
        <f>Interim!EB120</f>
        <v>667.2</v>
      </c>
      <c r="K22" s="246">
        <f>Interim!EC120</f>
        <v>363.8</v>
      </c>
      <c r="L22" s="246">
        <f>Interim!ED120</f>
        <v>1031</v>
      </c>
      <c r="M22" s="246">
        <f>Interim!EE120</f>
        <v>338</v>
      </c>
      <c r="N22" s="246">
        <f>Interim!EG120</f>
        <v>1369</v>
      </c>
      <c r="O22" s="246">
        <f>Interim!EH120</f>
        <v>372</v>
      </c>
      <c r="P22" s="246">
        <f>Interim!EI120</f>
        <v>332</v>
      </c>
      <c r="Q22" s="246">
        <f>Interim!EJ120</f>
        <v>704</v>
      </c>
      <c r="R22" s="246">
        <f>Interim!EK120</f>
        <v>431</v>
      </c>
      <c r="S22" s="246">
        <f>Interim!EL120</f>
        <v>1135</v>
      </c>
      <c r="T22" s="246">
        <f>Interim!EM120</f>
        <v>347</v>
      </c>
      <c r="U22" s="246">
        <f>Interim!EN120</f>
        <v>778</v>
      </c>
      <c r="V22" s="247">
        <f>Interim!EP120</f>
        <v>390</v>
      </c>
      <c r="W22" s="247">
        <f>Interim!EQ120</f>
        <v>375</v>
      </c>
      <c r="X22" s="247">
        <f>Interim!ER120</f>
        <v>765</v>
      </c>
      <c r="Y22" s="247">
        <f>Interim!ES120</f>
        <v>418</v>
      </c>
      <c r="Z22" s="247">
        <f>Interim!ET120</f>
        <v>1183</v>
      </c>
      <c r="AA22" s="247">
        <f>Interim!EU120</f>
        <v>391</v>
      </c>
      <c r="AB22" s="247">
        <f>Interim!EV120</f>
        <v>809</v>
      </c>
      <c r="AC22" s="247">
        <f>Interim!EX120</f>
        <v>377</v>
      </c>
      <c r="AD22" s="247">
        <f>Interim!EY120</f>
        <v>404</v>
      </c>
      <c r="AE22" s="247">
        <f>Interim!EZ120</f>
        <v>781</v>
      </c>
      <c r="AF22" s="247">
        <f>Interim!FA120</f>
        <v>429</v>
      </c>
      <c r="AG22" s="262">
        <f>Interim!FB120</f>
        <v>1210</v>
      </c>
      <c r="AH22" s="262">
        <v>415</v>
      </c>
      <c r="AI22" s="262"/>
      <c r="AJ22" s="262">
        <f>AG22+AH22</f>
        <v>1625</v>
      </c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50"/>
      <c r="BA22" s="251"/>
      <c r="BB22" s="251"/>
      <c r="BC22" s="251"/>
      <c r="BD22" s="251"/>
      <c r="BF22" s="218"/>
      <c r="BG22" s="253"/>
      <c r="BI22" s="266"/>
      <c r="BJ22" s="266"/>
      <c r="BM22"/>
    </row>
    <row r="23" hidden="1" outlineLevel="1" spans="3:65">
      <c r="C23" s="256" t="s">
        <v>113</v>
      </c>
      <c r="D23" s="256"/>
      <c r="E23" s="256"/>
      <c r="F23" s="256"/>
      <c r="G23" s="256"/>
      <c r="H23" s="257">
        <f>Interim!DZ121</f>
        <v>0.210332103321033</v>
      </c>
      <c r="I23" s="257">
        <f>Interim!EA121</f>
        <v>0.0242424242424242</v>
      </c>
      <c r="J23" s="257">
        <f>Interim!EB121</f>
        <v>0.110149750415973</v>
      </c>
      <c r="K23" s="257">
        <f>Interim!EC121</f>
        <v>0.102424242424243</v>
      </c>
      <c r="L23" s="257">
        <f>Interim!ED121</f>
        <v>0.107411385606874</v>
      </c>
      <c r="M23" s="257">
        <f>Interim!EE121</f>
        <v>-0.0451977401129944</v>
      </c>
      <c r="N23" s="257">
        <f>Interim!EG121</f>
        <v>0.0653696498054475</v>
      </c>
      <c r="O23" s="257">
        <f>Interim!EH121</f>
        <v>0.134146341463415</v>
      </c>
      <c r="P23" s="257">
        <f>Interim!EI121</f>
        <v>-0.0177514792899408</v>
      </c>
      <c r="Q23" s="257">
        <f>Interim!EJ121</f>
        <v>0.0551558752997605</v>
      </c>
      <c r="R23" s="257">
        <f>Interim!EK121</f>
        <v>0.184716877405167</v>
      </c>
      <c r="S23" s="257">
        <f>Interim!EL121</f>
        <v>0.100872938894278</v>
      </c>
      <c r="T23" s="257">
        <f>Interim!EM121</f>
        <v>0.0266272189349113</v>
      </c>
      <c r="U23" s="257">
        <f>Interim!EN121</f>
        <v>0.108577942433741</v>
      </c>
      <c r="V23" s="258">
        <f>Interim!EP121</f>
        <v>0.0483870967741935</v>
      </c>
      <c r="W23" s="258">
        <f>Interim!EQ121</f>
        <v>0.129518072289157</v>
      </c>
      <c r="X23" s="258">
        <f>Interim!ER121</f>
        <v>0.0866477272727273</v>
      </c>
      <c r="Y23" s="258">
        <f>Interim!ES121</f>
        <v>-0.0301624129930395</v>
      </c>
      <c r="Z23" s="258">
        <f>Interim!ET121</f>
        <v>0.0422907488986783</v>
      </c>
      <c r="AA23" s="258">
        <f>Interim!EU121</f>
        <v>0.126801152737752</v>
      </c>
      <c r="AB23" s="258">
        <f>Interim!EV121</f>
        <v>0.0398457583547558</v>
      </c>
      <c r="AC23" s="258">
        <f>Interim!EX121</f>
        <v>-0.0333333333333333</v>
      </c>
      <c r="AD23" s="258">
        <f>Interim!EY121</f>
        <v>0.0773333333333333</v>
      </c>
      <c r="AE23" s="258">
        <f>Interim!EZ121</f>
        <v>0.0209150326797385</v>
      </c>
      <c r="AF23" s="258">
        <f>Interim!FA121</f>
        <v>0.0263157894736843</v>
      </c>
      <c r="AG23" s="259">
        <f>Interim!FB121</f>
        <v>0.0228233305156382</v>
      </c>
      <c r="AH23" s="259">
        <f>AH22/AA22-1</f>
        <v>0.0613810741687979</v>
      </c>
      <c r="AI23" s="259"/>
      <c r="AJ23" s="259">
        <f>AJ22/(AB22+X22)-1</f>
        <v>0.0324015247776366</v>
      </c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BF23" s="218"/>
      <c r="BM23"/>
    </row>
    <row r="24" ht="15.95" hidden="1" outlineLevel="1" spans="3:65">
      <c r="C24" s="267" t="s">
        <v>1302</v>
      </c>
      <c r="D24" s="267"/>
      <c r="E24" s="267"/>
      <c r="F24" s="267"/>
      <c r="G24" s="267"/>
      <c r="H24" s="268">
        <f>Interim!DZ123</f>
        <v>0.15</v>
      </c>
      <c r="I24" s="268">
        <f>Interim!EA123</f>
        <v>0.08</v>
      </c>
      <c r="J24" s="268">
        <f>Interim!EB123</f>
        <v>0.074</v>
      </c>
      <c r="K24" s="268">
        <f>Interim!EC123</f>
        <v>0.18</v>
      </c>
      <c r="L24" s="268">
        <f>Interim!ED123</f>
        <v>0.14</v>
      </c>
      <c r="M24" s="268">
        <f>Interim!EE123</f>
        <v>-0.01</v>
      </c>
      <c r="N24" s="268">
        <f>Interim!EG123</f>
        <v>0.1</v>
      </c>
      <c r="O24" s="268">
        <f>Interim!EH123</f>
        <v>0.14</v>
      </c>
      <c r="P24" s="268">
        <f>Interim!EI123</f>
        <v>-0.019</v>
      </c>
      <c r="Q24" s="268">
        <f>Interim!EJ123</f>
        <v>0.06</v>
      </c>
      <c r="R24" s="268">
        <f>Interim!EK123</f>
        <v>0.157</v>
      </c>
      <c r="S24" s="268">
        <f>Interim!EL123</f>
        <v>0.095</v>
      </c>
      <c r="T24" s="268">
        <f>Interim!EM123</f>
        <v>0.044</v>
      </c>
      <c r="U24" s="268">
        <f>Interim!EN123</f>
        <v>0.0707787705691092</v>
      </c>
      <c r="V24" s="269">
        <f>Interim!EP123</f>
        <v>0.115</v>
      </c>
      <c r="W24" s="269">
        <f>Interim!EQ123</f>
        <v>0.212</v>
      </c>
      <c r="X24" s="269">
        <f>Interim!ER123</f>
        <v>0.161</v>
      </c>
      <c r="Y24" s="269">
        <f>Interim!ES123</f>
        <v>0.123</v>
      </c>
      <c r="Z24" s="269">
        <f>Interim!ET123</f>
        <v>0.146411453744493</v>
      </c>
      <c r="AA24" s="269">
        <f>Interim!EU123</f>
        <v>0.324</v>
      </c>
      <c r="AB24" s="269">
        <f>Interim!EV123</f>
        <v>0.212649100257069</v>
      </c>
      <c r="AC24" s="269">
        <f>Interim!EX123</f>
        <v>0.185</v>
      </c>
      <c r="AD24" s="269">
        <f>Interim!EY123</f>
        <v>0.325</v>
      </c>
      <c r="AE24" s="269">
        <f>Interim!EZ123</f>
        <v>0.253627450980392</v>
      </c>
      <c r="AF24" s="269">
        <f>Interim!FA123</f>
        <v>0.158</v>
      </c>
      <c r="AG24" s="270">
        <f>Interim!FB123</f>
        <v>0.219838546069315</v>
      </c>
      <c r="AH24" s="270">
        <v>0.123</v>
      </c>
      <c r="AI24" s="270"/>
      <c r="AJ24" s="270">
        <v>0.194</v>
      </c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2"/>
      <c r="BA24" s="272"/>
      <c r="BB24" s="272"/>
      <c r="BC24" s="272"/>
      <c r="BD24" s="273"/>
      <c r="BF24" s="218"/>
      <c r="BH24" s="217"/>
      <c r="BI24" s="217"/>
      <c r="BJ24" s="266"/>
      <c r="BM24"/>
    </row>
    <row r="25" ht="15.95" collapsed="1" spans="3:65">
      <c r="C25" s="274" t="s">
        <v>71</v>
      </c>
      <c r="D25" s="274"/>
      <c r="E25" s="274"/>
      <c r="F25" s="274"/>
      <c r="G25" s="274"/>
      <c r="H25" s="275">
        <f>Interim!DZ127</f>
        <v>3273</v>
      </c>
      <c r="I25" s="275">
        <f>Interim!EA127</f>
        <v>3064</v>
      </c>
      <c r="J25" s="275">
        <f>Interim!EB127</f>
        <v>6337</v>
      </c>
      <c r="K25" s="275">
        <f>Interim!EC127</f>
        <v>3744</v>
      </c>
      <c r="L25" s="275">
        <f>Interim!ED127</f>
        <v>10081</v>
      </c>
      <c r="M25" s="275">
        <f>Interim!EE127</f>
        <v>3241</v>
      </c>
      <c r="N25" s="275">
        <f>Interim!EG127</f>
        <v>13323</v>
      </c>
      <c r="O25" s="275">
        <f>Interim!EH127</f>
        <v>3824</v>
      </c>
      <c r="P25" s="275">
        <f>Interim!EI127</f>
        <v>3517</v>
      </c>
      <c r="Q25" s="275">
        <f>Interim!EJ127</f>
        <v>7341</v>
      </c>
      <c r="R25" s="275">
        <f>Interim!EK127</f>
        <v>4173</v>
      </c>
      <c r="S25" s="275">
        <f>Interim!EL127</f>
        <v>11514</v>
      </c>
      <c r="T25" s="275">
        <f>Interim!EM127</f>
        <v>3369</v>
      </c>
      <c r="U25" s="275">
        <f>Interim!EN127</f>
        <v>7542</v>
      </c>
      <c r="V25" s="276">
        <f>Interim!EP127</f>
        <v>3751</v>
      </c>
      <c r="W25" s="276">
        <f>Interim!EQ127</f>
        <v>3383</v>
      </c>
      <c r="X25" s="276">
        <f>Interim!ER127</f>
        <v>7134</v>
      </c>
      <c r="Y25" s="276">
        <f>Interim!ES127</f>
        <v>3879</v>
      </c>
      <c r="Z25" s="276">
        <f>Interim!ET127</f>
        <v>11013</v>
      </c>
      <c r="AA25" s="276">
        <f>Interim!EU127</f>
        <v>3479</v>
      </c>
      <c r="AB25" s="276">
        <f>Interim!EV127</f>
        <v>7358</v>
      </c>
      <c r="AC25" s="276">
        <f>Interim!EX216</f>
        <v>3481</v>
      </c>
      <c r="AD25" s="276">
        <f>Interim!EY216</f>
        <v>3398</v>
      </c>
      <c r="AE25" s="276">
        <f>Interim!EZ216</f>
        <v>6879</v>
      </c>
      <c r="AF25" s="276">
        <f>Interim!FA216</f>
        <v>4044</v>
      </c>
      <c r="AG25" s="276">
        <f>Interim!FB216</f>
        <v>10923</v>
      </c>
      <c r="AH25" s="276">
        <f>Interim!FC216</f>
        <v>3610</v>
      </c>
      <c r="AI25" s="276">
        <f>Interim!FD216</f>
        <v>7654</v>
      </c>
      <c r="AJ25" s="276">
        <f>Interim!FE216</f>
        <v>14533</v>
      </c>
      <c r="AK25" s="276">
        <f>Interim!FF216</f>
        <v>4083</v>
      </c>
      <c r="AL25" s="276">
        <f>Interim!FG216</f>
        <v>3907</v>
      </c>
      <c r="AM25" s="276">
        <f>Interim!FH216</f>
        <v>7990</v>
      </c>
      <c r="AN25" s="276">
        <f>Interim!FI216</f>
        <v>4757</v>
      </c>
      <c r="AO25" s="277">
        <f>Interim!FJ216</f>
        <v>12747</v>
      </c>
      <c r="AP25" s="276">
        <f>Interim!FK216</f>
        <v>4168</v>
      </c>
      <c r="AQ25" s="277">
        <f>Interim!FL216</f>
        <v>8925</v>
      </c>
      <c r="AR25" s="278">
        <f>Interim!FM216</f>
        <v>16915</v>
      </c>
      <c r="AS25" s="276">
        <f>Interim!FN216</f>
        <v>4769</v>
      </c>
      <c r="AT25" s="276">
        <f>Interim!FO216</f>
        <v>4423</v>
      </c>
      <c r="AU25" s="276">
        <f>Interim!FP216</f>
        <v>9192</v>
      </c>
      <c r="AV25" s="277">
        <f>Interim!FQ388</f>
        <v>5412</v>
      </c>
      <c r="AW25" s="277">
        <f>AX25-AS25-AT25-AV25</f>
        <v>4650.5</v>
      </c>
      <c r="AX25" s="277">
        <v>19254.5</v>
      </c>
      <c r="AY25" s="279"/>
      <c r="AZ25" s="280"/>
      <c r="BA25" s="281">
        <v>4390</v>
      </c>
      <c r="BB25" s="277">
        <f>AM25+BA25</f>
        <v>12380</v>
      </c>
      <c r="BC25" s="279">
        <f>AT25/BA25-1</f>
        <v>0.00751708428246012</v>
      </c>
      <c r="BD25" s="280">
        <f>AO25/BB25-1</f>
        <v>0.0296445880452343</v>
      </c>
      <c r="BE25" s="282" t="s">
        <v>1306</v>
      </c>
      <c r="BF25" s="283" t="s">
        <v>1307</v>
      </c>
      <c r="BG25" s="284"/>
      <c r="BH25" s="285"/>
      <c r="BI25" s="217"/>
      <c r="BJ25" s="266"/>
      <c r="BM25"/>
    </row>
    <row r="26" spans="3:65">
      <c r="C26" s="256" t="s">
        <v>113</v>
      </c>
      <c r="D26" s="256"/>
      <c r="E26" s="256"/>
      <c r="F26" s="256"/>
      <c r="G26" s="256"/>
      <c r="H26" s="257">
        <f>Interim!DZ128</f>
        <v>0.224008975317876</v>
      </c>
      <c r="I26" s="257">
        <f>Interim!EA128</f>
        <v>0.0503942406582105</v>
      </c>
      <c r="J26" s="257">
        <f>Interim!EB128</f>
        <v>0.133631484794275</v>
      </c>
      <c r="K26" s="257">
        <f>Interim!EC128</f>
        <v>0.0795847750865053</v>
      </c>
      <c r="L26" s="257">
        <f>Interim!ED128</f>
        <v>0.112938838595716</v>
      </c>
      <c r="M26" s="257">
        <f>Interim!EE128</f>
        <v>0.105388813096862</v>
      </c>
      <c r="N26" s="257">
        <f>Interim!EG128</f>
        <v>0.111175979983319</v>
      </c>
      <c r="O26" s="257">
        <f>Interim!EH128</f>
        <v>0.168347082187595</v>
      </c>
      <c r="P26" s="257">
        <f>Interim!EI128</f>
        <v>0.147845953002611</v>
      </c>
      <c r="Q26" s="257">
        <f>Interim!EJ128</f>
        <v>0.158434590500237</v>
      </c>
      <c r="R26" s="257">
        <f>Interim!EK128</f>
        <v>0.114583333333333</v>
      </c>
      <c r="S26" s="257">
        <f>Interim!EL128</f>
        <v>0.142148596369408</v>
      </c>
      <c r="T26" s="257">
        <f>Interim!EM128</f>
        <v>0.0394939833384758</v>
      </c>
      <c r="U26" s="257">
        <f>Interim!EN128</f>
        <v>0.0797423049391552</v>
      </c>
      <c r="V26" s="258">
        <f>Interim!EP128</f>
        <v>-0.0190899581589958</v>
      </c>
      <c r="W26" s="258">
        <f>Interim!EQ128</f>
        <v>-0.0381006539664487</v>
      </c>
      <c r="X26" s="258">
        <f>Interim!ER128</f>
        <v>-0.0281977932161831</v>
      </c>
      <c r="Y26" s="258">
        <f>Interim!ES128</f>
        <v>-0.0704529115744069</v>
      </c>
      <c r="Z26" s="258">
        <f>Interim!ET128</f>
        <v>-0.0435122459614382</v>
      </c>
      <c r="AA26" s="258">
        <f>Interim!EU128</f>
        <v>0.0326506381715643</v>
      </c>
      <c r="AB26" s="258">
        <f>Interim!EV128</f>
        <v>-0.0243967117475471</v>
      </c>
      <c r="AC26" s="258">
        <f>Interim!EX217</f>
        <v>-0.071980805118635</v>
      </c>
      <c r="AD26" s="258">
        <f>Interim!EY217</f>
        <v>0.00443393437777129</v>
      </c>
      <c r="AE26" s="258">
        <f>Interim!EZ217</f>
        <v>-0.035744322960471</v>
      </c>
      <c r="AF26" s="258">
        <f>Interim!FA217</f>
        <v>0.0425367362722351</v>
      </c>
      <c r="AG26" s="258">
        <f>Interim!FB217</f>
        <v>-0.00817216017433942</v>
      </c>
      <c r="AH26" s="258">
        <f>Interim!FC217</f>
        <v>0.0376544984190859</v>
      </c>
      <c r="AI26" s="258">
        <f>Interim!FD217</f>
        <v>0.0402283229138354</v>
      </c>
      <c r="AJ26" s="258">
        <f>Interim!FE217</f>
        <v>0.00282914711565008</v>
      </c>
      <c r="AK26" s="258">
        <f>Interim!FF217</f>
        <v>0.172938810686584</v>
      </c>
      <c r="AL26" s="258">
        <f>Interim!FG217</f>
        <v>0.149793996468511</v>
      </c>
      <c r="AM26" s="258">
        <f>Interim!FH217</f>
        <v>0.161506032853612</v>
      </c>
      <c r="AN26" s="258">
        <f>Interim!FI217</f>
        <v>0.176310583580613</v>
      </c>
      <c r="AO26" s="259">
        <f>Interim!FJ217</f>
        <v>0.166987091458391</v>
      </c>
      <c r="AP26" s="258">
        <f>Interim!FK217</f>
        <v>0.154570637119114</v>
      </c>
      <c r="AQ26" s="259">
        <f>Interim!FL217</f>
        <v>0.166056963679122</v>
      </c>
      <c r="AR26" s="259">
        <f>Interim!FM217</f>
        <v>0.163902841808298</v>
      </c>
      <c r="AS26" s="258">
        <f>AS25/AK25-1</f>
        <v>0.168013715405339</v>
      </c>
      <c r="AT26" s="258">
        <f>AT25/AL25-1</f>
        <v>0.132070642436652</v>
      </c>
      <c r="AU26" s="258">
        <f>AU25/AM25-1</f>
        <v>0.150438047559449</v>
      </c>
      <c r="AV26" s="259">
        <f>AV25/AN25-1</f>
        <v>0.137691822577255</v>
      </c>
      <c r="AW26" s="258">
        <f>AW25/AP25-1</f>
        <v>0.115762955854127</v>
      </c>
      <c r="AX26" s="258">
        <f>AX25/AR25-1</f>
        <v>0.138309193023943</v>
      </c>
      <c r="AY26" s="286"/>
      <c r="AZ26" s="287"/>
      <c r="BA26" s="286">
        <f>BA25/AL25-1</f>
        <v>0.123624264141285</v>
      </c>
      <c r="BB26" s="259">
        <f>BB25/Interim!FB388-1</f>
        <v>0.133388263297629</v>
      </c>
      <c r="BC26" s="288"/>
      <c r="BD26" s="287"/>
      <c r="BF26" s="218" t="s">
        <v>230</v>
      </c>
      <c r="BG26" s="218">
        <v>15516</v>
      </c>
      <c r="BH26" s="289"/>
      <c r="BI26" s="289"/>
      <c r="BJ26" s="289"/>
    </row>
    <row r="27" ht="15.95" spans="3:65">
      <c r="C27" s="256" t="s">
        <v>1302</v>
      </c>
      <c r="D27" s="256"/>
      <c r="E27" s="256"/>
      <c r="F27" s="256"/>
      <c r="G27" s="256"/>
      <c r="H27" s="257">
        <f>Interim!DZ130</f>
        <v>0.186091997008227</v>
      </c>
      <c r="I27" s="257">
        <f>Interim!EA130</f>
        <v>0.0991768940692493</v>
      </c>
      <c r="J27" s="257">
        <f>Interim!EB130</f>
        <v>0.136696422182469</v>
      </c>
      <c r="K27" s="257">
        <f>Interim!EC130</f>
        <v>0.12739907727797</v>
      </c>
      <c r="L27" s="257">
        <f>Interim!ED130</f>
        <v>0.14</v>
      </c>
      <c r="M27" s="257">
        <f>Interim!EE130</f>
        <v>0.112155525238745</v>
      </c>
      <c r="N27" s="257">
        <f>Interim!EG130</f>
        <v>0.12826105087573</v>
      </c>
      <c r="O27" s="257">
        <f>Interim!EH130</f>
        <v>0.138658722884204</v>
      </c>
      <c r="P27" s="257">
        <f>Interim!EI130</f>
        <v>0.0717205613577024</v>
      </c>
      <c r="Q27" s="257">
        <f>Interim!EJ130</f>
        <v>0.105302051443901</v>
      </c>
      <c r="R27" s="257">
        <f>Interim!EK130</f>
        <v>0.0407926282051281</v>
      </c>
      <c r="S27" s="257">
        <f>Interim!EL130</f>
        <v>0.0813480805475647</v>
      </c>
      <c r="T27" s="257">
        <f>Interim!EM130</f>
        <v>0.00752823202715205</v>
      </c>
      <c r="U27" s="257">
        <f>Interim!EN130</f>
        <v>0.0283577195379326</v>
      </c>
      <c r="V27" s="258">
        <f>Interim!EP130</f>
        <v>0.00202327405857741</v>
      </c>
      <c r="W27" s="258">
        <f>Interim!EQ130</f>
        <v>0.00226073357975548</v>
      </c>
      <c r="X27" s="258">
        <f>Interim!ER130</f>
        <v>0.00184920310584389</v>
      </c>
      <c r="Y27" s="258">
        <f>Interim!ES130</f>
        <v>5.65540378624484e-5</v>
      </c>
      <c r="Z27" s="258">
        <f>Interim!ET130</f>
        <v>0.00138301198540907</v>
      </c>
      <c r="AA27" s="258">
        <f>Interim!EU130</f>
        <v>0.125235975066785</v>
      </c>
      <c r="AB27" s="258">
        <f>Interim!EV130</f>
        <v>0.0559740121983559</v>
      </c>
      <c r="AC27" s="258">
        <f>Interim!EX130</f>
        <v>0.0101906158357771</v>
      </c>
      <c r="AD27" s="258">
        <f>Interim!EY130</f>
        <v>0.101650310375406</v>
      </c>
      <c r="AE27" s="258">
        <f>Interim!EZ130</f>
        <v>0.0535615363050182</v>
      </c>
      <c r="AF27" s="258">
        <f>Interim!FA130</f>
        <v>0.090825470482083</v>
      </c>
      <c r="AG27" s="259">
        <f>Interim!FB130</f>
        <v>0.0666866430582039</v>
      </c>
      <c r="AH27" s="259">
        <v>0.06</v>
      </c>
      <c r="AI27" s="259"/>
      <c r="AJ27" s="259">
        <v>0.06</v>
      </c>
      <c r="AK27" s="258">
        <f>Interim!FF219</f>
        <v>0.0873076702097099</v>
      </c>
      <c r="AL27" s="258">
        <f>Interim!FG219</f>
        <v>0.0489167157151266</v>
      </c>
      <c r="AM27" s="259">
        <v>0.06</v>
      </c>
      <c r="AN27" s="258">
        <f>Interim!FI219</f>
        <v>0.125889713155292</v>
      </c>
      <c r="AO27" s="259">
        <v>0.06</v>
      </c>
      <c r="AP27" s="258">
        <f>Interim!FK219</f>
        <v>0.116590027700831</v>
      </c>
      <c r="AQ27" s="259">
        <v>0.06</v>
      </c>
      <c r="AR27" s="259">
        <v>0.06</v>
      </c>
      <c r="AS27" s="258">
        <f>Interim!FN219</f>
        <v>0.213338966446241</v>
      </c>
      <c r="AT27" s="258">
        <f>Interim!FO219</f>
        <v>0.205087023291528</v>
      </c>
      <c r="AU27" s="258">
        <f>Interim!FP219</f>
        <v>0.209303879849812</v>
      </c>
      <c r="AV27" s="259">
        <f>Interim!FQ29</f>
        <v>0.171974563800715</v>
      </c>
      <c r="AW27" s="258">
        <f>Interim!FS219</f>
        <v>0.13947480806142</v>
      </c>
      <c r="AX27" s="258">
        <f>Interim!FU219</f>
        <v>0.1815992905705</v>
      </c>
      <c r="AY27" s="286"/>
      <c r="AZ27" s="287"/>
      <c r="BA27" s="286">
        <v>0.189</v>
      </c>
      <c r="BB27" s="259">
        <f>BB26-(AU26-AU27)</f>
        <v>0.192254095587992</v>
      </c>
      <c r="BC27" s="288"/>
      <c r="BD27" s="287"/>
      <c r="BF27" s="218" t="s">
        <v>61</v>
      </c>
      <c r="BG27" s="227">
        <f>BG26/AJ25-1</f>
        <v>0.0676391660359184</v>
      </c>
    </row>
    <row r="28" hidden="1" outlineLevel="1" spans="3:65">
      <c r="C28" s="217" t="s">
        <v>1308</v>
      </c>
      <c r="D28" s="217"/>
      <c r="E28" s="217"/>
      <c r="F28" s="217"/>
      <c r="G28" s="217"/>
      <c r="H28" s="246">
        <f>Interim!DZ10</f>
        <v>577</v>
      </c>
      <c r="I28" s="246">
        <f>Interim!EA10</f>
        <v>681</v>
      </c>
      <c r="J28" s="246">
        <f>Interim!EB10</f>
        <v>1258</v>
      </c>
      <c r="K28" s="246">
        <f>Interim!EC10</f>
        <v>757</v>
      </c>
      <c r="L28" s="246">
        <f>Interim!ED10</f>
        <v>2015</v>
      </c>
      <c r="M28" s="246">
        <f>Interim!EE10</f>
        <v>778</v>
      </c>
      <c r="N28" s="246">
        <f>Interim!EG10</f>
        <v>2793</v>
      </c>
      <c r="O28" s="246">
        <f>Interim!EH10</f>
        <v>693</v>
      </c>
      <c r="P28" s="246">
        <f>Interim!EI10</f>
        <v>854</v>
      </c>
      <c r="Q28" s="246">
        <f>Interim!EJ10</f>
        <v>1547</v>
      </c>
      <c r="R28" s="246">
        <f>Interim!EK10</f>
        <v>944</v>
      </c>
      <c r="S28" s="246">
        <f>Interim!EL10</f>
        <v>2491</v>
      </c>
      <c r="T28" s="246">
        <f>Interim!EM10</f>
        <v>882</v>
      </c>
      <c r="U28" s="246">
        <f>Interim!EN10</f>
        <v>1826</v>
      </c>
      <c r="V28" s="247">
        <f>Interim!EP10</f>
        <v>722</v>
      </c>
      <c r="W28" s="247">
        <f>Interim!EQ10</f>
        <v>867</v>
      </c>
      <c r="X28" s="247">
        <f>Interim!ER10</f>
        <v>1589</v>
      </c>
      <c r="Y28" s="247">
        <f>Interim!ES10</f>
        <v>923</v>
      </c>
      <c r="Z28" s="247">
        <f>Interim!ET10</f>
        <v>2512</v>
      </c>
      <c r="AA28" s="247">
        <f>Interim!EU10</f>
        <v>934</v>
      </c>
      <c r="AB28" s="247">
        <f>Interim!EV10</f>
        <v>1857</v>
      </c>
      <c r="AC28" s="247">
        <f>Interim!EX10</f>
        <v>794</v>
      </c>
      <c r="AD28" s="247">
        <f>Interim!EY10</f>
        <v>958</v>
      </c>
      <c r="AE28" s="247">
        <f>Interim!EZ10</f>
        <v>1752</v>
      </c>
      <c r="AF28" s="247">
        <f>Interim!FA10</f>
        <v>1047</v>
      </c>
      <c r="AG28" s="262">
        <f>Interim!FB10</f>
        <v>2799</v>
      </c>
      <c r="AH28" s="262">
        <v>1043</v>
      </c>
      <c r="AI28" s="262"/>
      <c r="AJ28" s="262">
        <f t="shared" ref="AJ28:AU28" si="0">AG28+AH28</f>
        <v>3842</v>
      </c>
      <c r="AK28" s="262">
        <f t="shared" si="0"/>
        <v>1043</v>
      </c>
      <c r="AL28" s="262">
        <f t="shared" si="0"/>
        <v>3842</v>
      </c>
      <c r="AM28" s="262">
        <f t="shared" si="0"/>
        <v>4885</v>
      </c>
      <c r="AN28" s="262">
        <f t="shared" si="0"/>
        <v>4885</v>
      </c>
      <c r="AO28" s="262">
        <f t="shared" si="0"/>
        <v>8727</v>
      </c>
      <c r="AP28" s="262">
        <f t="shared" si="0"/>
        <v>9770</v>
      </c>
      <c r="AQ28" s="262">
        <f t="shared" si="0"/>
        <v>13612</v>
      </c>
      <c r="AR28" s="262">
        <f t="shared" si="0"/>
        <v>18497</v>
      </c>
      <c r="AS28" s="262">
        <f t="shared" si="0"/>
        <v>23382</v>
      </c>
      <c r="AT28" s="262">
        <f t="shared" si="0"/>
        <v>32109</v>
      </c>
      <c r="AU28" s="262">
        <f t="shared" si="0"/>
        <v>41879</v>
      </c>
      <c r="AV28" s="262"/>
      <c r="AY28" s="290"/>
      <c r="AZ28" s="291"/>
      <c r="BA28" s="290"/>
      <c r="BB28" s="262"/>
      <c r="BC28" s="292"/>
      <c r="BD28" s="291"/>
      <c r="BF28" s="218" t="s">
        <v>933</v>
      </c>
      <c r="BG28" s="253" t="e">
        <f>BG27-'Profit and Loss'!#REF!</f>
        <v>#REF!</v>
      </c>
    </row>
    <row r="29" hidden="1" outlineLevel="1" spans="3:65">
      <c r="C29" s="256" t="s">
        <v>113</v>
      </c>
      <c r="D29" s="256"/>
      <c r="E29" s="256"/>
      <c r="F29" s="256"/>
      <c r="G29" s="256"/>
      <c r="H29" s="257">
        <f>Interim!DZ11</f>
        <v>0.257080610021786</v>
      </c>
      <c r="I29" s="257">
        <f>Interim!EA11</f>
        <v>0.131229235880399</v>
      </c>
      <c r="J29" s="257">
        <f>Interim!EB11</f>
        <v>0.185673892554194</v>
      </c>
      <c r="K29" s="257">
        <f>Interim!EC11</f>
        <v>0.138345864661654</v>
      </c>
      <c r="L29" s="257">
        <f>Interim!ED11</f>
        <v>0.167439165701043</v>
      </c>
      <c r="M29" s="257">
        <f>Interim!EE11</f>
        <v>0.173453996983409</v>
      </c>
      <c r="N29" s="257">
        <f>Interim!EG11</f>
        <v>0.16910841356216</v>
      </c>
      <c r="O29" s="257">
        <f>Interim!EH11</f>
        <v>0.20103986135182</v>
      </c>
      <c r="P29" s="257">
        <f>Interim!EI11</f>
        <v>0.254038179148311</v>
      </c>
      <c r="Q29" s="257">
        <f>Interim!EJ11</f>
        <v>0.22972972972973</v>
      </c>
      <c r="R29" s="257">
        <f>Interim!EK11</f>
        <v>0.247027741083223</v>
      </c>
      <c r="S29" s="257">
        <f>Interim!EL11</f>
        <v>0.236228287841191</v>
      </c>
      <c r="T29" s="257">
        <f>Interim!EM11</f>
        <v>0.133676092544987</v>
      </c>
      <c r="U29" s="257">
        <f>Interim!EN11</f>
        <v>0.18957654723127</v>
      </c>
      <c r="V29" s="258">
        <f>Interim!EP11</f>
        <v>0.0418470418470418</v>
      </c>
      <c r="W29" s="258">
        <f>Interim!EQ11</f>
        <v>0.0152224824355971</v>
      </c>
      <c r="X29" s="258">
        <f>Interim!ER11</f>
        <v>0.0271493212669682</v>
      </c>
      <c r="Y29" s="258">
        <f>Interim!ES11</f>
        <v>-0.0222457627118644</v>
      </c>
      <c r="Z29" s="258">
        <f>Interim!ET11</f>
        <v>0.00843034925732633</v>
      </c>
      <c r="AA29" s="258">
        <f>Interim!EU11</f>
        <v>0.0589569160997732</v>
      </c>
      <c r="AB29" s="258">
        <f>Interim!EV11</f>
        <v>0.0169769989047097</v>
      </c>
      <c r="AC29" s="258">
        <f>Interim!EX11</f>
        <v>0.0997229916897506</v>
      </c>
      <c r="AD29" s="258">
        <f>Interim!EY11</f>
        <v>0.104959630911188</v>
      </c>
      <c r="AE29" s="258">
        <f>Interim!EZ11</f>
        <v>0.102580239144116</v>
      </c>
      <c r="AF29" s="258">
        <f>Interim!FA11</f>
        <v>0.134344528710726</v>
      </c>
      <c r="AG29" s="259">
        <f>Interim!FB11</f>
        <v>0.114251592356688</v>
      </c>
      <c r="AH29" s="259">
        <f>AH28/AA28-1</f>
        <v>0.116702355460385</v>
      </c>
      <c r="AI29" s="259"/>
      <c r="AJ29" s="259">
        <f t="shared" ref="AJ29:AU29" si="1">AJ28/(AB28+X28)-1</f>
        <v>0.114915844457342</v>
      </c>
      <c r="AK29" s="259">
        <f t="shared" si="1"/>
        <v>-0.392545136866628</v>
      </c>
      <c r="AL29" s="259">
        <f t="shared" si="1"/>
        <v>0.107204610951009</v>
      </c>
      <c r="AM29" s="259">
        <f t="shared" si="1"/>
        <v>0.818689501116902</v>
      </c>
      <c r="AN29" s="259">
        <f t="shared" si="1"/>
        <v>0.682162534435262</v>
      </c>
      <c r="AO29" s="259">
        <f t="shared" si="1"/>
        <v>1.42888950737545</v>
      </c>
      <c r="AP29" s="259">
        <f t="shared" si="1"/>
        <v>3.88255872063968</v>
      </c>
      <c r="AQ29" s="259">
        <f t="shared" si="1"/>
        <v>6.76940639269406</v>
      </c>
      <c r="AR29" s="259">
        <f t="shared" si="1"/>
        <v>2.78339128656167</v>
      </c>
      <c r="AS29" s="259">
        <f t="shared" si="1"/>
        <v>5.08589276418532</v>
      </c>
      <c r="AT29" s="259">
        <f t="shared" si="1"/>
        <v>5.57297850562948</v>
      </c>
      <c r="AU29" s="259">
        <f t="shared" si="1"/>
        <v>7.57297850562948</v>
      </c>
      <c r="AV29" s="259"/>
      <c r="AY29" s="286"/>
      <c r="AZ29" s="287"/>
      <c r="BA29" s="286"/>
      <c r="BB29" s="259"/>
      <c r="BC29" s="288"/>
      <c r="BD29" s="287"/>
      <c r="BF29" s="218"/>
    </row>
    <row r="30" hidden="1" outlineLevel="1" spans="3:65">
      <c r="C30" s="256" t="s">
        <v>1302</v>
      </c>
      <c r="D30" s="256"/>
      <c r="E30" s="256"/>
      <c r="F30" s="256"/>
      <c r="G30" s="256"/>
      <c r="H30" s="257">
        <f>Interim!DZ13</f>
        <v>0.22</v>
      </c>
      <c r="I30" s="257">
        <f>Interim!EA13</f>
        <v>0.2</v>
      </c>
      <c r="J30" s="257">
        <f>Interim!EB13</f>
        <v>0.21</v>
      </c>
      <c r="K30" s="257">
        <f>Interim!EC13</f>
        <v>0.21</v>
      </c>
      <c r="L30" s="257">
        <f>Interim!ED13</f>
        <v>0.21</v>
      </c>
      <c r="M30" s="257">
        <f>Interim!EE13</f>
        <v>0.18</v>
      </c>
      <c r="N30" s="257">
        <f>Interim!EG13</f>
        <v>0.2</v>
      </c>
      <c r="O30" s="257">
        <f>Interim!EH13</f>
        <v>0.16</v>
      </c>
      <c r="P30" s="257">
        <f>Interim!EI13</f>
        <v>0.161</v>
      </c>
      <c r="Q30" s="257">
        <f>Interim!EJ13</f>
        <v>0.162</v>
      </c>
      <c r="R30" s="257">
        <f>Interim!EK13</f>
        <v>0.146</v>
      </c>
      <c r="S30" s="257">
        <f>Interim!EL13</f>
        <v>0.156</v>
      </c>
      <c r="T30" s="257">
        <f>Interim!EM13</f>
        <v>0.092</v>
      </c>
      <c r="U30" s="257">
        <f>Interim!EN13</f>
        <v>0.118630618892508</v>
      </c>
      <c r="V30" s="258">
        <f>Interim!EP13</f>
        <v>0.065</v>
      </c>
      <c r="W30" s="258">
        <f>Interim!EQ13</f>
        <v>0.053</v>
      </c>
      <c r="X30" s="258">
        <f>Interim!ER13</f>
        <v>0.058</v>
      </c>
      <c r="Y30" s="258">
        <f>Interim!ES13</f>
        <v>0.056</v>
      </c>
      <c r="Z30" s="258">
        <f>Interim!ET13</f>
        <v>0.0574753111200321</v>
      </c>
      <c r="AA30" s="258">
        <f>Interim!EU13</f>
        <v>0.148</v>
      </c>
      <c r="AB30" s="258">
        <f>Interim!EV13</f>
        <v>0.100438116100767</v>
      </c>
      <c r="AC30" s="258">
        <f>Interim!EX13</f>
        <v>0.216</v>
      </c>
      <c r="AD30" s="258">
        <f>Interim!EY13</f>
        <v>0.221</v>
      </c>
      <c r="AE30" s="258">
        <f>Interim!EZ13</f>
        <v>0.218728130899937</v>
      </c>
      <c r="AF30" s="258">
        <f>Interim!FA13</f>
        <v>0.198</v>
      </c>
      <c r="AG30" s="259">
        <f>Interim!FB13</f>
        <v>0.211111863057325</v>
      </c>
      <c r="AH30" s="259">
        <v>0.201</v>
      </c>
      <c r="AI30" s="259"/>
      <c r="AJ30" s="259">
        <v>0.209</v>
      </c>
      <c r="AK30" s="259">
        <v>0.209</v>
      </c>
      <c r="AL30" s="259">
        <v>0.209</v>
      </c>
      <c r="AM30" s="259">
        <v>0.209</v>
      </c>
      <c r="AN30" s="259">
        <v>0.209</v>
      </c>
      <c r="AO30" s="259">
        <v>0.209</v>
      </c>
      <c r="AP30" s="259">
        <v>0.209</v>
      </c>
      <c r="AQ30" s="259">
        <v>0.209</v>
      </c>
      <c r="AR30" s="259">
        <v>0.209</v>
      </c>
      <c r="AS30" s="259">
        <v>0.209</v>
      </c>
      <c r="AT30" s="259">
        <v>0.209</v>
      </c>
      <c r="AU30" s="259">
        <v>0.209</v>
      </c>
      <c r="AV30" s="259"/>
      <c r="AY30" s="286"/>
      <c r="AZ30" s="287"/>
      <c r="BA30" s="286"/>
      <c r="BB30" s="259"/>
      <c r="BC30" s="288"/>
      <c r="BD30" s="287"/>
      <c r="BF30" s="218" t="s">
        <v>131</v>
      </c>
      <c r="BG30" s="218">
        <v>1022</v>
      </c>
    </row>
    <row r="31" hidden="1" outlineLevel="1" spans="3:65">
      <c r="C31" s="217" t="s">
        <v>60</v>
      </c>
      <c r="D31" s="217"/>
      <c r="E31" s="217"/>
      <c r="F31" s="217"/>
      <c r="G31" s="217"/>
      <c r="H31" s="246">
        <f>Interim!DZ5</f>
        <v>2320</v>
      </c>
      <c r="I31" s="246">
        <f>Interim!EA5</f>
        <v>1973</v>
      </c>
      <c r="J31" s="246">
        <f>Interim!EB5</f>
        <v>4293</v>
      </c>
      <c r="K31" s="246">
        <f>Interim!EC5</f>
        <v>2576</v>
      </c>
      <c r="L31" s="246">
        <f>Interim!ED5</f>
        <v>6869</v>
      </c>
      <c r="M31" s="246">
        <f>Interim!EE5</f>
        <v>2081</v>
      </c>
      <c r="N31" s="246">
        <f>Interim!EG5</f>
        <v>8950</v>
      </c>
      <c r="O31" s="246">
        <f>Interim!EH5</f>
        <v>2614</v>
      </c>
      <c r="P31" s="246">
        <f>Interim!EI5</f>
        <v>2113</v>
      </c>
      <c r="Q31" s="246">
        <f>Interim!EJ5</f>
        <v>4727</v>
      </c>
      <c r="R31" s="246">
        <f>Interim!EK5</f>
        <v>2743</v>
      </c>
      <c r="S31" s="246">
        <f>Interim!EL5</f>
        <v>7470</v>
      </c>
      <c r="T31" s="246">
        <f>Interim!EM5</f>
        <v>2063</v>
      </c>
      <c r="U31" s="246">
        <f>Interim!EN5</f>
        <v>4806</v>
      </c>
      <c r="V31" s="247">
        <f>Interim!EP5</f>
        <v>2481</v>
      </c>
      <c r="W31" s="247">
        <f>Interim!EQ5</f>
        <v>2014</v>
      </c>
      <c r="X31" s="247">
        <f>Interim!ER5</f>
        <v>4495</v>
      </c>
      <c r="Y31" s="247">
        <f>Interim!ES5</f>
        <v>2553</v>
      </c>
      <c r="Z31" s="247">
        <f>Interim!ET5</f>
        <v>7048</v>
      </c>
      <c r="AA31" s="247">
        <f>Interim!EU5</f>
        <v>2052</v>
      </c>
      <c r="AB31" s="247">
        <f>Interim!EV5</f>
        <v>4605</v>
      </c>
      <c r="AC31" s="247">
        <f>Interim!EX5</f>
        <v>2357</v>
      </c>
      <c r="AD31" s="247">
        <f>Interim!EY5</f>
        <v>2085</v>
      </c>
      <c r="AE31" s="247">
        <f>Interim!EZ5</f>
        <v>4442</v>
      </c>
      <c r="AF31" s="247">
        <f>Interim!FA5</f>
        <v>2717</v>
      </c>
      <c r="AG31" s="262">
        <f>Interim!FB5</f>
        <v>7159</v>
      </c>
      <c r="AH31" s="262">
        <v>2217</v>
      </c>
      <c r="AI31" s="262"/>
      <c r="AJ31" s="262">
        <f t="shared" ref="AJ31:AU31" si="2">AG31+AH31</f>
        <v>9376</v>
      </c>
      <c r="AK31" s="262">
        <f t="shared" si="2"/>
        <v>2217</v>
      </c>
      <c r="AL31" s="262">
        <f t="shared" si="2"/>
        <v>9376</v>
      </c>
      <c r="AM31" s="262">
        <f t="shared" si="2"/>
        <v>11593</v>
      </c>
      <c r="AN31" s="262">
        <f t="shared" si="2"/>
        <v>11593</v>
      </c>
      <c r="AO31" s="262">
        <f t="shared" si="2"/>
        <v>20969</v>
      </c>
      <c r="AP31" s="262">
        <f t="shared" si="2"/>
        <v>23186</v>
      </c>
      <c r="AQ31" s="262">
        <f t="shared" si="2"/>
        <v>32562</v>
      </c>
      <c r="AR31" s="262">
        <f t="shared" si="2"/>
        <v>44155</v>
      </c>
      <c r="AS31" s="262">
        <f t="shared" si="2"/>
        <v>55748</v>
      </c>
      <c r="AT31" s="262">
        <f t="shared" si="2"/>
        <v>76717</v>
      </c>
      <c r="AU31" s="262">
        <f t="shared" si="2"/>
        <v>99903</v>
      </c>
      <c r="AV31" s="262"/>
      <c r="AY31" s="290"/>
      <c r="AZ31" s="291"/>
      <c r="BA31" s="290"/>
      <c r="BB31" s="262"/>
      <c r="BC31" s="292"/>
      <c r="BD31" s="291"/>
      <c r="BF31" s="218" t="s">
        <v>113</v>
      </c>
      <c r="BG31" s="253"/>
    </row>
    <row r="32" hidden="1" outlineLevel="1" spans="3:65">
      <c r="C32" s="256" t="s">
        <v>113</v>
      </c>
      <c r="D32" s="256"/>
      <c r="E32" s="256"/>
      <c r="F32" s="256"/>
      <c r="G32" s="256"/>
      <c r="H32" s="257">
        <f>Interim!DZ6</f>
        <v>0.222339304531085</v>
      </c>
      <c r="I32" s="257">
        <f>Interim!EA6</f>
        <v>0.0233402489626555</v>
      </c>
      <c r="J32" s="257">
        <f>Interim!EB6</f>
        <v>0.122059592263461</v>
      </c>
      <c r="K32" s="257">
        <f>Interim!EC6</f>
        <v>0.0640231309376291</v>
      </c>
      <c r="L32" s="257">
        <f>Interim!ED6</f>
        <v>0.0995677925404195</v>
      </c>
      <c r="M32" s="257">
        <f>Interim!EE6</f>
        <v>0.0760082730093072</v>
      </c>
      <c r="N32" s="257">
        <f>Interim!EG6</f>
        <v>0.0939982887177606</v>
      </c>
      <c r="O32" s="257">
        <f>Interim!EH6</f>
        <v>0.126724137931034</v>
      </c>
      <c r="P32" s="257">
        <f>Interim!EI6</f>
        <v>0.0709579320831222</v>
      </c>
      <c r="Q32" s="257">
        <f>Interim!EJ6</f>
        <v>0.101094805497321</v>
      </c>
      <c r="R32" s="257">
        <f>Interim!EK6</f>
        <v>0.0648291925465838</v>
      </c>
      <c r="S32" s="257">
        <f>Interim!EL6</f>
        <v>0.0874945406900567</v>
      </c>
      <c r="T32" s="257">
        <f>Interim!EM6</f>
        <v>-0.00864968765016816</v>
      </c>
      <c r="U32" s="257">
        <f>Interim!EN6</f>
        <v>0.0319948464676831</v>
      </c>
      <c r="V32" s="258">
        <f>Interim!EP6</f>
        <v>-0.0508798775822494</v>
      </c>
      <c r="W32" s="258">
        <f>Interim!EQ6</f>
        <v>-0.0468528159015618</v>
      </c>
      <c r="X32" s="258">
        <f>Interim!ER6</f>
        <v>-0.049079754601227</v>
      </c>
      <c r="Y32" s="258">
        <f>Interim!ES6</f>
        <v>-0.0692672256653299</v>
      </c>
      <c r="Z32" s="258">
        <f>Interim!ET6</f>
        <v>-0.0564926372155288</v>
      </c>
      <c r="AA32" s="258">
        <f>Interim!EU6</f>
        <v>-0.00533204071740179</v>
      </c>
      <c r="AB32" s="258">
        <f>Interim!EV6</f>
        <v>-0.0418227215980025</v>
      </c>
      <c r="AC32" s="258">
        <f>Interim!EX6</f>
        <v>-0.0499798468359532</v>
      </c>
      <c r="AD32" s="258">
        <f>Interim!EY6</f>
        <v>0.035253227408143</v>
      </c>
      <c r="AE32" s="258">
        <f>Interim!EZ6</f>
        <v>-0.0117908787541713</v>
      </c>
      <c r="AF32" s="258">
        <f>Interim!FA6</f>
        <v>0.064238151194673</v>
      </c>
      <c r="AG32" s="259">
        <f>Interim!FB6</f>
        <v>0.0157491486946653</v>
      </c>
      <c r="AH32" s="259">
        <f>AH31/AA31-1</f>
        <v>0.0804093567251463</v>
      </c>
      <c r="AI32" s="259"/>
      <c r="AJ32" s="259">
        <f t="shared" ref="AJ32:AU32" si="3">AJ31/(AB31+X31)-1</f>
        <v>0.0303296703296703</v>
      </c>
      <c r="AK32" s="259">
        <f t="shared" si="3"/>
        <v>-0.54847250509165</v>
      </c>
      <c r="AL32" s="259">
        <f t="shared" si="3"/>
        <v>0.0266068104675352</v>
      </c>
      <c r="AM32" s="259">
        <f t="shared" si="3"/>
        <v>0.785186325839236</v>
      </c>
      <c r="AN32" s="259">
        <f t="shared" si="3"/>
        <v>0.583310570882273</v>
      </c>
      <c r="AO32" s="259">
        <f t="shared" si="3"/>
        <v>1.20355191256831</v>
      </c>
      <c r="AP32" s="259">
        <f t="shared" si="3"/>
        <v>4.38958623895862</v>
      </c>
      <c r="AQ32" s="259">
        <f t="shared" si="3"/>
        <v>6.33048176497073</v>
      </c>
      <c r="AR32" s="259">
        <f t="shared" si="3"/>
        <v>2.65128586785744</v>
      </c>
      <c r="AS32" s="259">
        <f t="shared" si="3"/>
        <v>4.94581911262799</v>
      </c>
      <c r="AT32" s="259">
        <f t="shared" si="3"/>
        <v>5.61752781851117</v>
      </c>
      <c r="AU32" s="259">
        <f t="shared" si="3"/>
        <v>7.61752781851117</v>
      </c>
      <c r="AV32" s="259"/>
      <c r="AY32" s="286"/>
      <c r="AZ32" s="287"/>
      <c r="BA32" s="286"/>
      <c r="BB32" s="259"/>
      <c r="BC32" s="288"/>
      <c r="BD32" s="287"/>
      <c r="BF32" s="218" t="s">
        <v>1309</v>
      </c>
      <c r="BG32" s="227">
        <f>BG30/BG26</f>
        <v>0.0658674916215519</v>
      </c>
    </row>
    <row r="33" hidden="1" outlineLevel="1" spans="3:59">
      <c r="C33" s="256" t="s">
        <v>1302</v>
      </c>
      <c r="D33" s="256"/>
      <c r="E33" s="256"/>
      <c r="F33" s="256"/>
      <c r="G33" s="256"/>
      <c r="H33" s="257">
        <f>Interim!DZ8</f>
        <v>0.18</v>
      </c>
      <c r="I33" s="257">
        <f>Interim!EA8</f>
        <v>0.06</v>
      </c>
      <c r="J33" s="257">
        <f>Interim!EB8</f>
        <v>0.13</v>
      </c>
      <c r="K33" s="257">
        <f>Interim!EC8</f>
        <v>0.1</v>
      </c>
      <c r="L33" s="257">
        <f>Interim!ED8</f>
        <v>0.12</v>
      </c>
      <c r="M33" s="257">
        <f>Interim!EE8</f>
        <v>0.09</v>
      </c>
      <c r="N33" s="257">
        <f>Interim!EG8</f>
        <v>0.11</v>
      </c>
      <c r="O33" s="257">
        <f>Interim!EH8</f>
        <v>0.1</v>
      </c>
      <c r="P33" s="257">
        <f>Interim!EI8</f>
        <v>0.01</v>
      </c>
      <c r="Q33" s="257">
        <f>Interim!EJ8</f>
        <v>0.06</v>
      </c>
      <c r="R33" s="257">
        <f>Interim!EK8</f>
        <v>0.004</v>
      </c>
      <c r="S33" s="257">
        <f>Interim!EL8</f>
        <v>0.039</v>
      </c>
      <c r="T33" s="257">
        <f>Interim!EM8</f>
        <v>-0.036</v>
      </c>
      <c r="U33" s="257">
        <f>Interim!EN8</f>
        <v>-0.0138741679192613</v>
      </c>
      <c r="V33" s="258">
        <f>Interim!EP8</f>
        <v>-0.032</v>
      </c>
      <c r="W33" s="258">
        <f>Interim!EQ8</f>
        <v>-0.01</v>
      </c>
      <c r="X33" s="258">
        <f>Interim!ER8</f>
        <v>-0.022</v>
      </c>
      <c r="Y33" s="258">
        <f>Interim!ES8</f>
        <v>-0.008</v>
      </c>
      <c r="Z33" s="258">
        <f>Interim!ET8</f>
        <v>-0.0169641231593039</v>
      </c>
      <c r="AA33" s="258">
        <f>Interim!EU8</f>
        <v>0.079</v>
      </c>
      <c r="AB33" s="258">
        <f>Interim!EV8</f>
        <v>0.0293451935081149</v>
      </c>
      <c r="AC33" s="258">
        <f>Interim!EX8</f>
        <v>0.006</v>
      </c>
      <c r="AD33" s="258">
        <f>Interim!EY8</f>
        <v>0.101</v>
      </c>
      <c r="AE33" s="258">
        <f>Interim!EZ8</f>
        <v>0.0485650723025584</v>
      </c>
      <c r="AF33" s="258">
        <f>Interim!FA8</f>
        <v>0.085</v>
      </c>
      <c r="AG33" s="259">
        <f>Interim!FB8</f>
        <v>0.0617629114642452</v>
      </c>
      <c r="AH33" s="259">
        <v>0.053</v>
      </c>
      <c r="AI33" s="259"/>
      <c r="AJ33" s="259">
        <v>0.06</v>
      </c>
      <c r="AK33" s="259">
        <v>0.06</v>
      </c>
      <c r="AL33" s="259">
        <v>0.06</v>
      </c>
      <c r="AM33" s="259">
        <v>0.06</v>
      </c>
      <c r="AN33" s="259">
        <v>0.06</v>
      </c>
      <c r="AO33" s="259">
        <v>0.06</v>
      </c>
      <c r="AP33" s="259">
        <v>0.06</v>
      </c>
      <c r="AQ33" s="259">
        <v>0.06</v>
      </c>
      <c r="AR33" s="259">
        <v>0.06</v>
      </c>
      <c r="AS33" s="259">
        <v>0.06</v>
      </c>
      <c r="AT33" s="259">
        <v>0.06</v>
      </c>
      <c r="AU33" s="259">
        <v>0.06</v>
      </c>
      <c r="AV33" s="259"/>
      <c r="AY33" s="286"/>
      <c r="AZ33" s="287"/>
      <c r="BA33" s="286"/>
      <c r="BB33" s="259"/>
      <c r="BC33" s="288"/>
      <c r="BD33" s="287"/>
      <c r="BF33" s="218"/>
    </row>
    <row r="34" hidden="1" outlineLevel="1" spans="3:59">
      <c r="C34" s="217" t="s">
        <v>767</v>
      </c>
      <c r="D34" s="217"/>
      <c r="E34" s="217"/>
      <c r="F34" s="217"/>
      <c r="G34" s="217"/>
      <c r="H34" s="246">
        <f>Interim!DZ21</f>
        <v>376</v>
      </c>
      <c r="I34" s="246">
        <f>Interim!EA21</f>
        <v>410</v>
      </c>
      <c r="J34" s="246">
        <f>Interim!EB21</f>
        <v>786</v>
      </c>
      <c r="K34" s="246">
        <f>Interim!EC21</f>
        <v>411</v>
      </c>
      <c r="L34" s="246">
        <f>Interim!ED21</f>
        <v>1197</v>
      </c>
      <c r="M34" s="246">
        <f>Interim!EE21</f>
        <v>382</v>
      </c>
      <c r="N34" s="246">
        <f>Interim!EG21</f>
        <v>1580</v>
      </c>
      <c r="O34" s="246">
        <f>Interim!EH21</f>
        <v>517</v>
      </c>
      <c r="P34" s="246">
        <f>Interim!EI21</f>
        <v>550</v>
      </c>
      <c r="Q34" s="246">
        <f>Interim!EJ21</f>
        <v>1067</v>
      </c>
      <c r="R34" s="246">
        <f>Interim!EK21</f>
        <v>486</v>
      </c>
      <c r="S34" s="246">
        <f>Interim!EL21</f>
        <v>1553</v>
      </c>
      <c r="T34" s="246">
        <f>Interim!EM21</f>
        <v>424</v>
      </c>
      <c r="U34" s="246">
        <f>Interim!EN21</f>
        <v>910</v>
      </c>
      <c r="V34" s="247">
        <f>Interim!EP21</f>
        <v>548</v>
      </c>
      <c r="W34" s="247">
        <f>Interim!EQ21</f>
        <v>502</v>
      </c>
      <c r="X34" s="247">
        <f>Interim!ER21</f>
        <v>1050</v>
      </c>
      <c r="Y34" s="247">
        <f>Interim!ES21</f>
        <v>403</v>
      </c>
      <c r="Z34" s="247">
        <f>Interim!ET21</f>
        <v>1453</v>
      </c>
      <c r="AA34" s="247">
        <f>Interim!EU21</f>
        <v>493</v>
      </c>
      <c r="AB34" s="247">
        <f>Interim!EV21</f>
        <v>896</v>
      </c>
      <c r="AC34" s="247">
        <f>Interim!EX21</f>
        <v>382</v>
      </c>
      <c r="AD34" s="247">
        <f>Interim!EY21</f>
        <v>422</v>
      </c>
      <c r="AE34" s="247">
        <f>Interim!EZ21</f>
        <v>804</v>
      </c>
      <c r="AF34" s="247">
        <f>Interim!FA21</f>
        <v>354</v>
      </c>
      <c r="AG34" s="262">
        <f>Interim!FB21</f>
        <v>1158</v>
      </c>
      <c r="AH34" s="262">
        <v>350</v>
      </c>
      <c r="AI34" s="262"/>
      <c r="AJ34" s="262">
        <f t="shared" ref="AJ34:AU34" si="4">AG34+AH34</f>
        <v>1508</v>
      </c>
      <c r="AK34" s="262">
        <f t="shared" si="4"/>
        <v>350</v>
      </c>
      <c r="AL34" s="262">
        <f t="shared" si="4"/>
        <v>1508</v>
      </c>
      <c r="AM34" s="262">
        <f t="shared" si="4"/>
        <v>1858</v>
      </c>
      <c r="AN34" s="262">
        <f t="shared" si="4"/>
        <v>1858</v>
      </c>
      <c r="AO34" s="262">
        <f t="shared" si="4"/>
        <v>3366</v>
      </c>
      <c r="AP34" s="262">
        <f t="shared" si="4"/>
        <v>3716</v>
      </c>
      <c r="AQ34" s="262">
        <f t="shared" si="4"/>
        <v>5224</v>
      </c>
      <c r="AR34" s="262">
        <f t="shared" si="4"/>
        <v>7082</v>
      </c>
      <c r="AS34" s="262">
        <f t="shared" si="4"/>
        <v>8940</v>
      </c>
      <c r="AT34" s="262">
        <f t="shared" si="4"/>
        <v>12306</v>
      </c>
      <c r="AU34" s="262">
        <f t="shared" si="4"/>
        <v>16022</v>
      </c>
      <c r="AV34" s="262"/>
      <c r="AY34" s="290"/>
      <c r="AZ34" s="291"/>
      <c r="BA34" s="290"/>
      <c r="BB34" s="262"/>
      <c r="BC34" s="292"/>
      <c r="BD34" s="291"/>
      <c r="BF34" s="218" t="s">
        <v>168</v>
      </c>
      <c r="BG34" s="218">
        <v>684</v>
      </c>
    </row>
    <row r="35" hidden="1" outlineLevel="1" spans="3:59">
      <c r="C35" s="256" t="s">
        <v>113</v>
      </c>
      <c r="D35" s="256"/>
      <c r="E35" s="256"/>
      <c r="F35" s="256"/>
      <c r="G35" s="256"/>
      <c r="H35" s="257">
        <f>Interim!DZ22</f>
        <v>0.189873417721519</v>
      </c>
      <c r="I35" s="257">
        <f>Interim!EA22</f>
        <v>0.0594315245478036</v>
      </c>
      <c r="J35" s="257">
        <f>Interim!EB22</f>
        <v>0.118065433854908</v>
      </c>
      <c r="K35" s="257">
        <f>Interim!EC22</f>
        <v>0.0759162303664922</v>
      </c>
      <c r="L35" s="257">
        <f>Interim!ED22</f>
        <v>0.103225806451613</v>
      </c>
      <c r="M35" s="257">
        <f>Interim!EE22</f>
        <v>0.140298507462687</v>
      </c>
      <c r="N35" s="257">
        <f>Interim!EG22</f>
        <v>0.112676056338028</v>
      </c>
      <c r="O35" s="257">
        <f>Interim!EH22</f>
        <v>0.375</v>
      </c>
      <c r="P35" s="257">
        <f>Interim!EI22</f>
        <v>0.341463414634146</v>
      </c>
      <c r="Q35" s="257">
        <f>Interim!EJ22</f>
        <v>0.357506361323155</v>
      </c>
      <c r="R35" s="257">
        <f>Interim!EK22</f>
        <v>0.182481751824818</v>
      </c>
      <c r="S35" s="257">
        <f>Interim!EL22</f>
        <v>0.297410192147034</v>
      </c>
      <c r="T35" s="257">
        <f>Interim!EM22</f>
        <v>0.109947643979058</v>
      </c>
      <c r="U35" s="257">
        <f>Interim!EN22</f>
        <v>0.146095717884131</v>
      </c>
      <c r="V35" s="258">
        <f>Interim!EP22</f>
        <v>0.0599613152804641</v>
      </c>
      <c r="W35" s="258">
        <f>Interim!EQ22</f>
        <v>-0.0872727272727273</v>
      </c>
      <c r="X35" s="258">
        <f>Interim!ER22</f>
        <v>-0.0159325210871603</v>
      </c>
      <c r="Y35" s="258">
        <f>Interim!ES22</f>
        <v>-0.170781893004115</v>
      </c>
      <c r="Z35" s="258">
        <f>Interim!ET22</f>
        <v>-0.0643915003219575</v>
      </c>
      <c r="AA35" s="258">
        <f>Interim!EU22</f>
        <v>0.162735849056604</v>
      </c>
      <c r="AB35" s="258">
        <f>Interim!EV22</f>
        <v>-0.0153846153846153</v>
      </c>
      <c r="AC35" s="258">
        <f>Interim!EX22</f>
        <v>-0.302919708029197</v>
      </c>
      <c r="AD35" s="258">
        <f>Interim!EY22</f>
        <v>-0.159362549800797</v>
      </c>
      <c r="AE35" s="258">
        <f>Interim!EZ22</f>
        <v>-0.234285714285714</v>
      </c>
      <c r="AF35" s="258">
        <f>Interim!FA22</f>
        <v>-0.121588089330025</v>
      </c>
      <c r="AG35" s="259">
        <f>Interim!FB22</f>
        <v>-0.203028217481074</v>
      </c>
      <c r="AH35" s="259">
        <f>AH34/AA34-1</f>
        <v>-0.290060851926978</v>
      </c>
      <c r="AI35" s="259"/>
      <c r="AJ35" s="259">
        <f t="shared" ref="AJ35:AU35" si="5">AJ34/(AB34+X34)-1</f>
        <v>-0.225077081192189</v>
      </c>
      <c r="AK35" s="259">
        <f t="shared" si="5"/>
        <v>-0.554140127388535</v>
      </c>
      <c r="AL35" s="259">
        <f t="shared" si="5"/>
        <v>-0.195733333333333</v>
      </c>
      <c r="AM35" s="259">
        <f t="shared" si="5"/>
        <v>0.432536622976099</v>
      </c>
      <c r="AN35" s="259">
        <f t="shared" si="5"/>
        <v>0.4864</v>
      </c>
      <c r="AO35" s="259">
        <f t="shared" si="5"/>
        <v>1.18571428571429</v>
      </c>
      <c r="AP35" s="259">
        <f t="shared" si="5"/>
        <v>3.81347150259067</v>
      </c>
      <c r="AQ35" s="259">
        <f t="shared" si="5"/>
        <v>5.49751243781095</v>
      </c>
      <c r="AR35" s="259">
        <f t="shared" si="5"/>
        <v>2.80343716433942</v>
      </c>
      <c r="AS35" s="259">
        <f t="shared" si="5"/>
        <v>4.92838196286472</v>
      </c>
      <c r="AT35" s="259">
        <f t="shared" si="5"/>
        <v>5.6232508073197</v>
      </c>
      <c r="AU35" s="259">
        <f t="shared" si="5"/>
        <v>7.6232508073197</v>
      </c>
      <c r="AV35" s="259"/>
      <c r="AY35" s="286"/>
      <c r="AZ35" s="287"/>
      <c r="BA35" s="286"/>
      <c r="BB35" s="259"/>
      <c r="BC35" s="288"/>
      <c r="BD35" s="287"/>
      <c r="BF35" s="218"/>
    </row>
    <row r="36" ht="15.95" hidden="1" outlineLevel="1" spans="3:59">
      <c r="C36" s="256" t="s">
        <v>1302</v>
      </c>
      <c r="D36" s="256"/>
      <c r="E36" s="256"/>
      <c r="F36" s="256"/>
      <c r="G36" s="256"/>
      <c r="H36" s="257">
        <f>Interim!DZ24</f>
        <v>0.14</v>
      </c>
      <c r="I36" s="257">
        <f>Interim!EA24</f>
        <v>0.12</v>
      </c>
      <c r="J36" s="257">
        <f>Interim!EB24</f>
        <v>0.13</v>
      </c>
      <c r="K36" s="257">
        <f>Interim!EC24</f>
        <v>0.13</v>
      </c>
      <c r="L36" s="257">
        <f>Interim!ED24</f>
        <v>0.13</v>
      </c>
      <c r="M36" s="257">
        <f>Interim!EE24</f>
        <v>0.12</v>
      </c>
      <c r="N36" s="257">
        <f>Interim!EG24</f>
        <v>0.13</v>
      </c>
      <c r="O36" s="257">
        <f>Interim!EH24</f>
        <v>0.32</v>
      </c>
      <c r="P36" s="257">
        <f>Interim!EI24</f>
        <v>0.222</v>
      </c>
      <c r="Q36" s="257">
        <f>Interim!EJ24</f>
        <v>0.27</v>
      </c>
      <c r="R36" s="257">
        <f>Interim!EK24</f>
        <v>0.07</v>
      </c>
      <c r="S36" s="257">
        <f>Interim!EL24</f>
        <v>0.198</v>
      </c>
      <c r="T36" s="257">
        <f>Interim!EM24</f>
        <v>0.068</v>
      </c>
      <c r="U36" s="257">
        <f>Interim!EN24</f>
        <v>0.0689496221662469</v>
      </c>
      <c r="V36" s="258">
        <f>Interim!EP24</f>
        <v>0.087</v>
      </c>
      <c r="W36" s="258">
        <f>Interim!EQ24</f>
        <v>-0.045</v>
      </c>
      <c r="X36" s="258">
        <f>Interim!ER24</f>
        <v>0.02</v>
      </c>
      <c r="Y36" s="258">
        <f>Interim!ES24</f>
        <v>-0.086</v>
      </c>
      <c r="Z36" s="258">
        <f>Interim!ET24</f>
        <v>-0.0138873148744366</v>
      </c>
      <c r="AA36" s="258">
        <f>Interim!EU24</f>
        <v>0.278</v>
      </c>
      <c r="AB36" s="258">
        <f>Interim!EV24</f>
        <v>0.0836</v>
      </c>
      <c r="AC36" s="258">
        <f>Interim!EX24</f>
        <v>-0.267</v>
      </c>
      <c r="AD36" s="258">
        <f>Interim!EY24</f>
        <v>-0.114</v>
      </c>
      <c r="AE36" s="258">
        <f>Interim!EZ24</f>
        <v>-0.193851428571429</v>
      </c>
      <c r="AF36" s="258">
        <f>Interim!FA24</f>
        <v>-0.121</v>
      </c>
      <c r="AG36" s="259">
        <f>Interim!FB24</f>
        <v>-0.173645560908465</v>
      </c>
      <c r="AH36" s="259">
        <v>-0.165</v>
      </c>
      <c r="AI36" s="259"/>
      <c r="AJ36" s="259">
        <v>-0.191</v>
      </c>
      <c r="AK36" s="259">
        <v>-0.191</v>
      </c>
      <c r="AL36" s="259">
        <v>-0.191</v>
      </c>
      <c r="AM36" s="259">
        <v>-0.191</v>
      </c>
      <c r="AN36" s="259">
        <v>-0.191</v>
      </c>
      <c r="AO36" s="259">
        <v>-0.191</v>
      </c>
      <c r="AP36" s="259">
        <v>-0.191</v>
      </c>
      <c r="AQ36" s="259">
        <v>-0.191</v>
      </c>
      <c r="AR36" s="259">
        <v>-0.191</v>
      </c>
      <c r="AS36" s="259">
        <v>-0.191</v>
      </c>
      <c r="AT36" s="259">
        <v>-0.191</v>
      </c>
      <c r="AU36" s="259">
        <v>-0.191</v>
      </c>
      <c r="AV36" s="259"/>
      <c r="AY36" s="286"/>
      <c r="AZ36" s="287"/>
      <c r="BA36" s="286"/>
      <c r="BB36" s="259"/>
      <c r="BC36" s="288"/>
      <c r="BD36" s="287"/>
      <c r="BF36" s="218"/>
    </row>
    <row r="37" ht="12.75" customHeight="1" collapsed="1" spans="3:59">
      <c r="C37" s="147" t="s">
        <v>146</v>
      </c>
      <c r="D37" s="147">
        <f>Interim!DR395</f>
        <v>1299.564</v>
      </c>
      <c r="E37" s="147">
        <f>Interim!DS395</f>
        <v>1426.413</v>
      </c>
      <c r="F37" s="147">
        <f>Interim!DU395</f>
        <v>1640.364</v>
      </c>
      <c r="G37" s="147">
        <f>Interim!DW395</f>
        <v>1362.044</v>
      </c>
      <c r="H37" s="293">
        <f>Interim!DZ395</f>
        <v>1587.405</v>
      </c>
      <c r="I37" s="293">
        <f>Interim!EA395</f>
        <v>1506</v>
      </c>
      <c r="J37" s="293">
        <f>Interim!EB395</f>
        <v>3093.405</v>
      </c>
      <c r="K37" s="293">
        <f>Interim!EC395</f>
        <v>1762</v>
      </c>
      <c r="L37" s="293">
        <f>Interim!ED395</f>
        <v>4855.405</v>
      </c>
      <c r="M37" s="293">
        <f>Interim!EE395</f>
        <v>1478</v>
      </c>
      <c r="N37" s="293">
        <f>Interim!EG395</f>
        <v>6344</v>
      </c>
      <c r="O37" s="293">
        <f>Interim!EH395</f>
        <v>1826</v>
      </c>
      <c r="P37" s="293">
        <f>Interim!EI395</f>
        <v>1697</v>
      </c>
      <c r="Q37" s="293">
        <f>Interim!EJ395</f>
        <v>3523</v>
      </c>
      <c r="R37" s="293">
        <f>Interim!EK395</f>
        <v>1978</v>
      </c>
      <c r="S37" s="293">
        <f>Interim!EL395</f>
        <v>5501</v>
      </c>
      <c r="T37" s="293">
        <f>Interim!EM395</f>
        <v>1603</v>
      </c>
      <c r="U37" s="293">
        <f>Interim!EN395</f>
        <v>3581</v>
      </c>
      <c r="V37" s="294">
        <f>Interim!EP395</f>
        <v>1881</v>
      </c>
      <c r="W37" s="294">
        <f>Interim!EQ395</f>
        <v>1694</v>
      </c>
      <c r="X37" s="294">
        <f>Interim!ER395</f>
        <v>3575</v>
      </c>
      <c r="Y37" s="294">
        <f>Interim!ES395</f>
        <v>1913</v>
      </c>
      <c r="Z37" s="294">
        <f>Interim!ET395</f>
        <v>5488</v>
      </c>
      <c r="AA37" s="294">
        <f>Interim!EU395</f>
        <v>1652</v>
      </c>
      <c r="AB37" s="294">
        <f>Interim!EV395</f>
        <v>3565</v>
      </c>
      <c r="AC37" s="294">
        <f>Interim!EX395</f>
        <v>1712</v>
      </c>
      <c r="AD37" s="294">
        <f>Interim!EY395</f>
        <v>1673</v>
      </c>
      <c r="AE37" s="294">
        <f>Interim!EZ395</f>
        <v>3385</v>
      </c>
      <c r="AF37" s="294">
        <f>Interim!FA395</f>
        <v>1918</v>
      </c>
      <c r="AG37" s="294">
        <f>Interim!FB395</f>
        <v>5303</v>
      </c>
      <c r="AH37" s="294">
        <f>Interim!FC395</f>
        <v>1621</v>
      </c>
      <c r="AI37" s="294">
        <f>Interim!FD395</f>
        <v>3539</v>
      </c>
      <c r="AJ37" s="294">
        <f>Interim!FE395</f>
        <v>6924</v>
      </c>
      <c r="AK37" s="294">
        <f>Interim!FF395</f>
        <v>2008</v>
      </c>
      <c r="AL37" s="294">
        <f>Interim!FG395</f>
        <v>1889</v>
      </c>
      <c r="AM37" s="294">
        <f>Interim!FH395</f>
        <v>3897</v>
      </c>
      <c r="AN37" s="294">
        <f>Interim!FI395</f>
        <v>2304</v>
      </c>
      <c r="AO37" s="295">
        <f>Interim!FJ395</f>
        <v>6201</v>
      </c>
      <c r="AP37" s="294">
        <f>Interim!FK395</f>
        <v>1967</v>
      </c>
      <c r="AQ37" s="295">
        <f>Interim!FL395</f>
        <v>4271</v>
      </c>
      <c r="AR37" s="295">
        <f>Interim!FM395</f>
        <v>8168</v>
      </c>
      <c r="AS37" s="294">
        <f>Interim!FN395</f>
        <v>2358</v>
      </c>
      <c r="AT37" s="294">
        <f>Interim!FO395</f>
        <v>2159</v>
      </c>
      <c r="AU37" s="294">
        <f>Interim!FP395</f>
        <v>4517</v>
      </c>
      <c r="AV37" s="295">
        <f>Interim!FQ395</f>
        <v>2574</v>
      </c>
      <c r="AW37" s="277">
        <f>AX37-AS37-AT37-AV37</f>
        <v>2160.5</v>
      </c>
      <c r="AX37" s="277">
        <v>9251.5</v>
      </c>
      <c r="AY37" s="279"/>
      <c r="AZ37" s="280"/>
      <c r="BA37" s="294">
        <v>2123</v>
      </c>
      <c r="BB37" s="296">
        <f>AM37+BA37</f>
        <v>6020</v>
      </c>
      <c r="BC37" s="279">
        <f>AT37/BA37-1</f>
        <v>0.0169571361281207</v>
      </c>
      <c r="BD37" s="297">
        <f>AO37/BB37-1</f>
        <v>0.0300664451827242</v>
      </c>
      <c r="BE37" s="282" t="s">
        <v>1310</v>
      </c>
    </row>
    <row r="38" ht="12.75" customHeight="1" spans="3:59">
      <c r="C38" s="256" t="s">
        <v>113</v>
      </c>
      <c r="D38">
        <f>Interim!DR396</f>
        <v>0.115693284020316</v>
      </c>
      <c r="E38">
        <f>Interim!DS396</f>
        <v>0.290112603445937</v>
      </c>
      <c r="F38">
        <f>Interim!DU396</f>
        <v>0.253847847223496</v>
      </c>
      <c r="G38">
        <f>Interim!DW396</f>
        <v>0.199408944730344</v>
      </c>
      <c r="H38" s="257">
        <f>Interim!DZ396</f>
        <v>0.221490438331625</v>
      </c>
      <c r="I38" s="257">
        <f>Interim!EA396</f>
        <v>0.0557952009691443</v>
      </c>
      <c r="J38" s="257">
        <f>Interim!EB396</f>
        <v>0.133979368896448</v>
      </c>
      <c r="K38" s="257">
        <f>Interim!EC396</f>
        <v>0.0741518345928101</v>
      </c>
      <c r="L38" s="257">
        <f>Interim!ED396</f>
        <v>0.112105802257283</v>
      </c>
      <c r="M38" s="257">
        <f>Interim!EE396</f>
        <v>0.0851338135919253</v>
      </c>
      <c r="N38" s="257">
        <f>Interim!EG396</f>
        <v>0.107541899441341</v>
      </c>
      <c r="O38" s="257">
        <f>Interim!EH396</f>
        <v>0.150305057625496</v>
      </c>
      <c r="P38" s="257">
        <f>Interim!EI396</f>
        <v>0.126826029216468</v>
      </c>
      <c r="Q38" s="257">
        <f>Interim!EJ396</f>
        <v>0.138874476507279</v>
      </c>
      <c r="R38" s="257">
        <f>Interim!EK396</f>
        <v>0.122587968217934</v>
      </c>
      <c r="S38" s="257">
        <f>Interim!EL396</f>
        <v>0.132964191452618</v>
      </c>
      <c r="T38" s="257">
        <f>Interim!EM396</f>
        <v>0.0845737483085249</v>
      </c>
      <c r="U38" s="257">
        <f>Interim!EN396</f>
        <v>0.101644468166597</v>
      </c>
      <c r="V38" s="258">
        <f>Interim!EP396</f>
        <v>0.0301204819277108</v>
      </c>
      <c r="W38" s="258">
        <f>Interim!EQ396</f>
        <v>-0.00176782557454336</v>
      </c>
      <c r="X38" s="258">
        <f>Interim!ER396</f>
        <v>0.014760147601476</v>
      </c>
      <c r="Y38" s="258">
        <f>Interim!ES396</f>
        <v>-0.0328614762386249</v>
      </c>
      <c r="Z38" s="258">
        <f>Interim!ET396</f>
        <v>-0.00236320668969281</v>
      </c>
      <c r="AA38" s="258">
        <f>Interim!EU396</f>
        <v>0.0305676855895196</v>
      </c>
      <c r="AB38" s="258">
        <f>Interim!EV396</f>
        <v>-0.00446802569114768</v>
      </c>
      <c r="AC38" s="258">
        <f>Interim!EX396</f>
        <v>-0.089845826687932</v>
      </c>
      <c r="AD38" s="258">
        <f>Interim!EY396</f>
        <v>-0.012396694214876</v>
      </c>
      <c r="AE38" s="258">
        <f>Interim!EZ396</f>
        <v>-0.0531468531468532</v>
      </c>
      <c r="AF38" s="258">
        <f>Interim!FA396</f>
        <v>0.00261369576581294</v>
      </c>
      <c r="AG38" s="259">
        <f>Interim!FB396</f>
        <v>-0.0337099125364432</v>
      </c>
      <c r="AH38" s="259">
        <f>Interim!FC396</f>
        <v>-0.0187651331719129</v>
      </c>
      <c r="AI38" s="259">
        <f>Interim!FD396</f>
        <v>-0.00729312762973355</v>
      </c>
      <c r="AJ38" s="259">
        <f>Interim!FE396</f>
        <v>-0.0302521008403361</v>
      </c>
      <c r="AK38" s="259">
        <f>Interim!FF396</f>
        <v>0.172897196261682</v>
      </c>
      <c r="AL38" s="259">
        <f>Interim!FG396</f>
        <v>0.12910938433951</v>
      </c>
      <c r="AM38" s="259">
        <f>Interim!FH396</f>
        <v>0.151255539143279</v>
      </c>
      <c r="AN38" s="259">
        <f>Interim!FI396</f>
        <v>0.201251303441085</v>
      </c>
      <c r="AO38" s="259">
        <f>Interim!FJ396</f>
        <v>0.169338110503489</v>
      </c>
      <c r="AP38" s="259">
        <f>Interim!FK396</f>
        <v>0.213448488587292</v>
      </c>
      <c r="AQ38" s="259">
        <f>Interim!FL396</f>
        <v>0.206838089855891</v>
      </c>
      <c r="AR38" s="259">
        <f>Interim!FM396</f>
        <v>0.179664933564414</v>
      </c>
      <c r="AS38" s="259">
        <f>AS37/AK37-1</f>
        <v>0.174302788844622</v>
      </c>
      <c r="AT38" s="259">
        <f>AT37/AL37-1</f>
        <v>0.142932768660667</v>
      </c>
      <c r="AU38" s="259">
        <f>AU37/AM37-1</f>
        <v>0.159096741082884</v>
      </c>
      <c r="AV38" s="259">
        <f>AV37/AN37-1</f>
        <v>0.1171875</v>
      </c>
      <c r="AW38" s="258">
        <f>AW37/AP37-1</f>
        <v>0.0983731570920183</v>
      </c>
      <c r="AX38" s="258">
        <f>AX37/AR37-1</f>
        <v>0.13265181194907</v>
      </c>
      <c r="AY38" s="286"/>
      <c r="AZ38" s="287"/>
      <c r="BA38" s="286">
        <f>BA37/AL37-1</f>
        <v>0.123875066172578</v>
      </c>
      <c r="BB38" s="259">
        <f>BB37/Interim!FB395-1</f>
        <v>0.135206486894211</v>
      </c>
      <c r="BC38" s="288"/>
      <c r="BD38" s="287"/>
      <c r="BF38" s="218"/>
    </row>
    <row r="39" ht="12.75" customHeight="1" spans="3:59">
      <c r="C39" s="298" t="s">
        <v>1311</v>
      </c>
      <c r="D39">
        <f>Interim!DR397</f>
        <v>0.486</v>
      </c>
      <c r="E39">
        <f>Interim!DS397</f>
        <v>0.489</v>
      </c>
      <c r="F39">
        <f>Interim!DU397</f>
        <v>0.473</v>
      </c>
      <c r="G39">
        <f>Interim!DW397</f>
        <v>0.464544338335607</v>
      </c>
      <c r="H39" s="257">
        <f>Interim!DZ397</f>
        <v>0.485</v>
      </c>
      <c r="I39" s="257">
        <f>Interim!EA397</f>
        <v>0.492</v>
      </c>
      <c r="J39" s="257">
        <f>Interim!EB397</f>
        <v>0.488149755404766</v>
      </c>
      <c r="K39" s="257">
        <f>Interim!EC397</f>
        <v>0.470619658119658</v>
      </c>
      <c r="L39" s="257">
        <f>Interim!ED397</f>
        <v>0.481639222299375</v>
      </c>
      <c r="M39" s="257">
        <f>Interim!EE397</f>
        <v>0.456032088861463</v>
      </c>
      <c r="N39" s="257">
        <f>Interim!EG397</f>
        <v>0.476204774057949</v>
      </c>
      <c r="O39" s="257">
        <f t="shared" ref="O39:AC39" si="6">+O37/O25</f>
        <v>0.477510460251046</v>
      </c>
      <c r="P39" s="257">
        <f t="shared" si="6"/>
        <v>0.482513505828831</v>
      </c>
      <c r="Q39" s="257">
        <f t="shared" si="6"/>
        <v>0.479907369568179</v>
      </c>
      <c r="R39" s="257">
        <f t="shared" si="6"/>
        <v>0.473999520728493</v>
      </c>
      <c r="S39" s="257">
        <f t="shared" si="6"/>
        <v>0.477766197672399</v>
      </c>
      <c r="T39" s="257">
        <f t="shared" si="6"/>
        <v>0.475808845354705</v>
      </c>
      <c r="U39" s="257">
        <f t="shared" si="6"/>
        <v>0.474807743304163</v>
      </c>
      <c r="V39" s="258">
        <f t="shared" si="6"/>
        <v>0.501466275659824</v>
      </c>
      <c r="W39" s="258">
        <f t="shared" si="6"/>
        <v>0.500738989062962</v>
      </c>
      <c r="X39" s="258">
        <f t="shared" si="6"/>
        <v>0.50112139052425</v>
      </c>
      <c r="Y39" s="258">
        <f t="shared" si="6"/>
        <v>0.493168342356277</v>
      </c>
      <c r="Z39" s="258">
        <f t="shared" si="6"/>
        <v>0.498320167075275</v>
      </c>
      <c r="AA39" s="258">
        <f t="shared" si="6"/>
        <v>0.474849094567404</v>
      </c>
      <c r="AB39" s="258">
        <f t="shared" si="6"/>
        <v>0.48450665941832</v>
      </c>
      <c r="AC39" s="258">
        <f t="shared" si="6"/>
        <v>0.491812697500718</v>
      </c>
      <c r="AD39" s="258">
        <f t="shared" ref="AD39:AM39" si="7">+AD37/AD25</f>
        <v>0.492348440258976</v>
      </c>
      <c r="AE39" s="258">
        <f t="shared" si="7"/>
        <v>0.492077336822213</v>
      </c>
      <c r="AF39" s="258">
        <f t="shared" si="7"/>
        <v>0.474282888229476</v>
      </c>
      <c r="AG39" s="259">
        <f t="shared" si="7"/>
        <v>0.485489334431933</v>
      </c>
      <c r="AH39" s="259">
        <f t="shared" si="7"/>
        <v>0.449030470914127</v>
      </c>
      <c r="AI39" s="259">
        <f t="shared" si="7"/>
        <v>0.462372615625817</v>
      </c>
      <c r="AJ39" s="259">
        <f t="shared" si="7"/>
        <v>0.476432945709764</v>
      </c>
      <c r="AK39" s="259">
        <f t="shared" si="7"/>
        <v>0.491795248591722</v>
      </c>
      <c r="AL39" s="259">
        <f t="shared" si="7"/>
        <v>0.483491169695418</v>
      </c>
      <c r="AM39" s="259">
        <f t="shared" si="7"/>
        <v>0.487734668335419</v>
      </c>
      <c r="AN39" s="259">
        <f t="shared" ref="AN39:AU39" si="8">+AN37/AN25</f>
        <v>0.484338869035106</v>
      </c>
      <c r="AO39" s="259">
        <f t="shared" si="8"/>
        <v>0.486467404095081</v>
      </c>
      <c r="AP39" s="259">
        <f t="shared" si="8"/>
        <v>0.471928982725528</v>
      </c>
      <c r="AQ39" s="259">
        <f t="shared" si="8"/>
        <v>0.478543417366947</v>
      </c>
      <c r="AR39" s="259">
        <f t="shared" si="8"/>
        <v>0.482885013301803</v>
      </c>
      <c r="AS39" s="259">
        <f t="shared" si="8"/>
        <v>0.494443279513525</v>
      </c>
      <c r="AT39" s="259">
        <f t="shared" si="8"/>
        <v>0.488130228351797</v>
      </c>
      <c r="AU39" s="259">
        <f t="shared" si="8"/>
        <v>0.491405570060923</v>
      </c>
      <c r="AV39" s="259">
        <f>AV37/AV25</f>
        <v>0.475609756097561</v>
      </c>
      <c r="AW39" s="258">
        <f>AW37/AW25</f>
        <v>0.4645737017525</v>
      </c>
      <c r="AX39" s="258">
        <f>AX37/AX25</f>
        <v>0.480485081409541</v>
      </c>
      <c r="AY39" s="286"/>
      <c r="AZ39" s="287"/>
      <c r="BA39" s="286">
        <f>BA37/BA25</f>
        <v>0.483599088838269</v>
      </c>
      <c r="BB39" s="259">
        <f>BB37/BB25</f>
        <v>0.48626817447496</v>
      </c>
      <c r="BC39" s="288"/>
      <c r="BD39" s="287"/>
      <c r="BF39" s="218"/>
    </row>
    <row r="40" ht="12.75" hidden="1" customHeight="1" spans="3:59">
      <c r="C40" s="218" t="s">
        <v>1312</v>
      </c>
      <c r="H40">
        <f>(H39-D39)*10000</f>
        <v>-10</v>
      </c>
      <c r="I40">
        <f>(I39-E39)*10000</f>
        <v>30</v>
      </c>
      <c r="J40">
        <f>(J39-D39)*10000</f>
        <v>21.4975540476564</v>
      </c>
      <c r="K40" s="263">
        <f>(K39-F39)*10000</f>
        <v>-23.8034188034186</v>
      </c>
      <c r="L40" s="263">
        <f>(L39-F39)*10000</f>
        <v>86.3922229937508</v>
      </c>
      <c r="M40" s="263">
        <f>(M39-G39)*10000</f>
        <v>-85.1224947414453</v>
      </c>
      <c r="N40" s="263"/>
      <c r="O40" s="299">
        <f t="shared" ref="O40:AG40" si="9">(O39-H39)*10000</f>
        <v>-74.8953974895394</v>
      </c>
      <c r="P40" s="299">
        <f t="shared" si="9"/>
        <v>-94.8649417116859</v>
      </c>
      <c r="Q40" s="299">
        <f t="shared" si="9"/>
        <v>-82.4238583658693</v>
      </c>
      <c r="R40" s="299">
        <f t="shared" si="9"/>
        <v>33.7986260883461</v>
      </c>
      <c r="S40" s="299">
        <f t="shared" si="9"/>
        <v>-38.7302462697625</v>
      </c>
      <c r="T40" s="299">
        <f t="shared" si="9"/>
        <v>197.767564932421</v>
      </c>
      <c r="U40" s="299">
        <f t="shared" si="9"/>
        <v>-13.9703075378589</v>
      </c>
      <c r="V40" s="300">
        <f t="shared" si="9"/>
        <v>239.55815408778</v>
      </c>
      <c r="W40" s="300">
        <f t="shared" si="9"/>
        <v>182.254832341305</v>
      </c>
      <c r="X40" s="300">
        <f t="shared" si="9"/>
        <v>212.140209560714</v>
      </c>
      <c r="Y40" s="300">
        <f t="shared" si="9"/>
        <v>191.688216277847</v>
      </c>
      <c r="Z40" s="300">
        <f t="shared" si="9"/>
        <v>205.539694028759</v>
      </c>
      <c r="AA40" s="300">
        <f t="shared" si="9"/>
        <v>-9.59750787300207</v>
      </c>
      <c r="AB40" s="300">
        <f t="shared" si="9"/>
        <v>96.9891611415685</v>
      </c>
      <c r="AC40" s="300">
        <f t="shared" si="9"/>
        <v>-96.5357815910584</v>
      </c>
      <c r="AD40" s="300">
        <f t="shared" si="9"/>
        <v>-83.9054880398599</v>
      </c>
      <c r="AE40" s="300">
        <f t="shared" si="9"/>
        <v>-90.4405370203754</v>
      </c>
      <c r="AF40" s="300">
        <f t="shared" si="9"/>
        <v>-188.854541268016</v>
      </c>
      <c r="AG40" s="301">
        <f t="shared" si="9"/>
        <v>-128.308326433421</v>
      </c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Y40" s="302"/>
      <c r="AZ40" s="303"/>
      <c r="BA40" s="302"/>
      <c r="BB40" s="301"/>
      <c r="BC40" s="304"/>
      <c r="BD40" s="303"/>
      <c r="BF40" s="218"/>
    </row>
    <row r="41" ht="15.95" hidden="1" spans="3:59">
      <c r="C41" s="284"/>
      <c r="D41" s="284"/>
      <c r="E41" s="284"/>
      <c r="F41" s="284"/>
      <c r="G41" s="284"/>
      <c r="H41" s="273"/>
      <c r="I41" s="273"/>
      <c r="J41" s="273"/>
      <c r="K41" s="305"/>
      <c r="L41" s="305"/>
      <c r="M41" s="305"/>
      <c r="N41" s="305"/>
      <c r="O41" s="306"/>
      <c r="P41" s="306"/>
      <c r="Q41" s="306"/>
      <c r="R41" s="306"/>
      <c r="S41" s="306"/>
      <c r="T41" s="306"/>
      <c r="U41" s="306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8"/>
      <c r="AH41" s="308"/>
      <c r="AI41" s="308"/>
      <c r="AJ41" s="308"/>
      <c r="AK41" s="308"/>
      <c r="AL41" s="308"/>
      <c r="AM41" s="308"/>
      <c r="AN41" s="308"/>
      <c r="AO41" s="308"/>
      <c r="AP41" s="308"/>
      <c r="AQ41" s="308"/>
      <c r="AR41" s="308"/>
      <c r="AS41" s="308"/>
      <c r="AT41" s="308"/>
      <c r="AU41" s="308"/>
      <c r="AV41" s="308"/>
      <c r="AY41" s="309"/>
      <c r="AZ41" s="310"/>
      <c r="BA41" s="309"/>
      <c r="BB41" s="308"/>
      <c r="BC41" s="311"/>
      <c r="BD41" s="310"/>
      <c r="BF41" s="218"/>
    </row>
    <row r="42" ht="15.95" spans="3:59">
      <c r="C42" s="312" t="s">
        <v>651</v>
      </c>
      <c r="D42" s="312">
        <f>Interim!DR426</f>
        <v>260</v>
      </c>
      <c r="E42" s="312">
        <f>Interim!DS426</f>
        <v>195</v>
      </c>
      <c r="F42" s="312">
        <f>Interim!DU426</f>
        <v>411</v>
      </c>
      <c r="G42" s="312">
        <f>Interim!DW426</f>
        <v>28</v>
      </c>
      <c r="H42" s="313">
        <f>Interim!DZ426</f>
        <v>313</v>
      </c>
      <c r="I42" s="313">
        <f>Interim!EA426</f>
        <v>219</v>
      </c>
      <c r="J42" s="313">
        <f>Interim!EB426</f>
        <v>532</v>
      </c>
      <c r="K42" s="313">
        <f>Interim!EC426</f>
        <v>441</v>
      </c>
      <c r="L42" s="313">
        <f>Interim!ED426</f>
        <v>973</v>
      </c>
      <c r="M42" s="313">
        <f>Interim!EE426</f>
        <v>-20</v>
      </c>
      <c r="N42" s="313">
        <f>Interim!EG426</f>
        <v>953</v>
      </c>
      <c r="O42" s="313">
        <f>Interim!EH426</f>
        <v>409</v>
      </c>
      <c r="P42" s="313">
        <f>Interim!EI426</f>
        <v>256</v>
      </c>
      <c r="Q42" s="313">
        <f>Interim!EJ426</f>
        <v>665</v>
      </c>
      <c r="R42" s="313">
        <f>Interim!EK426</f>
        <v>494</v>
      </c>
      <c r="S42" s="313">
        <f>Interim!EL426</f>
        <v>1159</v>
      </c>
      <c r="T42" s="313">
        <f>Interim!EM426</f>
        <v>-239</v>
      </c>
      <c r="U42" s="313">
        <f>Interim!EN426</f>
        <v>255</v>
      </c>
      <c r="V42" s="278">
        <f>Interim!EP422</f>
        <v>442</v>
      </c>
      <c r="W42" s="278">
        <f>Interim!EQ422</f>
        <v>252</v>
      </c>
      <c r="X42" s="278">
        <f>Interim!ER422</f>
        <v>694</v>
      </c>
      <c r="Y42" s="278">
        <f>Interim!ES422</f>
        <v>463</v>
      </c>
      <c r="Z42" s="278">
        <f>Interim!ET422</f>
        <v>1157</v>
      </c>
      <c r="AA42" s="278">
        <f>Interim!EU422</f>
        <v>98</v>
      </c>
      <c r="AB42" s="278">
        <f>Interim!EV422</f>
        <v>561</v>
      </c>
      <c r="AC42" s="278">
        <f>Interim!EX422</f>
        <v>307</v>
      </c>
      <c r="AD42" s="278">
        <f>Interim!EY422</f>
        <v>217</v>
      </c>
      <c r="AE42" s="278">
        <f>Interim!EZ422</f>
        <v>525</v>
      </c>
      <c r="AF42" s="278">
        <f>Interim!FA422</f>
        <v>409</v>
      </c>
      <c r="AG42" s="278">
        <f>Interim!FB422</f>
        <v>934</v>
      </c>
      <c r="AH42" s="278">
        <f>Interim!FC422</f>
        <v>38</v>
      </c>
      <c r="AI42" s="278">
        <f>Interim!FD422</f>
        <v>358</v>
      </c>
      <c r="AJ42" s="278">
        <f>Interim!FE422</f>
        <v>961</v>
      </c>
      <c r="AK42" s="278">
        <f>Interim!FF426</f>
        <v>345</v>
      </c>
      <c r="AL42" s="278">
        <f>Interim!FG426</f>
        <v>234</v>
      </c>
      <c r="AM42" s="278">
        <f>Interim!FH426</f>
        <v>579</v>
      </c>
      <c r="AN42" s="278">
        <f>Interim!FI426</f>
        <v>505</v>
      </c>
      <c r="AO42" s="277">
        <f>Interim!FJ426</f>
        <v>1084</v>
      </c>
      <c r="AP42" s="278">
        <f>Interim!FK426</f>
        <v>-25</v>
      </c>
      <c r="AQ42" s="277">
        <f>Interim!FL426</f>
        <v>480</v>
      </c>
      <c r="AR42" s="277">
        <f>Interim!FM426</f>
        <v>1059</v>
      </c>
      <c r="AS42" s="278">
        <f>Interim!FN426</f>
        <v>490</v>
      </c>
      <c r="AT42" s="278">
        <f>Interim!FO426</f>
        <v>414</v>
      </c>
      <c r="AU42" s="278">
        <f>Interim!FP426</f>
        <v>904</v>
      </c>
      <c r="AV42" s="277">
        <f>Interim!FQ426</f>
        <v>563</v>
      </c>
      <c r="AW42" s="277">
        <f>AX42-AS42-AT42-AV42</f>
        <v>-9.29999999999995</v>
      </c>
      <c r="AX42" s="277">
        <v>1457.7</v>
      </c>
      <c r="AY42" s="279"/>
      <c r="AZ42" s="280"/>
      <c r="BA42" s="281">
        <v>330</v>
      </c>
      <c r="BB42" s="277">
        <f>AM42+BA42</f>
        <v>909</v>
      </c>
      <c r="BC42" s="279">
        <f>AT42/BA42-1</f>
        <v>0.254545454545455</v>
      </c>
      <c r="BD42" s="280">
        <f>AO42/BB42-1</f>
        <v>0.192519251925193</v>
      </c>
      <c r="BF42">
        <f>363</f>
        <v>363</v>
      </c>
      <c r="BG42" s="218">
        <f>BF42/BB42-1</f>
        <v>-0.600660066006601</v>
      </c>
    </row>
    <row r="43" spans="3:59">
      <c r="C43" s="256" t="s">
        <v>113</v>
      </c>
      <c r="D43">
        <f>Interim!DR427</f>
        <v>3.48275862068965</v>
      </c>
      <c r="E43">
        <f>Interim!DS427</f>
        <v>1.70833333333333</v>
      </c>
      <c r="F43">
        <f>Interim!DU427</f>
        <v>0.223214285714286</v>
      </c>
      <c r="G43">
        <f>Interim!DW427</f>
        <v>-0.333333333333333</v>
      </c>
      <c r="H43" s="257">
        <f>Interim!DZ427</f>
        <v>0.203846153846154</v>
      </c>
      <c r="I43" s="257">
        <f>Interim!EA427</f>
        <v>0.123076923076923</v>
      </c>
      <c r="J43" s="257">
        <f>Interim!EB427</f>
        <v>0.169230769230769</v>
      </c>
      <c r="K43" s="257">
        <f>Interim!EC427</f>
        <v>0.0729927007299269</v>
      </c>
      <c r="L43" s="257">
        <f>Interim!ED427</f>
        <v>0.123556581986143</v>
      </c>
      <c r="M43" s="257">
        <f>Interim!EE427</f>
        <v>-1.71428571428571</v>
      </c>
      <c r="N43" s="257">
        <f>Interim!EG427</f>
        <v>0.0659955257270695</v>
      </c>
      <c r="O43" s="257">
        <f>Interim!EH427</f>
        <v>0.306709265175719</v>
      </c>
      <c r="P43" s="257">
        <f>Interim!EI427</f>
        <v>0.168949771689498</v>
      </c>
      <c r="Q43" s="257">
        <f>Interim!EJ427</f>
        <v>0.25</v>
      </c>
      <c r="R43" s="257">
        <f>Interim!EK427</f>
        <v>0.120181405895692</v>
      </c>
      <c r="S43" s="257">
        <f>Interim!EL427</f>
        <v>0.191161356628982</v>
      </c>
      <c r="T43" s="257">
        <f>Interim!EM427</f>
        <v>10.95</v>
      </c>
      <c r="U43" s="257">
        <f>Interim!EN427</f>
        <v>-0.394299287410926</v>
      </c>
      <c r="V43" s="258">
        <f>Interim!EP427</f>
        <v>0.0806845965770171</v>
      </c>
      <c r="W43" s="258">
        <f>Interim!EQ427</f>
        <v>-0.015625</v>
      </c>
      <c r="X43" s="258">
        <f>Interim!ER427</f>
        <v>0.043609022556391</v>
      </c>
      <c r="Y43" s="258">
        <f>Interim!ES427</f>
        <v>-0.0627530364372469</v>
      </c>
      <c r="Z43" s="258">
        <f>Interim!ET427</f>
        <v>-0.00172562553925804</v>
      </c>
      <c r="AA43" s="258">
        <f>Interim!EU427</f>
        <v>-1.18828451882845</v>
      </c>
      <c r="AB43" s="258">
        <f>Interim!EV427</f>
        <v>0.992156862745098</v>
      </c>
      <c r="AC43" s="258">
        <f>Interim!EX423</f>
        <v>-0.305429864253394</v>
      </c>
      <c r="AD43" s="258">
        <f>Interim!EY423</f>
        <v>-0.138888888888889</v>
      </c>
      <c r="AE43" s="258">
        <f>Interim!EZ423</f>
        <v>-0.243515850144092</v>
      </c>
      <c r="AF43" s="258">
        <f>Interim!FA423</f>
        <v>-0.116630669546436</v>
      </c>
      <c r="AG43" s="258">
        <f>Interim!FB423</f>
        <v>-0.192739844425238</v>
      </c>
      <c r="AH43" s="258">
        <f>Interim!FC423</f>
        <v>-0.612244897959184</v>
      </c>
      <c r="AI43" s="259">
        <f>AI42/AB42-1</f>
        <v>-0.361853832442068</v>
      </c>
      <c r="AJ43" s="259">
        <f>AJ42/AC42-1</f>
        <v>2.13029315960912</v>
      </c>
      <c r="AK43" s="259">
        <f>Interim!FF427</f>
        <v>0.123778501628665</v>
      </c>
      <c r="AL43" s="259">
        <f>Interim!FG427</f>
        <v>0.0783410138248848</v>
      </c>
      <c r="AM43" s="259">
        <f>Interim!FH427</f>
        <v>0.104961832061069</v>
      </c>
      <c r="AN43" s="259">
        <f>Interim!FI427</f>
        <v>0.265664160401003</v>
      </c>
      <c r="AO43" s="259">
        <f>Interim!FJ427</f>
        <v>0.174431202600217</v>
      </c>
      <c r="AP43" s="259">
        <f>Interim!FK427</f>
        <v>-0.375</v>
      </c>
      <c r="AQ43" s="259">
        <f>AQ42/AJ42-1</f>
        <v>-0.500520291363163</v>
      </c>
      <c r="AR43" s="259">
        <f>AR42/AK42-1</f>
        <v>2.0695652173913</v>
      </c>
      <c r="AS43" s="259">
        <f>AS42/AK42-1</f>
        <v>0.420289855072464</v>
      </c>
      <c r="AT43" s="259">
        <f>AT42/AL42-1</f>
        <v>0.769230769230769</v>
      </c>
      <c r="AU43" s="259">
        <f>AU42/AM42-1</f>
        <v>0.561312607944732</v>
      </c>
      <c r="AV43" s="259">
        <f>AV42/AN42-1</f>
        <v>0.114851485148515</v>
      </c>
      <c r="AW43" s="258">
        <f>-(AW42/AP42-1)</f>
        <v>0.628000000000002</v>
      </c>
      <c r="AX43" s="258">
        <f>AX42/AR42-1</f>
        <v>0.376487252124646</v>
      </c>
      <c r="AY43" s="286"/>
      <c r="AZ43" s="287"/>
      <c r="BA43" s="286">
        <f>BA42/AL42-1</f>
        <v>0.41025641025641</v>
      </c>
      <c r="BB43" s="259">
        <f>BB42/Interim!FB426-1</f>
        <v>-0.0151679306608884</v>
      </c>
      <c r="BC43" s="286"/>
      <c r="BD43" s="287"/>
      <c r="BF43" s="218"/>
    </row>
    <row r="44" ht="15.95" spans="3:59">
      <c r="C44" s="298" t="s">
        <v>1313</v>
      </c>
      <c r="D44">
        <f>Interim!DR428</f>
        <v>0.0972326103216156</v>
      </c>
      <c r="E44">
        <f>Interim!DS428</f>
        <v>0.0668495029139527</v>
      </c>
      <c r="F44">
        <f>Interim!DU428</f>
        <v>0.118512110726644</v>
      </c>
      <c r="G44">
        <f>Interim!DW428</f>
        <v>0.00954979536152797</v>
      </c>
      <c r="H44" s="257">
        <f>Interim!DZ428</f>
        <v>0.0956309196455851</v>
      </c>
      <c r="I44" s="257">
        <f>Interim!EA428</f>
        <v>0.0714751958224543</v>
      </c>
      <c r="J44" s="257">
        <f>Interim!EB428</f>
        <v>0.0839513965598864</v>
      </c>
      <c r="K44" s="257">
        <f>Interim!EC428</f>
        <v>0.117788461538462</v>
      </c>
      <c r="L44" s="257">
        <f>Interim!ED428</f>
        <v>0.0965182025592699</v>
      </c>
      <c r="M44" s="257">
        <f>Interim!EE428</f>
        <v>-0.00617093489663684</v>
      </c>
      <c r="N44" s="257">
        <f>Interim!EG428</f>
        <v>0.0715358054346194</v>
      </c>
      <c r="O44" s="257">
        <f t="shared" ref="O44:V44" si="10">+O42/O25</f>
        <v>0.106956066945607</v>
      </c>
      <c r="P44" s="257">
        <f t="shared" si="10"/>
        <v>0.0727893090702303</v>
      </c>
      <c r="Q44" s="257">
        <f t="shared" si="10"/>
        <v>0.090587113472279</v>
      </c>
      <c r="R44" s="257">
        <f t="shared" si="10"/>
        <v>0.118380062305296</v>
      </c>
      <c r="S44" s="257">
        <f t="shared" si="10"/>
        <v>0.100660066006601</v>
      </c>
      <c r="T44" s="257">
        <f t="shared" si="10"/>
        <v>-0.0709409320273078</v>
      </c>
      <c r="U44" s="257">
        <f t="shared" si="10"/>
        <v>0.0338106603023071</v>
      </c>
      <c r="V44" s="258">
        <f t="shared" si="10"/>
        <v>0.117835243934951</v>
      </c>
      <c r="W44" s="258">
        <f t="shared" ref="W44:AB44" si="11">+W42/W25</f>
        <v>0.0744900975465563</v>
      </c>
      <c r="X44" s="258">
        <f t="shared" si="11"/>
        <v>0.0972806279786936</v>
      </c>
      <c r="Y44" s="258">
        <f t="shared" si="11"/>
        <v>0.119360659963908</v>
      </c>
      <c r="Z44" s="258">
        <f t="shared" si="11"/>
        <v>0.105057659130119</v>
      </c>
      <c r="AA44" s="258">
        <f t="shared" si="11"/>
        <v>0.028169014084507</v>
      </c>
      <c r="AB44" s="258">
        <f t="shared" si="11"/>
        <v>0.0762435444414243</v>
      </c>
      <c r="AC44" s="258">
        <f t="shared" ref="AC44:AH44" si="12">AC42/AC25</f>
        <v>0.0881930479747199</v>
      </c>
      <c r="AD44" s="258">
        <f t="shared" si="12"/>
        <v>0.0638610947616245</v>
      </c>
      <c r="AE44" s="258">
        <f t="shared" si="12"/>
        <v>0.0763192324465765</v>
      </c>
      <c r="AF44" s="258">
        <f t="shared" si="12"/>
        <v>0.101137487636004</v>
      </c>
      <c r="AG44" s="258">
        <f t="shared" si="12"/>
        <v>0.0855076444200311</v>
      </c>
      <c r="AH44" s="258">
        <f t="shared" si="12"/>
        <v>0.0105263157894737</v>
      </c>
      <c r="AI44" s="259">
        <f t="shared" ref="AI44:AU44" si="13">+AI42/AI25</f>
        <v>0.046772929187353</v>
      </c>
      <c r="AJ44" s="259">
        <f t="shared" si="13"/>
        <v>0.0661253698479323</v>
      </c>
      <c r="AK44" s="259">
        <f t="shared" si="13"/>
        <v>0.0844966936076414</v>
      </c>
      <c r="AL44" s="259">
        <f t="shared" si="13"/>
        <v>0.0598925006398771</v>
      </c>
      <c r="AM44" s="259">
        <f t="shared" si="13"/>
        <v>0.0724655819774718</v>
      </c>
      <c r="AN44" s="259">
        <f t="shared" si="13"/>
        <v>0.106159344124448</v>
      </c>
      <c r="AO44" s="259">
        <f t="shared" si="13"/>
        <v>0.0850396171648231</v>
      </c>
      <c r="AP44" s="259">
        <f t="shared" si="13"/>
        <v>-0.00599808061420345</v>
      </c>
      <c r="AQ44" s="259">
        <f t="shared" si="13"/>
        <v>0.053781512605042</v>
      </c>
      <c r="AR44" s="259">
        <f t="shared" si="13"/>
        <v>0.0626071534141295</v>
      </c>
      <c r="AS44" s="259">
        <f t="shared" si="13"/>
        <v>0.102746907108408</v>
      </c>
      <c r="AT44" s="259">
        <f t="shared" si="13"/>
        <v>0.0936016278543975</v>
      </c>
      <c r="AU44" s="259">
        <f t="shared" si="13"/>
        <v>0.0983463881636205</v>
      </c>
      <c r="AV44" s="259">
        <f>AV42/AV25</f>
        <v>0.104028085735403</v>
      </c>
      <c r="AW44" s="258">
        <f>AW42/AW25</f>
        <v>-0.00199978496935812</v>
      </c>
      <c r="AX44" s="258">
        <f>AX42/AX25</f>
        <v>0.0757069775896544</v>
      </c>
      <c r="AY44" s="286"/>
      <c r="AZ44" s="287"/>
      <c r="BA44" s="286">
        <f>BA42/BA$25</f>
        <v>0.0751708428246014</v>
      </c>
      <c r="BB44" s="259">
        <f>BB42/BB$25</f>
        <v>0.0734248788368336</v>
      </c>
      <c r="BC44" s="286"/>
      <c r="BD44" s="287"/>
      <c r="BE44" s="282" t="s">
        <v>1314</v>
      </c>
      <c r="BF44" s="218"/>
      <c r="BG44" s="227"/>
    </row>
    <row r="45" ht="15.95" hidden="1" spans="3:59">
      <c r="C45" s="284" t="s">
        <v>1312</v>
      </c>
      <c r="D45" s="284"/>
      <c r="E45" s="284"/>
      <c r="F45" s="284"/>
      <c r="G45" s="284"/>
      <c r="H45" s="273">
        <f>(H44-D44)*10000</f>
        <v>-16.0169067603046</v>
      </c>
      <c r="I45" s="273">
        <f>(I44-E44)*10000</f>
        <v>46.2569290850161</v>
      </c>
      <c r="J45" s="273">
        <f>(J44-D44)*10000</f>
        <v>-132.812137617292</v>
      </c>
      <c r="K45" s="305">
        <f>(K44-F44)*10000</f>
        <v>-7.2364918818206</v>
      </c>
      <c r="L45" s="305">
        <f>(L44-F44)*10000</f>
        <v>-219.939081673737</v>
      </c>
      <c r="M45" s="305">
        <f>(M44-G44)*10000</f>
        <v>-157.207302581648</v>
      </c>
      <c r="N45" s="305"/>
      <c r="O45" s="305">
        <f t="shared" ref="O45:AB45" si="14">(O44-H44)*10000</f>
        <v>113.251473000216</v>
      </c>
      <c r="P45" s="305">
        <f t="shared" si="14"/>
        <v>13.14113247776</v>
      </c>
      <c r="Q45" s="305">
        <f t="shared" si="14"/>
        <v>66.3571691239259</v>
      </c>
      <c r="R45" s="305">
        <f t="shared" si="14"/>
        <v>5.91600766834413</v>
      </c>
      <c r="S45" s="305">
        <f t="shared" si="14"/>
        <v>41.4186344733074</v>
      </c>
      <c r="T45" s="305">
        <f t="shared" si="14"/>
        <v>-647.69997130671</v>
      </c>
      <c r="U45" s="305">
        <f t="shared" si="14"/>
        <v>-377.251451323123</v>
      </c>
      <c r="V45" s="314">
        <f t="shared" si="14"/>
        <v>108.79176989344</v>
      </c>
      <c r="W45" s="314">
        <f t="shared" si="14"/>
        <v>17.00788476326</v>
      </c>
      <c r="X45" s="314">
        <f t="shared" si="14"/>
        <v>66.935145064146</v>
      </c>
      <c r="Y45" s="314">
        <f t="shared" si="14"/>
        <v>9.80597658612275</v>
      </c>
      <c r="Z45" s="314">
        <f t="shared" si="14"/>
        <v>43.975931235183</v>
      </c>
      <c r="AA45" s="314">
        <f t="shared" si="14"/>
        <v>991.099461118148</v>
      </c>
      <c r="AB45" s="314">
        <f t="shared" si="14"/>
        <v>424.328841391172</v>
      </c>
      <c r="AC45" s="314"/>
      <c r="AD45" s="314">
        <f t="shared" ref="AD45:AI45" si="15">(AD44-W44)*10000</f>
        <v>-106.290027849318</v>
      </c>
      <c r="AE45" s="314">
        <f t="shared" si="15"/>
        <v>-209.61395532117</v>
      </c>
      <c r="AF45" s="314">
        <f t="shared" si="15"/>
        <v>-182.231723279043</v>
      </c>
      <c r="AG45" s="315">
        <f t="shared" si="15"/>
        <v>-195.500147100878</v>
      </c>
      <c r="AH45" s="315">
        <f t="shared" si="15"/>
        <v>-176.426982950334</v>
      </c>
      <c r="AI45" s="315">
        <f t="shared" si="15"/>
        <v>-294.706152540713</v>
      </c>
      <c r="AJ45" s="315">
        <f>(AJ44-'Profit and Loss'!T375)*10000</f>
        <v>-206.750525385513</v>
      </c>
      <c r="AK45" s="315">
        <f>(AK44-'Profit and Loss'!U375)*10000</f>
        <v>183.758734617766</v>
      </c>
      <c r="AL45" s="315">
        <f>(AL44-'Profit and Loss'!V375)*10000</f>
        <v>-47.2470302550861</v>
      </c>
      <c r="AM45" s="315">
        <f>(AM44-'Profit and Loss'!W375)*10000</f>
        <v>-48.2835270371011</v>
      </c>
      <c r="AN45" s="315">
        <f>(AN44-'Profit and Loss'!X375)*10000</f>
        <v>86.006675291046</v>
      </c>
      <c r="AO45" s="315">
        <f>(AO44-'Profit and Loss'!Y375)*10000</f>
        <v>-230.142272339905</v>
      </c>
      <c r="AP45" s="315">
        <f>(AP44-'Profit and Loss'!Z375)*10000</f>
        <v>-1185.14471629812</v>
      </c>
      <c r="AQ45" s="315">
        <f>(AQ44-'Profit and Loss'!AA375)*10000</f>
        <v>159.363201035302</v>
      </c>
      <c r="AR45" s="315">
        <f>(AR44-'Profit and Loss'!AM375)*10000</f>
        <v>626.071534141295</v>
      </c>
      <c r="AS45" s="315">
        <f>(AS44-'Profit and Loss'!AN375)*10000</f>
        <v>1027.46907108408</v>
      </c>
      <c r="AT45" s="315">
        <f>(AT44-'Profit and Loss'!AO375)*10000</f>
        <v>936.016278543975</v>
      </c>
      <c r="AU45" s="315">
        <f>(AU44-'Profit and Loss'!AP375)*10000</f>
        <v>983.463881636205</v>
      </c>
      <c r="AV45" s="315"/>
      <c r="AY45" s="316"/>
      <c r="AZ45" s="317"/>
      <c r="BA45" s="314">
        <f>(BA44-AA44)*10000</f>
        <v>470.018287400943</v>
      </c>
      <c r="BB45" s="318">
        <f>(BB44-'Profit and Loss'!T375)*10000</f>
        <v>-133.7554354965</v>
      </c>
      <c r="BC45" s="316"/>
      <c r="BD45" s="317"/>
      <c r="BF45" s="218"/>
    </row>
    <row r="46" ht="15.95" spans="3:59">
      <c r="C46" s="312" t="s">
        <v>168</v>
      </c>
      <c r="D46" s="312"/>
      <c r="E46" s="312"/>
      <c r="F46" s="312"/>
      <c r="G46" s="312"/>
      <c r="H46" s="313">
        <f>Interim!DZ438</f>
        <v>209</v>
      </c>
      <c r="I46" s="313">
        <f>Interim!EA438</f>
        <v>140</v>
      </c>
      <c r="J46" s="313">
        <f>+I46+H46</f>
        <v>349</v>
      </c>
      <c r="K46" s="313">
        <f>Interim!EC438</f>
        <v>304</v>
      </c>
      <c r="L46" s="313">
        <f>+K46+J46</f>
        <v>653</v>
      </c>
      <c r="M46" s="313">
        <f>Interim!EE438</f>
        <v>-45</v>
      </c>
      <c r="N46" s="313">
        <f>Interim!EG438</f>
        <v>608</v>
      </c>
      <c r="O46" s="313">
        <f>Interim!EH438</f>
        <v>290</v>
      </c>
      <c r="P46" s="313">
        <f>Interim!EI438</f>
        <v>164</v>
      </c>
      <c r="Q46" s="313">
        <f>Interim!EJ438</f>
        <v>454</v>
      </c>
      <c r="R46" s="313">
        <f>Interim!EK438</f>
        <v>343</v>
      </c>
      <c r="S46" s="313">
        <f>Interim!EL438</f>
        <v>797</v>
      </c>
      <c r="T46" s="313">
        <f>Interim!EM438</f>
        <v>-273</v>
      </c>
      <c r="U46" s="313">
        <f>Interim!EN438</f>
        <v>70</v>
      </c>
      <c r="V46" s="278">
        <f>Interim!EP438</f>
        <v>309</v>
      </c>
      <c r="W46" s="278">
        <f>Interim!EQ438</f>
        <v>171</v>
      </c>
      <c r="X46" s="278">
        <f>Interim!ER438</f>
        <v>480</v>
      </c>
      <c r="Y46" s="278">
        <f>Interim!ES438</f>
        <v>318</v>
      </c>
      <c r="Z46" s="278">
        <f>Interim!ET438</f>
        <v>798</v>
      </c>
      <c r="AA46" s="278">
        <f>Interim!EU438</f>
        <v>-10</v>
      </c>
      <c r="AB46" s="278">
        <f>Interim!EV438</f>
        <v>308</v>
      </c>
      <c r="AC46" s="278">
        <f>Interim!EX438</f>
        <v>210</v>
      </c>
      <c r="AD46" s="278">
        <f>Interim!EY438</f>
        <v>143</v>
      </c>
      <c r="AE46" s="278">
        <f>Interim!EZ438</f>
        <v>353</v>
      </c>
      <c r="AF46" s="278">
        <f>Interim!FA438</f>
        <v>280</v>
      </c>
      <c r="AG46" s="278">
        <f>Interim!FB438</f>
        <v>633</v>
      </c>
      <c r="AH46" s="278">
        <f>Interim!FC438</f>
        <v>-69</v>
      </c>
      <c r="AI46" s="278"/>
      <c r="AJ46" s="278">
        <f>AG46+AH46</f>
        <v>564</v>
      </c>
      <c r="AK46" s="278">
        <f>Interim!FF444</f>
        <v>221</v>
      </c>
      <c r="AL46" s="278">
        <f>Interim!FG444</f>
        <v>146</v>
      </c>
      <c r="AM46" s="278">
        <f>Interim!FH444</f>
        <v>367</v>
      </c>
      <c r="AN46" s="278">
        <f>Interim!FI444</f>
        <v>311</v>
      </c>
      <c r="AO46" s="277">
        <f>Interim!FJ444</f>
        <v>678</v>
      </c>
      <c r="AP46" s="278">
        <f>Interim!FK444</f>
        <v>-45</v>
      </c>
      <c r="AQ46" s="277">
        <f>Interim!FL444</f>
        <v>266</v>
      </c>
      <c r="AR46" s="277">
        <f>Interim!FM444</f>
        <v>633</v>
      </c>
      <c r="AS46" s="278">
        <f>Interim!FN444</f>
        <v>351</v>
      </c>
      <c r="AT46" s="278">
        <f>Interim!FO444</f>
        <v>289</v>
      </c>
      <c r="AU46" s="278">
        <f>Interim!FP444</f>
        <v>639</v>
      </c>
      <c r="AV46" s="277">
        <f>Interim!FQ438</f>
        <v>387</v>
      </c>
      <c r="AW46" s="277"/>
      <c r="AX46" s="277"/>
      <c r="AY46" s="279"/>
      <c r="AZ46" s="280"/>
      <c r="BA46" s="278">
        <v>221</v>
      </c>
      <c r="BB46" s="319">
        <f>AM46+BA46</f>
        <v>588</v>
      </c>
      <c r="BC46" s="279">
        <f>AT46/BA46-1</f>
        <v>0.307692307692308</v>
      </c>
      <c r="BD46" s="280">
        <f>AO46/BB46-1</f>
        <v>0.153061224489796</v>
      </c>
      <c r="BF46">
        <v>241</v>
      </c>
      <c r="BG46" s="218">
        <f>BF46/BB46-1</f>
        <v>-0.590136054421769</v>
      </c>
    </row>
    <row r="47" spans="3:59">
      <c r="C47" s="256" t="s">
        <v>113</v>
      </c>
      <c r="D47" s="256"/>
      <c r="E47" s="256"/>
      <c r="F47" s="256"/>
      <c r="G47" s="256"/>
      <c r="H47" s="257">
        <f>Interim!DZ439</f>
        <v>0.236686390532544</v>
      </c>
      <c r="I47" s="257">
        <f>Interim!EA439</f>
        <v>0.111111111111111</v>
      </c>
      <c r="J47" s="257">
        <f>Interim!EB439</f>
        <v>0.183050847457627</v>
      </c>
      <c r="K47" s="257">
        <f>Interim!EC439</f>
        <v>0.142857142857143</v>
      </c>
      <c r="L47" s="257">
        <f>Interim!ED439</f>
        <v>0.163992869875223</v>
      </c>
      <c r="M47" s="257">
        <f>Interim!EE439</f>
        <v>-7.42857142857143</v>
      </c>
      <c r="N47" s="257">
        <f>Interim!EG439</f>
        <v>0.0704225352112675</v>
      </c>
      <c r="O47" s="257">
        <f>Interim!EH439</f>
        <v>0.38755980861244</v>
      </c>
      <c r="P47" s="257">
        <f>Interim!EI439</f>
        <v>0.171428571428571</v>
      </c>
      <c r="Q47" s="257">
        <f>Interim!EJ439</f>
        <v>0.300859598853868</v>
      </c>
      <c r="R47" s="257">
        <f>Interim!EK439</f>
        <v>0.128289473684211</v>
      </c>
      <c r="S47" s="257">
        <f>Interim!EL439</f>
        <v>0.22052067381317</v>
      </c>
      <c r="T47" s="257">
        <f>Interim!EM439</f>
        <v>5.06666666666667</v>
      </c>
      <c r="U47" s="257">
        <f>Interim!EN439</f>
        <v>-0.72972972972973</v>
      </c>
      <c r="V47" s="258">
        <f>Interim!EP439</f>
        <v>0.0655172413793104</v>
      </c>
      <c r="W47" s="258">
        <f>Interim!EQ439</f>
        <v>0.0426829268292683</v>
      </c>
      <c r="X47" s="258">
        <f>Interim!ER439</f>
        <v>0.0572687224669604</v>
      </c>
      <c r="Y47" s="258">
        <f>Interim!ES439</f>
        <v>-0.0728862973760933</v>
      </c>
      <c r="Z47" s="258">
        <f>Interim!ET439</f>
        <v>0.00125470514429105</v>
      </c>
      <c r="AA47" s="258">
        <f>Interim!EU439</f>
        <v>-0.963369963369963</v>
      </c>
      <c r="AB47" s="258">
        <f>Interim!EV439</f>
        <v>3.4</v>
      </c>
      <c r="AC47" s="258">
        <f>Interim!EX439</f>
        <v>-0.320388349514563</v>
      </c>
      <c r="AD47" s="258">
        <f>Interim!EY439</f>
        <v>-0.16374269005848</v>
      </c>
      <c r="AE47" s="258">
        <f>Interim!EZ439</f>
        <v>-0.264583333333333</v>
      </c>
      <c r="AF47" s="258">
        <f>Interim!FA439</f>
        <v>-0.119496855345912</v>
      </c>
      <c r="AG47" s="258">
        <f>Interim!FB439</f>
        <v>-0.206766917293233</v>
      </c>
      <c r="AH47" s="258">
        <f>Interim!FC439</f>
        <v>5.9</v>
      </c>
      <c r="AI47" s="259"/>
      <c r="AJ47" s="259">
        <f>AJ46/(AB46+X46)-1</f>
        <v>-0.284263959390863</v>
      </c>
      <c r="AK47" s="259">
        <f>Interim!FF445</f>
        <v>0.0833333333333333</v>
      </c>
      <c r="AL47" s="259">
        <f>Interim!FG445</f>
        <v>0.0138888888888888</v>
      </c>
      <c r="AM47" s="259">
        <f>Interim!FH445</f>
        <v>0.0485714285714285</v>
      </c>
      <c r="AN47" s="259">
        <f>Interim!FI445</f>
        <v>0.0989399293286219</v>
      </c>
      <c r="AO47" s="259">
        <f>Interim!FJ445</f>
        <v>0.0796178343949046</v>
      </c>
      <c r="AP47" s="259">
        <f>Interim!FK445</f>
        <v>-0.680851063829787</v>
      </c>
      <c r="AQ47" s="259">
        <f>AQ46/(AI46+AE46)-1</f>
        <v>-0.246458923512748</v>
      </c>
      <c r="AR47" s="259">
        <f>AR46/(AJ46+AF46)-1</f>
        <v>-0.25</v>
      </c>
      <c r="AS47" s="259">
        <f>AS46/AK46-1</f>
        <v>0.588235294117647</v>
      </c>
      <c r="AT47" s="259">
        <f>AT46/AL46-1</f>
        <v>0.97945205479452</v>
      </c>
      <c r="AU47" s="259">
        <f>AU46/AM46-1</f>
        <v>0.741144414168937</v>
      </c>
      <c r="AV47" s="259">
        <f>AV46/AN46-1</f>
        <v>0.244372990353698</v>
      </c>
      <c r="AW47" s="320"/>
      <c r="AX47" s="320"/>
      <c r="AY47" s="259"/>
      <c r="AZ47" s="321"/>
      <c r="BA47" s="322">
        <f>BA46/AL46-1</f>
        <v>0.513698630136986</v>
      </c>
      <c r="BB47" s="323">
        <f>BB46/AC46-1</f>
        <v>1.8</v>
      </c>
      <c r="BC47" s="323"/>
      <c r="BD47" s="321"/>
      <c r="BE47" s="282" t="s">
        <v>1315</v>
      </c>
      <c r="BF47" s="218"/>
    </row>
    <row r="48" ht="15.95" spans="3:59">
      <c r="C48" s="298" t="s">
        <v>1316</v>
      </c>
      <c r="D48" s="298"/>
      <c r="E48" s="298"/>
      <c r="F48" s="298"/>
      <c r="G48" s="298"/>
      <c r="H48" s="257">
        <f t="shared" ref="H48:N48" si="16">+H46/H25</f>
        <v>0.0638557897952948</v>
      </c>
      <c r="I48" s="257">
        <f t="shared" si="16"/>
        <v>0.0456919060052219</v>
      </c>
      <c r="J48" s="257">
        <f t="shared" si="16"/>
        <v>0.0550733785703014</v>
      </c>
      <c r="K48" s="257">
        <f t="shared" si="16"/>
        <v>0.0811965811965812</v>
      </c>
      <c r="L48" s="257">
        <f t="shared" si="16"/>
        <v>0.0647753199087392</v>
      </c>
      <c r="M48" s="257">
        <f t="shared" si="16"/>
        <v>-0.0138846035174329</v>
      </c>
      <c r="N48" s="257">
        <f t="shared" si="16"/>
        <v>0.0456353674097425</v>
      </c>
      <c r="O48" s="257">
        <f t="shared" ref="O48:AG48" si="17">+O46/O25</f>
        <v>0.075836820083682</v>
      </c>
      <c r="P48" s="257">
        <f t="shared" si="17"/>
        <v>0.0466306511231163</v>
      </c>
      <c r="Q48" s="257">
        <f t="shared" si="17"/>
        <v>0.0618444353630296</v>
      </c>
      <c r="R48" s="257">
        <f t="shared" si="17"/>
        <v>0.0821950635034747</v>
      </c>
      <c r="S48" s="257">
        <f t="shared" si="17"/>
        <v>0.0692200799027271</v>
      </c>
      <c r="T48" s="257">
        <f t="shared" si="17"/>
        <v>-0.0810329474621549</v>
      </c>
      <c r="U48" s="257">
        <f t="shared" si="17"/>
        <v>0.00928135773004508</v>
      </c>
      <c r="V48" s="258">
        <f t="shared" si="17"/>
        <v>0.0823780325246601</v>
      </c>
      <c r="W48" s="258">
        <f t="shared" si="17"/>
        <v>0.0505468519065918</v>
      </c>
      <c r="X48" s="258">
        <f t="shared" si="17"/>
        <v>0.0672834314550042</v>
      </c>
      <c r="Y48" s="258">
        <f t="shared" si="17"/>
        <v>0.0819798917246713</v>
      </c>
      <c r="Z48" s="258">
        <f t="shared" si="17"/>
        <v>0.0724598202124762</v>
      </c>
      <c r="AA48" s="258">
        <f t="shared" si="17"/>
        <v>-0.00287438919229664</v>
      </c>
      <c r="AB48" s="258">
        <f t="shared" si="17"/>
        <v>0.0418592008698016</v>
      </c>
      <c r="AC48" s="258">
        <f t="shared" si="17"/>
        <v>0.0603274920999713</v>
      </c>
      <c r="AD48" s="258">
        <f t="shared" si="17"/>
        <v>0.0420835785756327</v>
      </c>
      <c r="AE48" s="258">
        <f t="shared" si="17"/>
        <v>0.0513155981974124</v>
      </c>
      <c r="AF48" s="258">
        <f t="shared" si="17"/>
        <v>0.0692383778437191</v>
      </c>
      <c r="AG48" s="259">
        <f t="shared" si="17"/>
        <v>0.057951112331777</v>
      </c>
      <c r="AH48" s="259">
        <f>AH46/AH$25</f>
        <v>-0.0191135734072022</v>
      </c>
      <c r="AI48" s="259"/>
      <c r="AJ48" s="259">
        <f t="shared" ref="AJ48:AU48" si="18">AJ46/AJ$25</f>
        <v>0.0388082295465492</v>
      </c>
      <c r="AK48" s="259">
        <f t="shared" si="18"/>
        <v>0.0541268674993877</v>
      </c>
      <c r="AL48" s="259">
        <f t="shared" si="18"/>
        <v>0.0373688251855644</v>
      </c>
      <c r="AM48" s="259">
        <f t="shared" si="18"/>
        <v>0.0459324155193993</v>
      </c>
      <c r="AN48" s="259">
        <f t="shared" si="18"/>
        <v>0.0653773386588186</v>
      </c>
      <c r="AO48" s="259">
        <f t="shared" si="18"/>
        <v>0.0531889856436809</v>
      </c>
      <c r="AP48" s="259">
        <f t="shared" si="18"/>
        <v>-0.0107965451055662</v>
      </c>
      <c r="AQ48" s="259">
        <f t="shared" si="18"/>
        <v>0.0298039215686275</v>
      </c>
      <c r="AR48" s="259">
        <f t="shared" si="18"/>
        <v>0.037422406148389</v>
      </c>
      <c r="AS48" s="259">
        <f t="shared" si="18"/>
        <v>0.0736003355001048</v>
      </c>
      <c r="AT48" s="259">
        <f t="shared" si="18"/>
        <v>0.0653402667872485</v>
      </c>
      <c r="AU48" s="259">
        <f t="shared" si="18"/>
        <v>0.0695169712793734</v>
      </c>
      <c r="AV48" s="259">
        <f>AV46/AV25</f>
        <v>0.0715077605321508</v>
      </c>
      <c r="AW48" s="320"/>
      <c r="AX48" s="320"/>
      <c r="AY48" s="259"/>
      <c r="AZ48" s="324"/>
      <c r="BA48" s="322">
        <f>BA46/BA$25</f>
        <v>0.0503416856492027</v>
      </c>
      <c r="BB48" s="325">
        <f>BB46/BB$25</f>
        <v>0.0474959612277868</v>
      </c>
      <c r="BC48" s="325"/>
      <c r="BD48" s="324"/>
      <c r="BF48" s="218"/>
    </row>
    <row r="49" spans="30:56"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26"/>
      <c r="AY49" s="326"/>
      <c r="AZ49" s="320"/>
      <c r="BA49" s="326"/>
      <c r="BB49" s="326"/>
      <c r="BC49" s="326"/>
      <c r="BD49" s="320"/>
    </row>
    <row r="50" spans="30:56">
      <c r="AD50" s="327"/>
    </row>
    <row r="53" spans="30:56">
      <c r="AH53" s="219">
        <v>564</v>
      </c>
      <c r="AJ53" s="219">
        <v>684</v>
      </c>
    </row>
    <row r="54" spans="30:56">
      <c r="AD54" s="219" t="s">
        <v>1317</v>
      </c>
      <c r="AJ54" s="219">
        <f>AJ53/AH53-1</f>
        <v>0.212765957446809</v>
      </c>
    </row>
    <row r="55" spans="30:56">
      <c r="AJ55" s="219">
        <f>AH53*1.085</f>
        <v>611.94</v>
      </c>
    </row>
    <row r="67" spans="32:32">
      <c r="AF67" s="219">
        <f>642*1.1</f>
        <v>706.2</v>
      </c>
    </row>
    <row r="68" spans="32:32">
      <c r="AF68" s="219">
        <f>720/AF67-1</f>
        <v>0.0195412064570943</v>
      </c>
    </row>
  </sheetData>
  <mergeCells count="12">
    <mergeCell ref="H5:AV5"/>
    <mergeCell ref="AW5:AX5"/>
    <mergeCell ref="AY5:AZ5"/>
    <mergeCell ref="BA5:BB5"/>
    <mergeCell ref="BC5:BD5"/>
    <mergeCell ref="BI5:BK5"/>
    <mergeCell ref="BM5:BO5"/>
    <mergeCell ref="BP5:BR5"/>
    <mergeCell ref="BF5:BF6"/>
    <mergeCell ref="BL5:BL6"/>
    <mergeCell ref="BU5:BU6"/>
    <mergeCell ref="BV5:BV6"/>
  </mergeCells>
  <pageMargins left="0.7" right="0.7" top="0.75" bottom="0.75" header="0.3" footer="0.3"/>
  <pageSetup paperSize="9" orientation="portrait" horizontalDpi="200" verticalDpi="300"/>
  <headerFooter/>
  <customProperties>
    <customPr name="Qube.Worksheet.Visibility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W496"/>
  <sheetViews>
    <sheetView showGridLines="0" view="pageBreakPreview" zoomScale="70" zoomScaleNormal="85" workbookViewId="0">
      <pane xSplit="1" ySplit="2" topLeftCell="B3" activePane="bottomRight" state="frozen"/>
      <selection/>
      <selection pane="topRight"/>
      <selection pane="bottomLeft"/>
      <selection pane="bottomRight" activeCell="G55" sqref="$A1:$XFD1048576"/>
    </sheetView>
  </sheetViews>
  <sheetFormatPr defaultColWidth="66.2857142857143" defaultRowHeight="15.2"/>
  <cols>
    <col min="1" max="1" width="34.5714285714286" style="137" customWidth="1"/>
    <col min="2" max="92" width="12.7142857142857" style="137" customWidth="1"/>
    <col min="93" max="16384" width="66.2857142857143" style="137"/>
  </cols>
  <sheetData>
    <row r="1" spans="1:23">
      <c r="A1" s="143">
        <f ca="1">TODAY()</f>
        <v>46294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23">
      <c r="A2" s="145" t="s">
        <v>50</v>
      </c>
      <c r="B2" s="144">
        <v>1999</v>
      </c>
      <c r="C2" s="144">
        <v>2000</v>
      </c>
      <c r="D2" s="144">
        <v>2001</v>
      </c>
      <c r="E2" s="144">
        <v>2002</v>
      </c>
      <c r="F2" s="144">
        <v>2003</v>
      </c>
      <c r="G2" s="144">
        <v>2004</v>
      </c>
      <c r="H2" s="144">
        <v>2005</v>
      </c>
      <c r="I2" s="144">
        <v>2006</v>
      </c>
      <c r="J2" s="144">
        <v>2007</v>
      </c>
      <c r="K2" s="144">
        <v>2008</v>
      </c>
      <c r="L2" s="144">
        <v>2009</v>
      </c>
      <c r="M2" s="144">
        <v>2010</v>
      </c>
      <c r="N2" s="144">
        <v>2011</v>
      </c>
      <c r="O2" s="144">
        <v>2012</v>
      </c>
      <c r="P2" s="144">
        <v>2013</v>
      </c>
      <c r="Q2" s="144">
        <v>2014</v>
      </c>
      <c r="R2" s="144">
        <v>2015</v>
      </c>
      <c r="S2" s="146">
        <v>2016</v>
      </c>
      <c r="T2" s="146">
        <v>2017</v>
      </c>
      <c r="U2" s="146">
        <v>2018</v>
      </c>
      <c r="V2" s="146">
        <v>2019</v>
      </c>
      <c r="W2" s="146">
        <v>2020</v>
      </c>
    </row>
    <row r="4" spans="1:23">
      <c r="A4" s="147" t="s">
        <v>710</v>
      </c>
      <c r="B4" s="148">
        <v>5354</v>
      </c>
      <c r="C4" s="148">
        <v>5835</v>
      </c>
      <c r="D4" s="148">
        <v>6112</v>
      </c>
      <c r="E4" s="148">
        <v>6523</v>
      </c>
      <c r="F4" s="148">
        <v>6267</v>
      </c>
      <c r="G4" s="148">
        <v>5860</v>
      </c>
      <c r="H4" s="148">
        <v>6636</v>
      </c>
      <c r="I4" s="148">
        <v>10084</v>
      </c>
      <c r="J4" s="148">
        <v>10299</v>
      </c>
      <c r="K4" s="148">
        <v>10799</v>
      </c>
      <c r="L4" s="148">
        <v>10381</v>
      </c>
      <c r="M4" s="148">
        <f>'Profit and Loss'!Q32</f>
        <v>11990</v>
      </c>
      <c r="N4" s="148">
        <f>'Profit and Loss'!R32</f>
        <v>13323</v>
      </c>
      <c r="O4" s="148">
        <f>'Profit and Loss'!S32</f>
        <v>14883</v>
      </c>
      <c r="P4" s="148">
        <f>'Profit and Loss'!T32</f>
        <v>14205</v>
      </c>
      <c r="Q4" s="148">
        <f>'Profit and Loss'!U32</f>
        <v>14534</v>
      </c>
      <c r="R4" s="148">
        <f>'Profit and Loss'!V32</f>
        <v>16915</v>
      </c>
    </row>
    <row r="5" spans="1:23"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</row>
    <row r="6" spans="1:23">
      <c r="A6" s="150" t="s">
        <v>1318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</row>
    <row r="7" spans="1:23"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</row>
    <row r="8" spans="1:23">
      <c r="A8" s="151" t="s">
        <v>1319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3"/>
      <c r="M8" s="153"/>
      <c r="N8" s="153"/>
      <c r="O8" s="153"/>
      <c r="P8" s="153"/>
      <c r="Q8" s="153"/>
      <c r="R8" s="153"/>
    </row>
    <row r="9" outlineLevel="1" spans="1:23">
      <c r="A9" s="154" t="s">
        <v>1320</v>
      </c>
      <c r="B9" s="149"/>
      <c r="C9" s="149"/>
      <c r="D9" s="149"/>
      <c r="E9" s="149">
        <v>3200</v>
      </c>
      <c r="F9" s="149">
        <v>3365</v>
      </c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</row>
    <row r="10" outlineLevel="1" spans="1:23">
      <c r="A10" s="154" t="s">
        <v>101</v>
      </c>
      <c r="B10" s="149"/>
      <c r="C10" s="149"/>
      <c r="D10" s="149"/>
      <c r="E10" s="149">
        <v>1960</v>
      </c>
      <c r="F10" s="149">
        <v>1562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</row>
    <row r="11" outlineLevel="1" spans="1:23">
      <c r="A11" s="154" t="s">
        <v>211</v>
      </c>
      <c r="B11" s="149"/>
      <c r="C11" s="149"/>
      <c r="D11" s="149"/>
      <c r="E11" s="149">
        <v>1166</v>
      </c>
      <c r="F11" s="149">
        <v>1116</v>
      </c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</row>
    <row r="12" outlineLevel="1" spans="1:23">
      <c r="A12" s="154" t="s">
        <v>102</v>
      </c>
      <c r="B12" s="149"/>
      <c r="C12" s="149"/>
      <c r="D12" s="149"/>
      <c r="E12" s="149">
        <v>163</v>
      </c>
      <c r="F12" s="149">
        <v>179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</row>
    <row r="13" outlineLevel="1" spans="1:23">
      <c r="A13" s="154" t="s">
        <v>64</v>
      </c>
      <c r="B13" s="149"/>
      <c r="C13" s="149"/>
      <c r="D13" s="149"/>
      <c r="E13" s="149">
        <f>E4-SUM(E9:E12)</f>
        <v>34</v>
      </c>
      <c r="F13" s="149">
        <f>F4-SUM(F9:F12)</f>
        <v>45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</row>
    <row r="14" outlineLevel="1" spans="1:23">
      <c r="A14" s="154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</row>
    <row r="15" spans="1:23">
      <c r="A15" s="155" t="s">
        <v>112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</row>
    <row r="16" spans="1:23">
      <c r="A16" s="155" t="s">
        <v>524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</row>
    <row r="17" spans="1:36">
      <c r="A17" s="155" t="s">
        <v>101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</row>
    <row r="18" spans="1:36">
      <c r="A18" s="155" t="s">
        <v>114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</row>
    <row r="19" spans="1:36">
      <c r="A19" s="155" t="s">
        <v>525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</row>
    <row r="20" spans="1:36">
      <c r="A20" s="155" t="s">
        <v>102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</row>
    <row r="21" spans="1:36">
      <c r="A21" s="155" t="s">
        <v>108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</row>
    <row r="22" spans="1:36">
      <c r="A22" s="155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56"/>
      <c r="AJ22" s="157" t="s">
        <v>1321</v>
      </c>
    </row>
    <row r="23" spans="1:36">
      <c r="A23" s="151" t="s">
        <v>1322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3"/>
      <c r="M23" s="153"/>
      <c r="N23" s="153"/>
      <c r="O23" s="153"/>
      <c r="P23" s="153"/>
      <c r="Q23" s="153"/>
      <c r="R23" s="153"/>
      <c r="T23" s="158" t="s">
        <v>1323</v>
      </c>
      <c r="U23" s="158" t="s">
        <v>1324</v>
      </c>
      <c r="V23" s="158"/>
      <c r="W23" s="158"/>
      <c r="X23" s="158"/>
      <c r="AI23" s="137" t="s">
        <v>928</v>
      </c>
      <c r="AJ23" s="159">
        <v>0.41</v>
      </c>
    </row>
    <row r="24" spans="1:36">
      <c r="A24" s="160" t="s">
        <v>533</v>
      </c>
      <c r="B24" s="149">
        <f>B4*0.415</f>
        <v>2221.91</v>
      </c>
      <c r="C24" s="149">
        <v>2515</v>
      </c>
      <c r="D24" s="149">
        <v>2650</v>
      </c>
      <c r="E24" s="149">
        <v>2851</v>
      </c>
      <c r="F24" s="149">
        <v>2767</v>
      </c>
      <c r="G24" s="149">
        <v>2620</v>
      </c>
      <c r="H24" s="149">
        <v>2978</v>
      </c>
      <c r="I24" s="149">
        <v>4733</v>
      </c>
      <c r="J24" s="149">
        <v>4751</v>
      </c>
      <c r="K24" s="149">
        <v>4919</v>
      </c>
      <c r="L24" s="137">
        <v>4642</v>
      </c>
      <c r="M24" s="137">
        <v>5389</v>
      </c>
      <c r="N24" s="137">
        <v>6242</v>
      </c>
      <c r="O24" s="137">
        <v>6922</v>
      </c>
      <c r="P24" s="137">
        <v>6587</v>
      </c>
      <c r="Q24" s="137">
        <v>6658</v>
      </c>
      <c r="R24" s="137">
        <v>8360</v>
      </c>
      <c r="T24" s="158">
        <v>2750</v>
      </c>
      <c r="U24" s="158">
        <f>R24-T24</f>
        <v>5610</v>
      </c>
      <c r="V24" s="158">
        <v>1200</v>
      </c>
      <c r="W24" s="158" t="s">
        <v>1325</v>
      </c>
      <c r="X24" s="158"/>
      <c r="AE24" s="137" t="s">
        <v>80</v>
      </c>
      <c r="AF24" s="137" t="s">
        <v>82</v>
      </c>
      <c r="AG24" s="137" t="s">
        <v>64</v>
      </c>
      <c r="AI24" s="137" t="s">
        <v>930</v>
      </c>
      <c r="AJ24" s="159">
        <v>0.23</v>
      </c>
    </row>
    <row r="25" spans="1:36">
      <c r="A25" s="160" t="s">
        <v>536</v>
      </c>
      <c r="B25" s="149">
        <f>B4*0.409</f>
        <v>2189.786</v>
      </c>
      <c r="C25" s="149">
        <v>2175</v>
      </c>
      <c r="D25" s="149">
        <v>2212</v>
      </c>
      <c r="E25" s="149">
        <v>2288</v>
      </c>
      <c r="F25" s="149">
        <v>2222</v>
      </c>
      <c r="G25" s="149">
        <v>2462</v>
      </c>
      <c r="H25" s="149">
        <v>2798</v>
      </c>
      <c r="I25" s="149">
        <v>4105</v>
      </c>
      <c r="J25" s="149">
        <v>4426</v>
      </c>
      <c r="K25" s="149">
        <v>4775</v>
      </c>
      <c r="L25" s="137">
        <v>4663</v>
      </c>
      <c r="M25" s="137">
        <v>5380</v>
      </c>
      <c r="N25" s="137">
        <v>5733</v>
      </c>
      <c r="O25" s="137">
        <v>6290</v>
      </c>
      <c r="P25" s="137">
        <v>5811</v>
      </c>
      <c r="Q25" s="137">
        <v>6279</v>
      </c>
      <c r="R25" s="137">
        <v>6970</v>
      </c>
      <c r="T25" s="158"/>
      <c r="U25" s="158"/>
      <c r="V25" s="158"/>
      <c r="W25" s="158"/>
      <c r="X25" s="158">
        <f>13*125</f>
        <v>1625</v>
      </c>
      <c r="AD25" s="137" t="s">
        <v>533</v>
      </c>
      <c r="AE25" s="140">
        <v>0.5325</v>
      </c>
      <c r="AF25" s="161">
        <f>(R24-(AE25*AE$28)-(AG25*AG$28))/AF$28</f>
        <v>0.492260101099036</v>
      </c>
      <c r="AG25" s="162">
        <f>(1-AG27)/2</f>
        <v>0.138548057259714</v>
      </c>
      <c r="AI25" s="137" t="s">
        <v>855</v>
      </c>
      <c r="AJ25" s="159">
        <v>0.23</v>
      </c>
    </row>
    <row r="26" spans="1:36">
      <c r="A26" s="160" t="s">
        <v>537</v>
      </c>
      <c r="B26" s="149">
        <f>B4-B24-B25</f>
        <v>942.304</v>
      </c>
      <c r="C26" s="149">
        <v>1144</v>
      </c>
      <c r="D26" s="149">
        <v>1250</v>
      </c>
      <c r="E26" s="149">
        <v>1385</v>
      </c>
      <c r="F26" s="149">
        <v>1278</v>
      </c>
      <c r="G26" s="149">
        <f>G4-SUM(G24:G25)</f>
        <v>778</v>
      </c>
      <c r="H26" s="149">
        <f>H4-SUM(H24:H25)</f>
        <v>860</v>
      </c>
      <c r="I26" s="149">
        <f>I4-SUM(I24:I25)</f>
        <v>1246</v>
      </c>
      <c r="J26" s="149">
        <f>J4-SUM(J24:J25)</f>
        <v>1122</v>
      </c>
      <c r="K26" s="149">
        <f>K4-SUM(K24:K25)</f>
        <v>1105</v>
      </c>
      <c r="L26" s="137">
        <v>1076</v>
      </c>
      <c r="M26" s="137">
        <v>1221</v>
      </c>
      <c r="N26" s="137">
        <v>1347</v>
      </c>
      <c r="O26" s="137">
        <v>1671</v>
      </c>
      <c r="P26" s="137">
        <v>1806</v>
      </c>
      <c r="Q26" s="137">
        <v>1597</v>
      </c>
      <c r="R26" s="137">
        <v>1585</v>
      </c>
      <c r="T26" s="162">
        <f>15/13-1</f>
        <v>0.153846153846154</v>
      </c>
      <c r="U26" s="158"/>
      <c r="V26" s="158"/>
      <c r="W26" s="158"/>
      <c r="X26" s="158">
        <f>X25*30%</f>
        <v>487.5</v>
      </c>
      <c r="Y26" s="163">
        <f>1387+1672+1477+1601</f>
        <v>6137</v>
      </c>
      <c r="Z26" s="163">
        <f>Y26*23%</f>
        <v>1411.51</v>
      </c>
      <c r="AA26" s="163">
        <f>AA28/(1-AA30)</f>
        <v>2823.02</v>
      </c>
      <c r="AB26" s="163">
        <f>R24</f>
        <v>8360</v>
      </c>
      <c r="AD26" s="137" t="s">
        <v>536</v>
      </c>
      <c r="AE26" s="140">
        <f>1-AE25-AE27</f>
        <v>0.4325</v>
      </c>
      <c r="AF26" s="161">
        <f>(R25-(AE26*AE$28)-(AG26*AG$28))/AF$28</f>
        <v>0.481238287092147</v>
      </c>
      <c r="AG26" s="162">
        <f>1-AG27-AG25</f>
        <v>0.138548057259714</v>
      </c>
      <c r="AI26" s="137" t="s">
        <v>1326</v>
      </c>
      <c r="AJ26" s="159">
        <v>0.04</v>
      </c>
    </row>
    <row r="27" spans="1:36">
      <c r="A27" s="154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T27" s="158"/>
      <c r="U27" s="158"/>
      <c r="V27" s="158"/>
      <c r="W27" s="158"/>
      <c r="X27" s="158">
        <f>X25-X26</f>
        <v>1137.5</v>
      </c>
      <c r="AB27" s="161">
        <f>AA26/AB26</f>
        <v>0.337681818181818</v>
      </c>
      <c r="AD27" s="137" t="s">
        <v>537</v>
      </c>
      <c r="AE27" s="140">
        <v>0.035</v>
      </c>
      <c r="AF27" s="161">
        <f>(R26-(AE27*AE$28)-(AG27*AG$28))/AF$28</f>
        <v>0.0265016118088182</v>
      </c>
      <c r="AG27" s="162">
        <f>('Profit and Loss'!V212/'Profit and Loss'!V210)+(('Profit and Loss'!V215*50%)/'Profit and Loss'!V210)</f>
        <v>0.722903885480573</v>
      </c>
      <c r="AI27" s="137" t="s">
        <v>929</v>
      </c>
      <c r="AJ27" s="159">
        <v>0.04</v>
      </c>
    </row>
    <row r="28" outlineLevel="1" spans="1:36">
      <c r="A28" s="151" t="s">
        <v>1327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3"/>
      <c r="M28" s="153"/>
      <c r="N28" s="153"/>
      <c r="O28" s="153"/>
      <c r="P28" s="153"/>
      <c r="Q28" s="153"/>
      <c r="R28" s="153"/>
      <c r="T28" s="164">
        <f>33%*5%</f>
        <v>0.0165</v>
      </c>
      <c r="Y28" s="165">
        <f>Y26-Y29</f>
        <v>4165</v>
      </c>
      <c r="Z28" s="165">
        <f>Z26-Z29</f>
        <v>957.95</v>
      </c>
      <c r="AA28" s="165">
        <f>Z26</f>
        <v>1411.51</v>
      </c>
      <c r="AB28" s="165"/>
      <c r="AE28" s="166">
        <f>'Profit and Loss'!V202</f>
        <v>13708</v>
      </c>
      <c r="AF28" s="166">
        <f>'Profit and Loss'!V206</f>
        <v>1742</v>
      </c>
      <c r="AG28" s="167">
        <f>R4-AE28-AF28</f>
        <v>1465</v>
      </c>
      <c r="AI28" s="137" t="s">
        <v>1328</v>
      </c>
      <c r="AJ28" s="159">
        <v>0</v>
      </c>
    </row>
    <row r="29" outlineLevel="1" spans="1:36">
      <c r="A29" s="160" t="s">
        <v>80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T29" s="137">
        <f>(9.5%-33%*5%)/67%</f>
        <v>0.117164179104478</v>
      </c>
      <c r="Y29" s="163">
        <f>438+521+463+550</f>
        <v>1972</v>
      </c>
      <c r="Z29" s="163">
        <f>Z30*Z26</f>
        <v>453.56</v>
      </c>
      <c r="AA29" s="163">
        <f>AA30*AA26</f>
        <v>1411.51</v>
      </c>
      <c r="AB29" s="163"/>
      <c r="AI29" s="137" t="s">
        <v>1329</v>
      </c>
      <c r="AJ29" s="159">
        <v>0.03</v>
      </c>
    </row>
    <row r="30" outlineLevel="1" spans="1:36">
      <c r="A30" s="160" t="s">
        <v>82</v>
      </c>
      <c r="B30" s="149"/>
      <c r="C30" s="149"/>
      <c r="D30" s="149"/>
      <c r="E30" s="149"/>
      <c r="F30" s="149"/>
      <c r="G30" s="149"/>
      <c r="H30" s="149">
        <f>H92</f>
        <v>2719</v>
      </c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Y30" s="162">
        <f>Y29/Y26</f>
        <v>0.321329639889197</v>
      </c>
      <c r="Z30" s="162">
        <f>Y30</f>
        <v>0.321329639889197</v>
      </c>
      <c r="AA30" s="162">
        <v>0.5</v>
      </c>
      <c r="AB30" s="162"/>
      <c r="AI30" s="137" t="s">
        <v>209</v>
      </c>
      <c r="AJ30" s="159">
        <v>0.01</v>
      </c>
    </row>
    <row r="31" outlineLevel="1" spans="1:36">
      <c r="A31" s="160" t="s">
        <v>629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AI31" s="137" t="s">
        <v>64</v>
      </c>
      <c r="AJ31" s="159">
        <f>1-SUM(AJ23:AJ30)</f>
        <v>0.0099999999999999</v>
      </c>
    </row>
    <row r="32" outlineLevel="1" spans="1:36">
      <c r="A32" s="160" t="s">
        <v>64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</row>
    <row r="33" spans="1:19">
      <c r="A33" s="160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</row>
    <row r="34" spans="1:19">
      <c r="A34" s="151" t="s">
        <v>1330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3"/>
      <c r="M34" s="153"/>
      <c r="N34" s="153"/>
      <c r="O34" s="153"/>
      <c r="P34" s="153"/>
      <c r="Q34" s="153"/>
      <c r="R34" s="153"/>
    </row>
    <row r="35" spans="1:19">
      <c r="A35" s="160" t="str">
        <f>A360</f>
        <v>Wholesale </v>
      </c>
      <c r="B35" s="149"/>
      <c r="C35" s="149"/>
      <c r="D35" s="149"/>
      <c r="E35" s="149"/>
      <c r="F35" s="149"/>
      <c r="G35" s="149"/>
      <c r="H35" s="149"/>
      <c r="I35" s="149">
        <f t="shared" ref="I35:O37" si="0">I$4*I360</f>
        <v>8571.4</v>
      </c>
      <c r="J35" s="149">
        <f t="shared" si="0"/>
        <v>8548.17</v>
      </c>
      <c r="K35" s="149">
        <f t="shared" si="0"/>
        <v>7770.95278731101</v>
      </c>
      <c r="L35" s="149">
        <f t="shared" si="0"/>
        <v>7266.7</v>
      </c>
      <c r="M35" s="149">
        <f t="shared" si="0"/>
        <v>8153.2</v>
      </c>
      <c r="N35" s="149">
        <f t="shared" si="0"/>
        <v>8926.41</v>
      </c>
      <c r="O35" s="149">
        <f t="shared" si="0"/>
        <v>9533</v>
      </c>
      <c r="P35" s="149">
        <f t="shared" ref="P35:Q37" si="1">P$4*P360</f>
        <v>9100</v>
      </c>
      <c r="Q35" s="149">
        <f t="shared" si="1"/>
        <v>9376</v>
      </c>
      <c r="R35" s="168"/>
    </row>
    <row r="36" spans="1:19">
      <c r="A36" s="160" t="str">
        <f>A361</f>
        <v>Retail</v>
      </c>
      <c r="B36" s="149"/>
      <c r="C36" s="149"/>
      <c r="D36" s="149"/>
      <c r="E36" s="149"/>
      <c r="F36" s="149"/>
      <c r="G36" s="149"/>
      <c r="H36" s="149"/>
      <c r="I36" s="149">
        <f t="shared" si="0"/>
        <v>656.6</v>
      </c>
      <c r="J36" s="149">
        <f t="shared" si="0"/>
        <v>946.83</v>
      </c>
      <c r="K36" s="149">
        <f t="shared" si="0"/>
        <v>1740.90177163528</v>
      </c>
      <c r="L36" s="149">
        <f t="shared" si="0"/>
        <v>1868.58</v>
      </c>
      <c r="M36" s="149">
        <f t="shared" si="0"/>
        <v>2398</v>
      </c>
      <c r="N36" s="149">
        <f t="shared" si="0"/>
        <v>2797.83</v>
      </c>
      <c r="O36" s="149">
        <f t="shared" si="0"/>
        <v>3373</v>
      </c>
      <c r="P36" s="149">
        <f t="shared" si="1"/>
        <v>3446</v>
      </c>
      <c r="Q36" s="149">
        <f t="shared" si="1"/>
        <v>3820.56519251861</v>
      </c>
      <c r="R36" s="168"/>
    </row>
    <row r="37" spans="1:19">
      <c r="A37" s="160" t="str">
        <f>A362</f>
        <v>Other</v>
      </c>
      <c r="B37" s="149"/>
      <c r="C37" s="149"/>
      <c r="D37" s="149"/>
      <c r="E37" s="149"/>
      <c r="F37" s="149"/>
      <c r="G37" s="149"/>
      <c r="H37" s="149"/>
      <c r="I37" s="149">
        <f t="shared" si="0"/>
        <v>856</v>
      </c>
      <c r="J37" s="149">
        <f t="shared" si="0"/>
        <v>804</v>
      </c>
      <c r="K37" s="149">
        <f t="shared" si="0"/>
        <v>1287.14544105371</v>
      </c>
      <c r="L37" s="149">
        <f t="shared" si="0"/>
        <v>1295.24587474669</v>
      </c>
      <c r="M37" s="149">
        <f t="shared" si="0"/>
        <v>1420</v>
      </c>
      <c r="N37" s="149">
        <f t="shared" si="0"/>
        <v>1580</v>
      </c>
      <c r="O37" s="149">
        <f t="shared" si="0"/>
        <v>1977</v>
      </c>
      <c r="P37" s="149">
        <f t="shared" si="1"/>
        <v>1659</v>
      </c>
      <c r="Q37" s="149">
        <f t="shared" si="1"/>
        <v>1358</v>
      </c>
      <c r="R37" s="168"/>
    </row>
    <row r="38" spans="1:19">
      <c r="A38" s="160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R38" s="169"/>
    </row>
    <row r="39" spans="1:19">
      <c r="A39" s="170" t="s">
        <v>60</v>
      </c>
      <c r="B39" s="171"/>
      <c r="C39" s="171"/>
      <c r="D39" s="171"/>
      <c r="E39" s="171"/>
      <c r="F39" s="171"/>
      <c r="G39" s="171"/>
      <c r="H39" s="171"/>
      <c r="I39" s="171">
        <f t="shared" ref="I39:Q39" si="2">I35</f>
        <v>8571.4</v>
      </c>
      <c r="J39" s="171">
        <f t="shared" si="2"/>
        <v>8548.17</v>
      </c>
      <c r="K39" s="171">
        <f t="shared" si="2"/>
        <v>7770.95278731101</v>
      </c>
      <c r="L39" s="171">
        <f t="shared" si="2"/>
        <v>7266.7</v>
      </c>
      <c r="M39" s="171">
        <f t="shared" si="2"/>
        <v>8153.2</v>
      </c>
      <c r="N39" s="171">
        <f t="shared" si="2"/>
        <v>8926.41</v>
      </c>
      <c r="O39" s="171">
        <f t="shared" si="2"/>
        <v>9533</v>
      </c>
      <c r="P39" s="171">
        <f t="shared" si="2"/>
        <v>9100</v>
      </c>
      <c r="Q39" s="171">
        <f t="shared" si="2"/>
        <v>9376</v>
      </c>
      <c r="R39" s="172"/>
    </row>
    <row r="40" spans="1:19">
      <c r="A40" s="173" t="str">
        <f t="shared" ref="A40:A45" si="3">A15</f>
        <v>Western Europe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>
        <v>2936</v>
      </c>
      <c r="L40" s="174">
        <f t="shared" ref="L40:M45" si="4">L365*L$39</f>
        <v>2688.679</v>
      </c>
      <c r="M40" s="174">
        <f t="shared" si="4"/>
        <v>2853.62</v>
      </c>
      <c r="N40" s="174">
        <v>3187</v>
      </c>
      <c r="O40" s="137">
        <v>3257</v>
      </c>
      <c r="P40" s="137">
        <v>2940</v>
      </c>
      <c r="Q40" s="137">
        <v>3156</v>
      </c>
      <c r="R40" s="169"/>
      <c r="S40" s="137">
        <f>Q40/(Q$52+Q$40+Q$68)</f>
        <v>0.764371615082109</v>
      </c>
    </row>
    <row r="41" spans="1:19">
      <c r="A41" s="173" t="str">
        <f t="shared" si="3"/>
        <v>European Ems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>
        <v>543</v>
      </c>
      <c r="L41" s="174">
        <f t="shared" si="4"/>
        <v>508.669</v>
      </c>
      <c r="M41" s="174">
        <f t="shared" si="4"/>
        <v>489.192</v>
      </c>
      <c r="N41" s="174">
        <v>496</v>
      </c>
      <c r="O41" s="137">
        <v>545</v>
      </c>
      <c r="P41" s="137">
        <v>545</v>
      </c>
      <c r="Q41" s="137">
        <v>625</v>
      </c>
      <c r="R41" s="169"/>
    </row>
    <row r="42" spans="1:19">
      <c r="A42" s="173" t="str">
        <f t="shared" si="3"/>
        <v>North America</v>
      </c>
      <c r="B42" s="149"/>
      <c r="C42" s="149"/>
      <c r="D42" s="149"/>
      <c r="E42" s="149"/>
      <c r="F42" s="149"/>
      <c r="G42" s="149"/>
      <c r="H42" s="149"/>
      <c r="I42" s="175"/>
      <c r="J42" s="149"/>
      <c r="K42" s="149">
        <v>1461</v>
      </c>
      <c r="L42" s="174">
        <f t="shared" si="4"/>
        <v>1308.006</v>
      </c>
      <c r="M42" s="174">
        <f t="shared" si="4"/>
        <v>1630.64</v>
      </c>
      <c r="N42" s="174">
        <v>1771</v>
      </c>
      <c r="O42" s="137">
        <v>1744</v>
      </c>
      <c r="P42" s="137">
        <v>1633</v>
      </c>
      <c r="Q42" s="137">
        <v>1485</v>
      </c>
      <c r="R42" s="169"/>
    </row>
    <row r="43" spans="1:19">
      <c r="A43" s="173" t="str">
        <f t="shared" si="3"/>
        <v>Greater China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>
        <v>999</v>
      </c>
      <c r="L43" s="174">
        <f t="shared" si="4"/>
        <v>872.004</v>
      </c>
      <c r="M43" s="174">
        <f t="shared" si="4"/>
        <v>815.32</v>
      </c>
      <c r="N43" s="174">
        <v>1038</v>
      </c>
      <c r="O43" s="137">
        <v>1322</v>
      </c>
      <c r="P43" s="137">
        <v>1403</v>
      </c>
      <c r="Q43" s="137">
        <v>1516</v>
      </c>
      <c r="R43" s="169"/>
    </row>
    <row r="44" spans="1:19">
      <c r="A44" s="173" t="str">
        <f t="shared" si="3"/>
        <v>Other Asian Markets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>
        <v>1029</v>
      </c>
      <c r="L44" s="174">
        <f t="shared" si="4"/>
        <v>1017.338</v>
      </c>
      <c r="M44" s="174">
        <f t="shared" si="4"/>
        <v>1304.512</v>
      </c>
      <c r="N44" s="174">
        <v>1332</v>
      </c>
      <c r="O44" s="137">
        <v>1493</v>
      </c>
      <c r="P44" s="137">
        <v>1368</v>
      </c>
      <c r="Q44" s="137">
        <v>1401</v>
      </c>
      <c r="R44" s="169"/>
    </row>
    <row r="45" spans="1:19">
      <c r="A45" s="173" t="str">
        <f t="shared" si="3"/>
        <v>Latin America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49">
        <v>790</v>
      </c>
      <c r="L45" s="174">
        <f t="shared" si="4"/>
        <v>872.004</v>
      </c>
      <c r="M45" s="174">
        <f t="shared" si="4"/>
        <v>1059.916</v>
      </c>
      <c r="N45" s="174">
        <v>1125</v>
      </c>
      <c r="O45" s="137">
        <v>1172</v>
      </c>
      <c r="P45" s="137">
        <v>1210</v>
      </c>
      <c r="Q45" s="137">
        <v>1193</v>
      </c>
      <c r="R45" s="169"/>
    </row>
    <row r="46" spans="1:19">
      <c r="A46" s="160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74"/>
      <c r="R46" s="169"/>
    </row>
    <row r="47" spans="1:19">
      <c r="A47" s="160" t="s">
        <v>1331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74">
        <f t="shared" ref="L47:M49" si="5">L372*L$39</f>
        <v>4723.355</v>
      </c>
      <c r="M47" s="174">
        <f t="shared" si="5"/>
        <v>5136.516</v>
      </c>
      <c r="N47" s="174">
        <v>5578</v>
      </c>
      <c r="O47" s="174">
        <v>6187</v>
      </c>
      <c r="P47" s="174">
        <v>5970</v>
      </c>
      <c r="Q47" s="174">
        <v>6147</v>
      </c>
      <c r="R47" s="176"/>
    </row>
    <row r="48" spans="1:19">
      <c r="A48" s="160" t="s">
        <v>649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74">
        <f t="shared" si="5"/>
        <v>1235.339</v>
      </c>
      <c r="M48" s="174">
        <f t="shared" si="5"/>
        <v>1549.108</v>
      </c>
      <c r="N48" s="174">
        <v>1861</v>
      </c>
      <c r="O48" s="174">
        <v>2193</v>
      </c>
      <c r="P48" s="174">
        <v>2156</v>
      </c>
      <c r="Q48" s="174">
        <v>2264</v>
      </c>
      <c r="R48" s="176"/>
    </row>
    <row r="49" spans="1:20">
      <c r="A49" s="160" t="s">
        <v>82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74">
        <f t="shared" si="5"/>
        <v>1308.006</v>
      </c>
      <c r="M49" s="174">
        <f t="shared" si="5"/>
        <v>1467.576</v>
      </c>
      <c r="N49" s="174">
        <v>1476</v>
      </c>
      <c r="O49" s="174">
        <v>1109</v>
      </c>
      <c r="P49" s="174">
        <v>1050</v>
      </c>
      <c r="Q49" s="174">
        <v>1000</v>
      </c>
      <c r="R49" s="176"/>
    </row>
    <row r="50" spans="1:20">
      <c r="A50" s="160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R50" s="169"/>
    </row>
    <row r="51" spans="1:20">
      <c r="A51" s="170" t="s">
        <v>62</v>
      </c>
      <c r="B51" s="171"/>
      <c r="C51" s="171"/>
      <c r="D51" s="171"/>
      <c r="E51" s="171"/>
      <c r="F51" s="171"/>
      <c r="G51" s="171"/>
      <c r="H51" s="171"/>
      <c r="I51" s="171">
        <f t="shared" ref="I51:Q51" si="6">I36</f>
        <v>656.6</v>
      </c>
      <c r="J51" s="171">
        <f t="shared" si="6"/>
        <v>946.83</v>
      </c>
      <c r="K51" s="171">
        <f t="shared" si="6"/>
        <v>1740.90177163528</v>
      </c>
      <c r="L51" s="171">
        <f t="shared" si="6"/>
        <v>1868.58</v>
      </c>
      <c r="M51" s="171">
        <f t="shared" si="6"/>
        <v>2398</v>
      </c>
      <c r="N51" s="171">
        <f t="shared" si="6"/>
        <v>2797.83</v>
      </c>
      <c r="O51" s="171">
        <f t="shared" si="6"/>
        <v>3373</v>
      </c>
      <c r="P51" s="171">
        <f t="shared" si="6"/>
        <v>3446</v>
      </c>
      <c r="Q51" s="171">
        <f t="shared" si="6"/>
        <v>3820.56519251861</v>
      </c>
      <c r="R51" s="172"/>
    </row>
    <row r="52" spans="1:20">
      <c r="A52" s="173" t="str">
        <f t="shared" ref="A52:A57" si="7">A40</f>
        <v>Western Europe</v>
      </c>
      <c r="B52" s="149"/>
      <c r="C52" s="149"/>
      <c r="D52" s="149"/>
      <c r="E52" s="149"/>
      <c r="F52" s="149"/>
      <c r="G52" s="149"/>
      <c r="H52" s="149"/>
      <c r="I52" s="149"/>
      <c r="J52" s="149"/>
      <c r="K52" s="149">
        <v>384</v>
      </c>
      <c r="L52" s="174">
        <f t="shared" ref="L52:O57" si="8">L377*L$51</f>
        <v>392.4018</v>
      </c>
      <c r="M52" s="174">
        <f t="shared" si="8"/>
        <v>431.64</v>
      </c>
      <c r="N52" s="174">
        <f t="shared" si="8"/>
        <v>475.6311</v>
      </c>
      <c r="O52" s="174">
        <f t="shared" si="8"/>
        <v>505.95</v>
      </c>
      <c r="P52" s="174">
        <f t="shared" ref="P52:Q57" si="9">P377*P$51</f>
        <v>551.36</v>
      </c>
      <c r="Q52" s="174">
        <f t="shared" si="9"/>
        <v>687.70173465335</v>
      </c>
      <c r="R52" s="176"/>
      <c r="S52" s="137">
        <f>Q52/(Q$52+Q$40+Q$68)</f>
        <v>0.166558835745168</v>
      </c>
      <c r="T52" s="137">
        <f t="shared" ref="T52:T57" si="10">Q52/SUM(Q$52:Q$57)</f>
        <v>0.18</v>
      </c>
    </row>
    <row r="53" spans="1:20">
      <c r="A53" s="173" t="str">
        <f t="shared" si="7"/>
        <v>European Ems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>
        <v>606</v>
      </c>
      <c r="L53" s="174">
        <f t="shared" si="8"/>
        <v>597.9456</v>
      </c>
      <c r="M53" s="174">
        <f t="shared" si="8"/>
        <v>839.3</v>
      </c>
      <c r="N53" s="174">
        <f t="shared" si="8"/>
        <v>1063.1754</v>
      </c>
      <c r="O53" s="174">
        <f t="shared" si="8"/>
        <v>1349.2</v>
      </c>
      <c r="P53" s="174">
        <f t="shared" si="9"/>
        <v>1309.48</v>
      </c>
      <c r="Q53" s="174">
        <f t="shared" si="9"/>
        <v>1260.78651353114</v>
      </c>
      <c r="R53" s="176"/>
      <c r="T53" s="137">
        <f t="shared" si="10"/>
        <v>0.33</v>
      </c>
    </row>
    <row r="54" spans="1:20">
      <c r="A54" s="173" t="str">
        <f t="shared" si="7"/>
        <v>North America</v>
      </c>
      <c r="B54" s="149"/>
      <c r="C54" s="149"/>
      <c r="D54" s="149"/>
      <c r="E54" s="149"/>
      <c r="F54" s="149"/>
      <c r="G54" s="149"/>
      <c r="H54" s="149"/>
      <c r="I54" s="175"/>
      <c r="J54" s="149"/>
      <c r="K54" s="149">
        <v>363</v>
      </c>
      <c r="L54" s="174">
        <f t="shared" si="8"/>
        <v>373.716</v>
      </c>
      <c r="M54" s="174">
        <f t="shared" si="8"/>
        <v>455.62</v>
      </c>
      <c r="N54" s="174">
        <f t="shared" si="8"/>
        <v>503.6094</v>
      </c>
      <c r="O54" s="174">
        <f t="shared" si="8"/>
        <v>607.14</v>
      </c>
      <c r="P54" s="174">
        <f t="shared" si="9"/>
        <v>620.28</v>
      </c>
      <c r="Q54" s="174">
        <f t="shared" si="9"/>
        <v>725.907386578536</v>
      </c>
      <c r="R54" s="176"/>
      <c r="T54" s="137">
        <f t="shared" si="10"/>
        <v>0.19</v>
      </c>
    </row>
    <row r="55" spans="1:20">
      <c r="A55" s="173" t="str">
        <f t="shared" si="7"/>
        <v>Greater China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>
        <v>53</v>
      </c>
      <c r="L55" s="174">
        <f t="shared" si="8"/>
        <v>93.429</v>
      </c>
      <c r="M55" s="174">
        <f t="shared" si="8"/>
        <v>143.88</v>
      </c>
      <c r="N55" s="174">
        <f t="shared" si="8"/>
        <v>167.8698</v>
      </c>
      <c r="O55" s="174">
        <f t="shared" si="8"/>
        <v>202.38</v>
      </c>
      <c r="P55" s="174">
        <f t="shared" si="9"/>
        <v>206.76</v>
      </c>
      <c r="Q55" s="174">
        <f t="shared" si="9"/>
        <v>267.439563476303</v>
      </c>
      <c r="R55" s="176"/>
      <c r="T55" s="137">
        <f t="shared" si="10"/>
        <v>0.07</v>
      </c>
    </row>
    <row r="56" spans="1:20">
      <c r="A56" s="173" t="str">
        <f t="shared" si="7"/>
        <v>Other Asian Markets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>
        <v>240</v>
      </c>
      <c r="L56" s="174">
        <f t="shared" si="8"/>
        <v>280.287</v>
      </c>
      <c r="M56" s="174">
        <f t="shared" si="8"/>
        <v>335.72</v>
      </c>
      <c r="N56" s="174">
        <f t="shared" si="8"/>
        <v>363.7179</v>
      </c>
      <c r="O56" s="174">
        <f t="shared" si="8"/>
        <v>438.49</v>
      </c>
      <c r="P56" s="174">
        <f t="shared" si="9"/>
        <v>413.52</v>
      </c>
      <c r="Q56" s="174">
        <f t="shared" si="9"/>
        <v>458.467823102233</v>
      </c>
      <c r="R56" s="176"/>
      <c r="T56" s="137">
        <f t="shared" si="10"/>
        <v>0.12</v>
      </c>
    </row>
    <row r="57" spans="1:20">
      <c r="A57" s="173" t="str">
        <f t="shared" si="7"/>
        <v>Latin America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>
        <v>92</v>
      </c>
      <c r="L57" s="174">
        <f t="shared" si="8"/>
        <v>130.8006</v>
      </c>
      <c r="M57" s="174">
        <f t="shared" si="8"/>
        <v>191.84</v>
      </c>
      <c r="N57" s="174">
        <f t="shared" si="8"/>
        <v>223.8264</v>
      </c>
      <c r="O57" s="174">
        <f t="shared" si="8"/>
        <v>269.84</v>
      </c>
      <c r="P57" s="174">
        <f t="shared" si="9"/>
        <v>344.6</v>
      </c>
      <c r="Q57" s="174">
        <f t="shared" si="9"/>
        <v>420.262171177047</v>
      </c>
      <c r="R57" s="176"/>
      <c r="T57" s="137">
        <f t="shared" si="10"/>
        <v>0.11</v>
      </c>
    </row>
    <row r="58" spans="1:20">
      <c r="A58" s="173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74"/>
      <c r="R58" s="169"/>
    </row>
    <row r="59" spans="1:20">
      <c r="A59" s="173" t="s">
        <v>530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74">
        <f t="shared" ref="L59:O61" si="11">L384*L$51</f>
        <v>990.3474</v>
      </c>
      <c r="M59" s="174">
        <f t="shared" si="11"/>
        <v>1199</v>
      </c>
      <c r="N59" s="174">
        <f t="shared" si="11"/>
        <v>1314.9801</v>
      </c>
      <c r="O59" s="174">
        <f t="shared" si="11"/>
        <v>1517.85</v>
      </c>
      <c r="P59" s="174">
        <f t="shared" ref="P59:Q61" si="12">P384*P$51</f>
        <v>1516.24</v>
      </c>
      <c r="Q59" s="174">
        <f t="shared" si="12"/>
        <v>1604.63738085782</v>
      </c>
      <c r="R59" s="176"/>
    </row>
    <row r="60" spans="1:20">
      <c r="A60" s="173" t="s">
        <v>231</v>
      </c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74">
        <f t="shared" si="11"/>
        <v>803.4894</v>
      </c>
      <c r="M60" s="174">
        <f t="shared" si="11"/>
        <v>1103.08</v>
      </c>
      <c r="N60" s="174">
        <f t="shared" si="11"/>
        <v>1314.9801</v>
      </c>
      <c r="O60" s="174">
        <f t="shared" si="11"/>
        <v>1585.31</v>
      </c>
      <c r="P60" s="174">
        <f t="shared" si="12"/>
        <v>1585.16</v>
      </c>
      <c r="Q60" s="174">
        <f t="shared" si="12"/>
        <v>1681.04868470819</v>
      </c>
      <c r="R60" s="176"/>
    </row>
    <row r="61" spans="1:20">
      <c r="A61" s="173" t="s">
        <v>1332</v>
      </c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74">
        <f t="shared" si="11"/>
        <v>74.7432</v>
      </c>
      <c r="M61" s="174">
        <f t="shared" si="11"/>
        <v>95.92</v>
      </c>
      <c r="N61" s="174">
        <f t="shared" si="11"/>
        <v>167.8698</v>
      </c>
      <c r="O61" s="174">
        <f t="shared" si="11"/>
        <v>269.84</v>
      </c>
      <c r="P61" s="174">
        <f t="shared" si="12"/>
        <v>344.6</v>
      </c>
      <c r="Q61" s="174">
        <f t="shared" si="12"/>
        <v>534.879126952605</v>
      </c>
      <c r="R61" s="176"/>
    </row>
    <row r="62" spans="1:20">
      <c r="A62" s="173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74"/>
      <c r="R62" s="169"/>
    </row>
    <row r="63" spans="1:20">
      <c r="A63" s="160" t="s">
        <v>1331</v>
      </c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74">
        <v>1142</v>
      </c>
      <c r="M63" s="137">
        <v>1404</v>
      </c>
      <c r="N63" s="137">
        <v>1576</v>
      </c>
      <c r="O63" s="137">
        <v>1848</v>
      </c>
      <c r="P63" s="137">
        <v>1875</v>
      </c>
      <c r="Q63" s="137">
        <v>2112</v>
      </c>
      <c r="R63" s="169"/>
    </row>
    <row r="64" spans="1:20">
      <c r="A64" s="160" t="s">
        <v>649</v>
      </c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74">
        <v>420</v>
      </c>
      <c r="M64" s="137">
        <v>575</v>
      </c>
      <c r="N64" s="137">
        <v>752</v>
      </c>
      <c r="O64" s="137">
        <v>958</v>
      </c>
      <c r="P64" s="137">
        <v>1020</v>
      </c>
      <c r="Q64" s="137">
        <v>1153</v>
      </c>
      <c r="R64" s="169"/>
    </row>
    <row r="65" spans="1:18">
      <c r="A65" s="160" t="s">
        <v>82</v>
      </c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74">
        <v>339</v>
      </c>
      <c r="M65" s="137">
        <v>408</v>
      </c>
      <c r="N65" s="137">
        <v>463</v>
      </c>
      <c r="O65" s="137">
        <v>558</v>
      </c>
      <c r="P65" s="137">
        <v>549</v>
      </c>
      <c r="Q65" s="137">
        <v>578</v>
      </c>
      <c r="R65" s="169"/>
    </row>
    <row r="66" spans="1:18">
      <c r="A66" s="173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74"/>
      <c r="R66" s="169"/>
    </row>
    <row r="67" spans="1:18">
      <c r="A67" s="170" t="s">
        <v>70</v>
      </c>
      <c r="B67" s="171"/>
      <c r="C67" s="171"/>
      <c r="D67" s="171"/>
      <c r="E67" s="171"/>
      <c r="F67" s="171"/>
      <c r="G67" s="171"/>
      <c r="H67" s="171"/>
      <c r="I67" s="171">
        <f t="shared" ref="I67:Q67" si="13">I37</f>
        <v>856</v>
      </c>
      <c r="J67" s="171">
        <f t="shared" si="13"/>
        <v>804</v>
      </c>
      <c r="K67" s="171">
        <f t="shared" si="13"/>
        <v>1287.14544105371</v>
      </c>
      <c r="L67" s="171">
        <f t="shared" si="13"/>
        <v>1295.24587474669</v>
      </c>
      <c r="M67" s="171">
        <f t="shared" si="13"/>
        <v>1420</v>
      </c>
      <c r="N67" s="171">
        <f t="shared" si="13"/>
        <v>1580</v>
      </c>
      <c r="O67" s="171">
        <f t="shared" si="13"/>
        <v>1977</v>
      </c>
      <c r="P67" s="171">
        <f t="shared" si="13"/>
        <v>1659</v>
      </c>
      <c r="Q67" s="171">
        <f t="shared" si="13"/>
        <v>1358</v>
      </c>
      <c r="R67" s="172"/>
    </row>
    <row r="68" spans="1:18">
      <c r="A68" s="173" t="str">
        <f t="shared" ref="A68:A73" si="14">$A52</f>
        <v>Western Europe</v>
      </c>
      <c r="B68" s="149"/>
      <c r="C68" s="149"/>
      <c r="D68" s="149"/>
      <c r="E68" s="149"/>
      <c r="F68" s="149"/>
      <c r="G68" s="149"/>
      <c r="H68" s="149"/>
      <c r="I68" s="149"/>
      <c r="J68" s="149"/>
      <c r="K68" s="149">
        <v>208</v>
      </c>
      <c r="L68" s="174">
        <f t="shared" ref="L68:Q73" si="15">L420*L$67</f>
        <v>220.191798706938</v>
      </c>
      <c r="M68" s="174">
        <f t="shared" si="15"/>
        <v>241.4</v>
      </c>
      <c r="N68" s="174">
        <f t="shared" si="15"/>
        <v>268.6</v>
      </c>
      <c r="O68" s="156">
        <f t="shared" si="15"/>
        <v>316.32</v>
      </c>
      <c r="P68" s="156">
        <f t="shared" si="15"/>
        <v>265.44</v>
      </c>
      <c r="Q68" s="156">
        <f t="shared" si="15"/>
        <v>285.18</v>
      </c>
      <c r="R68" s="177"/>
    </row>
    <row r="69" spans="1:18">
      <c r="A69" s="173" t="str">
        <f t="shared" si="14"/>
        <v>European Ems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>
        <v>29</v>
      </c>
      <c r="L69" s="174">
        <f t="shared" si="15"/>
        <v>25.9049174949339</v>
      </c>
      <c r="M69" s="174">
        <f t="shared" si="15"/>
        <v>28.4</v>
      </c>
      <c r="N69" s="174">
        <f t="shared" si="15"/>
        <v>47.4</v>
      </c>
      <c r="O69" s="156">
        <f t="shared" si="15"/>
        <v>59.31</v>
      </c>
      <c r="P69" s="156">
        <f t="shared" si="15"/>
        <v>49.77</v>
      </c>
      <c r="Q69" s="156">
        <f t="shared" si="15"/>
        <v>27.16</v>
      </c>
      <c r="R69" s="177"/>
    </row>
    <row r="70" spans="1:18">
      <c r="A70" s="173" t="str">
        <f t="shared" si="14"/>
        <v>North America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>
        <v>695</v>
      </c>
      <c r="L70" s="174">
        <f t="shared" si="15"/>
        <v>686.480313615748</v>
      </c>
      <c r="M70" s="174">
        <f t="shared" si="15"/>
        <v>738.4</v>
      </c>
      <c r="N70" s="174">
        <f t="shared" si="15"/>
        <v>821.6</v>
      </c>
      <c r="O70" s="156">
        <f t="shared" si="15"/>
        <v>1067.58</v>
      </c>
      <c r="P70" s="156">
        <f t="shared" si="15"/>
        <v>929.04</v>
      </c>
      <c r="Q70" s="156">
        <f t="shared" si="15"/>
        <v>774.06</v>
      </c>
      <c r="R70" s="177"/>
    </row>
    <row r="71" spans="1:18">
      <c r="A71" s="173" t="str">
        <f t="shared" si="14"/>
        <v>Greater China</v>
      </c>
      <c r="B71" s="149"/>
      <c r="C71" s="149"/>
      <c r="D71" s="149"/>
      <c r="E71" s="149"/>
      <c r="F71" s="149"/>
      <c r="G71" s="149"/>
      <c r="H71" s="149"/>
      <c r="I71" s="149"/>
      <c r="J71" s="149"/>
      <c r="K71" s="149">
        <v>25</v>
      </c>
      <c r="L71" s="174">
        <f t="shared" si="15"/>
        <v>25.9049174949339</v>
      </c>
      <c r="M71" s="174">
        <f t="shared" si="15"/>
        <v>28.4</v>
      </c>
      <c r="N71" s="174">
        <f t="shared" si="15"/>
        <v>31.6</v>
      </c>
      <c r="O71" s="156">
        <f t="shared" si="15"/>
        <v>39.54</v>
      </c>
      <c r="P71" s="156">
        <f t="shared" si="15"/>
        <v>33.18</v>
      </c>
      <c r="Q71" s="156">
        <f t="shared" si="15"/>
        <v>27.16</v>
      </c>
      <c r="R71" s="177"/>
    </row>
    <row r="72" spans="1:18">
      <c r="A72" s="173" t="str">
        <f t="shared" si="14"/>
        <v>Other Asian Markets</v>
      </c>
      <c r="B72" s="149"/>
      <c r="C72" s="149"/>
      <c r="D72" s="149"/>
      <c r="E72" s="149"/>
      <c r="F72" s="149"/>
      <c r="G72" s="149"/>
      <c r="H72" s="149"/>
      <c r="I72" s="149"/>
      <c r="J72" s="149"/>
      <c r="K72" s="149">
        <v>316</v>
      </c>
      <c r="L72" s="174">
        <f t="shared" si="15"/>
        <v>323.811468686674</v>
      </c>
      <c r="M72" s="174">
        <f t="shared" si="15"/>
        <v>369.2</v>
      </c>
      <c r="N72" s="174">
        <f t="shared" si="15"/>
        <v>395</v>
      </c>
      <c r="O72" s="156">
        <f t="shared" si="15"/>
        <v>474.48</v>
      </c>
      <c r="P72" s="156">
        <f t="shared" si="15"/>
        <v>364.98</v>
      </c>
      <c r="Q72" s="156">
        <f t="shared" si="15"/>
        <v>230.86</v>
      </c>
      <c r="R72" s="177"/>
    </row>
    <row r="73" spans="1:18">
      <c r="A73" s="173" t="str">
        <f t="shared" si="14"/>
        <v>Latin America</v>
      </c>
      <c r="B73" s="149"/>
      <c r="C73" s="149"/>
      <c r="D73" s="149"/>
      <c r="E73" s="149"/>
      <c r="F73" s="149"/>
      <c r="G73" s="149"/>
      <c r="H73" s="149"/>
      <c r="I73" s="149"/>
      <c r="J73" s="149"/>
      <c r="K73" s="149">
        <v>12</v>
      </c>
      <c r="L73" s="174">
        <f t="shared" si="15"/>
        <v>12.9524587474669</v>
      </c>
      <c r="M73" s="174">
        <f t="shared" si="15"/>
        <v>14.2</v>
      </c>
      <c r="N73" s="174">
        <f t="shared" si="15"/>
        <v>15.8</v>
      </c>
      <c r="O73" s="156">
        <f t="shared" si="15"/>
        <v>19.77</v>
      </c>
      <c r="P73" s="156">
        <f t="shared" si="15"/>
        <v>16.59</v>
      </c>
      <c r="Q73" s="156">
        <f t="shared" si="15"/>
        <v>13.58</v>
      </c>
      <c r="R73" s="177"/>
    </row>
    <row r="74" spans="1:18">
      <c r="A74" s="173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74"/>
      <c r="M74" s="174"/>
      <c r="N74" s="174"/>
      <c r="O74" s="156"/>
      <c r="P74" s="156"/>
      <c r="Q74" s="156"/>
      <c r="R74" s="177"/>
    </row>
    <row r="75" spans="1:18">
      <c r="A75" s="173" t="s">
        <v>664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74">
        <f t="shared" ref="L75:Q78" si="16">L427*L$67</f>
        <v>841.909818585352</v>
      </c>
      <c r="M75" s="174">
        <f t="shared" si="16"/>
        <v>908.8</v>
      </c>
      <c r="N75" s="174">
        <f t="shared" si="16"/>
        <v>1042.8</v>
      </c>
      <c r="O75" s="156">
        <f t="shared" si="16"/>
        <v>1344.36</v>
      </c>
      <c r="P75" s="156">
        <f t="shared" si="16"/>
        <v>1094.94</v>
      </c>
      <c r="Q75" s="156">
        <f t="shared" si="16"/>
        <v>937.02</v>
      </c>
      <c r="R75" s="177"/>
    </row>
    <row r="76" spans="1:18">
      <c r="A76" s="173" t="s">
        <v>92</v>
      </c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74">
        <f t="shared" si="16"/>
        <v>233.144257454405</v>
      </c>
      <c r="M76" s="174">
        <f t="shared" si="16"/>
        <v>255.6</v>
      </c>
      <c r="N76" s="174">
        <f t="shared" si="16"/>
        <v>268.6</v>
      </c>
      <c r="O76" s="156">
        <f t="shared" si="16"/>
        <v>296.55</v>
      </c>
      <c r="P76" s="156">
        <f t="shared" si="16"/>
        <v>248.85</v>
      </c>
      <c r="Q76" s="156">
        <f t="shared" si="16"/>
        <v>0</v>
      </c>
      <c r="R76" s="177"/>
    </row>
    <row r="77" spans="1:18">
      <c r="A77" s="173" t="s">
        <v>93</v>
      </c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74">
        <f t="shared" si="16"/>
        <v>181.334422464537</v>
      </c>
      <c r="M77" s="174">
        <f t="shared" si="16"/>
        <v>198.8</v>
      </c>
      <c r="N77" s="174">
        <f t="shared" si="16"/>
        <v>205.4</v>
      </c>
      <c r="O77" s="156">
        <f t="shared" si="16"/>
        <v>237.24</v>
      </c>
      <c r="P77" s="156">
        <f t="shared" si="16"/>
        <v>215.67</v>
      </c>
      <c r="Q77" s="156">
        <f t="shared" si="16"/>
        <v>271.6</v>
      </c>
      <c r="R77" s="177"/>
    </row>
    <row r="78" spans="1:18">
      <c r="A78" s="173" t="s">
        <v>64</v>
      </c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74">
        <f t="shared" si="16"/>
        <v>38.8573762424008</v>
      </c>
      <c r="M78" s="174">
        <f t="shared" si="16"/>
        <v>56.8</v>
      </c>
      <c r="N78" s="174">
        <f t="shared" si="16"/>
        <v>63.2</v>
      </c>
      <c r="O78" s="156">
        <f t="shared" si="16"/>
        <v>98.85</v>
      </c>
      <c r="P78" s="156">
        <f t="shared" si="16"/>
        <v>99.54</v>
      </c>
      <c r="Q78" s="156">
        <f t="shared" si="16"/>
        <v>135.8</v>
      </c>
      <c r="R78" s="177"/>
    </row>
    <row r="79" s="141" customFormat="1" hidden="1" outlineLevel="1" spans="1:18">
      <c r="A79" s="170" t="s">
        <v>80</v>
      </c>
      <c r="B79" s="171">
        <f t="shared" ref="B79:O79" si="17">B29</f>
        <v>0</v>
      </c>
      <c r="C79" s="171">
        <f t="shared" si="17"/>
        <v>0</v>
      </c>
      <c r="D79" s="171">
        <f t="shared" si="17"/>
        <v>0</v>
      </c>
      <c r="E79" s="171">
        <f t="shared" si="17"/>
        <v>0</v>
      </c>
      <c r="F79" s="171">
        <f t="shared" si="17"/>
        <v>0</v>
      </c>
      <c r="G79" s="171">
        <f t="shared" si="17"/>
        <v>0</v>
      </c>
      <c r="H79" s="171">
        <f t="shared" si="17"/>
        <v>0</v>
      </c>
      <c r="I79" s="171">
        <f t="shared" si="17"/>
        <v>0</v>
      </c>
      <c r="J79" s="171">
        <f t="shared" si="17"/>
        <v>0</v>
      </c>
      <c r="K79" s="171">
        <f t="shared" si="17"/>
        <v>0</v>
      </c>
      <c r="L79" s="171">
        <f t="shared" si="17"/>
        <v>0</v>
      </c>
      <c r="M79" s="171">
        <f t="shared" si="17"/>
        <v>0</v>
      </c>
      <c r="N79" s="171">
        <f t="shared" si="17"/>
        <v>0</v>
      </c>
      <c r="O79" s="171">
        <f t="shared" si="17"/>
        <v>0</v>
      </c>
      <c r="P79" s="171"/>
      <c r="Q79" s="171"/>
      <c r="R79" s="172"/>
    </row>
    <row r="80" s="141" customFormat="1" hidden="1" outlineLevel="1" spans="1:18">
      <c r="A80" s="154" t="s">
        <v>1320</v>
      </c>
      <c r="B80" s="149"/>
      <c r="C80" s="149"/>
      <c r="D80" s="149"/>
      <c r="E80" s="149"/>
      <c r="F80" s="149"/>
      <c r="G80" s="149"/>
      <c r="H80" s="149">
        <v>3042</v>
      </c>
      <c r="I80" s="149">
        <v>3302</v>
      </c>
      <c r="J80" s="149">
        <v>3526</v>
      </c>
      <c r="K80" s="149">
        <v>3879</v>
      </c>
      <c r="L80" s="149"/>
      <c r="M80" s="149"/>
      <c r="N80" s="149"/>
      <c r="O80" s="149"/>
      <c r="P80" s="149"/>
      <c r="Q80" s="149"/>
      <c r="R80" s="168"/>
    </row>
    <row r="81" s="141" customFormat="1" hidden="1" outlineLevel="1" spans="1:18">
      <c r="A81" s="154" t="s">
        <v>101</v>
      </c>
      <c r="B81" s="149"/>
      <c r="C81" s="149"/>
      <c r="D81" s="149"/>
      <c r="E81" s="149"/>
      <c r="F81" s="149" t="e">
        <f>(G81/G79)*F79</f>
        <v>#DIV/0!</v>
      </c>
      <c r="G81" s="149" t="e">
        <f>(H81/H79)*G79</f>
        <v>#DIV/0!</v>
      </c>
      <c r="H81" s="149">
        <v>1179</v>
      </c>
      <c r="I81" s="149">
        <v>1321</v>
      </c>
      <c r="J81" s="149">
        <v>1275</v>
      </c>
      <c r="K81" s="149">
        <v>1149</v>
      </c>
      <c r="L81" s="149" t="e">
        <f>K81*(1+'Profit and Loss'!#REF!)</f>
        <v>#REF!</v>
      </c>
      <c r="M81" s="149" t="e">
        <f>L81*(1+'Profit and Loss'!#REF!)</f>
        <v>#REF!</v>
      </c>
      <c r="N81" s="149" t="e">
        <f>M81*(1+'Profit and Loss'!#REF!)</f>
        <v>#REF!</v>
      </c>
      <c r="O81" s="149" t="e">
        <f>N81*(1+'Profit and Loss'!#REF!)</f>
        <v>#REF!</v>
      </c>
      <c r="P81" s="149" t="e">
        <f>(L81/H81)^(1/4)-1</f>
        <v>#REF!</v>
      </c>
      <c r="Q81" s="149"/>
      <c r="R81" s="168"/>
    </row>
    <row r="82" s="141" customFormat="1" hidden="1" outlineLevel="1" spans="1:18">
      <c r="A82" s="154" t="s">
        <v>211</v>
      </c>
      <c r="B82" s="149"/>
      <c r="C82" s="149"/>
      <c r="D82" s="149"/>
      <c r="E82" s="149"/>
      <c r="F82" s="149"/>
      <c r="G82" s="149"/>
      <c r="H82" s="149">
        <v>1300</v>
      </c>
      <c r="I82" s="149">
        <v>1538</v>
      </c>
      <c r="J82" s="149">
        <v>1703</v>
      </c>
      <c r="K82" s="149">
        <v>2090</v>
      </c>
      <c r="L82" s="149"/>
      <c r="M82" s="149"/>
      <c r="N82" s="149"/>
      <c r="O82" s="149"/>
      <c r="P82" s="149"/>
      <c r="Q82" s="149"/>
      <c r="R82" s="168"/>
    </row>
    <row r="83" s="141" customFormat="1" hidden="1" outlineLevel="1" spans="1:18">
      <c r="A83" s="154" t="s">
        <v>102</v>
      </c>
      <c r="B83" s="149"/>
      <c r="C83" s="149"/>
      <c r="D83" s="149"/>
      <c r="E83" s="149"/>
      <c r="F83" s="149"/>
      <c r="G83" s="149"/>
      <c r="H83" s="149">
        <v>310</v>
      </c>
      <c r="I83" s="149">
        <v>425</v>
      </c>
      <c r="J83" s="149">
        <v>568</v>
      </c>
      <c r="K83" s="149">
        <v>660</v>
      </c>
      <c r="L83" s="149"/>
      <c r="M83" s="149"/>
      <c r="N83" s="149"/>
      <c r="O83" s="149"/>
      <c r="P83" s="149"/>
      <c r="Q83" s="149"/>
      <c r="R83" s="168"/>
    </row>
    <row r="84" s="141" customFormat="1" hidden="1" outlineLevel="1" spans="1:18">
      <c r="A84" s="154" t="s">
        <v>64</v>
      </c>
      <c r="B84" s="149">
        <f t="shared" ref="B84:O84" si="18">B79-SUM(B80:B83)</f>
        <v>0</v>
      </c>
      <c r="C84" s="149">
        <f t="shared" si="18"/>
        <v>0</v>
      </c>
      <c r="D84" s="149">
        <f t="shared" si="18"/>
        <v>0</v>
      </c>
      <c r="E84" s="149">
        <f t="shared" si="18"/>
        <v>0</v>
      </c>
      <c r="F84" s="149" t="e">
        <f t="shared" si="18"/>
        <v>#DIV/0!</v>
      </c>
      <c r="G84" s="149" t="e">
        <f t="shared" si="18"/>
        <v>#DIV/0!</v>
      </c>
      <c r="H84" s="149">
        <f t="shared" si="18"/>
        <v>-5831</v>
      </c>
      <c r="I84" s="149">
        <f t="shared" si="18"/>
        <v>-6586</v>
      </c>
      <c r="J84" s="149">
        <f t="shared" si="18"/>
        <v>-7072</v>
      </c>
      <c r="K84" s="149">
        <f t="shared" si="18"/>
        <v>-7778</v>
      </c>
      <c r="L84" s="149" t="e">
        <f t="shared" si="18"/>
        <v>#REF!</v>
      </c>
      <c r="M84" s="149" t="e">
        <f t="shared" si="18"/>
        <v>#REF!</v>
      </c>
      <c r="N84" s="149" t="e">
        <f t="shared" si="18"/>
        <v>#REF!</v>
      </c>
      <c r="O84" s="149" t="e">
        <f t="shared" si="18"/>
        <v>#REF!</v>
      </c>
      <c r="P84" s="149"/>
      <c r="Q84" s="149"/>
      <c r="R84" s="168"/>
    </row>
    <row r="85" s="141" customFormat="1" hidden="1" outlineLevel="1" spans="1:18">
      <c r="A85" s="154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68"/>
    </row>
    <row r="86" s="141" customFormat="1" hidden="1" outlineLevel="1" spans="1:18">
      <c r="A86" s="178" t="s">
        <v>1331</v>
      </c>
      <c r="B86" s="179"/>
      <c r="C86" s="179"/>
      <c r="D86" s="179"/>
      <c r="E86" s="179"/>
      <c r="F86" s="179"/>
      <c r="G86" s="179"/>
      <c r="H86" s="179">
        <v>4545</v>
      </c>
      <c r="I86" s="179">
        <v>5100</v>
      </c>
      <c r="J86" s="179">
        <f>Interim!DA639</f>
        <v>5608</v>
      </c>
      <c r="K86" s="179">
        <f>Interim!DI639</f>
        <v>6250</v>
      </c>
      <c r="L86" s="179"/>
      <c r="M86" s="179"/>
      <c r="N86" s="179"/>
      <c r="O86" s="179"/>
      <c r="P86" s="179"/>
      <c r="Q86" s="179"/>
      <c r="R86" s="180"/>
    </row>
    <row r="87" s="141" customFormat="1" hidden="1" outlineLevel="1" spans="1:18">
      <c r="A87" s="178" t="s">
        <v>649</v>
      </c>
      <c r="B87" s="179"/>
      <c r="C87" s="179"/>
      <c r="D87" s="179"/>
      <c r="E87" s="179"/>
      <c r="F87" s="179"/>
      <c r="G87" s="179"/>
      <c r="H87" s="179">
        <f>19+1290</f>
        <v>1309</v>
      </c>
      <c r="I87" s="179">
        <v>1470</v>
      </c>
      <c r="J87" s="179">
        <f>Interim!DA643</f>
        <v>1455</v>
      </c>
      <c r="K87" s="179">
        <f>Interim!DI643</f>
        <v>1535</v>
      </c>
      <c r="L87" s="179"/>
      <c r="M87" s="179"/>
      <c r="N87" s="179"/>
      <c r="O87" s="179"/>
      <c r="P87" s="179"/>
      <c r="Q87" s="179"/>
      <c r="R87" s="180"/>
    </row>
    <row r="88" s="141" customFormat="1" hidden="1" outlineLevel="1" spans="1:18">
      <c r="A88" s="178" t="s">
        <v>1333</v>
      </c>
      <c r="B88" s="179"/>
      <c r="C88" s="179"/>
      <c r="D88" s="179"/>
      <c r="E88" s="179"/>
      <c r="F88" s="179"/>
      <c r="G88" s="179"/>
      <c r="H88" s="179">
        <f>H79-H86-H87</f>
        <v>-5854</v>
      </c>
      <c r="I88" s="179">
        <f>I79-I86-I87</f>
        <v>-6570</v>
      </c>
      <c r="J88" s="179">
        <f>Interim!DA647</f>
        <v>50</v>
      </c>
      <c r="K88" s="179">
        <f>Interim!DI647</f>
        <v>36</v>
      </c>
      <c r="L88" s="179"/>
      <c r="M88" s="179"/>
      <c r="N88" s="179"/>
      <c r="O88" s="179"/>
      <c r="P88" s="179"/>
      <c r="Q88" s="179"/>
      <c r="R88" s="180"/>
    </row>
    <row r="89" s="141" customFormat="1" hidden="1" outlineLevel="1" spans="1:18">
      <c r="A89" s="178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80"/>
    </row>
    <row r="90" s="141" customFormat="1" hidden="1" outlineLevel="1" spans="1:18">
      <c r="A90" s="178" t="s">
        <v>1334</v>
      </c>
      <c r="B90" s="179"/>
      <c r="C90" s="179"/>
      <c r="D90" s="179"/>
      <c r="E90" s="179"/>
      <c r="F90" s="179"/>
      <c r="G90" s="179">
        <v>555</v>
      </c>
      <c r="H90" s="179">
        <v>757</v>
      </c>
      <c r="I90" s="179">
        <v>1009</v>
      </c>
      <c r="J90" s="179">
        <v>1229</v>
      </c>
      <c r="K90" s="179">
        <v>1432</v>
      </c>
      <c r="L90" s="179"/>
      <c r="M90" s="179"/>
      <c r="N90" s="179"/>
      <c r="O90" s="179"/>
      <c r="P90" s="179"/>
      <c r="Q90" s="179"/>
      <c r="R90" s="180"/>
    </row>
    <row r="91" s="141" customFormat="1" hidden="1" outlineLevel="1" spans="1:18">
      <c r="A91" s="178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80"/>
    </row>
    <row r="92" s="141" customFormat="1" hidden="1" outlineLevel="1" spans="1:18">
      <c r="A92" s="170" t="s">
        <v>82</v>
      </c>
      <c r="B92" s="171"/>
      <c r="C92" s="171"/>
      <c r="D92" s="171"/>
      <c r="E92" s="171"/>
      <c r="F92" s="171"/>
      <c r="G92" s="171"/>
      <c r="H92" s="171">
        <f>SUM(H99:H101)</f>
        <v>2719</v>
      </c>
      <c r="I92" s="171">
        <f t="shared" ref="I92:O92" si="19">I30</f>
        <v>0</v>
      </c>
      <c r="J92" s="171">
        <f t="shared" si="19"/>
        <v>0</v>
      </c>
      <c r="K92" s="171">
        <f t="shared" si="19"/>
        <v>0</v>
      </c>
      <c r="L92" s="171">
        <f t="shared" si="19"/>
        <v>0</v>
      </c>
      <c r="M92" s="171">
        <f t="shared" si="19"/>
        <v>0</v>
      </c>
      <c r="N92" s="171">
        <f t="shared" si="19"/>
        <v>0</v>
      </c>
      <c r="O92" s="171">
        <f t="shared" si="19"/>
        <v>0</v>
      </c>
      <c r="P92" s="171"/>
      <c r="Q92" s="171"/>
      <c r="R92" s="172"/>
    </row>
    <row r="93" s="141" customFormat="1" hidden="1" outlineLevel="1" spans="1:18">
      <c r="A93" s="154" t="s">
        <v>1320</v>
      </c>
      <c r="B93" s="149"/>
      <c r="C93" s="149"/>
      <c r="D93" s="149"/>
      <c r="E93" s="149"/>
      <c r="F93" s="149"/>
      <c r="G93" s="149"/>
      <c r="H93" s="149"/>
      <c r="I93" s="149">
        <v>768</v>
      </c>
      <c r="J93" s="149">
        <v>748</v>
      </c>
      <c r="K93" s="149">
        <v>691</v>
      </c>
      <c r="L93" s="149"/>
      <c r="M93" s="149"/>
      <c r="N93" s="149"/>
      <c r="O93" s="149"/>
      <c r="P93" s="149"/>
      <c r="Q93" s="149"/>
      <c r="R93" s="168"/>
    </row>
    <row r="94" s="141" customFormat="1" hidden="1" outlineLevel="1" spans="1:18">
      <c r="A94" s="154" t="s">
        <v>101</v>
      </c>
      <c r="B94" s="149"/>
      <c r="C94" s="149"/>
      <c r="D94" s="149"/>
      <c r="E94" s="149"/>
      <c r="F94" s="149"/>
      <c r="G94" s="149"/>
      <c r="H94" s="149"/>
      <c r="I94" s="149">
        <v>1408</v>
      </c>
      <c r="J94" s="149">
        <v>1231</v>
      </c>
      <c r="K94" s="149">
        <v>964</v>
      </c>
      <c r="L94" s="161"/>
      <c r="M94" s="161"/>
      <c r="N94" s="149"/>
      <c r="O94" s="149"/>
      <c r="P94" s="149"/>
      <c r="Q94" s="149"/>
      <c r="R94" s="168"/>
    </row>
    <row r="95" s="141" customFormat="1" hidden="1" outlineLevel="1" spans="1:18">
      <c r="A95" s="154" t="s">
        <v>211</v>
      </c>
      <c r="B95" s="149"/>
      <c r="C95" s="149"/>
      <c r="D95" s="149"/>
      <c r="E95" s="149"/>
      <c r="F95" s="149"/>
      <c r="G95" s="149"/>
      <c r="H95" s="149"/>
      <c r="I95" s="149">
        <v>229</v>
      </c>
      <c r="J95" s="149">
        <v>269</v>
      </c>
      <c r="K95" s="149">
        <v>267</v>
      </c>
      <c r="L95" s="149"/>
      <c r="M95" s="149"/>
      <c r="N95" s="149"/>
      <c r="O95" s="149"/>
      <c r="P95" s="149"/>
      <c r="Q95" s="149"/>
      <c r="R95" s="168"/>
    </row>
    <row r="96" s="141" customFormat="1" hidden="1" outlineLevel="1" spans="1:18">
      <c r="A96" s="154" t="s">
        <v>102</v>
      </c>
      <c r="B96" s="149"/>
      <c r="C96" s="149"/>
      <c r="D96" s="149"/>
      <c r="E96" s="149"/>
      <c r="F96" s="149"/>
      <c r="G96" s="149"/>
      <c r="H96" s="149"/>
      <c r="I96" s="149">
        <v>69</v>
      </c>
      <c r="J96" s="149">
        <v>84</v>
      </c>
      <c r="K96" s="149">
        <v>226</v>
      </c>
      <c r="L96" s="149"/>
      <c r="M96" s="149"/>
      <c r="N96" s="149"/>
      <c r="O96" s="149"/>
      <c r="P96" s="149"/>
      <c r="Q96" s="149"/>
      <c r="R96" s="168"/>
    </row>
    <row r="97" s="141" customFormat="1" hidden="1" outlineLevel="1" spans="1:18">
      <c r="A97" s="154" t="s">
        <v>64</v>
      </c>
      <c r="B97" s="149"/>
      <c r="C97" s="149"/>
      <c r="D97" s="149"/>
      <c r="E97" s="149"/>
      <c r="F97" s="149"/>
      <c r="G97" s="149"/>
      <c r="H97" s="149"/>
      <c r="I97" s="149">
        <f>I92-SUM(I93:I96)</f>
        <v>-2474</v>
      </c>
      <c r="J97" s="149">
        <f>J92-SUM(J93:J96)</f>
        <v>-2332</v>
      </c>
      <c r="K97" s="149">
        <f>K92-SUM(K93:K96)</f>
        <v>-2148</v>
      </c>
      <c r="L97" s="149"/>
      <c r="M97" s="149"/>
      <c r="N97" s="149"/>
      <c r="O97" s="149"/>
      <c r="P97" s="149"/>
      <c r="Q97" s="149"/>
      <c r="R97" s="168"/>
    </row>
    <row r="98" s="141" customFormat="1" hidden="1" outlineLevel="1" spans="1:18">
      <c r="A98" s="154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68"/>
    </row>
    <row r="99" s="141" customFormat="1" hidden="1" outlineLevel="1" spans="1:18">
      <c r="A99" s="178" t="s">
        <v>82</v>
      </c>
      <c r="B99" s="181"/>
      <c r="C99" s="181"/>
      <c r="D99" s="181"/>
      <c r="E99" s="181"/>
      <c r="F99" s="181"/>
      <c r="G99" s="181"/>
      <c r="H99" s="181">
        <v>2264</v>
      </c>
      <c r="I99" s="181">
        <v>1979</v>
      </c>
      <c r="J99" s="181">
        <f>0.8*J30</f>
        <v>0</v>
      </c>
      <c r="K99" s="181">
        <f>0.8*K30</f>
        <v>0</v>
      </c>
      <c r="L99" s="179"/>
      <c r="M99" s="181"/>
      <c r="N99" s="181"/>
      <c r="O99" s="181"/>
      <c r="P99" s="181"/>
      <c r="Q99" s="181"/>
      <c r="R99" s="172"/>
    </row>
    <row r="100" s="141" customFormat="1" hidden="1" outlineLevel="1" spans="1:18">
      <c r="A100" s="178" t="s">
        <v>1335</v>
      </c>
      <c r="B100" s="181"/>
      <c r="C100" s="181"/>
      <c r="D100" s="181"/>
      <c r="E100" s="181"/>
      <c r="F100" s="181"/>
      <c r="G100" s="181"/>
      <c r="H100" s="181">
        <v>175</v>
      </c>
      <c r="I100" s="181">
        <v>202</v>
      </c>
      <c r="J100" s="181">
        <f>0.09*J30</f>
        <v>0</v>
      </c>
      <c r="K100" s="181">
        <f>0.09*K30</f>
        <v>0</v>
      </c>
      <c r="L100" s="181"/>
      <c r="M100" s="181"/>
      <c r="N100" s="181"/>
      <c r="O100" s="181"/>
      <c r="P100" s="181"/>
      <c r="Q100" s="181"/>
      <c r="R100" s="172"/>
    </row>
    <row r="101" s="141" customFormat="1" hidden="1" outlineLevel="1" spans="1:18">
      <c r="A101" s="178" t="s">
        <v>92</v>
      </c>
      <c r="B101" s="181"/>
      <c r="C101" s="181"/>
      <c r="D101" s="181"/>
      <c r="E101" s="181"/>
      <c r="F101" s="181"/>
      <c r="G101" s="181"/>
      <c r="H101" s="181">
        <v>280</v>
      </c>
      <c r="I101" s="181">
        <v>293</v>
      </c>
      <c r="J101" s="181">
        <f>0.11*J30</f>
        <v>0</v>
      </c>
      <c r="K101" s="181">
        <f>0.11*K30</f>
        <v>0</v>
      </c>
      <c r="L101" s="181"/>
      <c r="M101" s="181"/>
      <c r="N101" s="181"/>
      <c r="O101" s="181"/>
      <c r="P101" s="181"/>
      <c r="Q101" s="181"/>
      <c r="R101" s="172"/>
    </row>
    <row r="102" s="141" customFormat="1" hidden="1" outlineLevel="1" spans="1:18">
      <c r="A102" s="178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72"/>
    </row>
    <row r="103" s="141" customFormat="1" hidden="1" outlineLevel="1" spans="1:18">
      <c r="A103" s="178" t="s">
        <v>1334</v>
      </c>
      <c r="B103" s="179"/>
      <c r="C103" s="179"/>
      <c r="D103" s="179"/>
      <c r="E103" s="179"/>
      <c r="F103" s="179"/>
      <c r="G103" s="179"/>
      <c r="H103" s="179"/>
      <c r="I103" s="179">
        <v>304</v>
      </c>
      <c r="J103" s="179">
        <v>371</v>
      </c>
      <c r="K103" s="179">
        <v>379</v>
      </c>
      <c r="L103" s="179"/>
      <c r="M103" s="179"/>
      <c r="N103" s="179"/>
      <c r="O103" s="179"/>
      <c r="P103" s="179"/>
      <c r="Q103" s="179"/>
      <c r="R103" s="180"/>
    </row>
    <row r="104" s="141" customFormat="1" hidden="1" outlineLevel="1" spans="1:18">
      <c r="A104" s="178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80"/>
    </row>
    <row r="105" s="141" customFormat="1" hidden="1" outlineLevel="1" spans="1:18">
      <c r="A105" s="170" t="s">
        <v>1336</v>
      </c>
      <c r="B105" s="171">
        <f t="shared" ref="B105:O105" si="20">B31</f>
        <v>0</v>
      </c>
      <c r="C105" s="171">
        <f t="shared" si="20"/>
        <v>0</v>
      </c>
      <c r="D105" s="171">
        <f t="shared" si="20"/>
        <v>0</v>
      </c>
      <c r="E105" s="171">
        <f t="shared" si="20"/>
        <v>0</v>
      </c>
      <c r="F105" s="171">
        <f t="shared" si="20"/>
        <v>0</v>
      </c>
      <c r="G105" s="171">
        <f t="shared" si="20"/>
        <v>0</v>
      </c>
      <c r="H105" s="171">
        <f t="shared" si="20"/>
        <v>0</v>
      </c>
      <c r="I105" s="171">
        <f t="shared" si="20"/>
        <v>0</v>
      </c>
      <c r="J105" s="171">
        <f t="shared" si="20"/>
        <v>0</v>
      </c>
      <c r="K105" s="171">
        <f t="shared" si="20"/>
        <v>0</v>
      </c>
      <c r="L105" s="171">
        <f t="shared" si="20"/>
        <v>0</v>
      </c>
      <c r="M105" s="171">
        <f t="shared" si="20"/>
        <v>0</v>
      </c>
      <c r="N105" s="171">
        <f t="shared" si="20"/>
        <v>0</v>
      </c>
      <c r="O105" s="171">
        <f t="shared" si="20"/>
        <v>0</v>
      </c>
      <c r="P105" s="171"/>
      <c r="Q105" s="171"/>
      <c r="R105" s="172"/>
    </row>
    <row r="106" s="141" customFormat="1" hidden="1" outlineLevel="1" spans="1:18">
      <c r="A106" s="154" t="s">
        <v>1320</v>
      </c>
      <c r="B106" s="149"/>
      <c r="C106" s="149"/>
      <c r="D106" s="149"/>
      <c r="E106" s="149"/>
      <c r="F106" s="149"/>
      <c r="G106" s="149">
        <v>96</v>
      </c>
      <c r="H106" s="149">
        <v>102</v>
      </c>
      <c r="I106" s="149">
        <v>92</v>
      </c>
      <c r="J106" s="149">
        <v>95</v>
      </c>
      <c r="K106" s="149">
        <v>95</v>
      </c>
      <c r="L106" s="149"/>
      <c r="M106" s="149"/>
      <c r="N106" s="149"/>
      <c r="O106" s="149"/>
      <c r="P106" s="149"/>
      <c r="Q106" s="149"/>
      <c r="R106" s="168"/>
    </row>
    <row r="107" s="141" customFormat="1" hidden="1" outlineLevel="1" spans="1:18">
      <c r="A107" s="154" t="s">
        <v>101</v>
      </c>
      <c r="B107" s="149"/>
      <c r="C107" s="149"/>
      <c r="D107" s="149"/>
      <c r="E107" s="149"/>
      <c r="F107" s="149"/>
      <c r="G107" s="149">
        <v>315</v>
      </c>
      <c r="H107" s="149">
        <v>383</v>
      </c>
      <c r="I107" s="149">
        <v>505</v>
      </c>
      <c r="J107" s="149">
        <v>422</v>
      </c>
      <c r="K107" s="149">
        <v>405</v>
      </c>
      <c r="L107" s="149"/>
      <c r="M107" s="149"/>
      <c r="N107" s="149"/>
      <c r="O107" s="149"/>
      <c r="P107" s="149"/>
      <c r="Q107" s="149"/>
      <c r="R107" s="168"/>
    </row>
    <row r="108" s="141" customFormat="1" hidden="1" outlineLevel="1" spans="1:18">
      <c r="A108" s="154" t="s">
        <v>211</v>
      </c>
      <c r="B108" s="149"/>
      <c r="C108" s="149"/>
      <c r="D108" s="149"/>
      <c r="E108" s="149"/>
      <c r="F108" s="149"/>
      <c r="G108" s="149">
        <v>220</v>
      </c>
      <c r="H108" s="149">
        <v>221</v>
      </c>
      <c r="I108" s="149">
        <v>254</v>
      </c>
      <c r="J108" s="149">
        <v>282</v>
      </c>
      <c r="K108" s="149">
        <v>305</v>
      </c>
      <c r="L108" s="149"/>
      <c r="M108" s="149"/>
      <c r="N108" s="149"/>
      <c r="O108" s="149"/>
      <c r="P108" s="149"/>
      <c r="Q108" s="149"/>
      <c r="R108" s="168"/>
    </row>
    <row r="109" s="141" customFormat="1" hidden="1" outlineLevel="1" spans="1:18">
      <c r="A109" s="154" t="s">
        <v>102</v>
      </c>
      <c r="B109" s="149"/>
      <c r="C109" s="149"/>
      <c r="D109" s="149"/>
      <c r="E109" s="149"/>
      <c r="F109" s="149"/>
      <c r="G109" s="149">
        <v>2</v>
      </c>
      <c r="H109" s="149">
        <v>3</v>
      </c>
      <c r="I109" s="149">
        <v>5</v>
      </c>
      <c r="J109" s="149">
        <v>5</v>
      </c>
      <c r="K109" s="149">
        <v>7</v>
      </c>
      <c r="L109" s="149"/>
      <c r="M109" s="149"/>
      <c r="N109" s="149"/>
      <c r="O109" s="149"/>
      <c r="P109" s="149"/>
      <c r="Q109" s="149"/>
      <c r="R109" s="168"/>
    </row>
    <row r="110" s="141" customFormat="1" hidden="1" outlineLevel="1" spans="1:18">
      <c r="A110" s="154" t="s">
        <v>64</v>
      </c>
      <c r="B110" s="149"/>
      <c r="C110" s="149"/>
      <c r="D110" s="149"/>
      <c r="E110" s="149"/>
      <c r="F110" s="149"/>
      <c r="G110" s="149">
        <f>G105-SUM(G106:G109)</f>
        <v>-633</v>
      </c>
      <c r="H110" s="149">
        <f>H105-SUM(H106:H109)</f>
        <v>-709</v>
      </c>
      <c r="I110" s="149">
        <f>I105-SUM(I106:I109)</f>
        <v>-856</v>
      </c>
      <c r="J110" s="149">
        <f>J105-SUM(J106:J109)</f>
        <v>-804</v>
      </c>
      <c r="K110" s="149">
        <f>K105-SUM(K106:K109)</f>
        <v>-812</v>
      </c>
      <c r="L110" s="149"/>
      <c r="M110" s="149"/>
      <c r="N110" s="149"/>
      <c r="O110" s="149"/>
      <c r="P110" s="149"/>
      <c r="Q110" s="149"/>
      <c r="R110" s="168"/>
    </row>
    <row r="111" s="141" customFormat="1" hidden="1" outlineLevel="1" spans="1:18">
      <c r="A111" s="154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68"/>
    </row>
    <row r="112" s="141" customFormat="1" hidden="1" outlineLevel="1" spans="1:18">
      <c r="A112" s="178" t="s">
        <v>1336</v>
      </c>
      <c r="B112" s="182" t="s">
        <v>173</v>
      </c>
      <c r="C112" s="182" t="s">
        <v>173</v>
      </c>
      <c r="D112" s="182" t="s">
        <v>173</v>
      </c>
      <c r="E112" s="182" t="s">
        <v>173</v>
      </c>
      <c r="F112" s="182" t="s">
        <v>173</v>
      </c>
      <c r="G112" s="182" t="s">
        <v>173</v>
      </c>
      <c r="H112" s="182" t="s">
        <v>173</v>
      </c>
      <c r="I112" s="182" t="s">
        <v>173</v>
      </c>
      <c r="J112" s="183" t="s">
        <v>173</v>
      </c>
      <c r="K112" s="181">
        <f>0.7*K31</f>
        <v>0</v>
      </c>
      <c r="L112" s="181"/>
      <c r="M112" s="181"/>
      <c r="N112" s="181"/>
      <c r="O112" s="181"/>
      <c r="P112" s="181"/>
      <c r="Q112" s="181"/>
      <c r="R112" s="172"/>
    </row>
    <row r="113" s="141" customFormat="1" hidden="1" outlineLevel="1" spans="1:18">
      <c r="A113" s="178" t="s">
        <v>1337</v>
      </c>
      <c r="B113" s="182" t="s">
        <v>173</v>
      </c>
      <c r="C113" s="182" t="s">
        <v>173</v>
      </c>
      <c r="D113" s="182" t="s">
        <v>173</v>
      </c>
      <c r="E113" s="182" t="s">
        <v>173</v>
      </c>
      <c r="F113" s="182" t="s">
        <v>173</v>
      </c>
      <c r="G113" s="182" t="s">
        <v>173</v>
      </c>
      <c r="H113" s="182" t="s">
        <v>173</v>
      </c>
      <c r="I113" s="182" t="s">
        <v>173</v>
      </c>
      <c r="J113" s="183" t="s">
        <v>173</v>
      </c>
      <c r="K113" s="181">
        <f>0.3*K31</f>
        <v>0</v>
      </c>
      <c r="L113" s="181"/>
      <c r="M113" s="181"/>
      <c r="N113" s="181"/>
      <c r="O113" s="181"/>
      <c r="P113" s="181"/>
      <c r="Q113" s="181"/>
      <c r="R113" s="172"/>
    </row>
    <row r="114" s="141" customFormat="1" hidden="1" outlineLevel="1" spans="1:18">
      <c r="A114" s="178" t="s">
        <v>1338</v>
      </c>
      <c r="B114" s="182" t="s">
        <v>173</v>
      </c>
      <c r="C114" s="182" t="s">
        <v>173</v>
      </c>
      <c r="D114" s="182" t="s">
        <v>173</v>
      </c>
      <c r="E114" s="182" t="s">
        <v>173</v>
      </c>
      <c r="F114" s="182" t="s">
        <v>173</v>
      </c>
      <c r="G114" s="182" t="s">
        <v>173</v>
      </c>
      <c r="H114" s="182" t="s">
        <v>173</v>
      </c>
      <c r="I114" s="182" t="s">
        <v>173</v>
      </c>
      <c r="J114" s="183" t="s">
        <v>173</v>
      </c>
      <c r="K114" s="181">
        <v>0</v>
      </c>
      <c r="L114" s="181"/>
      <c r="M114" s="181"/>
      <c r="N114" s="181"/>
      <c r="O114" s="181"/>
      <c r="P114" s="181"/>
      <c r="Q114" s="181"/>
      <c r="R114" s="172"/>
    </row>
    <row r="115" s="141" customFormat="1" hidden="1" outlineLevel="1" spans="1:18">
      <c r="A115" s="178" t="s">
        <v>64</v>
      </c>
      <c r="B115" s="182" t="s">
        <v>173</v>
      </c>
      <c r="C115" s="182" t="s">
        <v>173</v>
      </c>
      <c r="D115" s="182" t="s">
        <v>173</v>
      </c>
      <c r="E115" s="182" t="s">
        <v>173</v>
      </c>
      <c r="F115" s="182" t="s">
        <v>173</v>
      </c>
      <c r="G115" s="182" t="s">
        <v>173</v>
      </c>
      <c r="H115" s="182" t="s">
        <v>173</v>
      </c>
      <c r="I115" s="182" t="s">
        <v>173</v>
      </c>
      <c r="J115" s="179" t="s">
        <v>173</v>
      </c>
      <c r="K115" s="179">
        <f>K4-K31-K30-K29</f>
        <v>10799</v>
      </c>
      <c r="L115" s="179"/>
      <c r="M115" s="179"/>
      <c r="N115" s="179"/>
      <c r="O115" s="179"/>
      <c r="P115" s="179"/>
      <c r="Q115" s="179"/>
      <c r="R115" s="180"/>
    </row>
    <row r="116" s="141" customFormat="1" collapsed="1" spans="1:18">
      <c r="J116" s="179"/>
      <c r="K116" s="179"/>
      <c r="L116" s="179"/>
      <c r="M116" s="179"/>
      <c r="N116" s="179"/>
      <c r="O116" s="179"/>
      <c r="P116" s="179"/>
      <c r="Q116" s="179"/>
      <c r="R116" s="180"/>
    </row>
    <row r="117" s="141" customFormat="1" spans="1:18">
      <c r="H117" s="181"/>
      <c r="I117" s="181"/>
      <c r="J117" s="181"/>
      <c r="K117" s="181"/>
      <c r="L117" s="179"/>
      <c r="M117" s="179"/>
      <c r="N117" s="179"/>
      <c r="O117" s="179"/>
      <c r="P117" s="179"/>
      <c r="Q117" s="179"/>
      <c r="R117" s="180"/>
    </row>
    <row r="118" s="141" customFormat="1" spans="1:18">
      <c r="A118" s="150" t="s">
        <v>1339</v>
      </c>
      <c r="J118" s="179"/>
      <c r="K118" s="179"/>
      <c r="L118" s="179"/>
      <c r="M118" s="179"/>
      <c r="N118" s="179"/>
      <c r="O118" s="179"/>
      <c r="P118" s="179"/>
      <c r="Q118" s="179"/>
      <c r="R118" s="180"/>
    </row>
    <row r="119" s="141" customFormat="1" spans="1:18">
      <c r="R119" s="184"/>
    </row>
    <row r="120" spans="1:18">
      <c r="A120" s="151" t="s">
        <v>1319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3"/>
      <c r="M120" s="153"/>
      <c r="N120" s="153"/>
      <c r="O120" s="153"/>
      <c r="P120" s="153"/>
      <c r="Q120" s="153"/>
      <c r="R120" s="169"/>
    </row>
    <row r="121" spans="1:18">
      <c r="A121" s="155" t="s">
        <v>112</v>
      </c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61" t="e">
        <f t="shared" ref="L121:Q127" si="21">L15/K15-1</f>
        <v>#DIV/0!</v>
      </c>
      <c r="M121" s="161" t="e">
        <f t="shared" si="21"/>
        <v>#DIV/0!</v>
      </c>
      <c r="N121" s="161" t="e">
        <f t="shared" si="21"/>
        <v>#DIV/0!</v>
      </c>
      <c r="O121" s="161" t="e">
        <f t="shared" si="21"/>
        <v>#DIV/0!</v>
      </c>
      <c r="P121" s="161" t="e">
        <f t="shared" si="21"/>
        <v>#DIV/0!</v>
      </c>
      <c r="Q121" s="161" t="e">
        <f t="shared" si="21"/>
        <v>#DIV/0!</v>
      </c>
      <c r="R121" s="185"/>
    </row>
    <row r="122" spans="1:18">
      <c r="A122" s="155" t="s">
        <v>524</v>
      </c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61" t="e">
        <f t="shared" si="21"/>
        <v>#DIV/0!</v>
      </c>
      <c r="M122" s="161" t="e">
        <f t="shared" si="21"/>
        <v>#DIV/0!</v>
      </c>
      <c r="N122" s="161" t="e">
        <f t="shared" si="21"/>
        <v>#DIV/0!</v>
      </c>
      <c r="O122" s="161" t="e">
        <f t="shared" si="21"/>
        <v>#DIV/0!</v>
      </c>
      <c r="P122" s="161" t="e">
        <f t="shared" si="21"/>
        <v>#DIV/0!</v>
      </c>
      <c r="Q122" s="161" t="e">
        <f t="shared" si="21"/>
        <v>#DIV/0!</v>
      </c>
      <c r="R122" s="185"/>
    </row>
    <row r="123" spans="1:18">
      <c r="A123" s="155" t="s">
        <v>101</v>
      </c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61" t="e">
        <f t="shared" si="21"/>
        <v>#DIV/0!</v>
      </c>
      <c r="M123" s="161" t="e">
        <f t="shared" si="21"/>
        <v>#DIV/0!</v>
      </c>
      <c r="N123" s="161" t="e">
        <f t="shared" si="21"/>
        <v>#DIV/0!</v>
      </c>
      <c r="O123" s="161" t="e">
        <f t="shared" si="21"/>
        <v>#DIV/0!</v>
      </c>
      <c r="P123" s="161" t="e">
        <f t="shared" si="21"/>
        <v>#DIV/0!</v>
      </c>
      <c r="Q123" s="161" t="e">
        <f t="shared" si="21"/>
        <v>#DIV/0!</v>
      </c>
      <c r="R123" s="185"/>
    </row>
    <row r="124" spans="1:18">
      <c r="A124" s="155" t="s">
        <v>114</v>
      </c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61" t="e">
        <f t="shared" si="21"/>
        <v>#DIV/0!</v>
      </c>
      <c r="M124" s="161" t="e">
        <f t="shared" si="21"/>
        <v>#DIV/0!</v>
      </c>
      <c r="N124" s="161" t="e">
        <f t="shared" si="21"/>
        <v>#DIV/0!</v>
      </c>
      <c r="O124" s="161" t="e">
        <f t="shared" si="21"/>
        <v>#DIV/0!</v>
      </c>
      <c r="P124" s="161" t="e">
        <f t="shared" si="21"/>
        <v>#DIV/0!</v>
      </c>
      <c r="Q124" s="161" t="e">
        <f t="shared" si="21"/>
        <v>#DIV/0!</v>
      </c>
      <c r="R124" s="185"/>
    </row>
    <row r="125" spans="1:18">
      <c r="A125" s="155" t="s">
        <v>525</v>
      </c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61" t="e">
        <f t="shared" si="21"/>
        <v>#DIV/0!</v>
      </c>
      <c r="M125" s="161" t="e">
        <f t="shared" si="21"/>
        <v>#DIV/0!</v>
      </c>
      <c r="N125" s="161" t="e">
        <f t="shared" si="21"/>
        <v>#DIV/0!</v>
      </c>
      <c r="O125" s="161" t="e">
        <f t="shared" si="21"/>
        <v>#DIV/0!</v>
      </c>
      <c r="P125" s="161" t="e">
        <f t="shared" si="21"/>
        <v>#DIV/0!</v>
      </c>
      <c r="Q125" s="161" t="e">
        <f t="shared" si="21"/>
        <v>#DIV/0!</v>
      </c>
      <c r="R125" s="185"/>
    </row>
    <row r="126" spans="1:18">
      <c r="A126" s="155" t="s">
        <v>102</v>
      </c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61" t="e">
        <f t="shared" si="21"/>
        <v>#DIV/0!</v>
      </c>
      <c r="M126" s="161" t="e">
        <f t="shared" si="21"/>
        <v>#DIV/0!</v>
      </c>
      <c r="N126" s="161" t="e">
        <f t="shared" si="21"/>
        <v>#DIV/0!</v>
      </c>
      <c r="O126" s="161" t="e">
        <f t="shared" si="21"/>
        <v>#DIV/0!</v>
      </c>
      <c r="P126" s="161" t="e">
        <f t="shared" si="21"/>
        <v>#DIV/0!</v>
      </c>
      <c r="Q126" s="161" t="e">
        <f t="shared" si="21"/>
        <v>#DIV/0!</v>
      </c>
      <c r="R126" s="185"/>
    </row>
    <row r="127" spans="1:18">
      <c r="A127" s="155" t="s">
        <v>108</v>
      </c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61" t="e">
        <f t="shared" si="21"/>
        <v>#DIV/0!</v>
      </c>
      <c r="M127" s="161" t="e">
        <f t="shared" si="21"/>
        <v>#DIV/0!</v>
      </c>
      <c r="N127" s="161" t="e">
        <f t="shared" si="21"/>
        <v>#DIV/0!</v>
      </c>
      <c r="O127" s="161" t="e">
        <f t="shared" si="21"/>
        <v>#DIV/0!</v>
      </c>
      <c r="P127" s="161" t="e">
        <f t="shared" si="21"/>
        <v>#DIV/0!</v>
      </c>
      <c r="Q127" s="161" t="e">
        <f t="shared" si="21"/>
        <v>#DIV/0!</v>
      </c>
      <c r="R127" s="185"/>
    </row>
    <row r="128" spans="1:18">
      <c r="A128" s="160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7"/>
    </row>
    <row r="129" hidden="1" outlineLevel="1" spans="1:18">
      <c r="A129" s="154" t="s">
        <v>1320</v>
      </c>
      <c r="B129" s="186"/>
      <c r="C129" s="186" t="e">
        <f t="shared" ref="C129:O129" si="22">C9/B9-1</f>
        <v>#DIV/0!</v>
      </c>
      <c r="D129" s="186" t="e">
        <f t="shared" si="22"/>
        <v>#DIV/0!</v>
      </c>
      <c r="E129" s="186" t="e">
        <f t="shared" si="22"/>
        <v>#DIV/0!</v>
      </c>
      <c r="F129" s="186">
        <f t="shared" si="22"/>
        <v>0.0515625</v>
      </c>
      <c r="G129" s="186">
        <f t="shared" si="22"/>
        <v>-1</v>
      </c>
      <c r="H129" s="186" t="e">
        <f t="shared" si="22"/>
        <v>#DIV/0!</v>
      </c>
      <c r="I129" s="186" t="e">
        <f t="shared" si="22"/>
        <v>#DIV/0!</v>
      </c>
      <c r="J129" s="186" t="e">
        <f t="shared" si="22"/>
        <v>#DIV/0!</v>
      </c>
      <c r="K129" s="186" t="e">
        <f t="shared" si="22"/>
        <v>#DIV/0!</v>
      </c>
      <c r="L129" s="186" t="e">
        <f t="shared" si="22"/>
        <v>#DIV/0!</v>
      </c>
      <c r="M129" s="186" t="e">
        <f t="shared" si="22"/>
        <v>#DIV/0!</v>
      </c>
      <c r="N129" s="186" t="e">
        <f t="shared" si="22"/>
        <v>#DIV/0!</v>
      </c>
      <c r="O129" s="186" t="e">
        <f t="shared" si="22"/>
        <v>#DIV/0!</v>
      </c>
      <c r="P129" s="186"/>
      <c r="Q129" s="186"/>
      <c r="R129" s="187"/>
    </row>
    <row r="130" hidden="1" outlineLevel="1" spans="1:18">
      <c r="A130" s="154" t="s">
        <v>101</v>
      </c>
      <c r="B130" s="186"/>
      <c r="C130" s="186" t="e">
        <f t="shared" ref="C130:O130" si="23">C10/B10-1</f>
        <v>#DIV/0!</v>
      </c>
      <c r="D130" s="186" t="e">
        <f t="shared" si="23"/>
        <v>#DIV/0!</v>
      </c>
      <c r="E130" s="186" t="e">
        <f t="shared" si="23"/>
        <v>#DIV/0!</v>
      </c>
      <c r="F130" s="186">
        <f t="shared" si="23"/>
        <v>-0.203061224489796</v>
      </c>
      <c r="G130" s="186">
        <f t="shared" si="23"/>
        <v>-1</v>
      </c>
      <c r="H130" s="186" t="e">
        <f t="shared" si="23"/>
        <v>#DIV/0!</v>
      </c>
      <c r="I130" s="186" t="e">
        <f t="shared" si="23"/>
        <v>#DIV/0!</v>
      </c>
      <c r="J130" s="186" t="e">
        <f t="shared" si="23"/>
        <v>#DIV/0!</v>
      </c>
      <c r="K130" s="186" t="e">
        <f t="shared" si="23"/>
        <v>#DIV/0!</v>
      </c>
      <c r="L130" s="186" t="e">
        <f t="shared" si="23"/>
        <v>#DIV/0!</v>
      </c>
      <c r="M130" s="186" t="e">
        <f t="shared" si="23"/>
        <v>#DIV/0!</v>
      </c>
      <c r="N130" s="186" t="e">
        <f t="shared" si="23"/>
        <v>#DIV/0!</v>
      </c>
      <c r="O130" s="186" t="e">
        <f t="shared" si="23"/>
        <v>#DIV/0!</v>
      </c>
      <c r="P130" s="186"/>
      <c r="Q130" s="186"/>
      <c r="R130" s="187"/>
    </row>
    <row r="131" hidden="1" outlineLevel="1" spans="1:18">
      <c r="A131" s="154" t="s">
        <v>211</v>
      </c>
      <c r="B131" s="186"/>
      <c r="C131" s="186" t="e">
        <f t="shared" ref="C131:O131" si="24">C11/B11-1</f>
        <v>#DIV/0!</v>
      </c>
      <c r="D131" s="186" t="e">
        <f t="shared" si="24"/>
        <v>#DIV/0!</v>
      </c>
      <c r="E131" s="186" t="e">
        <f t="shared" si="24"/>
        <v>#DIV/0!</v>
      </c>
      <c r="F131" s="186">
        <f t="shared" si="24"/>
        <v>-0.0428816466552315</v>
      </c>
      <c r="G131" s="186">
        <f t="shared" si="24"/>
        <v>-1</v>
      </c>
      <c r="H131" s="186" t="e">
        <f t="shared" si="24"/>
        <v>#DIV/0!</v>
      </c>
      <c r="I131" s="186" t="e">
        <f t="shared" si="24"/>
        <v>#DIV/0!</v>
      </c>
      <c r="J131" s="186" t="e">
        <f t="shared" si="24"/>
        <v>#DIV/0!</v>
      </c>
      <c r="K131" s="186" t="e">
        <f t="shared" si="24"/>
        <v>#DIV/0!</v>
      </c>
      <c r="L131" s="186" t="e">
        <f t="shared" si="24"/>
        <v>#DIV/0!</v>
      </c>
      <c r="M131" s="186" t="e">
        <f t="shared" si="24"/>
        <v>#DIV/0!</v>
      </c>
      <c r="N131" s="186" t="e">
        <f t="shared" si="24"/>
        <v>#DIV/0!</v>
      </c>
      <c r="O131" s="186" t="e">
        <f t="shared" si="24"/>
        <v>#DIV/0!</v>
      </c>
      <c r="P131" s="186"/>
      <c r="Q131" s="186"/>
      <c r="R131" s="187"/>
    </row>
    <row r="132" hidden="1" outlineLevel="1" spans="1:18">
      <c r="A132" s="154" t="s">
        <v>102</v>
      </c>
      <c r="B132" s="186"/>
      <c r="C132" s="186" t="e">
        <f t="shared" ref="C132:O132" si="25">C12/B12-1</f>
        <v>#DIV/0!</v>
      </c>
      <c r="D132" s="186" t="e">
        <f t="shared" si="25"/>
        <v>#DIV/0!</v>
      </c>
      <c r="E132" s="186" t="e">
        <f t="shared" si="25"/>
        <v>#DIV/0!</v>
      </c>
      <c r="F132" s="186">
        <f t="shared" si="25"/>
        <v>0.0981595092024541</v>
      </c>
      <c r="G132" s="186">
        <f t="shared" si="25"/>
        <v>-1</v>
      </c>
      <c r="H132" s="186" t="e">
        <f t="shared" si="25"/>
        <v>#DIV/0!</v>
      </c>
      <c r="I132" s="186" t="e">
        <f t="shared" si="25"/>
        <v>#DIV/0!</v>
      </c>
      <c r="J132" s="186" t="e">
        <f t="shared" si="25"/>
        <v>#DIV/0!</v>
      </c>
      <c r="K132" s="186" t="e">
        <f t="shared" si="25"/>
        <v>#DIV/0!</v>
      </c>
      <c r="L132" s="186" t="e">
        <f t="shared" si="25"/>
        <v>#DIV/0!</v>
      </c>
      <c r="M132" s="186" t="e">
        <f t="shared" si="25"/>
        <v>#DIV/0!</v>
      </c>
      <c r="N132" s="186" t="e">
        <f t="shared" si="25"/>
        <v>#DIV/0!</v>
      </c>
      <c r="O132" s="186" t="e">
        <f t="shared" si="25"/>
        <v>#DIV/0!</v>
      </c>
      <c r="P132" s="186"/>
      <c r="Q132" s="186"/>
      <c r="R132" s="187"/>
    </row>
    <row r="133" hidden="1" outlineLevel="1" spans="1:18">
      <c r="A133" s="154" t="s">
        <v>64</v>
      </c>
      <c r="B133" s="186"/>
      <c r="C133" s="186" t="e">
        <f t="shared" ref="C133:O133" si="26">C13/B13-1</f>
        <v>#DIV/0!</v>
      </c>
      <c r="D133" s="186" t="e">
        <f t="shared" si="26"/>
        <v>#DIV/0!</v>
      </c>
      <c r="E133" s="186" t="e">
        <f t="shared" si="26"/>
        <v>#DIV/0!</v>
      </c>
      <c r="F133" s="186">
        <f t="shared" si="26"/>
        <v>0.323529411764706</v>
      </c>
      <c r="G133" s="186">
        <f t="shared" si="26"/>
        <v>-1</v>
      </c>
      <c r="H133" s="186" t="e">
        <f t="shared" si="26"/>
        <v>#DIV/0!</v>
      </c>
      <c r="I133" s="186" t="e">
        <f t="shared" si="26"/>
        <v>#DIV/0!</v>
      </c>
      <c r="J133" s="186" t="e">
        <f t="shared" si="26"/>
        <v>#DIV/0!</v>
      </c>
      <c r="K133" s="186" t="e">
        <f t="shared" si="26"/>
        <v>#DIV/0!</v>
      </c>
      <c r="L133" s="186" t="e">
        <f t="shared" si="26"/>
        <v>#DIV/0!</v>
      </c>
      <c r="M133" s="186" t="e">
        <f t="shared" si="26"/>
        <v>#DIV/0!</v>
      </c>
      <c r="N133" s="186" t="e">
        <f t="shared" si="26"/>
        <v>#DIV/0!</v>
      </c>
      <c r="O133" s="186" t="e">
        <f t="shared" si="26"/>
        <v>#DIV/0!</v>
      </c>
      <c r="P133" s="186"/>
      <c r="Q133" s="186"/>
      <c r="R133" s="187"/>
    </row>
    <row r="134" hidden="1" outlineLevel="1" spans="1:18">
      <c r="A134" s="154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8"/>
      <c r="M134" s="188"/>
      <c r="N134" s="188"/>
      <c r="O134" s="188"/>
      <c r="P134" s="188"/>
      <c r="Q134" s="188"/>
      <c r="R134" s="189"/>
    </row>
    <row r="135" collapsed="1" spans="1:18">
      <c r="A135" s="151" t="s">
        <v>1322</v>
      </c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1"/>
      <c r="M135" s="191"/>
      <c r="N135" s="191"/>
      <c r="O135" s="191"/>
      <c r="P135" s="191"/>
      <c r="Q135" s="191"/>
      <c r="R135" s="189"/>
    </row>
    <row r="136" spans="1:18">
      <c r="A136" s="160" t="s">
        <v>533</v>
      </c>
      <c r="B136" s="186"/>
      <c r="C136" s="186">
        <f t="shared" ref="C136:Q136" si="27">IF(ISNUMBER(C24/B24-1),C24/B24-1,"")</f>
        <v>0.131909033219167</v>
      </c>
      <c r="D136" s="186">
        <f t="shared" si="27"/>
        <v>0.0536779324055665</v>
      </c>
      <c r="E136" s="186">
        <f t="shared" si="27"/>
        <v>0.0758490566037735</v>
      </c>
      <c r="F136" s="186">
        <f t="shared" si="27"/>
        <v>-0.0294633461943178</v>
      </c>
      <c r="G136" s="186">
        <f t="shared" si="27"/>
        <v>-0.0531261293820021</v>
      </c>
      <c r="H136" s="186">
        <f t="shared" si="27"/>
        <v>0.136641221374046</v>
      </c>
      <c r="I136" s="186">
        <f t="shared" si="27"/>
        <v>0.589321692411014</v>
      </c>
      <c r="J136" s="186">
        <f t="shared" si="27"/>
        <v>0.00380308472427626</v>
      </c>
      <c r="K136" s="186">
        <f t="shared" si="27"/>
        <v>0.0353609766364975</v>
      </c>
      <c r="L136" s="186">
        <f t="shared" si="27"/>
        <v>-0.0563122585891441</v>
      </c>
      <c r="M136" s="186">
        <f t="shared" si="27"/>
        <v>0.160922016372253</v>
      </c>
      <c r="N136" s="186">
        <f t="shared" si="27"/>
        <v>0.158285396177398</v>
      </c>
      <c r="O136" s="186">
        <f t="shared" si="27"/>
        <v>0.108939442486383</v>
      </c>
      <c r="P136" s="186">
        <f t="shared" si="27"/>
        <v>-0.0483964172204565</v>
      </c>
      <c r="Q136" s="186">
        <f t="shared" si="27"/>
        <v>0.0107788067405497</v>
      </c>
      <c r="R136" s="187"/>
    </row>
    <row r="137" spans="1:18">
      <c r="A137" s="160" t="s">
        <v>536</v>
      </c>
      <c r="B137" s="186"/>
      <c r="C137" s="186">
        <f t="shared" ref="C137:Q137" si="28">IF(ISNUMBER(C25/B25-1),C25/B25-1,"")</f>
        <v>-0.00675225798320023</v>
      </c>
      <c r="D137" s="186">
        <f t="shared" si="28"/>
        <v>0.0170114942528736</v>
      </c>
      <c r="E137" s="186">
        <f t="shared" si="28"/>
        <v>0.0343580470162748</v>
      </c>
      <c r="F137" s="186">
        <f t="shared" si="28"/>
        <v>-0.0288461538461539</v>
      </c>
      <c r="G137" s="186">
        <f t="shared" si="28"/>
        <v>0.108010801080108</v>
      </c>
      <c r="H137" s="186">
        <f t="shared" si="28"/>
        <v>0.136474411047929</v>
      </c>
      <c r="I137" s="186">
        <f t="shared" si="28"/>
        <v>0.467119370979271</v>
      </c>
      <c r="J137" s="186">
        <f t="shared" si="28"/>
        <v>0.0781973203410475</v>
      </c>
      <c r="K137" s="186">
        <f t="shared" si="28"/>
        <v>0.0788522367826481</v>
      </c>
      <c r="L137" s="186">
        <f t="shared" si="28"/>
        <v>-0.023455497382199</v>
      </c>
      <c r="M137" s="186">
        <f t="shared" si="28"/>
        <v>0.153763671456144</v>
      </c>
      <c r="N137" s="186">
        <f t="shared" si="28"/>
        <v>0.0656133828996281</v>
      </c>
      <c r="O137" s="186">
        <f t="shared" si="28"/>
        <v>0.0971568114425256</v>
      </c>
      <c r="P137" s="186">
        <f t="shared" si="28"/>
        <v>-0.0761526232114468</v>
      </c>
      <c r="Q137" s="186">
        <f t="shared" si="28"/>
        <v>0.080536912751678</v>
      </c>
      <c r="R137" s="187"/>
    </row>
    <row r="138" spans="1:18">
      <c r="A138" s="160" t="s">
        <v>537</v>
      </c>
      <c r="B138" s="186"/>
      <c r="C138" s="186">
        <f t="shared" ref="C138:Q138" si="29">IF(ISNUMBER(C26/B26-1),C26/B26-1,"")</f>
        <v>0.214045573403063</v>
      </c>
      <c r="D138" s="186">
        <f t="shared" si="29"/>
        <v>0.0926573426573427</v>
      </c>
      <c r="E138" s="186">
        <f t="shared" si="29"/>
        <v>0.108</v>
      </c>
      <c r="F138" s="186">
        <f t="shared" si="29"/>
        <v>-0.0772563176895307</v>
      </c>
      <c r="G138" s="186">
        <f t="shared" si="29"/>
        <v>-0.391236306729264</v>
      </c>
      <c r="H138" s="186">
        <f t="shared" si="29"/>
        <v>0.105398457583548</v>
      </c>
      <c r="I138" s="186">
        <f t="shared" si="29"/>
        <v>0.448837209302326</v>
      </c>
      <c r="J138" s="186">
        <f t="shared" si="29"/>
        <v>-0.0995184590690209</v>
      </c>
      <c r="K138" s="186">
        <f t="shared" si="29"/>
        <v>-0.0151515151515151</v>
      </c>
      <c r="L138" s="186">
        <f t="shared" si="29"/>
        <v>-0.0262443438914027</v>
      </c>
      <c r="M138" s="186">
        <f t="shared" si="29"/>
        <v>0.134758364312268</v>
      </c>
      <c r="N138" s="186">
        <f t="shared" si="29"/>
        <v>0.103194103194103</v>
      </c>
      <c r="O138" s="186">
        <f t="shared" si="29"/>
        <v>0.240534521158129</v>
      </c>
      <c r="P138" s="186">
        <f t="shared" si="29"/>
        <v>0.0807899461400359</v>
      </c>
      <c r="Q138" s="186">
        <f t="shared" si="29"/>
        <v>-0.115725359911406</v>
      </c>
      <c r="R138" s="187"/>
    </row>
    <row r="139" spans="1:18">
      <c r="A139" s="151" t="s">
        <v>1330</v>
      </c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3"/>
      <c r="M139" s="153"/>
      <c r="N139" s="153"/>
      <c r="O139" s="153"/>
      <c r="P139" s="153"/>
      <c r="Q139" s="153"/>
      <c r="R139" s="169"/>
    </row>
    <row r="140" spans="1:18">
      <c r="A140" s="160" t="str">
        <f>$A35</f>
        <v>Wholesale </v>
      </c>
      <c r="B140" s="149"/>
      <c r="C140" s="149"/>
      <c r="D140" s="149"/>
      <c r="E140" s="149"/>
      <c r="F140" s="149"/>
      <c r="G140" s="149"/>
      <c r="H140" s="149"/>
      <c r="I140" s="149"/>
      <c r="J140" s="192"/>
      <c r="K140" s="192"/>
      <c r="L140" s="192">
        <f>'Profit and Loss'!P6</f>
        <v>-0.0765661252900232</v>
      </c>
      <c r="M140" s="192">
        <f>'Profit and Loss'!Q6</f>
        <v>0.141959798994975</v>
      </c>
      <c r="N140" s="192">
        <f>'Profit and Loss'!R6</f>
        <v>0.0965652120767633</v>
      </c>
      <c r="O140" s="192">
        <f>'Profit and Loss'!S6</f>
        <v>0.0626463047597816</v>
      </c>
      <c r="P140" s="192">
        <f>'Profit and Loss'!T6</f>
        <v>-0.0454211685723277</v>
      </c>
      <c r="Q140" s="192">
        <f>'Profit and Loss'!U6</f>
        <v>0.0303296703296703</v>
      </c>
      <c r="R140" s="185"/>
    </row>
    <row r="141" spans="1:18">
      <c r="A141" s="160" t="str">
        <f>$A36</f>
        <v>Retail</v>
      </c>
      <c r="B141" s="149"/>
      <c r="C141" s="149"/>
      <c r="D141" s="149"/>
      <c r="E141" s="149"/>
      <c r="F141" s="149"/>
      <c r="G141" s="149"/>
      <c r="H141" s="149"/>
      <c r="I141" s="149"/>
      <c r="J141" s="192"/>
      <c r="K141" s="192"/>
      <c r="L141" s="192">
        <f>'Profit and Loss'!P11</f>
        <v>0.0966628308400461</v>
      </c>
      <c r="M141" s="192">
        <f>'Profit and Loss'!Q11</f>
        <v>0.253410283315845</v>
      </c>
      <c r="N141" s="192">
        <f>'Profit and Loss'!R11</f>
        <v>0.16910841356216</v>
      </c>
      <c r="O141" s="192">
        <f>'Profit and Loss'!S11</f>
        <v>0.20766201217329</v>
      </c>
      <c r="P141" s="192">
        <f>'Profit and Loss'!T11</f>
        <v>0.0216424547880225</v>
      </c>
      <c r="Q141" s="192">
        <f>'Profit and Loss'!U11</f>
        <v>0.108695644956068</v>
      </c>
      <c r="R141" s="185"/>
    </row>
    <row r="142" spans="1:18">
      <c r="A142" s="160" t="str">
        <f>$A37</f>
        <v>Other</v>
      </c>
      <c r="B142" s="149"/>
      <c r="C142" s="149"/>
      <c r="D142" s="149"/>
      <c r="E142" s="149"/>
      <c r="F142" s="149"/>
      <c r="G142" s="149"/>
      <c r="H142" s="149"/>
      <c r="I142" s="149"/>
      <c r="J142" s="192"/>
      <c r="K142" s="192"/>
      <c r="L142" s="192">
        <f>'Profit and Loss'!P28</f>
        <v>0.00622568093385212</v>
      </c>
      <c r="M142" s="192">
        <f>'Profit and Loss'!Q28</f>
        <v>0.0982211910286157</v>
      </c>
      <c r="N142" s="192">
        <f>'Profit and Loss'!R28</f>
        <v>0.112676056338028</v>
      </c>
      <c r="O142" s="192">
        <f>'Profit and Loss'!S28</f>
        <v>0.25126582278481</v>
      </c>
      <c r="P142" s="192">
        <f>'Profit and Loss'!T28</f>
        <v>-0.160849772382398</v>
      </c>
      <c r="Q142" s="192">
        <f>'Profit and Loss'!U28</f>
        <v>-0.181434599156118</v>
      </c>
      <c r="R142" s="185"/>
    </row>
    <row r="143" spans="1:18">
      <c r="A143" s="160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R143" s="169"/>
    </row>
    <row r="144" spans="1:18">
      <c r="A144" s="170" t="s">
        <v>60</v>
      </c>
      <c r="B144" s="171"/>
      <c r="C144" s="171"/>
      <c r="D144" s="171"/>
      <c r="E144" s="171"/>
      <c r="F144" s="171"/>
      <c r="G144" s="171"/>
      <c r="H144" s="171"/>
      <c r="I144" s="193"/>
      <c r="J144" s="193">
        <f t="shared" ref="J144:Q144" si="30">J39/I39-1</f>
        <v>-0.00271017570058563</v>
      </c>
      <c r="K144" s="193">
        <f t="shared" si="30"/>
        <v>-0.0909220584860843</v>
      </c>
      <c r="L144" s="193">
        <f t="shared" si="30"/>
        <v>-0.0648894416311975</v>
      </c>
      <c r="M144" s="193">
        <f t="shared" si="30"/>
        <v>0.121994853234618</v>
      </c>
      <c r="N144" s="193">
        <f t="shared" si="30"/>
        <v>0.0948351567482706</v>
      </c>
      <c r="O144" s="193">
        <f t="shared" si="30"/>
        <v>0.0679545304327271</v>
      </c>
      <c r="P144" s="193">
        <f t="shared" si="30"/>
        <v>-0.0454211685723277</v>
      </c>
      <c r="Q144" s="193">
        <f t="shared" si="30"/>
        <v>0.0303296703296703</v>
      </c>
      <c r="R144" s="185"/>
    </row>
    <row r="145" spans="1:18">
      <c r="A145" s="173" t="str">
        <f t="shared" ref="A145:A150" si="31">$A40</f>
        <v>Western Europe</v>
      </c>
      <c r="B145" s="149"/>
      <c r="C145" s="149"/>
      <c r="D145" s="149"/>
      <c r="E145" s="149"/>
      <c r="F145" s="149"/>
      <c r="G145" s="149"/>
      <c r="H145" s="149"/>
      <c r="L145" s="192">
        <f t="shared" ref="L145:Q154" si="32">IF(ISERROR(L40/K40-1)," ",(L40/K40-1))</f>
        <v>-0.0842373978201635</v>
      </c>
      <c r="M145" s="192">
        <f t="shared" si="32"/>
        <v>0.0613464827895036</v>
      </c>
      <c r="N145" s="192">
        <f t="shared" si="32"/>
        <v>0.116827047749876</v>
      </c>
      <c r="O145" s="192">
        <f t="shared" si="32"/>
        <v>0.0219642296830875</v>
      </c>
      <c r="P145" s="192">
        <f t="shared" si="32"/>
        <v>-0.0973288302118513</v>
      </c>
      <c r="Q145" s="192">
        <f t="shared" si="32"/>
        <v>0.073469387755102</v>
      </c>
      <c r="R145" s="185"/>
    </row>
    <row r="146" spans="1:18">
      <c r="A146" s="173" t="str">
        <f t="shared" si="31"/>
        <v>European Ems</v>
      </c>
      <c r="B146" s="149"/>
      <c r="C146" s="149"/>
      <c r="D146" s="149"/>
      <c r="E146" s="149"/>
      <c r="F146" s="149"/>
      <c r="G146" s="149"/>
      <c r="H146" s="149"/>
      <c r="L146" s="192">
        <f t="shared" si="32"/>
        <v>-0.0632246777163904</v>
      </c>
      <c r="M146" s="192">
        <f t="shared" si="32"/>
        <v>-0.0382901257988988</v>
      </c>
      <c r="N146" s="192">
        <f t="shared" si="32"/>
        <v>0.0139168261132643</v>
      </c>
      <c r="O146" s="192">
        <f t="shared" si="32"/>
        <v>0.0987903225806452</v>
      </c>
      <c r="P146" s="192">
        <f t="shared" si="32"/>
        <v>0</v>
      </c>
      <c r="Q146" s="192">
        <f t="shared" si="32"/>
        <v>0.146788990825688</v>
      </c>
      <c r="R146" s="185"/>
    </row>
    <row r="147" spans="1:18">
      <c r="A147" s="173" t="str">
        <f t="shared" si="31"/>
        <v>North America</v>
      </c>
      <c r="B147" s="149"/>
      <c r="C147" s="149"/>
      <c r="D147" s="149"/>
      <c r="E147" s="149"/>
      <c r="F147" s="149"/>
      <c r="G147" s="149"/>
      <c r="H147" s="149"/>
      <c r="L147" s="192">
        <f t="shared" si="32"/>
        <v>-0.104718685831622</v>
      </c>
      <c r="M147" s="192">
        <f t="shared" si="32"/>
        <v>0.246660948038465</v>
      </c>
      <c r="N147" s="192">
        <f t="shared" si="32"/>
        <v>0.0860766324878572</v>
      </c>
      <c r="O147" s="192">
        <f t="shared" si="32"/>
        <v>-0.0152456239412762</v>
      </c>
      <c r="P147" s="192">
        <f t="shared" si="32"/>
        <v>-0.0636467889908257</v>
      </c>
      <c r="Q147" s="192">
        <f t="shared" si="32"/>
        <v>-0.0906307409675444</v>
      </c>
      <c r="R147" s="185"/>
    </row>
    <row r="148" spans="1:18">
      <c r="A148" s="173" t="str">
        <f t="shared" si="31"/>
        <v>Greater China</v>
      </c>
      <c r="B148" s="149"/>
      <c r="C148" s="149"/>
      <c r="D148" s="149"/>
      <c r="E148" s="149"/>
      <c r="F148" s="149"/>
      <c r="G148" s="149"/>
      <c r="H148" s="149"/>
      <c r="L148" s="192">
        <f t="shared" si="32"/>
        <v>-0.127123123123123</v>
      </c>
      <c r="M148" s="192">
        <f t="shared" si="32"/>
        <v>-0.0650042889711512</v>
      </c>
      <c r="N148" s="192">
        <f t="shared" si="32"/>
        <v>0.273119756659961</v>
      </c>
      <c r="O148" s="192">
        <f t="shared" si="32"/>
        <v>0.273603082851638</v>
      </c>
      <c r="P148" s="192">
        <f t="shared" si="32"/>
        <v>0.0612708018154311</v>
      </c>
      <c r="Q148" s="192">
        <f t="shared" si="32"/>
        <v>0.0805416963649324</v>
      </c>
      <c r="R148" s="185"/>
    </row>
    <row r="149" spans="1:18">
      <c r="A149" s="173" t="str">
        <f t="shared" si="31"/>
        <v>Other Asian Markets</v>
      </c>
      <c r="B149" s="149"/>
      <c r="C149" s="149"/>
      <c r="D149" s="149"/>
      <c r="E149" s="149"/>
      <c r="F149" s="149"/>
      <c r="G149" s="149"/>
      <c r="H149" s="149"/>
      <c r="L149" s="192">
        <f t="shared" si="32"/>
        <v>-0.0113333333333333</v>
      </c>
      <c r="M149" s="192">
        <f t="shared" si="32"/>
        <v>0.282279832268135</v>
      </c>
      <c r="N149" s="192">
        <f t="shared" si="32"/>
        <v>0.0210714811362409</v>
      </c>
      <c r="O149" s="192">
        <f t="shared" si="32"/>
        <v>0.120870870870871</v>
      </c>
      <c r="P149" s="192">
        <f t="shared" si="32"/>
        <v>-0.0837240455458808</v>
      </c>
      <c r="Q149" s="192">
        <f t="shared" si="32"/>
        <v>0.0241228070175439</v>
      </c>
      <c r="R149" s="185"/>
    </row>
    <row r="150" spans="1:18">
      <c r="A150" s="173" t="str">
        <f t="shared" si="31"/>
        <v>Latin America</v>
      </c>
      <c r="B150" s="149"/>
      <c r="C150" s="149"/>
      <c r="D150" s="149"/>
      <c r="E150" s="149"/>
      <c r="F150" s="149"/>
      <c r="G150" s="149"/>
      <c r="H150" s="149"/>
      <c r="L150" s="192">
        <f t="shared" si="32"/>
        <v>0.10380253164557</v>
      </c>
      <c r="M150" s="192">
        <f t="shared" si="32"/>
        <v>0.215494424337503</v>
      </c>
      <c r="N150" s="192">
        <f t="shared" si="32"/>
        <v>0.0614048660459885</v>
      </c>
      <c r="O150" s="192">
        <f t="shared" si="32"/>
        <v>0.0417777777777777</v>
      </c>
      <c r="P150" s="192">
        <f t="shared" si="32"/>
        <v>0.0324232081911262</v>
      </c>
      <c r="Q150" s="192">
        <f t="shared" si="32"/>
        <v>-0.0140495867768595</v>
      </c>
      <c r="R150" s="185"/>
    </row>
    <row r="151" spans="1:18">
      <c r="A151" s="173"/>
      <c r="B151" s="149"/>
      <c r="C151" s="149"/>
      <c r="D151" s="149"/>
      <c r="E151" s="149"/>
      <c r="F151" s="149"/>
      <c r="G151" s="149"/>
      <c r="H151" s="149"/>
      <c r="L151" s="192" t="str">
        <f t="shared" si="32"/>
        <v> </v>
      </c>
      <c r="M151" s="192" t="str">
        <f t="shared" si="32"/>
        <v> </v>
      </c>
      <c r="N151" s="192" t="str">
        <f t="shared" si="32"/>
        <v> </v>
      </c>
      <c r="O151" s="192" t="str">
        <f t="shared" si="32"/>
        <v> </v>
      </c>
      <c r="P151" s="192" t="str">
        <f t="shared" si="32"/>
        <v> </v>
      </c>
      <c r="Q151" s="192" t="str">
        <f t="shared" si="32"/>
        <v> </v>
      </c>
      <c r="R151" s="185"/>
    </row>
    <row r="152" spans="1:18">
      <c r="A152" s="173" t="str">
        <f>$A47</f>
        <v>Sport performance</v>
      </c>
      <c r="B152" s="149"/>
      <c r="C152" s="149"/>
      <c r="D152" s="149"/>
      <c r="E152" s="149"/>
      <c r="F152" s="149"/>
      <c r="G152" s="149"/>
      <c r="H152" s="149"/>
      <c r="L152" s="192" t="str">
        <f t="shared" si="32"/>
        <v> </v>
      </c>
      <c r="M152" s="192">
        <f t="shared" si="32"/>
        <v>0.0874719346735531</v>
      </c>
      <c r="N152" s="192">
        <f t="shared" si="32"/>
        <v>0.0859500875690837</v>
      </c>
      <c r="O152" s="192">
        <f t="shared" si="32"/>
        <v>0.109178917174614</v>
      </c>
      <c r="P152" s="192">
        <f t="shared" si="32"/>
        <v>-0.0350735412962664</v>
      </c>
      <c r="Q152" s="192">
        <f t="shared" si="32"/>
        <v>0.0296482412060302</v>
      </c>
      <c r="R152" s="185"/>
    </row>
    <row r="153" spans="1:18">
      <c r="A153" s="173" t="str">
        <f>$A48</f>
        <v>Sport Style</v>
      </c>
      <c r="B153" s="149"/>
      <c r="C153" s="149"/>
      <c r="D153" s="149"/>
      <c r="E153" s="149"/>
      <c r="F153" s="149"/>
      <c r="G153" s="149"/>
      <c r="H153" s="149"/>
      <c r="L153" s="192" t="str">
        <f t="shared" si="32"/>
        <v> </v>
      </c>
      <c r="M153" s="192">
        <f t="shared" si="32"/>
        <v>0.253994247732809</v>
      </c>
      <c r="N153" s="192">
        <f t="shared" si="32"/>
        <v>0.201336511076051</v>
      </c>
      <c r="O153" s="192">
        <f t="shared" si="32"/>
        <v>0.178398710370768</v>
      </c>
      <c r="P153" s="192">
        <f t="shared" si="32"/>
        <v>-0.0168718650250798</v>
      </c>
      <c r="Q153" s="192">
        <f t="shared" si="32"/>
        <v>0.0500927643784788</v>
      </c>
      <c r="R153" s="185"/>
    </row>
    <row r="154" spans="1:18">
      <c r="A154" s="173" t="str">
        <f>$A49</f>
        <v>Reebok</v>
      </c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92" t="str">
        <f t="shared" si="32"/>
        <v> </v>
      </c>
      <c r="M154" s="192">
        <f t="shared" si="32"/>
        <v>0.121994853234618</v>
      </c>
      <c r="N154" s="192">
        <f t="shared" si="32"/>
        <v>0.0057400775155767</v>
      </c>
      <c r="O154" s="192">
        <f t="shared" si="32"/>
        <v>-0.248644986449865</v>
      </c>
      <c r="P154" s="192">
        <f t="shared" si="32"/>
        <v>-0.0532010820559062</v>
      </c>
      <c r="Q154" s="192">
        <f t="shared" si="32"/>
        <v>-0.0476190476190477</v>
      </c>
      <c r="R154" s="185"/>
    </row>
    <row r="155" spans="1:18">
      <c r="A155" s="160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R155" s="169"/>
    </row>
    <row r="156" spans="1:18">
      <c r="A156" s="170" t="s">
        <v>62</v>
      </c>
      <c r="B156" s="171"/>
      <c r="C156" s="171"/>
      <c r="D156" s="171"/>
      <c r="E156" s="171"/>
      <c r="F156" s="171"/>
      <c r="G156" s="171"/>
      <c r="H156" s="171"/>
      <c r="I156" s="171"/>
      <c r="J156" s="193">
        <f t="shared" ref="J156:Q166" si="33">IF(ISERROR(J51/I51-1)," ",(J51/I51-1))</f>
        <v>0.442019494364909</v>
      </c>
      <c r="K156" s="193">
        <f t="shared" si="33"/>
        <v>0.838663510487928</v>
      </c>
      <c r="L156" s="193">
        <f t="shared" si="33"/>
        <v>0.0733402828608667</v>
      </c>
      <c r="M156" s="193">
        <f t="shared" si="33"/>
        <v>0.283327446510184</v>
      </c>
      <c r="N156" s="193">
        <f t="shared" si="33"/>
        <v>0.166734778982485</v>
      </c>
      <c r="O156" s="193">
        <f t="shared" si="33"/>
        <v>0.205577179456936</v>
      </c>
      <c r="P156" s="193">
        <f t="shared" si="33"/>
        <v>0.0216424547880225</v>
      </c>
      <c r="Q156" s="193">
        <f t="shared" si="33"/>
        <v>0.108695644956068</v>
      </c>
      <c r="R156" s="185"/>
    </row>
    <row r="157" spans="1:18">
      <c r="A157" s="173" t="str">
        <f t="shared" ref="A157:A162" si="34">$A52</f>
        <v>Western Europe</v>
      </c>
      <c r="B157" s="149"/>
      <c r="C157" s="149"/>
      <c r="D157" s="149"/>
      <c r="E157" s="149"/>
      <c r="F157" s="149"/>
      <c r="G157" s="149"/>
      <c r="H157" s="149"/>
      <c r="I157" s="149"/>
      <c r="J157" s="137" t="str">
        <f t="shared" si="33"/>
        <v> </v>
      </c>
      <c r="K157" s="137" t="str">
        <f t="shared" si="33"/>
        <v> </v>
      </c>
      <c r="L157" s="192">
        <f t="shared" si="33"/>
        <v>0.0218796875</v>
      </c>
      <c r="M157" s="192">
        <f t="shared" si="33"/>
        <v>0.0999949541515865</v>
      </c>
      <c r="N157" s="192">
        <f t="shared" si="33"/>
        <v>0.101916180150125</v>
      </c>
      <c r="O157" s="192">
        <f t="shared" si="33"/>
        <v>0.0637445701090613</v>
      </c>
      <c r="P157" s="192">
        <f t="shared" si="33"/>
        <v>0.0897519517738907</v>
      </c>
      <c r="Q157" s="192">
        <f t="shared" si="33"/>
        <v>0.247282600575576</v>
      </c>
      <c r="R157" s="185"/>
    </row>
    <row r="158" spans="1:18">
      <c r="A158" s="173" t="str">
        <f t="shared" si="34"/>
        <v>European Ems</v>
      </c>
      <c r="B158" s="149"/>
      <c r="C158" s="149"/>
      <c r="D158" s="149"/>
      <c r="E158" s="149"/>
      <c r="F158" s="149"/>
      <c r="G158" s="149"/>
      <c r="H158" s="149"/>
      <c r="I158" s="149"/>
      <c r="J158" s="137" t="str">
        <f t="shared" si="33"/>
        <v> </v>
      </c>
      <c r="K158" s="137" t="str">
        <f t="shared" si="33"/>
        <v> </v>
      </c>
      <c r="L158" s="192">
        <f t="shared" si="33"/>
        <v>-0.0132910891089109</v>
      </c>
      <c r="M158" s="192">
        <f t="shared" si="33"/>
        <v>0.403639394620514</v>
      </c>
      <c r="N158" s="192">
        <f t="shared" si="33"/>
        <v>0.266740617180984</v>
      </c>
      <c r="O158" s="192">
        <f t="shared" si="33"/>
        <v>0.26902860995467</v>
      </c>
      <c r="P158" s="192">
        <f t="shared" si="33"/>
        <v>-0.0294396679513786</v>
      </c>
      <c r="Q158" s="192">
        <f t="shared" si="33"/>
        <v>-0.0371853609592042</v>
      </c>
      <c r="R158" s="185"/>
    </row>
    <row r="159" spans="1:18">
      <c r="A159" s="173" t="str">
        <f t="shared" si="34"/>
        <v>North America</v>
      </c>
      <c r="B159" s="149"/>
      <c r="C159" s="149"/>
      <c r="D159" s="149"/>
      <c r="E159" s="149"/>
      <c r="F159" s="149"/>
      <c r="G159" s="149"/>
      <c r="H159" s="149"/>
      <c r="I159" s="149"/>
      <c r="J159" s="137" t="str">
        <f t="shared" si="33"/>
        <v> </v>
      </c>
      <c r="K159" s="137" t="str">
        <f t="shared" si="33"/>
        <v> </v>
      </c>
      <c r="L159" s="192">
        <f t="shared" si="33"/>
        <v>0.0295206611570249</v>
      </c>
      <c r="M159" s="192">
        <f t="shared" si="33"/>
        <v>0.219161074184675</v>
      </c>
      <c r="N159" s="192">
        <f t="shared" si="33"/>
        <v>0.105327685351828</v>
      </c>
      <c r="O159" s="192">
        <f t="shared" si="33"/>
        <v>0.205577179456936</v>
      </c>
      <c r="P159" s="192">
        <f t="shared" si="33"/>
        <v>0.0216424547880225</v>
      </c>
      <c r="Q159" s="192">
        <f t="shared" si="33"/>
        <v>0.170289847453627</v>
      </c>
      <c r="R159" s="185"/>
    </row>
    <row r="160" spans="1:18">
      <c r="A160" s="173" t="str">
        <f t="shared" si="34"/>
        <v>Greater China</v>
      </c>
      <c r="B160" s="149"/>
      <c r="C160" s="149"/>
      <c r="D160" s="149"/>
      <c r="E160" s="149"/>
      <c r="F160" s="149"/>
      <c r="G160" s="149"/>
      <c r="H160" s="149"/>
      <c r="I160" s="149"/>
      <c r="J160" s="137" t="str">
        <f t="shared" si="33"/>
        <v> </v>
      </c>
      <c r="K160" s="137" t="str">
        <f t="shared" si="33"/>
        <v> </v>
      </c>
      <c r="L160" s="192">
        <f t="shared" si="33"/>
        <v>0.762811320754717</v>
      </c>
      <c r="M160" s="192">
        <f t="shared" si="33"/>
        <v>0.539992935812221</v>
      </c>
      <c r="N160" s="192">
        <f t="shared" si="33"/>
        <v>0.166734778982485</v>
      </c>
      <c r="O160" s="192">
        <f t="shared" si="33"/>
        <v>0.205577179456936</v>
      </c>
      <c r="P160" s="192">
        <f t="shared" si="33"/>
        <v>0.0216424547880225</v>
      </c>
      <c r="Q160" s="192">
        <f t="shared" si="33"/>
        <v>0.293478252448746</v>
      </c>
      <c r="R160" s="185"/>
    </row>
    <row r="161" spans="1:18">
      <c r="A161" s="173" t="str">
        <f t="shared" si="34"/>
        <v>Other Asian Markets</v>
      </c>
      <c r="B161" s="149"/>
      <c r="C161" s="149"/>
      <c r="D161" s="149"/>
      <c r="E161" s="149"/>
      <c r="F161" s="149"/>
      <c r="G161" s="149"/>
      <c r="H161" s="149"/>
      <c r="I161" s="149"/>
      <c r="J161" s="137" t="str">
        <f t="shared" si="33"/>
        <v> </v>
      </c>
      <c r="K161" s="137" t="str">
        <f t="shared" si="33"/>
        <v> </v>
      </c>
      <c r="L161" s="192">
        <f t="shared" si="33"/>
        <v>0.1678625</v>
      </c>
      <c r="M161" s="192">
        <f t="shared" si="33"/>
        <v>0.197772283409505</v>
      </c>
      <c r="N161" s="192">
        <f t="shared" si="33"/>
        <v>0.0833965804837362</v>
      </c>
      <c r="O161" s="192">
        <f t="shared" si="33"/>
        <v>0.205577179456936</v>
      </c>
      <c r="P161" s="192">
        <f t="shared" si="33"/>
        <v>-0.0569454263495177</v>
      </c>
      <c r="Q161" s="192">
        <f t="shared" si="33"/>
        <v>0.108695644956068</v>
      </c>
      <c r="R161" s="185"/>
    </row>
    <row r="162" spans="1:18">
      <c r="A162" s="173" t="str">
        <f t="shared" si="34"/>
        <v>Latin America</v>
      </c>
      <c r="B162" s="149"/>
      <c r="C162" s="149"/>
      <c r="D162" s="149"/>
      <c r="E162" s="149"/>
      <c r="F162" s="149"/>
      <c r="G162" s="149"/>
      <c r="H162" s="149"/>
      <c r="I162" s="149"/>
      <c r="J162" s="137" t="str">
        <f t="shared" si="33"/>
        <v> </v>
      </c>
      <c r="K162" s="137" t="str">
        <f t="shared" si="33"/>
        <v> </v>
      </c>
      <c r="L162" s="192">
        <f t="shared" si="33"/>
        <v>0.421745652173913</v>
      </c>
      <c r="M162" s="192">
        <f t="shared" si="33"/>
        <v>0.466659938868782</v>
      </c>
      <c r="N162" s="192">
        <f t="shared" si="33"/>
        <v>0.166734778982485</v>
      </c>
      <c r="O162" s="192">
        <f t="shared" si="33"/>
        <v>0.205577179456936</v>
      </c>
      <c r="P162" s="192">
        <f t="shared" si="33"/>
        <v>0.277053068485028</v>
      </c>
      <c r="Q162" s="192">
        <f t="shared" si="33"/>
        <v>0.219565209451675</v>
      </c>
      <c r="R162" s="185"/>
    </row>
    <row r="163" spans="1:18">
      <c r="A163" s="173"/>
      <c r="B163" s="149"/>
      <c r="C163" s="149"/>
      <c r="D163" s="149"/>
      <c r="E163" s="149"/>
      <c r="F163" s="149"/>
      <c r="G163" s="149"/>
      <c r="H163" s="149"/>
      <c r="I163" s="149"/>
      <c r="J163" s="137" t="str">
        <f t="shared" si="33"/>
        <v> </v>
      </c>
      <c r="K163" s="137" t="str">
        <f t="shared" si="33"/>
        <v> </v>
      </c>
      <c r="L163" s="192" t="str">
        <f t="shared" si="33"/>
        <v> </v>
      </c>
      <c r="M163" s="192" t="str">
        <f t="shared" si="33"/>
        <v> </v>
      </c>
      <c r="N163" s="192" t="str">
        <f t="shared" si="33"/>
        <v> </v>
      </c>
      <c r="O163" s="192" t="str">
        <f t="shared" si="33"/>
        <v> </v>
      </c>
      <c r="P163" s="192" t="str">
        <f t="shared" si="33"/>
        <v> </v>
      </c>
      <c r="Q163" s="192" t="str">
        <f t="shared" si="33"/>
        <v> </v>
      </c>
      <c r="R163" s="185"/>
    </row>
    <row r="164" spans="1:18">
      <c r="A164" s="173" t="str">
        <f>$A59</f>
        <v>Factory Outlets</v>
      </c>
      <c r="B164" s="149"/>
      <c r="C164" s="149"/>
      <c r="D164" s="149"/>
      <c r="E164" s="149"/>
      <c r="F164" s="149"/>
      <c r="G164" s="149"/>
      <c r="H164" s="149"/>
      <c r="I164" s="149"/>
      <c r="J164" s="137" t="str">
        <f t="shared" si="33"/>
        <v> </v>
      </c>
      <c r="K164" s="137" t="str">
        <f t="shared" si="33"/>
        <v> </v>
      </c>
      <c r="L164" s="192" t="str">
        <f t="shared" si="33"/>
        <v> </v>
      </c>
      <c r="M164" s="192">
        <f t="shared" si="33"/>
        <v>0.210686270292627</v>
      </c>
      <c r="N164" s="192">
        <f t="shared" si="33"/>
        <v>0.0967306922435363</v>
      </c>
      <c r="O164" s="192">
        <f t="shared" si="33"/>
        <v>0.154276022884301</v>
      </c>
      <c r="P164" s="192">
        <f t="shared" si="33"/>
        <v>-0.00106071087393356</v>
      </c>
      <c r="Q164" s="192">
        <f t="shared" si="33"/>
        <v>0.0583003883671556</v>
      </c>
      <c r="R164" s="185"/>
    </row>
    <row r="165" spans="1:18">
      <c r="A165" s="173" t="str">
        <f>$A60</f>
        <v>Concept stores</v>
      </c>
      <c r="B165" s="149"/>
      <c r="C165" s="149"/>
      <c r="D165" s="149"/>
      <c r="E165" s="149"/>
      <c r="F165" s="149"/>
      <c r="G165" s="149"/>
      <c r="H165" s="149"/>
      <c r="I165" s="149"/>
      <c r="J165" s="192" t="str">
        <f t="shared" si="33"/>
        <v> </v>
      </c>
      <c r="K165" s="192" t="str">
        <f t="shared" si="33"/>
        <v> </v>
      </c>
      <c r="L165" s="192" t="str">
        <f t="shared" si="33"/>
        <v> </v>
      </c>
      <c r="M165" s="192">
        <f t="shared" si="33"/>
        <v>0.372861919522523</v>
      </c>
      <c r="N165" s="192">
        <f t="shared" si="33"/>
        <v>0.192098578525583</v>
      </c>
      <c r="O165" s="192">
        <f t="shared" si="33"/>
        <v>0.205577179456936</v>
      </c>
      <c r="P165" s="192">
        <f t="shared" si="33"/>
        <v>-9.46187181055658e-5</v>
      </c>
      <c r="Q165" s="192">
        <f>IF(ISERROR(Q60/P60-1)," ",(Q60/P60-1))</f>
        <v>0.060491486479717</v>
      </c>
      <c r="R165" s="185"/>
    </row>
    <row r="166" spans="1:18">
      <c r="A166" s="173" t="str">
        <f>$A61</f>
        <v>Other formats</v>
      </c>
      <c r="B166" s="149"/>
      <c r="C166" s="149"/>
      <c r="D166" s="149"/>
      <c r="E166" s="149"/>
      <c r="F166" s="149"/>
      <c r="G166" s="149"/>
      <c r="H166" s="149"/>
      <c r="I166" s="149"/>
      <c r="J166" s="192" t="str">
        <f t="shared" si="33"/>
        <v> </v>
      </c>
      <c r="K166" s="192" t="str">
        <f t="shared" si="33"/>
        <v> </v>
      </c>
      <c r="L166" s="192" t="str">
        <f t="shared" si="33"/>
        <v> </v>
      </c>
      <c r="M166" s="192">
        <f t="shared" si="33"/>
        <v>0.283327446510184</v>
      </c>
      <c r="N166" s="192">
        <f t="shared" si="33"/>
        <v>0.750102168473728</v>
      </c>
      <c r="O166" s="192">
        <f t="shared" si="33"/>
        <v>0.607436239275915</v>
      </c>
      <c r="P166" s="192">
        <f t="shared" si="33"/>
        <v>0.277053068485028</v>
      </c>
      <c r="Q166" s="192">
        <f t="shared" si="33"/>
        <v>0.552173902938495</v>
      </c>
      <c r="R166" s="185"/>
    </row>
    <row r="167" spans="1:18">
      <c r="A167" s="173"/>
      <c r="B167" s="149"/>
      <c r="C167" s="149"/>
      <c r="D167" s="149"/>
      <c r="E167" s="149"/>
      <c r="F167" s="149"/>
      <c r="G167" s="149"/>
      <c r="H167" s="149"/>
      <c r="I167" s="149"/>
      <c r="J167" s="192"/>
      <c r="K167" s="192"/>
      <c r="L167" s="192"/>
      <c r="M167" s="192"/>
      <c r="N167" s="192"/>
      <c r="O167" s="192"/>
      <c r="P167" s="192"/>
      <c r="Q167" s="192"/>
      <c r="R167" s="185"/>
    </row>
    <row r="168" spans="1:18">
      <c r="A168" s="173" t="str">
        <f>$A63</f>
        <v>Sport performance</v>
      </c>
      <c r="B168" s="149"/>
      <c r="C168" s="149"/>
      <c r="D168" s="149"/>
      <c r="E168" s="149"/>
      <c r="F168" s="149"/>
      <c r="G168" s="149"/>
      <c r="H168" s="149"/>
      <c r="I168" s="149"/>
      <c r="J168" s="192"/>
      <c r="K168" s="192"/>
      <c r="L168" s="192"/>
      <c r="M168" s="192"/>
      <c r="N168" s="192">
        <f t="shared" ref="N168:Q170" si="35">IF(ISERROR(N63/M63-1)," ",(N63/M63-1))</f>
        <v>0.122507122507123</v>
      </c>
      <c r="O168" s="192">
        <f t="shared" si="35"/>
        <v>0.17258883248731</v>
      </c>
      <c r="P168" s="192">
        <f t="shared" si="35"/>
        <v>0.0146103896103895</v>
      </c>
      <c r="Q168" s="192">
        <f t="shared" si="35"/>
        <v>0.1264</v>
      </c>
      <c r="R168" s="185"/>
    </row>
    <row r="169" spans="1:18">
      <c r="A169" s="173" t="str">
        <f>$A64</f>
        <v>Sport Style</v>
      </c>
      <c r="B169" s="149"/>
      <c r="C169" s="149"/>
      <c r="D169" s="149"/>
      <c r="E169" s="149"/>
      <c r="F169" s="149"/>
      <c r="G169" s="149"/>
      <c r="H169" s="149"/>
      <c r="I169" s="149"/>
      <c r="J169" s="192"/>
      <c r="K169" s="192"/>
      <c r="L169" s="192"/>
      <c r="M169" s="192"/>
      <c r="N169" s="192">
        <f t="shared" si="35"/>
        <v>0.307826086956522</v>
      </c>
      <c r="O169" s="192">
        <f t="shared" si="35"/>
        <v>0.273936170212766</v>
      </c>
      <c r="P169" s="192">
        <f t="shared" si="35"/>
        <v>0.0647181628392484</v>
      </c>
      <c r="Q169" s="192">
        <f t="shared" si="35"/>
        <v>0.130392156862745</v>
      </c>
      <c r="R169" s="185"/>
    </row>
    <row r="170" spans="1:18">
      <c r="A170" s="173" t="str">
        <f>$A65</f>
        <v>Reebok</v>
      </c>
      <c r="B170" s="149"/>
      <c r="C170" s="149"/>
      <c r="D170" s="149"/>
      <c r="E170" s="149"/>
      <c r="F170" s="149"/>
      <c r="G170" s="149"/>
      <c r="H170" s="149"/>
      <c r="I170" s="149"/>
      <c r="J170" s="192"/>
      <c r="K170" s="192"/>
      <c r="L170" s="192"/>
      <c r="M170" s="192"/>
      <c r="N170" s="192">
        <f t="shared" si="35"/>
        <v>0.134803921568627</v>
      </c>
      <c r="O170" s="192">
        <f t="shared" si="35"/>
        <v>0.205183585313175</v>
      </c>
      <c r="P170" s="192">
        <f t="shared" si="35"/>
        <v>-0.0161290322580645</v>
      </c>
      <c r="Q170" s="192">
        <f t="shared" si="35"/>
        <v>0.052823315118397</v>
      </c>
      <c r="R170" s="185"/>
    </row>
    <row r="171" spans="1:18">
      <c r="A171" s="173"/>
      <c r="B171" s="149"/>
      <c r="C171" s="149"/>
      <c r="D171" s="149"/>
      <c r="E171" s="149"/>
      <c r="F171" s="149"/>
      <c r="G171" s="149"/>
      <c r="H171" s="149"/>
      <c r="I171" s="149"/>
      <c r="J171" s="192"/>
      <c r="K171" s="192"/>
      <c r="L171" s="192"/>
      <c r="M171" s="192"/>
      <c r="N171" s="192"/>
      <c r="O171" s="192"/>
      <c r="P171" s="192"/>
      <c r="Q171" s="192"/>
      <c r="R171" s="185"/>
    </row>
    <row r="172" spans="1:18">
      <c r="A172" s="170" t="s">
        <v>70</v>
      </c>
      <c r="B172" s="171"/>
      <c r="C172" s="171"/>
      <c r="D172" s="171"/>
      <c r="E172" s="171"/>
      <c r="F172" s="171"/>
      <c r="G172" s="171"/>
      <c r="H172" s="171"/>
      <c r="I172" s="171"/>
      <c r="J172" s="193">
        <f t="shared" ref="J172:Q172" si="36">IF(ISERROR(J67/I67-1)," ",(J67/I67-1))</f>
        <v>-0.0607476635514017</v>
      </c>
      <c r="K172" s="193">
        <f t="shared" si="36"/>
        <v>0.600927165489683</v>
      </c>
      <c r="L172" s="193">
        <f t="shared" si="36"/>
        <v>0.00629333207780935</v>
      </c>
      <c r="M172" s="193">
        <f t="shared" si="36"/>
        <v>0.0963169446709897</v>
      </c>
      <c r="N172" s="193">
        <f t="shared" si="36"/>
        <v>0.112676056338028</v>
      </c>
      <c r="O172" s="193">
        <f t="shared" si="36"/>
        <v>0.25126582278481</v>
      </c>
      <c r="P172" s="193">
        <f t="shared" si="36"/>
        <v>-0.160849772382398</v>
      </c>
      <c r="Q172" s="193">
        <f t="shared" si="36"/>
        <v>-0.181434599156118</v>
      </c>
      <c r="R172" s="185"/>
    </row>
    <row r="173" spans="1:18">
      <c r="A173" s="173" t="str">
        <f t="shared" ref="A173:A178" si="37">$A156</f>
        <v>Retail</v>
      </c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92">
        <f t="shared" ref="L173:Q183" si="38">IF(ISERROR(L68/K68-1)," ",(L68/K68-1))</f>
        <v>0.0586144168602796</v>
      </c>
      <c r="M173" s="192">
        <f t="shared" si="38"/>
        <v>0.0963169446709897</v>
      </c>
      <c r="N173" s="192">
        <f t="shared" si="38"/>
        <v>0.112676056338028</v>
      </c>
      <c r="O173" s="192">
        <f t="shared" si="38"/>
        <v>0.177661950856292</v>
      </c>
      <c r="P173" s="192">
        <f t="shared" si="38"/>
        <v>-0.160849772382398</v>
      </c>
      <c r="Q173" s="192">
        <f t="shared" si="38"/>
        <v>0.0743670886075949</v>
      </c>
      <c r="R173" s="185"/>
    </row>
    <row r="174" spans="1:18">
      <c r="A174" s="173" t="str">
        <f t="shared" si="37"/>
        <v>Western Europe</v>
      </c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92">
        <f t="shared" si="38"/>
        <v>-0.106726982933314</v>
      </c>
      <c r="M174" s="192">
        <f t="shared" si="38"/>
        <v>0.0963169446709897</v>
      </c>
      <c r="N174" s="192">
        <f t="shared" si="38"/>
        <v>0.669014084507042</v>
      </c>
      <c r="O174" s="192">
        <f t="shared" si="38"/>
        <v>0.25126582278481</v>
      </c>
      <c r="P174" s="192">
        <f t="shared" si="38"/>
        <v>-0.160849772382398</v>
      </c>
      <c r="Q174" s="192">
        <f t="shared" si="38"/>
        <v>-0.454289732770745</v>
      </c>
      <c r="R174" s="185"/>
    </row>
    <row r="175" spans="1:18">
      <c r="A175" s="173" t="str">
        <f t="shared" si="37"/>
        <v>European Ems</v>
      </c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92">
        <f t="shared" si="38"/>
        <v>-0.0122585415600744</v>
      </c>
      <c r="M175" s="192">
        <f t="shared" si="38"/>
        <v>0.075631719299839</v>
      </c>
      <c r="N175" s="192">
        <f t="shared" si="38"/>
        <v>0.112676056338028</v>
      </c>
      <c r="O175" s="192">
        <f t="shared" si="38"/>
        <v>0.299391431353457</v>
      </c>
      <c r="P175" s="192">
        <f t="shared" si="38"/>
        <v>-0.129770134322486</v>
      </c>
      <c r="Q175" s="192">
        <f t="shared" si="38"/>
        <v>-0.166817359855335</v>
      </c>
      <c r="R175" s="185"/>
    </row>
    <row r="176" spans="1:18">
      <c r="A176" s="173" t="str">
        <f t="shared" si="37"/>
        <v>North America</v>
      </c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92">
        <f t="shared" si="38"/>
        <v>0.036196699797356</v>
      </c>
      <c r="M176" s="192">
        <f t="shared" si="38"/>
        <v>0.0963169446709897</v>
      </c>
      <c r="N176" s="192">
        <f t="shared" si="38"/>
        <v>0.112676056338028</v>
      </c>
      <c r="O176" s="192">
        <f t="shared" si="38"/>
        <v>0.25126582278481</v>
      </c>
      <c r="P176" s="192">
        <f t="shared" si="38"/>
        <v>-0.160849772382398</v>
      </c>
      <c r="Q176" s="192">
        <f t="shared" si="38"/>
        <v>-0.181434599156118</v>
      </c>
      <c r="R176" s="185"/>
    </row>
    <row r="177" spans="1:18">
      <c r="A177" s="173" t="str">
        <f t="shared" si="37"/>
        <v>Greater China</v>
      </c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92">
        <f t="shared" si="38"/>
        <v>0.024719837616056</v>
      </c>
      <c r="M177" s="192">
        <f t="shared" si="38"/>
        <v>0.140169622457829</v>
      </c>
      <c r="N177" s="192">
        <f t="shared" si="38"/>
        <v>0.0698808234019501</v>
      </c>
      <c r="O177" s="192">
        <f t="shared" si="38"/>
        <v>0.201215189873418</v>
      </c>
      <c r="P177" s="192">
        <f t="shared" si="38"/>
        <v>-0.230778958017198</v>
      </c>
      <c r="Q177" s="192">
        <f t="shared" si="38"/>
        <v>-0.367472190257</v>
      </c>
      <c r="R177" s="185"/>
    </row>
    <row r="178" spans="1:18">
      <c r="A178" s="173" t="str">
        <f t="shared" si="37"/>
        <v>Other Asian Markets</v>
      </c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92">
        <f t="shared" si="38"/>
        <v>0.0793715622889124</v>
      </c>
      <c r="M178" s="192">
        <f t="shared" si="38"/>
        <v>0.0963169446709897</v>
      </c>
      <c r="N178" s="192">
        <f t="shared" si="38"/>
        <v>0.112676056338028</v>
      </c>
      <c r="O178" s="192">
        <f t="shared" si="38"/>
        <v>0.25126582278481</v>
      </c>
      <c r="P178" s="192">
        <f t="shared" si="38"/>
        <v>-0.160849772382398</v>
      </c>
      <c r="Q178" s="192">
        <f t="shared" si="38"/>
        <v>-0.181434599156118</v>
      </c>
      <c r="R178" s="185"/>
    </row>
    <row r="179" spans="1:18">
      <c r="A179" s="173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92" t="str">
        <f t="shared" si="38"/>
        <v> </v>
      </c>
      <c r="M179" s="192" t="str">
        <f t="shared" si="38"/>
        <v> </v>
      </c>
      <c r="N179" s="192" t="str">
        <f t="shared" si="38"/>
        <v> </v>
      </c>
      <c r="O179" s="192" t="str">
        <f t="shared" si="38"/>
        <v> </v>
      </c>
      <c r="P179" s="192" t="str">
        <f t="shared" si="38"/>
        <v> </v>
      </c>
      <c r="Q179" s="192" t="str">
        <f t="shared" si="38"/>
        <v> </v>
      </c>
      <c r="R179" s="185"/>
    </row>
    <row r="180" spans="1:18">
      <c r="A180" s="173" t="s">
        <v>664</v>
      </c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92" t="str">
        <f t="shared" si="38"/>
        <v> </v>
      </c>
      <c r="M180" s="192">
        <f t="shared" si="38"/>
        <v>0.0794505301375901</v>
      </c>
      <c r="N180" s="192">
        <f t="shared" si="38"/>
        <v>0.147447183098592</v>
      </c>
      <c r="O180" s="192">
        <f t="shared" si="38"/>
        <v>0.289182968929805</v>
      </c>
      <c r="P180" s="192">
        <f t="shared" si="38"/>
        <v>-0.185530661429974</v>
      </c>
      <c r="Q180" s="192">
        <f t="shared" si="38"/>
        <v>-0.144227080935942</v>
      </c>
      <c r="R180" s="185"/>
    </row>
    <row r="181" spans="1:18">
      <c r="A181" s="173" t="s">
        <v>92</v>
      </c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92" t="str">
        <f t="shared" si="38"/>
        <v> </v>
      </c>
      <c r="M181" s="192">
        <f t="shared" si="38"/>
        <v>0.0963169446709897</v>
      </c>
      <c r="N181" s="192">
        <f t="shared" si="38"/>
        <v>0.0508607198748046</v>
      </c>
      <c r="O181" s="192">
        <f t="shared" si="38"/>
        <v>0.104058078927774</v>
      </c>
      <c r="P181" s="192">
        <f t="shared" si="38"/>
        <v>-0.160849772382398</v>
      </c>
      <c r="Q181" s="192">
        <f t="shared" si="38"/>
        <v>-1</v>
      </c>
      <c r="R181" s="185"/>
    </row>
    <row r="182" spans="1:18">
      <c r="A182" s="173" t="s">
        <v>93</v>
      </c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92" t="str">
        <f t="shared" si="38"/>
        <v> </v>
      </c>
      <c r="M182" s="192">
        <f t="shared" si="38"/>
        <v>0.0963169446709897</v>
      </c>
      <c r="N182" s="192">
        <f t="shared" si="38"/>
        <v>0.0331991951710262</v>
      </c>
      <c r="O182" s="192">
        <f t="shared" si="38"/>
        <v>0.155014605647517</v>
      </c>
      <c r="P182" s="192">
        <f t="shared" si="38"/>
        <v>-0.0909205867475973</v>
      </c>
      <c r="Q182" s="192">
        <f t="shared" si="38"/>
        <v>0.259331385913664</v>
      </c>
      <c r="R182" s="185"/>
    </row>
    <row r="183" spans="1:18">
      <c r="A183" s="173" t="s">
        <v>64</v>
      </c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92" t="str">
        <f t="shared" si="38"/>
        <v> </v>
      </c>
      <c r="M183" s="192">
        <f t="shared" si="38"/>
        <v>0.461755926227986</v>
      </c>
      <c r="N183" s="192">
        <f t="shared" si="38"/>
        <v>0.112676056338028</v>
      </c>
      <c r="O183" s="192">
        <f t="shared" si="38"/>
        <v>0.564082278481013</v>
      </c>
      <c r="P183" s="192">
        <f t="shared" si="38"/>
        <v>0.00698027314112259</v>
      </c>
      <c r="Q183" s="192">
        <f t="shared" si="38"/>
        <v>0.364275668073137</v>
      </c>
      <c r="R183" s="185"/>
    </row>
    <row r="184" spans="1:18">
      <c r="A184" s="173"/>
      <c r="B184" s="149"/>
      <c r="C184" s="149"/>
      <c r="D184" s="149"/>
      <c r="E184" s="149"/>
      <c r="F184" s="149"/>
      <c r="G184" s="149"/>
      <c r="H184" s="149"/>
      <c r="I184" s="149"/>
      <c r="J184" s="192" t="str">
        <f>IF(ISERROR(J78/I78-1)," ",(J78/I78-1))</f>
        <v> </v>
      </c>
      <c r="K184" s="192" t="str">
        <f>IF(ISERROR(K78/J78-1)," ",(K78/J78-1))</f>
        <v> </v>
      </c>
      <c r="L184" s="192" t="str">
        <f>IF(ISERROR(L78/K78-1)," ",(L78/K78-1))</f>
        <v> </v>
      </c>
      <c r="M184" s="192"/>
      <c r="N184" s="192">
        <f>IF(ISERROR(N78/M78-1)," ",(N78/M78-1))</f>
        <v>0.112676056338028</v>
      </c>
      <c r="O184" s="192">
        <f>IF(ISERROR(O78/N78-1)," ",(O78/N78-1))</f>
        <v>0.564082278481013</v>
      </c>
      <c r="P184" s="192">
        <f>IF(ISERROR(P78/O78-1)," ",(P78/O78-1))</f>
        <v>0.00698027314112259</v>
      </c>
      <c r="Q184" s="192">
        <f>IF(ISERROR(Q78/P78-1)," ",(Q78/P78-1))</f>
        <v>0.364275668073137</v>
      </c>
      <c r="R184" s="185"/>
    </row>
    <row r="185" hidden="1" outlineLevel="1" spans="1:18">
      <c r="A185" s="151" t="s">
        <v>1340</v>
      </c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1"/>
      <c r="M185" s="191"/>
      <c r="N185" s="191"/>
      <c r="O185" s="191"/>
      <c r="P185" s="191"/>
      <c r="Q185" s="191"/>
      <c r="R185" s="189"/>
    </row>
    <row r="186" hidden="1" outlineLevel="1" spans="1:18">
      <c r="A186" s="160" t="s">
        <v>80</v>
      </c>
      <c r="B186" s="186"/>
      <c r="C186" s="186" t="e">
        <f t="shared" ref="C186:O186" si="39">C29/B29-1</f>
        <v>#DIV/0!</v>
      </c>
      <c r="D186" s="186" t="e">
        <f t="shared" si="39"/>
        <v>#DIV/0!</v>
      </c>
      <c r="E186" s="186" t="e">
        <f t="shared" si="39"/>
        <v>#DIV/0!</v>
      </c>
      <c r="F186" s="186" t="e">
        <f t="shared" si="39"/>
        <v>#DIV/0!</v>
      </c>
      <c r="G186" s="186" t="e">
        <f t="shared" si="39"/>
        <v>#DIV/0!</v>
      </c>
      <c r="H186" s="186" t="e">
        <f t="shared" si="39"/>
        <v>#DIV/0!</v>
      </c>
      <c r="I186" s="186" t="e">
        <f t="shared" si="39"/>
        <v>#DIV/0!</v>
      </c>
      <c r="J186" s="186" t="e">
        <f t="shared" si="39"/>
        <v>#DIV/0!</v>
      </c>
      <c r="K186" s="186" t="e">
        <f t="shared" si="39"/>
        <v>#DIV/0!</v>
      </c>
      <c r="L186" s="186" t="e">
        <f t="shared" si="39"/>
        <v>#DIV/0!</v>
      </c>
      <c r="M186" s="186" t="e">
        <f t="shared" si="39"/>
        <v>#DIV/0!</v>
      </c>
      <c r="N186" s="186" t="e">
        <f t="shared" si="39"/>
        <v>#DIV/0!</v>
      </c>
      <c r="O186" s="186" t="e">
        <f t="shared" si="39"/>
        <v>#DIV/0!</v>
      </c>
      <c r="P186" s="186"/>
      <c r="Q186" s="186"/>
      <c r="R186" s="187"/>
    </row>
    <row r="187" hidden="1" outlineLevel="1" spans="1:18">
      <c r="A187" s="160" t="s">
        <v>82</v>
      </c>
      <c r="B187" s="186"/>
      <c r="C187" s="186"/>
      <c r="D187" s="186"/>
      <c r="E187" s="186"/>
      <c r="F187" s="186"/>
      <c r="G187" s="186"/>
      <c r="H187" s="186"/>
      <c r="I187" s="186">
        <f t="shared" ref="I187:O189" si="40">I30/H30-1</f>
        <v>-1</v>
      </c>
      <c r="J187" s="186" t="e">
        <f t="shared" si="40"/>
        <v>#DIV/0!</v>
      </c>
      <c r="K187" s="186" t="e">
        <f t="shared" si="40"/>
        <v>#DIV/0!</v>
      </c>
      <c r="L187" s="186" t="e">
        <f t="shared" si="40"/>
        <v>#DIV/0!</v>
      </c>
      <c r="M187" s="186" t="e">
        <f t="shared" si="40"/>
        <v>#DIV/0!</v>
      </c>
      <c r="N187" s="186" t="e">
        <f t="shared" si="40"/>
        <v>#DIV/0!</v>
      </c>
      <c r="O187" s="186" t="e">
        <f t="shared" si="40"/>
        <v>#DIV/0!</v>
      </c>
      <c r="P187" s="186"/>
      <c r="Q187" s="186"/>
      <c r="R187" s="187"/>
    </row>
    <row r="188" hidden="1" outlineLevel="1" spans="1:18">
      <c r="A188" s="160" t="s">
        <v>629</v>
      </c>
      <c r="B188" s="186"/>
      <c r="C188" s="186" t="e">
        <f t="shared" ref="C188:H189" si="41">C31/B31-1</f>
        <v>#DIV/0!</v>
      </c>
      <c r="D188" s="186" t="e">
        <f t="shared" si="41"/>
        <v>#DIV/0!</v>
      </c>
      <c r="E188" s="186" t="e">
        <f t="shared" si="41"/>
        <v>#DIV/0!</v>
      </c>
      <c r="F188" s="186" t="e">
        <f t="shared" si="41"/>
        <v>#DIV/0!</v>
      </c>
      <c r="G188" s="186" t="e">
        <f t="shared" si="41"/>
        <v>#DIV/0!</v>
      </c>
      <c r="H188" s="186" t="e">
        <f t="shared" si="41"/>
        <v>#DIV/0!</v>
      </c>
      <c r="I188" s="186" t="e">
        <f t="shared" si="40"/>
        <v>#DIV/0!</v>
      </c>
      <c r="J188" s="186" t="e">
        <f t="shared" si="40"/>
        <v>#DIV/0!</v>
      </c>
      <c r="K188" s="186" t="e">
        <f t="shared" si="40"/>
        <v>#DIV/0!</v>
      </c>
      <c r="L188" s="186" t="e">
        <f t="shared" si="40"/>
        <v>#DIV/0!</v>
      </c>
      <c r="M188" s="186" t="e">
        <f t="shared" si="40"/>
        <v>#DIV/0!</v>
      </c>
      <c r="N188" s="186" t="e">
        <f t="shared" si="40"/>
        <v>#DIV/0!</v>
      </c>
      <c r="O188" s="186" t="e">
        <f t="shared" si="40"/>
        <v>#DIV/0!</v>
      </c>
      <c r="P188" s="186"/>
      <c r="Q188" s="186"/>
      <c r="R188" s="187"/>
    </row>
    <row r="189" hidden="1" outlineLevel="1" spans="1:18">
      <c r="A189" s="160" t="s">
        <v>64</v>
      </c>
      <c r="B189" s="186"/>
      <c r="C189" s="186" t="e">
        <f t="shared" si="41"/>
        <v>#DIV/0!</v>
      </c>
      <c r="D189" s="186" t="e">
        <f t="shared" si="41"/>
        <v>#DIV/0!</v>
      </c>
      <c r="E189" s="186" t="e">
        <f t="shared" si="41"/>
        <v>#DIV/0!</v>
      </c>
      <c r="F189" s="186" t="e">
        <f t="shared" si="41"/>
        <v>#DIV/0!</v>
      </c>
      <c r="G189" s="186" t="e">
        <f t="shared" si="41"/>
        <v>#DIV/0!</v>
      </c>
      <c r="H189" s="186" t="e">
        <f t="shared" si="41"/>
        <v>#DIV/0!</v>
      </c>
      <c r="I189" s="186" t="e">
        <f t="shared" si="40"/>
        <v>#DIV/0!</v>
      </c>
      <c r="J189" s="186" t="e">
        <f t="shared" si="40"/>
        <v>#DIV/0!</v>
      </c>
      <c r="K189" s="186" t="e">
        <f t="shared" si="40"/>
        <v>#DIV/0!</v>
      </c>
      <c r="L189" s="186" t="e">
        <f t="shared" si="40"/>
        <v>#DIV/0!</v>
      </c>
      <c r="M189" s="186" t="e">
        <f t="shared" si="40"/>
        <v>#DIV/0!</v>
      </c>
      <c r="N189" s="186" t="e">
        <f t="shared" si="40"/>
        <v>#DIV/0!</v>
      </c>
      <c r="O189" s="186" t="e">
        <f t="shared" si="40"/>
        <v>#DIV/0!</v>
      </c>
      <c r="P189" s="186"/>
      <c r="Q189" s="186"/>
      <c r="R189" s="187"/>
    </row>
    <row r="190" collapsed="1" spans="1:18">
      <c r="A190" s="160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8"/>
      <c r="M190" s="188"/>
      <c r="N190" s="188"/>
      <c r="O190" s="188"/>
      <c r="P190" s="188"/>
      <c r="Q190" s="188"/>
      <c r="R190" s="189"/>
    </row>
    <row r="191" s="141" customFormat="1" hidden="1" outlineLevel="1" spans="1:18">
      <c r="A191" s="194" t="s">
        <v>80</v>
      </c>
      <c r="B191" s="195"/>
      <c r="C191" s="195" t="e">
        <f t="shared" ref="C191:O191" si="42">C79/B79-1</f>
        <v>#DIV/0!</v>
      </c>
      <c r="D191" s="195" t="e">
        <f t="shared" si="42"/>
        <v>#DIV/0!</v>
      </c>
      <c r="E191" s="195" t="e">
        <f t="shared" si="42"/>
        <v>#DIV/0!</v>
      </c>
      <c r="F191" s="195" t="e">
        <f t="shared" si="42"/>
        <v>#DIV/0!</v>
      </c>
      <c r="G191" s="195" t="e">
        <f t="shared" si="42"/>
        <v>#DIV/0!</v>
      </c>
      <c r="H191" s="195" t="e">
        <f t="shared" si="42"/>
        <v>#DIV/0!</v>
      </c>
      <c r="I191" s="195" t="e">
        <f t="shared" si="42"/>
        <v>#DIV/0!</v>
      </c>
      <c r="J191" s="195" t="e">
        <f t="shared" si="42"/>
        <v>#DIV/0!</v>
      </c>
      <c r="K191" s="195" t="e">
        <f t="shared" si="42"/>
        <v>#DIV/0!</v>
      </c>
      <c r="L191" s="195" t="e">
        <f t="shared" si="42"/>
        <v>#DIV/0!</v>
      </c>
      <c r="M191" s="195" t="e">
        <f t="shared" si="42"/>
        <v>#DIV/0!</v>
      </c>
      <c r="N191" s="195" t="e">
        <f t="shared" si="42"/>
        <v>#DIV/0!</v>
      </c>
      <c r="O191" s="195" t="e">
        <f t="shared" si="42"/>
        <v>#DIV/0!</v>
      </c>
      <c r="P191" s="195"/>
      <c r="Q191" s="195"/>
      <c r="R191" s="196"/>
    </row>
    <row r="192" s="141" customFormat="1" hidden="1" outlineLevel="1" spans="1:18">
      <c r="A192" s="154" t="s">
        <v>1320</v>
      </c>
      <c r="B192" s="149"/>
      <c r="C192" s="186"/>
      <c r="D192" s="186"/>
      <c r="E192" s="186"/>
      <c r="F192" s="186"/>
      <c r="G192" s="186"/>
      <c r="H192" s="186"/>
      <c r="I192" s="186">
        <f t="shared" ref="I192:L196" si="43">I80/H80-1</f>
        <v>0.0854700854700854</v>
      </c>
      <c r="J192" s="186">
        <f t="shared" si="43"/>
        <v>0.0678376741368867</v>
      </c>
      <c r="K192" s="186">
        <f t="shared" si="43"/>
        <v>0.100113442994895</v>
      </c>
      <c r="L192" s="186">
        <f t="shared" si="43"/>
        <v>-1</v>
      </c>
      <c r="M192" s="186"/>
      <c r="N192" s="186"/>
      <c r="O192" s="186"/>
      <c r="P192" s="186"/>
      <c r="Q192" s="186"/>
      <c r="R192" s="187"/>
    </row>
    <row r="193" s="141" customFormat="1" hidden="1" outlineLevel="1" spans="1:18">
      <c r="A193" s="154" t="s">
        <v>101</v>
      </c>
      <c r="B193" s="149"/>
      <c r="C193" s="186"/>
      <c r="D193" s="186"/>
      <c r="E193" s="186"/>
      <c r="F193" s="186"/>
      <c r="G193" s="186"/>
      <c r="H193" s="186"/>
      <c r="I193" s="186">
        <f t="shared" si="43"/>
        <v>0.120441051738762</v>
      </c>
      <c r="J193" s="186">
        <f t="shared" si="43"/>
        <v>-0.0348221044663134</v>
      </c>
      <c r="K193" s="186">
        <f t="shared" si="43"/>
        <v>-0.0988235294117648</v>
      </c>
      <c r="L193" s="186" t="e">
        <f t="shared" si="43"/>
        <v>#REF!</v>
      </c>
      <c r="M193" s="186"/>
      <c r="N193" s="186"/>
      <c r="O193" s="186"/>
      <c r="P193" s="186"/>
      <c r="Q193" s="186"/>
      <c r="R193" s="187"/>
    </row>
    <row r="194" s="141" customFormat="1" hidden="1" outlineLevel="1" spans="1:18">
      <c r="A194" s="154" t="s">
        <v>211</v>
      </c>
      <c r="B194" s="149"/>
      <c r="C194" s="186"/>
      <c r="D194" s="186"/>
      <c r="E194" s="186"/>
      <c r="F194" s="186"/>
      <c r="G194" s="186"/>
      <c r="H194" s="186"/>
      <c r="I194" s="186">
        <f t="shared" si="43"/>
        <v>0.183076923076923</v>
      </c>
      <c r="J194" s="186">
        <f t="shared" si="43"/>
        <v>0.107282184655397</v>
      </c>
      <c r="K194" s="186">
        <f t="shared" si="43"/>
        <v>0.227246036406342</v>
      </c>
      <c r="L194" s="186">
        <f t="shared" si="43"/>
        <v>-1</v>
      </c>
      <c r="M194" s="186"/>
      <c r="N194" s="186"/>
      <c r="O194" s="186"/>
      <c r="P194" s="186"/>
      <c r="Q194" s="186"/>
      <c r="R194" s="187"/>
    </row>
    <row r="195" s="141" customFormat="1" hidden="1" outlineLevel="1" spans="1:18">
      <c r="A195" s="154" t="s">
        <v>102</v>
      </c>
      <c r="B195" s="149"/>
      <c r="C195" s="186"/>
      <c r="D195" s="186"/>
      <c r="E195" s="186"/>
      <c r="F195" s="186"/>
      <c r="G195" s="186"/>
      <c r="H195" s="186"/>
      <c r="I195" s="186">
        <f t="shared" si="43"/>
        <v>0.370967741935484</v>
      </c>
      <c r="J195" s="186">
        <f t="shared" si="43"/>
        <v>0.336470588235294</v>
      </c>
      <c r="K195" s="186">
        <f t="shared" si="43"/>
        <v>0.161971830985915</v>
      </c>
      <c r="L195" s="186">
        <f t="shared" si="43"/>
        <v>-1</v>
      </c>
      <c r="M195" s="186"/>
      <c r="N195" s="186"/>
      <c r="O195" s="186"/>
      <c r="P195" s="186"/>
      <c r="Q195" s="186"/>
      <c r="R195" s="187"/>
    </row>
    <row r="196" s="141" customFormat="1" hidden="1" outlineLevel="1" spans="1:18">
      <c r="A196" s="154" t="s">
        <v>64</v>
      </c>
      <c r="B196" s="149"/>
      <c r="C196" s="186" t="e">
        <f t="shared" ref="C196:H196" si="44">C84/B84-1</f>
        <v>#DIV/0!</v>
      </c>
      <c r="D196" s="186" t="e">
        <f t="shared" si="44"/>
        <v>#DIV/0!</v>
      </c>
      <c r="E196" s="186" t="e">
        <f t="shared" si="44"/>
        <v>#DIV/0!</v>
      </c>
      <c r="F196" s="186" t="e">
        <f t="shared" si="44"/>
        <v>#DIV/0!</v>
      </c>
      <c r="G196" s="186" t="e">
        <f t="shared" si="44"/>
        <v>#DIV/0!</v>
      </c>
      <c r="H196" s="186" t="e">
        <f t="shared" si="44"/>
        <v>#DIV/0!</v>
      </c>
      <c r="I196" s="186">
        <f t="shared" si="43"/>
        <v>0.129480363574001</v>
      </c>
      <c r="J196" s="186">
        <f t="shared" si="43"/>
        <v>0.0737928940176131</v>
      </c>
      <c r="K196" s="186">
        <f t="shared" si="43"/>
        <v>0.0998303167420815</v>
      </c>
      <c r="L196" s="186" t="e">
        <f t="shared" si="43"/>
        <v>#REF!</v>
      </c>
      <c r="M196" s="186" t="e">
        <f>M84/L84-1</f>
        <v>#REF!</v>
      </c>
      <c r="N196" s="186" t="e">
        <f>N84/M84-1</f>
        <v>#REF!</v>
      </c>
      <c r="O196" s="186" t="e">
        <f>O84/N84-1</f>
        <v>#REF!</v>
      </c>
      <c r="P196" s="186"/>
      <c r="Q196" s="186"/>
      <c r="R196" s="187"/>
    </row>
    <row r="197" s="141" customFormat="1" hidden="1" outlineLevel="1" spans="1:18">
      <c r="A197" s="154"/>
      <c r="B197" s="149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7"/>
    </row>
    <row r="198" s="141" customFormat="1" hidden="1" outlineLevel="1" spans="1:18">
      <c r="A198" s="178" t="s">
        <v>1331</v>
      </c>
      <c r="B198" s="197"/>
      <c r="C198" s="197"/>
      <c r="D198" s="197"/>
      <c r="E198" s="197"/>
      <c r="F198" s="197"/>
      <c r="G198" s="197"/>
      <c r="H198" s="197"/>
      <c r="I198" s="197">
        <f t="shared" ref="I198:L200" si="45">I86/H86-1</f>
        <v>0.122112211221122</v>
      </c>
      <c r="J198" s="198">
        <f t="shared" si="45"/>
        <v>0.0996078431372549</v>
      </c>
      <c r="K198" s="198">
        <f t="shared" si="45"/>
        <v>0.114479315263909</v>
      </c>
      <c r="L198" s="198">
        <f t="shared" si="45"/>
        <v>-1</v>
      </c>
      <c r="M198" s="198"/>
      <c r="N198" s="198"/>
      <c r="O198" s="198"/>
      <c r="P198" s="198"/>
      <c r="Q198" s="198"/>
      <c r="R198" s="199"/>
    </row>
    <row r="199" s="141" customFormat="1" hidden="1" outlineLevel="1" spans="1:18">
      <c r="A199" s="178" t="s">
        <v>649</v>
      </c>
      <c r="B199" s="197"/>
      <c r="C199" s="197"/>
      <c r="D199" s="197"/>
      <c r="E199" s="197"/>
      <c r="F199" s="197"/>
      <c r="G199" s="197"/>
      <c r="H199" s="197"/>
      <c r="I199" s="197">
        <f t="shared" si="45"/>
        <v>0.122994652406417</v>
      </c>
      <c r="J199" s="198">
        <f t="shared" si="45"/>
        <v>-0.0102040816326531</v>
      </c>
      <c r="K199" s="198">
        <f t="shared" si="45"/>
        <v>0.0549828178694158</v>
      </c>
      <c r="L199" s="198">
        <f t="shared" si="45"/>
        <v>-1</v>
      </c>
      <c r="M199" s="198"/>
      <c r="N199" s="198"/>
      <c r="O199" s="198"/>
      <c r="P199" s="198"/>
      <c r="Q199" s="198"/>
      <c r="R199" s="199"/>
    </row>
    <row r="200" s="141" customFormat="1" hidden="1" outlineLevel="1" spans="1:18">
      <c r="A200" s="178" t="s">
        <v>1333</v>
      </c>
      <c r="B200" s="197"/>
      <c r="C200" s="197"/>
      <c r="D200" s="197"/>
      <c r="E200" s="197"/>
      <c r="F200" s="197"/>
      <c r="G200" s="197"/>
      <c r="H200" s="197"/>
      <c r="I200" s="197">
        <f t="shared" si="45"/>
        <v>0.12230953194397</v>
      </c>
      <c r="J200" s="198">
        <f t="shared" si="45"/>
        <v>-1.0076103500761</v>
      </c>
      <c r="K200" s="198">
        <f t="shared" si="45"/>
        <v>-0.28</v>
      </c>
      <c r="L200" s="198">
        <f t="shared" si="45"/>
        <v>-1</v>
      </c>
      <c r="M200" s="198"/>
      <c r="N200" s="198"/>
      <c r="O200" s="198"/>
      <c r="P200" s="198"/>
      <c r="Q200" s="198"/>
      <c r="R200" s="199"/>
    </row>
    <row r="201" s="141" customFormat="1" hidden="1" outlineLevel="1" spans="1:18">
      <c r="A201" s="178"/>
      <c r="B201" s="197"/>
      <c r="C201" s="197"/>
      <c r="D201" s="197"/>
      <c r="E201" s="197"/>
      <c r="F201" s="197"/>
      <c r="G201" s="197"/>
      <c r="H201" s="197"/>
      <c r="I201" s="197"/>
      <c r="J201" s="198"/>
      <c r="K201" s="198"/>
      <c r="L201" s="198"/>
      <c r="M201" s="198"/>
      <c r="N201" s="198"/>
      <c r="O201" s="198"/>
      <c r="P201" s="198"/>
      <c r="Q201" s="198"/>
      <c r="R201" s="199"/>
    </row>
    <row r="202" s="141" customFormat="1" hidden="1" outlineLevel="1" spans="1:18">
      <c r="A202" s="178" t="s">
        <v>1334</v>
      </c>
      <c r="B202" s="179"/>
      <c r="C202" s="198"/>
      <c r="D202" s="198"/>
      <c r="E202" s="198"/>
      <c r="F202" s="198"/>
      <c r="G202" s="198"/>
      <c r="H202" s="198">
        <f>H90/G90-1</f>
        <v>0.363963963963964</v>
      </c>
      <c r="I202" s="198">
        <f>I90/H90-1</f>
        <v>0.332892998678996</v>
      </c>
      <c r="J202" s="198">
        <f>J90/I90-1</f>
        <v>0.218037661050545</v>
      </c>
      <c r="K202" s="198">
        <f>K90/J90-1</f>
        <v>0.165174938974776</v>
      </c>
      <c r="L202" s="198">
        <f>L90/K90-1</f>
        <v>-1</v>
      </c>
      <c r="M202" s="198"/>
      <c r="N202" s="198"/>
      <c r="O202" s="198"/>
      <c r="P202" s="198"/>
      <c r="Q202" s="198"/>
      <c r="R202" s="199"/>
    </row>
    <row r="203" s="141" customFormat="1" hidden="1" outlineLevel="1" spans="1:18">
      <c r="A203" s="178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80"/>
    </row>
    <row r="204" s="141" customFormat="1" hidden="1" outlineLevel="1" spans="1:18">
      <c r="A204" s="194" t="s">
        <v>82</v>
      </c>
      <c r="B204" s="195"/>
      <c r="C204" s="195"/>
      <c r="D204" s="195"/>
      <c r="E204" s="195"/>
      <c r="F204" s="195"/>
      <c r="G204" s="195"/>
      <c r="H204" s="195"/>
      <c r="I204" s="195">
        <f t="shared" ref="I204:O204" si="46">I92/H92-1</f>
        <v>-1</v>
      </c>
      <c r="J204" s="195" t="e">
        <f t="shared" si="46"/>
        <v>#DIV/0!</v>
      </c>
      <c r="K204" s="195" t="e">
        <f t="shared" si="46"/>
        <v>#DIV/0!</v>
      </c>
      <c r="L204" s="195" t="e">
        <f t="shared" si="46"/>
        <v>#DIV/0!</v>
      </c>
      <c r="M204" s="195" t="e">
        <f t="shared" si="46"/>
        <v>#DIV/0!</v>
      </c>
      <c r="N204" s="195" t="e">
        <f t="shared" si="46"/>
        <v>#DIV/0!</v>
      </c>
      <c r="O204" s="195" t="e">
        <f t="shared" si="46"/>
        <v>#DIV/0!</v>
      </c>
      <c r="P204" s="195"/>
      <c r="Q204" s="195"/>
      <c r="R204" s="196"/>
    </row>
    <row r="205" s="141" customFormat="1" hidden="1" outlineLevel="1" spans="1:18">
      <c r="A205" s="154" t="s">
        <v>1320</v>
      </c>
      <c r="B205" s="149"/>
      <c r="C205" s="186"/>
      <c r="D205" s="186"/>
      <c r="E205" s="186"/>
      <c r="F205" s="186"/>
      <c r="G205" s="186"/>
      <c r="H205" s="186"/>
      <c r="I205" s="186"/>
      <c r="J205" s="186">
        <f t="shared" ref="J205:L209" si="47">J93/I93-1</f>
        <v>-0.0260416666666666</v>
      </c>
      <c r="K205" s="186">
        <f t="shared" si="47"/>
        <v>-0.0762032085561497</v>
      </c>
      <c r="L205" s="186">
        <f t="shared" si="47"/>
        <v>-1</v>
      </c>
      <c r="M205" s="186"/>
      <c r="N205" s="186"/>
      <c r="O205" s="186"/>
      <c r="P205" s="186"/>
      <c r="Q205" s="186"/>
      <c r="R205" s="187"/>
    </row>
    <row r="206" s="141" customFormat="1" hidden="1" outlineLevel="1" spans="1:18">
      <c r="A206" s="154" t="s">
        <v>101</v>
      </c>
      <c r="B206" s="149"/>
      <c r="C206" s="186"/>
      <c r="D206" s="186"/>
      <c r="E206" s="186"/>
      <c r="F206" s="186"/>
      <c r="G206" s="186"/>
      <c r="H206" s="186"/>
      <c r="I206" s="186"/>
      <c r="J206" s="186">
        <f t="shared" si="47"/>
        <v>-0.125710227272727</v>
      </c>
      <c r="K206" s="186">
        <f t="shared" si="47"/>
        <v>-0.216896831844029</v>
      </c>
      <c r="L206" s="186">
        <f t="shared" si="47"/>
        <v>-1</v>
      </c>
      <c r="M206" s="186"/>
      <c r="N206" s="186"/>
      <c r="O206" s="186"/>
      <c r="P206" s="186"/>
      <c r="Q206" s="186"/>
      <c r="R206" s="187"/>
    </row>
    <row r="207" s="141" customFormat="1" hidden="1" outlineLevel="1" spans="1:18">
      <c r="A207" s="154" t="s">
        <v>211</v>
      </c>
      <c r="B207" s="149"/>
      <c r="C207" s="186"/>
      <c r="D207" s="186"/>
      <c r="E207" s="186"/>
      <c r="F207" s="186"/>
      <c r="G207" s="186"/>
      <c r="H207" s="186"/>
      <c r="I207" s="186"/>
      <c r="J207" s="186">
        <f t="shared" si="47"/>
        <v>0.174672489082969</v>
      </c>
      <c r="K207" s="186">
        <f t="shared" si="47"/>
        <v>-0.00743494423791824</v>
      </c>
      <c r="L207" s="186">
        <f t="shared" si="47"/>
        <v>-1</v>
      </c>
      <c r="M207" s="186"/>
      <c r="N207" s="186"/>
      <c r="O207" s="186"/>
      <c r="P207" s="186"/>
      <c r="Q207" s="186"/>
      <c r="R207" s="187"/>
    </row>
    <row r="208" s="141" customFormat="1" hidden="1" outlineLevel="1" spans="1:18">
      <c r="A208" s="154" t="s">
        <v>102</v>
      </c>
      <c r="B208" s="149"/>
      <c r="C208" s="186"/>
      <c r="D208" s="186"/>
      <c r="E208" s="186"/>
      <c r="F208" s="186"/>
      <c r="G208" s="186"/>
      <c r="H208" s="186"/>
      <c r="I208" s="186"/>
      <c r="J208" s="186">
        <f t="shared" si="47"/>
        <v>0.217391304347826</v>
      </c>
      <c r="K208" s="186">
        <f t="shared" si="47"/>
        <v>1.69047619047619</v>
      </c>
      <c r="L208" s="186">
        <f t="shared" si="47"/>
        <v>-1</v>
      </c>
      <c r="M208" s="186"/>
      <c r="N208" s="186"/>
      <c r="O208" s="186"/>
      <c r="P208" s="186"/>
      <c r="Q208" s="186"/>
      <c r="R208" s="187"/>
    </row>
    <row r="209" s="141" customFormat="1" hidden="1" outlineLevel="1" spans="1:18">
      <c r="A209" s="154" t="s">
        <v>64</v>
      </c>
      <c r="B209" s="149"/>
      <c r="C209" s="186"/>
      <c r="D209" s="186"/>
      <c r="E209" s="186"/>
      <c r="F209" s="186"/>
      <c r="G209" s="186"/>
      <c r="H209" s="186"/>
      <c r="I209" s="186"/>
      <c r="J209" s="186">
        <f t="shared" si="47"/>
        <v>-0.0573969280517381</v>
      </c>
      <c r="K209" s="186">
        <f t="shared" si="47"/>
        <v>-0.0789022298456261</v>
      </c>
      <c r="L209" s="186">
        <f t="shared" si="47"/>
        <v>-1</v>
      </c>
      <c r="M209" s="186"/>
      <c r="N209" s="186"/>
      <c r="O209" s="186"/>
      <c r="P209" s="186"/>
      <c r="Q209" s="186"/>
      <c r="R209" s="187"/>
    </row>
    <row r="210" s="141" customFormat="1" hidden="1" outlineLevel="1" spans="1:18">
      <c r="A210" s="154"/>
      <c r="B210" s="149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7"/>
    </row>
    <row r="211" s="141" customFormat="1" hidden="1" outlineLevel="1" spans="1:18">
      <c r="A211" s="178" t="s">
        <v>82</v>
      </c>
      <c r="B211" s="197"/>
      <c r="C211" s="197"/>
      <c r="D211" s="197"/>
      <c r="E211" s="197"/>
      <c r="F211" s="197"/>
      <c r="G211" s="197"/>
      <c r="H211" s="197"/>
      <c r="I211" s="197">
        <f t="shared" ref="I211:L213" si="48">I99/H99-1</f>
        <v>-0.125883392226148</v>
      </c>
      <c r="J211" s="197">
        <f t="shared" si="48"/>
        <v>-1</v>
      </c>
      <c r="K211" s="197" t="e">
        <f t="shared" si="48"/>
        <v>#DIV/0!</v>
      </c>
      <c r="L211" s="198" t="e">
        <f t="shared" si="48"/>
        <v>#DIV/0!</v>
      </c>
      <c r="M211" s="197"/>
      <c r="N211" s="197"/>
      <c r="O211" s="197"/>
      <c r="P211" s="197"/>
      <c r="Q211" s="197"/>
      <c r="R211" s="196"/>
    </row>
    <row r="212" s="141" customFormat="1" hidden="1" outlineLevel="1" spans="1:18">
      <c r="A212" s="178" t="s">
        <v>1335</v>
      </c>
      <c r="B212" s="197"/>
      <c r="C212" s="197"/>
      <c r="D212" s="197"/>
      <c r="E212" s="197"/>
      <c r="F212" s="197"/>
      <c r="G212" s="197"/>
      <c r="H212" s="197"/>
      <c r="I212" s="197">
        <f t="shared" si="48"/>
        <v>0.154285714285714</v>
      </c>
      <c r="J212" s="197">
        <f t="shared" si="48"/>
        <v>-1</v>
      </c>
      <c r="K212" s="197" t="e">
        <f t="shared" si="48"/>
        <v>#DIV/0!</v>
      </c>
      <c r="L212" s="197" t="e">
        <f t="shared" si="48"/>
        <v>#DIV/0!</v>
      </c>
      <c r="M212" s="197"/>
      <c r="N212" s="197"/>
      <c r="O212" s="197"/>
      <c r="P212" s="197"/>
      <c r="Q212" s="197"/>
      <c r="R212" s="196"/>
    </row>
    <row r="213" s="141" customFormat="1" hidden="1" outlineLevel="1" spans="1:18">
      <c r="A213" s="178" t="s">
        <v>92</v>
      </c>
      <c r="B213" s="197"/>
      <c r="C213" s="197"/>
      <c r="D213" s="197"/>
      <c r="E213" s="197"/>
      <c r="F213" s="197"/>
      <c r="G213" s="197"/>
      <c r="H213" s="197"/>
      <c r="I213" s="197">
        <f t="shared" si="48"/>
        <v>0.0464285714285715</v>
      </c>
      <c r="J213" s="197">
        <f t="shared" si="48"/>
        <v>-1</v>
      </c>
      <c r="K213" s="197" t="e">
        <f t="shared" si="48"/>
        <v>#DIV/0!</v>
      </c>
      <c r="L213" s="197" t="e">
        <f t="shared" si="48"/>
        <v>#DIV/0!</v>
      </c>
      <c r="M213" s="197"/>
      <c r="N213" s="197"/>
      <c r="O213" s="197"/>
      <c r="P213" s="197"/>
      <c r="Q213" s="197"/>
      <c r="R213" s="196"/>
    </row>
    <row r="214" s="141" customFormat="1" hidden="1" outlineLevel="1" spans="1:18">
      <c r="A214" s="178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6"/>
    </row>
    <row r="215" s="141" customFormat="1" hidden="1" outlineLevel="1" spans="1:18">
      <c r="A215" s="178" t="s">
        <v>1334</v>
      </c>
      <c r="B215" s="179"/>
      <c r="C215" s="197"/>
      <c r="D215" s="197"/>
      <c r="E215" s="197"/>
      <c r="F215" s="197"/>
      <c r="G215" s="197"/>
      <c r="H215" s="197"/>
      <c r="I215" s="197"/>
      <c r="J215" s="197">
        <f>J103/I103-1</f>
        <v>0.220394736842105</v>
      </c>
      <c r="K215" s="197">
        <f>K103/J103-1</f>
        <v>0.0215633423180592</v>
      </c>
      <c r="L215" s="197">
        <f>L103/K103-1</f>
        <v>-1</v>
      </c>
      <c r="M215" s="197"/>
      <c r="N215" s="197"/>
      <c r="O215" s="197"/>
      <c r="P215" s="197"/>
      <c r="Q215" s="197"/>
      <c r="R215" s="196"/>
    </row>
    <row r="216" s="141" customFormat="1" hidden="1" outlineLevel="1" spans="1:18">
      <c r="A216" s="178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80"/>
    </row>
    <row r="217" s="141" customFormat="1" hidden="1" outlineLevel="1" spans="1:18">
      <c r="A217" s="194" t="s">
        <v>1336</v>
      </c>
      <c r="B217" s="195"/>
      <c r="C217" s="195" t="e">
        <f t="shared" ref="C217:O217" si="49">C105/B105-1</f>
        <v>#DIV/0!</v>
      </c>
      <c r="D217" s="195" t="e">
        <f t="shared" si="49"/>
        <v>#DIV/0!</v>
      </c>
      <c r="E217" s="195" t="e">
        <f t="shared" si="49"/>
        <v>#DIV/0!</v>
      </c>
      <c r="F217" s="195" t="e">
        <f t="shared" si="49"/>
        <v>#DIV/0!</v>
      </c>
      <c r="G217" s="195" t="e">
        <f t="shared" si="49"/>
        <v>#DIV/0!</v>
      </c>
      <c r="H217" s="195" t="e">
        <f t="shared" si="49"/>
        <v>#DIV/0!</v>
      </c>
      <c r="I217" s="195" t="e">
        <f t="shared" si="49"/>
        <v>#DIV/0!</v>
      </c>
      <c r="J217" s="195" t="e">
        <f t="shared" si="49"/>
        <v>#DIV/0!</v>
      </c>
      <c r="K217" s="195" t="e">
        <f t="shared" si="49"/>
        <v>#DIV/0!</v>
      </c>
      <c r="L217" s="195" t="e">
        <f t="shared" si="49"/>
        <v>#DIV/0!</v>
      </c>
      <c r="M217" s="195" t="e">
        <f t="shared" si="49"/>
        <v>#DIV/0!</v>
      </c>
      <c r="N217" s="195" t="e">
        <f t="shared" si="49"/>
        <v>#DIV/0!</v>
      </c>
      <c r="O217" s="195" t="e">
        <f t="shared" si="49"/>
        <v>#DIV/0!</v>
      </c>
      <c r="P217" s="195"/>
      <c r="Q217" s="195"/>
      <c r="R217" s="196"/>
    </row>
    <row r="218" s="141" customFormat="1" hidden="1" outlineLevel="1" spans="1:18">
      <c r="A218" s="154" t="s">
        <v>1320</v>
      </c>
      <c r="B218" s="149"/>
      <c r="C218" s="186"/>
      <c r="D218" s="186"/>
      <c r="E218" s="186"/>
      <c r="F218" s="186"/>
      <c r="G218" s="186"/>
      <c r="H218" s="186">
        <f t="shared" ref="H218:L221" si="50">H106/G106-1</f>
        <v>0.0625</v>
      </c>
      <c r="I218" s="186">
        <f t="shared" si="50"/>
        <v>-0.0980392156862745</v>
      </c>
      <c r="J218" s="186">
        <f t="shared" si="50"/>
        <v>0.0326086956521738</v>
      </c>
      <c r="K218" s="186">
        <f t="shared" si="50"/>
        <v>0</v>
      </c>
      <c r="L218" s="186">
        <f t="shared" si="50"/>
        <v>-1</v>
      </c>
      <c r="M218" s="186"/>
      <c r="N218" s="186"/>
      <c r="O218" s="186"/>
      <c r="P218" s="186"/>
      <c r="Q218" s="186"/>
      <c r="R218" s="187"/>
    </row>
    <row r="219" s="141" customFormat="1" hidden="1" outlineLevel="1" spans="1:18">
      <c r="A219" s="154" t="s">
        <v>101</v>
      </c>
      <c r="B219" s="149"/>
      <c r="C219" s="186"/>
      <c r="D219" s="186"/>
      <c r="E219" s="186"/>
      <c r="F219" s="186"/>
      <c r="G219" s="186"/>
      <c r="H219" s="186">
        <f t="shared" si="50"/>
        <v>0.215873015873016</v>
      </c>
      <c r="I219" s="186">
        <f t="shared" si="50"/>
        <v>0.318537859007833</v>
      </c>
      <c r="J219" s="186">
        <f t="shared" si="50"/>
        <v>-0.164356435643564</v>
      </c>
      <c r="K219" s="186">
        <f t="shared" si="50"/>
        <v>-0.0402843601895735</v>
      </c>
      <c r="L219" s="186">
        <f t="shared" si="50"/>
        <v>-1</v>
      </c>
      <c r="M219" s="186"/>
      <c r="N219" s="186"/>
      <c r="O219" s="186"/>
      <c r="P219" s="186"/>
      <c r="Q219" s="186"/>
      <c r="R219" s="187"/>
    </row>
    <row r="220" s="141" customFormat="1" hidden="1" outlineLevel="1" spans="1:18">
      <c r="A220" s="154" t="s">
        <v>211</v>
      </c>
      <c r="B220" s="149"/>
      <c r="C220" s="186"/>
      <c r="D220" s="186"/>
      <c r="E220" s="186"/>
      <c r="F220" s="186"/>
      <c r="G220" s="186"/>
      <c r="H220" s="186">
        <f t="shared" si="50"/>
        <v>0.00454545454545463</v>
      </c>
      <c r="I220" s="186">
        <f t="shared" si="50"/>
        <v>0.149321266968326</v>
      </c>
      <c r="J220" s="186">
        <f t="shared" si="50"/>
        <v>0.110236220472441</v>
      </c>
      <c r="K220" s="186">
        <f t="shared" si="50"/>
        <v>0.0815602836879432</v>
      </c>
      <c r="L220" s="186">
        <f t="shared" si="50"/>
        <v>-1</v>
      </c>
      <c r="M220" s="186"/>
      <c r="N220" s="186"/>
      <c r="O220" s="186"/>
      <c r="P220" s="186"/>
      <c r="Q220" s="186"/>
      <c r="R220" s="187"/>
    </row>
    <row r="221" s="141" customFormat="1" hidden="1" outlineLevel="1" spans="1:18">
      <c r="A221" s="154" t="s">
        <v>102</v>
      </c>
      <c r="B221" s="149"/>
      <c r="C221" s="186"/>
      <c r="D221" s="186"/>
      <c r="E221" s="186"/>
      <c r="F221" s="186"/>
      <c r="G221" s="186"/>
      <c r="H221" s="186">
        <f t="shared" si="50"/>
        <v>0.5</v>
      </c>
      <c r="I221" s="186">
        <f t="shared" si="50"/>
        <v>0.666666666666667</v>
      </c>
      <c r="J221" s="186">
        <f t="shared" si="50"/>
        <v>0</v>
      </c>
      <c r="K221" s="186">
        <f t="shared" si="50"/>
        <v>0.4</v>
      </c>
      <c r="L221" s="186">
        <f t="shared" si="50"/>
        <v>-1</v>
      </c>
      <c r="M221" s="186"/>
      <c r="N221" s="186"/>
      <c r="O221" s="186"/>
      <c r="P221" s="186"/>
      <c r="Q221" s="186"/>
      <c r="R221" s="187"/>
    </row>
    <row r="222" s="141" customFormat="1" hidden="1" outlineLevel="1" spans="1:18">
      <c r="A222" s="154" t="s">
        <v>64</v>
      </c>
      <c r="B222" s="149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7"/>
    </row>
    <row r="223" s="141" customFormat="1" hidden="1" outlineLevel="1" spans="1:18">
      <c r="A223" s="154"/>
      <c r="B223" s="149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7"/>
    </row>
    <row r="224" s="141" customFormat="1" hidden="1" outlineLevel="1" spans="1:18">
      <c r="A224" s="178" t="s">
        <v>1336</v>
      </c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 t="e">
        <f>L112/K112-1</f>
        <v>#DIV/0!</v>
      </c>
      <c r="M224" s="197"/>
      <c r="N224" s="197"/>
      <c r="O224" s="197"/>
      <c r="P224" s="197"/>
      <c r="Q224" s="197"/>
      <c r="R224" s="196"/>
    </row>
    <row r="225" s="141" customFormat="1" hidden="1" outlineLevel="1" spans="1:18">
      <c r="A225" s="178" t="s">
        <v>1337</v>
      </c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 t="e">
        <f>L113/K113-1</f>
        <v>#DIV/0!</v>
      </c>
      <c r="M225" s="197"/>
      <c r="N225" s="197"/>
      <c r="O225" s="197"/>
      <c r="P225" s="197"/>
      <c r="Q225" s="197"/>
      <c r="R225" s="196"/>
    </row>
    <row r="226" s="141" customFormat="1" hidden="1" outlineLevel="1" spans="1:18">
      <c r="A226" s="178" t="s">
        <v>1338</v>
      </c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 t="e">
        <f>L114/K114-1</f>
        <v>#DIV/0!</v>
      </c>
      <c r="M226" s="197"/>
      <c r="N226" s="197"/>
      <c r="O226" s="197"/>
      <c r="P226" s="197"/>
      <c r="Q226" s="197"/>
      <c r="R226" s="196"/>
    </row>
    <row r="227" s="141" customFormat="1" hidden="1" outlineLevel="1" spans="1:18">
      <c r="A227" s="178" t="s">
        <v>64</v>
      </c>
      <c r="B227" s="197"/>
      <c r="C227" s="197"/>
      <c r="D227" s="197"/>
      <c r="E227" s="197"/>
      <c r="F227" s="197"/>
      <c r="G227" s="197"/>
      <c r="H227" s="197"/>
      <c r="I227" s="197"/>
      <c r="J227" s="198"/>
      <c r="K227" s="198"/>
      <c r="L227" s="198">
        <f>L115/K115-1</f>
        <v>-1</v>
      </c>
      <c r="M227" s="198"/>
      <c r="N227" s="198"/>
      <c r="O227" s="198"/>
      <c r="P227" s="198"/>
      <c r="Q227" s="198"/>
      <c r="R227" s="199"/>
    </row>
    <row r="228" s="141" customFormat="1" hidden="1" outlineLevel="1" spans="1:18">
      <c r="B228" s="197"/>
      <c r="C228" s="197"/>
      <c r="D228" s="197"/>
      <c r="E228" s="197"/>
      <c r="F228" s="197"/>
      <c r="G228" s="197"/>
      <c r="H228" s="197"/>
      <c r="I228" s="197"/>
      <c r="J228" s="198"/>
      <c r="K228" s="198"/>
      <c r="L228" s="198"/>
      <c r="M228" s="198"/>
      <c r="N228" s="198"/>
      <c r="O228" s="198"/>
      <c r="P228" s="198"/>
      <c r="Q228" s="198"/>
      <c r="R228" s="199"/>
    </row>
    <row r="229" s="141" customFormat="1" collapsed="1" spans="1:18">
      <c r="A229" s="150" t="s">
        <v>1341</v>
      </c>
      <c r="J229" s="179"/>
      <c r="K229" s="179"/>
      <c r="L229" s="179"/>
      <c r="M229" s="179"/>
      <c r="N229" s="179"/>
      <c r="O229" s="179"/>
      <c r="P229" s="179"/>
      <c r="Q229" s="179"/>
      <c r="R229" s="180"/>
    </row>
    <row r="230" s="141" customFormat="1" spans="1:18">
      <c r="R230" s="184"/>
    </row>
    <row r="231" spans="1:18">
      <c r="A231" s="151" t="s">
        <v>1319</v>
      </c>
      <c r="B231" s="190"/>
      <c r="C231" s="190"/>
      <c r="D231" s="190"/>
      <c r="E231" s="190"/>
      <c r="F231" s="190"/>
      <c r="G231" s="190"/>
      <c r="H231" s="190">
        <v>0.12</v>
      </c>
      <c r="I231" s="190">
        <v>0.53</v>
      </c>
      <c r="J231" s="190">
        <v>0.07</v>
      </c>
      <c r="K231" s="190">
        <v>0.09</v>
      </c>
      <c r="L231" s="190">
        <v>-0.06</v>
      </c>
      <c r="M231" s="190">
        <f>M243</f>
        <v>0.0865826498118305</v>
      </c>
      <c r="N231" s="190">
        <f>N243</f>
        <v>0.13</v>
      </c>
      <c r="O231" s="190">
        <f>O243</f>
        <v>0.0637775576071455</v>
      </c>
      <c r="P231" s="190">
        <f>P243</f>
        <v>0.0294190687361419</v>
      </c>
      <c r="Q231" s="190">
        <f>Q243</f>
        <v>0.0646918989787469</v>
      </c>
      <c r="R231" s="187"/>
    </row>
    <row r="232" hidden="1" outlineLevel="1" spans="1:18">
      <c r="A232" s="154" t="s">
        <v>1320</v>
      </c>
      <c r="B232" s="186"/>
      <c r="C232" s="186"/>
      <c r="D232" s="186"/>
      <c r="E232" s="186"/>
      <c r="F232" s="186"/>
      <c r="G232" s="186"/>
      <c r="H232" s="186">
        <v>0.03</v>
      </c>
      <c r="I232" s="186"/>
      <c r="J232" s="186">
        <v>0.07</v>
      </c>
      <c r="K232" s="186">
        <v>0.11</v>
      </c>
      <c r="L232" s="186"/>
      <c r="M232" s="186"/>
      <c r="N232" s="186"/>
      <c r="O232" s="186"/>
      <c r="P232" s="186"/>
      <c r="Q232" s="186"/>
      <c r="R232" s="187"/>
    </row>
    <row r="233" hidden="1" outlineLevel="1" spans="1:18">
      <c r="A233" s="154" t="s">
        <v>101</v>
      </c>
      <c r="B233" s="186"/>
      <c r="C233" s="186"/>
      <c r="D233" s="186"/>
      <c r="E233" s="186"/>
      <c r="F233" s="186"/>
      <c r="G233" s="186"/>
      <c r="H233" s="186">
        <v>0.17</v>
      </c>
      <c r="I233" s="186"/>
      <c r="J233" s="186">
        <v>-0.02</v>
      </c>
      <c r="K233" s="186">
        <v>-0.08</v>
      </c>
      <c r="L233" s="186"/>
      <c r="M233" s="186"/>
      <c r="N233" s="186"/>
      <c r="O233" s="186"/>
      <c r="P233" s="186"/>
      <c r="Q233" s="186"/>
      <c r="R233" s="187"/>
    </row>
    <row r="234" hidden="1" outlineLevel="1" spans="1:18">
      <c r="A234" s="154" t="s">
        <v>211</v>
      </c>
      <c r="B234" s="186"/>
      <c r="C234" s="186"/>
      <c r="D234" s="186"/>
      <c r="E234" s="186"/>
      <c r="F234" s="186"/>
      <c r="G234" s="186"/>
      <c r="H234" s="186">
        <v>0.27</v>
      </c>
      <c r="I234" s="186"/>
      <c r="J234" s="186">
        <v>0.18</v>
      </c>
      <c r="K234" s="186">
        <v>0.2</v>
      </c>
      <c r="L234" s="186"/>
      <c r="M234" s="186"/>
      <c r="N234" s="186"/>
      <c r="O234" s="186"/>
      <c r="P234" s="186"/>
      <c r="Q234" s="186"/>
      <c r="R234" s="187"/>
    </row>
    <row r="235" hidden="1" outlineLevel="1" spans="1:18">
      <c r="A235" s="154" t="s">
        <v>102</v>
      </c>
      <c r="B235" s="186"/>
      <c r="C235" s="186"/>
      <c r="D235" s="186"/>
      <c r="E235" s="186"/>
      <c r="F235" s="186"/>
      <c r="G235" s="186"/>
      <c r="H235" s="186">
        <v>0.32</v>
      </c>
      <c r="I235" s="186"/>
      <c r="J235" s="186">
        <v>0.38</v>
      </c>
      <c r="K235" s="186">
        <v>0.42</v>
      </c>
      <c r="L235" s="186"/>
      <c r="M235" s="186"/>
      <c r="N235" s="186"/>
      <c r="O235" s="186"/>
      <c r="P235" s="186"/>
      <c r="Q235" s="186"/>
      <c r="R235" s="187"/>
    </row>
    <row r="236" collapsed="1" spans="1:18">
      <c r="A236" s="154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7"/>
    </row>
    <row r="237" spans="1:18">
      <c r="A237" s="200" t="str">
        <f t="shared" ref="A237:A242" si="51">A15</f>
        <v>Western Europe</v>
      </c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>
        <v>-0.05</v>
      </c>
      <c r="M237" s="186"/>
      <c r="N237" s="186"/>
      <c r="O237" s="186"/>
      <c r="P237" s="186"/>
      <c r="Q237" s="186"/>
      <c r="R237" s="187"/>
    </row>
    <row r="238" spans="1:18">
      <c r="A238" s="200" t="str">
        <f t="shared" si="51"/>
        <v>European Ems</v>
      </c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>
        <v>-0.07</v>
      </c>
      <c r="M238" s="186"/>
      <c r="N238" s="186"/>
      <c r="O238" s="186"/>
      <c r="P238" s="186"/>
      <c r="Q238" s="186"/>
      <c r="R238" s="187"/>
    </row>
    <row r="239" spans="1:18">
      <c r="A239" s="200" t="str">
        <f t="shared" si="51"/>
        <v>North America</v>
      </c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>
        <v>-0.1</v>
      </c>
      <c r="M239" s="186"/>
      <c r="N239" s="186"/>
      <c r="O239" s="186"/>
      <c r="P239" s="186"/>
      <c r="Q239" s="186"/>
      <c r="R239" s="187"/>
    </row>
    <row r="240" spans="1:18">
      <c r="A240" s="200" t="str">
        <f t="shared" si="51"/>
        <v>Greater China</v>
      </c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>
        <v>-0.16</v>
      </c>
      <c r="M240" s="186"/>
      <c r="N240" s="186"/>
      <c r="O240" s="186"/>
      <c r="P240" s="186"/>
      <c r="Q240" s="186"/>
      <c r="R240" s="187"/>
    </row>
    <row r="241" spans="1:18">
      <c r="A241" s="200" t="str">
        <f t="shared" si="51"/>
        <v>Other Asian Markets</v>
      </c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>
        <v>-0.03</v>
      </c>
      <c r="M241" s="186"/>
      <c r="N241" s="186"/>
      <c r="O241" s="186"/>
      <c r="P241" s="186"/>
      <c r="Q241" s="186"/>
      <c r="R241" s="187"/>
    </row>
    <row r="242" spans="1:18">
      <c r="A242" s="200" t="str">
        <f t="shared" si="51"/>
        <v>Latin America</v>
      </c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>
        <v>0.19</v>
      </c>
      <c r="M242" s="186"/>
      <c r="N242" s="186"/>
      <c r="O242" s="186"/>
      <c r="P242" s="186"/>
      <c r="Q242" s="186"/>
      <c r="R242" s="187"/>
    </row>
    <row r="243" spans="1:18">
      <c r="A243" s="200" t="s">
        <v>212</v>
      </c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>
        <v>-0.06</v>
      </c>
      <c r="M243" s="186">
        <f>'Profit and Loss'!Q35</f>
        <v>0.0865826498118305</v>
      </c>
      <c r="N243" s="186">
        <f>'Profit and Loss'!R35</f>
        <v>0.13</v>
      </c>
      <c r="O243" s="186">
        <f>'Profit and Loss'!S35</f>
        <v>0.0637775576071455</v>
      </c>
      <c r="P243" s="186">
        <f>'Profit and Loss'!T35</f>
        <v>0.0294190687361419</v>
      </c>
      <c r="Q243" s="186">
        <f>'Profit and Loss'!U35</f>
        <v>0.0646918989787469</v>
      </c>
      <c r="R243" s="187"/>
    </row>
    <row r="244" spans="1:18">
      <c r="A244" s="154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8"/>
      <c r="M244" s="188"/>
      <c r="N244" s="188"/>
      <c r="O244" s="188"/>
      <c r="P244" s="188"/>
      <c r="Q244" s="188"/>
      <c r="R244" s="189"/>
    </row>
    <row r="245" spans="1:18">
      <c r="A245" s="151" t="s">
        <v>1322</v>
      </c>
      <c r="B245" s="190"/>
      <c r="C245" s="190"/>
      <c r="D245" s="190"/>
      <c r="E245" s="190"/>
      <c r="F245" s="190">
        <v>0.05</v>
      </c>
      <c r="G245" s="190">
        <v>0.07</v>
      </c>
      <c r="H245" s="190">
        <f t="shared" ref="H245:Q245" si="52">H231</f>
        <v>0.12</v>
      </c>
      <c r="I245" s="190">
        <f t="shared" si="52"/>
        <v>0.53</v>
      </c>
      <c r="J245" s="190">
        <f t="shared" si="52"/>
        <v>0.07</v>
      </c>
      <c r="K245" s="190">
        <f t="shared" si="52"/>
        <v>0.09</v>
      </c>
      <c r="L245" s="190">
        <f t="shared" si="52"/>
        <v>-0.06</v>
      </c>
      <c r="M245" s="191">
        <f t="shared" si="52"/>
        <v>0.0865826498118305</v>
      </c>
      <c r="N245" s="191">
        <f t="shared" si="52"/>
        <v>0.13</v>
      </c>
      <c r="O245" s="191">
        <f t="shared" si="52"/>
        <v>0.0637775576071455</v>
      </c>
      <c r="P245" s="191">
        <f t="shared" si="52"/>
        <v>0.0294190687361419</v>
      </c>
      <c r="Q245" s="191">
        <f t="shared" si="52"/>
        <v>0.0646918989787469</v>
      </c>
      <c r="R245" s="189"/>
    </row>
    <row r="246" spans="1:18">
      <c r="A246" s="160" t="s">
        <v>533</v>
      </c>
      <c r="B246" s="186"/>
      <c r="C246" s="186"/>
      <c r="D246" s="186"/>
      <c r="E246" s="186"/>
      <c r="F246" s="186">
        <v>0.06</v>
      </c>
      <c r="G246" s="186">
        <v>0.01</v>
      </c>
      <c r="H246" s="186">
        <v>0.12</v>
      </c>
      <c r="I246" s="186">
        <v>0.6</v>
      </c>
      <c r="J246" s="186">
        <v>0.05</v>
      </c>
      <c r="K246" s="186">
        <v>0.08</v>
      </c>
      <c r="L246" s="188">
        <v>-0.07</v>
      </c>
      <c r="M246" s="188">
        <v>0.09</v>
      </c>
      <c r="N246" s="188">
        <v>0.18</v>
      </c>
      <c r="O246" s="188">
        <v>0.06</v>
      </c>
      <c r="P246" s="188">
        <v>0.04</v>
      </c>
      <c r="Q246" s="188">
        <v>0.05</v>
      </c>
      <c r="R246" s="189"/>
    </row>
    <row r="247" spans="1:18">
      <c r="A247" s="160" t="s">
        <v>536</v>
      </c>
      <c r="B247" s="186"/>
      <c r="C247" s="186"/>
      <c r="D247" s="186"/>
      <c r="E247" s="186"/>
      <c r="F247" s="186">
        <v>0.05</v>
      </c>
      <c r="G247" s="186">
        <v>0.17</v>
      </c>
      <c r="H247" s="186">
        <v>0.13</v>
      </c>
      <c r="I247" s="186">
        <v>0.48</v>
      </c>
      <c r="J247" s="186">
        <v>0.11</v>
      </c>
      <c r="K247" s="186">
        <v>0.12</v>
      </c>
      <c r="L247" s="188">
        <v>-0.04</v>
      </c>
      <c r="M247" s="188">
        <v>0.09</v>
      </c>
      <c r="N247" s="188">
        <v>0.08</v>
      </c>
      <c r="O247" s="188">
        <v>0.04</v>
      </c>
      <c r="P247" s="188">
        <v>0.03</v>
      </c>
      <c r="Q247" s="188">
        <v>0.12</v>
      </c>
      <c r="R247" s="189"/>
    </row>
    <row r="248" spans="1:18">
      <c r="A248" s="160" t="s">
        <v>537</v>
      </c>
      <c r="B248" s="186"/>
      <c r="C248" s="186"/>
      <c r="D248" s="186"/>
      <c r="E248" s="186"/>
      <c r="F248" s="186">
        <v>0.01</v>
      </c>
      <c r="G248" s="186">
        <v>0.02</v>
      </c>
      <c r="H248" s="186">
        <v>0.1</v>
      </c>
      <c r="I248" s="186">
        <v>0.45</v>
      </c>
      <c r="J248" s="186">
        <v>0</v>
      </c>
      <c r="K248" s="186">
        <v>0.04</v>
      </c>
      <c r="L248" s="188">
        <v>-0.06</v>
      </c>
      <c r="M248" s="188">
        <v>0.05</v>
      </c>
      <c r="N248" s="188">
        <v>0.1</v>
      </c>
      <c r="O248" s="188">
        <v>0.17</v>
      </c>
      <c r="P248" s="188">
        <v>0.15</v>
      </c>
      <c r="Q248" s="188">
        <v>-0.09</v>
      </c>
      <c r="R248" s="189"/>
    </row>
    <row r="249" spans="1:18">
      <c r="A249" s="160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8"/>
      <c r="M249" s="188"/>
      <c r="N249" s="188"/>
      <c r="O249" s="188"/>
      <c r="P249" s="188"/>
      <c r="Q249" s="188"/>
      <c r="R249" s="189"/>
    </row>
    <row r="250" spans="1:18">
      <c r="A250" s="151" t="s">
        <v>1330</v>
      </c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90">
        <v>-0.06</v>
      </c>
      <c r="M250" s="191">
        <f>M245</f>
        <v>0.0865826498118305</v>
      </c>
      <c r="N250" s="191">
        <f>N245</f>
        <v>0.13</v>
      </c>
      <c r="O250" s="191">
        <f>O245</f>
        <v>0.0637775576071455</v>
      </c>
      <c r="P250" s="191">
        <f>P245</f>
        <v>0.0294190687361419</v>
      </c>
      <c r="Q250" s="191">
        <f>Q245</f>
        <v>0.0646918989787469</v>
      </c>
      <c r="R250" s="189"/>
    </row>
    <row r="251" spans="1:18">
      <c r="A251" s="160" t="str">
        <f>A35</f>
        <v>Wholesale </v>
      </c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88">
        <v>-0.09</v>
      </c>
      <c r="M251" s="188">
        <f>'Profit and Loss'!Q8</f>
        <v>0.075</v>
      </c>
      <c r="N251" s="188">
        <f>'Profit and Loss'!R8</f>
        <v>0.11</v>
      </c>
      <c r="O251" s="188">
        <f>'Profit and Loss'!S8</f>
        <v>0.0209070391061453</v>
      </c>
      <c r="P251" s="188">
        <f>'Profit and Loss'!T8</f>
        <v>0.00380310500367146</v>
      </c>
      <c r="Q251" s="188">
        <f>'Profit and Loss'!U8</f>
        <v>0.06</v>
      </c>
      <c r="R251" s="189"/>
    </row>
    <row r="252" spans="1:18">
      <c r="A252" s="160" t="str">
        <f>A36</f>
        <v>Retail</v>
      </c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88">
        <v>0.07</v>
      </c>
      <c r="M252" s="188">
        <f>'Profit and Loss'!Q13</f>
        <v>0.178</v>
      </c>
      <c r="N252" s="188">
        <f>'Profit and Loss'!R13</f>
        <v>0.2</v>
      </c>
      <c r="O252" s="188">
        <f>'Profit and Loss'!S13</f>
        <v>0.137507697815968</v>
      </c>
      <c r="P252" s="188">
        <f>'Profit and Loss'!T13</f>
        <v>0.0811464571597984</v>
      </c>
      <c r="Q252" s="188">
        <f>'Profit and Loss'!U13</f>
        <v>0.209</v>
      </c>
      <c r="R252" s="189"/>
    </row>
    <row r="253" spans="1:18">
      <c r="A253" s="160" t="str">
        <f>A37</f>
        <v>Other</v>
      </c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88">
        <v>-0.04</v>
      </c>
      <c r="M253" s="188">
        <f>'Profit and Loss'!Q30</f>
        <v>0.016</v>
      </c>
      <c r="N253" s="188">
        <f>'Profit and Loss'!R30</f>
        <v>0.13</v>
      </c>
      <c r="O253" s="188">
        <f>'Profit and Loss'!S30</f>
        <v>0.168408860759494</v>
      </c>
      <c r="P253" s="188">
        <f>'Profit and Loss'!T30</f>
        <v>0.0487126960040465</v>
      </c>
      <c r="Q253" s="188">
        <f>'Profit and Loss'!U30</f>
        <v>-0.191</v>
      </c>
      <c r="R253" s="189"/>
    </row>
    <row r="254" spans="1:18">
      <c r="A254" s="160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R254" s="169"/>
    </row>
    <row r="255" spans="1:18">
      <c r="A255" s="170" t="s">
        <v>60</v>
      </c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93">
        <v>-0.09</v>
      </c>
      <c r="M255" s="193">
        <v>0.08</v>
      </c>
      <c r="N255" s="193">
        <v>0.11</v>
      </c>
      <c r="O255" s="193">
        <v>0.02</v>
      </c>
      <c r="P255" s="193">
        <v>0.02</v>
      </c>
      <c r="Q255" s="193">
        <v>0.06</v>
      </c>
      <c r="R255" s="185"/>
    </row>
    <row r="256" spans="1:18">
      <c r="A256" s="173" t="str">
        <f t="shared" ref="A256:A261" si="53">A40</f>
        <v>Western Europe</v>
      </c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61">
        <v>-0.08</v>
      </c>
      <c r="M256" s="161">
        <v>0.08</v>
      </c>
      <c r="N256" s="161">
        <v>0.1</v>
      </c>
      <c r="O256" s="161">
        <v>0.01</v>
      </c>
      <c r="P256" s="161">
        <v>-0.09</v>
      </c>
      <c r="Q256" s="161">
        <v>0.07</v>
      </c>
      <c r="R256" s="185"/>
    </row>
    <row r="257" spans="1:18">
      <c r="A257" s="173" t="str">
        <f t="shared" si="53"/>
        <v>European Ems</v>
      </c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61">
        <v>-0.13</v>
      </c>
      <c r="M257" s="161">
        <v>-0.02</v>
      </c>
      <c r="N257" s="161">
        <v>0.05</v>
      </c>
      <c r="O257" s="161">
        <v>0.06</v>
      </c>
      <c r="P257" s="161">
        <v>0.08</v>
      </c>
      <c r="Q257" s="161">
        <v>0.23</v>
      </c>
      <c r="R257" s="185"/>
    </row>
    <row r="258" spans="1:18">
      <c r="A258" s="173" t="str">
        <f t="shared" si="53"/>
        <v>North America</v>
      </c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61">
        <v>-0.16</v>
      </c>
      <c r="M258" s="161">
        <v>0.17</v>
      </c>
      <c r="N258" s="161">
        <v>0.15</v>
      </c>
      <c r="O258" s="161">
        <v>-0.09</v>
      </c>
      <c r="P258" s="161">
        <v>-0.03</v>
      </c>
      <c r="Q258" s="161">
        <v>-0.08</v>
      </c>
      <c r="R258" s="185"/>
    </row>
    <row r="259" spans="1:18">
      <c r="A259" s="173" t="str">
        <f t="shared" si="53"/>
        <v>Greater China</v>
      </c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61">
        <v>0.2</v>
      </c>
      <c r="M259" s="161">
        <v>-0.07</v>
      </c>
      <c r="N259" s="161">
        <v>0.24</v>
      </c>
      <c r="O259" s="161">
        <v>0.15</v>
      </c>
      <c r="P259" s="161">
        <v>0.07</v>
      </c>
      <c r="Q259" s="161">
        <v>0.08</v>
      </c>
      <c r="R259" s="185"/>
    </row>
    <row r="260" spans="1:18">
      <c r="A260" s="173" t="str">
        <f t="shared" si="53"/>
        <v>Other Asian Markets</v>
      </c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61">
        <v>-0.05</v>
      </c>
      <c r="M260" s="161">
        <v>0.08</v>
      </c>
      <c r="N260" s="161">
        <v>0.05</v>
      </c>
      <c r="O260" s="161">
        <v>0.06</v>
      </c>
      <c r="P260" s="161">
        <v>0.05</v>
      </c>
      <c r="Q260" s="161">
        <v>0.06</v>
      </c>
      <c r="R260" s="185"/>
    </row>
    <row r="261" spans="1:18">
      <c r="A261" s="173" t="str">
        <f t="shared" si="53"/>
        <v>Latin America</v>
      </c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61">
        <v>0.16</v>
      </c>
      <c r="M261" s="161">
        <v>0.11</v>
      </c>
      <c r="N261" s="161">
        <v>0.08</v>
      </c>
      <c r="O261" s="161">
        <v>0.05</v>
      </c>
      <c r="P261" s="161">
        <v>0.16</v>
      </c>
      <c r="Q261" s="161">
        <v>0.14</v>
      </c>
      <c r="R261" s="185"/>
    </row>
    <row r="262" spans="1:18">
      <c r="A262" s="173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61"/>
      <c r="N262" s="161"/>
      <c r="R262" s="169"/>
    </row>
    <row r="263" spans="1:18">
      <c r="A263" s="173" t="str">
        <f>A47</f>
        <v>Sport performance</v>
      </c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61">
        <v>-0.11</v>
      </c>
      <c r="M263" s="161">
        <v>0.02</v>
      </c>
      <c r="N263" s="161">
        <v>0.1</v>
      </c>
      <c r="O263" s="161">
        <v>0.06</v>
      </c>
      <c r="P263" s="161">
        <v>0.01</v>
      </c>
      <c r="Q263" s="161">
        <v>0.06</v>
      </c>
      <c r="R263" s="185"/>
    </row>
    <row r="264" spans="1:18">
      <c r="A264" s="173" t="str">
        <f>A48</f>
        <v>Sport Style</v>
      </c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61">
        <v>0.07</v>
      </c>
      <c r="M264" s="161">
        <v>0.21</v>
      </c>
      <c r="N264" s="161">
        <v>0.2</v>
      </c>
      <c r="O264" s="161">
        <v>0.13</v>
      </c>
      <c r="P264" s="161">
        <v>0.02</v>
      </c>
      <c r="Q264" s="161">
        <v>0.07</v>
      </c>
      <c r="R264" s="185"/>
    </row>
    <row r="265" spans="1:18">
      <c r="A265" s="173" t="str">
        <f>A49</f>
        <v>Reebok</v>
      </c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61">
        <v>-0.1</v>
      </c>
      <c r="M265" s="161">
        <v>0.12</v>
      </c>
      <c r="N265" s="161">
        <v>0.03</v>
      </c>
      <c r="O265" s="161">
        <v>-0.28</v>
      </c>
      <c r="P265" s="161">
        <v>0.01</v>
      </c>
      <c r="Q265" s="161">
        <v>0</v>
      </c>
      <c r="R265" s="185"/>
    </row>
    <row r="266" spans="1:18">
      <c r="A266" s="160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R266" s="169"/>
    </row>
    <row r="267" spans="1:18">
      <c r="A267" s="170" t="s">
        <v>62</v>
      </c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93">
        <v>0.07</v>
      </c>
      <c r="M267" s="193">
        <v>0.18</v>
      </c>
      <c r="N267" s="193">
        <v>0.2</v>
      </c>
      <c r="O267" s="193">
        <v>0.14</v>
      </c>
      <c r="P267" s="193">
        <v>0.08</v>
      </c>
      <c r="Q267" s="193">
        <v>0.21</v>
      </c>
      <c r="R267" s="185"/>
    </row>
    <row r="268" spans="1:18">
      <c r="A268" s="173" t="str">
        <f t="shared" ref="A268:A273" si="54">A52</f>
        <v>Western Europe</v>
      </c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61">
        <v>0.08</v>
      </c>
      <c r="M268" s="161">
        <v>0.04</v>
      </c>
      <c r="N268" s="161">
        <v>0.11</v>
      </c>
      <c r="O268" s="161">
        <v>0.06</v>
      </c>
      <c r="P268" s="161">
        <v>0.08</v>
      </c>
      <c r="Q268" s="161">
        <v>0.23</v>
      </c>
      <c r="R268" s="185"/>
    </row>
    <row r="269" spans="1:18">
      <c r="A269" s="173" t="str">
        <f t="shared" si="54"/>
        <v>European Ems</v>
      </c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61">
        <v>-0.01</v>
      </c>
      <c r="M269" s="161">
        <v>0.3</v>
      </c>
      <c r="N269" s="161">
        <v>0.32</v>
      </c>
      <c r="O269" s="161">
        <v>0.19</v>
      </c>
      <c r="P269" s="161">
        <v>0.02</v>
      </c>
      <c r="Q269" s="161">
        <v>0.18</v>
      </c>
      <c r="R269" s="185"/>
    </row>
    <row r="270" spans="1:18">
      <c r="A270" s="173" t="str">
        <f t="shared" si="54"/>
        <v>North America</v>
      </c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61">
        <v>0</v>
      </c>
      <c r="M270" s="161">
        <v>0.14</v>
      </c>
      <c r="N270" s="161">
        <v>0.14</v>
      </c>
      <c r="O270" s="161">
        <v>0.1</v>
      </c>
      <c r="P270" s="161">
        <v>0.1</v>
      </c>
      <c r="Q270" s="161">
        <v>0.15</v>
      </c>
      <c r="R270" s="185"/>
    </row>
    <row r="271" spans="1:18">
      <c r="A271" s="173" t="str">
        <f t="shared" si="54"/>
        <v>Greater China</v>
      </c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61">
        <v>0.57</v>
      </c>
      <c r="M271" s="161">
        <v>0.41</v>
      </c>
      <c r="N271" s="161">
        <v>0.2</v>
      </c>
      <c r="O271" s="161">
        <v>0.14</v>
      </c>
      <c r="P271" s="161">
        <v>0.11</v>
      </c>
      <c r="Q271" s="161">
        <v>0.26</v>
      </c>
      <c r="R271" s="185"/>
    </row>
    <row r="272" spans="1:18">
      <c r="A272" s="173" t="str">
        <f t="shared" si="54"/>
        <v>Other Asian Markets</v>
      </c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61">
        <v>0.11</v>
      </c>
      <c r="M272" s="161">
        <v>0.01</v>
      </c>
      <c r="N272" s="161">
        <v>0.09</v>
      </c>
      <c r="O272" s="161">
        <v>0.09</v>
      </c>
      <c r="P272" s="161">
        <v>0.08</v>
      </c>
      <c r="Q272" s="161">
        <v>0.19</v>
      </c>
      <c r="R272" s="185"/>
    </row>
    <row r="273" spans="1:18">
      <c r="A273" s="173" t="str">
        <f t="shared" si="54"/>
        <v>Latin America</v>
      </c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61">
        <v>0.51</v>
      </c>
      <c r="M273" s="161">
        <v>0.34</v>
      </c>
      <c r="N273" s="161">
        <v>0.2</v>
      </c>
      <c r="O273" s="161">
        <v>0.25</v>
      </c>
      <c r="P273" s="161">
        <v>0.31</v>
      </c>
      <c r="Q273" s="161">
        <v>0.39</v>
      </c>
      <c r="R273" s="185"/>
    </row>
    <row r="274" spans="1:18">
      <c r="A274" s="173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61"/>
      <c r="R274" s="169"/>
    </row>
    <row r="275" spans="1:18">
      <c r="A275" s="173" t="s">
        <v>1342</v>
      </c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61">
        <v>0.05</v>
      </c>
      <c r="M275" s="161">
        <v>0.15</v>
      </c>
      <c r="N275" s="161">
        <v>0.15</v>
      </c>
      <c r="O275" s="161">
        <v>0.11</v>
      </c>
      <c r="P275" s="161">
        <v>0.07</v>
      </c>
      <c r="Q275" s="161">
        <v>0.22</v>
      </c>
      <c r="R275" s="185"/>
    </row>
    <row r="276" spans="1:18">
      <c r="A276" s="173" t="s">
        <v>1343</v>
      </c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61">
        <v>0.2</v>
      </c>
      <c r="M276" s="161">
        <v>0.29</v>
      </c>
      <c r="N276" s="161">
        <v>0.33</v>
      </c>
      <c r="O276" s="161">
        <v>0.2</v>
      </c>
      <c r="P276" s="161">
        <v>0.12</v>
      </c>
      <c r="Q276" s="161">
        <v>0.22</v>
      </c>
      <c r="R276" s="185"/>
    </row>
    <row r="277" spans="1:18">
      <c r="A277" s="173" t="str">
        <f>A265</f>
        <v>Reebok</v>
      </c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61">
        <v>0.07</v>
      </c>
      <c r="M277" s="161">
        <v>0.14</v>
      </c>
      <c r="N277" s="161">
        <v>0.18</v>
      </c>
      <c r="O277" s="161">
        <v>0.12</v>
      </c>
      <c r="P277" s="161">
        <v>0.03</v>
      </c>
      <c r="Q277" s="161">
        <v>0.14</v>
      </c>
      <c r="R277" s="185"/>
    </row>
    <row r="278" spans="1:18">
      <c r="A278" s="173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61"/>
      <c r="R278" s="169"/>
    </row>
    <row r="279" spans="1:18">
      <c r="A279" s="173" t="s">
        <v>234</v>
      </c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61">
        <v>0.05</v>
      </c>
      <c r="M279" s="161">
        <v>0.13</v>
      </c>
      <c r="N279" s="161">
        <v>0.12</v>
      </c>
      <c r="O279" s="161">
        <v>0.09</v>
      </c>
      <c r="P279" s="161">
        <v>0.04</v>
      </c>
      <c r="Q279" s="161">
        <v>0.13</v>
      </c>
      <c r="R279" s="185"/>
    </row>
    <row r="280" spans="1:18">
      <c r="A280" s="173" t="s">
        <v>231</v>
      </c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61">
        <v>0.04</v>
      </c>
      <c r="M280" s="161">
        <v>0.23</v>
      </c>
      <c r="N280" s="161">
        <v>0.28</v>
      </c>
      <c r="O280" s="161">
        <v>0.16</v>
      </c>
      <c r="P280" s="161">
        <v>0.06</v>
      </c>
      <c r="Q280" s="161">
        <v>0.2</v>
      </c>
      <c r="R280" s="185"/>
    </row>
    <row r="281" spans="1:18">
      <c r="A281" s="173" t="s">
        <v>1332</v>
      </c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8">
        <v>0.28</v>
      </c>
      <c r="M281" s="188">
        <v>0.28</v>
      </c>
      <c r="N281" s="188">
        <v>0.35</v>
      </c>
      <c r="O281" s="188">
        <v>0.07</v>
      </c>
      <c r="P281" s="188">
        <v>0.06</v>
      </c>
      <c r="Q281" s="188">
        <v>0.17</v>
      </c>
      <c r="R281" s="189"/>
    </row>
    <row r="282" spans="1:18">
      <c r="A282" s="173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8"/>
      <c r="M282" s="188"/>
      <c r="N282" s="188"/>
      <c r="O282" s="188"/>
      <c r="P282" s="188"/>
      <c r="Q282" s="188"/>
      <c r="R282" s="189"/>
    </row>
    <row r="283" spans="1:18">
      <c r="A283" s="170" t="s">
        <v>70</v>
      </c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93">
        <v>-0.04</v>
      </c>
      <c r="M283" s="193">
        <v>0.02</v>
      </c>
      <c r="N283" s="193">
        <v>0.13</v>
      </c>
      <c r="O283" s="193">
        <v>0.17</v>
      </c>
      <c r="P283" s="193">
        <v>0.05</v>
      </c>
      <c r="Q283" s="193">
        <v>-0.19</v>
      </c>
      <c r="R283" s="185"/>
    </row>
    <row r="284" spans="1:18">
      <c r="A284" s="173" t="str">
        <f t="shared" ref="A284:A289" si="55">A268</f>
        <v>Western Europe</v>
      </c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61">
        <v>0.1</v>
      </c>
      <c r="M284" s="161">
        <v>0.01</v>
      </c>
      <c r="N284" s="161">
        <v>0.11</v>
      </c>
      <c r="O284" s="161">
        <v>0.16</v>
      </c>
      <c r="P284" s="161">
        <v>0.03</v>
      </c>
      <c r="Q284" s="161">
        <v>-0.05</v>
      </c>
      <c r="R284" s="185"/>
    </row>
    <row r="285" spans="1:18">
      <c r="A285" s="173" t="str">
        <f t="shared" si="55"/>
        <v>European Ems</v>
      </c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61">
        <v>-0.02</v>
      </c>
      <c r="M285" s="161">
        <v>0.08</v>
      </c>
      <c r="N285" s="161">
        <v>0.35</v>
      </c>
      <c r="O285" s="161">
        <v>0.17</v>
      </c>
      <c r="P285" s="161">
        <v>0.01</v>
      </c>
      <c r="Q285" s="161">
        <v>0.07</v>
      </c>
      <c r="R285" s="185"/>
    </row>
    <row r="286" spans="1:18">
      <c r="A286" s="173" t="str">
        <f t="shared" si="55"/>
        <v>North America</v>
      </c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61">
        <v>-0.05</v>
      </c>
      <c r="M286" s="161">
        <v>0</v>
      </c>
      <c r="N286" s="161">
        <v>0.17</v>
      </c>
      <c r="O286" s="161">
        <v>0.19</v>
      </c>
      <c r="P286" s="161">
        <v>0.06</v>
      </c>
      <c r="Q286" s="161">
        <v>-0.18</v>
      </c>
      <c r="R286" s="185"/>
    </row>
    <row r="287" spans="1:18">
      <c r="A287" s="173" t="str">
        <f t="shared" si="55"/>
        <v>Greater China</v>
      </c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61">
        <v>-0.09</v>
      </c>
      <c r="M287" s="161">
        <v>0.12</v>
      </c>
      <c r="N287" s="161">
        <v>0.22</v>
      </c>
      <c r="O287" s="161">
        <v>0.1</v>
      </c>
      <c r="P287" s="161">
        <v>-0.12</v>
      </c>
      <c r="Q287" s="161">
        <v>-0.31</v>
      </c>
      <c r="R287" s="185"/>
    </row>
    <row r="288" spans="1:18">
      <c r="A288" s="173" t="str">
        <f t="shared" si="55"/>
        <v>Other Asian Markets</v>
      </c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61">
        <v>-0.08</v>
      </c>
      <c r="M288" s="161">
        <v>0.03</v>
      </c>
      <c r="N288" s="161">
        <v>0.04</v>
      </c>
      <c r="O288" s="161">
        <v>0.12</v>
      </c>
      <c r="P288" s="161">
        <v>0.05</v>
      </c>
      <c r="Q288" s="161">
        <v>-0.35</v>
      </c>
      <c r="R288" s="185"/>
    </row>
    <row r="289" spans="1:18">
      <c r="A289" s="173" t="str">
        <f t="shared" si="55"/>
        <v>Latin America</v>
      </c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61">
        <v>0.03</v>
      </c>
      <c r="M289" s="161">
        <v>0.1</v>
      </c>
      <c r="N289" s="161">
        <v>0.2</v>
      </c>
      <c r="O289" s="161">
        <v>0.37</v>
      </c>
      <c r="P289" s="161">
        <v>0.02</v>
      </c>
      <c r="Q289" s="161">
        <v>-0.2</v>
      </c>
      <c r="R289" s="185"/>
    </row>
    <row r="290" spans="1:18">
      <c r="A290" s="173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61"/>
      <c r="R290" s="169"/>
    </row>
    <row r="291" spans="1:18">
      <c r="A291" s="173" t="s">
        <v>664</v>
      </c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61">
        <v>-0.02</v>
      </c>
      <c r="M291" s="161">
        <v>0.01</v>
      </c>
      <c r="N291" s="161">
        <v>0.16</v>
      </c>
      <c r="O291" s="161">
        <v>0.2</v>
      </c>
      <c r="P291" s="161">
        <v>0.03</v>
      </c>
      <c r="Q291" s="161">
        <v>-0.28</v>
      </c>
      <c r="R291" s="185"/>
    </row>
    <row r="292" spans="1:18">
      <c r="A292" s="173" t="s">
        <v>92</v>
      </c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61">
        <v>-0.08</v>
      </c>
      <c r="M292" s="161">
        <v>0.02</v>
      </c>
      <c r="N292" s="161">
        <v>0.06</v>
      </c>
      <c r="O292" s="161">
        <v>0.02</v>
      </c>
      <c r="P292" s="161">
        <v>0.06</v>
      </c>
      <c r="Q292" s="161" t="s">
        <v>165</v>
      </c>
      <c r="R292" s="185"/>
    </row>
    <row r="293" spans="1:18">
      <c r="A293" s="173" t="s">
        <v>93</v>
      </c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61">
        <v>-0.05</v>
      </c>
      <c r="M293" s="161">
        <v>0.03</v>
      </c>
      <c r="N293" s="161">
        <v>0.06</v>
      </c>
      <c r="O293" s="161">
        <v>0.09</v>
      </c>
      <c r="P293" s="161">
        <v>0.11</v>
      </c>
      <c r="Q293" s="161">
        <v>0.07</v>
      </c>
      <c r="R293" s="185"/>
    </row>
    <row r="294" spans="1:18">
      <c r="A294" s="173" t="s">
        <v>64</v>
      </c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61"/>
      <c r="O294" s="161">
        <v>0.61</v>
      </c>
      <c r="P294" s="161">
        <v>0.09</v>
      </c>
      <c r="Q294" s="161">
        <v>0.19</v>
      </c>
      <c r="R294" s="185"/>
    </row>
    <row r="295" spans="1:18">
      <c r="A295" s="173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74"/>
      <c r="R295" s="169"/>
    </row>
    <row r="296" hidden="1" outlineLevel="1" spans="1:18">
      <c r="A296" s="151" t="s">
        <v>1340</v>
      </c>
      <c r="B296" s="190"/>
      <c r="C296" s="190"/>
      <c r="D296" s="190"/>
      <c r="E296" s="190"/>
      <c r="F296" s="190"/>
      <c r="G296" s="190"/>
      <c r="H296" s="190">
        <v>0.12</v>
      </c>
      <c r="I296" s="190"/>
      <c r="J296" s="190">
        <v>0.07</v>
      </c>
      <c r="K296" s="190">
        <f>K231</f>
        <v>0.09</v>
      </c>
      <c r="L296" s="191"/>
      <c r="M296" s="191"/>
      <c r="N296" s="191"/>
      <c r="O296" s="191"/>
      <c r="P296" s="191"/>
      <c r="Q296" s="191"/>
      <c r="R296" s="189"/>
    </row>
    <row r="297" hidden="1" outlineLevel="2" spans="1:18">
      <c r="A297" s="160" t="s">
        <v>80</v>
      </c>
      <c r="B297" s="186">
        <f t="shared" ref="B297:K297" si="56">B301</f>
        <v>0</v>
      </c>
      <c r="C297" s="186">
        <f t="shared" si="56"/>
        <v>0</v>
      </c>
      <c r="D297" s="186">
        <f t="shared" si="56"/>
        <v>0</v>
      </c>
      <c r="E297" s="186">
        <f t="shared" si="56"/>
        <v>0</v>
      </c>
      <c r="F297" s="186">
        <f t="shared" si="56"/>
        <v>0</v>
      </c>
      <c r="G297" s="186">
        <f t="shared" si="56"/>
        <v>0</v>
      </c>
      <c r="H297" s="186">
        <f t="shared" si="56"/>
        <v>0.12</v>
      </c>
      <c r="I297" s="186">
        <f t="shared" si="56"/>
        <v>0.14</v>
      </c>
      <c r="J297" s="186">
        <f t="shared" si="56"/>
        <v>0.12</v>
      </c>
      <c r="K297" s="186">
        <f t="shared" si="56"/>
        <v>0.14</v>
      </c>
      <c r="L297" s="186"/>
      <c r="M297" s="186"/>
      <c r="N297" s="186"/>
      <c r="O297" s="186"/>
      <c r="P297" s="186"/>
      <c r="Q297" s="186"/>
      <c r="R297" s="187"/>
    </row>
    <row r="298" hidden="1" outlineLevel="2" spans="1:18">
      <c r="A298" s="160" t="s">
        <v>82</v>
      </c>
      <c r="B298" s="186">
        <f t="shared" ref="B298:K298" si="57">B313</f>
        <v>0</v>
      </c>
      <c r="C298" s="186">
        <f t="shared" si="57"/>
        <v>0</v>
      </c>
      <c r="D298" s="186">
        <f t="shared" si="57"/>
        <v>0</v>
      </c>
      <c r="E298" s="186">
        <f t="shared" si="57"/>
        <v>0</v>
      </c>
      <c r="F298" s="186">
        <f t="shared" si="57"/>
        <v>0</v>
      </c>
      <c r="G298" s="186">
        <f t="shared" si="57"/>
        <v>0</v>
      </c>
      <c r="H298" s="186">
        <f t="shared" si="57"/>
        <v>0</v>
      </c>
      <c r="I298" s="186">
        <f t="shared" si="57"/>
        <v>-0.06</v>
      </c>
      <c r="J298" s="186">
        <f t="shared" si="57"/>
        <v>0</v>
      </c>
      <c r="K298" s="186">
        <f t="shared" si="57"/>
        <v>-0.02</v>
      </c>
      <c r="L298" s="186"/>
      <c r="M298" s="186"/>
      <c r="N298" s="186"/>
      <c r="O298" s="186"/>
      <c r="P298" s="186"/>
      <c r="Q298" s="186"/>
      <c r="R298" s="187"/>
    </row>
    <row r="299" hidden="1" outlineLevel="2" spans="1:18">
      <c r="A299" s="160" t="s">
        <v>629</v>
      </c>
      <c r="B299" s="186">
        <f t="shared" ref="B299:K299" si="58">B325</f>
        <v>0</v>
      </c>
      <c r="C299" s="186">
        <f t="shared" si="58"/>
        <v>0</v>
      </c>
      <c r="D299" s="186">
        <f t="shared" si="58"/>
        <v>0</v>
      </c>
      <c r="E299" s="186">
        <f t="shared" si="58"/>
        <v>0</v>
      </c>
      <c r="F299" s="186">
        <f t="shared" si="58"/>
        <v>0</v>
      </c>
      <c r="G299" s="186">
        <f t="shared" si="58"/>
        <v>0</v>
      </c>
      <c r="H299" s="186">
        <f t="shared" si="58"/>
        <v>0.11</v>
      </c>
      <c r="I299" s="186">
        <f t="shared" si="58"/>
        <v>0.22</v>
      </c>
      <c r="J299" s="186">
        <f t="shared" si="58"/>
        <v>0.01</v>
      </c>
      <c r="K299" s="186">
        <f t="shared" si="58"/>
        <v>0.07</v>
      </c>
      <c r="L299" s="186"/>
      <c r="M299" s="186"/>
      <c r="N299" s="186"/>
      <c r="O299" s="186"/>
      <c r="P299" s="186"/>
      <c r="Q299" s="186"/>
      <c r="R299" s="187"/>
    </row>
    <row r="300" hidden="1" outlineLevel="2" spans="1:18">
      <c r="A300" s="160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8"/>
      <c r="M300" s="188"/>
      <c r="N300" s="188"/>
      <c r="O300" s="188"/>
      <c r="P300" s="188"/>
      <c r="Q300" s="188"/>
      <c r="R300" s="189"/>
    </row>
    <row r="301" s="141" customFormat="1" hidden="1" outlineLevel="2" spans="1:18">
      <c r="A301" s="194" t="s">
        <v>80</v>
      </c>
      <c r="B301" s="195"/>
      <c r="C301" s="195"/>
      <c r="D301" s="195"/>
      <c r="E301" s="195"/>
      <c r="F301" s="195"/>
      <c r="G301" s="195"/>
      <c r="H301" s="195">
        <v>0.12</v>
      </c>
      <c r="I301" s="195">
        <v>0.14</v>
      </c>
      <c r="J301" s="195">
        <v>0.12</v>
      </c>
      <c r="K301" s="195">
        <v>0.14</v>
      </c>
      <c r="L301" s="195"/>
      <c r="M301" s="195"/>
      <c r="N301" s="195"/>
      <c r="O301" s="195"/>
      <c r="P301" s="195"/>
      <c r="Q301" s="195"/>
      <c r="R301" s="196"/>
    </row>
    <row r="302" s="141" customFormat="1" hidden="1" outlineLevel="2" spans="1:18">
      <c r="A302" s="154" t="s">
        <v>1320</v>
      </c>
      <c r="B302" s="197"/>
      <c r="C302" s="197"/>
      <c r="D302" s="197"/>
      <c r="E302" s="197"/>
      <c r="F302" s="197"/>
      <c r="G302" s="197"/>
      <c r="H302" s="197">
        <v>0.02</v>
      </c>
      <c r="I302" s="197">
        <v>0.09</v>
      </c>
      <c r="J302" s="197">
        <v>0.08</v>
      </c>
      <c r="K302" s="197">
        <v>0.13</v>
      </c>
      <c r="L302" s="197"/>
      <c r="M302" s="197"/>
      <c r="N302" s="197"/>
      <c r="O302" s="197"/>
      <c r="P302" s="197"/>
      <c r="Q302" s="197"/>
      <c r="R302" s="196"/>
    </row>
    <row r="303" s="141" customFormat="1" hidden="1" outlineLevel="2" spans="1:18">
      <c r="A303" s="154" t="s">
        <v>101</v>
      </c>
      <c r="B303" s="197"/>
      <c r="C303" s="197"/>
      <c r="D303" s="197"/>
      <c r="E303" s="197"/>
      <c r="F303" s="197"/>
      <c r="G303" s="197"/>
      <c r="H303" s="197">
        <v>0.16</v>
      </c>
      <c r="I303" s="197">
        <v>0.13</v>
      </c>
      <c r="J303" s="197">
        <v>0.05</v>
      </c>
      <c r="K303" s="197">
        <v>-0.03</v>
      </c>
      <c r="L303" s="197"/>
      <c r="M303" s="197"/>
      <c r="N303" s="197"/>
      <c r="O303" s="197"/>
      <c r="P303" s="197"/>
      <c r="Q303" s="197"/>
      <c r="R303" s="196"/>
    </row>
    <row r="304" s="141" customFormat="1" hidden="1" outlineLevel="2" spans="1:18">
      <c r="A304" s="154" t="s">
        <v>211</v>
      </c>
      <c r="B304" s="197"/>
      <c r="C304" s="197"/>
      <c r="D304" s="197"/>
      <c r="E304" s="197"/>
      <c r="F304" s="197"/>
      <c r="G304" s="197"/>
      <c r="H304" s="197">
        <v>0.33</v>
      </c>
      <c r="I304" s="197">
        <v>0.2</v>
      </c>
      <c r="J304" s="197">
        <v>0.17</v>
      </c>
      <c r="K304" s="197">
        <v>0.24</v>
      </c>
      <c r="L304" s="197"/>
      <c r="M304" s="197"/>
      <c r="N304" s="197"/>
      <c r="O304" s="197"/>
      <c r="P304" s="197"/>
      <c r="Q304" s="197"/>
      <c r="R304" s="196"/>
    </row>
    <row r="305" s="141" customFormat="1" hidden="1" outlineLevel="2" spans="1:18">
      <c r="A305" s="154" t="s">
        <v>102</v>
      </c>
      <c r="B305" s="197"/>
      <c r="C305" s="197"/>
      <c r="D305" s="197"/>
      <c r="E305" s="197"/>
      <c r="F305" s="197"/>
      <c r="G305" s="197"/>
      <c r="H305" s="197">
        <v>0.32</v>
      </c>
      <c r="I305" s="197">
        <v>0.33</v>
      </c>
      <c r="J305" s="197">
        <v>0.39</v>
      </c>
      <c r="K305" s="197">
        <v>0.21</v>
      </c>
      <c r="L305" s="197"/>
      <c r="M305" s="197"/>
      <c r="N305" s="197"/>
      <c r="O305" s="197"/>
      <c r="P305" s="197"/>
      <c r="Q305" s="197"/>
      <c r="R305" s="196"/>
    </row>
    <row r="306" s="141" customFormat="1" hidden="1" outlineLevel="2" spans="1:18">
      <c r="A306" s="154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68"/>
    </row>
    <row r="307" s="141" customFormat="1" hidden="1" outlineLevel="2" spans="1:18">
      <c r="A307" s="178" t="s">
        <v>1331</v>
      </c>
      <c r="B307" s="197"/>
      <c r="C307" s="197"/>
      <c r="D307" s="197"/>
      <c r="E307" s="197"/>
      <c r="F307" s="197"/>
      <c r="G307" s="197"/>
      <c r="H307" s="197">
        <v>0.07</v>
      </c>
      <c r="I307" s="197">
        <v>0.13</v>
      </c>
      <c r="J307" s="198">
        <v>0.14</v>
      </c>
      <c r="K307" s="198">
        <v>0.15</v>
      </c>
      <c r="L307" s="198"/>
      <c r="M307" s="198"/>
      <c r="N307" s="198"/>
      <c r="O307" s="198"/>
      <c r="P307" s="198"/>
      <c r="Q307" s="198"/>
      <c r="R307" s="199"/>
    </row>
    <row r="308" s="141" customFormat="1" hidden="1" outlineLevel="2" spans="1:18">
      <c r="A308" s="178" t="s">
        <v>649</v>
      </c>
      <c r="B308" s="197"/>
      <c r="C308" s="197"/>
      <c r="D308" s="197"/>
      <c r="E308" s="197"/>
      <c r="F308" s="197"/>
      <c r="G308" s="197"/>
      <c r="H308" s="197">
        <f>(0.02*19+0.41*1290)/(1290+19)</f>
        <v>0.404339190221543</v>
      </c>
      <c r="I308" s="197">
        <f>(0.13*1444+0.037*26)/(1444+26)</f>
        <v>0.128355102040816</v>
      </c>
      <c r="J308" s="198">
        <v>0.03</v>
      </c>
      <c r="K308" s="198">
        <v>0.1</v>
      </c>
      <c r="L308" s="198"/>
      <c r="M308" s="198"/>
      <c r="N308" s="198"/>
      <c r="O308" s="198"/>
      <c r="P308" s="198"/>
      <c r="Q308" s="198"/>
      <c r="R308" s="199"/>
    </row>
    <row r="309" s="141" customFormat="1" hidden="1" outlineLevel="2" spans="1:18">
      <c r="A309" s="178" t="s">
        <v>1333</v>
      </c>
      <c r="B309" s="197"/>
      <c r="C309" s="197"/>
      <c r="D309" s="197"/>
      <c r="E309" s="197"/>
      <c r="F309" s="197"/>
      <c r="G309" s="197"/>
      <c r="H309" s="197"/>
      <c r="I309" s="197"/>
      <c r="J309" s="198"/>
      <c r="K309" s="198"/>
      <c r="L309" s="198"/>
      <c r="M309" s="198"/>
      <c r="N309" s="198"/>
      <c r="O309" s="198"/>
      <c r="P309" s="198"/>
      <c r="Q309" s="198"/>
      <c r="R309" s="199"/>
    </row>
    <row r="310" s="141" customFormat="1" hidden="1" outlineLevel="2" spans="1:18">
      <c r="A310" s="178"/>
      <c r="B310" s="197"/>
      <c r="C310" s="197"/>
      <c r="D310" s="197"/>
      <c r="E310" s="197"/>
      <c r="F310" s="197"/>
      <c r="G310" s="197"/>
      <c r="H310" s="197"/>
      <c r="I310" s="197"/>
      <c r="J310" s="198"/>
      <c r="K310" s="198"/>
      <c r="L310" s="198"/>
      <c r="M310" s="198"/>
      <c r="N310" s="198"/>
      <c r="O310" s="198"/>
      <c r="P310" s="198"/>
      <c r="Q310" s="198"/>
      <c r="R310" s="199"/>
    </row>
    <row r="311" s="141" customFormat="1" hidden="1" outlineLevel="2" spans="1:18">
      <c r="A311" s="178" t="s">
        <v>1334</v>
      </c>
      <c r="B311" s="198"/>
      <c r="C311" s="198"/>
      <c r="D311" s="198"/>
      <c r="E311" s="198"/>
      <c r="F311" s="198"/>
      <c r="G311" s="198"/>
      <c r="H311" s="198">
        <v>0.36</v>
      </c>
      <c r="I311" s="198"/>
      <c r="J311" s="198">
        <v>0.28</v>
      </c>
      <c r="K311" s="198">
        <v>0.24</v>
      </c>
      <c r="L311" s="198"/>
      <c r="M311" s="198"/>
      <c r="N311" s="198"/>
      <c r="O311" s="198"/>
      <c r="P311" s="198"/>
      <c r="Q311" s="198"/>
      <c r="R311" s="199"/>
    </row>
    <row r="312" s="141" customFormat="1" hidden="1" outlineLevel="2" spans="1:18">
      <c r="A312" s="178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80"/>
    </row>
    <row r="313" s="141" customFormat="1" hidden="1" outlineLevel="2" spans="1:18">
      <c r="A313" s="194" t="s">
        <v>82</v>
      </c>
      <c r="B313" s="195"/>
      <c r="C313" s="195"/>
      <c r="D313" s="195"/>
      <c r="E313" s="195"/>
      <c r="F313" s="195"/>
      <c r="G313" s="195"/>
      <c r="H313" s="195"/>
      <c r="I313" s="195">
        <v>-0.06</v>
      </c>
      <c r="J313" s="195">
        <v>0</v>
      </c>
      <c r="K313" s="195">
        <v>-0.02</v>
      </c>
      <c r="L313" s="195"/>
      <c r="M313" s="195"/>
      <c r="N313" s="195"/>
      <c r="O313" s="195"/>
      <c r="P313" s="195"/>
      <c r="Q313" s="195"/>
      <c r="R313" s="196"/>
    </row>
    <row r="314" s="141" customFormat="1" hidden="1" outlineLevel="2" spans="1:18">
      <c r="A314" s="154" t="s">
        <v>1320</v>
      </c>
      <c r="B314" s="197"/>
      <c r="C314" s="197"/>
      <c r="D314" s="197"/>
      <c r="E314" s="197"/>
      <c r="F314" s="197"/>
      <c r="G314" s="197"/>
      <c r="H314" s="197"/>
      <c r="I314" s="197">
        <v>-0.13</v>
      </c>
      <c r="J314" s="197">
        <v>-0.01</v>
      </c>
      <c r="K314" s="197">
        <v>-0.03</v>
      </c>
      <c r="L314" s="197"/>
      <c r="M314" s="197"/>
      <c r="N314" s="197"/>
      <c r="O314" s="197"/>
      <c r="P314" s="197"/>
      <c r="Q314" s="197"/>
      <c r="R314" s="196"/>
    </row>
    <row r="315" s="141" customFormat="1" hidden="1" outlineLevel="2" spans="1:18">
      <c r="A315" s="154" t="s">
        <v>101</v>
      </c>
      <c r="B315" s="197"/>
      <c r="C315" s="197"/>
      <c r="D315" s="197"/>
      <c r="E315" s="197"/>
      <c r="F315" s="197"/>
      <c r="G315" s="197"/>
      <c r="H315" s="197"/>
      <c r="I315" s="197">
        <v>-0.09</v>
      </c>
      <c r="J315" s="197">
        <v>-0.05</v>
      </c>
      <c r="K315" s="197">
        <v>-0.16</v>
      </c>
      <c r="L315" s="197"/>
      <c r="M315" s="197"/>
      <c r="N315" s="197"/>
      <c r="O315" s="197"/>
      <c r="P315" s="197"/>
      <c r="Q315" s="197"/>
      <c r="R315" s="196"/>
    </row>
    <row r="316" s="141" customFormat="1" hidden="1" outlineLevel="2" spans="1:18">
      <c r="A316" s="154" t="s">
        <v>211</v>
      </c>
      <c r="B316" s="197"/>
      <c r="C316" s="197"/>
      <c r="D316" s="197"/>
      <c r="E316" s="197"/>
      <c r="F316" s="197"/>
      <c r="G316" s="197"/>
      <c r="H316" s="197"/>
      <c r="I316" s="197">
        <v>0.12</v>
      </c>
      <c r="J316" s="197">
        <v>0.24</v>
      </c>
      <c r="K316" s="197">
        <v>0.07</v>
      </c>
      <c r="L316" s="197"/>
      <c r="M316" s="197"/>
      <c r="N316" s="197"/>
      <c r="O316" s="197"/>
      <c r="P316" s="197"/>
      <c r="Q316" s="197"/>
      <c r="R316" s="196"/>
    </row>
    <row r="317" s="141" customFormat="1" hidden="1" outlineLevel="2" spans="1:18">
      <c r="A317" s="154" t="s">
        <v>102</v>
      </c>
      <c r="B317" s="197"/>
      <c r="C317" s="197"/>
      <c r="D317" s="197"/>
      <c r="E317" s="197"/>
      <c r="F317" s="197"/>
      <c r="G317" s="197"/>
      <c r="H317" s="197"/>
      <c r="I317" s="197">
        <v>-0.05</v>
      </c>
      <c r="J317" s="197">
        <v>0.32</v>
      </c>
      <c r="K317" s="197">
        <v>1.92</v>
      </c>
      <c r="L317" s="197"/>
      <c r="M317" s="197"/>
      <c r="N317" s="197"/>
      <c r="O317" s="197"/>
      <c r="P317" s="197"/>
      <c r="Q317" s="197"/>
      <c r="R317" s="196"/>
    </row>
    <row r="318" s="141" customFormat="1" hidden="1" outlineLevel="2" spans="1:18">
      <c r="A318" s="154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68"/>
    </row>
    <row r="319" s="141" customFormat="1" hidden="1" outlineLevel="2" spans="1:18">
      <c r="A319" s="178" t="s">
        <v>82</v>
      </c>
      <c r="B319" s="197"/>
      <c r="C319" s="197"/>
      <c r="D319" s="197"/>
      <c r="E319" s="197"/>
      <c r="F319" s="197"/>
      <c r="G319" s="197"/>
      <c r="H319" s="197"/>
      <c r="I319" s="197">
        <v>-0.12</v>
      </c>
      <c r="J319" s="197">
        <v>-0.02</v>
      </c>
      <c r="K319" s="197">
        <v>0</v>
      </c>
      <c r="L319" s="198"/>
      <c r="M319" s="197"/>
      <c r="N319" s="197"/>
      <c r="O319" s="197"/>
      <c r="P319" s="197"/>
      <c r="Q319" s="197"/>
      <c r="R319" s="196"/>
    </row>
    <row r="320" s="141" customFormat="1" hidden="1" outlineLevel="2" spans="1:18">
      <c r="A320" s="178" t="s">
        <v>1335</v>
      </c>
      <c r="B320" s="197"/>
      <c r="C320" s="197"/>
      <c r="D320" s="197"/>
      <c r="E320" s="197"/>
      <c r="F320" s="197"/>
      <c r="G320" s="197"/>
      <c r="H320" s="197"/>
      <c r="I320" s="197">
        <v>0.11</v>
      </c>
      <c r="J320" s="197">
        <v>0.09</v>
      </c>
      <c r="K320" s="197">
        <v>-0.06</v>
      </c>
      <c r="L320" s="197"/>
      <c r="M320" s="197"/>
      <c r="N320" s="197"/>
      <c r="O320" s="197"/>
      <c r="P320" s="197"/>
      <c r="Q320" s="197"/>
      <c r="R320" s="196"/>
    </row>
    <row r="321" s="141" customFormat="1" hidden="1" outlineLevel="2" spans="1:18">
      <c r="A321" s="178" t="s">
        <v>92</v>
      </c>
      <c r="B321" s="197"/>
      <c r="C321" s="197"/>
      <c r="D321" s="197"/>
      <c r="E321" s="197"/>
      <c r="F321" s="197"/>
      <c r="G321" s="197"/>
      <c r="H321" s="197"/>
      <c r="I321" s="197">
        <v>0.05</v>
      </c>
      <c r="J321" s="197">
        <v>0.07</v>
      </c>
      <c r="K321" s="197">
        <v>-0.1</v>
      </c>
      <c r="L321" s="197"/>
      <c r="M321" s="197"/>
      <c r="N321" s="197"/>
      <c r="O321" s="197"/>
      <c r="P321" s="197"/>
      <c r="Q321" s="197"/>
      <c r="R321" s="196"/>
    </row>
    <row r="322" s="141" customFormat="1" hidden="1" outlineLevel="2" spans="1:18">
      <c r="A322" s="178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6"/>
    </row>
    <row r="323" s="141" customFormat="1" hidden="1" outlineLevel="2" spans="1:18">
      <c r="A323" s="178" t="s">
        <v>1334</v>
      </c>
      <c r="B323" s="179"/>
      <c r="C323" s="197"/>
      <c r="D323" s="197"/>
      <c r="E323" s="197"/>
      <c r="F323" s="197"/>
      <c r="G323" s="197"/>
      <c r="H323" s="197"/>
      <c r="I323" s="197"/>
      <c r="J323" s="197">
        <v>0.31</v>
      </c>
      <c r="K323" s="197">
        <v>0.17</v>
      </c>
      <c r="L323" s="197"/>
      <c r="M323" s="197"/>
      <c r="N323" s="197"/>
      <c r="O323" s="197"/>
      <c r="P323" s="197"/>
      <c r="Q323" s="197"/>
      <c r="R323" s="196"/>
    </row>
    <row r="324" s="141" customFormat="1" hidden="1" outlineLevel="2" spans="1:18">
      <c r="A324" s="178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80"/>
    </row>
    <row r="325" s="141" customFormat="1" hidden="1" outlineLevel="2" spans="1:18">
      <c r="A325" s="194" t="s">
        <v>1336</v>
      </c>
      <c r="B325" s="195"/>
      <c r="C325" s="195"/>
      <c r="D325" s="195"/>
      <c r="E325" s="195"/>
      <c r="F325" s="195"/>
      <c r="G325" s="195"/>
      <c r="H325" s="195">
        <v>0.11</v>
      </c>
      <c r="I325" s="195">
        <v>0.22</v>
      </c>
      <c r="J325" s="195">
        <v>0.01</v>
      </c>
      <c r="K325" s="195">
        <v>0.07</v>
      </c>
      <c r="L325" s="195"/>
      <c r="M325" s="195"/>
      <c r="N325" s="195"/>
      <c r="O325" s="195"/>
      <c r="P325" s="195"/>
      <c r="Q325" s="195"/>
      <c r="R325" s="196"/>
    </row>
    <row r="326" s="141" customFormat="1" hidden="1" outlineLevel="2" spans="1:18">
      <c r="A326" s="154" t="s">
        <v>1320</v>
      </c>
      <c r="B326" s="197"/>
      <c r="C326" s="197"/>
      <c r="D326" s="197"/>
      <c r="E326" s="197"/>
      <c r="F326" s="197"/>
      <c r="G326" s="197"/>
      <c r="H326" s="197">
        <v>0.07</v>
      </c>
      <c r="I326" s="197">
        <v>-0.09</v>
      </c>
      <c r="J326" s="197">
        <v>0.05</v>
      </c>
      <c r="K326" s="197">
        <v>0.17</v>
      </c>
      <c r="L326" s="197"/>
      <c r="M326" s="197"/>
      <c r="N326" s="197"/>
      <c r="O326" s="197"/>
      <c r="P326" s="197"/>
      <c r="Q326" s="197"/>
      <c r="R326" s="196"/>
    </row>
    <row r="327" s="141" customFormat="1" hidden="1" outlineLevel="2" spans="1:18">
      <c r="A327" s="154" t="s">
        <v>101</v>
      </c>
      <c r="B327" s="197"/>
      <c r="C327" s="197"/>
      <c r="D327" s="197"/>
      <c r="E327" s="197"/>
      <c r="F327" s="197"/>
      <c r="G327" s="197"/>
      <c r="H327" s="197">
        <v>0.21</v>
      </c>
      <c r="I327" s="197">
        <v>0.32</v>
      </c>
      <c r="J327" s="197">
        <v>-0.09</v>
      </c>
      <c r="K327" s="197">
        <v>0.03</v>
      </c>
      <c r="L327" s="197"/>
      <c r="M327" s="197"/>
      <c r="N327" s="197"/>
      <c r="O327" s="197"/>
      <c r="P327" s="197"/>
      <c r="Q327" s="197"/>
      <c r="R327" s="196"/>
    </row>
    <row r="328" s="141" customFormat="1" hidden="1" outlineLevel="2" spans="1:18">
      <c r="A328" s="154" t="s">
        <v>211</v>
      </c>
      <c r="B328" s="197"/>
      <c r="C328" s="197"/>
      <c r="D328" s="197"/>
      <c r="E328" s="197"/>
      <c r="F328" s="197"/>
      <c r="G328" s="197"/>
      <c r="H328" s="197">
        <v>0</v>
      </c>
      <c r="I328" s="197">
        <v>0.18</v>
      </c>
      <c r="J328" s="197">
        <v>0.2</v>
      </c>
      <c r="K328" s="197">
        <v>0.1</v>
      </c>
      <c r="L328" s="197"/>
      <c r="M328" s="197"/>
      <c r="N328" s="197"/>
      <c r="O328" s="197"/>
      <c r="P328" s="197"/>
      <c r="Q328" s="197"/>
      <c r="R328" s="196"/>
    </row>
    <row r="329" s="141" customFormat="1" hidden="1" outlineLevel="2" spans="1:18">
      <c r="A329" s="154" t="s">
        <v>102</v>
      </c>
      <c r="B329" s="197"/>
      <c r="C329" s="197"/>
      <c r="D329" s="197"/>
      <c r="E329" s="197"/>
      <c r="F329" s="197"/>
      <c r="G329" s="197"/>
      <c r="H329" s="197">
        <v>0.39</v>
      </c>
      <c r="I329" s="197">
        <v>0.47</v>
      </c>
      <c r="J329" s="197">
        <v>0.32</v>
      </c>
      <c r="K329" s="197">
        <v>0.38</v>
      </c>
      <c r="L329" s="197"/>
      <c r="M329" s="197"/>
      <c r="N329" s="197"/>
      <c r="O329" s="197"/>
      <c r="P329" s="197"/>
      <c r="Q329" s="197"/>
      <c r="R329" s="196"/>
    </row>
    <row r="330" s="141" customFormat="1" collapsed="1" spans="1:18">
      <c r="A330" s="154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68"/>
    </row>
    <row r="331" s="141" customFormat="1" spans="1:18">
      <c r="A331" s="150" t="s">
        <v>1344</v>
      </c>
      <c r="R331" s="184"/>
    </row>
    <row r="332" s="141" customFormat="1" spans="1:18">
      <c r="R332" s="184"/>
    </row>
    <row r="333" spans="1:18">
      <c r="A333" s="151" t="s">
        <v>1319</v>
      </c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3"/>
      <c r="M333" s="153"/>
      <c r="N333" s="153"/>
      <c r="O333" s="153"/>
      <c r="P333" s="153"/>
      <c r="Q333" s="153"/>
      <c r="R333" s="169"/>
    </row>
    <row r="334" spans="1:18">
      <c r="A334" s="155" t="s">
        <v>112</v>
      </c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61"/>
      <c r="M334" s="161"/>
      <c r="N334" s="161"/>
      <c r="O334" s="161"/>
      <c r="P334" s="161"/>
      <c r="Q334" s="161"/>
      <c r="R334" s="185"/>
    </row>
    <row r="335" spans="1:18">
      <c r="A335" s="155" t="s">
        <v>524</v>
      </c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61"/>
      <c r="M335" s="161"/>
      <c r="N335" s="161"/>
      <c r="O335" s="161"/>
      <c r="P335" s="161"/>
      <c r="Q335" s="161"/>
      <c r="R335" s="185"/>
    </row>
    <row r="336" spans="1:18">
      <c r="A336" s="155" t="s">
        <v>101</v>
      </c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61"/>
      <c r="M336" s="161"/>
      <c r="N336" s="161"/>
      <c r="O336" s="161"/>
      <c r="P336" s="161"/>
      <c r="Q336" s="161"/>
      <c r="R336" s="185"/>
    </row>
    <row r="337" spans="1:25">
      <c r="A337" s="155" t="s">
        <v>114</v>
      </c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61"/>
      <c r="M337" s="161"/>
      <c r="N337" s="161"/>
      <c r="O337" s="161"/>
      <c r="P337" s="161"/>
      <c r="Q337" s="161"/>
      <c r="R337" s="185"/>
    </row>
    <row r="338" spans="1:25">
      <c r="A338" s="155" t="s">
        <v>525</v>
      </c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61"/>
      <c r="M338" s="161"/>
      <c r="N338" s="161"/>
      <c r="O338" s="161"/>
      <c r="P338" s="161"/>
      <c r="Q338" s="161"/>
      <c r="R338" s="185"/>
    </row>
    <row r="339" spans="1:25">
      <c r="A339" s="155" t="s">
        <v>102</v>
      </c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61"/>
      <c r="M339" s="161"/>
      <c r="N339" s="161"/>
      <c r="O339" s="161"/>
      <c r="P339" s="161"/>
      <c r="Q339" s="161"/>
      <c r="R339" s="185"/>
    </row>
    <row r="340" spans="1:25">
      <c r="A340" s="155" t="s">
        <v>108</v>
      </c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61"/>
      <c r="M340" s="161"/>
      <c r="N340" s="161"/>
      <c r="O340" s="161"/>
      <c r="P340" s="161"/>
      <c r="Q340" s="161"/>
      <c r="R340" s="185"/>
    </row>
    <row r="341" spans="1:25">
      <c r="A341" s="160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8"/>
      <c r="M341" s="188"/>
      <c r="N341" s="188"/>
      <c r="O341" s="188"/>
      <c r="P341" s="188"/>
      <c r="Q341" s="188"/>
      <c r="R341" s="189"/>
    </row>
    <row r="342" hidden="1" outlineLevel="1" spans="1:25">
      <c r="A342" s="154" t="s">
        <v>1320</v>
      </c>
      <c r="B342" s="186"/>
      <c r="C342" s="186">
        <f t="shared" ref="C342:O342" si="59">C9/C$4</f>
        <v>0</v>
      </c>
      <c r="D342" s="186">
        <f t="shared" si="59"/>
        <v>0</v>
      </c>
      <c r="E342" s="186">
        <f t="shared" si="59"/>
        <v>0.490571822780929</v>
      </c>
      <c r="F342" s="186">
        <f t="shared" si="59"/>
        <v>0.536939524493378</v>
      </c>
      <c r="G342" s="186">
        <f t="shared" si="59"/>
        <v>0</v>
      </c>
      <c r="H342" s="186">
        <f t="shared" si="59"/>
        <v>0</v>
      </c>
      <c r="I342" s="186">
        <f t="shared" si="59"/>
        <v>0</v>
      </c>
      <c r="J342" s="186">
        <f t="shared" si="59"/>
        <v>0</v>
      </c>
      <c r="K342" s="186">
        <f t="shared" si="59"/>
        <v>0</v>
      </c>
      <c r="L342" s="186">
        <f t="shared" si="59"/>
        <v>0</v>
      </c>
      <c r="M342" s="186">
        <f t="shared" si="59"/>
        <v>0</v>
      </c>
      <c r="N342" s="186">
        <f t="shared" si="59"/>
        <v>0</v>
      </c>
      <c r="O342" s="186">
        <f t="shared" si="59"/>
        <v>0</v>
      </c>
      <c r="P342" s="186"/>
      <c r="Q342" s="186"/>
      <c r="R342" s="187"/>
    </row>
    <row r="343" hidden="1" outlineLevel="1" spans="1:25">
      <c r="A343" s="154" t="s">
        <v>101</v>
      </c>
      <c r="B343" s="186"/>
      <c r="C343" s="186">
        <f t="shared" ref="C343:O343" si="60">C10/C$4</f>
        <v>0</v>
      </c>
      <c r="D343" s="186">
        <f t="shared" si="60"/>
        <v>0</v>
      </c>
      <c r="E343" s="186">
        <f t="shared" si="60"/>
        <v>0.300475241453319</v>
      </c>
      <c r="F343" s="186">
        <f t="shared" si="60"/>
        <v>0.249242061592468</v>
      </c>
      <c r="G343" s="186">
        <f t="shared" si="60"/>
        <v>0</v>
      </c>
      <c r="H343" s="186">
        <f t="shared" si="60"/>
        <v>0</v>
      </c>
      <c r="I343" s="186">
        <f t="shared" si="60"/>
        <v>0</v>
      </c>
      <c r="J343" s="186">
        <f t="shared" si="60"/>
        <v>0</v>
      </c>
      <c r="K343" s="186">
        <f t="shared" si="60"/>
        <v>0</v>
      </c>
      <c r="L343" s="186">
        <f t="shared" si="60"/>
        <v>0</v>
      </c>
      <c r="M343" s="186">
        <f t="shared" si="60"/>
        <v>0</v>
      </c>
      <c r="N343" s="186">
        <f t="shared" si="60"/>
        <v>0</v>
      </c>
      <c r="O343" s="186">
        <f t="shared" si="60"/>
        <v>0</v>
      </c>
      <c r="P343" s="186"/>
      <c r="Q343" s="186"/>
      <c r="R343" s="187"/>
    </row>
    <row r="344" hidden="1" outlineLevel="1" spans="1:25">
      <c r="A344" s="154" t="s">
        <v>211</v>
      </c>
      <c r="B344" s="186"/>
      <c r="C344" s="186">
        <f t="shared" ref="C344:O344" si="61">C11/C$4</f>
        <v>0</v>
      </c>
      <c r="D344" s="186">
        <f t="shared" si="61"/>
        <v>0</v>
      </c>
      <c r="E344" s="186">
        <f t="shared" si="61"/>
        <v>0.178752107925801</v>
      </c>
      <c r="F344" s="186">
        <f t="shared" si="61"/>
        <v>0.178075634274773</v>
      </c>
      <c r="G344" s="186">
        <f t="shared" si="61"/>
        <v>0</v>
      </c>
      <c r="H344" s="186">
        <f t="shared" si="61"/>
        <v>0</v>
      </c>
      <c r="I344" s="186">
        <f t="shared" si="61"/>
        <v>0</v>
      </c>
      <c r="J344" s="186">
        <f t="shared" si="61"/>
        <v>0</v>
      </c>
      <c r="K344" s="186">
        <f t="shared" si="61"/>
        <v>0</v>
      </c>
      <c r="L344" s="186">
        <f t="shared" si="61"/>
        <v>0</v>
      </c>
      <c r="M344" s="186">
        <f t="shared" si="61"/>
        <v>0</v>
      </c>
      <c r="N344" s="186">
        <f t="shared" si="61"/>
        <v>0</v>
      </c>
      <c r="O344" s="186">
        <f t="shared" si="61"/>
        <v>0</v>
      </c>
      <c r="P344" s="186"/>
      <c r="Q344" s="186"/>
      <c r="R344" s="187"/>
    </row>
    <row r="345" hidden="1" outlineLevel="1" spans="1:25">
      <c r="A345" s="154" t="s">
        <v>102</v>
      </c>
      <c r="B345" s="186"/>
      <c r="C345" s="186">
        <f t="shared" ref="C345:O345" si="62">C12/C$4</f>
        <v>0</v>
      </c>
      <c r="D345" s="186">
        <f t="shared" si="62"/>
        <v>0</v>
      </c>
      <c r="E345" s="186">
        <f t="shared" si="62"/>
        <v>0.0249885022229036</v>
      </c>
      <c r="F345" s="186">
        <f t="shared" si="62"/>
        <v>0.0285623105153981</v>
      </c>
      <c r="G345" s="186">
        <f t="shared" si="62"/>
        <v>0</v>
      </c>
      <c r="H345" s="186">
        <f t="shared" si="62"/>
        <v>0</v>
      </c>
      <c r="I345" s="186">
        <f t="shared" si="62"/>
        <v>0</v>
      </c>
      <c r="J345" s="186">
        <f t="shared" si="62"/>
        <v>0</v>
      </c>
      <c r="K345" s="186">
        <f t="shared" si="62"/>
        <v>0</v>
      </c>
      <c r="L345" s="186">
        <f t="shared" si="62"/>
        <v>0</v>
      </c>
      <c r="M345" s="186">
        <f t="shared" si="62"/>
        <v>0</v>
      </c>
      <c r="N345" s="186">
        <f t="shared" si="62"/>
        <v>0</v>
      </c>
      <c r="O345" s="186">
        <f t="shared" si="62"/>
        <v>0</v>
      </c>
      <c r="P345" s="186"/>
      <c r="Q345" s="186"/>
      <c r="R345" s="187"/>
    </row>
    <row r="346" hidden="1" outlineLevel="1" spans="1:25">
      <c r="A346" s="154" t="s">
        <v>64</v>
      </c>
      <c r="B346" s="186"/>
      <c r="C346" s="186">
        <f t="shared" ref="C346:O346" si="63">C13/C$4</f>
        <v>0</v>
      </c>
      <c r="D346" s="186">
        <f t="shared" si="63"/>
        <v>0</v>
      </c>
      <c r="E346" s="186">
        <f t="shared" si="63"/>
        <v>0.00521232561704737</v>
      </c>
      <c r="F346" s="186">
        <f t="shared" si="63"/>
        <v>0.00718046912398277</v>
      </c>
      <c r="G346" s="186">
        <f t="shared" si="63"/>
        <v>0</v>
      </c>
      <c r="H346" s="186">
        <f t="shared" si="63"/>
        <v>0</v>
      </c>
      <c r="I346" s="186">
        <f t="shared" si="63"/>
        <v>0</v>
      </c>
      <c r="J346" s="186">
        <f t="shared" si="63"/>
        <v>0</v>
      </c>
      <c r="K346" s="186">
        <f t="shared" si="63"/>
        <v>0</v>
      </c>
      <c r="L346" s="186">
        <f t="shared" si="63"/>
        <v>0</v>
      </c>
      <c r="M346" s="186">
        <f t="shared" si="63"/>
        <v>0</v>
      </c>
      <c r="N346" s="186">
        <f t="shared" si="63"/>
        <v>0</v>
      </c>
      <c r="O346" s="186">
        <f t="shared" si="63"/>
        <v>0</v>
      </c>
      <c r="P346" s="186"/>
      <c r="Q346" s="186"/>
      <c r="R346" s="187"/>
    </row>
    <row r="347" hidden="1" outlineLevel="1" spans="1:25">
      <c r="A347" s="154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8"/>
      <c r="M347" s="188"/>
      <c r="N347" s="188"/>
      <c r="O347" s="188"/>
      <c r="P347" s="188"/>
      <c r="Q347" s="188"/>
      <c r="R347" s="189"/>
    </row>
    <row r="348" collapsed="1" spans="1:25">
      <c r="A348" s="151" t="s">
        <v>1322</v>
      </c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1"/>
      <c r="M348" s="191"/>
      <c r="N348" s="191"/>
      <c r="O348" s="191"/>
      <c r="P348" s="191"/>
      <c r="Q348" s="191"/>
      <c r="R348" s="191"/>
      <c r="Y348" s="150" t="s">
        <v>1345</v>
      </c>
    </row>
    <row r="349" spans="1:25">
      <c r="A349" s="160" t="s">
        <v>533</v>
      </c>
      <c r="B349" s="186"/>
      <c r="C349" s="186">
        <f t="shared" ref="C349:O349" si="64">C24/C$4</f>
        <v>0.43101970865467</v>
      </c>
      <c r="D349" s="186">
        <f t="shared" si="64"/>
        <v>0.433573298429319</v>
      </c>
      <c r="E349" s="186">
        <f t="shared" si="64"/>
        <v>0.437068833358884</v>
      </c>
      <c r="F349" s="186">
        <f t="shared" si="64"/>
        <v>0.441519068134674</v>
      </c>
      <c r="G349" s="186">
        <f t="shared" si="64"/>
        <v>0.447098976109215</v>
      </c>
      <c r="H349" s="186">
        <f t="shared" si="64"/>
        <v>0.448764315852923</v>
      </c>
      <c r="I349" s="186">
        <f t="shared" si="64"/>
        <v>0.469357397857993</v>
      </c>
      <c r="J349" s="186">
        <f t="shared" si="64"/>
        <v>0.461306923002233</v>
      </c>
      <c r="K349" s="186">
        <f t="shared" si="64"/>
        <v>0.455505139364756</v>
      </c>
      <c r="L349" s="188">
        <f t="shared" si="64"/>
        <v>0.447163086407861</v>
      </c>
      <c r="M349" s="188">
        <f t="shared" si="64"/>
        <v>0.449457881567973</v>
      </c>
      <c r="N349" s="188">
        <f t="shared" si="64"/>
        <v>0.468513097650679</v>
      </c>
      <c r="O349" s="188">
        <f t="shared" si="64"/>
        <v>0.465094403010146</v>
      </c>
      <c r="P349" s="188">
        <f t="shared" ref="P349:Q351" si="65">P24/P$4</f>
        <v>0.463709961281239</v>
      </c>
      <c r="Q349" s="188">
        <f t="shared" si="65"/>
        <v>0.458098252373744</v>
      </c>
      <c r="R349" s="188">
        <f>R24/R$4</f>
        <v>0.494235885308897</v>
      </c>
    </row>
    <row r="350" spans="1:25">
      <c r="A350" s="160" t="s">
        <v>536</v>
      </c>
      <c r="B350" s="186"/>
      <c r="C350" s="186">
        <f t="shared" ref="C350:O350" si="66">C25/C$4</f>
        <v>0.372750642673522</v>
      </c>
      <c r="D350" s="186">
        <f t="shared" si="66"/>
        <v>0.361910994764398</v>
      </c>
      <c r="E350" s="186">
        <f t="shared" si="66"/>
        <v>0.350758853288364</v>
      </c>
      <c r="F350" s="186">
        <f t="shared" si="66"/>
        <v>0.354555608744216</v>
      </c>
      <c r="G350" s="186">
        <f t="shared" si="66"/>
        <v>0.420136518771331</v>
      </c>
      <c r="H350" s="186">
        <f t="shared" si="66"/>
        <v>0.421639541892706</v>
      </c>
      <c r="I350" s="186">
        <f t="shared" si="66"/>
        <v>0.407080523601745</v>
      </c>
      <c r="J350" s="186">
        <f t="shared" si="66"/>
        <v>0.429750461209826</v>
      </c>
      <c r="K350" s="186">
        <f t="shared" si="66"/>
        <v>0.442170571349199</v>
      </c>
      <c r="L350" s="188">
        <f t="shared" si="66"/>
        <v>0.449186012908198</v>
      </c>
      <c r="M350" s="188">
        <f t="shared" si="66"/>
        <v>0.448707256046706</v>
      </c>
      <c r="N350" s="188">
        <f t="shared" si="66"/>
        <v>0.430308489079036</v>
      </c>
      <c r="O350" s="188">
        <f t="shared" si="66"/>
        <v>0.422629846133172</v>
      </c>
      <c r="P350" s="188">
        <f t="shared" si="65"/>
        <v>0.409081309398099</v>
      </c>
      <c r="Q350" s="188">
        <f t="shared" si="65"/>
        <v>0.432021466905188</v>
      </c>
      <c r="R350" s="188">
        <f>R25/R$4</f>
        <v>0.412060301507538</v>
      </c>
    </row>
    <row r="351" spans="1:25">
      <c r="A351" s="160" t="s">
        <v>537</v>
      </c>
      <c r="B351" s="186"/>
      <c r="C351" s="186">
        <f t="shared" ref="C351:O351" si="67">C26/C$4</f>
        <v>0.196058269065981</v>
      </c>
      <c r="D351" s="186">
        <f t="shared" si="67"/>
        <v>0.204515706806283</v>
      </c>
      <c r="E351" s="186">
        <f t="shared" si="67"/>
        <v>0.212325617047371</v>
      </c>
      <c r="F351" s="186">
        <f t="shared" si="67"/>
        <v>0.203925323121111</v>
      </c>
      <c r="G351" s="186">
        <f t="shared" si="67"/>
        <v>0.132764505119454</v>
      </c>
      <c r="H351" s="186">
        <f t="shared" si="67"/>
        <v>0.12959614225437</v>
      </c>
      <c r="I351" s="186">
        <f t="shared" si="67"/>
        <v>0.123562078540262</v>
      </c>
      <c r="J351" s="186">
        <f t="shared" si="67"/>
        <v>0.108942615787941</v>
      </c>
      <c r="K351" s="186">
        <f t="shared" si="67"/>
        <v>0.102324289286045</v>
      </c>
      <c r="L351" s="188">
        <f t="shared" si="67"/>
        <v>0.103650900683942</v>
      </c>
      <c r="M351" s="188">
        <f t="shared" si="67"/>
        <v>0.101834862385321</v>
      </c>
      <c r="N351" s="188">
        <f t="shared" si="67"/>
        <v>0.101103355100203</v>
      </c>
      <c r="O351" s="188">
        <f t="shared" si="67"/>
        <v>0.112275750856682</v>
      </c>
      <c r="P351" s="188">
        <f t="shared" si="65"/>
        <v>0.12713833157339</v>
      </c>
      <c r="Q351" s="188">
        <f t="shared" si="65"/>
        <v>0.109880280721068</v>
      </c>
      <c r="R351" s="188">
        <f>R26/R$4</f>
        <v>0.0937038131835649</v>
      </c>
    </row>
    <row r="352" spans="1:25">
      <c r="A352" s="154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8"/>
      <c r="M352" s="188"/>
      <c r="N352" s="188"/>
      <c r="O352" s="188"/>
      <c r="P352" s="188"/>
      <c r="Q352" s="188"/>
      <c r="R352" s="188"/>
    </row>
    <row r="353" hidden="1" outlineLevel="1" spans="1:18">
      <c r="A353" s="151" t="s">
        <v>1340</v>
      </c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1"/>
      <c r="M353" s="191"/>
      <c r="N353" s="191"/>
      <c r="O353" s="191"/>
      <c r="P353" s="191"/>
      <c r="Q353" s="191"/>
      <c r="R353" s="189"/>
    </row>
    <row r="354" hidden="1" outlineLevel="1" spans="1:18">
      <c r="A354" s="160" t="s">
        <v>80</v>
      </c>
      <c r="B354" s="186"/>
      <c r="C354" s="186">
        <f t="shared" ref="C354:P354" si="68">C29/C$4</f>
        <v>0</v>
      </c>
      <c r="D354" s="186">
        <f t="shared" si="68"/>
        <v>0</v>
      </c>
      <c r="E354" s="186">
        <f t="shared" si="68"/>
        <v>0</v>
      </c>
      <c r="F354" s="186">
        <f t="shared" si="68"/>
        <v>0</v>
      </c>
      <c r="G354" s="186">
        <f t="shared" si="68"/>
        <v>0</v>
      </c>
      <c r="H354" s="186">
        <f t="shared" si="68"/>
        <v>0</v>
      </c>
      <c r="I354" s="186">
        <f t="shared" si="68"/>
        <v>0</v>
      </c>
      <c r="J354" s="186">
        <f t="shared" si="68"/>
        <v>0</v>
      </c>
      <c r="K354" s="186">
        <f t="shared" si="68"/>
        <v>0</v>
      </c>
      <c r="L354" s="186">
        <f t="shared" si="68"/>
        <v>0</v>
      </c>
      <c r="M354" s="186">
        <f t="shared" si="68"/>
        <v>0</v>
      </c>
      <c r="N354" s="186">
        <f t="shared" si="68"/>
        <v>0</v>
      </c>
      <c r="O354" s="186">
        <f t="shared" si="68"/>
        <v>0</v>
      </c>
      <c r="P354" s="186">
        <f t="shared" si="68"/>
        <v>0</v>
      </c>
      <c r="Q354" s="186"/>
      <c r="R354" s="187"/>
    </row>
    <row r="355" hidden="1" outlineLevel="1" spans="1:18">
      <c r="A355" s="160" t="s">
        <v>82</v>
      </c>
      <c r="B355" s="186"/>
      <c r="C355" s="186">
        <f t="shared" ref="C355:P355" si="69">C30/C$4</f>
        <v>0</v>
      </c>
      <c r="D355" s="186">
        <f t="shared" si="69"/>
        <v>0</v>
      </c>
      <c r="E355" s="186">
        <f t="shared" si="69"/>
        <v>0</v>
      </c>
      <c r="F355" s="186">
        <f t="shared" si="69"/>
        <v>0</v>
      </c>
      <c r="G355" s="186">
        <f t="shared" si="69"/>
        <v>0</v>
      </c>
      <c r="H355" s="186">
        <f t="shared" si="69"/>
        <v>0.409734779987945</v>
      </c>
      <c r="I355" s="186">
        <f t="shared" si="69"/>
        <v>0</v>
      </c>
      <c r="J355" s="186">
        <f t="shared" si="69"/>
        <v>0</v>
      </c>
      <c r="K355" s="186">
        <f t="shared" si="69"/>
        <v>0</v>
      </c>
      <c r="L355" s="186">
        <f t="shared" si="69"/>
        <v>0</v>
      </c>
      <c r="M355" s="186">
        <f t="shared" si="69"/>
        <v>0</v>
      </c>
      <c r="N355" s="186">
        <f t="shared" si="69"/>
        <v>0</v>
      </c>
      <c r="O355" s="186">
        <f t="shared" si="69"/>
        <v>0</v>
      </c>
      <c r="P355" s="186">
        <f t="shared" si="69"/>
        <v>0</v>
      </c>
      <c r="Q355" s="186"/>
      <c r="R355" s="187"/>
    </row>
    <row r="356" hidden="1" outlineLevel="1" spans="1:18">
      <c r="A356" s="160" t="s">
        <v>629</v>
      </c>
      <c r="B356" s="186"/>
      <c r="C356" s="186">
        <f t="shared" ref="C356:P356" si="70">C31/C$4</f>
        <v>0</v>
      </c>
      <c r="D356" s="186">
        <f t="shared" si="70"/>
        <v>0</v>
      </c>
      <c r="E356" s="186">
        <f t="shared" si="70"/>
        <v>0</v>
      </c>
      <c r="F356" s="186">
        <f t="shared" si="70"/>
        <v>0</v>
      </c>
      <c r="G356" s="186">
        <f t="shared" si="70"/>
        <v>0</v>
      </c>
      <c r="H356" s="186">
        <f t="shared" si="70"/>
        <v>0</v>
      </c>
      <c r="I356" s="186">
        <f t="shared" si="70"/>
        <v>0</v>
      </c>
      <c r="J356" s="186">
        <f t="shared" si="70"/>
        <v>0</v>
      </c>
      <c r="K356" s="186">
        <f t="shared" si="70"/>
        <v>0</v>
      </c>
      <c r="L356" s="186">
        <f t="shared" si="70"/>
        <v>0</v>
      </c>
      <c r="M356" s="186">
        <f t="shared" si="70"/>
        <v>0</v>
      </c>
      <c r="N356" s="186">
        <f t="shared" si="70"/>
        <v>0</v>
      </c>
      <c r="O356" s="186">
        <f t="shared" si="70"/>
        <v>0</v>
      </c>
      <c r="P356" s="186">
        <f t="shared" si="70"/>
        <v>0</v>
      </c>
      <c r="Q356" s="186"/>
      <c r="R356" s="187"/>
    </row>
    <row r="357" hidden="1" outlineLevel="1" spans="1:18">
      <c r="A357" s="160" t="s">
        <v>64</v>
      </c>
      <c r="B357" s="186"/>
      <c r="C357" s="186">
        <f t="shared" ref="C357:P357" si="71">C32/C$4</f>
        <v>0</v>
      </c>
      <c r="D357" s="186">
        <f t="shared" si="71"/>
        <v>0</v>
      </c>
      <c r="E357" s="186">
        <f t="shared" si="71"/>
        <v>0</v>
      </c>
      <c r="F357" s="186">
        <f t="shared" si="71"/>
        <v>0</v>
      </c>
      <c r="G357" s="186">
        <f t="shared" si="71"/>
        <v>0</v>
      </c>
      <c r="H357" s="186">
        <f t="shared" si="71"/>
        <v>0</v>
      </c>
      <c r="I357" s="186">
        <f t="shared" si="71"/>
        <v>0</v>
      </c>
      <c r="J357" s="186">
        <f t="shared" si="71"/>
        <v>0</v>
      </c>
      <c r="K357" s="186">
        <f t="shared" si="71"/>
        <v>0</v>
      </c>
      <c r="L357" s="186">
        <f t="shared" si="71"/>
        <v>0</v>
      </c>
      <c r="M357" s="186">
        <f t="shared" si="71"/>
        <v>0</v>
      </c>
      <c r="N357" s="186">
        <f t="shared" si="71"/>
        <v>0</v>
      </c>
      <c r="O357" s="186">
        <f t="shared" si="71"/>
        <v>0</v>
      </c>
      <c r="P357" s="186">
        <f t="shared" si="71"/>
        <v>0</v>
      </c>
      <c r="Q357" s="186"/>
      <c r="R357" s="187"/>
    </row>
    <row r="358" hidden="1" outlineLevel="1" spans="1:18">
      <c r="A358" s="160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7"/>
    </row>
    <row r="359" collapsed="1" spans="1:18">
      <c r="A359" s="151" t="s">
        <v>1346</v>
      </c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3"/>
      <c r="M359" s="153"/>
      <c r="N359" s="153"/>
      <c r="O359" s="153"/>
      <c r="P359" s="153"/>
      <c r="Q359" s="153"/>
      <c r="R359" s="153"/>
    </row>
    <row r="360" spans="1:18">
      <c r="A360" s="160" t="s">
        <v>1347</v>
      </c>
      <c r="B360" s="149"/>
      <c r="C360" s="149"/>
      <c r="D360" s="149"/>
      <c r="E360" s="149"/>
      <c r="F360" s="149"/>
      <c r="G360" s="149"/>
      <c r="H360" s="149"/>
      <c r="I360" s="201">
        <f>'Profit and Loss'!M9</f>
        <v>0.85</v>
      </c>
      <c r="J360" s="201">
        <f>'Profit and Loss'!N9</f>
        <v>0.83</v>
      </c>
      <c r="K360" s="201">
        <f>'Profit and Loss'!O9</f>
        <v>0.719599295056117</v>
      </c>
      <c r="L360" s="201">
        <v>0.7</v>
      </c>
      <c r="M360" s="201">
        <v>0.68</v>
      </c>
      <c r="N360" s="201">
        <v>0.67</v>
      </c>
      <c r="O360" s="201">
        <f>'Profit and Loss'!S9</f>
        <v>0.640529463145871</v>
      </c>
      <c r="P360" s="201">
        <f>'Profit and Loss'!T9</f>
        <v>0.640619500175994</v>
      </c>
      <c r="Q360" s="201">
        <f>'Profit and Loss'!U9</f>
        <v>0.645108022567772</v>
      </c>
      <c r="R360" s="201">
        <f>'Profit and Loss'!V9</f>
        <v>0.663730416789831</v>
      </c>
    </row>
    <row r="361" spans="1:18">
      <c r="A361" s="160" t="s">
        <v>62</v>
      </c>
      <c r="B361" s="149"/>
      <c r="C361" s="149"/>
      <c r="D361" s="149"/>
      <c r="E361" s="149"/>
      <c r="F361" s="149"/>
      <c r="G361" s="149"/>
      <c r="H361" s="149"/>
      <c r="I361" s="201">
        <f>'Profit and Loss'!M14</f>
        <v>0.0651130503768346</v>
      </c>
      <c r="J361" s="201">
        <f>'Profit and Loss'!N14</f>
        <v>0.0919341683658607</v>
      </c>
      <c r="K361" s="201">
        <f>'Profit and Loss'!O14</f>
        <v>0.161209535293572</v>
      </c>
      <c r="L361" s="201">
        <v>0.18</v>
      </c>
      <c r="M361" s="201">
        <v>0.2</v>
      </c>
      <c r="N361" s="201">
        <v>0.21</v>
      </c>
      <c r="O361" s="201">
        <f>'Profit and Loss'!S14</f>
        <v>0.226634415104482</v>
      </c>
      <c r="P361" s="201">
        <f>'Profit and Loss'!T14</f>
        <v>0.242590637099613</v>
      </c>
      <c r="Q361" s="201">
        <f>'Profit and Loss'!U14</f>
        <v>0.262870867794042</v>
      </c>
      <c r="R361" s="201">
        <f>'Profit and Loss'!V14</f>
        <v>0.249541826780964</v>
      </c>
    </row>
    <row r="362" spans="1:18">
      <c r="A362" s="160" t="s">
        <v>64</v>
      </c>
      <c r="B362" s="149"/>
      <c r="C362" s="149"/>
      <c r="D362" s="149"/>
      <c r="E362" s="149"/>
      <c r="F362" s="149"/>
      <c r="G362" s="149"/>
      <c r="H362" s="149"/>
      <c r="I362" s="201">
        <f>'Profit and Loss'!M31</f>
        <v>0.0848869496231654</v>
      </c>
      <c r="J362" s="201">
        <f>'Profit and Loss'!N31</f>
        <v>0.0780658316341392</v>
      </c>
      <c r="K362" s="201">
        <f>'Profit and Loss'!O31</f>
        <v>0.119191169650311</v>
      </c>
      <c r="L362" s="201">
        <f>'Profit and Loss'!P31</f>
        <v>0.124770819260832</v>
      </c>
      <c r="M362" s="201">
        <f>'Profit and Loss'!Q31</f>
        <v>0.118432026688907</v>
      </c>
      <c r="N362" s="201">
        <f>'Profit and Loss'!R31</f>
        <v>0.118591908729265</v>
      </c>
      <c r="O362" s="201">
        <f>'Profit and Loss'!S31</f>
        <v>0.132836121749647</v>
      </c>
      <c r="P362" s="201">
        <f>'Profit and Loss'!T31</f>
        <v>0.116789862724393</v>
      </c>
      <c r="Q362" s="201">
        <f>'Profit and Loss'!U31</f>
        <v>0.0934360809137195</v>
      </c>
      <c r="R362" s="201">
        <f>'Profit and Loss'!V31</f>
        <v>0.0867277564292048</v>
      </c>
    </row>
    <row r="363" s="141" customFormat="1" spans="1:18">
      <c r="A363" s="160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8"/>
      <c r="M363" s="188"/>
      <c r="N363" s="188"/>
      <c r="O363" s="188"/>
      <c r="P363" s="188"/>
      <c r="Q363" s="188"/>
      <c r="R363" s="188"/>
    </row>
    <row r="364" spans="1:18">
      <c r="A364" s="170" t="s">
        <v>60</v>
      </c>
      <c r="B364" s="171"/>
      <c r="C364" s="171"/>
      <c r="D364" s="171"/>
      <c r="E364" s="171"/>
      <c r="F364" s="171"/>
      <c r="G364" s="171"/>
      <c r="H364" s="171"/>
      <c r="I364" s="171"/>
      <c r="J364" s="171"/>
      <c r="K364" s="202">
        <f t="shared" ref="K364:Q364" si="72">K360</f>
        <v>0.719599295056117</v>
      </c>
      <c r="L364" s="202">
        <f t="shared" si="72"/>
        <v>0.7</v>
      </c>
      <c r="M364" s="202">
        <f t="shared" si="72"/>
        <v>0.68</v>
      </c>
      <c r="N364" s="202">
        <f t="shared" si="72"/>
        <v>0.67</v>
      </c>
      <c r="O364" s="202">
        <f t="shared" si="72"/>
        <v>0.640529463145871</v>
      </c>
      <c r="P364" s="202">
        <f t="shared" si="72"/>
        <v>0.640619500175994</v>
      </c>
      <c r="Q364" s="202">
        <f t="shared" si="72"/>
        <v>0.645108022567772</v>
      </c>
      <c r="R364" s="203"/>
    </row>
    <row r="365" spans="1:18">
      <c r="A365" s="173" t="str">
        <f t="shared" ref="A365:A370" si="73">A40</f>
        <v>Western Europe</v>
      </c>
      <c r="B365" s="149"/>
      <c r="C365" s="149"/>
      <c r="D365" s="149"/>
      <c r="E365" s="149"/>
      <c r="F365" s="149"/>
      <c r="G365" s="149"/>
      <c r="H365" s="149"/>
      <c r="I365" s="201"/>
      <c r="J365" s="201"/>
      <c r="K365" s="201">
        <f t="shared" ref="K365:K370" si="74">K40/K$39</f>
        <v>0.377817248458145</v>
      </c>
      <c r="L365" s="201">
        <v>0.37</v>
      </c>
      <c r="M365" s="201">
        <v>0.35</v>
      </c>
      <c r="N365" s="201">
        <v>0.35</v>
      </c>
      <c r="O365" s="201">
        <v>0.34</v>
      </c>
      <c r="P365" s="201">
        <v>0.32</v>
      </c>
      <c r="Q365" s="201">
        <v>0.34</v>
      </c>
      <c r="R365" s="203"/>
    </row>
    <row r="366" spans="1:18">
      <c r="A366" s="173" t="str">
        <f t="shared" si="73"/>
        <v>European Ems</v>
      </c>
      <c r="B366" s="149"/>
      <c r="C366" s="149"/>
      <c r="D366" s="149"/>
      <c r="E366" s="149"/>
      <c r="F366" s="149"/>
      <c r="G366" s="149"/>
      <c r="H366" s="149"/>
      <c r="I366" s="201"/>
      <c r="J366" s="201"/>
      <c r="K366" s="201">
        <f t="shared" si="74"/>
        <v>0.0698756014689281</v>
      </c>
      <c r="L366" s="201">
        <v>0.07</v>
      </c>
      <c r="M366" s="201">
        <v>0.06</v>
      </c>
      <c r="N366" s="201">
        <v>0.05</v>
      </c>
      <c r="O366" s="201">
        <v>0.06</v>
      </c>
      <c r="P366" s="201">
        <v>0.06</v>
      </c>
      <c r="Q366" s="201">
        <v>0.07</v>
      </c>
      <c r="R366" s="203"/>
    </row>
    <row r="367" spans="1:18">
      <c r="A367" s="173" t="str">
        <f t="shared" si="73"/>
        <v>North America</v>
      </c>
      <c r="B367" s="149"/>
      <c r="C367" s="149"/>
      <c r="D367" s="149"/>
      <c r="E367" s="149"/>
      <c r="F367" s="149"/>
      <c r="G367" s="149"/>
      <c r="H367" s="149"/>
      <c r="I367" s="201"/>
      <c r="J367" s="201"/>
      <c r="K367" s="201">
        <f t="shared" si="74"/>
        <v>0.188007833786563</v>
      </c>
      <c r="L367" s="201">
        <v>0.18</v>
      </c>
      <c r="M367" s="201">
        <v>0.2</v>
      </c>
      <c r="N367" s="201">
        <v>0.2</v>
      </c>
      <c r="O367" s="201">
        <v>0.18</v>
      </c>
      <c r="P367" s="201">
        <v>0.18</v>
      </c>
      <c r="Q367" s="201">
        <v>0.16</v>
      </c>
      <c r="R367" s="203"/>
    </row>
    <row r="368" spans="1:18">
      <c r="A368" s="173" t="str">
        <f t="shared" si="73"/>
        <v>Greater China</v>
      </c>
      <c r="B368" s="149"/>
      <c r="C368" s="149"/>
      <c r="D368" s="149"/>
      <c r="E368" s="149"/>
      <c r="F368" s="149"/>
      <c r="G368" s="149"/>
      <c r="H368" s="149"/>
      <c r="I368" s="201"/>
      <c r="J368" s="201"/>
      <c r="K368" s="201">
        <f t="shared" si="74"/>
        <v>0.128555664580956</v>
      </c>
      <c r="L368" s="201">
        <v>0.12</v>
      </c>
      <c r="M368" s="201">
        <v>0.1</v>
      </c>
      <c r="N368" s="201">
        <v>0.12</v>
      </c>
      <c r="O368" s="201">
        <v>0.14</v>
      </c>
      <c r="P368" s="201">
        <v>0.16</v>
      </c>
      <c r="Q368" s="201">
        <v>0.16</v>
      </c>
      <c r="R368" s="203"/>
    </row>
    <row r="369" spans="1:18">
      <c r="A369" s="173" t="str">
        <f t="shared" si="73"/>
        <v>Other Asian Markets</v>
      </c>
      <c r="B369" s="149"/>
      <c r="C369" s="149"/>
      <c r="D369" s="149"/>
      <c r="E369" s="149"/>
      <c r="F369" s="149"/>
      <c r="G369" s="149"/>
      <c r="H369" s="149"/>
      <c r="I369" s="201"/>
      <c r="J369" s="201"/>
      <c r="K369" s="201">
        <f t="shared" si="74"/>
        <v>0.132416195048853</v>
      </c>
      <c r="L369" s="201">
        <v>0.14</v>
      </c>
      <c r="M369" s="201">
        <v>0.16</v>
      </c>
      <c r="N369" s="201">
        <v>0.15</v>
      </c>
      <c r="O369" s="201">
        <v>0.16</v>
      </c>
      <c r="P369" s="201">
        <v>0.15</v>
      </c>
      <c r="Q369" s="201">
        <v>0.15</v>
      </c>
      <c r="R369" s="203"/>
    </row>
    <row r="370" spans="1:18">
      <c r="A370" s="173" t="str">
        <f t="shared" si="73"/>
        <v>Latin America</v>
      </c>
      <c r="B370" s="149"/>
      <c r="C370" s="149"/>
      <c r="D370" s="149"/>
      <c r="E370" s="149"/>
      <c r="F370" s="149"/>
      <c r="G370" s="149"/>
      <c r="H370" s="149"/>
      <c r="I370" s="201"/>
      <c r="J370" s="201"/>
      <c r="K370" s="201">
        <f t="shared" si="74"/>
        <v>0.10166063565461</v>
      </c>
      <c r="L370" s="201">
        <v>0.12</v>
      </c>
      <c r="M370" s="201">
        <v>0.13</v>
      </c>
      <c r="N370" s="201">
        <v>0.13</v>
      </c>
      <c r="O370" s="201">
        <v>0.12</v>
      </c>
      <c r="P370" s="201">
        <v>0.13</v>
      </c>
      <c r="Q370" s="201">
        <v>0.13</v>
      </c>
      <c r="R370" s="203"/>
    </row>
    <row r="371" spans="1:18">
      <c r="A371" s="173"/>
      <c r="B371" s="149"/>
      <c r="C371" s="149"/>
      <c r="D371" s="149"/>
      <c r="E371" s="149"/>
      <c r="F371" s="149"/>
      <c r="G371" s="149"/>
      <c r="H371" s="149"/>
      <c r="I371" s="201"/>
      <c r="J371" s="201"/>
      <c r="K371" s="201"/>
      <c r="L371" s="201"/>
      <c r="M371" s="201"/>
      <c r="N371" s="201"/>
      <c r="O371" s="201"/>
      <c r="P371" s="201"/>
      <c r="Q371" s="201"/>
      <c r="R371" s="203"/>
    </row>
    <row r="372" spans="1:18">
      <c r="A372" s="173" t="str">
        <f>A47</f>
        <v>Sport performance</v>
      </c>
      <c r="B372" s="149"/>
      <c r="C372" s="149"/>
      <c r="D372" s="149"/>
      <c r="E372" s="149"/>
      <c r="F372" s="149"/>
      <c r="G372" s="149"/>
      <c r="H372" s="149"/>
      <c r="I372" s="201"/>
      <c r="J372" s="201"/>
      <c r="K372" s="201"/>
      <c r="L372" s="201">
        <v>0.65</v>
      </c>
      <c r="M372" s="201">
        <v>0.63</v>
      </c>
      <c r="N372" s="201">
        <f t="shared" ref="N372:P374" si="75">N47/N$39</f>
        <v>0.624887272710978</v>
      </c>
      <c r="O372" s="201">
        <f t="shared" si="75"/>
        <v>0.649008706598133</v>
      </c>
      <c r="P372" s="201">
        <f t="shared" si="75"/>
        <v>0.656043956043956</v>
      </c>
      <c r="Q372" s="201">
        <f>Q47/Q$39</f>
        <v>0.655610068259386</v>
      </c>
      <c r="R372" s="203"/>
    </row>
    <row r="373" spans="1:18">
      <c r="A373" s="173" t="str">
        <f>A48</f>
        <v>Sport Style</v>
      </c>
      <c r="B373" s="149"/>
      <c r="C373" s="149"/>
      <c r="D373" s="149"/>
      <c r="E373" s="149"/>
      <c r="F373" s="149"/>
      <c r="G373" s="149"/>
      <c r="H373" s="149"/>
      <c r="I373" s="201"/>
      <c r="J373" s="201"/>
      <c r="K373" s="201"/>
      <c r="L373" s="201">
        <v>0.17</v>
      </c>
      <c r="M373" s="201">
        <v>0.19</v>
      </c>
      <c r="N373" s="201">
        <f t="shared" si="75"/>
        <v>0.208482469436201</v>
      </c>
      <c r="O373" s="201">
        <f t="shared" si="75"/>
        <v>0.230043008496801</v>
      </c>
      <c r="P373" s="201">
        <f t="shared" si="75"/>
        <v>0.236923076923077</v>
      </c>
      <c r="Q373" s="201">
        <f>Q48/Q$39</f>
        <v>0.241467576791809</v>
      </c>
      <c r="R373" s="203"/>
    </row>
    <row r="374" spans="1:18">
      <c r="A374" s="173" t="str">
        <f>A49</f>
        <v>Reebok</v>
      </c>
      <c r="B374" s="149"/>
      <c r="C374" s="149"/>
      <c r="D374" s="149"/>
      <c r="E374" s="149"/>
      <c r="F374" s="149"/>
      <c r="G374" s="149"/>
      <c r="H374" s="149"/>
      <c r="I374" s="201"/>
      <c r="J374" s="201"/>
      <c r="K374" s="201"/>
      <c r="L374" s="201">
        <v>0.18</v>
      </c>
      <c r="M374" s="201">
        <v>0.18</v>
      </c>
      <c r="N374" s="201">
        <f t="shared" si="75"/>
        <v>0.16535202841904</v>
      </c>
      <c r="O374" s="201">
        <f t="shared" si="75"/>
        <v>0.116332738906955</v>
      </c>
      <c r="P374" s="201">
        <f t="shared" si="75"/>
        <v>0.115384615384615</v>
      </c>
      <c r="Q374" s="201">
        <f>Q49/Q$39</f>
        <v>0.106655290102389</v>
      </c>
      <c r="R374" s="203"/>
    </row>
    <row r="375" spans="1:18">
      <c r="A375" s="160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R375" s="169"/>
    </row>
    <row r="376" spans="1:18">
      <c r="A376" s="170" t="s">
        <v>62</v>
      </c>
      <c r="B376" s="171"/>
      <c r="C376" s="171"/>
      <c r="D376" s="171"/>
      <c r="E376" s="171"/>
      <c r="F376" s="171"/>
      <c r="G376" s="171"/>
      <c r="H376" s="171"/>
      <c r="I376" s="171"/>
      <c r="J376" s="171"/>
      <c r="K376" s="202">
        <f t="shared" ref="K376:Q376" si="76">K361</f>
        <v>0.161209535293572</v>
      </c>
      <c r="L376" s="202">
        <f t="shared" si="76"/>
        <v>0.18</v>
      </c>
      <c r="M376" s="202">
        <f t="shared" si="76"/>
        <v>0.2</v>
      </c>
      <c r="N376" s="202">
        <f t="shared" si="76"/>
        <v>0.21</v>
      </c>
      <c r="O376" s="202">
        <f t="shared" si="76"/>
        <v>0.226634415104482</v>
      </c>
      <c r="P376" s="202">
        <f t="shared" si="76"/>
        <v>0.242590637099613</v>
      </c>
      <c r="Q376" s="202">
        <f t="shared" si="76"/>
        <v>0.262870867794042</v>
      </c>
      <c r="R376" s="203"/>
    </row>
    <row r="377" spans="1:18">
      <c r="A377" s="173" t="str">
        <f t="shared" ref="A377:A382" si="77">A365</f>
        <v>Western Europe</v>
      </c>
      <c r="B377" s="149"/>
      <c r="C377" s="149"/>
      <c r="D377" s="149"/>
      <c r="E377" s="149"/>
      <c r="F377" s="149"/>
      <c r="G377" s="149"/>
      <c r="H377" s="149"/>
      <c r="I377" s="149"/>
      <c r="J377" s="149"/>
      <c r="K377" s="201">
        <f t="shared" ref="K377:K382" si="78">K52/K$51</f>
        <v>0.220575339893702</v>
      </c>
      <c r="L377" s="201">
        <v>0.21</v>
      </c>
      <c r="M377" s="201">
        <v>0.18</v>
      </c>
      <c r="N377" s="201">
        <v>0.17</v>
      </c>
      <c r="O377" s="201">
        <v>0.15</v>
      </c>
      <c r="P377" s="201">
        <v>0.16</v>
      </c>
      <c r="Q377" s="201">
        <v>0.18</v>
      </c>
      <c r="R377" s="203"/>
    </row>
    <row r="378" spans="1:18">
      <c r="A378" s="173" t="str">
        <f t="shared" si="77"/>
        <v>European Ems</v>
      </c>
      <c r="B378" s="149"/>
      <c r="C378" s="149"/>
      <c r="D378" s="149"/>
      <c r="E378" s="149"/>
      <c r="F378" s="149"/>
      <c r="G378" s="149"/>
      <c r="H378" s="149"/>
      <c r="I378" s="149"/>
      <c r="J378" s="149"/>
      <c r="K378" s="201">
        <f t="shared" si="78"/>
        <v>0.348095458269748</v>
      </c>
      <c r="L378" s="201">
        <v>0.32</v>
      </c>
      <c r="M378" s="201">
        <v>0.35</v>
      </c>
      <c r="N378" s="201">
        <v>0.38</v>
      </c>
      <c r="O378" s="201">
        <v>0.4</v>
      </c>
      <c r="P378" s="201">
        <v>0.38</v>
      </c>
      <c r="Q378" s="201">
        <v>0.33</v>
      </c>
      <c r="R378" s="203"/>
    </row>
    <row r="379" spans="1:18">
      <c r="A379" s="173" t="str">
        <f t="shared" si="77"/>
        <v>North America</v>
      </c>
      <c r="B379" s="149"/>
      <c r="C379" s="149"/>
      <c r="D379" s="149"/>
      <c r="E379" s="149"/>
      <c r="F379" s="149"/>
      <c r="G379" s="149"/>
      <c r="H379" s="149"/>
      <c r="I379" s="149"/>
      <c r="J379" s="149"/>
      <c r="K379" s="201">
        <f t="shared" si="78"/>
        <v>0.208512625993265</v>
      </c>
      <c r="L379" s="201">
        <v>0.2</v>
      </c>
      <c r="M379" s="201">
        <v>0.19</v>
      </c>
      <c r="N379" s="201">
        <v>0.18</v>
      </c>
      <c r="O379" s="201">
        <v>0.18</v>
      </c>
      <c r="P379" s="201">
        <v>0.18</v>
      </c>
      <c r="Q379" s="201">
        <v>0.19</v>
      </c>
      <c r="R379" s="203"/>
    </row>
    <row r="380" spans="1:18">
      <c r="A380" s="173" t="str">
        <f t="shared" si="77"/>
        <v>Greater China</v>
      </c>
      <c r="B380" s="149"/>
      <c r="C380" s="149"/>
      <c r="D380" s="149"/>
      <c r="E380" s="149"/>
      <c r="F380" s="149"/>
      <c r="G380" s="149"/>
      <c r="H380" s="149"/>
      <c r="I380" s="149"/>
      <c r="J380" s="149"/>
      <c r="K380" s="201">
        <f t="shared" si="78"/>
        <v>0.0304439922249119</v>
      </c>
      <c r="L380" s="201">
        <v>0.05</v>
      </c>
      <c r="M380" s="201">
        <v>0.06</v>
      </c>
      <c r="N380" s="201">
        <v>0.06</v>
      </c>
      <c r="O380" s="201">
        <v>0.06</v>
      </c>
      <c r="P380" s="201">
        <v>0.06</v>
      </c>
      <c r="Q380" s="201">
        <v>0.07</v>
      </c>
      <c r="R380" s="203"/>
    </row>
    <row r="381" spans="1:18">
      <c r="A381" s="173" t="str">
        <f t="shared" si="77"/>
        <v>Other Asian Markets</v>
      </c>
      <c r="B381" s="149"/>
      <c r="C381" s="149"/>
      <c r="D381" s="149"/>
      <c r="E381" s="149"/>
      <c r="F381" s="149"/>
      <c r="G381" s="149"/>
      <c r="H381" s="149"/>
      <c r="I381" s="149"/>
      <c r="J381" s="149"/>
      <c r="K381" s="201">
        <f t="shared" si="78"/>
        <v>0.137859587433563</v>
      </c>
      <c r="L381" s="201">
        <v>0.15</v>
      </c>
      <c r="M381" s="201">
        <v>0.14</v>
      </c>
      <c r="N381" s="201">
        <v>0.13</v>
      </c>
      <c r="O381" s="201">
        <v>0.13</v>
      </c>
      <c r="P381" s="201">
        <v>0.12</v>
      </c>
      <c r="Q381" s="201">
        <v>0.12</v>
      </c>
      <c r="R381" s="203"/>
    </row>
    <row r="382" spans="1:18">
      <c r="A382" s="173" t="str">
        <f t="shared" si="77"/>
        <v>Latin America</v>
      </c>
      <c r="B382" s="149"/>
      <c r="C382" s="149"/>
      <c r="D382" s="149"/>
      <c r="E382" s="149"/>
      <c r="F382" s="149"/>
      <c r="G382" s="149"/>
      <c r="H382" s="149"/>
      <c r="I382" s="149"/>
      <c r="J382" s="149"/>
      <c r="K382" s="201">
        <f t="shared" si="78"/>
        <v>0.052846175182866</v>
      </c>
      <c r="L382" s="201">
        <v>0.07</v>
      </c>
      <c r="M382" s="201">
        <v>0.08</v>
      </c>
      <c r="N382" s="201">
        <v>0.08</v>
      </c>
      <c r="O382" s="201">
        <v>0.08</v>
      </c>
      <c r="P382" s="201">
        <v>0.1</v>
      </c>
      <c r="Q382" s="201">
        <v>0.11</v>
      </c>
      <c r="R382" s="203"/>
    </row>
    <row r="383" spans="1:18">
      <c r="A383" s="173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201"/>
      <c r="M383" s="201"/>
      <c r="N383" s="201"/>
      <c r="O383" s="201"/>
      <c r="P383" s="201"/>
      <c r="Q383" s="201"/>
      <c r="R383" s="203"/>
    </row>
    <row r="384" spans="1:18">
      <c r="A384" s="173" t="s">
        <v>234</v>
      </c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1">
        <v>0.53</v>
      </c>
      <c r="M384" s="201">
        <v>0.5</v>
      </c>
      <c r="N384" s="201">
        <v>0.47</v>
      </c>
      <c r="O384" s="201">
        <v>0.45</v>
      </c>
      <c r="P384" s="201">
        <v>0.44</v>
      </c>
      <c r="Q384" s="201">
        <v>0.42</v>
      </c>
      <c r="R384" s="203"/>
    </row>
    <row r="385" spans="1:49">
      <c r="A385" s="173" t="s">
        <v>231</v>
      </c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1">
        <v>0.43</v>
      </c>
      <c r="M385" s="201">
        <v>0.46</v>
      </c>
      <c r="N385" s="201">
        <v>0.47</v>
      </c>
      <c r="O385" s="201">
        <v>0.47</v>
      </c>
      <c r="P385" s="201">
        <v>0.46</v>
      </c>
      <c r="Q385" s="201">
        <v>0.44</v>
      </c>
      <c r="R385" s="203"/>
    </row>
    <row r="386" spans="1:49">
      <c r="A386" s="173" t="s">
        <v>1332</v>
      </c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201">
        <v>0.04</v>
      </c>
      <c r="M386" s="201">
        <v>0.04</v>
      </c>
      <c r="N386" s="201">
        <v>0.06</v>
      </c>
      <c r="O386" s="201">
        <v>0.08</v>
      </c>
      <c r="P386" s="201">
        <v>0.1</v>
      </c>
      <c r="Q386" s="201">
        <v>0.14</v>
      </c>
      <c r="R386" s="203"/>
    </row>
    <row r="387" spans="1:49">
      <c r="A387" s="173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201"/>
      <c r="M387" s="201"/>
      <c r="N387" s="201"/>
      <c r="O387" s="201"/>
      <c r="P387" s="201"/>
      <c r="Q387" s="201"/>
      <c r="R387" s="203"/>
    </row>
    <row r="388" spans="1:49">
      <c r="A388" s="173" t="s">
        <v>1348</v>
      </c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201">
        <f t="shared" ref="L388:O390" si="79">L63/L$51</f>
        <v>0.611159276027786</v>
      </c>
      <c r="M388" s="201">
        <f t="shared" si="79"/>
        <v>0.585487906588824</v>
      </c>
      <c r="N388" s="201">
        <f t="shared" si="79"/>
        <v>0.563293695471133</v>
      </c>
      <c r="O388" s="201">
        <f t="shared" si="79"/>
        <v>0.547880225318707</v>
      </c>
      <c r="P388" s="201">
        <f t="shared" ref="P388:Q390" si="80">P63/P$51</f>
        <v>0.544109112013929</v>
      </c>
      <c r="Q388" s="201">
        <f t="shared" si="80"/>
        <v>0.552797791315195</v>
      </c>
      <c r="R388" s="203"/>
    </row>
    <row r="389" spans="1:49">
      <c r="A389" s="173" t="s">
        <v>649</v>
      </c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201">
        <f t="shared" si="79"/>
        <v>0.224769611148573</v>
      </c>
      <c r="M389" s="201">
        <f t="shared" si="79"/>
        <v>0.239783152627189</v>
      </c>
      <c r="N389" s="201">
        <f t="shared" si="79"/>
        <v>0.268779732864398</v>
      </c>
      <c r="O389" s="201">
        <f t="shared" si="79"/>
        <v>0.284020160094871</v>
      </c>
      <c r="P389" s="201">
        <f t="shared" si="80"/>
        <v>0.295995356935577</v>
      </c>
      <c r="Q389" s="201">
        <f t="shared" si="80"/>
        <v>0.30178780936857</v>
      </c>
      <c r="R389" s="203"/>
    </row>
    <row r="390" spans="1:49">
      <c r="A390" s="173" t="s">
        <v>82</v>
      </c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201">
        <f t="shared" si="79"/>
        <v>0.181421186141348</v>
      </c>
      <c r="M390" s="201">
        <f t="shared" si="79"/>
        <v>0.170141784820684</v>
      </c>
      <c r="N390" s="201">
        <f t="shared" si="79"/>
        <v>0.165485394037522</v>
      </c>
      <c r="O390" s="201">
        <f t="shared" si="79"/>
        <v>0.165431366735843</v>
      </c>
      <c r="P390" s="201">
        <f t="shared" si="80"/>
        <v>0.159315147997678</v>
      </c>
      <c r="Q390" s="201">
        <f t="shared" si="80"/>
        <v>0.15128651675198</v>
      </c>
      <c r="R390" s="203"/>
    </row>
    <row r="391" spans="1:49">
      <c r="A391" s="173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201"/>
      <c r="M391" s="201"/>
      <c r="N391" s="201"/>
      <c r="R391" s="169"/>
    </row>
    <row r="392" spans="1:49">
      <c r="A392" s="173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201"/>
      <c r="R392" s="169"/>
    </row>
    <row r="393" s="141" customFormat="1" spans="1:49">
      <c r="A393" s="204" t="s">
        <v>1349</v>
      </c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68"/>
    </row>
    <row r="394" s="141" customFormat="1" spans="1:49">
      <c r="A394" s="178" t="s">
        <v>231</v>
      </c>
      <c r="B394" s="149"/>
      <c r="C394" s="149"/>
      <c r="D394" s="149"/>
      <c r="E394" s="149"/>
      <c r="F394" s="149"/>
      <c r="G394" s="149"/>
      <c r="H394" s="149"/>
      <c r="I394" s="149"/>
      <c r="J394" s="149"/>
      <c r="K394" s="161">
        <f>K400/$K$399</f>
        <v>0.540870488322718</v>
      </c>
      <c r="L394" s="161">
        <f t="shared" ref="L394:P397" si="81">L400/L$399</f>
        <v>0.543851717902351</v>
      </c>
      <c r="M394" s="161">
        <f t="shared" si="81"/>
        <v>0.595594713656388</v>
      </c>
      <c r="N394" s="161">
        <f t="shared" si="81"/>
        <v>0.568372483221476</v>
      </c>
      <c r="O394" s="161">
        <f t="shared" si="81"/>
        <v>0.587489779231398</v>
      </c>
      <c r="P394" s="161">
        <f t="shared" si="81"/>
        <v>0.606204379562044</v>
      </c>
      <c r="Q394" s="161">
        <f t="shared" ref="Q394:S397" si="82">Q400/Q$399</f>
        <v>0.599382080329557</v>
      </c>
      <c r="R394" s="185">
        <f t="shared" si="82"/>
        <v>0.595854922279793</v>
      </c>
      <c r="S394" s="161">
        <f t="shared" si="82"/>
        <v>0.625415589213151</v>
      </c>
    </row>
    <row r="395" s="141" customFormat="1" spans="1:49">
      <c r="A395" s="178" t="s">
        <v>234</v>
      </c>
      <c r="B395" s="149"/>
      <c r="C395" s="149"/>
      <c r="D395" s="149"/>
      <c r="E395" s="149"/>
      <c r="F395" s="149"/>
      <c r="G395" s="149"/>
      <c r="H395" s="149"/>
      <c r="I395" s="149"/>
      <c r="J395" s="149"/>
      <c r="K395" s="161">
        <f>K401/$K$399</f>
        <v>0.361464968152866</v>
      </c>
      <c r="L395" s="161">
        <f t="shared" si="81"/>
        <v>0.341320072332731</v>
      </c>
      <c r="M395" s="161">
        <f t="shared" si="81"/>
        <v>0.319383259911894</v>
      </c>
      <c r="N395" s="161">
        <f t="shared" si="81"/>
        <v>0.307885906040268</v>
      </c>
      <c r="O395" s="161">
        <f t="shared" si="81"/>
        <v>0.298446443172527</v>
      </c>
      <c r="P395" s="161">
        <f t="shared" si="81"/>
        <v>0.284306569343066</v>
      </c>
      <c r="Q395" s="161">
        <f t="shared" si="82"/>
        <v>0.292138688637144</v>
      </c>
      <c r="R395" s="185">
        <f t="shared" si="82"/>
        <v>0.295336787564767</v>
      </c>
      <c r="S395" s="161">
        <f t="shared" si="82"/>
        <v>0.318064277798301</v>
      </c>
    </row>
    <row r="396" s="141" customFormat="1" spans="1:49">
      <c r="A396" s="178" t="s">
        <v>235</v>
      </c>
      <c r="B396" s="149"/>
      <c r="C396" s="149"/>
      <c r="D396" s="149"/>
      <c r="E396" s="149"/>
      <c r="F396" s="149"/>
      <c r="G396" s="149"/>
      <c r="H396" s="149"/>
      <c r="I396" s="149"/>
      <c r="K396" s="161">
        <f>K402/$K$399</f>
        <v>0.0918259023354565</v>
      </c>
      <c r="L396" s="161">
        <f t="shared" si="81"/>
        <v>0.110307414104882</v>
      </c>
      <c r="M396" s="161">
        <f t="shared" si="81"/>
        <v>0.0850220264317181</v>
      </c>
      <c r="N396" s="161">
        <f t="shared" si="81"/>
        <v>0.123741610738255</v>
      </c>
      <c r="O396" s="161">
        <f t="shared" si="81"/>
        <v>0.114063777596075</v>
      </c>
      <c r="P396" s="161">
        <f t="shared" si="81"/>
        <v>0.109489051094891</v>
      </c>
      <c r="Q396" s="161">
        <f t="shared" si="82"/>
        <v>0.108479231033299</v>
      </c>
      <c r="R396" s="185">
        <f t="shared" si="82"/>
        <v>0.10880829015544</v>
      </c>
      <c r="S396" s="161">
        <f t="shared" si="82"/>
        <v>0.0565201329885482</v>
      </c>
    </row>
    <row r="397" s="141" customFormat="1" spans="1:49">
      <c r="A397" s="178" t="s">
        <v>64</v>
      </c>
      <c r="B397" s="149"/>
      <c r="C397" s="149"/>
      <c r="D397" s="149"/>
      <c r="E397" s="149"/>
      <c r="F397" s="149"/>
      <c r="G397" s="149"/>
      <c r="H397" s="149"/>
      <c r="I397" s="149"/>
      <c r="K397" s="161">
        <f>K403/$K$399</f>
        <v>0.00583864118895966</v>
      </c>
      <c r="L397" s="161">
        <f t="shared" si="81"/>
        <v>0.00452079566003617</v>
      </c>
      <c r="M397" s="161">
        <f t="shared" si="81"/>
        <v>0</v>
      </c>
      <c r="N397" s="161">
        <f t="shared" si="81"/>
        <v>2.10655471129113e-5</v>
      </c>
      <c r="O397" s="161">
        <f t="shared" si="81"/>
        <v>0</v>
      </c>
      <c r="P397" s="161">
        <f t="shared" si="81"/>
        <v>0</v>
      </c>
      <c r="Q397" s="161">
        <f t="shared" si="82"/>
        <v>0</v>
      </c>
      <c r="R397" s="185">
        <f t="shared" si="82"/>
        <v>0</v>
      </c>
      <c r="S397" s="161">
        <f t="shared" si="82"/>
        <v>0</v>
      </c>
    </row>
    <row r="398" spans="1:49">
      <c r="A398" s="173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R398" s="169"/>
      <c r="AA398" s="141" t="s">
        <v>1350</v>
      </c>
    </row>
    <row r="399" s="141" customFormat="1" spans="1:49">
      <c r="A399" s="204" t="s">
        <v>1349</v>
      </c>
      <c r="B399" s="149"/>
      <c r="C399" s="149"/>
      <c r="D399" s="149"/>
      <c r="E399" s="149"/>
      <c r="F399" s="149"/>
      <c r="G399" s="149"/>
      <c r="H399" s="149"/>
      <c r="I399" s="149"/>
      <c r="J399" s="149"/>
      <c r="K399" s="149">
        <v>1884</v>
      </c>
      <c r="L399" s="149">
        <v>2212</v>
      </c>
      <c r="M399" s="149">
        <v>2270</v>
      </c>
      <c r="N399" s="149">
        <v>2384</v>
      </c>
      <c r="O399" s="149">
        <v>2446</v>
      </c>
      <c r="P399" s="149">
        <v>2740</v>
      </c>
      <c r="Q399" s="149">
        <v>2913</v>
      </c>
      <c r="R399" s="168">
        <v>2895</v>
      </c>
      <c r="S399" s="141">
        <v>2707</v>
      </c>
      <c r="Z399" s="137"/>
      <c r="AA399" s="137">
        <v>2008</v>
      </c>
      <c r="AB399" s="137">
        <v>2009</v>
      </c>
      <c r="AC399" s="137">
        <v>2010</v>
      </c>
      <c r="AD399" s="137">
        <v>2011</v>
      </c>
      <c r="AE399" s="137">
        <v>2012</v>
      </c>
      <c r="AF399" s="137">
        <v>2013</v>
      </c>
      <c r="AG399" s="137">
        <v>2014</v>
      </c>
      <c r="AH399" s="137">
        <v>2015</v>
      </c>
      <c r="AI399" s="137">
        <f>AH399+1</f>
        <v>2016</v>
      </c>
      <c r="AJ399" s="137">
        <f>AI399+1</f>
        <v>2017</v>
      </c>
      <c r="AK399" s="137">
        <f>AJ399+1</f>
        <v>2018</v>
      </c>
      <c r="AL399" s="137">
        <f>AK399+1</f>
        <v>2019</v>
      </c>
      <c r="AM399" s="137">
        <f>AL399+1</f>
        <v>2020</v>
      </c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</row>
    <row r="400" s="141" customFormat="1" spans="1:49">
      <c r="A400" s="178" t="s">
        <v>231</v>
      </c>
      <c r="B400" s="149"/>
      <c r="C400" s="149"/>
      <c r="D400" s="149"/>
      <c r="E400" s="149"/>
      <c r="F400" s="149"/>
      <c r="G400" s="149"/>
      <c r="H400" s="149"/>
      <c r="I400" s="149"/>
      <c r="J400" s="149"/>
      <c r="K400" s="149">
        <v>1019</v>
      </c>
      <c r="L400" s="149">
        <v>1203</v>
      </c>
      <c r="M400" s="149">
        <v>1352</v>
      </c>
      <c r="N400" s="149">
        <v>1355</v>
      </c>
      <c r="O400" s="149">
        <v>1437</v>
      </c>
      <c r="P400" s="149">
        <v>1661</v>
      </c>
      <c r="Q400" s="149">
        <v>1746</v>
      </c>
      <c r="R400" s="168">
        <v>1725</v>
      </c>
      <c r="S400" s="141">
        <v>1693</v>
      </c>
      <c r="Z400" s="137" t="s">
        <v>1351</v>
      </c>
      <c r="AA400" s="137"/>
      <c r="AB400" s="137">
        <v>1700</v>
      </c>
      <c r="AC400" s="205">
        <v>1700</v>
      </c>
      <c r="AF400" s="137"/>
      <c r="AG400" s="137"/>
      <c r="AH400" s="205">
        <v>4100</v>
      </c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</row>
    <row r="401" s="141" customFormat="1" spans="1:49">
      <c r="A401" s="178" t="s">
        <v>234</v>
      </c>
      <c r="B401" s="149"/>
      <c r="C401" s="149"/>
      <c r="D401" s="149"/>
      <c r="E401" s="149"/>
      <c r="F401" s="149"/>
      <c r="G401" s="149"/>
      <c r="H401" s="149"/>
      <c r="I401" s="149"/>
      <c r="J401" s="149"/>
      <c r="K401" s="149">
        <v>681</v>
      </c>
      <c r="L401" s="149">
        <v>755</v>
      </c>
      <c r="M401" s="149">
        <v>725</v>
      </c>
      <c r="N401" s="149">
        <v>734</v>
      </c>
      <c r="O401" s="149">
        <v>730</v>
      </c>
      <c r="P401" s="149">
        <v>779</v>
      </c>
      <c r="Q401" s="149">
        <v>851</v>
      </c>
      <c r="R401" s="168">
        <v>855</v>
      </c>
      <c r="S401" s="141">
        <v>861</v>
      </c>
      <c r="Z401" s="137" t="s">
        <v>1352</v>
      </c>
      <c r="AA401" s="174">
        <f>'Profit and Loss'!O15</f>
        <v>1722.00313668502</v>
      </c>
      <c r="AB401" s="174">
        <f>'Profit and Loss'!P15</f>
        <v>1876.41420118343</v>
      </c>
      <c r="AC401" s="174">
        <f>'Profit and Loss'!Q15</f>
        <v>2334</v>
      </c>
      <c r="AD401" s="174">
        <f>'Profit and Loss'!R15</f>
        <v>2704</v>
      </c>
      <c r="AE401" s="174">
        <f>'Profit and Loss'!S15</f>
        <v>3215</v>
      </c>
      <c r="AF401" s="174">
        <f>'Profit and Loss'!T15</f>
        <v>3196</v>
      </c>
      <c r="AG401" s="174">
        <f>'Profit and Loss'!U15</f>
        <v>3398.56519251861</v>
      </c>
      <c r="AH401" s="174">
        <f>'Profit and Loss'!V15</f>
        <v>3593.24893896649</v>
      </c>
      <c r="AI401" s="174">
        <f>'Profit and Loss'!W15</f>
        <v>4002.48494055915</v>
      </c>
      <c r="AJ401" s="174">
        <f>'Profit and Loss'!X15</f>
        <v>4349.27191296146</v>
      </c>
      <c r="AK401" s="174">
        <f>'Profit and Loss'!Y15</f>
        <v>4510.99791398951</v>
      </c>
      <c r="AL401" s="174">
        <f>'Profit and Loss'!Z15</f>
        <v>5148.52815095367</v>
      </c>
      <c r="AM401" s="174">
        <f>'Profit and Loss'!AA15</f>
        <v>4122.46581572676</v>
      </c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</row>
    <row r="402" s="141" customFormat="1" spans="1:49">
      <c r="A402" s="178" t="s">
        <v>235</v>
      </c>
      <c r="B402" s="149"/>
      <c r="C402" s="149"/>
      <c r="D402" s="149"/>
      <c r="E402" s="149"/>
      <c r="F402" s="149"/>
      <c r="G402" s="149"/>
      <c r="H402" s="149"/>
      <c r="I402" s="149"/>
      <c r="K402" s="149">
        <v>173</v>
      </c>
      <c r="L402" s="149">
        <v>244</v>
      </c>
      <c r="M402" s="149">
        <v>193</v>
      </c>
      <c r="N402" s="149">
        <v>295</v>
      </c>
      <c r="O402" s="149">
        <v>279</v>
      </c>
      <c r="P402" s="149">
        <v>300</v>
      </c>
      <c r="Q402" s="149">
        <v>316</v>
      </c>
      <c r="R402" s="168">
        <v>315</v>
      </c>
      <c r="S402" s="141">
        <v>153</v>
      </c>
      <c r="Z402" s="141" t="s">
        <v>1353</v>
      </c>
      <c r="AA402" s="206">
        <f>AA401/'Profit and Loss'!O537</f>
        <v>0.914014403760626</v>
      </c>
      <c r="AB402" s="206">
        <f>AB401/'Profit and Loss'!P537</f>
        <v>0.848288517714029</v>
      </c>
      <c r="AC402" s="206">
        <f>AC401/'Profit and Loss'!Q537</f>
        <v>1.02819383259912</v>
      </c>
      <c r="AD402" s="206">
        <f>AD401/'Profit and Loss'!R537</f>
        <v>1.13422818791946</v>
      </c>
      <c r="AE402" s="206">
        <f>AE401/'Profit and Loss'!S537</f>
        <v>1.31439084219133</v>
      </c>
      <c r="AF402" s="206">
        <f>AF401/'Profit and Loss'!T537</f>
        <v>1.16642335766423</v>
      </c>
      <c r="AG402" s="206">
        <f>AG401/'Profit and Loss'!U537</f>
        <v>1.16668904652201</v>
      </c>
      <c r="AH402" s="206">
        <f>AH401/'Profit and Loss'!V537</f>
        <v>1.2728476581532</v>
      </c>
      <c r="AI402" s="206">
        <f>AI401/'Profit and Loss'!W537</f>
        <v>1.34627815020489</v>
      </c>
      <c r="AJ402" s="206">
        <f>AJ401/'Profit and Loss'!X537</f>
        <v>1.45801941433505</v>
      </c>
      <c r="AK402" s="206">
        <f>AK401/'Profit and Loss'!Y537</f>
        <v>1.50718273103559</v>
      </c>
      <c r="AL402" s="206">
        <f>AL401/'Profit and Loss'!Z537</f>
        <v>1.71446158872916</v>
      </c>
      <c r="AM402" s="206">
        <f>AM401/'Profit and Loss'!AA537</f>
        <v>1.36822629131323</v>
      </c>
      <c r="AT402" s="137"/>
      <c r="AU402" s="137"/>
      <c r="AV402" s="137"/>
      <c r="AW402" s="137"/>
    </row>
    <row r="403" s="141" customFormat="1" spans="1:49">
      <c r="A403" s="178" t="s">
        <v>64</v>
      </c>
      <c r="B403" s="149"/>
      <c r="C403" s="149"/>
      <c r="D403" s="149"/>
      <c r="E403" s="149"/>
      <c r="F403" s="149"/>
      <c r="G403" s="149"/>
      <c r="H403" s="149"/>
      <c r="I403" s="149"/>
      <c r="K403" s="149">
        <v>11</v>
      </c>
      <c r="L403" s="149">
        <v>10</v>
      </c>
      <c r="M403" s="149"/>
      <c r="N403" s="161">
        <f>N399/M399-1</f>
        <v>0.0502202643171805</v>
      </c>
      <c r="O403" s="149"/>
      <c r="P403" s="149"/>
      <c r="Q403" s="149"/>
      <c r="R403" s="168"/>
      <c r="Z403" s="137"/>
      <c r="AA403" s="137"/>
      <c r="AB403" s="206"/>
      <c r="AC403" s="206"/>
      <c r="AD403" s="206"/>
      <c r="AE403" s="206"/>
      <c r="AF403" s="206"/>
      <c r="AG403" s="206"/>
      <c r="AH403" s="206"/>
      <c r="AT403" s="137"/>
      <c r="AU403" s="137"/>
      <c r="AV403" s="137"/>
      <c r="AW403" s="137"/>
    </row>
    <row r="404" s="141" customFormat="1" spans="1:49">
      <c r="A404" s="178"/>
      <c r="B404" s="149"/>
      <c r="C404" s="149"/>
      <c r="D404" s="149"/>
      <c r="E404" s="149"/>
      <c r="F404" s="149"/>
      <c r="G404" s="149"/>
      <c r="H404" s="149"/>
      <c r="I404" s="149"/>
      <c r="K404" s="149"/>
      <c r="L404" s="149"/>
      <c r="M404" s="149"/>
      <c r="N404" s="149"/>
      <c r="O404" s="149"/>
      <c r="P404" s="149"/>
      <c r="Q404" s="149"/>
      <c r="R404" s="168"/>
      <c r="AT404" s="137"/>
      <c r="AU404" s="137"/>
      <c r="AV404" s="137"/>
      <c r="AW404" s="137"/>
    </row>
    <row r="405" s="141" customFormat="1" spans="1:49">
      <c r="A405" s="178" t="s">
        <v>1327</v>
      </c>
      <c r="B405" s="149"/>
      <c r="C405" s="149"/>
      <c r="D405" s="149"/>
      <c r="E405" s="149"/>
      <c r="F405" s="149"/>
      <c r="G405" s="149"/>
      <c r="H405" s="149"/>
      <c r="I405" s="149"/>
      <c r="K405" s="149"/>
      <c r="L405" s="149"/>
      <c r="M405" s="149"/>
      <c r="N405" s="149"/>
      <c r="O405" s="149"/>
      <c r="P405" s="149"/>
      <c r="Q405" s="149"/>
      <c r="R405" s="168"/>
      <c r="AT405" s="137"/>
      <c r="AU405" s="137"/>
      <c r="AV405" s="137"/>
      <c r="AW405" s="137"/>
    </row>
    <row r="406" s="141" customFormat="1" spans="1:49">
      <c r="A406" s="178" t="s">
        <v>1354</v>
      </c>
      <c r="B406" s="149"/>
      <c r="C406" s="149"/>
      <c r="D406" s="149"/>
      <c r="E406" s="149"/>
      <c r="F406" s="149"/>
      <c r="G406" s="149"/>
      <c r="H406" s="149"/>
      <c r="I406" s="149"/>
      <c r="K406" s="149"/>
      <c r="L406" s="149"/>
      <c r="M406" s="149"/>
      <c r="N406" s="149"/>
      <c r="O406" s="149"/>
      <c r="P406" s="149"/>
      <c r="Q406" s="149"/>
      <c r="R406" s="168"/>
      <c r="AT406" s="137"/>
      <c r="AU406" s="137"/>
      <c r="AV406" s="137"/>
      <c r="AW406" s="137"/>
    </row>
    <row r="407" s="141" customFormat="1" spans="1:49">
      <c r="A407" s="178" t="s">
        <v>80</v>
      </c>
      <c r="B407" s="149"/>
      <c r="C407" s="149"/>
      <c r="D407" s="149"/>
      <c r="E407" s="149"/>
      <c r="F407" s="149"/>
      <c r="G407" s="149"/>
      <c r="H407" s="149"/>
      <c r="I407" s="149"/>
      <c r="K407" s="149"/>
      <c r="L407" s="149"/>
      <c r="M407" s="149"/>
      <c r="N407" s="149">
        <v>1290</v>
      </c>
      <c r="O407" s="149">
        <v>1353</v>
      </c>
      <c r="P407" s="149">
        <v>1557</v>
      </c>
      <c r="Q407" s="149">
        <v>1616</v>
      </c>
      <c r="R407" s="168"/>
      <c r="AT407" s="137"/>
      <c r="AU407" s="137"/>
      <c r="AV407" s="137"/>
      <c r="AW407" s="137"/>
    </row>
    <row r="408" s="141" customFormat="1" spans="1:49">
      <c r="A408" s="178" t="s">
        <v>82</v>
      </c>
      <c r="B408" s="149"/>
      <c r="C408" s="149"/>
      <c r="D408" s="149"/>
      <c r="E408" s="149"/>
      <c r="F408" s="149"/>
      <c r="G408" s="149"/>
      <c r="H408" s="149"/>
      <c r="I408" s="149"/>
      <c r="K408" s="149"/>
      <c r="L408" s="149"/>
      <c r="M408" s="149"/>
      <c r="N408" s="149">
        <v>360</v>
      </c>
      <c r="O408" s="149">
        <v>363</v>
      </c>
      <c r="P408" s="149">
        <v>404</v>
      </c>
      <c r="Q408" s="149">
        <v>446</v>
      </c>
      <c r="R408" s="168"/>
      <c r="AT408" s="137"/>
      <c r="AU408" s="137"/>
      <c r="AV408" s="137"/>
      <c r="AW408" s="137"/>
    </row>
    <row r="409" s="141" customFormat="1" spans="1:49">
      <c r="A409" s="207" t="s">
        <v>212</v>
      </c>
      <c r="B409" s="149"/>
      <c r="C409" s="149"/>
      <c r="D409" s="149"/>
      <c r="E409" s="149"/>
      <c r="F409" s="149"/>
      <c r="G409" s="149"/>
      <c r="H409" s="149"/>
      <c r="I409" s="149"/>
      <c r="K409" s="149"/>
      <c r="L409" s="149"/>
      <c r="M409" s="149"/>
      <c r="N409" s="208">
        <f>SUM(N407:N408)</f>
        <v>1650</v>
      </c>
      <c r="O409" s="208">
        <f>SUM(O407:O408)</f>
        <v>1716</v>
      </c>
      <c r="P409" s="208">
        <f>SUM(P407:P408)</f>
        <v>1961</v>
      </c>
      <c r="Q409" s="208">
        <f>SUM(Q407:Q408)</f>
        <v>2062</v>
      </c>
      <c r="R409" s="209"/>
      <c r="AT409" s="137"/>
      <c r="AU409" s="137"/>
      <c r="AV409" s="137"/>
      <c r="AW409" s="137"/>
    </row>
    <row r="410" s="141" customFormat="1" spans="1:49">
      <c r="A410" s="178"/>
      <c r="B410" s="149"/>
      <c r="C410" s="149"/>
      <c r="D410" s="149"/>
      <c r="E410" s="149"/>
      <c r="F410" s="149"/>
      <c r="G410" s="149"/>
      <c r="H410" s="149"/>
      <c r="I410" s="149"/>
      <c r="K410" s="149"/>
      <c r="L410" s="149"/>
      <c r="M410" s="149"/>
      <c r="N410" s="149"/>
      <c r="O410" s="149"/>
      <c r="P410" s="149"/>
      <c r="Q410" s="149"/>
      <c r="R410" s="168"/>
      <c r="AT410" s="137"/>
      <c r="AU410" s="137"/>
      <c r="AV410" s="137"/>
      <c r="AW410" s="137"/>
    </row>
    <row r="411" s="141" customFormat="1" spans="1:49">
      <c r="A411" s="178" t="s">
        <v>527</v>
      </c>
      <c r="B411" s="149"/>
      <c r="C411" s="149"/>
      <c r="D411" s="149"/>
      <c r="E411" s="149"/>
      <c r="F411" s="149"/>
      <c r="G411" s="149"/>
      <c r="H411" s="149"/>
      <c r="I411" s="149">
        <v>875</v>
      </c>
      <c r="J411" s="141">
        <v>1003</v>
      </c>
      <c r="K411" s="149">
        <v>1332</v>
      </c>
      <c r="L411" s="149">
        <v>1626</v>
      </c>
      <c r="M411" s="149">
        <v>1712</v>
      </c>
      <c r="N411" s="149">
        <v>1804</v>
      </c>
      <c r="O411" s="149">
        <f>(1353/SUM(1353,363))*2446</f>
        <v>1928.57692307692</v>
      </c>
      <c r="P411" s="149">
        <f t="shared" ref="P411:W411" si="83">O411*(1+P414+0.5%)</f>
        <v>2170.0275</v>
      </c>
      <c r="Q411" s="149">
        <f t="shared" si="83"/>
        <v>2317.89032271898</v>
      </c>
      <c r="R411" s="168">
        <f t="shared" si="83"/>
        <v>2257.86627311571</v>
      </c>
      <c r="S411" s="210">
        <f t="shared" si="83"/>
        <v>2389.12724492315</v>
      </c>
      <c r="T411" s="210">
        <f t="shared" si="83"/>
        <v>2409.10896337085</v>
      </c>
      <c r="U411" s="210">
        <f t="shared" si="83"/>
        <v>2429.23063612391</v>
      </c>
      <c r="V411" s="210">
        <f t="shared" si="83"/>
        <v>2449.49316296348</v>
      </c>
      <c r="W411" s="210">
        <f t="shared" si="83"/>
        <v>2469.89744916779</v>
      </c>
      <c r="AT411" s="137"/>
      <c r="AU411" s="137"/>
      <c r="AV411" s="137"/>
      <c r="AW411" s="137"/>
    </row>
    <row r="412" s="141" customFormat="1" spans="1:49">
      <c r="A412" s="178" t="s">
        <v>82</v>
      </c>
      <c r="B412" s="149"/>
      <c r="C412" s="149"/>
      <c r="D412" s="149"/>
      <c r="E412" s="149"/>
      <c r="F412" s="149"/>
      <c r="G412" s="149"/>
      <c r="H412" s="149"/>
      <c r="I412" s="149">
        <f>283+94</f>
        <v>377</v>
      </c>
      <c r="J412" s="141">
        <v>524</v>
      </c>
      <c r="K412" s="149">
        <v>573</v>
      </c>
      <c r="L412" s="149">
        <v>586</v>
      </c>
      <c r="M412" s="149">
        <v>558</v>
      </c>
      <c r="N412" s="149">
        <v>597</v>
      </c>
      <c r="O412" s="149">
        <f>2446-O411</f>
        <v>517.423076923077</v>
      </c>
      <c r="P412" s="149">
        <f t="shared" ref="P412:W412" si="84">P413-P411</f>
        <v>569.9725</v>
      </c>
      <c r="Q412" s="149">
        <f t="shared" si="84"/>
        <v>595.109677281022</v>
      </c>
      <c r="R412" s="168">
        <f t="shared" si="84"/>
        <v>565.133726884286</v>
      </c>
      <c r="S412" s="181">
        <f t="shared" si="84"/>
        <v>583.872755076853</v>
      </c>
      <c r="T412" s="181">
        <f t="shared" si="84"/>
        <v>573.891036629152</v>
      </c>
      <c r="U412" s="181">
        <f t="shared" si="84"/>
        <v>563.769363876091</v>
      </c>
      <c r="V412" s="181">
        <f t="shared" si="84"/>
        <v>553.506837036521</v>
      </c>
      <c r="W412" s="181">
        <f t="shared" si="84"/>
        <v>543.102550832215</v>
      </c>
      <c r="AN412" s="137"/>
      <c r="AO412" s="137"/>
      <c r="AP412" s="137"/>
      <c r="AQ412" s="137"/>
      <c r="AR412" s="137"/>
      <c r="AS412" s="137"/>
    </row>
    <row r="413" s="141" customFormat="1" spans="1:49">
      <c r="A413" s="207" t="s">
        <v>212</v>
      </c>
      <c r="B413" s="149"/>
      <c r="C413" s="149"/>
      <c r="D413" s="149"/>
      <c r="E413" s="149"/>
      <c r="F413" s="149"/>
      <c r="G413" s="149"/>
      <c r="H413" s="149"/>
      <c r="I413" s="208">
        <f t="shared" ref="I413:O413" si="85">SUM(I411:I412)</f>
        <v>1252</v>
      </c>
      <c r="J413" s="208">
        <f t="shared" si="85"/>
        <v>1527</v>
      </c>
      <c r="K413" s="208">
        <f t="shared" si="85"/>
        <v>1905</v>
      </c>
      <c r="L413" s="208">
        <f t="shared" si="85"/>
        <v>2212</v>
      </c>
      <c r="M413" s="208">
        <f t="shared" si="85"/>
        <v>2270</v>
      </c>
      <c r="N413" s="208">
        <f t="shared" si="85"/>
        <v>2401</v>
      </c>
      <c r="O413" s="208">
        <f t="shared" si="85"/>
        <v>2446</v>
      </c>
      <c r="P413" s="208">
        <f>'Profit and Loss'!T537</f>
        <v>2740</v>
      </c>
      <c r="Q413" s="208">
        <f>'Profit and Loss'!U537</f>
        <v>2913</v>
      </c>
      <c r="R413" s="209">
        <f>'Profit and Loss'!V537</f>
        <v>2823</v>
      </c>
      <c r="S413" s="211">
        <f>'Profit and Loss'!W537</f>
        <v>2973</v>
      </c>
      <c r="T413" s="211">
        <f>'Profit and Loss'!X537</f>
        <v>2983</v>
      </c>
      <c r="U413" s="211">
        <f>'Profit and Loss'!Y537</f>
        <v>2993</v>
      </c>
      <c r="V413" s="211">
        <f>'Profit and Loss'!Z537</f>
        <v>3003</v>
      </c>
      <c r="W413" s="211">
        <f>'Profit and Loss'!AA537</f>
        <v>3013</v>
      </c>
      <c r="AO413" s="141" t="s">
        <v>1355</v>
      </c>
      <c r="AP413" s="141">
        <v>2009</v>
      </c>
      <c r="AQ413" s="141" t="str">
        <f>'Profit and Loss'!A534</f>
        <v>Factory outlet</v>
      </c>
      <c r="AR413" s="141" t="str">
        <f>'Profit and Loss'!A533</f>
        <v>Concept</v>
      </c>
      <c r="AS413" s="141" t="str">
        <f>'Profit and Loss'!A535</f>
        <v>Concession</v>
      </c>
      <c r="AT413" s="141" t="str">
        <f>'Profit and Loss'!A536</f>
        <v>Other</v>
      </c>
      <c r="AU413" s="141" t="s">
        <v>1356</v>
      </c>
      <c r="AV413" s="141" t="s">
        <v>1357</v>
      </c>
      <c r="AW413" s="141" t="s">
        <v>1358</v>
      </c>
    </row>
    <row r="414" s="141" customFormat="1" spans="1:49">
      <c r="A414" s="178" t="s">
        <v>228</v>
      </c>
      <c r="B414" s="149"/>
      <c r="C414" s="149"/>
      <c r="D414" s="149"/>
      <c r="E414" s="149"/>
      <c r="F414" s="149"/>
      <c r="G414" s="149"/>
      <c r="H414" s="149"/>
      <c r="I414" s="149"/>
      <c r="J414" s="161">
        <f t="shared" ref="J414:O414" si="86">J413/I413-1</f>
        <v>0.219648562300319</v>
      </c>
      <c r="K414" s="161">
        <f t="shared" si="86"/>
        <v>0.2475442043222</v>
      </c>
      <c r="L414" s="161">
        <f t="shared" si="86"/>
        <v>0.161154855643045</v>
      </c>
      <c r="M414" s="161">
        <f t="shared" si="86"/>
        <v>0.0262206148282098</v>
      </c>
      <c r="N414" s="161">
        <f t="shared" si="86"/>
        <v>0.0577092511013215</v>
      </c>
      <c r="O414" s="161">
        <f t="shared" si="86"/>
        <v>0.0187421907538525</v>
      </c>
      <c r="P414" s="161">
        <f t="shared" ref="P414:W414" si="87">P413/O413-1</f>
        <v>0.120196238757154</v>
      </c>
      <c r="Q414" s="161">
        <f t="shared" si="87"/>
        <v>0.063138686131387</v>
      </c>
      <c r="R414" s="185">
        <f t="shared" si="87"/>
        <v>-0.0308959835221421</v>
      </c>
      <c r="S414" s="161">
        <f t="shared" si="87"/>
        <v>0.053134962805526</v>
      </c>
      <c r="T414" s="161">
        <f t="shared" si="87"/>
        <v>0.00336360578540185</v>
      </c>
      <c r="U414" s="161">
        <f t="shared" si="87"/>
        <v>0.00335232986925904</v>
      </c>
      <c r="V414" s="161">
        <f t="shared" si="87"/>
        <v>0.00334112930170405</v>
      </c>
      <c r="W414" s="161">
        <f t="shared" si="87"/>
        <v>0.00333000333000344</v>
      </c>
      <c r="AQ414" s="141">
        <f>'Profit and Loss'!W533</f>
        <v>1756</v>
      </c>
      <c r="AR414" s="141">
        <f>'Profit and Loss'!W534</f>
        <v>0</v>
      </c>
      <c r="AS414" s="141">
        <f>'Profit and Loss'!W535</f>
        <v>0</v>
      </c>
      <c r="AT414" s="141">
        <f>'Profit and Loss'!W536</f>
        <v>0</v>
      </c>
      <c r="AV414" s="210">
        <f>AW415-AV415</f>
        <v>0</v>
      </c>
      <c r="AW414" s="210"/>
    </row>
    <row r="415" s="141" customFormat="1" spans="1:49">
      <c r="A415" s="178" t="s">
        <v>1359</v>
      </c>
      <c r="B415" s="149"/>
      <c r="C415" s="149"/>
      <c r="D415" s="149"/>
      <c r="E415" s="149"/>
      <c r="F415" s="149"/>
      <c r="G415" s="149"/>
      <c r="H415" s="149"/>
      <c r="I415" s="149"/>
      <c r="J415" s="161"/>
      <c r="K415" s="161"/>
      <c r="L415" s="161"/>
      <c r="M415" s="161">
        <f>'Profit and Loss'!Q18-'Sales &amp; stores'!M417</f>
        <v>0.0583728346692758</v>
      </c>
      <c r="N415" s="161">
        <f>'Profit and Loss'!R18-'Sales &amp; stores'!N417</f>
        <v>0.0497020903595041</v>
      </c>
      <c r="O415" s="161">
        <f>'Profit and Loss'!S18-'Sales &amp; stores'!O417</f>
        <v>0.048270663353226</v>
      </c>
      <c r="P415" s="161">
        <f>'Profit and Loss'!T18-'Sales &amp; stores'!P417</f>
        <v>0.0636818040435459</v>
      </c>
      <c r="Q415" s="161">
        <f>'Profit and Loss'!U18-'Sales &amp; stores'!Q417</f>
        <v>0.0790281602002503</v>
      </c>
      <c r="R415" s="185">
        <f t="shared" ref="R415:W415" si="88">R414*R416</f>
        <v>-0.0275202135876882</v>
      </c>
      <c r="S415" s="161">
        <f t="shared" si="88"/>
        <v>0.0473293081715289</v>
      </c>
      <c r="T415" s="161">
        <f t="shared" si="88"/>
        <v>0.00299609007665035</v>
      </c>
      <c r="U415" s="161">
        <f t="shared" si="88"/>
        <v>0.00298604619439541</v>
      </c>
      <c r="V415" s="161">
        <f t="shared" si="88"/>
        <v>0.00297606942795922</v>
      </c>
      <c r="W415" s="161">
        <f t="shared" si="88"/>
        <v>0.00296615910685383</v>
      </c>
      <c r="AP415" s="141">
        <f>'Profit and Loss'!P537</f>
        <v>2212</v>
      </c>
      <c r="AQ415" s="141">
        <f>AP415</f>
        <v>2212</v>
      </c>
      <c r="AR415" s="141">
        <f>AQ415+AQ414</f>
        <v>3968</v>
      </c>
      <c r="AS415" s="141">
        <f>AR415+AR414</f>
        <v>3968</v>
      </c>
      <c r="AT415" s="141">
        <f>AS415+AS414</f>
        <v>3968</v>
      </c>
      <c r="AU415" s="141">
        <f>'Profit and Loss'!V537</f>
        <v>2823</v>
      </c>
      <c r="AV415" s="141">
        <f>AU415</f>
        <v>2823</v>
      </c>
      <c r="AW415" s="210">
        <f>'Profit and Loss'!V545</f>
        <v>2823</v>
      </c>
    </row>
    <row r="416" s="141" customFormat="1" spans="1:49">
      <c r="A416" s="178" t="s">
        <v>1360</v>
      </c>
      <c r="B416" s="149"/>
      <c r="C416" s="149"/>
      <c r="D416" s="149"/>
      <c r="E416" s="149"/>
      <c r="F416" s="149"/>
      <c r="G416" s="149"/>
      <c r="H416" s="149"/>
      <c r="I416" s="149"/>
      <c r="J416" s="161"/>
      <c r="K416" s="161"/>
      <c r="L416" s="161"/>
      <c r="M416" s="161">
        <f>M415/M414</f>
        <v>2.2262191429041</v>
      </c>
      <c r="N416" s="161">
        <f>N415/N414</f>
        <v>0.861249962718125</v>
      </c>
      <c r="O416" s="161">
        <f>O415/O414</f>
        <v>2.57550806024657</v>
      </c>
      <c r="P416" s="161">
        <f>P415/P414</f>
        <v>0.529815281260249</v>
      </c>
      <c r="Q416" s="161">
        <f>Q415/Q414</f>
        <v>1.2516598783161</v>
      </c>
      <c r="R416" s="185">
        <f>AVERAGE(P416:Q416)</f>
        <v>0.890737579788175</v>
      </c>
      <c r="S416" s="212">
        <f>R416</f>
        <v>0.890737579788175</v>
      </c>
      <c r="T416" s="212">
        <f>S416</f>
        <v>0.890737579788175</v>
      </c>
      <c r="U416" s="212">
        <f>T416</f>
        <v>0.890737579788175</v>
      </c>
      <c r="V416" s="212">
        <f>U416</f>
        <v>0.890737579788175</v>
      </c>
      <c r="W416" s="212">
        <f>V416</f>
        <v>0.890737579788175</v>
      </c>
      <c r="AR416" s="210"/>
      <c r="AS416" s="210"/>
    </row>
    <row r="417" s="141" customFormat="1" spans="1:49">
      <c r="A417" s="178" t="s">
        <v>242</v>
      </c>
      <c r="B417" s="149"/>
      <c r="C417" s="149"/>
      <c r="D417" s="149"/>
      <c r="E417" s="149"/>
      <c r="F417" s="149"/>
      <c r="G417" s="149"/>
      <c r="H417" s="149"/>
      <c r="I417" s="149"/>
      <c r="J417" s="161"/>
      <c r="K417" s="161"/>
      <c r="L417" s="161"/>
      <c r="M417" s="161">
        <f>Interim!DY16</f>
        <v>0.11</v>
      </c>
      <c r="N417" s="161">
        <f>Interim!EG16</f>
        <v>0.14</v>
      </c>
      <c r="O417" s="161">
        <f>Interim!EO16</f>
        <v>0.07</v>
      </c>
      <c r="P417" s="161">
        <f>Interim!EW16</f>
        <v>-0.01</v>
      </c>
      <c r="Q417" s="161">
        <f>Interim!FE16</f>
        <v>0.09</v>
      </c>
      <c r="R417" s="185">
        <f>'Profit and Loss'!V18-'Sales &amp; stores'!R415</f>
        <v>0.0990274989891926</v>
      </c>
      <c r="S417" s="197">
        <f>'Profit and Loss'!W18-'Sales &amp; stores'!S415</f>
        <v>0.11977764272148</v>
      </c>
      <c r="T417" s="197">
        <f>'Profit and Loss'!X18-'Sales &amp; stores'!T415</f>
        <v>0.0693880463838956</v>
      </c>
      <c r="U417" s="197">
        <f>'Profit and Loss'!Y18-'Sales &amp; stores'!U415</f>
        <v>0.0736561815938305</v>
      </c>
      <c r="V417" s="197">
        <f>'Profit and Loss'!Z18-'Sales &amp; stores'!V415</f>
        <v>0.120112643768182</v>
      </c>
      <c r="W417" s="197">
        <f>'Profit and Loss'!AA18-'Sales &amp; stores'!W415</f>
        <v>-0.176132660799307</v>
      </c>
      <c r="AR417" s="210"/>
      <c r="AS417" s="210"/>
      <c r="AT417" s="137"/>
      <c r="AU417" s="137"/>
      <c r="AV417" s="137"/>
      <c r="AW417" s="137"/>
    </row>
    <row r="418" s="141" customFormat="1" spans="1:49">
      <c r="A418" s="178"/>
      <c r="B418" s="149"/>
      <c r="C418" s="149"/>
      <c r="D418" s="149"/>
      <c r="E418" s="149"/>
      <c r="F418" s="149"/>
      <c r="G418" s="149"/>
      <c r="H418" s="149"/>
      <c r="I418" s="149"/>
      <c r="J418" s="137"/>
      <c r="K418" s="149"/>
      <c r="L418" s="149"/>
      <c r="M418" s="149"/>
      <c r="N418" s="149"/>
      <c r="O418" s="149"/>
      <c r="P418" s="149"/>
      <c r="Q418" s="149"/>
      <c r="R418" s="168"/>
      <c r="AR418" s="210"/>
      <c r="AS418" s="210"/>
    </row>
    <row r="419" spans="1:49">
      <c r="A419" s="170" t="s">
        <v>70</v>
      </c>
      <c r="B419" s="171"/>
      <c r="C419" s="171"/>
      <c r="D419" s="171"/>
      <c r="E419" s="171"/>
      <c r="F419" s="171"/>
      <c r="G419" s="171"/>
      <c r="H419" s="171"/>
      <c r="I419" s="171"/>
      <c r="J419" s="171"/>
      <c r="K419" s="202">
        <f t="shared" ref="K419:Q419" si="89">K362</f>
        <v>0.119191169650311</v>
      </c>
      <c r="L419" s="202">
        <f t="shared" si="89"/>
        <v>0.124770819260832</v>
      </c>
      <c r="M419" s="202">
        <f t="shared" si="89"/>
        <v>0.118432026688907</v>
      </c>
      <c r="N419" s="202">
        <f t="shared" si="89"/>
        <v>0.118591908729265</v>
      </c>
      <c r="O419" s="202">
        <f t="shared" si="89"/>
        <v>0.132836121749647</v>
      </c>
      <c r="P419" s="202">
        <f t="shared" si="89"/>
        <v>0.116789862724393</v>
      </c>
      <c r="Q419" s="202">
        <f t="shared" si="89"/>
        <v>0.0934360809137195</v>
      </c>
      <c r="R419" s="203"/>
      <c r="AN419" s="141"/>
      <c r="AO419" s="141"/>
      <c r="AP419" s="141"/>
      <c r="AQ419" s="141"/>
      <c r="AR419" s="210"/>
      <c r="AS419" s="210"/>
      <c r="AT419" s="141"/>
      <c r="AU419" s="141"/>
      <c r="AV419" s="141"/>
      <c r="AW419" s="141"/>
    </row>
    <row r="420" spans="1:49">
      <c r="A420" s="173" t="str">
        <f t="shared" ref="A420:A425" si="90">A68</f>
        <v>Western Europe</v>
      </c>
      <c r="B420" s="149"/>
      <c r="C420" s="149"/>
      <c r="D420" s="149"/>
      <c r="E420" s="149"/>
      <c r="F420" s="149"/>
      <c r="G420" s="149"/>
      <c r="H420" s="149"/>
      <c r="I420" s="149"/>
      <c r="J420" s="149"/>
      <c r="K420" s="201">
        <f t="shared" ref="K420:K425" si="91">K68/K$67</f>
        <v>0.161597899791125</v>
      </c>
      <c r="L420" s="201">
        <v>0.17</v>
      </c>
      <c r="M420" s="201">
        <v>0.17</v>
      </c>
      <c r="N420" s="201">
        <v>0.17</v>
      </c>
      <c r="O420" s="201">
        <v>0.16</v>
      </c>
      <c r="P420" s="201">
        <v>0.16</v>
      </c>
      <c r="Q420" s="201">
        <v>0.21</v>
      </c>
      <c r="R420" s="203"/>
      <c r="AN420" s="141"/>
      <c r="AO420" s="141"/>
      <c r="AP420" s="141"/>
      <c r="AQ420" s="141"/>
      <c r="AR420" s="210"/>
      <c r="AS420" s="210"/>
      <c r="AT420" s="141"/>
      <c r="AU420" s="141"/>
      <c r="AV420" s="141"/>
      <c r="AW420" s="141"/>
    </row>
    <row r="421" spans="1:49">
      <c r="A421" s="173" t="str">
        <f t="shared" si="90"/>
        <v>European Ems</v>
      </c>
      <c r="B421" s="149"/>
      <c r="C421" s="149"/>
      <c r="D421" s="149"/>
      <c r="E421" s="149"/>
      <c r="F421" s="149"/>
      <c r="G421" s="149"/>
      <c r="H421" s="149"/>
      <c r="I421" s="149"/>
      <c r="J421" s="149"/>
      <c r="K421" s="201">
        <f t="shared" si="91"/>
        <v>0.0225304764131857</v>
      </c>
      <c r="L421" s="201">
        <v>0.02</v>
      </c>
      <c r="M421" s="201">
        <v>0.02</v>
      </c>
      <c r="N421" s="201">
        <v>0.03</v>
      </c>
      <c r="O421" s="201">
        <v>0.03</v>
      </c>
      <c r="P421" s="201">
        <v>0.03</v>
      </c>
      <c r="Q421" s="201">
        <v>0.02</v>
      </c>
      <c r="R421" s="203"/>
      <c r="AN421" s="141"/>
      <c r="AO421" s="141"/>
      <c r="AP421" s="141"/>
      <c r="AQ421" s="141"/>
      <c r="AR421" s="210"/>
      <c r="AS421" s="210"/>
      <c r="AT421" s="141"/>
      <c r="AU421" s="141"/>
      <c r="AV421" s="141"/>
      <c r="AW421" s="141"/>
    </row>
    <row r="422" spans="1:49">
      <c r="A422" s="173" t="str">
        <f t="shared" si="90"/>
        <v>North America</v>
      </c>
      <c r="B422" s="149"/>
      <c r="C422" s="149"/>
      <c r="D422" s="149"/>
      <c r="E422" s="149"/>
      <c r="F422" s="149"/>
      <c r="G422" s="149"/>
      <c r="H422" s="149"/>
      <c r="I422" s="149"/>
      <c r="J422" s="149"/>
      <c r="K422" s="201">
        <f t="shared" si="91"/>
        <v>0.539954520936691</v>
      </c>
      <c r="L422" s="201">
        <v>0.53</v>
      </c>
      <c r="M422" s="201">
        <v>0.52</v>
      </c>
      <c r="N422" s="201">
        <v>0.52</v>
      </c>
      <c r="O422" s="201">
        <v>0.54</v>
      </c>
      <c r="P422" s="201">
        <v>0.56</v>
      </c>
      <c r="Q422" s="201">
        <v>0.57</v>
      </c>
      <c r="R422" s="203"/>
      <c r="AN422" s="141"/>
      <c r="AO422" s="141"/>
      <c r="AP422" s="141"/>
      <c r="AQ422" s="141"/>
      <c r="AR422" s="141"/>
      <c r="AS422" s="141"/>
      <c r="AT422" s="141"/>
      <c r="AU422" s="141"/>
      <c r="AV422" s="141"/>
      <c r="AW422" s="141"/>
    </row>
    <row r="423" spans="1:49">
      <c r="A423" s="173" t="str">
        <f t="shared" si="90"/>
        <v>Greater China</v>
      </c>
      <c r="B423" s="149"/>
      <c r="C423" s="149"/>
      <c r="D423" s="149"/>
      <c r="E423" s="149"/>
      <c r="F423" s="149"/>
      <c r="G423" s="149"/>
      <c r="H423" s="149"/>
      <c r="I423" s="149"/>
      <c r="J423" s="149"/>
      <c r="K423" s="201">
        <f t="shared" si="91"/>
        <v>0.0194228244941256</v>
      </c>
      <c r="L423" s="201">
        <v>0.02</v>
      </c>
      <c r="M423" s="201">
        <v>0.02</v>
      </c>
      <c r="N423" s="201">
        <v>0.02</v>
      </c>
      <c r="O423" s="201">
        <v>0.02</v>
      </c>
      <c r="P423" s="201">
        <v>0.02</v>
      </c>
      <c r="Q423" s="201">
        <v>0.02</v>
      </c>
      <c r="R423" s="203"/>
      <c r="AT423" s="141"/>
      <c r="AU423" s="141"/>
      <c r="AV423" s="141"/>
      <c r="AW423" s="141"/>
    </row>
    <row r="424" spans="1:49">
      <c r="A424" s="173" t="str">
        <f t="shared" si="90"/>
        <v>Other Asian Markets</v>
      </c>
      <c r="B424" s="149"/>
      <c r="C424" s="149"/>
      <c r="D424" s="149"/>
      <c r="E424" s="149"/>
      <c r="F424" s="149"/>
      <c r="G424" s="149"/>
      <c r="H424" s="149"/>
      <c r="I424" s="149"/>
      <c r="J424" s="149"/>
      <c r="K424" s="201">
        <f t="shared" si="91"/>
        <v>0.245504501605747</v>
      </c>
      <c r="L424" s="201">
        <v>0.25</v>
      </c>
      <c r="M424" s="201">
        <v>0.26</v>
      </c>
      <c r="N424" s="201">
        <v>0.25</v>
      </c>
      <c r="O424" s="201">
        <v>0.24</v>
      </c>
      <c r="P424" s="201">
        <v>0.22</v>
      </c>
      <c r="Q424" s="201">
        <v>0.17</v>
      </c>
      <c r="R424" s="203"/>
      <c r="AI424" s="213"/>
      <c r="AT424" s="141"/>
      <c r="AU424" s="141"/>
      <c r="AV424" s="141"/>
      <c r="AW424" s="141"/>
    </row>
    <row r="425" spans="1:49">
      <c r="A425" s="173" t="str">
        <f t="shared" si="90"/>
        <v>Latin America</v>
      </c>
      <c r="B425" s="149"/>
      <c r="C425" s="149"/>
      <c r="D425" s="149"/>
      <c r="E425" s="149"/>
      <c r="F425" s="149"/>
      <c r="G425" s="149"/>
      <c r="H425" s="149"/>
      <c r="I425" s="149"/>
      <c r="J425" s="149"/>
      <c r="K425" s="201">
        <f t="shared" si="91"/>
        <v>0.00932295575718028</v>
      </c>
      <c r="L425" s="201">
        <v>0.01</v>
      </c>
      <c r="M425" s="201">
        <v>0.01</v>
      </c>
      <c r="N425" s="201">
        <v>0.01</v>
      </c>
      <c r="O425" s="201">
        <v>0.01</v>
      </c>
      <c r="P425" s="201">
        <v>0.01</v>
      </c>
      <c r="Q425" s="201">
        <v>0.01</v>
      </c>
      <c r="R425" s="203"/>
      <c r="AI425" s="213"/>
      <c r="AJ425" s="161"/>
      <c r="AK425" s="161"/>
      <c r="AT425" s="141"/>
      <c r="AU425" s="141"/>
      <c r="AV425" s="141"/>
      <c r="AW425" s="141"/>
    </row>
    <row r="426" spans="1:49">
      <c r="A426" s="173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201"/>
      <c r="R426" s="169"/>
      <c r="AD426" s="174"/>
      <c r="AE426" s="174"/>
      <c r="AF426" s="174"/>
      <c r="AG426" s="174"/>
      <c r="AH426" s="174"/>
      <c r="AI426" s="174"/>
      <c r="AJ426" s="174"/>
      <c r="AK426" s="174"/>
      <c r="AL426" s="174"/>
      <c r="AM426" s="174"/>
      <c r="AT426" s="141"/>
      <c r="AU426" s="141"/>
      <c r="AV426" s="141"/>
      <c r="AW426" s="141"/>
    </row>
    <row r="427" spans="1:49">
      <c r="A427" s="173" t="str">
        <f>A75</f>
        <v>TaylorMade</v>
      </c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201">
        <v>0.65</v>
      </c>
      <c r="M427" s="201">
        <v>0.64</v>
      </c>
      <c r="N427" s="201">
        <v>0.66</v>
      </c>
      <c r="O427" s="201">
        <v>0.68</v>
      </c>
      <c r="P427" s="201">
        <v>0.66</v>
      </c>
      <c r="Q427" s="201">
        <v>0.69</v>
      </c>
      <c r="R427" s="203"/>
      <c r="AT427" s="141"/>
      <c r="AU427" s="141"/>
      <c r="AV427" s="141"/>
      <c r="AW427" s="141"/>
    </row>
    <row r="428" spans="1:49">
      <c r="A428" s="173" t="str">
        <f>A76</f>
        <v>Rockport</v>
      </c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201">
        <v>0.18</v>
      </c>
      <c r="M428" s="201">
        <v>0.18</v>
      </c>
      <c r="N428" s="201">
        <v>0.17</v>
      </c>
      <c r="O428" s="201">
        <v>0.15</v>
      </c>
      <c r="P428" s="201">
        <v>0.15</v>
      </c>
      <c r="Q428" s="201"/>
      <c r="R428" s="203"/>
    </row>
    <row r="429" spans="1:49">
      <c r="A429" s="173" t="str">
        <f>A77</f>
        <v>Reebok-CCM Hockey</v>
      </c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201">
        <v>0.14</v>
      </c>
      <c r="M429" s="201">
        <v>0.14</v>
      </c>
      <c r="N429" s="201">
        <v>0.13</v>
      </c>
      <c r="O429" s="201">
        <v>0.12</v>
      </c>
      <c r="P429" s="201">
        <v>0.13</v>
      </c>
      <c r="Q429" s="201">
        <v>0.2</v>
      </c>
      <c r="R429" s="203"/>
    </row>
    <row r="430" spans="1:49">
      <c r="A430" s="173" t="str">
        <f>A78</f>
        <v>Other</v>
      </c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201">
        <v>0.03</v>
      </c>
      <c r="M430" s="201">
        <v>0.04</v>
      </c>
      <c r="N430" s="201">
        <v>0.04</v>
      </c>
      <c r="O430" s="201">
        <v>0.05</v>
      </c>
      <c r="P430" s="201">
        <v>0.06</v>
      </c>
      <c r="Q430" s="201">
        <v>0.1</v>
      </c>
      <c r="R430" s="203"/>
    </row>
    <row r="431" s="141" customFormat="1" spans="1:49">
      <c r="A431" s="178"/>
      <c r="B431" s="149"/>
      <c r="C431" s="149"/>
      <c r="D431" s="149"/>
      <c r="E431" s="149"/>
      <c r="F431" s="149"/>
      <c r="G431" s="149"/>
      <c r="H431" s="149"/>
      <c r="I431" s="149"/>
      <c r="K431" s="149"/>
      <c r="L431" s="149"/>
      <c r="M431" s="149"/>
      <c r="N431" s="149"/>
      <c r="O431" s="149"/>
      <c r="R431" s="184"/>
    </row>
    <row r="432" s="142" customFormat="1" hidden="1" outlineLevel="1" spans="1:49">
      <c r="A432" s="170" t="s">
        <v>80</v>
      </c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</row>
    <row r="433" s="141" customFormat="1" hidden="1" outlineLevel="1" spans="1:18">
      <c r="A433" s="154" t="s">
        <v>1320</v>
      </c>
      <c r="B433" s="149"/>
      <c r="C433" s="149"/>
      <c r="D433" s="149"/>
      <c r="E433" s="149"/>
      <c r="F433" s="149"/>
      <c r="G433" s="149"/>
      <c r="H433" s="149"/>
      <c r="I433" s="149"/>
      <c r="J433" s="149"/>
      <c r="K433" s="198"/>
      <c r="L433" s="149"/>
      <c r="M433" s="149"/>
      <c r="N433" s="149"/>
      <c r="O433" s="149"/>
    </row>
    <row r="434" s="141" customFormat="1" hidden="1" outlineLevel="1" spans="1:18">
      <c r="A434" s="154" t="s">
        <v>101</v>
      </c>
      <c r="B434" s="149"/>
      <c r="C434" s="149"/>
      <c r="D434" s="149"/>
      <c r="E434" s="149"/>
      <c r="F434" s="149"/>
      <c r="G434" s="149"/>
      <c r="H434" s="149"/>
      <c r="I434" s="149"/>
      <c r="J434" s="149"/>
      <c r="K434" s="198"/>
      <c r="L434" s="149"/>
      <c r="M434" s="149"/>
      <c r="N434" s="149"/>
      <c r="O434" s="149"/>
    </row>
    <row r="435" s="141" customFormat="1" hidden="1" outlineLevel="1" spans="1:18">
      <c r="A435" s="154" t="s">
        <v>211</v>
      </c>
      <c r="B435" s="149"/>
      <c r="C435" s="149"/>
      <c r="D435" s="149"/>
      <c r="E435" s="149"/>
      <c r="F435" s="149"/>
      <c r="G435" s="149"/>
      <c r="H435" s="149"/>
      <c r="I435" s="149"/>
      <c r="J435" s="149"/>
      <c r="K435" s="198"/>
      <c r="L435" s="149"/>
      <c r="M435" s="149"/>
      <c r="N435" s="149"/>
      <c r="O435" s="149"/>
    </row>
    <row r="436" s="141" customFormat="1" hidden="1" outlineLevel="1" spans="1:18">
      <c r="A436" s="154" t="s">
        <v>102</v>
      </c>
      <c r="B436" s="149"/>
      <c r="C436" s="149"/>
      <c r="D436" s="149"/>
      <c r="E436" s="149"/>
      <c r="F436" s="149"/>
      <c r="G436" s="149"/>
      <c r="H436" s="149"/>
      <c r="I436" s="149"/>
      <c r="J436" s="149"/>
      <c r="K436" s="198"/>
      <c r="L436" s="149"/>
      <c r="M436" s="149"/>
      <c r="N436" s="149"/>
      <c r="O436" s="149"/>
    </row>
    <row r="437" s="141" customFormat="1" hidden="1" outlineLevel="1" spans="1:18">
      <c r="A437" s="154" t="s">
        <v>64</v>
      </c>
      <c r="B437" s="149"/>
      <c r="C437" s="149"/>
      <c r="D437" s="149"/>
      <c r="E437" s="149"/>
      <c r="F437" s="149"/>
      <c r="G437" s="149"/>
      <c r="H437" s="149"/>
      <c r="I437" s="149"/>
      <c r="J437" s="149"/>
      <c r="K437" s="198"/>
      <c r="L437" s="149"/>
      <c r="M437" s="149"/>
      <c r="N437" s="149"/>
      <c r="O437" s="149"/>
    </row>
    <row r="438" s="141" customFormat="1" hidden="1" outlineLevel="1" spans="1:18">
      <c r="A438" s="154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</row>
    <row r="439" s="141" customFormat="1" hidden="1" outlineLevel="1" spans="1:18">
      <c r="A439" s="178" t="s">
        <v>1331</v>
      </c>
      <c r="B439" s="197"/>
      <c r="C439" s="198" t="e">
        <f t="shared" ref="C439:I439" si="92">C86/C$79</f>
        <v>#DIV/0!</v>
      </c>
      <c r="D439" s="198" t="e">
        <f t="shared" si="92"/>
        <v>#DIV/0!</v>
      </c>
      <c r="E439" s="198" t="e">
        <f t="shared" si="92"/>
        <v>#DIV/0!</v>
      </c>
      <c r="F439" s="198" t="e">
        <f t="shared" si="92"/>
        <v>#DIV/0!</v>
      </c>
      <c r="G439" s="198" t="e">
        <f t="shared" si="92"/>
        <v>#DIV/0!</v>
      </c>
      <c r="H439" s="198" t="e">
        <f t="shared" si="92"/>
        <v>#DIV/0!</v>
      </c>
      <c r="I439" s="198" t="e">
        <f t="shared" si="92"/>
        <v>#DIV/0!</v>
      </c>
      <c r="J439" s="198" t="e">
        <f t="shared" ref="J439:K441" si="93">J86/J$79</f>
        <v>#DIV/0!</v>
      </c>
      <c r="K439" s="198" t="e">
        <f t="shared" si="93"/>
        <v>#DIV/0!</v>
      </c>
      <c r="L439" s="198"/>
      <c r="M439" s="198"/>
      <c r="N439" s="198"/>
      <c r="O439" s="198"/>
    </row>
    <row r="440" s="141" customFormat="1" hidden="1" outlineLevel="1" spans="1:18">
      <c r="A440" s="178" t="s">
        <v>649</v>
      </c>
      <c r="B440" s="197"/>
      <c r="C440" s="198" t="e">
        <f t="shared" ref="C440:I440" si="94">C87/C$79</f>
        <v>#DIV/0!</v>
      </c>
      <c r="D440" s="198" t="e">
        <f t="shared" si="94"/>
        <v>#DIV/0!</v>
      </c>
      <c r="E440" s="198" t="e">
        <f t="shared" si="94"/>
        <v>#DIV/0!</v>
      </c>
      <c r="F440" s="198" t="e">
        <f t="shared" si="94"/>
        <v>#DIV/0!</v>
      </c>
      <c r="G440" s="198" t="e">
        <f t="shared" si="94"/>
        <v>#DIV/0!</v>
      </c>
      <c r="H440" s="198" t="e">
        <f t="shared" si="94"/>
        <v>#DIV/0!</v>
      </c>
      <c r="I440" s="198" t="e">
        <f t="shared" si="94"/>
        <v>#DIV/0!</v>
      </c>
      <c r="J440" s="198" t="e">
        <f t="shared" si="93"/>
        <v>#DIV/0!</v>
      </c>
      <c r="K440" s="198" t="e">
        <f t="shared" si="93"/>
        <v>#DIV/0!</v>
      </c>
      <c r="L440" s="198"/>
      <c r="M440" s="198"/>
      <c r="N440" s="198"/>
      <c r="O440" s="198"/>
    </row>
    <row r="441" s="141" customFormat="1" hidden="1" outlineLevel="1" spans="1:18">
      <c r="A441" s="178" t="s">
        <v>1333</v>
      </c>
      <c r="B441" s="197"/>
      <c r="C441" s="198" t="e">
        <f t="shared" ref="C441:I441" si="95">C88/C$79</f>
        <v>#DIV/0!</v>
      </c>
      <c r="D441" s="198" t="e">
        <f t="shared" si="95"/>
        <v>#DIV/0!</v>
      </c>
      <c r="E441" s="198" t="e">
        <f t="shared" si="95"/>
        <v>#DIV/0!</v>
      </c>
      <c r="F441" s="198" t="e">
        <f t="shared" si="95"/>
        <v>#DIV/0!</v>
      </c>
      <c r="G441" s="198" t="e">
        <f t="shared" si="95"/>
        <v>#DIV/0!</v>
      </c>
      <c r="H441" s="198" t="e">
        <f t="shared" si="95"/>
        <v>#DIV/0!</v>
      </c>
      <c r="I441" s="198" t="e">
        <f t="shared" si="95"/>
        <v>#DIV/0!</v>
      </c>
      <c r="J441" s="198" t="e">
        <f t="shared" si="93"/>
        <v>#DIV/0!</v>
      </c>
      <c r="K441" s="198" t="e">
        <f t="shared" si="93"/>
        <v>#DIV/0!</v>
      </c>
      <c r="L441" s="198"/>
      <c r="M441" s="198"/>
      <c r="N441" s="198"/>
      <c r="O441" s="198"/>
    </row>
    <row r="442" s="141" customFormat="1" hidden="1" outlineLevel="1" spans="1:18">
      <c r="A442" s="178"/>
      <c r="B442" s="197"/>
      <c r="C442" s="197"/>
      <c r="D442" s="197"/>
      <c r="E442" s="197"/>
      <c r="F442" s="197"/>
      <c r="G442" s="197"/>
      <c r="H442" s="197"/>
      <c r="I442" s="197"/>
      <c r="J442" s="198"/>
      <c r="K442" s="198"/>
      <c r="L442" s="198"/>
      <c r="M442" s="198"/>
      <c r="N442" s="198"/>
      <c r="O442" s="198"/>
    </row>
    <row r="443" s="141" customFormat="1" hidden="1" outlineLevel="1" spans="1:18">
      <c r="A443" s="178" t="s">
        <v>1334</v>
      </c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</row>
    <row r="444" s="141" customFormat="1" hidden="1" outlineLevel="1" spans="1:18">
      <c r="A444" s="178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</row>
    <row r="445" s="141" customFormat="1" hidden="1" outlineLevel="1" spans="1:18">
      <c r="A445" s="204" t="s">
        <v>1361</v>
      </c>
      <c r="B445" s="197"/>
      <c r="C445" s="197"/>
      <c r="D445" s="197"/>
      <c r="E445" s="197"/>
      <c r="F445" s="197"/>
      <c r="G445" s="197"/>
      <c r="H445" s="197"/>
      <c r="I445" s="197"/>
      <c r="J445" s="198"/>
      <c r="K445" s="198"/>
      <c r="L445" s="198"/>
      <c r="M445" s="198"/>
      <c r="N445" s="198"/>
      <c r="O445" s="198"/>
    </row>
    <row r="446" s="141" customFormat="1" hidden="1" outlineLevel="1" spans="1:18">
      <c r="A446" s="178" t="s">
        <v>234</v>
      </c>
      <c r="B446" s="197"/>
      <c r="C446" s="197"/>
      <c r="D446" s="197"/>
      <c r="E446" s="197"/>
      <c r="F446" s="197"/>
      <c r="G446" s="197"/>
      <c r="H446" s="197">
        <v>0.57</v>
      </c>
      <c r="I446" s="197">
        <v>0.52</v>
      </c>
      <c r="J446" s="198">
        <v>0.49</v>
      </c>
      <c r="K446" s="198">
        <v>0.47</v>
      </c>
      <c r="L446" s="198"/>
      <c r="M446" s="198"/>
      <c r="N446" s="198"/>
      <c r="O446" s="198"/>
    </row>
    <row r="447" s="141" customFormat="1" hidden="1" outlineLevel="1" spans="1:18">
      <c r="A447" s="178" t="s">
        <v>1362</v>
      </c>
      <c r="B447" s="197"/>
      <c r="C447" s="197"/>
      <c r="D447" s="197"/>
      <c r="E447" s="197"/>
      <c r="F447" s="197"/>
      <c r="G447" s="197"/>
      <c r="H447" s="197">
        <v>0.37</v>
      </c>
      <c r="I447" s="197">
        <v>0.42</v>
      </c>
      <c r="J447" s="198">
        <v>0.41</v>
      </c>
      <c r="K447" s="198">
        <v>0.44</v>
      </c>
      <c r="L447" s="198"/>
      <c r="M447" s="198"/>
      <c r="N447" s="198"/>
      <c r="O447" s="198"/>
    </row>
    <row r="448" s="141" customFormat="1" hidden="1" outlineLevel="1" spans="1:18">
      <c r="A448" s="178" t="s">
        <v>1363</v>
      </c>
      <c r="B448" s="197"/>
      <c r="C448" s="197"/>
      <c r="D448" s="197"/>
      <c r="E448" s="197"/>
      <c r="F448" s="197"/>
      <c r="G448" s="197"/>
      <c r="H448" s="197">
        <v>0</v>
      </c>
      <c r="I448" s="197">
        <v>0</v>
      </c>
      <c r="J448" s="198">
        <v>0.05</v>
      </c>
      <c r="K448" s="198">
        <v>0.06</v>
      </c>
      <c r="L448" s="198"/>
      <c r="M448" s="198"/>
      <c r="N448" s="198"/>
      <c r="O448" s="198"/>
    </row>
    <row r="449" s="141" customFormat="1" hidden="1" outlineLevel="1" spans="1:15">
      <c r="A449" s="178" t="s">
        <v>1364</v>
      </c>
      <c r="B449" s="197"/>
      <c r="C449" s="197"/>
      <c r="D449" s="197"/>
      <c r="E449" s="197"/>
      <c r="F449" s="197"/>
      <c r="G449" s="197"/>
      <c r="H449" s="197">
        <v>0.04</v>
      </c>
      <c r="I449" s="197">
        <v>0.05</v>
      </c>
      <c r="J449" s="198">
        <v>0.04</v>
      </c>
      <c r="K449" s="198">
        <v>0.02</v>
      </c>
      <c r="L449" s="198"/>
      <c r="M449" s="198"/>
      <c r="N449" s="198"/>
      <c r="O449" s="198"/>
    </row>
    <row r="450" s="141" customFormat="1" hidden="1" outlineLevel="1" spans="1:15">
      <c r="A450" s="178" t="s">
        <v>1365</v>
      </c>
      <c r="B450" s="197"/>
      <c r="C450" s="197"/>
      <c r="D450" s="197"/>
      <c r="E450" s="197"/>
      <c r="F450" s="197"/>
      <c r="G450" s="197"/>
      <c r="H450" s="197">
        <v>0.02</v>
      </c>
      <c r="I450" s="197">
        <v>0.01</v>
      </c>
      <c r="J450" s="198">
        <v>0.01</v>
      </c>
      <c r="K450" s="198">
        <v>0.01</v>
      </c>
      <c r="L450" s="198"/>
      <c r="M450" s="198"/>
      <c r="N450" s="198"/>
      <c r="O450" s="198"/>
    </row>
    <row r="451" s="141" customFormat="1" hidden="1" outlineLevel="1" spans="1:15">
      <c r="A451" s="178"/>
      <c r="B451" s="197"/>
      <c r="C451" s="197"/>
      <c r="D451" s="197"/>
      <c r="E451" s="197"/>
      <c r="F451" s="197"/>
      <c r="G451" s="197"/>
      <c r="H451" s="197"/>
      <c r="I451" s="197"/>
      <c r="J451" s="198"/>
      <c r="K451" s="198"/>
      <c r="L451" s="198"/>
      <c r="M451" s="198"/>
      <c r="N451" s="198"/>
      <c r="O451" s="198"/>
    </row>
    <row r="452" s="141" customFormat="1" hidden="1" outlineLevel="1" spans="1:15">
      <c r="A452" s="204" t="s">
        <v>1366</v>
      </c>
      <c r="B452" s="149"/>
      <c r="C452" s="149"/>
      <c r="D452" s="149"/>
      <c r="E452" s="149">
        <f t="shared" ref="E452:K452" si="96">SUM(E453:E458)</f>
        <v>604</v>
      </c>
      <c r="F452" s="149">
        <f t="shared" si="96"/>
        <v>526</v>
      </c>
      <c r="G452" s="149">
        <f t="shared" si="96"/>
        <v>642</v>
      </c>
      <c r="H452" s="149">
        <f t="shared" si="96"/>
        <v>708</v>
      </c>
      <c r="I452" s="149">
        <f t="shared" si="96"/>
        <v>875</v>
      </c>
      <c r="J452" s="149">
        <f t="shared" si="96"/>
        <v>1003</v>
      </c>
      <c r="K452" s="149">
        <f t="shared" si="96"/>
        <v>1332</v>
      </c>
      <c r="L452" s="149"/>
      <c r="M452" s="149"/>
      <c r="N452" s="149"/>
      <c r="O452" s="149"/>
    </row>
    <row r="453" s="141" customFormat="1" hidden="1" outlineLevel="1" spans="1:15">
      <c r="A453" s="178" t="s">
        <v>1362</v>
      </c>
      <c r="B453" s="149"/>
      <c r="C453" s="149"/>
      <c r="D453" s="149"/>
      <c r="E453" s="149">
        <v>161</v>
      </c>
      <c r="F453" s="149">
        <v>173</v>
      </c>
      <c r="G453" s="149">
        <v>228</v>
      </c>
      <c r="H453" s="149">
        <v>312</v>
      </c>
      <c r="I453" s="149">
        <v>356</v>
      </c>
      <c r="J453" s="149">
        <v>459</v>
      </c>
      <c r="K453" s="149">
        <v>652</v>
      </c>
      <c r="L453" s="149"/>
      <c r="M453" s="149"/>
      <c r="N453" s="149"/>
      <c r="O453" s="149"/>
    </row>
    <row r="454" s="141" customFormat="1" hidden="1" outlineLevel="1" spans="1:15">
      <c r="A454" s="178" t="s">
        <v>1363</v>
      </c>
      <c r="B454" s="149"/>
      <c r="C454" s="149"/>
      <c r="D454" s="149"/>
      <c r="E454" s="149">
        <v>0</v>
      </c>
      <c r="F454" s="149">
        <v>0</v>
      </c>
      <c r="G454" s="149">
        <v>0</v>
      </c>
      <c r="H454" s="149">
        <v>0</v>
      </c>
      <c r="I454" s="149">
        <v>58</v>
      </c>
      <c r="J454" s="149">
        <v>83</v>
      </c>
      <c r="K454" s="149">
        <v>140</v>
      </c>
      <c r="L454" s="149"/>
      <c r="M454" s="149"/>
      <c r="N454" s="149"/>
      <c r="O454" s="149"/>
    </row>
    <row r="455" s="141" customFormat="1" hidden="1" outlineLevel="1" spans="1:15">
      <c r="A455" s="178" t="s">
        <v>1367</v>
      </c>
      <c r="B455" s="149"/>
      <c r="C455" s="149"/>
      <c r="D455" s="149"/>
      <c r="E455" s="149">
        <v>0</v>
      </c>
      <c r="F455" s="149">
        <v>0</v>
      </c>
      <c r="G455" s="149">
        <v>0</v>
      </c>
      <c r="H455" s="149">
        <v>0</v>
      </c>
      <c r="I455" s="149">
        <v>0</v>
      </c>
      <c r="J455" s="141">
        <v>0</v>
      </c>
      <c r="K455" s="149">
        <v>4</v>
      </c>
      <c r="L455" s="149"/>
      <c r="M455" s="149"/>
      <c r="N455" s="149"/>
      <c r="O455" s="149"/>
    </row>
    <row r="456" s="141" customFormat="1" hidden="1" outlineLevel="1" spans="1:15">
      <c r="A456" s="178" t="s">
        <v>234</v>
      </c>
      <c r="B456" s="149"/>
      <c r="C456" s="149"/>
      <c r="D456" s="149"/>
      <c r="E456" s="149">
        <v>173</v>
      </c>
      <c r="F456" s="149">
        <v>174</v>
      </c>
      <c r="G456" s="149">
        <v>206</v>
      </c>
      <c r="H456" s="149">
        <v>221</v>
      </c>
      <c r="I456" s="149">
        <v>256</v>
      </c>
      <c r="J456" s="149">
        <v>317</v>
      </c>
      <c r="K456" s="149">
        <v>381</v>
      </c>
      <c r="L456" s="149"/>
      <c r="M456" s="149"/>
      <c r="N456" s="149"/>
      <c r="O456" s="149"/>
    </row>
    <row r="457" s="141" customFormat="1" hidden="1" outlineLevel="1" spans="1:15">
      <c r="A457" s="178" t="s">
        <v>1364</v>
      </c>
      <c r="B457" s="149"/>
      <c r="C457" s="149"/>
      <c r="D457" s="149"/>
      <c r="E457" s="149">
        <v>269</v>
      </c>
      <c r="F457" s="149">
        <v>178</v>
      </c>
      <c r="G457" s="149">
        <v>207</v>
      </c>
      <c r="H457" s="149">
        <v>174</v>
      </c>
      <c r="I457" s="149">
        <v>203</v>
      </c>
      <c r="J457" s="149">
        <v>142</v>
      </c>
      <c r="K457" s="149">
        <v>150</v>
      </c>
      <c r="L457" s="149"/>
      <c r="M457" s="149"/>
      <c r="N457" s="149"/>
      <c r="O457" s="149"/>
    </row>
    <row r="458" s="141" customFormat="1" hidden="1" outlineLevel="1" spans="1:15">
      <c r="A458" s="178" t="s">
        <v>1365</v>
      </c>
      <c r="B458" s="149"/>
      <c r="C458" s="149"/>
      <c r="D458" s="149"/>
      <c r="E458" s="149">
        <v>1</v>
      </c>
      <c r="F458" s="149">
        <v>1</v>
      </c>
      <c r="G458" s="149">
        <v>1</v>
      </c>
      <c r="H458" s="149">
        <v>1</v>
      </c>
      <c r="I458" s="149">
        <v>2</v>
      </c>
      <c r="J458" s="149">
        <v>2</v>
      </c>
      <c r="K458" s="149">
        <v>5</v>
      </c>
      <c r="L458" s="149"/>
      <c r="M458" s="149"/>
      <c r="N458" s="149"/>
      <c r="O458" s="149"/>
    </row>
    <row r="459" s="141" customFormat="1" hidden="1" outlineLevel="1" spans="1:15">
      <c r="B459" s="197"/>
      <c r="C459" s="197"/>
      <c r="D459" s="197"/>
      <c r="E459" s="197"/>
      <c r="F459" s="197"/>
      <c r="G459" s="197"/>
      <c r="H459" s="197"/>
      <c r="I459" s="197"/>
      <c r="J459" s="198"/>
      <c r="K459" s="198"/>
      <c r="L459" s="198"/>
      <c r="M459" s="198"/>
      <c r="N459" s="198"/>
      <c r="O459" s="198"/>
    </row>
    <row r="460" s="142" customFormat="1" hidden="1" outlineLevel="1" spans="1:15">
      <c r="A460" s="170" t="s">
        <v>82</v>
      </c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</row>
    <row r="461" s="141" customFormat="1" hidden="1" outlineLevel="1" spans="1:15">
      <c r="A461" s="154" t="s">
        <v>1320</v>
      </c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</row>
    <row r="462" s="141" customFormat="1" hidden="1" outlineLevel="1" spans="1:15">
      <c r="A462" s="154" t="s">
        <v>101</v>
      </c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</row>
    <row r="463" s="141" customFormat="1" hidden="1" outlineLevel="1" spans="1:15">
      <c r="A463" s="154" t="s">
        <v>211</v>
      </c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</row>
    <row r="464" s="141" customFormat="1" hidden="1" outlineLevel="1" spans="1:15">
      <c r="A464" s="154" t="s">
        <v>102</v>
      </c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</row>
    <row r="465" s="141" customFormat="1" hidden="1" outlineLevel="1" spans="1:15">
      <c r="A465" s="154" t="s">
        <v>64</v>
      </c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</row>
    <row r="466" s="141" customFormat="1" hidden="1" outlineLevel="1" spans="1:15">
      <c r="A466" s="154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</row>
    <row r="467" s="141" customFormat="1" hidden="1" outlineLevel="1" spans="1:15">
      <c r="A467" s="178" t="s">
        <v>82</v>
      </c>
      <c r="B467" s="197"/>
      <c r="C467" s="197"/>
      <c r="D467" s="197"/>
      <c r="E467" s="197"/>
      <c r="F467" s="197"/>
      <c r="G467" s="197"/>
      <c r="H467" s="197">
        <f>H99/H$92</f>
        <v>0.832659065833027</v>
      </c>
      <c r="I467" s="197">
        <v>0.8</v>
      </c>
      <c r="J467" s="197">
        <v>0.79</v>
      </c>
      <c r="K467" s="197" t="e">
        <f>K99/K$92</f>
        <v>#DIV/0!</v>
      </c>
      <c r="L467" s="197"/>
      <c r="M467" s="197"/>
      <c r="N467" s="197"/>
      <c r="O467" s="197"/>
    </row>
    <row r="468" s="141" customFormat="1" hidden="1" outlineLevel="1" spans="1:15">
      <c r="A468" s="178" t="s">
        <v>1335</v>
      </c>
      <c r="B468" s="197"/>
      <c r="C468" s="197"/>
      <c r="D468" s="197"/>
      <c r="E468" s="197"/>
      <c r="F468" s="197"/>
      <c r="G468" s="197"/>
      <c r="H468" s="197">
        <f>H100/H$92</f>
        <v>0.0643618977565281</v>
      </c>
      <c r="I468" s="197">
        <v>0.08</v>
      </c>
      <c r="J468" s="197" t="e">
        <f>J100/J$92</f>
        <v>#DIV/0!</v>
      </c>
      <c r="K468" s="197" t="e">
        <f>K100/K$92</f>
        <v>#DIV/0!</v>
      </c>
      <c r="L468" s="197"/>
      <c r="M468" s="197"/>
      <c r="N468" s="197"/>
      <c r="O468" s="197"/>
    </row>
    <row r="469" s="141" customFormat="1" hidden="1" outlineLevel="1" spans="1:15">
      <c r="A469" s="178" t="s">
        <v>92</v>
      </c>
      <c r="B469" s="197"/>
      <c r="C469" s="197"/>
      <c r="D469" s="197"/>
      <c r="E469" s="197"/>
      <c r="F469" s="197"/>
      <c r="G469" s="197"/>
      <c r="H469" s="197">
        <f>H101/H$92</f>
        <v>0.102979036410445</v>
      </c>
      <c r="I469" s="197">
        <v>0.12</v>
      </c>
      <c r="J469" s="197">
        <v>0.12</v>
      </c>
      <c r="K469" s="197" t="e">
        <f>K101/K$92</f>
        <v>#DIV/0!</v>
      </c>
      <c r="L469" s="197"/>
      <c r="M469" s="197"/>
      <c r="N469" s="197"/>
      <c r="O469" s="197"/>
    </row>
    <row r="470" s="141" customFormat="1" hidden="1" outlineLevel="1" spans="1:15">
      <c r="A470" s="178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</row>
    <row r="471" s="141" customFormat="1" hidden="1" outlineLevel="1" spans="1:15">
      <c r="A471" s="178" t="s">
        <v>1334</v>
      </c>
      <c r="B471" s="179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</row>
    <row r="472" s="141" customFormat="1" hidden="1" outlineLevel="1" spans="1:15">
      <c r="A472" s="178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</row>
    <row r="473" s="141" customFormat="1" hidden="1" outlineLevel="1" spans="1:15">
      <c r="A473" s="204" t="s">
        <v>1366</v>
      </c>
      <c r="B473" s="149"/>
      <c r="C473" s="149"/>
      <c r="D473" s="149"/>
      <c r="E473" s="149"/>
      <c r="F473" s="149"/>
      <c r="G473" s="149"/>
      <c r="H473" s="149"/>
      <c r="I473" s="149">
        <f>SUM(I474:I476)</f>
        <v>283</v>
      </c>
      <c r="J473" s="149">
        <f>SUM(J474:J476)</f>
        <v>504</v>
      </c>
      <c r="K473" s="149">
        <f>SUM(K474:K476)</f>
        <v>647</v>
      </c>
      <c r="L473" s="149"/>
      <c r="M473" s="149"/>
      <c r="N473" s="149"/>
      <c r="O473" s="149"/>
    </row>
    <row r="474" s="141" customFormat="1" hidden="1" outlineLevel="1" spans="1:15">
      <c r="A474" s="178" t="s">
        <v>231</v>
      </c>
      <c r="B474" s="149"/>
      <c r="C474" s="149"/>
      <c r="D474" s="149"/>
      <c r="E474" s="149"/>
      <c r="F474" s="149"/>
      <c r="G474" s="149"/>
      <c r="H474" s="149"/>
      <c r="I474" s="149">
        <v>47</v>
      </c>
      <c r="J474" s="149">
        <v>144</v>
      </c>
      <c r="K474" s="149">
        <v>253</v>
      </c>
      <c r="L474" s="149"/>
      <c r="M474" s="149"/>
      <c r="N474" s="149"/>
      <c r="O474" s="149"/>
    </row>
    <row r="475" s="141" customFormat="1" hidden="1" outlineLevel="1" spans="1:15">
      <c r="A475" s="178" t="s">
        <v>234</v>
      </c>
      <c r="B475" s="149"/>
      <c r="C475" s="149"/>
      <c r="D475" s="149"/>
      <c r="E475" s="149"/>
      <c r="F475" s="149"/>
      <c r="G475" s="149"/>
      <c r="H475" s="149"/>
      <c r="I475" s="149">
        <v>236</v>
      </c>
      <c r="J475" s="149">
        <v>287</v>
      </c>
      <c r="K475" s="149">
        <v>327</v>
      </c>
      <c r="L475" s="149"/>
      <c r="M475" s="149"/>
      <c r="N475" s="149"/>
      <c r="O475" s="149"/>
    </row>
    <row r="476" s="141" customFormat="1" hidden="1" outlineLevel="1" spans="1:15">
      <c r="A476" s="178" t="s">
        <v>1364</v>
      </c>
      <c r="B476" s="149"/>
      <c r="C476" s="149"/>
      <c r="D476" s="149"/>
      <c r="E476" s="149"/>
      <c r="F476" s="149"/>
      <c r="G476" s="149"/>
      <c r="H476" s="149"/>
      <c r="I476" s="215" t="s">
        <v>173</v>
      </c>
      <c r="J476" s="149">
        <v>73</v>
      </c>
      <c r="K476" s="149">
        <v>67</v>
      </c>
      <c r="L476" s="149"/>
      <c r="M476" s="149"/>
      <c r="N476" s="149"/>
      <c r="O476" s="149"/>
    </row>
    <row r="477" s="141" customFormat="1" hidden="1" outlineLevel="1" spans="1:15"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</row>
    <row r="478" s="141" customFormat="1" hidden="1" outlineLevel="1" spans="1:15">
      <c r="A478" s="178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</row>
    <row r="479" s="141" customFormat="1" hidden="1" outlineLevel="1" spans="1:15">
      <c r="A479" s="194" t="s">
        <v>1336</v>
      </c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</row>
    <row r="480" s="141" customFormat="1" hidden="1" outlineLevel="1" spans="1:15">
      <c r="A480" s="154" t="s">
        <v>1320</v>
      </c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</row>
    <row r="481" s="141" customFormat="1" hidden="1" outlineLevel="1" spans="1:15">
      <c r="A481" s="154" t="s">
        <v>101</v>
      </c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</row>
    <row r="482" s="141" customFormat="1" hidden="1" outlineLevel="1" spans="1:15">
      <c r="A482" s="154" t="s">
        <v>211</v>
      </c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</row>
    <row r="483" s="141" customFormat="1" hidden="1" outlineLevel="1" spans="1:15">
      <c r="A483" s="154" t="s">
        <v>102</v>
      </c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</row>
    <row r="484" s="141" customFormat="1" hidden="1" outlineLevel="1" spans="1:15">
      <c r="A484" s="154" t="s">
        <v>64</v>
      </c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</row>
    <row r="485" s="141" customFormat="1" hidden="1" outlineLevel="1" spans="1:15">
      <c r="A485" s="154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</row>
    <row r="486" s="141" customFormat="1" hidden="1" outlineLevel="1" spans="1:15">
      <c r="A486" s="178" t="s">
        <v>1336</v>
      </c>
      <c r="B486" s="216" t="s">
        <v>173</v>
      </c>
      <c r="C486" s="216" t="s">
        <v>173</v>
      </c>
      <c r="D486" s="216" t="s">
        <v>173</v>
      </c>
      <c r="E486" s="216" t="s">
        <v>173</v>
      </c>
      <c r="F486" s="216" t="s">
        <v>173</v>
      </c>
      <c r="G486" s="216" t="s">
        <v>173</v>
      </c>
      <c r="H486" s="216" t="s">
        <v>173</v>
      </c>
      <c r="I486" s="216" t="s">
        <v>173</v>
      </c>
      <c r="J486" s="216" t="s">
        <v>173</v>
      </c>
      <c r="K486" s="197" t="e">
        <f>K112/K$105</f>
        <v>#DIV/0!</v>
      </c>
      <c r="L486" s="197"/>
      <c r="M486" s="197"/>
      <c r="N486" s="197"/>
      <c r="O486" s="197"/>
    </row>
    <row r="487" s="141" customFormat="1" hidden="1" outlineLevel="1" spans="1:15">
      <c r="A487" s="178" t="s">
        <v>1337</v>
      </c>
      <c r="B487" s="216" t="s">
        <v>173</v>
      </c>
      <c r="C487" s="216" t="s">
        <v>173</v>
      </c>
      <c r="D487" s="216" t="s">
        <v>173</v>
      </c>
      <c r="E487" s="216" t="s">
        <v>173</v>
      </c>
      <c r="F487" s="216" t="s">
        <v>173</v>
      </c>
      <c r="G487" s="216" t="s">
        <v>173</v>
      </c>
      <c r="H487" s="216" t="s">
        <v>173</v>
      </c>
      <c r="I487" s="216" t="s">
        <v>173</v>
      </c>
      <c r="J487" s="216" t="s">
        <v>173</v>
      </c>
      <c r="K487" s="197" t="e">
        <f>K113/K$105</f>
        <v>#DIV/0!</v>
      </c>
      <c r="L487" s="197"/>
      <c r="M487" s="197"/>
      <c r="N487" s="197"/>
      <c r="O487" s="197"/>
    </row>
    <row r="488" s="141" customFormat="1" hidden="1" outlineLevel="1" spans="1:15">
      <c r="A488" s="178" t="s">
        <v>1338</v>
      </c>
      <c r="B488" s="216" t="s">
        <v>173</v>
      </c>
      <c r="C488" s="216" t="s">
        <v>173</v>
      </c>
      <c r="D488" s="216" t="s">
        <v>173</v>
      </c>
      <c r="E488" s="216" t="s">
        <v>173</v>
      </c>
      <c r="F488" s="216" t="s">
        <v>173</v>
      </c>
      <c r="G488" s="216" t="s">
        <v>173</v>
      </c>
      <c r="H488" s="216" t="s">
        <v>173</v>
      </c>
      <c r="I488" s="216" t="s">
        <v>173</v>
      </c>
      <c r="J488" s="216" t="s">
        <v>173</v>
      </c>
      <c r="K488" s="197" t="e">
        <f>K114/K$105</f>
        <v>#DIV/0!</v>
      </c>
      <c r="L488" s="197"/>
      <c r="M488" s="197"/>
      <c r="N488" s="197"/>
      <c r="O488" s="197"/>
    </row>
    <row r="489" s="141" customFormat="1" hidden="1" outlineLevel="1" spans="1:15">
      <c r="A489" s="178" t="s">
        <v>64</v>
      </c>
      <c r="B489" s="216" t="s">
        <v>173</v>
      </c>
      <c r="C489" s="216" t="s">
        <v>173</v>
      </c>
      <c r="D489" s="216" t="s">
        <v>173</v>
      </c>
      <c r="E489" s="216" t="s">
        <v>173</v>
      </c>
      <c r="F489" s="216" t="s">
        <v>173</v>
      </c>
      <c r="G489" s="216" t="s">
        <v>173</v>
      </c>
      <c r="H489" s="216" t="s">
        <v>173</v>
      </c>
      <c r="I489" s="216" t="s">
        <v>173</v>
      </c>
      <c r="J489" s="216" t="s">
        <v>173</v>
      </c>
      <c r="K489" s="198" t="e">
        <f>K115/K$105</f>
        <v>#DIV/0!</v>
      </c>
      <c r="L489" s="198"/>
      <c r="M489" s="198"/>
      <c r="N489" s="198"/>
      <c r="O489" s="198"/>
    </row>
    <row r="490" s="141" customFormat="1" hidden="1" outlineLevel="1"/>
    <row r="491" hidden="1" outlineLevel="1" spans="1:15">
      <c r="A491" s="204" t="s">
        <v>1368</v>
      </c>
      <c r="B491" s="197"/>
      <c r="C491" s="197"/>
      <c r="D491" s="197"/>
      <c r="E491" s="197"/>
      <c r="F491" s="197"/>
      <c r="G491" s="197"/>
      <c r="H491" s="197"/>
      <c r="I491" s="197"/>
      <c r="J491" s="198"/>
      <c r="K491" s="198"/>
      <c r="L491" s="198"/>
      <c r="M491" s="198"/>
      <c r="N491" s="198"/>
      <c r="O491" s="198"/>
    </row>
    <row r="492" hidden="1" outlineLevel="1" spans="1:15">
      <c r="A492" s="178" t="s">
        <v>1369</v>
      </c>
      <c r="B492" s="197"/>
      <c r="C492" s="197"/>
      <c r="D492" s="197"/>
      <c r="E492" s="197"/>
      <c r="F492" s="197"/>
      <c r="G492" s="197"/>
      <c r="H492" s="197">
        <v>0.45</v>
      </c>
      <c r="I492" s="198">
        <v>0.38</v>
      </c>
      <c r="J492" s="198">
        <v>0.42</v>
      </c>
      <c r="K492" s="198">
        <v>0.38</v>
      </c>
      <c r="L492" s="198"/>
      <c r="M492" s="198"/>
      <c r="N492" s="198"/>
      <c r="O492" s="198"/>
    </row>
    <row r="493" hidden="1" outlineLevel="1" spans="1:15">
      <c r="A493" s="178" t="s">
        <v>533</v>
      </c>
      <c r="B493" s="197"/>
      <c r="C493" s="197"/>
      <c r="D493" s="197"/>
      <c r="E493" s="197"/>
      <c r="F493" s="197"/>
      <c r="G493" s="197"/>
      <c r="H493" s="197">
        <v>0.07</v>
      </c>
      <c r="I493" s="198">
        <v>0.07</v>
      </c>
      <c r="J493" s="198">
        <v>0.09</v>
      </c>
      <c r="K493" s="198">
        <v>0.09</v>
      </c>
      <c r="L493" s="198"/>
      <c r="M493" s="198"/>
      <c r="N493" s="198"/>
      <c r="O493" s="198"/>
    </row>
    <row r="494" hidden="1" outlineLevel="1" spans="1:15">
      <c r="A494" s="178" t="s">
        <v>536</v>
      </c>
      <c r="B494" s="197"/>
      <c r="C494" s="197"/>
      <c r="D494" s="197"/>
      <c r="E494" s="197"/>
      <c r="F494" s="197"/>
      <c r="G494" s="197"/>
      <c r="H494" s="197">
        <v>0.14</v>
      </c>
      <c r="I494" s="198">
        <v>0.23</v>
      </c>
      <c r="J494" s="198">
        <v>0.18</v>
      </c>
      <c r="K494" s="198">
        <v>0.2</v>
      </c>
      <c r="L494" s="198"/>
      <c r="M494" s="198"/>
      <c r="N494" s="198"/>
      <c r="O494" s="198"/>
    </row>
    <row r="495" hidden="1" outlineLevel="1" spans="1:15">
      <c r="A495" s="178" t="s">
        <v>1370</v>
      </c>
      <c r="B495" s="197"/>
      <c r="C495" s="197"/>
      <c r="D495" s="197"/>
      <c r="E495" s="197"/>
      <c r="F495" s="197"/>
      <c r="G495" s="197"/>
      <c r="H495" s="198">
        <f>1-SUM(H492:H494)</f>
        <v>0.34</v>
      </c>
      <c r="I495" s="198">
        <f>1-SUM(I492:I494)</f>
        <v>0.32</v>
      </c>
      <c r="J495" s="198">
        <v>0.31</v>
      </c>
      <c r="K495" s="198">
        <v>0.33</v>
      </c>
      <c r="L495" s="198"/>
      <c r="M495" s="198"/>
      <c r="N495" s="198"/>
      <c r="O495" s="198"/>
    </row>
    <row r="496" collapsed="1" spans="1:15">
      <c r="A496" s="178"/>
      <c r="B496" s="197"/>
      <c r="C496" s="197"/>
      <c r="D496" s="197"/>
      <c r="E496" s="197"/>
      <c r="F496" s="197"/>
      <c r="G496" s="197"/>
      <c r="H496" s="197"/>
      <c r="I496" s="149"/>
      <c r="J496" s="198"/>
      <c r="K496" s="198"/>
      <c r="L496" s="198"/>
      <c r="M496" s="198"/>
      <c r="N496" s="198"/>
      <c r="O496" s="198"/>
    </row>
  </sheetData>
  <pageMargins left="0.75" right="0.75" top="1" bottom="1" header="0.5" footer="0.5"/>
  <pageSetup paperSize="9" scale="65" fitToHeight="7" orientation="landscape"/>
  <headerFooter alignWithMargins="0"/>
  <rowBreaks count="4" manualBreakCount="4">
    <brk id="115" max="17" man="1"/>
    <brk id="228" max="17" man="1"/>
    <brk id="330" max="17" man="1"/>
    <brk id="459" max="17" man="1"/>
  </rowBreaks>
  <customProperties>
    <customPr name="Qube.Worksheet.Visibility" r:id="rId4"/>
  </customPropertie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Y787"/>
  <sheetViews>
    <sheetView workbookViewId="0">
      <selection activeCell="N18" sqref="N18"/>
    </sheetView>
  </sheetViews>
  <sheetFormatPr defaultColWidth="9.14285714285714" defaultRowHeight="15.2"/>
  <cols>
    <col min="1" max="1" width="10.4285714285714" style="137" customWidth="1"/>
    <col min="2" max="13" width="12.7142857142857" style="137" customWidth="1"/>
    <col min="14" max="14" width="10.4285714285714" style="137" customWidth="1"/>
    <col min="15" max="30" width="12.7142857142857" style="137" customWidth="1"/>
    <col min="31" max="16384" width="9.14285714285714" style="137"/>
  </cols>
  <sheetData>
    <row r="1" spans="1:16">
      <c r="A1" s="137">
        <f>Thomson.Reuters.AFOSpreadSheetFormulas.DSGRID("OILBREN,COTTONM"," ","-3Y","","D","RowHeader=true;ColHeader=true;Code=true;DispSeriesDescription=true;YearlyTSFormat=false;QuarterlyTSFormat=false;AutoRefresh=false","")</f>
        <v>0</v>
      </c>
      <c r="B1" s="2128" t="s">
        <v>1371</v>
      </c>
      <c r="C1" s="2128" t="s">
        <v>1372</v>
      </c>
      <c r="J1" s="137" t="s">
        <v>1373</v>
      </c>
      <c r="K1" s="138">
        <v>0.6</v>
      </c>
      <c r="N1" s="137">
        <f>Thomson.Reuters.AFOSpreadSheetFormulas.DSGRID("USEURO.,RSEURSP"," ","-2Y","","D","RowHeader=true;ColHeader=true;Code=true;DispSeriesDescription=true;YearlyTSFormat=false;QuarterlyTSFormat=false;AutoRefresh=false","")</f>
        <v>0</v>
      </c>
      <c r="O1" s="2128" t="s">
        <v>1374</v>
      </c>
      <c r="P1" s="2128" t="s">
        <v>1375</v>
      </c>
    </row>
    <row r="2" spans="1:16">
      <c r="A2" s="2128" t="s">
        <v>1376</v>
      </c>
      <c r="B2" s="2128" t="s">
        <v>1377</v>
      </c>
      <c r="C2" s="2128" t="s">
        <v>1378</v>
      </c>
      <c r="E2" s="137" t="s">
        <v>1379</v>
      </c>
      <c r="F2" s="137" t="s">
        <v>1380</v>
      </c>
      <c r="J2" s="137" t="s">
        <v>1381</v>
      </c>
      <c r="K2" s="138">
        <v>0.15</v>
      </c>
      <c r="N2" s="2128" t="s">
        <v>1376</v>
      </c>
      <c r="O2" s="2128" t="s">
        <v>1382</v>
      </c>
      <c r="P2" s="2128" t="s">
        <v>1383</v>
      </c>
    </row>
    <row r="3" spans="1:16">
      <c r="A3" s="139">
        <v>45044</v>
      </c>
      <c r="B3" s="137">
        <v>79.52</v>
      </c>
      <c r="C3" s="137">
        <v>0.8</v>
      </c>
      <c r="E3" s="137">
        <v>100</v>
      </c>
      <c r="F3" s="137">
        <v>100</v>
      </c>
      <c r="J3" s="137" t="s">
        <v>1384</v>
      </c>
      <c r="K3" s="138">
        <f>K4-SUM(K1:K2)</f>
        <v>0.25</v>
      </c>
      <c r="N3" s="139">
        <v>45408</v>
      </c>
      <c r="O3" s="137">
        <v>0.935104</v>
      </c>
      <c r="P3" s="137">
        <v>98.7367</v>
      </c>
    </row>
    <row r="4" spans="1:16">
      <c r="A4" s="139">
        <v>45047</v>
      </c>
      <c r="B4" s="137">
        <v>79.52</v>
      </c>
      <c r="C4" s="137">
        <v>0.8</v>
      </c>
      <c r="E4" s="137">
        <f>B4/$B$3*$E$3</f>
        <v>100</v>
      </c>
      <c r="F4" s="137">
        <f>C4/$C$3*$F$3</f>
        <v>100</v>
      </c>
      <c r="K4" s="140">
        <v>1</v>
      </c>
      <c r="N4" s="139">
        <v>45411</v>
      </c>
      <c r="O4" s="137">
        <v>0.932749</v>
      </c>
      <c r="P4" s="137">
        <v>100.1666</v>
      </c>
    </row>
    <row r="5" spans="1:16">
      <c r="A5" s="139">
        <v>45048</v>
      </c>
      <c r="B5" s="137">
        <v>75.36</v>
      </c>
      <c r="C5" s="137">
        <v>0.79</v>
      </c>
      <c r="E5" s="137">
        <f t="shared" ref="E5:E68" si="0">B5/$B$3*$E$3</f>
        <v>94.7686116700201</v>
      </c>
      <c r="F5" s="137">
        <f t="shared" ref="F5:F68" si="1">C5/$C$3*$F$3</f>
        <v>98.75</v>
      </c>
      <c r="N5" s="139">
        <v>45412</v>
      </c>
      <c r="O5" s="137">
        <v>0.937602</v>
      </c>
      <c r="P5" s="137">
        <v>99.9482</v>
      </c>
    </row>
    <row r="6" spans="1:16">
      <c r="A6" s="139">
        <v>45049</v>
      </c>
      <c r="B6" s="137">
        <v>72.4</v>
      </c>
      <c r="C6" s="137">
        <v>0.78</v>
      </c>
      <c r="E6" s="137">
        <f t="shared" si="0"/>
        <v>91.046277665996</v>
      </c>
      <c r="F6" s="137">
        <f t="shared" si="1"/>
        <v>97.5</v>
      </c>
      <c r="N6" s="139">
        <v>45413</v>
      </c>
      <c r="O6" s="137">
        <v>0.933619</v>
      </c>
      <c r="P6" s="137">
        <v>100.3716</v>
      </c>
    </row>
    <row r="7" spans="1:16">
      <c r="A7" s="139">
        <v>45050</v>
      </c>
      <c r="B7" s="137">
        <v>72.52</v>
      </c>
      <c r="C7" s="137">
        <v>0.81</v>
      </c>
      <c r="E7" s="137">
        <f t="shared" si="0"/>
        <v>91.1971830985916</v>
      </c>
      <c r="F7" s="137">
        <f t="shared" si="1"/>
        <v>101.25</v>
      </c>
      <c r="N7" s="139">
        <v>45414</v>
      </c>
      <c r="O7" s="137">
        <v>0.932227</v>
      </c>
      <c r="P7" s="137">
        <v>98.3075</v>
      </c>
    </row>
    <row r="8" spans="1:16">
      <c r="A8" s="139">
        <v>45051</v>
      </c>
      <c r="B8" s="137">
        <v>75.35</v>
      </c>
      <c r="C8" s="137">
        <v>0.83</v>
      </c>
      <c r="E8" s="137">
        <f t="shared" si="0"/>
        <v>94.7560362173038</v>
      </c>
      <c r="F8" s="137">
        <f t="shared" si="1"/>
        <v>103.75</v>
      </c>
      <c r="N8" s="139">
        <v>45415</v>
      </c>
      <c r="O8" s="137">
        <v>0.929368</v>
      </c>
      <c r="P8" s="137">
        <v>98.4958</v>
      </c>
    </row>
    <row r="9" spans="1:16">
      <c r="A9" s="139">
        <v>45054</v>
      </c>
      <c r="B9" s="137">
        <v>77.03</v>
      </c>
      <c r="C9" s="137">
        <v>0.82</v>
      </c>
      <c r="E9" s="137">
        <f t="shared" si="0"/>
        <v>96.8687122736419</v>
      </c>
      <c r="F9" s="137">
        <f t="shared" si="1"/>
        <v>102.5</v>
      </c>
      <c r="N9" s="139">
        <v>45418</v>
      </c>
      <c r="O9" s="137">
        <v>0.928592</v>
      </c>
      <c r="P9" s="137">
        <v>98.4799</v>
      </c>
    </row>
    <row r="10" spans="1:16">
      <c r="A10" s="139">
        <v>45055</v>
      </c>
      <c r="B10" s="137">
        <v>77.47</v>
      </c>
      <c r="C10" s="137">
        <v>0.8</v>
      </c>
      <c r="E10" s="137">
        <f t="shared" si="0"/>
        <v>97.422032193159</v>
      </c>
      <c r="F10" s="137">
        <f t="shared" si="1"/>
        <v>100</v>
      </c>
      <c r="N10" s="139">
        <v>45419</v>
      </c>
      <c r="O10" s="137">
        <v>0.929886</v>
      </c>
      <c r="P10" s="137">
        <v>98.5648</v>
      </c>
    </row>
    <row r="11" spans="1:16">
      <c r="A11" s="139">
        <v>45056</v>
      </c>
      <c r="B11" s="137">
        <v>76.44</v>
      </c>
      <c r="C11" s="137">
        <v>0.8</v>
      </c>
      <c r="E11" s="137">
        <f t="shared" si="0"/>
        <v>96.1267605633803</v>
      </c>
      <c r="F11" s="137">
        <f t="shared" si="1"/>
        <v>100</v>
      </c>
      <c r="N11" s="139">
        <v>45420</v>
      </c>
      <c r="O11" s="137">
        <v>0.930492</v>
      </c>
      <c r="P11" s="137">
        <v>98.8954</v>
      </c>
    </row>
    <row r="12" spans="1:16">
      <c r="A12" s="139">
        <v>45057</v>
      </c>
      <c r="B12" s="137">
        <v>74.99</v>
      </c>
      <c r="C12" s="137">
        <v>0.78</v>
      </c>
      <c r="E12" s="137">
        <f t="shared" si="0"/>
        <v>94.3033199195171</v>
      </c>
      <c r="F12" s="137">
        <f t="shared" si="1"/>
        <v>97.5</v>
      </c>
      <c r="N12" s="139">
        <v>45421</v>
      </c>
      <c r="O12" s="137">
        <v>0.927471</v>
      </c>
      <c r="P12" s="137">
        <v>99.7366</v>
      </c>
    </row>
    <row r="13" spans="1:16">
      <c r="A13" s="139">
        <v>45058</v>
      </c>
      <c r="B13" s="137">
        <v>74.18</v>
      </c>
      <c r="C13" s="137">
        <v>0.79</v>
      </c>
      <c r="E13" s="137">
        <f t="shared" si="0"/>
        <v>93.284708249497</v>
      </c>
      <c r="F13" s="137">
        <f t="shared" si="1"/>
        <v>98.75</v>
      </c>
      <c r="N13" s="139">
        <v>45422</v>
      </c>
      <c r="O13" s="137">
        <v>0.928419</v>
      </c>
      <c r="P13" s="137">
        <v>99.6478</v>
      </c>
    </row>
    <row r="14" spans="1:16">
      <c r="A14" s="139">
        <v>45061</v>
      </c>
      <c r="B14" s="137">
        <v>75.28</v>
      </c>
      <c r="C14" s="137">
        <v>0.81</v>
      </c>
      <c r="E14" s="137">
        <f t="shared" si="0"/>
        <v>94.6680080482897</v>
      </c>
      <c r="F14" s="137">
        <f t="shared" si="1"/>
        <v>101.25</v>
      </c>
      <c r="N14" s="139">
        <v>45425</v>
      </c>
      <c r="O14" s="137">
        <v>0.926827</v>
      </c>
      <c r="P14" s="137">
        <v>98.9331</v>
      </c>
    </row>
    <row r="15" spans="1:16">
      <c r="A15" s="139">
        <v>45062</v>
      </c>
      <c r="B15" s="137">
        <v>74.96</v>
      </c>
      <c r="C15" s="137">
        <v>0.82</v>
      </c>
      <c r="E15" s="137">
        <f t="shared" si="0"/>
        <v>94.2655935613682</v>
      </c>
      <c r="F15" s="137">
        <f t="shared" si="1"/>
        <v>102.5</v>
      </c>
      <c r="N15" s="139">
        <v>45426</v>
      </c>
      <c r="O15" s="137">
        <v>0.924215</v>
      </c>
      <c r="P15" s="137">
        <v>98.9135</v>
      </c>
    </row>
    <row r="16" spans="1:16">
      <c r="A16" s="139">
        <v>45063</v>
      </c>
      <c r="B16" s="137">
        <v>77.01</v>
      </c>
      <c r="C16" s="137">
        <v>0.86</v>
      </c>
      <c r="E16" s="137">
        <f t="shared" si="0"/>
        <v>96.8435613682093</v>
      </c>
      <c r="F16" s="137">
        <f t="shared" si="1"/>
        <v>107.5</v>
      </c>
      <c r="N16" s="139">
        <v>45427</v>
      </c>
      <c r="O16" s="137">
        <v>0.91878</v>
      </c>
      <c r="P16" s="137">
        <v>99.0928</v>
      </c>
    </row>
    <row r="17" spans="1:16">
      <c r="A17" s="139">
        <v>45064</v>
      </c>
      <c r="B17" s="137">
        <v>75.88</v>
      </c>
      <c r="C17" s="137">
        <v>0.85</v>
      </c>
      <c r="E17" s="137">
        <f t="shared" si="0"/>
        <v>95.4225352112676</v>
      </c>
      <c r="F17" s="137">
        <f t="shared" si="1"/>
        <v>106.25</v>
      </c>
      <c r="N17" s="139">
        <v>45428</v>
      </c>
      <c r="O17" s="137">
        <v>0.920217</v>
      </c>
      <c r="P17" s="137">
        <v>98.6996</v>
      </c>
    </row>
    <row r="18" spans="1:16">
      <c r="A18" s="139">
        <v>45065</v>
      </c>
      <c r="B18" s="137">
        <v>75.65</v>
      </c>
      <c r="C18" s="137">
        <v>0.85</v>
      </c>
      <c r="E18" s="137">
        <f t="shared" si="0"/>
        <v>95.1332997987928</v>
      </c>
      <c r="F18" s="137">
        <f t="shared" si="1"/>
        <v>106.25</v>
      </c>
      <c r="N18" s="139">
        <v>45429</v>
      </c>
      <c r="O18" s="137">
        <v>0.919794</v>
      </c>
      <c r="P18" s="137">
        <v>98.9716</v>
      </c>
    </row>
    <row r="19" spans="1:16">
      <c r="A19" s="139">
        <v>45068</v>
      </c>
      <c r="B19" s="137">
        <v>76</v>
      </c>
      <c r="C19" s="137">
        <v>0.84</v>
      </c>
      <c r="E19" s="137">
        <f t="shared" si="0"/>
        <v>95.5734406438632</v>
      </c>
      <c r="F19" s="137">
        <f t="shared" si="1"/>
        <v>105</v>
      </c>
      <c r="N19" s="139">
        <v>45432</v>
      </c>
      <c r="O19" s="137">
        <v>0.921065</v>
      </c>
      <c r="P19" s="137">
        <v>98.437</v>
      </c>
    </row>
    <row r="20" spans="1:16">
      <c r="A20" s="139">
        <v>45069</v>
      </c>
      <c r="B20" s="137">
        <v>76.86</v>
      </c>
      <c r="C20" s="137">
        <v>0.83</v>
      </c>
      <c r="E20" s="137">
        <f t="shared" si="0"/>
        <v>96.6549295774648</v>
      </c>
      <c r="F20" s="137">
        <f t="shared" si="1"/>
        <v>103.75</v>
      </c>
      <c r="N20" s="139">
        <v>45433</v>
      </c>
      <c r="O20" s="137">
        <v>0.921277</v>
      </c>
      <c r="P20" s="137">
        <v>97.9844</v>
      </c>
    </row>
    <row r="21" spans="1:16">
      <c r="A21" s="139">
        <v>45070</v>
      </c>
      <c r="B21" s="137">
        <v>78.41</v>
      </c>
      <c r="C21" s="137">
        <v>0.8</v>
      </c>
      <c r="E21" s="137">
        <f t="shared" si="0"/>
        <v>98.6041247484909</v>
      </c>
      <c r="F21" s="137">
        <f t="shared" si="1"/>
        <v>100</v>
      </c>
      <c r="N21" s="139">
        <v>45434</v>
      </c>
      <c r="O21" s="137">
        <v>0.923958</v>
      </c>
      <c r="P21" s="137">
        <v>97.6415</v>
      </c>
    </row>
    <row r="22" spans="1:16">
      <c r="A22" s="139">
        <v>45071</v>
      </c>
      <c r="B22" s="137">
        <v>76.29</v>
      </c>
      <c r="C22" s="137">
        <v>0.78</v>
      </c>
      <c r="E22" s="137">
        <f t="shared" si="0"/>
        <v>95.9381287726358</v>
      </c>
      <c r="F22" s="137">
        <f t="shared" si="1"/>
        <v>97.5</v>
      </c>
      <c r="N22" s="139">
        <v>45435</v>
      </c>
      <c r="O22" s="137">
        <v>0.924684</v>
      </c>
      <c r="P22" s="137">
        <v>97.8445</v>
      </c>
    </row>
    <row r="23" spans="1:16">
      <c r="A23" s="139">
        <v>45072</v>
      </c>
      <c r="B23" s="137">
        <v>76.93</v>
      </c>
      <c r="C23" s="137">
        <v>0.82</v>
      </c>
      <c r="E23" s="137">
        <f t="shared" si="0"/>
        <v>96.7429577464789</v>
      </c>
      <c r="F23" s="137">
        <f t="shared" si="1"/>
        <v>102.5</v>
      </c>
      <c r="N23" s="139">
        <v>45436</v>
      </c>
      <c r="O23" s="137">
        <v>0.921914</v>
      </c>
      <c r="P23" s="137">
        <v>96.8549</v>
      </c>
    </row>
    <row r="24" spans="1:16">
      <c r="A24" s="139">
        <v>45075</v>
      </c>
      <c r="B24" s="137">
        <v>76.93</v>
      </c>
      <c r="C24" s="137">
        <v>0.82</v>
      </c>
      <c r="E24" s="137">
        <f t="shared" si="0"/>
        <v>96.7429577464789</v>
      </c>
      <c r="F24" s="137">
        <f t="shared" si="1"/>
        <v>102.5</v>
      </c>
      <c r="N24" s="139">
        <v>45439</v>
      </c>
      <c r="O24" s="137">
        <v>0.920938</v>
      </c>
      <c r="P24" s="137">
        <v>96.3693</v>
      </c>
    </row>
    <row r="25" spans="1:16">
      <c r="A25" s="139">
        <v>45076</v>
      </c>
      <c r="B25" s="137">
        <v>73.58</v>
      </c>
      <c r="C25" s="137">
        <v>0.82</v>
      </c>
      <c r="E25" s="137">
        <f t="shared" si="0"/>
        <v>92.5301810865191</v>
      </c>
      <c r="F25" s="137">
        <f t="shared" si="1"/>
        <v>102.5</v>
      </c>
      <c r="N25" s="139">
        <v>45440</v>
      </c>
      <c r="O25" s="137">
        <v>0.921065</v>
      </c>
      <c r="P25" s="137">
        <v>96.2122</v>
      </c>
    </row>
    <row r="26" spans="1:16">
      <c r="A26" s="139">
        <v>45077</v>
      </c>
      <c r="B26" s="137">
        <v>73.58</v>
      </c>
      <c r="C26" s="137">
        <v>0.82</v>
      </c>
      <c r="E26" s="137">
        <f t="shared" si="0"/>
        <v>92.5301810865191</v>
      </c>
      <c r="F26" s="137">
        <f t="shared" si="1"/>
        <v>102.5</v>
      </c>
      <c r="N26" s="139">
        <v>45441</v>
      </c>
      <c r="O26" s="137">
        <v>0.925754</v>
      </c>
      <c r="P26" s="137">
        <v>96.8665</v>
      </c>
    </row>
    <row r="27" spans="1:16">
      <c r="A27" s="139">
        <v>45078</v>
      </c>
      <c r="B27" s="137">
        <v>74.29</v>
      </c>
      <c r="C27" s="137">
        <v>0.85</v>
      </c>
      <c r="E27" s="137">
        <f t="shared" si="0"/>
        <v>93.4230382293763</v>
      </c>
      <c r="F27" s="137">
        <f t="shared" si="1"/>
        <v>106.25</v>
      </c>
      <c r="N27" s="139">
        <v>45442</v>
      </c>
      <c r="O27" s="137">
        <v>0.923106</v>
      </c>
      <c r="P27" s="137">
        <v>97.5961</v>
      </c>
    </row>
    <row r="28" spans="1:16">
      <c r="A28" s="139">
        <v>45079</v>
      </c>
      <c r="B28" s="137">
        <v>76.11</v>
      </c>
      <c r="C28" s="137">
        <v>0.84</v>
      </c>
      <c r="E28" s="137">
        <f t="shared" si="0"/>
        <v>95.7117706237425</v>
      </c>
      <c r="F28" s="137">
        <f t="shared" si="1"/>
        <v>105</v>
      </c>
      <c r="N28" s="139">
        <v>45443</v>
      </c>
      <c r="O28" s="137">
        <v>0.922254</v>
      </c>
      <c r="P28" s="137">
        <v>98.1112</v>
      </c>
    </row>
    <row r="29" spans="1:16">
      <c r="A29" s="139">
        <v>45082</v>
      </c>
      <c r="B29" s="137">
        <v>76.74</v>
      </c>
      <c r="C29" s="137">
        <v>0.83</v>
      </c>
      <c r="E29" s="137">
        <f t="shared" si="0"/>
        <v>96.5040241448692</v>
      </c>
      <c r="F29" s="137">
        <f t="shared" si="1"/>
        <v>103.75</v>
      </c>
      <c r="N29" s="139">
        <v>45446</v>
      </c>
      <c r="O29" s="137">
        <v>0.917095</v>
      </c>
      <c r="P29" s="137">
        <v>97.2594</v>
      </c>
    </row>
    <row r="30" spans="1:16">
      <c r="A30" s="139">
        <v>45083</v>
      </c>
      <c r="B30" s="137">
        <v>76.28</v>
      </c>
      <c r="C30" s="137">
        <v>0.83</v>
      </c>
      <c r="E30" s="137">
        <f t="shared" si="0"/>
        <v>95.9255533199195</v>
      </c>
      <c r="F30" s="137">
        <f t="shared" si="1"/>
        <v>103.75</v>
      </c>
      <c r="N30" s="139">
        <v>45447</v>
      </c>
      <c r="O30" s="137">
        <v>0.919117</v>
      </c>
      <c r="P30" s="137">
        <v>96.7232</v>
      </c>
    </row>
    <row r="31" spans="1:16">
      <c r="A31" s="139">
        <v>45084</v>
      </c>
      <c r="B31" s="137">
        <v>76.95</v>
      </c>
      <c r="C31" s="137">
        <v>0.83</v>
      </c>
      <c r="E31" s="137">
        <f t="shared" si="0"/>
        <v>96.7681086519115</v>
      </c>
      <c r="F31" s="137">
        <f t="shared" si="1"/>
        <v>103.75</v>
      </c>
      <c r="N31" s="139">
        <v>45448</v>
      </c>
      <c r="O31" s="137">
        <v>0.920048</v>
      </c>
      <c r="P31" s="137">
        <v>96.7662</v>
      </c>
    </row>
    <row r="32" spans="1:16">
      <c r="A32" s="139">
        <v>45085</v>
      </c>
      <c r="B32" s="137">
        <v>75.95</v>
      </c>
      <c r="C32" s="137">
        <v>0.82</v>
      </c>
      <c r="E32" s="137">
        <f t="shared" si="0"/>
        <v>95.5105633802817</v>
      </c>
      <c r="F32" s="137">
        <f t="shared" si="1"/>
        <v>102.5</v>
      </c>
      <c r="N32" s="139">
        <v>45449</v>
      </c>
      <c r="O32" s="137">
        <v>0.918274</v>
      </c>
      <c r="P32" s="137">
        <v>96.9003</v>
      </c>
    </row>
    <row r="33" spans="1:16">
      <c r="A33" s="139">
        <v>45086</v>
      </c>
      <c r="B33" s="137">
        <v>74.81</v>
      </c>
      <c r="C33" s="137">
        <v>0.82</v>
      </c>
      <c r="E33" s="137">
        <f t="shared" si="0"/>
        <v>94.0769617706237</v>
      </c>
      <c r="F33" s="137">
        <f t="shared" si="1"/>
        <v>102.5</v>
      </c>
      <c r="N33" s="139">
        <v>45450</v>
      </c>
      <c r="O33" s="137">
        <v>0.925754</v>
      </c>
      <c r="P33" s="137">
        <v>96.281</v>
      </c>
    </row>
    <row r="34" spans="1:16">
      <c r="A34" s="139">
        <v>45089</v>
      </c>
      <c r="B34" s="137">
        <v>71.85</v>
      </c>
      <c r="C34" s="137">
        <v>0.81</v>
      </c>
      <c r="E34" s="137">
        <f t="shared" si="0"/>
        <v>90.3546277665996</v>
      </c>
      <c r="F34" s="137">
        <f t="shared" si="1"/>
        <v>101.25</v>
      </c>
      <c r="N34" s="139">
        <v>45453</v>
      </c>
      <c r="O34" s="137">
        <v>0.928936</v>
      </c>
      <c r="P34" s="137">
        <v>95.6216</v>
      </c>
    </row>
    <row r="35" spans="1:16">
      <c r="A35" s="139">
        <v>45090</v>
      </c>
      <c r="B35" s="137">
        <v>74.29</v>
      </c>
      <c r="C35" s="137">
        <v>0.8</v>
      </c>
      <c r="E35" s="137">
        <f t="shared" si="0"/>
        <v>93.4230382293763</v>
      </c>
      <c r="F35" s="137">
        <f t="shared" si="1"/>
        <v>100</v>
      </c>
      <c r="N35" s="139">
        <v>45454</v>
      </c>
      <c r="O35" s="137">
        <v>0.931098</v>
      </c>
      <c r="P35" s="137">
        <v>95.5956</v>
      </c>
    </row>
    <row r="36" spans="1:16">
      <c r="A36" s="139">
        <v>45091</v>
      </c>
      <c r="B36" s="137">
        <v>73.21</v>
      </c>
      <c r="C36" s="137">
        <v>0.8</v>
      </c>
      <c r="E36" s="137">
        <f t="shared" si="0"/>
        <v>92.0648893360161</v>
      </c>
      <c r="F36" s="137">
        <f t="shared" si="1"/>
        <v>100</v>
      </c>
      <c r="N36" s="139">
        <v>45455</v>
      </c>
      <c r="O36" s="137">
        <v>0.925155</v>
      </c>
      <c r="P36" s="137">
        <v>96.6784</v>
      </c>
    </row>
    <row r="37" spans="1:16">
      <c r="A37" s="139">
        <v>45092</v>
      </c>
      <c r="B37" s="137">
        <v>75.68</v>
      </c>
      <c r="C37" s="137">
        <v>0.78</v>
      </c>
      <c r="E37" s="137">
        <f t="shared" si="0"/>
        <v>95.1710261569417</v>
      </c>
      <c r="F37" s="137">
        <f t="shared" si="1"/>
        <v>97.5</v>
      </c>
      <c r="N37" s="139">
        <v>45456</v>
      </c>
      <c r="O37" s="137">
        <v>0.931359</v>
      </c>
      <c r="P37" s="137">
        <v>95.4625</v>
      </c>
    </row>
    <row r="38" spans="1:16">
      <c r="A38" s="139">
        <v>45093</v>
      </c>
      <c r="B38" s="137">
        <v>76.71</v>
      </c>
      <c r="C38" s="137">
        <v>0.79</v>
      </c>
      <c r="E38" s="137">
        <f t="shared" si="0"/>
        <v>96.4662977867203</v>
      </c>
      <c r="F38" s="137">
        <f t="shared" si="1"/>
        <v>98.75</v>
      </c>
      <c r="N38" s="139">
        <v>45457</v>
      </c>
      <c r="O38" s="137">
        <v>0.934405</v>
      </c>
      <c r="P38" s="137">
        <v>95.3326</v>
      </c>
    </row>
    <row r="39" spans="1:16">
      <c r="A39" s="139">
        <v>45096</v>
      </c>
      <c r="B39" s="137">
        <v>76.15</v>
      </c>
      <c r="C39" s="137">
        <v>0.79</v>
      </c>
      <c r="E39" s="137">
        <f t="shared" si="0"/>
        <v>95.7620724346077</v>
      </c>
      <c r="F39" s="137">
        <f t="shared" si="1"/>
        <v>98.75</v>
      </c>
      <c r="N39" s="139">
        <v>45460</v>
      </c>
      <c r="O39" s="137">
        <v>0.931576</v>
      </c>
      <c r="P39" s="137">
        <v>95.4037</v>
      </c>
    </row>
    <row r="40" spans="1:16">
      <c r="A40" s="139">
        <v>45097</v>
      </c>
      <c r="B40" s="137">
        <v>75.91</v>
      </c>
      <c r="C40" s="137">
        <v>0.8</v>
      </c>
      <c r="E40" s="137">
        <f t="shared" si="0"/>
        <v>95.4602615694165</v>
      </c>
      <c r="F40" s="137">
        <f t="shared" si="1"/>
        <v>100</v>
      </c>
      <c r="N40" s="139">
        <v>45461</v>
      </c>
      <c r="O40" s="137">
        <v>0.931098</v>
      </c>
      <c r="P40" s="137">
        <v>92.8924</v>
      </c>
    </row>
    <row r="41" spans="1:16">
      <c r="A41" s="139">
        <v>45098</v>
      </c>
      <c r="B41" s="137">
        <v>77.14</v>
      </c>
      <c r="C41" s="137">
        <v>0.78</v>
      </c>
      <c r="E41" s="137">
        <f t="shared" si="0"/>
        <v>97.0070422535211</v>
      </c>
      <c r="F41" s="137">
        <f t="shared" si="1"/>
        <v>97.5</v>
      </c>
      <c r="N41" s="139">
        <v>45462</v>
      </c>
      <c r="O41" s="137">
        <v>0.930752</v>
      </c>
      <c r="P41" s="137">
        <v>89.7543</v>
      </c>
    </row>
    <row r="42" spans="1:16">
      <c r="A42" s="139">
        <v>45099</v>
      </c>
      <c r="B42" s="137">
        <v>74.15</v>
      </c>
      <c r="C42" s="137">
        <v>0.79</v>
      </c>
      <c r="E42" s="137">
        <f t="shared" si="0"/>
        <v>93.2469818913481</v>
      </c>
      <c r="F42" s="137">
        <f t="shared" si="1"/>
        <v>98.75</v>
      </c>
      <c r="N42" s="139">
        <v>45463</v>
      </c>
      <c r="O42" s="137">
        <v>0.934405</v>
      </c>
      <c r="P42" s="137">
        <v>93.4799</v>
      </c>
    </row>
    <row r="43" spans="1:16">
      <c r="A43" s="139">
        <v>45100</v>
      </c>
      <c r="B43" s="137">
        <v>73.92</v>
      </c>
      <c r="C43" s="137">
        <v>0.77</v>
      </c>
      <c r="E43" s="137">
        <f t="shared" si="0"/>
        <v>92.9577464788732</v>
      </c>
      <c r="F43" s="137">
        <f t="shared" si="1"/>
        <v>96.25</v>
      </c>
      <c r="N43" s="139">
        <v>45464</v>
      </c>
      <c r="O43" s="137">
        <v>0.935192</v>
      </c>
      <c r="P43" s="137">
        <v>95.4704</v>
      </c>
    </row>
    <row r="44" spans="1:16">
      <c r="A44" s="139">
        <v>45103</v>
      </c>
      <c r="B44" s="137">
        <v>74.23</v>
      </c>
      <c r="C44" s="137">
        <v>0.77</v>
      </c>
      <c r="E44" s="137">
        <f t="shared" si="0"/>
        <v>93.3475855130785</v>
      </c>
      <c r="F44" s="137">
        <f t="shared" si="1"/>
        <v>96.25</v>
      </c>
      <c r="N44" s="139">
        <v>45467</v>
      </c>
      <c r="O44" s="137">
        <v>0.93162</v>
      </c>
      <c r="P44" s="137">
        <v>93.8339</v>
      </c>
    </row>
    <row r="45" spans="1:16">
      <c r="A45" s="139">
        <v>45104</v>
      </c>
      <c r="B45" s="137">
        <v>72.25</v>
      </c>
      <c r="C45" s="137">
        <v>0.74</v>
      </c>
      <c r="E45" s="137">
        <f t="shared" si="0"/>
        <v>90.8576458752515</v>
      </c>
      <c r="F45" s="137">
        <f t="shared" si="1"/>
        <v>92.5</v>
      </c>
      <c r="N45" s="139">
        <v>45468</v>
      </c>
      <c r="O45" s="137">
        <v>0.933314</v>
      </c>
      <c r="P45" s="137">
        <v>93.9281</v>
      </c>
    </row>
    <row r="46" spans="1:16">
      <c r="A46" s="139">
        <v>45105</v>
      </c>
      <c r="B46" s="137">
        <v>74.01</v>
      </c>
      <c r="C46" s="137">
        <v>0.75</v>
      </c>
      <c r="E46" s="137">
        <f t="shared" si="0"/>
        <v>93.0709255533199</v>
      </c>
      <c r="F46" s="137">
        <f t="shared" si="1"/>
        <v>93.75</v>
      </c>
      <c r="N46" s="139">
        <v>45469</v>
      </c>
      <c r="O46" s="137">
        <v>0.936285</v>
      </c>
      <c r="P46" s="137">
        <v>94.6917</v>
      </c>
    </row>
    <row r="47" spans="1:16">
      <c r="A47" s="139">
        <v>45106</v>
      </c>
      <c r="B47" s="137">
        <v>74.31</v>
      </c>
      <c r="C47" s="137">
        <v>0.76</v>
      </c>
      <c r="E47" s="137">
        <f t="shared" si="0"/>
        <v>93.4481891348089</v>
      </c>
      <c r="F47" s="137">
        <f t="shared" si="1"/>
        <v>95</v>
      </c>
      <c r="N47" s="139">
        <v>45470</v>
      </c>
      <c r="O47" s="137">
        <v>0.934274</v>
      </c>
      <c r="P47" s="137">
        <v>91.8555</v>
      </c>
    </row>
    <row r="48" spans="1:16">
      <c r="A48" s="139">
        <v>45107</v>
      </c>
      <c r="B48" s="137">
        <v>74.51</v>
      </c>
      <c r="C48" s="137">
        <v>0.79</v>
      </c>
      <c r="E48" s="137">
        <f t="shared" si="0"/>
        <v>93.6996981891348</v>
      </c>
      <c r="F48" s="137">
        <f t="shared" si="1"/>
        <v>98.75</v>
      </c>
      <c r="N48" s="139">
        <v>45471</v>
      </c>
      <c r="O48" s="137">
        <v>0.933271</v>
      </c>
      <c r="P48" s="137">
        <v>92.4385</v>
      </c>
    </row>
    <row r="49" spans="1:16">
      <c r="A49" s="139">
        <v>45110</v>
      </c>
      <c r="B49" s="137">
        <v>74.68</v>
      </c>
      <c r="C49" s="137">
        <v>0.8</v>
      </c>
      <c r="E49" s="137">
        <f t="shared" si="0"/>
        <v>93.9134808853119</v>
      </c>
      <c r="F49" s="137">
        <f t="shared" si="1"/>
        <v>100</v>
      </c>
      <c r="N49" s="139">
        <v>45474</v>
      </c>
      <c r="O49" s="137">
        <v>0.931098</v>
      </c>
      <c r="P49" s="137">
        <v>93.2127</v>
      </c>
    </row>
    <row r="50" spans="1:16">
      <c r="A50" s="139">
        <v>45111</v>
      </c>
      <c r="B50" s="137">
        <v>76.16</v>
      </c>
      <c r="C50" s="137">
        <v>0.8</v>
      </c>
      <c r="E50" s="137">
        <f t="shared" si="0"/>
        <v>95.774647887324</v>
      </c>
      <c r="F50" s="137">
        <f t="shared" si="1"/>
        <v>100</v>
      </c>
      <c r="N50" s="139">
        <v>45475</v>
      </c>
      <c r="O50" s="137">
        <v>0.930622</v>
      </c>
      <c r="P50" s="137">
        <v>94.5117</v>
      </c>
    </row>
    <row r="51" spans="1:16">
      <c r="A51" s="139">
        <v>45112</v>
      </c>
      <c r="B51" s="137">
        <v>76.16</v>
      </c>
      <c r="C51" s="137">
        <v>0.79</v>
      </c>
      <c r="E51" s="137">
        <f t="shared" si="0"/>
        <v>95.774647887324</v>
      </c>
      <c r="F51" s="137">
        <f t="shared" si="1"/>
        <v>98.75</v>
      </c>
      <c r="N51" s="139">
        <v>45476</v>
      </c>
      <c r="O51" s="137">
        <v>0.926999</v>
      </c>
      <c r="P51" s="137">
        <v>95.5929</v>
      </c>
    </row>
    <row r="52" spans="1:16">
      <c r="A52" s="139">
        <v>45113</v>
      </c>
      <c r="B52" s="137">
        <v>76.52</v>
      </c>
      <c r="C52" s="137">
        <v>0.8</v>
      </c>
      <c r="E52" s="137">
        <f t="shared" si="0"/>
        <v>96.2273641851107</v>
      </c>
      <c r="F52" s="137">
        <f t="shared" si="1"/>
        <v>100</v>
      </c>
      <c r="N52" s="139">
        <v>45477</v>
      </c>
      <c r="O52" s="137">
        <v>0.924899</v>
      </c>
      <c r="P52" s="137">
        <v>95.1104</v>
      </c>
    </row>
    <row r="53" spans="1:16">
      <c r="A53" s="139">
        <v>45114</v>
      </c>
      <c r="B53" s="137">
        <v>74.68</v>
      </c>
      <c r="C53" s="137">
        <v>0.78</v>
      </c>
      <c r="E53" s="137">
        <f t="shared" si="0"/>
        <v>93.9134808853119</v>
      </c>
      <c r="F53" s="137">
        <f t="shared" si="1"/>
        <v>97.5</v>
      </c>
      <c r="N53" s="139">
        <v>45478</v>
      </c>
      <c r="O53" s="137">
        <v>0.922679</v>
      </c>
      <c r="P53" s="137">
        <v>95.6301</v>
      </c>
    </row>
    <row r="54" spans="1:16">
      <c r="A54" s="139">
        <v>45117</v>
      </c>
      <c r="B54" s="137">
        <v>77.76</v>
      </c>
      <c r="C54" s="137">
        <v>0.77</v>
      </c>
      <c r="E54" s="137">
        <f t="shared" si="0"/>
        <v>97.7867203219316</v>
      </c>
      <c r="F54" s="137">
        <f t="shared" si="1"/>
        <v>96.25</v>
      </c>
      <c r="N54" s="139">
        <v>45481</v>
      </c>
      <c r="O54" s="137">
        <v>0.923873</v>
      </c>
      <c r="P54" s="137">
        <v>95.3437</v>
      </c>
    </row>
    <row r="55" spans="1:16">
      <c r="A55" s="139">
        <v>45118</v>
      </c>
      <c r="B55" s="137">
        <v>79.47</v>
      </c>
      <c r="C55" s="137">
        <v>0.8</v>
      </c>
      <c r="E55" s="137">
        <f t="shared" si="0"/>
        <v>99.9371227364185</v>
      </c>
      <c r="F55" s="137">
        <f t="shared" si="1"/>
        <v>100</v>
      </c>
      <c r="N55" s="139">
        <v>45482</v>
      </c>
      <c r="O55" s="137">
        <v>0.924727</v>
      </c>
      <c r="P55" s="137">
        <v>95.0186</v>
      </c>
    </row>
    <row r="56" spans="1:16">
      <c r="A56" s="139">
        <v>45119</v>
      </c>
      <c r="B56" s="137">
        <v>79.47</v>
      </c>
      <c r="C56" s="137">
        <v>0.8</v>
      </c>
      <c r="E56" s="137">
        <f t="shared" si="0"/>
        <v>99.9371227364185</v>
      </c>
      <c r="F56" s="137">
        <f t="shared" si="1"/>
        <v>100</v>
      </c>
      <c r="N56" s="139">
        <v>45483</v>
      </c>
      <c r="O56" s="137">
        <v>0.923319</v>
      </c>
      <c r="P56" s="137">
        <v>95.7925</v>
      </c>
    </row>
    <row r="57" spans="1:16">
      <c r="A57" s="139">
        <v>45120</v>
      </c>
      <c r="B57" s="137">
        <v>80.14</v>
      </c>
      <c r="C57" s="137">
        <v>0.8</v>
      </c>
      <c r="E57" s="137">
        <f t="shared" si="0"/>
        <v>100.77967806841</v>
      </c>
      <c r="F57" s="137">
        <f t="shared" si="1"/>
        <v>100</v>
      </c>
      <c r="N57" s="139">
        <v>45484</v>
      </c>
      <c r="O57" s="137">
        <v>0.920217</v>
      </c>
      <c r="P57" s="137">
        <v>94.9193</v>
      </c>
    </row>
    <row r="58" spans="1:16">
      <c r="A58" s="139">
        <v>45121</v>
      </c>
      <c r="B58" s="137">
        <v>79.9</v>
      </c>
      <c r="C58" s="137">
        <v>0.8</v>
      </c>
      <c r="E58" s="137">
        <f t="shared" si="0"/>
        <v>100.477867203219</v>
      </c>
      <c r="F58" s="137">
        <f t="shared" si="1"/>
        <v>100</v>
      </c>
      <c r="N58" s="139">
        <v>45485</v>
      </c>
      <c r="O58" s="137">
        <v>0.916801</v>
      </c>
      <c r="P58" s="137">
        <v>95.8673</v>
      </c>
    </row>
    <row r="59" spans="1:16">
      <c r="A59" s="139">
        <v>45124</v>
      </c>
      <c r="B59" s="137">
        <v>78.5</v>
      </c>
      <c r="C59" s="137">
        <v>0.8</v>
      </c>
      <c r="E59" s="137">
        <f t="shared" si="0"/>
        <v>98.7173038229376</v>
      </c>
      <c r="F59" s="137">
        <f t="shared" si="1"/>
        <v>100</v>
      </c>
      <c r="N59" s="139">
        <v>45488</v>
      </c>
      <c r="O59" s="137">
        <v>0.917894</v>
      </c>
      <c r="P59" s="137">
        <v>96.7247</v>
      </c>
    </row>
    <row r="60" spans="1:16">
      <c r="A60" s="139">
        <v>45125</v>
      </c>
      <c r="B60" s="137">
        <v>79.64</v>
      </c>
      <c r="C60" s="137">
        <v>0.81</v>
      </c>
      <c r="E60" s="137">
        <f t="shared" si="0"/>
        <v>100.150905432596</v>
      </c>
      <c r="F60" s="137">
        <f t="shared" si="1"/>
        <v>101.25</v>
      </c>
      <c r="N60" s="139">
        <v>45489</v>
      </c>
      <c r="O60" s="137">
        <v>0.917515</v>
      </c>
      <c r="P60" s="137">
        <v>96.4424</v>
      </c>
    </row>
    <row r="61" spans="1:16">
      <c r="A61" s="139">
        <v>45126</v>
      </c>
      <c r="B61" s="137">
        <v>79.48</v>
      </c>
      <c r="C61" s="137">
        <v>0.83</v>
      </c>
      <c r="E61" s="137">
        <f t="shared" si="0"/>
        <v>99.9496981891348</v>
      </c>
      <c r="F61" s="137">
        <f t="shared" si="1"/>
        <v>103.75</v>
      </c>
      <c r="N61" s="139">
        <v>45490</v>
      </c>
      <c r="O61" s="137">
        <v>0.914161</v>
      </c>
      <c r="P61" s="137">
        <v>96.5799</v>
      </c>
    </row>
    <row r="62" spans="1:16">
      <c r="A62" s="139">
        <v>45127</v>
      </c>
      <c r="B62" s="137">
        <v>79.67</v>
      </c>
      <c r="C62" s="137">
        <v>0.83</v>
      </c>
      <c r="E62" s="137">
        <f t="shared" si="0"/>
        <v>100.188631790744</v>
      </c>
      <c r="F62" s="137">
        <f t="shared" si="1"/>
        <v>103.75</v>
      </c>
      <c r="N62" s="139">
        <v>45491</v>
      </c>
      <c r="O62" s="137">
        <v>0.917684</v>
      </c>
      <c r="P62" s="137">
        <v>96.1339</v>
      </c>
    </row>
    <row r="63" spans="1:16">
      <c r="A63" s="139">
        <v>45128</v>
      </c>
      <c r="B63" s="137">
        <v>81.08</v>
      </c>
      <c r="C63" s="137">
        <v>0.82</v>
      </c>
      <c r="E63" s="137">
        <f t="shared" si="0"/>
        <v>101.961770623742</v>
      </c>
      <c r="F63" s="137">
        <f t="shared" si="1"/>
        <v>102.5</v>
      </c>
      <c r="N63" s="139">
        <v>45492</v>
      </c>
      <c r="O63" s="137">
        <v>0.919202</v>
      </c>
      <c r="P63" s="137">
        <v>95.8076</v>
      </c>
    </row>
    <row r="64" spans="1:16">
      <c r="A64" s="139">
        <v>45131</v>
      </c>
      <c r="B64" s="137">
        <v>82.73</v>
      </c>
      <c r="C64" s="137">
        <v>0.83</v>
      </c>
      <c r="E64" s="137">
        <f t="shared" si="0"/>
        <v>104.036720321932</v>
      </c>
      <c r="F64" s="137">
        <f t="shared" si="1"/>
        <v>103.75</v>
      </c>
      <c r="N64" s="139">
        <v>45495</v>
      </c>
      <c r="O64" s="137">
        <v>0.918189</v>
      </c>
      <c r="P64" s="137">
        <v>95.7336</v>
      </c>
    </row>
    <row r="65" spans="1:25">
      <c r="A65" s="139">
        <v>45132</v>
      </c>
      <c r="B65" s="137">
        <v>83.69</v>
      </c>
      <c r="C65" s="137">
        <v>0.86</v>
      </c>
      <c r="E65" s="137">
        <f t="shared" si="0"/>
        <v>105.243963782696</v>
      </c>
      <c r="F65" s="137">
        <f t="shared" si="1"/>
        <v>107.5</v>
      </c>
      <c r="N65" s="139">
        <v>45496</v>
      </c>
      <c r="O65" s="137">
        <v>0.921404</v>
      </c>
      <c r="P65" s="137">
        <v>94.5457</v>
      </c>
    </row>
    <row r="66" spans="1:25">
      <c r="A66" s="139">
        <v>45133</v>
      </c>
      <c r="B66" s="137">
        <v>82.92</v>
      </c>
      <c r="C66" s="137">
        <v>0.87</v>
      </c>
      <c r="E66" s="137">
        <f t="shared" si="0"/>
        <v>104.275653923541</v>
      </c>
      <c r="F66" s="137">
        <f t="shared" si="1"/>
        <v>108.75</v>
      </c>
      <c r="N66" s="139">
        <v>45497</v>
      </c>
      <c r="O66" s="137">
        <v>0.922552</v>
      </c>
      <c r="P66" s="137">
        <v>93.5561</v>
      </c>
    </row>
    <row r="67" spans="1:25">
      <c r="A67" s="139">
        <v>45134</v>
      </c>
      <c r="B67" s="137">
        <v>84.22</v>
      </c>
      <c r="C67" s="137">
        <v>0.84</v>
      </c>
      <c r="E67" s="137">
        <f t="shared" si="0"/>
        <v>105.91046277666</v>
      </c>
      <c r="F67" s="137">
        <f t="shared" si="1"/>
        <v>105</v>
      </c>
      <c r="N67" s="139">
        <v>45498</v>
      </c>
      <c r="O67" s="137">
        <v>0.921999</v>
      </c>
      <c r="P67" s="137">
        <v>92.2719</v>
      </c>
    </row>
    <row r="68" spans="1:25">
      <c r="A68" s="139">
        <v>45135</v>
      </c>
      <c r="B68" s="137">
        <v>85.02</v>
      </c>
      <c r="C68" s="137">
        <v>0.82</v>
      </c>
      <c r="E68" s="137">
        <f t="shared" si="0"/>
        <v>106.916498993964</v>
      </c>
      <c r="F68" s="137">
        <f t="shared" si="1"/>
        <v>102.5</v>
      </c>
      <c r="N68" s="139">
        <v>45499</v>
      </c>
      <c r="O68" s="137">
        <v>0.920895</v>
      </c>
      <c r="P68" s="137">
        <v>93.4703</v>
      </c>
    </row>
    <row r="69" spans="1:25">
      <c r="A69" s="139">
        <v>45138</v>
      </c>
      <c r="B69" s="137">
        <v>85.6</v>
      </c>
      <c r="C69" s="137">
        <v>0.82</v>
      </c>
      <c r="E69" s="137">
        <f t="shared" ref="E69:E132" si="2">B69/$B$3*$E$3</f>
        <v>107.645875251509</v>
      </c>
      <c r="F69" s="137">
        <f t="shared" ref="F69:F132" si="3">C69/$C$3*$F$3</f>
        <v>102.5</v>
      </c>
      <c r="N69" s="139">
        <v>45502</v>
      </c>
      <c r="O69" s="137">
        <v>0.924129</v>
      </c>
      <c r="P69" s="137">
        <v>93.5598</v>
      </c>
    </row>
    <row r="70" spans="1:25">
      <c r="A70" s="139">
        <v>45139</v>
      </c>
      <c r="B70" s="137">
        <v>84.94</v>
      </c>
      <c r="C70" s="137">
        <v>0.84</v>
      </c>
      <c r="E70" s="137">
        <f t="shared" si="2"/>
        <v>106.815895372233</v>
      </c>
      <c r="F70" s="137">
        <f t="shared" si="3"/>
        <v>105</v>
      </c>
      <c r="N70" s="139">
        <v>45503</v>
      </c>
      <c r="O70" s="137">
        <v>0.924599</v>
      </c>
      <c r="P70" s="137">
        <v>93.4093</v>
      </c>
    </row>
    <row r="71" spans="1:25">
      <c r="A71" s="139">
        <v>45140</v>
      </c>
      <c r="B71" s="137">
        <v>83.26</v>
      </c>
      <c r="C71" s="137">
        <v>0.82</v>
      </c>
      <c r="E71" s="137">
        <f t="shared" si="2"/>
        <v>104.703219315895</v>
      </c>
      <c r="F71" s="137">
        <f t="shared" si="3"/>
        <v>102.5</v>
      </c>
      <c r="N71" s="139">
        <v>45504</v>
      </c>
      <c r="O71" s="137">
        <v>0.923745</v>
      </c>
      <c r="P71" s="137">
        <v>93.0079</v>
      </c>
    </row>
    <row r="72" spans="1:25">
      <c r="A72" s="139">
        <v>45141</v>
      </c>
      <c r="B72" s="137">
        <v>85.19</v>
      </c>
      <c r="C72" s="137">
        <v>0.82</v>
      </c>
      <c r="E72" s="137">
        <f t="shared" si="2"/>
        <v>107.130281690141</v>
      </c>
      <c r="F72" s="137">
        <f t="shared" si="3"/>
        <v>102.5</v>
      </c>
      <c r="N72" s="139">
        <v>45505</v>
      </c>
      <c r="O72" s="137">
        <v>0.926655</v>
      </c>
      <c r="P72" s="137">
        <v>92.3839</v>
      </c>
    </row>
    <row r="73" spans="1:25">
      <c r="A73" s="139">
        <v>45142</v>
      </c>
      <c r="B73" s="137">
        <v>86.22</v>
      </c>
      <c r="C73" s="137">
        <v>0.82</v>
      </c>
      <c r="E73" s="137">
        <f t="shared" si="2"/>
        <v>108.42555331992</v>
      </c>
      <c r="F73" s="137">
        <f t="shared" si="3"/>
        <v>102.5</v>
      </c>
      <c r="N73" s="139">
        <v>45506</v>
      </c>
      <c r="O73" s="137">
        <v>0.916674</v>
      </c>
      <c r="P73" s="137">
        <v>93.3328</v>
      </c>
    </row>
    <row r="74" spans="1:25">
      <c r="A74" s="139">
        <v>45145</v>
      </c>
      <c r="B74" s="137">
        <v>85.38</v>
      </c>
      <c r="C74" s="137">
        <v>0.83</v>
      </c>
      <c r="E74" s="137">
        <f t="shared" si="2"/>
        <v>107.36921529175</v>
      </c>
      <c r="F74" s="137">
        <f t="shared" si="3"/>
        <v>103.75</v>
      </c>
      <c r="N74" s="139">
        <v>45509</v>
      </c>
      <c r="O74" s="137">
        <v>0.912992</v>
      </c>
      <c r="P74" s="137">
        <v>93.6552</v>
      </c>
    </row>
    <row r="75" spans="1:25">
      <c r="A75" s="139">
        <v>45146</v>
      </c>
      <c r="B75" s="137">
        <v>86.27</v>
      </c>
      <c r="C75" s="137">
        <v>0.83</v>
      </c>
      <c r="E75" s="137">
        <f t="shared" si="2"/>
        <v>108.488430583501</v>
      </c>
      <c r="F75" s="137">
        <f t="shared" si="3"/>
        <v>103.75</v>
      </c>
      <c r="N75" s="139">
        <v>45510</v>
      </c>
      <c r="O75" s="137">
        <v>0.914787</v>
      </c>
      <c r="P75" s="137">
        <v>93.6498</v>
      </c>
    </row>
    <row r="76" spans="1:25">
      <c r="A76" s="139">
        <v>45147</v>
      </c>
      <c r="B76" s="137">
        <v>87.62</v>
      </c>
      <c r="C76" s="137">
        <v>0.83</v>
      </c>
      <c r="E76" s="137">
        <f t="shared" si="2"/>
        <v>110.186116700201</v>
      </c>
      <c r="F76" s="137">
        <f t="shared" si="3"/>
        <v>103.75</v>
      </c>
      <c r="N76" s="139">
        <v>45511</v>
      </c>
      <c r="O76" s="137">
        <v>0.915583</v>
      </c>
      <c r="P76" s="137">
        <v>93.6642</v>
      </c>
    </row>
    <row r="77" spans="1:25">
      <c r="A77" s="139">
        <v>45148</v>
      </c>
      <c r="B77" s="137">
        <v>86.49</v>
      </c>
      <c r="C77" s="137">
        <v>0.84</v>
      </c>
      <c r="E77" s="137">
        <f t="shared" si="2"/>
        <v>108.76509054326</v>
      </c>
      <c r="F77" s="137">
        <f t="shared" si="3"/>
        <v>105</v>
      </c>
      <c r="N77" s="139">
        <v>45512</v>
      </c>
      <c r="O77" s="137">
        <v>0.915877</v>
      </c>
      <c r="P77" s="137">
        <v>94.6213</v>
      </c>
    </row>
    <row r="78" spans="1:25">
      <c r="A78" s="139">
        <v>45149</v>
      </c>
      <c r="B78" s="137">
        <v>86.83</v>
      </c>
      <c r="C78" s="137">
        <v>0.86</v>
      </c>
      <c r="E78" s="137">
        <f t="shared" si="2"/>
        <v>109.192655935614</v>
      </c>
      <c r="F78" s="137">
        <f t="shared" si="3"/>
        <v>107.5</v>
      </c>
      <c r="N78" s="139">
        <v>45513</v>
      </c>
      <c r="O78" s="137">
        <v>0.916045</v>
      </c>
      <c r="P78" s="137">
        <v>96.7342</v>
      </c>
    </row>
    <row r="79" spans="1:25">
      <c r="A79" s="139">
        <v>45152</v>
      </c>
      <c r="B79" s="137">
        <v>86.3</v>
      </c>
      <c r="C79" s="137">
        <v>0.85</v>
      </c>
      <c r="E79" s="137">
        <f t="shared" si="2"/>
        <v>108.52615694165</v>
      </c>
      <c r="F79" s="137">
        <f t="shared" si="3"/>
        <v>106.25</v>
      </c>
      <c r="N79" s="139">
        <v>45516</v>
      </c>
      <c r="O79" s="137">
        <v>0.914787</v>
      </c>
      <c r="P79" s="137">
        <v>99.2581</v>
      </c>
    </row>
    <row r="80" spans="1:25">
      <c r="A80" s="139">
        <v>45153</v>
      </c>
      <c r="B80" s="137">
        <v>85.08</v>
      </c>
      <c r="C80" s="137">
        <v>0.83</v>
      </c>
      <c r="E80" s="137">
        <f t="shared" si="2"/>
        <v>106.991951710262</v>
      </c>
      <c r="F80" s="137">
        <f t="shared" si="3"/>
        <v>103.75</v>
      </c>
      <c r="N80" s="139">
        <v>45517</v>
      </c>
      <c r="O80" s="137">
        <v>0.909669</v>
      </c>
      <c r="P80" s="137">
        <v>99.6997</v>
      </c>
      <c r="Y80" s="137">
        <v>216</v>
      </c>
    </row>
    <row r="81" spans="1:16">
      <c r="A81" s="139">
        <v>45154</v>
      </c>
      <c r="B81" s="137">
        <v>83.55</v>
      </c>
      <c r="C81" s="137">
        <v>0.82</v>
      </c>
      <c r="E81" s="137">
        <f t="shared" si="2"/>
        <v>105.067907444668</v>
      </c>
      <c r="F81" s="137">
        <f t="shared" si="3"/>
        <v>102.5</v>
      </c>
      <c r="N81" s="139">
        <v>45518</v>
      </c>
      <c r="O81" s="137">
        <v>0.908059</v>
      </c>
      <c r="P81" s="137">
        <v>98.2116</v>
      </c>
    </row>
    <row r="82" spans="1:16">
      <c r="A82" s="139">
        <v>45155</v>
      </c>
      <c r="B82" s="137">
        <v>84.21</v>
      </c>
      <c r="C82" s="137">
        <v>0.81</v>
      </c>
      <c r="E82" s="137">
        <f t="shared" si="2"/>
        <v>105.897887323944</v>
      </c>
      <c r="F82" s="137">
        <f t="shared" si="3"/>
        <v>101.25</v>
      </c>
      <c r="N82" s="139">
        <v>45519</v>
      </c>
      <c r="O82" s="137">
        <v>0.911411</v>
      </c>
      <c r="P82" s="137">
        <v>97.6204</v>
      </c>
    </row>
    <row r="83" spans="1:16">
      <c r="A83" s="139">
        <v>45156</v>
      </c>
      <c r="B83" s="137">
        <v>84.84</v>
      </c>
      <c r="C83" s="137">
        <v>0.81</v>
      </c>
      <c r="E83" s="137">
        <f t="shared" si="2"/>
        <v>106.69014084507</v>
      </c>
      <c r="F83" s="137">
        <f t="shared" si="3"/>
        <v>101.25</v>
      </c>
      <c r="N83" s="139">
        <v>45520</v>
      </c>
      <c r="O83" s="137">
        <v>0.906742</v>
      </c>
      <c r="P83" s="137">
        <v>98.1497</v>
      </c>
    </row>
    <row r="84" spans="1:16">
      <c r="A84" s="139">
        <v>45159</v>
      </c>
      <c r="B84" s="137">
        <v>84.52</v>
      </c>
      <c r="C84" s="137">
        <v>0.81</v>
      </c>
      <c r="E84" s="137">
        <f t="shared" si="2"/>
        <v>106.287726358149</v>
      </c>
      <c r="F84" s="137">
        <f t="shared" si="3"/>
        <v>101.25</v>
      </c>
      <c r="N84" s="139">
        <v>45523</v>
      </c>
      <c r="O84" s="137">
        <v>0.902079</v>
      </c>
      <c r="P84" s="137">
        <v>99.3914</v>
      </c>
    </row>
    <row r="85" spans="1:16">
      <c r="A85" s="139">
        <v>45160</v>
      </c>
      <c r="B85" s="137">
        <v>84.08</v>
      </c>
      <c r="C85" s="137">
        <v>0.82</v>
      </c>
      <c r="E85" s="137">
        <f t="shared" si="2"/>
        <v>105.734406438632</v>
      </c>
      <c r="F85" s="137">
        <f t="shared" si="3"/>
        <v>102.5</v>
      </c>
      <c r="N85" s="139">
        <v>45524</v>
      </c>
      <c r="O85" s="137">
        <v>0.898432</v>
      </c>
      <c r="P85" s="137">
        <v>101.5592</v>
      </c>
    </row>
    <row r="86" spans="1:16">
      <c r="A86" s="139">
        <v>45161</v>
      </c>
      <c r="B86" s="137">
        <v>83.29</v>
      </c>
      <c r="C86" s="137">
        <v>0.83</v>
      </c>
      <c r="E86" s="137">
        <f t="shared" si="2"/>
        <v>104.740945674044</v>
      </c>
      <c r="F86" s="137">
        <f t="shared" si="3"/>
        <v>103.75</v>
      </c>
      <c r="N86" s="139">
        <v>45525</v>
      </c>
      <c r="O86" s="137">
        <v>0.896821</v>
      </c>
      <c r="P86" s="137">
        <v>101.8076</v>
      </c>
    </row>
    <row r="87" spans="1:16">
      <c r="A87" s="139">
        <v>45162</v>
      </c>
      <c r="B87" s="137">
        <v>83.4</v>
      </c>
      <c r="C87" s="137">
        <v>0.83</v>
      </c>
      <c r="E87" s="137">
        <f t="shared" si="2"/>
        <v>104.879275653924</v>
      </c>
      <c r="F87" s="137">
        <f t="shared" si="3"/>
        <v>103.75</v>
      </c>
      <c r="N87" s="139">
        <v>45526</v>
      </c>
      <c r="O87" s="137">
        <v>0.899888</v>
      </c>
      <c r="P87" s="137">
        <v>102.8185</v>
      </c>
    </row>
    <row r="88" spans="1:16">
      <c r="A88" s="139">
        <v>45163</v>
      </c>
      <c r="B88" s="137">
        <v>84.57</v>
      </c>
      <c r="C88" s="137">
        <v>0.85</v>
      </c>
      <c r="E88" s="137">
        <f t="shared" si="2"/>
        <v>106.35060362173</v>
      </c>
      <c r="F88" s="137">
        <f t="shared" si="3"/>
        <v>106.25</v>
      </c>
      <c r="N88" s="139">
        <v>45527</v>
      </c>
      <c r="O88" s="137">
        <v>0.893535</v>
      </c>
      <c r="P88" s="137">
        <v>102.2834</v>
      </c>
    </row>
    <row r="89" spans="1:16">
      <c r="A89" s="139">
        <v>45166</v>
      </c>
      <c r="B89" s="137">
        <v>84.46</v>
      </c>
      <c r="C89" s="137">
        <v>0.84</v>
      </c>
      <c r="E89" s="137">
        <f t="shared" si="2"/>
        <v>106.212273641851</v>
      </c>
      <c r="F89" s="137">
        <f t="shared" si="3"/>
        <v>105</v>
      </c>
      <c r="N89" s="139">
        <v>45530</v>
      </c>
      <c r="O89" s="137">
        <v>0.895937</v>
      </c>
      <c r="P89" s="137">
        <v>102.8194</v>
      </c>
    </row>
    <row r="90" spans="1:16">
      <c r="A90" s="139">
        <v>45167</v>
      </c>
      <c r="B90" s="137">
        <v>85.52</v>
      </c>
      <c r="C90" s="137">
        <v>0.85</v>
      </c>
      <c r="E90" s="137">
        <f t="shared" si="2"/>
        <v>107.545271629779</v>
      </c>
      <c r="F90" s="137">
        <f t="shared" si="3"/>
        <v>106.25</v>
      </c>
      <c r="N90" s="139">
        <v>45531</v>
      </c>
      <c r="O90" s="137">
        <v>0.894094</v>
      </c>
      <c r="P90" s="137">
        <v>102.1736</v>
      </c>
    </row>
    <row r="91" spans="1:16">
      <c r="A91" s="139">
        <v>45168</v>
      </c>
      <c r="B91" s="137">
        <v>85.97</v>
      </c>
      <c r="C91" s="137">
        <v>0.86</v>
      </c>
      <c r="E91" s="137">
        <f t="shared" si="2"/>
        <v>108.111167002012</v>
      </c>
      <c r="F91" s="137">
        <f t="shared" si="3"/>
        <v>107.5</v>
      </c>
      <c r="N91" s="139">
        <v>45532</v>
      </c>
      <c r="O91" s="137">
        <v>0.89924</v>
      </c>
      <c r="P91" s="137">
        <v>101.923</v>
      </c>
    </row>
    <row r="92" spans="1:16">
      <c r="A92" s="139">
        <v>45169</v>
      </c>
      <c r="B92" s="137">
        <v>86.89</v>
      </c>
      <c r="C92" s="137">
        <v>0.86</v>
      </c>
      <c r="E92" s="137">
        <f t="shared" si="2"/>
        <v>109.268108651911</v>
      </c>
      <c r="F92" s="137">
        <f t="shared" si="3"/>
        <v>107.5</v>
      </c>
      <c r="N92" s="139">
        <v>45533</v>
      </c>
      <c r="O92" s="137">
        <v>0.902731</v>
      </c>
      <c r="P92" s="137">
        <v>101.6826</v>
      </c>
    </row>
    <row r="93" spans="1:16">
      <c r="A93" s="139">
        <v>45170</v>
      </c>
      <c r="B93" s="137">
        <v>88.63</v>
      </c>
      <c r="C93" s="137">
        <v>0.87</v>
      </c>
      <c r="E93" s="137">
        <f t="shared" si="2"/>
        <v>111.456237424547</v>
      </c>
      <c r="F93" s="137">
        <f t="shared" si="3"/>
        <v>108.75</v>
      </c>
      <c r="N93" s="139">
        <v>45534</v>
      </c>
      <c r="O93" s="137">
        <v>0.905182</v>
      </c>
      <c r="P93" s="137">
        <v>100.3405</v>
      </c>
    </row>
    <row r="94" spans="1:16">
      <c r="A94" s="139">
        <v>45173</v>
      </c>
      <c r="B94" s="137">
        <v>89.07</v>
      </c>
      <c r="C94" s="137">
        <v>0.87</v>
      </c>
      <c r="E94" s="137">
        <f t="shared" si="2"/>
        <v>112.009557344064</v>
      </c>
      <c r="F94" s="137">
        <f t="shared" si="3"/>
        <v>108.75</v>
      </c>
      <c r="N94" s="139">
        <v>45537</v>
      </c>
      <c r="O94" s="137">
        <v>0.903179</v>
      </c>
      <c r="P94" s="137">
        <v>99.3212</v>
      </c>
    </row>
    <row r="95" spans="1:16">
      <c r="A95" s="139">
        <v>45174</v>
      </c>
      <c r="B95" s="137">
        <v>90.1</v>
      </c>
      <c r="C95" s="137">
        <v>0.85</v>
      </c>
      <c r="E95" s="137">
        <f t="shared" si="2"/>
        <v>113.304828973843</v>
      </c>
      <c r="F95" s="137">
        <f t="shared" si="3"/>
        <v>106.25</v>
      </c>
      <c r="N95" s="139">
        <v>45538</v>
      </c>
      <c r="O95" s="137">
        <v>0.90551</v>
      </c>
      <c r="P95" s="137">
        <v>96.3748</v>
      </c>
    </row>
    <row r="96" spans="1:16">
      <c r="A96" s="139">
        <v>45175</v>
      </c>
      <c r="B96" s="137">
        <v>90.64</v>
      </c>
      <c r="C96" s="137">
        <v>0.83</v>
      </c>
      <c r="E96" s="137">
        <f t="shared" si="2"/>
        <v>113.983903420523</v>
      </c>
      <c r="F96" s="137">
        <f t="shared" si="3"/>
        <v>103.75</v>
      </c>
      <c r="N96" s="139">
        <v>45539</v>
      </c>
      <c r="O96" s="137">
        <v>0.902324</v>
      </c>
      <c r="P96" s="137">
        <v>98.71</v>
      </c>
    </row>
    <row r="97" spans="1:16">
      <c r="A97" s="139">
        <v>45176</v>
      </c>
      <c r="B97" s="137">
        <v>90.01</v>
      </c>
      <c r="C97" s="137">
        <v>0.81</v>
      </c>
      <c r="E97" s="137">
        <f t="shared" si="2"/>
        <v>113.191649899396</v>
      </c>
      <c r="F97" s="137">
        <f t="shared" si="3"/>
        <v>101.25</v>
      </c>
      <c r="N97" s="139">
        <v>45540</v>
      </c>
      <c r="O97" s="137">
        <v>0.90005</v>
      </c>
      <c r="P97" s="137">
        <v>99.1571</v>
      </c>
    </row>
    <row r="98" spans="1:16">
      <c r="A98" s="139">
        <v>45177</v>
      </c>
      <c r="B98" s="137">
        <v>90.7</v>
      </c>
      <c r="C98" s="137">
        <v>0.82</v>
      </c>
      <c r="E98" s="137">
        <f t="shared" si="2"/>
        <v>114.059356136821</v>
      </c>
      <c r="F98" s="137">
        <f t="shared" si="3"/>
        <v>102.5</v>
      </c>
      <c r="N98" s="139">
        <v>45541</v>
      </c>
      <c r="O98" s="137">
        <v>0.90212</v>
      </c>
      <c r="P98" s="137">
        <v>100.4182</v>
      </c>
    </row>
    <row r="99" spans="1:16">
      <c r="A99" s="139">
        <v>45180</v>
      </c>
      <c r="B99" s="137">
        <v>90.7</v>
      </c>
      <c r="C99" s="137">
        <v>0.85</v>
      </c>
      <c r="E99" s="137">
        <f t="shared" si="2"/>
        <v>114.059356136821</v>
      </c>
      <c r="F99" s="137">
        <f t="shared" si="3"/>
        <v>106.25</v>
      </c>
      <c r="N99" s="139">
        <v>45544</v>
      </c>
      <c r="O99" s="137">
        <v>0.906249</v>
      </c>
      <c r="P99" s="137">
        <v>99.9392</v>
      </c>
    </row>
    <row r="100" spans="1:16">
      <c r="A100" s="139">
        <v>45181</v>
      </c>
      <c r="B100" s="137">
        <v>92.14</v>
      </c>
      <c r="C100" s="137">
        <v>0.85</v>
      </c>
      <c r="E100" s="137">
        <f t="shared" si="2"/>
        <v>115.870221327968</v>
      </c>
      <c r="F100" s="137">
        <f t="shared" si="3"/>
        <v>106.25</v>
      </c>
      <c r="N100" s="139">
        <v>45545</v>
      </c>
      <c r="O100" s="137">
        <v>0.907482</v>
      </c>
      <c r="P100" s="137">
        <v>100.3741</v>
      </c>
    </row>
    <row r="101" spans="1:16">
      <c r="A101" s="139">
        <v>45182</v>
      </c>
      <c r="B101" s="137">
        <v>92.02</v>
      </c>
      <c r="C101" s="137">
        <v>0.83</v>
      </c>
      <c r="E101" s="137">
        <f t="shared" si="2"/>
        <v>115.719315895372</v>
      </c>
      <c r="F101" s="137">
        <f t="shared" si="3"/>
        <v>103.75</v>
      </c>
      <c r="N101" s="139">
        <v>45546</v>
      </c>
      <c r="O101" s="137">
        <v>0.9081</v>
      </c>
      <c r="P101" s="137">
        <v>100.5489</v>
      </c>
    </row>
    <row r="102" spans="1:16">
      <c r="A102" s="139">
        <v>45183</v>
      </c>
      <c r="B102" s="137">
        <v>93.95</v>
      </c>
      <c r="C102" s="137">
        <v>0.84</v>
      </c>
      <c r="E102" s="137">
        <f t="shared" si="2"/>
        <v>118.146378269618</v>
      </c>
      <c r="F102" s="137">
        <f t="shared" si="3"/>
        <v>105</v>
      </c>
      <c r="N102" s="139">
        <v>45547</v>
      </c>
      <c r="O102" s="137">
        <v>0.902976</v>
      </c>
      <c r="P102" s="137">
        <v>100.6848</v>
      </c>
    </row>
    <row r="103" spans="1:16">
      <c r="A103" s="139">
        <v>45184</v>
      </c>
      <c r="B103" s="137">
        <v>94.05</v>
      </c>
      <c r="C103" s="137">
        <v>0.83</v>
      </c>
      <c r="E103" s="137">
        <f t="shared" si="2"/>
        <v>118.272132796781</v>
      </c>
      <c r="F103" s="137">
        <f t="shared" si="3"/>
        <v>103.75</v>
      </c>
      <c r="N103" s="139">
        <v>45548</v>
      </c>
      <c r="O103" s="137">
        <v>0.902812</v>
      </c>
      <c r="P103" s="137">
        <v>100.9654</v>
      </c>
    </row>
    <row r="104" spans="1:16">
      <c r="A104" s="139">
        <v>45187</v>
      </c>
      <c r="B104" s="137">
        <v>94.48</v>
      </c>
      <c r="C104" s="137">
        <v>0.85</v>
      </c>
      <c r="E104" s="137">
        <f t="shared" si="2"/>
        <v>118.812877263581</v>
      </c>
      <c r="F104" s="137">
        <f t="shared" si="3"/>
        <v>106.25</v>
      </c>
      <c r="N104" s="139">
        <v>45551</v>
      </c>
      <c r="O104" s="137">
        <v>0.898271</v>
      </c>
      <c r="P104" s="137">
        <v>101.4787</v>
      </c>
    </row>
    <row r="105" spans="1:16">
      <c r="A105" s="139">
        <v>45188</v>
      </c>
      <c r="B105" s="137">
        <v>94.55</v>
      </c>
      <c r="C105" s="137">
        <v>0.85</v>
      </c>
      <c r="E105" s="137">
        <f t="shared" si="2"/>
        <v>118.900905432596</v>
      </c>
      <c r="F105" s="137">
        <f t="shared" si="3"/>
        <v>106.25</v>
      </c>
      <c r="N105" s="139">
        <v>45552</v>
      </c>
      <c r="O105" s="137">
        <v>0.899806</v>
      </c>
      <c r="P105" s="137">
        <v>101.678</v>
      </c>
    </row>
    <row r="106" spans="1:16">
      <c r="A106" s="139">
        <v>45189</v>
      </c>
      <c r="B106" s="137">
        <v>93.56</v>
      </c>
      <c r="C106" s="137">
        <v>0.85</v>
      </c>
      <c r="E106" s="137">
        <f t="shared" si="2"/>
        <v>117.655935613682</v>
      </c>
      <c r="F106" s="137">
        <f t="shared" si="3"/>
        <v>106.25</v>
      </c>
      <c r="N106" s="139">
        <v>45553</v>
      </c>
      <c r="O106" s="137">
        <v>0.899402</v>
      </c>
      <c r="P106" s="137">
        <v>102.5358</v>
      </c>
    </row>
    <row r="107" spans="1:16">
      <c r="A107" s="139">
        <v>45190</v>
      </c>
      <c r="B107" s="137">
        <v>93.3</v>
      </c>
      <c r="C107" s="137">
        <v>0.84</v>
      </c>
      <c r="E107" s="137">
        <f t="shared" si="2"/>
        <v>117.328973843058</v>
      </c>
      <c r="F107" s="137">
        <f t="shared" si="3"/>
        <v>105</v>
      </c>
      <c r="N107" s="139">
        <v>45554</v>
      </c>
      <c r="O107" s="137">
        <v>0.895937</v>
      </c>
      <c r="P107" s="137">
        <v>103.4999</v>
      </c>
    </row>
    <row r="108" spans="1:16">
      <c r="A108" s="139">
        <v>45191</v>
      </c>
      <c r="B108" s="137">
        <v>93.34</v>
      </c>
      <c r="C108" s="137">
        <v>0.84</v>
      </c>
      <c r="E108" s="137">
        <f t="shared" si="2"/>
        <v>117.379275653924</v>
      </c>
      <c r="F108" s="137">
        <f t="shared" si="3"/>
        <v>105</v>
      </c>
      <c r="N108" s="139">
        <v>45555</v>
      </c>
      <c r="O108" s="137">
        <v>0.895857</v>
      </c>
      <c r="P108" s="137">
        <v>103.1842</v>
      </c>
    </row>
    <row r="109" spans="1:16">
      <c r="A109" s="139">
        <v>45194</v>
      </c>
      <c r="B109" s="137">
        <v>93.36</v>
      </c>
      <c r="C109" s="137">
        <v>0.86</v>
      </c>
      <c r="E109" s="137">
        <f t="shared" si="2"/>
        <v>117.404426559356</v>
      </c>
      <c r="F109" s="137">
        <f t="shared" si="3"/>
        <v>107.5</v>
      </c>
      <c r="N109" s="139">
        <v>45558</v>
      </c>
      <c r="O109" s="137">
        <v>0.899888</v>
      </c>
      <c r="P109" s="137">
        <v>103.3328</v>
      </c>
    </row>
    <row r="110" spans="1:16">
      <c r="A110" s="139">
        <v>45195</v>
      </c>
      <c r="B110" s="137">
        <v>94.06</v>
      </c>
      <c r="C110" s="137">
        <v>0.86</v>
      </c>
      <c r="E110" s="137">
        <f t="shared" si="2"/>
        <v>118.284708249497</v>
      </c>
      <c r="F110" s="137">
        <f t="shared" si="3"/>
        <v>107.5</v>
      </c>
      <c r="N110" s="139">
        <v>45559</v>
      </c>
      <c r="O110" s="137">
        <v>0.894415</v>
      </c>
      <c r="P110" s="137">
        <v>103.5371</v>
      </c>
    </row>
    <row r="111" spans="1:16">
      <c r="A111" s="139">
        <v>45196</v>
      </c>
      <c r="B111" s="137">
        <v>96.6</v>
      </c>
      <c r="C111" s="137">
        <v>0.86</v>
      </c>
      <c r="E111" s="137">
        <f t="shared" si="2"/>
        <v>121.478873239437</v>
      </c>
      <c r="F111" s="137">
        <f t="shared" si="3"/>
        <v>107.5</v>
      </c>
      <c r="N111" s="139">
        <v>45560</v>
      </c>
      <c r="O111" s="137">
        <v>0.89823</v>
      </c>
      <c r="P111" s="137">
        <v>103.3413</v>
      </c>
    </row>
    <row r="112" spans="1:16">
      <c r="A112" s="139">
        <v>45197</v>
      </c>
      <c r="B112" s="137">
        <v>95.47</v>
      </c>
      <c r="C112" s="137">
        <v>0.86</v>
      </c>
      <c r="E112" s="137">
        <f t="shared" si="2"/>
        <v>120.057847082495</v>
      </c>
      <c r="F112" s="137">
        <f t="shared" si="3"/>
        <v>107.5</v>
      </c>
      <c r="N112" s="139">
        <v>45561</v>
      </c>
      <c r="O112" s="137">
        <v>0.894734</v>
      </c>
      <c r="P112" s="137">
        <v>103.4772</v>
      </c>
    </row>
    <row r="113" spans="1:16">
      <c r="A113" s="139">
        <v>45198</v>
      </c>
      <c r="B113" s="137">
        <v>95.41</v>
      </c>
      <c r="C113" s="137">
        <v>0.85</v>
      </c>
      <c r="E113" s="137">
        <f t="shared" si="2"/>
        <v>119.982394366197</v>
      </c>
      <c r="F113" s="137">
        <f t="shared" si="3"/>
        <v>106.25</v>
      </c>
      <c r="N113" s="139">
        <v>45562</v>
      </c>
      <c r="O113" s="137">
        <v>0.895776</v>
      </c>
      <c r="P113" s="137">
        <v>104.3281</v>
      </c>
    </row>
    <row r="114" spans="1:16">
      <c r="A114" s="139">
        <v>45201</v>
      </c>
      <c r="B114" s="137">
        <v>90.76</v>
      </c>
      <c r="C114" s="137">
        <v>0.85</v>
      </c>
      <c r="E114" s="137">
        <f t="shared" si="2"/>
        <v>114.134808853119</v>
      </c>
      <c r="F114" s="137">
        <f t="shared" si="3"/>
        <v>106.25</v>
      </c>
      <c r="N114" s="139">
        <v>45565</v>
      </c>
      <c r="O114" s="137">
        <v>0.898109</v>
      </c>
      <c r="P114" s="137">
        <v>103.9323</v>
      </c>
    </row>
    <row r="115" spans="1:16">
      <c r="A115" s="139">
        <v>45202</v>
      </c>
      <c r="B115" s="137">
        <v>91.01</v>
      </c>
      <c r="C115" s="137">
        <v>0.85</v>
      </c>
      <c r="E115" s="137">
        <f t="shared" si="2"/>
        <v>114.449195171026</v>
      </c>
      <c r="F115" s="137">
        <f t="shared" si="3"/>
        <v>106.25</v>
      </c>
      <c r="N115" s="139">
        <v>45566</v>
      </c>
      <c r="O115" s="137">
        <v>0.903547</v>
      </c>
      <c r="P115" s="137">
        <v>104.673</v>
      </c>
    </row>
    <row r="116" spans="1:16">
      <c r="A116" s="139">
        <v>45203</v>
      </c>
      <c r="B116" s="137">
        <v>85.94</v>
      </c>
      <c r="C116" s="137">
        <v>0.85</v>
      </c>
      <c r="E116" s="137">
        <f t="shared" si="2"/>
        <v>108.073440643863</v>
      </c>
      <c r="F116" s="137">
        <f t="shared" si="3"/>
        <v>106.25</v>
      </c>
      <c r="N116" s="139">
        <v>45567</v>
      </c>
      <c r="O116" s="137">
        <v>0.905346</v>
      </c>
      <c r="P116" s="137">
        <v>104.5938</v>
      </c>
    </row>
    <row r="117" spans="1:16">
      <c r="A117" s="139">
        <v>45204</v>
      </c>
      <c r="B117" s="137">
        <v>84.13</v>
      </c>
      <c r="C117" s="137">
        <v>0.84</v>
      </c>
      <c r="E117" s="137">
        <f t="shared" si="2"/>
        <v>105.797283702213</v>
      </c>
      <c r="F117" s="137">
        <f t="shared" si="3"/>
        <v>105</v>
      </c>
      <c r="N117" s="139">
        <v>45568</v>
      </c>
      <c r="O117" s="137">
        <v>0.906454</v>
      </c>
      <c r="P117" s="137">
        <v>104.8088</v>
      </c>
    </row>
    <row r="118" spans="1:16">
      <c r="A118" s="139">
        <v>45205</v>
      </c>
      <c r="B118" s="137">
        <v>84.65</v>
      </c>
      <c r="C118" s="137">
        <v>0.85</v>
      </c>
      <c r="E118" s="137">
        <f t="shared" si="2"/>
        <v>106.451207243461</v>
      </c>
      <c r="F118" s="137">
        <f t="shared" si="3"/>
        <v>106.25</v>
      </c>
      <c r="N118" s="139">
        <v>45569</v>
      </c>
      <c r="O118" s="137">
        <v>0.910996</v>
      </c>
      <c r="P118" s="137">
        <v>104.4847</v>
      </c>
    </row>
    <row r="119" spans="1:16">
      <c r="A119" s="139">
        <v>45208</v>
      </c>
      <c r="B119" s="137">
        <v>88.22</v>
      </c>
      <c r="C119" s="137">
        <v>0.85</v>
      </c>
      <c r="E119" s="137">
        <f t="shared" si="2"/>
        <v>110.940643863179</v>
      </c>
      <c r="F119" s="137">
        <f t="shared" si="3"/>
        <v>106.25</v>
      </c>
      <c r="N119" s="139">
        <v>45572</v>
      </c>
      <c r="O119" s="137">
        <v>0.91112</v>
      </c>
      <c r="P119" s="137">
        <v>105.5844</v>
      </c>
    </row>
    <row r="120" spans="1:16">
      <c r="A120" s="139">
        <v>45209</v>
      </c>
      <c r="B120" s="137">
        <v>87.74</v>
      </c>
      <c r="C120" s="137">
        <v>0.83</v>
      </c>
      <c r="E120" s="137">
        <f t="shared" si="2"/>
        <v>110.337022132797</v>
      </c>
      <c r="F120" s="137">
        <f t="shared" si="3"/>
        <v>103.75</v>
      </c>
      <c r="N120" s="139">
        <v>45573</v>
      </c>
      <c r="O120" s="137">
        <v>0.910622</v>
      </c>
      <c r="P120" s="137">
        <v>105.9203</v>
      </c>
    </row>
    <row r="121" spans="1:16">
      <c r="A121" s="139">
        <v>45210</v>
      </c>
      <c r="B121" s="137">
        <v>86.16</v>
      </c>
      <c r="C121" s="137">
        <v>0.83</v>
      </c>
      <c r="E121" s="137">
        <f t="shared" si="2"/>
        <v>108.350100603622</v>
      </c>
      <c r="F121" s="137">
        <f t="shared" si="3"/>
        <v>103.75</v>
      </c>
      <c r="N121" s="139">
        <v>45574</v>
      </c>
      <c r="O121" s="137">
        <v>0.914118</v>
      </c>
      <c r="P121" s="137">
        <v>106.7978</v>
      </c>
    </row>
    <row r="122" spans="1:16">
      <c r="A122" s="139">
        <v>45211</v>
      </c>
      <c r="B122" s="137">
        <v>86.13</v>
      </c>
      <c r="C122" s="137">
        <v>0.83</v>
      </c>
      <c r="E122" s="137">
        <f t="shared" si="2"/>
        <v>108.312374245473</v>
      </c>
      <c r="F122" s="137">
        <f t="shared" si="3"/>
        <v>103.75</v>
      </c>
      <c r="N122" s="139">
        <v>45575</v>
      </c>
      <c r="O122" s="137">
        <v>0.914453</v>
      </c>
      <c r="P122" s="137">
        <v>106.0078</v>
      </c>
    </row>
    <row r="123" spans="1:16">
      <c r="A123" s="139">
        <v>45212</v>
      </c>
      <c r="B123" s="137">
        <v>90.98</v>
      </c>
      <c r="C123" s="137">
        <v>0.84</v>
      </c>
      <c r="E123" s="137">
        <f t="shared" si="2"/>
        <v>114.411468812877</v>
      </c>
      <c r="F123" s="137">
        <f t="shared" si="3"/>
        <v>105</v>
      </c>
      <c r="N123" s="139">
        <v>45576</v>
      </c>
      <c r="O123" s="137">
        <v>0.914244</v>
      </c>
      <c r="P123" s="137">
        <v>105.1719</v>
      </c>
    </row>
    <row r="124" spans="1:16">
      <c r="A124" s="139">
        <v>45215</v>
      </c>
      <c r="B124" s="137">
        <v>89.79</v>
      </c>
      <c r="C124" s="137">
        <v>0.83</v>
      </c>
      <c r="E124" s="137">
        <f t="shared" si="2"/>
        <v>112.914989939638</v>
      </c>
      <c r="F124" s="137">
        <f t="shared" si="3"/>
        <v>103.75</v>
      </c>
      <c r="N124" s="139">
        <v>45579</v>
      </c>
      <c r="O124" s="137">
        <v>0.916632</v>
      </c>
      <c r="P124" s="137">
        <v>104.3475</v>
      </c>
    </row>
    <row r="125" spans="1:16">
      <c r="A125" s="139">
        <v>45216</v>
      </c>
      <c r="B125" s="137">
        <v>90.29</v>
      </c>
      <c r="C125" s="137">
        <v>0.8</v>
      </c>
      <c r="E125" s="137">
        <f t="shared" si="2"/>
        <v>113.543762575453</v>
      </c>
      <c r="F125" s="137">
        <f t="shared" si="3"/>
        <v>100</v>
      </c>
      <c r="N125" s="139">
        <v>45580</v>
      </c>
      <c r="O125" s="137">
        <v>0.918189</v>
      </c>
      <c r="P125" s="137">
        <v>106.2771</v>
      </c>
    </row>
    <row r="126" spans="1:16">
      <c r="A126" s="139">
        <v>45217</v>
      </c>
      <c r="B126" s="137">
        <v>91.63</v>
      </c>
      <c r="C126" s="137">
        <v>0.8</v>
      </c>
      <c r="E126" s="137">
        <f t="shared" si="2"/>
        <v>115.228873239437</v>
      </c>
      <c r="F126" s="137">
        <f t="shared" si="3"/>
        <v>100</v>
      </c>
      <c r="N126" s="139">
        <v>45581</v>
      </c>
      <c r="O126" s="137">
        <v>0.920641</v>
      </c>
      <c r="P126" s="137">
        <v>105.5584</v>
      </c>
    </row>
    <row r="127" spans="1:16">
      <c r="A127" s="139">
        <v>45218</v>
      </c>
      <c r="B127" s="137">
        <v>92.5</v>
      </c>
      <c r="C127" s="137">
        <v>0.8</v>
      </c>
      <c r="E127" s="137">
        <f t="shared" si="2"/>
        <v>116.322937625755</v>
      </c>
      <c r="F127" s="137">
        <f t="shared" si="3"/>
        <v>100</v>
      </c>
      <c r="N127" s="139">
        <v>45582</v>
      </c>
      <c r="O127" s="137">
        <v>0.923233</v>
      </c>
      <c r="P127" s="137">
        <v>105.7896</v>
      </c>
    </row>
    <row r="128" spans="1:16">
      <c r="A128" s="139">
        <v>45219</v>
      </c>
      <c r="B128" s="137">
        <v>92.23</v>
      </c>
      <c r="C128" s="137">
        <v>0.79</v>
      </c>
      <c r="E128" s="137">
        <f t="shared" si="2"/>
        <v>115.983400402415</v>
      </c>
      <c r="F128" s="137">
        <f t="shared" si="3"/>
        <v>98.75</v>
      </c>
      <c r="N128" s="139">
        <v>45583</v>
      </c>
      <c r="O128" s="137">
        <v>0.92026</v>
      </c>
      <c r="P128" s="137">
        <v>104.3678</v>
      </c>
    </row>
    <row r="129" spans="1:16">
      <c r="A129" s="139">
        <v>45222</v>
      </c>
      <c r="B129" s="137">
        <v>89.95</v>
      </c>
      <c r="C129" s="137">
        <v>0.8</v>
      </c>
      <c r="E129" s="137">
        <f t="shared" si="2"/>
        <v>113.116197183099</v>
      </c>
      <c r="F129" s="137">
        <f t="shared" si="3"/>
        <v>100</v>
      </c>
      <c r="N129" s="139">
        <v>45586</v>
      </c>
      <c r="O129" s="137">
        <v>0.924599</v>
      </c>
      <c r="P129" s="137">
        <v>104.612</v>
      </c>
    </row>
    <row r="130" spans="1:16">
      <c r="A130" s="139">
        <v>45223</v>
      </c>
      <c r="B130" s="137">
        <v>88.22</v>
      </c>
      <c r="C130" s="137">
        <v>0.79</v>
      </c>
      <c r="E130" s="137">
        <f t="shared" si="2"/>
        <v>110.940643863179</v>
      </c>
      <c r="F130" s="137">
        <f t="shared" si="3"/>
        <v>98.75</v>
      </c>
      <c r="N130" s="139">
        <v>45587</v>
      </c>
      <c r="O130" s="137">
        <v>0.926012</v>
      </c>
      <c r="P130" s="137">
        <v>104.0463</v>
      </c>
    </row>
    <row r="131" spans="1:16">
      <c r="A131" s="139">
        <v>45224</v>
      </c>
      <c r="B131" s="137">
        <v>90.2</v>
      </c>
      <c r="C131" s="137">
        <v>0.8</v>
      </c>
      <c r="E131" s="137">
        <f t="shared" si="2"/>
        <v>113.430583501006</v>
      </c>
      <c r="F131" s="137">
        <f t="shared" si="3"/>
        <v>100</v>
      </c>
      <c r="N131" s="139">
        <v>45588</v>
      </c>
      <c r="O131" s="137">
        <v>0.927429</v>
      </c>
      <c r="P131" s="137">
        <v>103.8711</v>
      </c>
    </row>
    <row r="132" spans="1:16">
      <c r="A132" s="139">
        <v>45225</v>
      </c>
      <c r="B132" s="137">
        <v>87.93</v>
      </c>
      <c r="C132" s="137">
        <v>0.82</v>
      </c>
      <c r="E132" s="137">
        <f t="shared" si="2"/>
        <v>110.575955734406</v>
      </c>
      <c r="F132" s="137">
        <f t="shared" si="3"/>
        <v>102.5</v>
      </c>
      <c r="N132" s="139">
        <v>45589</v>
      </c>
      <c r="O132" s="137">
        <v>0.923574</v>
      </c>
      <c r="P132" s="137">
        <v>104.6278</v>
      </c>
    </row>
    <row r="133" spans="1:16">
      <c r="A133" s="139">
        <v>45226</v>
      </c>
      <c r="B133" s="137">
        <v>90.43</v>
      </c>
      <c r="C133" s="137">
        <v>0.81</v>
      </c>
      <c r="E133" s="137">
        <f t="shared" ref="E133:E196" si="4">B133/$B$3*$E$3</f>
        <v>113.719818913481</v>
      </c>
      <c r="F133" s="137">
        <f t="shared" ref="F133:F196" si="5">C133/$C$3*$F$3</f>
        <v>101.25</v>
      </c>
      <c r="N133" s="139">
        <v>45590</v>
      </c>
      <c r="O133" s="137">
        <v>0.926355</v>
      </c>
      <c r="P133" s="137">
        <v>104.9032</v>
      </c>
    </row>
    <row r="134" spans="1:16">
      <c r="A134" s="139">
        <v>45229</v>
      </c>
      <c r="B134" s="137">
        <v>90.43</v>
      </c>
      <c r="C134" s="137">
        <v>0.8</v>
      </c>
      <c r="E134" s="137">
        <f t="shared" si="4"/>
        <v>113.719818913481</v>
      </c>
      <c r="F134" s="137">
        <f t="shared" si="5"/>
        <v>100</v>
      </c>
      <c r="N134" s="139">
        <v>45593</v>
      </c>
      <c r="O134" s="137">
        <v>0.924855</v>
      </c>
      <c r="P134" s="137">
        <v>105.5616</v>
      </c>
    </row>
    <row r="135" spans="1:16">
      <c r="A135" s="139">
        <v>45230</v>
      </c>
      <c r="B135" s="137">
        <v>87.54</v>
      </c>
      <c r="C135" s="137">
        <v>0.78</v>
      </c>
      <c r="E135" s="137">
        <f t="shared" si="4"/>
        <v>110.085513078471</v>
      </c>
      <c r="F135" s="137">
        <f t="shared" si="5"/>
        <v>97.5</v>
      </c>
      <c r="N135" s="139">
        <v>45594</v>
      </c>
      <c r="O135" s="137">
        <v>0.924343</v>
      </c>
      <c r="P135" s="137">
        <v>105.5554</v>
      </c>
    </row>
    <row r="136" spans="1:16">
      <c r="A136" s="139">
        <v>45231</v>
      </c>
      <c r="B136" s="137">
        <v>85.03</v>
      </c>
      <c r="C136" s="137">
        <v>0.76</v>
      </c>
      <c r="E136" s="137">
        <f t="shared" si="4"/>
        <v>106.92907444668</v>
      </c>
      <c r="F136" s="137">
        <f t="shared" si="5"/>
        <v>95</v>
      </c>
      <c r="N136" s="139">
        <v>45595</v>
      </c>
      <c r="O136" s="137">
        <v>0.92115</v>
      </c>
      <c r="P136" s="137">
        <v>105.4032</v>
      </c>
    </row>
    <row r="137" spans="1:16">
      <c r="A137" s="139">
        <v>45232</v>
      </c>
      <c r="B137" s="137">
        <v>87.02</v>
      </c>
      <c r="C137" s="137">
        <v>0.77</v>
      </c>
      <c r="E137" s="137">
        <f t="shared" si="4"/>
        <v>109.431589537223</v>
      </c>
      <c r="F137" s="137">
        <f t="shared" si="5"/>
        <v>96.25</v>
      </c>
      <c r="N137" s="139">
        <v>45596</v>
      </c>
      <c r="O137" s="137">
        <v>0.918822</v>
      </c>
      <c r="P137" s="137">
        <v>105.5795</v>
      </c>
    </row>
    <row r="138" spans="1:16">
      <c r="A138" s="139">
        <v>45233</v>
      </c>
      <c r="B138" s="137">
        <v>85.57</v>
      </c>
      <c r="C138" s="137">
        <v>0.76</v>
      </c>
      <c r="E138" s="137">
        <f t="shared" si="4"/>
        <v>107.60814889336</v>
      </c>
      <c r="F138" s="137">
        <f t="shared" si="5"/>
        <v>95</v>
      </c>
      <c r="N138" s="139">
        <v>45597</v>
      </c>
      <c r="O138" s="137">
        <v>0.922977</v>
      </c>
      <c r="P138" s="137">
        <v>105.9406</v>
      </c>
    </row>
    <row r="139" spans="1:16">
      <c r="A139" s="139">
        <v>45236</v>
      </c>
      <c r="B139" s="137">
        <v>85.41</v>
      </c>
      <c r="C139" s="137">
        <v>0.75</v>
      </c>
      <c r="E139" s="137">
        <f t="shared" si="4"/>
        <v>107.406941649899</v>
      </c>
      <c r="F139" s="137">
        <f t="shared" si="5"/>
        <v>93.75</v>
      </c>
      <c r="N139" s="139">
        <v>45600</v>
      </c>
      <c r="O139" s="137">
        <v>0.919329</v>
      </c>
      <c r="P139" s="137">
        <v>107.9547</v>
      </c>
    </row>
    <row r="140" spans="1:16">
      <c r="A140" s="139">
        <v>45237</v>
      </c>
      <c r="B140" s="137">
        <v>81.73</v>
      </c>
      <c r="C140" s="137">
        <v>0.73</v>
      </c>
      <c r="E140" s="137">
        <f t="shared" si="4"/>
        <v>102.779175050302</v>
      </c>
      <c r="F140" s="137">
        <f t="shared" si="5"/>
        <v>91.25</v>
      </c>
      <c r="N140" s="139">
        <v>45601</v>
      </c>
      <c r="O140" s="137">
        <v>0.91483</v>
      </c>
      <c r="P140" s="137">
        <v>106.349</v>
      </c>
    </row>
    <row r="141" spans="1:16">
      <c r="A141" s="139">
        <v>45238</v>
      </c>
      <c r="B141" s="137">
        <v>79.6</v>
      </c>
      <c r="C141" s="137">
        <v>0.72</v>
      </c>
      <c r="E141" s="137">
        <f t="shared" si="4"/>
        <v>100.10060362173</v>
      </c>
      <c r="F141" s="137">
        <f t="shared" si="5"/>
        <v>90</v>
      </c>
      <c r="N141" s="139">
        <v>45602</v>
      </c>
      <c r="O141" s="137">
        <v>0.932053</v>
      </c>
      <c r="P141" s="137">
        <v>104.4053</v>
      </c>
    </row>
    <row r="142" spans="1:16">
      <c r="A142" s="139">
        <v>45239</v>
      </c>
      <c r="B142" s="137">
        <v>80.05</v>
      </c>
      <c r="C142" s="137">
        <v>0.73</v>
      </c>
      <c r="E142" s="137">
        <f t="shared" si="4"/>
        <v>100.666498993964</v>
      </c>
      <c r="F142" s="137">
        <f t="shared" si="5"/>
        <v>91.25</v>
      </c>
      <c r="N142" s="139">
        <v>45603</v>
      </c>
      <c r="O142" s="137">
        <v>0.925498</v>
      </c>
      <c r="P142" s="137">
        <v>105.5252</v>
      </c>
    </row>
    <row r="143" spans="1:16">
      <c r="A143" s="139">
        <v>45240</v>
      </c>
      <c r="B143" s="137">
        <v>81.56</v>
      </c>
      <c r="C143" s="137">
        <v>0.73</v>
      </c>
      <c r="E143" s="137">
        <f t="shared" si="4"/>
        <v>102.565392354125</v>
      </c>
      <c r="F143" s="137">
        <f t="shared" si="5"/>
        <v>91.25</v>
      </c>
      <c r="N143" s="139">
        <v>45604</v>
      </c>
      <c r="O143" s="137">
        <v>0.932967</v>
      </c>
      <c r="P143" s="137">
        <v>104.7491</v>
      </c>
    </row>
    <row r="144" spans="1:16">
      <c r="A144" s="139">
        <v>45243</v>
      </c>
      <c r="B144" s="137">
        <v>82.63</v>
      </c>
      <c r="C144" s="137">
        <v>0.74</v>
      </c>
      <c r="E144" s="137">
        <f t="shared" si="4"/>
        <v>103.910965794769</v>
      </c>
      <c r="F144" s="137">
        <f t="shared" si="5"/>
        <v>92.5</v>
      </c>
      <c r="N144" s="139">
        <v>45607</v>
      </c>
      <c r="O144" s="137">
        <v>0.938438</v>
      </c>
      <c r="P144" s="137">
        <v>104.1375</v>
      </c>
    </row>
    <row r="145" spans="1:16">
      <c r="A145" s="139">
        <v>45244</v>
      </c>
      <c r="B145" s="137">
        <v>82.6</v>
      </c>
      <c r="C145" s="137">
        <v>0.76</v>
      </c>
      <c r="E145" s="137">
        <f t="shared" si="4"/>
        <v>103.87323943662</v>
      </c>
      <c r="F145" s="137">
        <f t="shared" si="5"/>
        <v>95</v>
      </c>
      <c r="N145" s="139">
        <v>45608</v>
      </c>
      <c r="O145" s="137">
        <v>0.941309</v>
      </c>
      <c r="P145" s="137">
        <v>104.2384</v>
      </c>
    </row>
    <row r="146" spans="1:16">
      <c r="A146" s="139">
        <v>45245</v>
      </c>
      <c r="B146" s="137">
        <v>81.2</v>
      </c>
      <c r="C146" s="137">
        <v>0.76</v>
      </c>
      <c r="E146" s="137">
        <f t="shared" si="4"/>
        <v>102.112676056338</v>
      </c>
      <c r="F146" s="137">
        <f t="shared" si="5"/>
        <v>95</v>
      </c>
      <c r="N146" s="139">
        <v>45609</v>
      </c>
      <c r="O146" s="137">
        <v>0.946611</v>
      </c>
      <c r="P146" s="137">
        <v>104.3067</v>
      </c>
    </row>
    <row r="147" spans="1:16">
      <c r="A147" s="139">
        <v>45246</v>
      </c>
      <c r="B147" s="137">
        <v>81.73</v>
      </c>
      <c r="C147" s="137">
        <v>0.77</v>
      </c>
      <c r="E147" s="137">
        <f t="shared" si="4"/>
        <v>102.779175050302</v>
      </c>
      <c r="F147" s="137">
        <f t="shared" si="5"/>
        <v>96.25</v>
      </c>
      <c r="N147" s="139">
        <v>45610</v>
      </c>
      <c r="O147" s="137">
        <v>0.949623</v>
      </c>
      <c r="P147" s="137">
        <v>104.8611</v>
      </c>
    </row>
    <row r="148" spans="1:16">
      <c r="A148" s="139">
        <v>45247</v>
      </c>
      <c r="B148" s="137">
        <v>80.67</v>
      </c>
      <c r="C148" s="137">
        <v>0.78</v>
      </c>
      <c r="E148" s="137">
        <f t="shared" si="4"/>
        <v>101.446177062374</v>
      </c>
      <c r="F148" s="137">
        <f t="shared" si="5"/>
        <v>97.5</v>
      </c>
      <c r="N148" s="139">
        <v>45611</v>
      </c>
      <c r="O148" s="137">
        <v>0.948632</v>
      </c>
      <c r="P148" s="137">
        <v>104.9287</v>
      </c>
    </row>
    <row r="149" spans="1:16">
      <c r="A149" s="139">
        <v>45250</v>
      </c>
      <c r="B149" s="137">
        <v>81.73</v>
      </c>
      <c r="C149" s="137">
        <v>0.78</v>
      </c>
      <c r="E149" s="137">
        <f t="shared" si="4"/>
        <v>102.779175050302</v>
      </c>
      <c r="F149" s="137">
        <f t="shared" si="5"/>
        <v>97.5</v>
      </c>
      <c r="N149" s="139">
        <v>45614</v>
      </c>
      <c r="O149" s="137">
        <v>0.943441</v>
      </c>
      <c r="P149" s="137">
        <v>105.4708</v>
      </c>
    </row>
    <row r="150" spans="1:16">
      <c r="A150" s="139">
        <v>45251</v>
      </c>
      <c r="B150" s="137">
        <v>82.5</v>
      </c>
      <c r="C150" s="137">
        <v>0.77</v>
      </c>
      <c r="E150" s="137">
        <f t="shared" si="4"/>
        <v>103.747484909457</v>
      </c>
      <c r="F150" s="137">
        <f t="shared" si="5"/>
        <v>96.25</v>
      </c>
      <c r="N150" s="139">
        <v>45615</v>
      </c>
      <c r="O150" s="137">
        <v>0.943752</v>
      </c>
      <c r="P150" s="137">
        <v>106.4738</v>
      </c>
    </row>
    <row r="151" spans="1:16">
      <c r="A151" s="139">
        <v>45252</v>
      </c>
      <c r="B151" s="137">
        <v>82.06</v>
      </c>
      <c r="C151" s="137">
        <v>0.77</v>
      </c>
      <c r="E151" s="137">
        <f t="shared" si="4"/>
        <v>103.19416498994</v>
      </c>
      <c r="F151" s="137">
        <f t="shared" si="5"/>
        <v>96.25</v>
      </c>
      <c r="N151" s="139">
        <v>45616</v>
      </c>
      <c r="O151" s="137">
        <v>0.948406</v>
      </c>
      <c r="P151" s="137">
        <v>105.9941</v>
      </c>
    </row>
    <row r="152" spans="1:16">
      <c r="A152" s="139">
        <v>45253</v>
      </c>
      <c r="B152" s="137">
        <v>81.32</v>
      </c>
      <c r="C152" s="137">
        <v>0.77</v>
      </c>
      <c r="E152" s="137">
        <f t="shared" si="4"/>
        <v>102.263581488934</v>
      </c>
      <c r="F152" s="137">
        <f t="shared" si="5"/>
        <v>96.25</v>
      </c>
      <c r="N152" s="139">
        <v>45617</v>
      </c>
      <c r="O152" s="137">
        <v>0.954699</v>
      </c>
      <c r="P152" s="137">
        <v>106.4765</v>
      </c>
    </row>
    <row r="153" spans="1:16">
      <c r="A153" s="139">
        <v>45254</v>
      </c>
      <c r="B153" s="137">
        <v>80.27</v>
      </c>
      <c r="C153" s="137">
        <v>0.77</v>
      </c>
      <c r="E153" s="137">
        <f t="shared" si="4"/>
        <v>100.943158953722</v>
      </c>
      <c r="F153" s="137">
        <f t="shared" si="5"/>
        <v>96.25</v>
      </c>
      <c r="N153" s="139">
        <v>45618</v>
      </c>
      <c r="O153" s="137">
        <v>0.959878</v>
      </c>
      <c r="P153" s="137">
        <v>107.2491</v>
      </c>
    </row>
    <row r="154" spans="1:16">
      <c r="A154" s="139">
        <v>45257</v>
      </c>
      <c r="B154" s="137">
        <v>79.97</v>
      </c>
      <c r="C154" s="137">
        <v>0.76</v>
      </c>
      <c r="E154" s="137">
        <f t="shared" si="4"/>
        <v>100.565895372233</v>
      </c>
      <c r="F154" s="137">
        <f t="shared" si="5"/>
        <v>95</v>
      </c>
      <c r="N154" s="139">
        <v>45621</v>
      </c>
      <c r="O154" s="137">
        <v>0.95288</v>
      </c>
      <c r="P154" s="137">
        <v>109.0806</v>
      </c>
    </row>
    <row r="155" spans="1:16">
      <c r="A155" s="139">
        <v>45258</v>
      </c>
      <c r="B155" s="137">
        <v>81.71</v>
      </c>
      <c r="C155" s="137">
        <v>0.76</v>
      </c>
      <c r="E155" s="137">
        <f t="shared" si="4"/>
        <v>102.754024144869</v>
      </c>
      <c r="F155" s="137">
        <f t="shared" si="5"/>
        <v>95</v>
      </c>
      <c r="N155" s="139">
        <v>45622</v>
      </c>
      <c r="O155" s="137">
        <v>0.95347</v>
      </c>
      <c r="P155" s="137">
        <v>111.3714</v>
      </c>
    </row>
    <row r="156" spans="1:16">
      <c r="A156" s="139">
        <v>45259</v>
      </c>
      <c r="B156" s="137">
        <v>83.08</v>
      </c>
      <c r="C156" s="137">
        <v>0.77</v>
      </c>
      <c r="E156" s="137">
        <f t="shared" si="4"/>
        <v>104.476861167002</v>
      </c>
      <c r="F156" s="137">
        <f t="shared" si="5"/>
        <v>96.25</v>
      </c>
      <c r="N156" s="139">
        <v>45623</v>
      </c>
      <c r="O156" s="137">
        <v>0.946432</v>
      </c>
      <c r="P156" s="137">
        <v>119.617</v>
      </c>
    </row>
    <row r="157" spans="1:16">
      <c r="A157" s="139">
        <v>45260</v>
      </c>
      <c r="B157" s="137">
        <v>80.68</v>
      </c>
      <c r="C157" s="137">
        <v>0.77</v>
      </c>
      <c r="E157" s="137">
        <f t="shared" si="4"/>
        <v>101.458752515091</v>
      </c>
      <c r="F157" s="137">
        <f t="shared" si="5"/>
        <v>96.25</v>
      </c>
      <c r="N157" s="139">
        <v>45624</v>
      </c>
      <c r="O157" s="137">
        <v>0.947418</v>
      </c>
      <c r="P157" s="137">
        <v>114.3737</v>
      </c>
    </row>
    <row r="158" spans="1:16">
      <c r="A158" s="139">
        <v>45261</v>
      </c>
      <c r="B158" s="137">
        <v>78.97</v>
      </c>
      <c r="C158" s="137">
        <v>0.76</v>
      </c>
      <c r="E158" s="137">
        <f t="shared" si="4"/>
        <v>99.3083501006036</v>
      </c>
      <c r="F158" s="137">
        <f t="shared" si="5"/>
        <v>95</v>
      </c>
      <c r="N158" s="139">
        <v>45625</v>
      </c>
      <c r="O158" s="137">
        <v>0.945493</v>
      </c>
      <c r="P158" s="137">
        <v>111.9574</v>
      </c>
    </row>
    <row r="159" spans="1:16">
      <c r="A159" s="139">
        <v>45264</v>
      </c>
      <c r="B159" s="137">
        <v>78.11</v>
      </c>
      <c r="C159" s="137">
        <v>0.76</v>
      </c>
      <c r="E159" s="137">
        <f t="shared" si="4"/>
        <v>98.226861167002</v>
      </c>
      <c r="F159" s="137">
        <f t="shared" si="5"/>
        <v>95</v>
      </c>
      <c r="N159" s="139">
        <v>45628</v>
      </c>
      <c r="O159" s="137">
        <v>0.952607</v>
      </c>
      <c r="P159" s="137">
        <v>110.846</v>
      </c>
    </row>
    <row r="160" spans="1:16">
      <c r="A160" s="139">
        <v>45265</v>
      </c>
      <c r="B160" s="137">
        <v>77.26</v>
      </c>
      <c r="C160" s="137">
        <v>0.77</v>
      </c>
      <c r="E160" s="137">
        <f t="shared" si="4"/>
        <v>97.1579476861167</v>
      </c>
      <c r="F160" s="137">
        <f t="shared" si="5"/>
        <v>96.25</v>
      </c>
      <c r="N160" s="139">
        <v>45629</v>
      </c>
      <c r="O160" s="137">
        <v>0.95152</v>
      </c>
      <c r="P160" s="137">
        <v>111.5383</v>
      </c>
    </row>
    <row r="161" spans="1:16">
      <c r="A161" s="139">
        <v>45266</v>
      </c>
      <c r="B161" s="137">
        <v>74.33</v>
      </c>
      <c r="C161" s="137">
        <v>0.77</v>
      </c>
      <c r="E161" s="137">
        <f t="shared" si="4"/>
        <v>93.4733400402415</v>
      </c>
      <c r="F161" s="137">
        <f t="shared" si="5"/>
        <v>96.25</v>
      </c>
      <c r="N161" s="139">
        <v>45630</v>
      </c>
      <c r="O161" s="137">
        <v>0.951384</v>
      </c>
      <c r="P161" s="137">
        <v>110.5599</v>
      </c>
    </row>
    <row r="162" spans="1:16">
      <c r="A162" s="139">
        <v>45267</v>
      </c>
      <c r="B162" s="137">
        <v>74.15</v>
      </c>
      <c r="C162" s="137">
        <v>0.8</v>
      </c>
      <c r="E162" s="137">
        <f t="shared" si="4"/>
        <v>93.2469818913481</v>
      </c>
      <c r="F162" s="137">
        <f t="shared" si="5"/>
        <v>100</v>
      </c>
      <c r="N162" s="139">
        <v>45631</v>
      </c>
      <c r="O162" s="137">
        <v>0.944555</v>
      </c>
      <c r="P162" s="137">
        <v>107.3211</v>
      </c>
    </row>
    <row r="163" spans="1:16">
      <c r="A163" s="139">
        <v>45268</v>
      </c>
      <c r="B163" s="137">
        <v>75.84</v>
      </c>
      <c r="C163" s="137">
        <v>0.79</v>
      </c>
      <c r="E163" s="137">
        <f t="shared" si="4"/>
        <v>95.3722334004024</v>
      </c>
      <c r="F163" s="137">
        <f t="shared" si="5"/>
        <v>98.75</v>
      </c>
      <c r="N163" s="139">
        <v>45632</v>
      </c>
      <c r="O163" s="137">
        <v>0.946119</v>
      </c>
      <c r="P163" s="137">
        <v>105.9521</v>
      </c>
    </row>
    <row r="164" spans="1:16">
      <c r="A164" s="139">
        <v>45271</v>
      </c>
      <c r="B164" s="137">
        <v>75.63</v>
      </c>
      <c r="C164" s="137">
        <v>0.79</v>
      </c>
      <c r="E164" s="137">
        <f t="shared" si="4"/>
        <v>95.1081488933602</v>
      </c>
      <c r="F164" s="137">
        <f t="shared" si="5"/>
        <v>98.75</v>
      </c>
      <c r="N164" s="139">
        <v>45635</v>
      </c>
      <c r="O164" s="137">
        <v>0.947553</v>
      </c>
      <c r="P164" s="137">
        <v>106.4761</v>
      </c>
    </row>
    <row r="165" spans="1:16">
      <c r="A165" s="139">
        <v>45272</v>
      </c>
      <c r="B165" s="137">
        <v>73.56</v>
      </c>
      <c r="C165" s="137">
        <v>0.79</v>
      </c>
      <c r="E165" s="137">
        <f t="shared" si="4"/>
        <v>92.5050301810865</v>
      </c>
      <c r="F165" s="137">
        <f t="shared" si="5"/>
        <v>98.75</v>
      </c>
      <c r="N165" s="139">
        <v>45636</v>
      </c>
      <c r="O165" s="137">
        <v>0.949893</v>
      </c>
      <c r="P165" s="137">
        <v>107.7237</v>
      </c>
    </row>
    <row r="166" spans="1:16">
      <c r="A166" s="139">
        <v>45273</v>
      </c>
      <c r="B166" s="137">
        <v>73.98</v>
      </c>
      <c r="C166" s="137">
        <v>0.79</v>
      </c>
      <c r="E166" s="137">
        <f t="shared" si="4"/>
        <v>93.033199195171</v>
      </c>
      <c r="F166" s="137">
        <f t="shared" si="5"/>
        <v>98.75</v>
      </c>
      <c r="N166" s="139">
        <v>45637</v>
      </c>
      <c r="O166" s="137">
        <v>0.952789</v>
      </c>
      <c r="P166" s="137">
        <v>112.2378</v>
      </c>
    </row>
    <row r="167" spans="1:16">
      <c r="A167" s="139">
        <v>45274</v>
      </c>
      <c r="B167" s="137">
        <v>76.97</v>
      </c>
      <c r="C167" s="137">
        <v>0.78</v>
      </c>
      <c r="E167" s="137">
        <f t="shared" si="4"/>
        <v>96.7932595573441</v>
      </c>
      <c r="F167" s="137">
        <f t="shared" si="5"/>
        <v>97.5</v>
      </c>
      <c r="N167" s="139">
        <v>45638</v>
      </c>
      <c r="O167" s="137">
        <v>0.955338</v>
      </c>
      <c r="P167" s="137">
        <v>109.1915</v>
      </c>
    </row>
    <row r="168" spans="1:16">
      <c r="A168" s="139">
        <v>45275</v>
      </c>
      <c r="B168" s="137">
        <v>76.64</v>
      </c>
      <c r="C168" s="137">
        <v>0.77</v>
      </c>
      <c r="E168" s="137">
        <f t="shared" si="4"/>
        <v>96.3782696177063</v>
      </c>
      <c r="F168" s="137">
        <f t="shared" si="5"/>
        <v>96.25</v>
      </c>
      <c r="N168" s="139">
        <v>45639</v>
      </c>
      <c r="O168" s="137">
        <v>0.952154</v>
      </c>
      <c r="P168" s="137">
        <v>109.0857</v>
      </c>
    </row>
    <row r="169" spans="1:16">
      <c r="A169" s="139">
        <v>45278</v>
      </c>
      <c r="B169" s="137">
        <v>78.69</v>
      </c>
      <c r="C169" s="137">
        <v>0.77</v>
      </c>
      <c r="E169" s="137">
        <f t="shared" si="4"/>
        <v>98.9562374245473</v>
      </c>
      <c r="F169" s="137">
        <f t="shared" si="5"/>
        <v>96.25</v>
      </c>
      <c r="N169" s="139">
        <v>45642</v>
      </c>
      <c r="O169" s="137">
        <v>0.951294</v>
      </c>
      <c r="P169" s="137">
        <v>109.3779</v>
      </c>
    </row>
    <row r="170" spans="1:16">
      <c r="A170" s="139">
        <v>45279</v>
      </c>
      <c r="B170" s="137">
        <v>79.35</v>
      </c>
      <c r="C170" s="137">
        <v>0.77</v>
      </c>
      <c r="E170" s="137">
        <f t="shared" si="4"/>
        <v>99.7862173038229</v>
      </c>
      <c r="F170" s="137">
        <f t="shared" si="5"/>
        <v>96.25</v>
      </c>
      <c r="N170" s="139">
        <v>45643</v>
      </c>
      <c r="O170" s="137">
        <v>0.953198</v>
      </c>
      <c r="P170" s="137">
        <v>109.4522</v>
      </c>
    </row>
    <row r="171" spans="1:16">
      <c r="A171" s="139">
        <v>45280</v>
      </c>
      <c r="B171" s="137">
        <v>80.49</v>
      </c>
      <c r="C171" s="137">
        <v>0.77</v>
      </c>
      <c r="E171" s="137">
        <f t="shared" si="4"/>
        <v>101.219818913481</v>
      </c>
      <c r="F171" s="137">
        <f t="shared" si="5"/>
        <v>96.25</v>
      </c>
      <c r="N171" s="139">
        <v>45644</v>
      </c>
      <c r="O171" s="137">
        <v>0.965951</v>
      </c>
      <c r="P171" s="137">
        <v>109.354</v>
      </c>
    </row>
    <row r="172" spans="1:16">
      <c r="A172" s="139">
        <v>45281</v>
      </c>
      <c r="B172" s="137">
        <v>79.34</v>
      </c>
      <c r="C172" s="137">
        <v>0.77</v>
      </c>
      <c r="E172" s="137">
        <f t="shared" si="4"/>
        <v>99.7736418511067</v>
      </c>
      <c r="F172" s="137">
        <f t="shared" si="5"/>
        <v>96.25</v>
      </c>
      <c r="N172" s="139">
        <v>45645</v>
      </c>
      <c r="O172" s="137">
        <v>0.964972</v>
      </c>
      <c r="P172" s="137">
        <v>107.9417</v>
      </c>
    </row>
    <row r="173" spans="1:16">
      <c r="A173" s="139">
        <v>45282</v>
      </c>
      <c r="B173" s="137">
        <v>79.48</v>
      </c>
      <c r="C173" s="137">
        <v>0.77</v>
      </c>
      <c r="E173" s="137">
        <f t="shared" si="4"/>
        <v>99.9496981891348</v>
      </c>
      <c r="F173" s="137">
        <f t="shared" si="5"/>
        <v>96.25</v>
      </c>
      <c r="N173" s="139">
        <v>45646</v>
      </c>
      <c r="O173" s="137">
        <v>0.958773</v>
      </c>
      <c r="P173" s="137">
        <v>107.7287</v>
      </c>
    </row>
    <row r="174" spans="1:16">
      <c r="A174" s="139">
        <v>45285</v>
      </c>
      <c r="B174" s="137">
        <v>79.48</v>
      </c>
      <c r="C174" s="137">
        <v>0.77</v>
      </c>
      <c r="E174" s="137">
        <f t="shared" si="4"/>
        <v>99.9496981891348</v>
      </c>
      <c r="F174" s="137">
        <f t="shared" si="5"/>
        <v>96.25</v>
      </c>
      <c r="N174" s="139">
        <v>45649</v>
      </c>
      <c r="O174" s="137">
        <v>0.96103</v>
      </c>
      <c r="P174" s="137">
        <v>105.183</v>
      </c>
    </row>
    <row r="175" spans="1:16">
      <c r="A175" s="139">
        <v>45286</v>
      </c>
      <c r="B175" s="137">
        <v>79.48</v>
      </c>
      <c r="C175" s="137">
        <v>0.78</v>
      </c>
      <c r="E175" s="137">
        <f t="shared" si="4"/>
        <v>99.9496981891348</v>
      </c>
      <c r="F175" s="137">
        <f t="shared" si="5"/>
        <v>97.5</v>
      </c>
      <c r="N175" s="139">
        <v>45650</v>
      </c>
      <c r="O175" s="137">
        <v>0.961724</v>
      </c>
      <c r="P175" s="137">
        <v>103.9252</v>
      </c>
    </row>
    <row r="176" spans="1:16">
      <c r="A176" s="139">
        <v>45287</v>
      </c>
      <c r="B176" s="137">
        <v>80.2</v>
      </c>
      <c r="C176" s="137">
        <v>0.78</v>
      </c>
      <c r="E176" s="137">
        <f t="shared" si="4"/>
        <v>100.855130784708</v>
      </c>
      <c r="F176" s="137">
        <f t="shared" si="5"/>
        <v>97.5</v>
      </c>
      <c r="N176" s="139">
        <v>45651</v>
      </c>
      <c r="O176" s="137">
        <v>0.96103</v>
      </c>
      <c r="P176" s="137">
        <v>103.9252</v>
      </c>
    </row>
    <row r="177" spans="1:16">
      <c r="A177" s="139">
        <v>45288</v>
      </c>
      <c r="B177" s="137">
        <v>78.72</v>
      </c>
      <c r="C177" s="137">
        <v>0.78</v>
      </c>
      <c r="E177" s="137">
        <f t="shared" si="4"/>
        <v>98.9939637826962</v>
      </c>
      <c r="F177" s="137">
        <f t="shared" si="5"/>
        <v>97.5</v>
      </c>
      <c r="N177" s="139">
        <v>45652</v>
      </c>
      <c r="O177" s="137">
        <v>0.959416</v>
      </c>
      <c r="P177" s="137">
        <v>102.5386</v>
      </c>
    </row>
    <row r="178" spans="1:16">
      <c r="A178" s="139">
        <v>45289</v>
      </c>
      <c r="B178" s="137">
        <v>77.69</v>
      </c>
      <c r="C178" s="137">
        <v>0.78</v>
      </c>
      <c r="E178" s="137">
        <f t="shared" si="4"/>
        <v>97.6986921529175</v>
      </c>
      <c r="F178" s="137">
        <f t="shared" si="5"/>
        <v>97.5</v>
      </c>
      <c r="N178" s="139">
        <v>45653</v>
      </c>
      <c r="O178" s="137">
        <v>0.958957</v>
      </c>
      <c r="P178" s="137">
        <v>107.0392</v>
      </c>
    </row>
    <row r="179" spans="1:16">
      <c r="A179" s="139">
        <v>45292</v>
      </c>
      <c r="B179" s="137">
        <v>77.69</v>
      </c>
      <c r="C179" s="137">
        <v>0.78</v>
      </c>
      <c r="E179" s="137">
        <f t="shared" si="4"/>
        <v>97.6986921529175</v>
      </c>
      <c r="F179" s="137">
        <f t="shared" si="5"/>
        <v>97.5</v>
      </c>
      <c r="N179" s="139">
        <v>45656</v>
      </c>
      <c r="O179" s="137">
        <v>0.960846</v>
      </c>
      <c r="P179" s="137">
        <v>112.1616</v>
      </c>
    </row>
    <row r="180" spans="1:16">
      <c r="A180" s="139">
        <v>45293</v>
      </c>
      <c r="B180" s="137">
        <v>76.23</v>
      </c>
      <c r="C180" s="137">
        <v>0.77</v>
      </c>
      <c r="E180" s="137">
        <f t="shared" si="4"/>
        <v>95.862676056338</v>
      </c>
      <c r="F180" s="137">
        <f t="shared" si="5"/>
        <v>96.25</v>
      </c>
      <c r="N180" s="139">
        <v>45657</v>
      </c>
      <c r="O180" s="137">
        <v>0.965857</v>
      </c>
      <c r="P180" s="137">
        <v>113.6462</v>
      </c>
    </row>
    <row r="181" spans="1:16">
      <c r="A181" s="139">
        <v>45294</v>
      </c>
      <c r="B181" s="137">
        <v>78.03</v>
      </c>
      <c r="C181" s="137">
        <v>0.79</v>
      </c>
      <c r="E181" s="137">
        <f t="shared" si="4"/>
        <v>98.1262575452716</v>
      </c>
      <c r="F181" s="137">
        <f t="shared" si="5"/>
        <v>98.75</v>
      </c>
      <c r="N181" s="139">
        <v>45658</v>
      </c>
      <c r="O181" s="137">
        <v>0.965577</v>
      </c>
      <c r="P181" s="137">
        <v>113.6462</v>
      </c>
    </row>
    <row r="182" spans="1:16">
      <c r="A182" s="139">
        <v>45295</v>
      </c>
      <c r="B182" s="137">
        <v>76.71</v>
      </c>
      <c r="C182" s="137">
        <v>0.78</v>
      </c>
      <c r="E182" s="137">
        <f t="shared" si="4"/>
        <v>96.4662977867203</v>
      </c>
      <c r="F182" s="137">
        <f t="shared" si="5"/>
        <v>97.5</v>
      </c>
      <c r="N182" s="139">
        <v>45659</v>
      </c>
      <c r="O182" s="137">
        <v>0.974089</v>
      </c>
      <c r="P182" s="137">
        <v>114.0527</v>
      </c>
    </row>
    <row r="183" spans="1:16">
      <c r="A183" s="139">
        <v>45296</v>
      </c>
      <c r="B183" s="137">
        <v>79</v>
      </c>
      <c r="C183" s="137">
        <v>0.78</v>
      </c>
      <c r="E183" s="137">
        <f t="shared" si="4"/>
        <v>99.3460764587525</v>
      </c>
      <c r="F183" s="137">
        <f t="shared" si="5"/>
        <v>97.5</v>
      </c>
      <c r="N183" s="139">
        <v>45660</v>
      </c>
      <c r="O183" s="137">
        <v>0.970026</v>
      </c>
      <c r="P183" s="137">
        <v>113.6936</v>
      </c>
    </row>
    <row r="184" spans="1:16">
      <c r="A184" s="139">
        <v>45299</v>
      </c>
      <c r="B184" s="137">
        <v>75.77</v>
      </c>
      <c r="C184" s="137">
        <v>0.78</v>
      </c>
      <c r="E184" s="137">
        <f t="shared" si="4"/>
        <v>95.2842052313883</v>
      </c>
      <c r="F184" s="137">
        <f t="shared" si="5"/>
        <v>97.5</v>
      </c>
      <c r="N184" s="139">
        <v>45663</v>
      </c>
      <c r="O184" s="137">
        <v>0.962417</v>
      </c>
      <c r="P184" s="137">
        <v>111.7357</v>
      </c>
    </row>
    <row r="185" spans="1:16">
      <c r="A185" s="139">
        <v>45300</v>
      </c>
      <c r="B185" s="137">
        <v>77.91</v>
      </c>
      <c r="C185" s="137">
        <v>0.78</v>
      </c>
      <c r="E185" s="137">
        <f t="shared" si="4"/>
        <v>97.9753521126761</v>
      </c>
      <c r="F185" s="137">
        <f t="shared" si="5"/>
        <v>97.5</v>
      </c>
      <c r="N185" s="139">
        <v>45664</v>
      </c>
      <c r="O185" s="137">
        <v>0.967118</v>
      </c>
      <c r="P185" s="137">
        <v>110.7267</v>
      </c>
    </row>
    <row r="186" spans="1:16">
      <c r="A186" s="139">
        <v>45301</v>
      </c>
      <c r="B186" s="137">
        <v>77.45</v>
      </c>
      <c r="C186" s="137">
        <v>0.78</v>
      </c>
      <c r="E186" s="137">
        <f t="shared" si="4"/>
        <v>97.3968812877264</v>
      </c>
      <c r="F186" s="137">
        <f t="shared" si="5"/>
        <v>97.5</v>
      </c>
      <c r="N186" s="139">
        <v>45665</v>
      </c>
      <c r="O186" s="137">
        <v>0.969086</v>
      </c>
      <c r="P186" s="137">
        <v>108.4129</v>
      </c>
    </row>
    <row r="187" spans="1:16">
      <c r="A187" s="139">
        <v>45302</v>
      </c>
      <c r="B187" s="137">
        <v>79.01</v>
      </c>
      <c r="C187" s="137">
        <v>0.79</v>
      </c>
      <c r="E187" s="137">
        <f t="shared" si="4"/>
        <v>99.3586519114688</v>
      </c>
      <c r="F187" s="137">
        <f t="shared" si="5"/>
        <v>98.75</v>
      </c>
      <c r="N187" s="139">
        <v>45666</v>
      </c>
      <c r="O187" s="137">
        <v>0.970921</v>
      </c>
      <c r="P187" s="137">
        <v>105.982</v>
      </c>
    </row>
    <row r="188" spans="1:16">
      <c r="A188" s="139">
        <v>45303</v>
      </c>
      <c r="B188" s="137">
        <v>78.72</v>
      </c>
      <c r="C188" s="137">
        <v>0.79</v>
      </c>
      <c r="E188" s="137">
        <f t="shared" si="4"/>
        <v>98.9939637826962</v>
      </c>
      <c r="F188" s="137">
        <f t="shared" si="5"/>
        <v>98.75</v>
      </c>
      <c r="N188" s="139">
        <v>45667</v>
      </c>
      <c r="O188" s="137">
        <v>0.976038</v>
      </c>
      <c r="P188" s="137">
        <v>104.8012</v>
      </c>
    </row>
    <row r="189" spans="1:16">
      <c r="A189" s="139">
        <v>45306</v>
      </c>
      <c r="B189" s="137">
        <v>77.94</v>
      </c>
      <c r="C189" s="137">
        <v>0.79</v>
      </c>
      <c r="E189" s="137">
        <f t="shared" si="4"/>
        <v>98.013078470825</v>
      </c>
      <c r="F189" s="137">
        <f t="shared" si="5"/>
        <v>98.75</v>
      </c>
      <c r="N189" s="139">
        <v>45670</v>
      </c>
      <c r="O189" s="137">
        <v>0.976086</v>
      </c>
      <c r="P189" s="137">
        <v>105.0802</v>
      </c>
    </row>
    <row r="190" spans="1:16">
      <c r="A190" s="139">
        <v>45307</v>
      </c>
      <c r="B190" s="137">
        <v>78.35</v>
      </c>
      <c r="C190" s="137">
        <v>0.79</v>
      </c>
      <c r="E190" s="137">
        <f t="shared" si="4"/>
        <v>98.5286720321932</v>
      </c>
      <c r="F190" s="137">
        <f t="shared" si="5"/>
        <v>98.75</v>
      </c>
      <c r="N190" s="139">
        <v>45671</v>
      </c>
      <c r="O190" s="137">
        <v>0.97012</v>
      </c>
      <c r="P190" s="137">
        <v>106.2393</v>
      </c>
    </row>
    <row r="191" spans="1:16">
      <c r="A191" s="139">
        <v>45308</v>
      </c>
      <c r="B191" s="137">
        <v>77.62</v>
      </c>
      <c r="C191" s="137">
        <v>0.79</v>
      </c>
      <c r="E191" s="137">
        <f t="shared" si="4"/>
        <v>97.6106639839034</v>
      </c>
      <c r="F191" s="137">
        <f t="shared" si="5"/>
        <v>98.75</v>
      </c>
      <c r="N191" s="139">
        <v>45672</v>
      </c>
      <c r="O191" s="137">
        <v>0.971865</v>
      </c>
      <c r="P191" s="137">
        <v>105.9406</v>
      </c>
    </row>
    <row r="192" spans="1:16">
      <c r="A192" s="139">
        <v>45309</v>
      </c>
      <c r="B192" s="137">
        <v>78.71</v>
      </c>
      <c r="C192" s="137">
        <v>0.8</v>
      </c>
      <c r="E192" s="137">
        <f t="shared" si="4"/>
        <v>98.9813883299799</v>
      </c>
      <c r="F192" s="137">
        <f t="shared" si="5"/>
        <v>100</v>
      </c>
      <c r="N192" s="139">
        <v>45673</v>
      </c>
      <c r="O192" s="137">
        <v>0.970968</v>
      </c>
      <c r="P192" s="137">
        <v>105.9665</v>
      </c>
    </row>
    <row r="193" spans="1:16">
      <c r="A193" s="139">
        <v>45310</v>
      </c>
      <c r="B193" s="137">
        <v>79.09</v>
      </c>
      <c r="C193" s="137">
        <v>0.82</v>
      </c>
      <c r="E193" s="137">
        <f t="shared" si="4"/>
        <v>99.4592555331992</v>
      </c>
      <c r="F193" s="137">
        <f t="shared" si="5"/>
        <v>102.5</v>
      </c>
      <c r="N193" s="139">
        <v>45674</v>
      </c>
      <c r="O193" s="137">
        <v>0.973567</v>
      </c>
      <c r="P193" s="137">
        <v>105.3278</v>
      </c>
    </row>
    <row r="194" spans="1:16">
      <c r="A194" s="139">
        <v>45313</v>
      </c>
      <c r="B194" s="137">
        <v>80.01</v>
      </c>
      <c r="C194" s="137">
        <v>0.83</v>
      </c>
      <c r="E194" s="137">
        <f t="shared" si="4"/>
        <v>100.616197183099</v>
      </c>
      <c r="F194" s="137">
        <f t="shared" si="5"/>
        <v>103.75</v>
      </c>
      <c r="N194" s="139">
        <v>45677</v>
      </c>
      <c r="O194" s="137">
        <v>0.960061</v>
      </c>
      <c r="P194" s="137">
        <v>105.5652</v>
      </c>
    </row>
    <row r="195" spans="1:16">
      <c r="A195" s="139">
        <v>45314</v>
      </c>
      <c r="B195" s="137">
        <v>80.22</v>
      </c>
      <c r="C195" s="137">
        <v>0.83</v>
      </c>
      <c r="E195" s="137">
        <f t="shared" si="4"/>
        <v>100.880281690141</v>
      </c>
      <c r="F195" s="137">
        <f t="shared" si="5"/>
        <v>103.75</v>
      </c>
      <c r="N195" s="139">
        <v>45678</v>
      </c>
      <c r="O195" s="137">
        <v>0.958819</v>
      </c>
      <c r="P195" s="137">
        <v>103.7451</v>
      </c>
    </row>
    <row r="196" spans="1:16">
      <c r="A196" s="139">
        <v>45315</v>
      </c>
      <c r="B196" s="137">
        <v>80.33</v>
      </c>
      <c r="C196" s="137">
        <v>0.83</v>
      </c>
      <c r="E196" s="137">
        <f t="shared" si="4"/>
        <v>101.01861167002</v>
      </c>
      <c r="F196" s="137">
        <f t="shared" si="5"/>
        <v>103.75</v>
      </c>
      <c r="N196" s="139">
        <v>45679</v>
      </c>
      <c r="O196" s="137">
        <v>0.960754</v>
      </c>
      <c r="P196" s="137">
        <v>103.4137</v>
      </c>
    </row>
    <row r="197" spans="1:16">
      <c r="A197" s="139">
        <v>45316</v>
      </c>
      <c r="B197" s="137">
        <v>81.34</v>
      </c>
      <c r="C197" s="137">
        <v>0.84</v>
      </c>
      <c r="E197" s="137">
        <f t="shared" ref="E197:E260" si="6">B197/$B$3*$E$3</f>
        <v>102.288732394366</v>
      </c>
      <c r="F197" s="137">
        <f t="shared" ref="F197:F260" si="7">C197/$C$3*$F$3</f>
        <v>105</v>
      </c>
      <c r="N197" s="139">
        <v>45680</v>
      </c>
      <c r="O197" s="137">
        <v>0.960061</v>
      </c>
      <c r="P197" s="137">
        <v>104.0011</v>
      </c>
    </row>
    <row r="198" spans="1:16">
      <c r="A198" s="139">
        <v>45317</v>
      </c>
      <c r="B198" s="137">
        <v>81.95</v>
      </c>
      <c r="C198" s="137">
        <v>0.82</v>
      </c>
      <c r="E198" s="137">
        <f t="shared" si="6"/>
        <v>103.05583501006</v>
      </c>
      <c r="F198" s="137">
        <f t="shared" si="7"/>
        <v>102.5</v>
      </c>
      <c r="N198" s="139">
        <v>45681</v>
      </c>
      <c r="O198" s="137">
        <v>0.952925</v>
      </c>
      <c r="P198" s="137">
        <v>103.4709</v>
      </c>
    </row>
    <row r="199" spans="1:16">
      <c r="A199" s="139">
        <v>45320</v>
      </c>
      <c r="B199" s="137">
        <v>82.69</v>
      </c>
      <c r="C199" s="137">
        <v>0.82</v>
      </c>
      <c r="E199" s="137">
        <f t="shared" si="6"/>
        <v>103.986418511066</v>
      </c>
      <c r="F199" s="137">
        <f t="shared" si="7"/>
        <v>102.5</v>
      </c>
      <c r="N199" s="139">
        <v>45684</v>
      </c>
      <c r="O199" s="137">
        <v>0.953107</v>
      </c>
      <c r="P199" s="137">
        <v>102.5753</v>
      </c>
    </row>
    <row r="200" spans="1:16">
      <c r="A200" s="139">
        <v>45321</v>
      </c>
      <c r="B200" s="137">
        <v>82.83</v>
      </c>
      <c r="C200" s="137">
        <v>0.83</v>
      </c>
      <c r="E200" s="137">
        <f t="shared" si="6"/>
        <v>104.162474849095</v>
      </c>
      <c r="F200" s="137">
        <f t="shared" si="7"/>
        <v>103.75</v>
      </c>
      <c r="N200" s="139">
        <v>45685</v>
      </c>
      <c r="O200" s="137">
        <v>0.958773</v>
      </c>
      <c r="P200" s="137">
        <v>102.8378</v>
      </c>
    </row>
    <row r="201" spans="1:16">
      <c r="A201" s="139">
        <v>45322</v>
      </c>
      <c r="B201" s="137">
        <v>81.93</v>
      </c>
      <c r="C201" s="137">
        <v>0.83</v>
      </c>
      <c r="E201" s="137">
        <f t="shared" si="6"/>
        <v>103.030684104628</v>
      </c>
      <c r="F201" s="137">
        <f t="shared" si="7"/>
        <v>103.75</v>
      </c>
      <c r="N201" s="139">
        <v>45686</v>
      </c>
      <c r="O201" s="137">
        <v>0.959647</v>
      </c>
      <c r="P201" s="137">
        <v>103.6791</v>
      </c>
    </row>
    <row r="202" spans="1:16">
      <c r="A202" s="139">
        <v>45323</v>
      </c>
      <c r="B202" s="137">
        <v>81.5</v>
      </c>
      <c r="C202" s="137">
        <v>0.84</v>
      </c>
      <c r="E202" s="137">
        <f t="shared" si="6"/>
        <v>102.489939637827</v>
      </c>
      <c r="F202" s="137">
        <f t="shared" si="7"/>
        <v>105</v>
      </c>
      <c r="N202" s="139">
        <v>45687</v>
      </c>
      <c r="O202" s="137">
        <v>0.962417</v>
      </c>
      <c r="P202" s="137">
        <v>102.5939</v>
      </c>
    </row>
    <row r="203" spans="1:16">
      <c r="A203" s="139">
        <v>45324</v>
      </c>
      <c r="B203" s="137">
        <v>77.53</v>
      </c>
      <c r="C203" s="137">
        <v>0.85</v>
      </c>
      <c r="E203" s="137">
        <f t="shared" si="6"/>
        <v>97.4974849094567</v>
      </c>
      <c r="F203" s="137">
        <f t="shared" si="7"/>
        <v>106.25</v>
      </c>
      <c r="N203" s="139">
        <v>45688</v>
      </c>
      <c r="O203" s="137">
        <v>0.964925</v>
      </c>
      <c r="P203" s="137">
        <v>102.7856</v>
      </c>
    </row>
    <row r="204" spans="1:16">
      <c r="A204" s="139">
        <v>45327</v>
      </c>
      <c r="B204" s="137">
        <v>77.28</v>
      </c>
      <c r="C204" s="137">
        <v>0.85</v>
      </c>
      <c r="E204" s="137">
        <f t="shared" si="6"/>
        <v>97.1830985915493</v>
      </c>
      <c r="F204" s="137">
        <f t="shared" si="7"/>
        <v>106.25</v>
      </c>
      <c r="N204" s="139">
        <v>45691</v>
      </c>
      <c r="O204" s="137">
        <v>0.966698</v>
      </c>
      <c r="P204" s="137">
        <v>102.8872</v>
      </c>
    </row>
    <row r="205" spans="1:16">
      <c r="A205" s="139">
        <v>45328</v>
      </c>
      <c r="B205" s="137">
        <v>78.7</v>
      </c>
      <c r="C205" s="137">
        <v>0.86</v>
      </c>
      <c r="E205" s="137">
        <f t="shared" si="6"/>
        <v>98.9688128772636</v>
      </c>
      <c r="F205" s="137">
        <f t="shared" si="7"/>
        <v>107.5</v>
      </c>
      <c r="N205" s="139">
        <v>45692</v>
      </c>
      <c r="O205" s="137">
        <v>0.963484</v>
      </c>
      <c r="P205" s="137">
        <v>103.4158</v>
      </c>
    </row>
    <row r="206" spans="1:16">
      <c r="A206" s="139">
        <v>45329</v>
      </c>
      <c r="B206" s="137">
        <v>79.19</v>
      </c>
      <c r="C206" s="137">
        <v>0.86</v>
      </c>
      <c r="E206" s="137">
        <f t="shared" si="6"/>
        <v>99.5850100603622</v>
      </c>
      <c r="F206" s="137">
        <f t="shared" si="7"/>
        <v>107.5</v>
      </c>
      <c r="N206" s="139">
        <v>45693</v>
      </c>
      <c r="O206" s="137">
        <v>0.961308</v>
      </c>
      <c r="P206" s="137">
        <v>101.6879</v>
      </c>
    </row>
    <row r="207" spans="1:16">
      <c r="A207" s="139">
        <v>45330</v>
      </c>
      <c r="B207" s="137">
        <v>81.27</v>
      </c>
      <c r="C207" s="137">
        <v>0.87</v>
      </c>
      <c r="E207" s="137">
        <f t="shared" si="6"/>
        <v>102.200704225352</v>
      </c>
      <c r="F207" s="137">
        <f t="shared" si="7"/>
        <v>108.75</v>
      </c>
      <c r="N207" s="139">
        <v>45694</v>
      </c>
      <c r="O207" s="137">
        <v>0.963113</v>
      </c>
      <c r="P207" s="137">
        <v>100.1954</v>
      </c>
    </row>
    <row r="208" spans="1:16">
      <c r="A208" s="139">
        <v>45331</v>
      </c>
      <c r="B208" s="137">
        <v>81.73</v>
      </c>
      <c r="C208" s="137">
        <v>0.9</v>
      </c>
      <c r="E208" s="137">
        <f t="shared" si="6"/>
        <v>102.779175050302</v>
      </c>
      <c r="F208" s="137">
        <f t="shared" si="7"/>
        <v>112.5</v>
      </c>
      <c r="N208" s="139">
        <v>45695</v>
      </c>
      <c r="O208" s="137">
        <v>0.968288</v>
      </c>
      <c r="P208" s="137">
        <v>100.2125</v>
      </c>
    </row>
    <row r="209" spans="1:16">
      <c r="A209" s="139">
        <v>45334</v>
      </c>
      <c r="B209" s="137">
        <v>82</v>
      </c>
      <c r="C209" s="137">
        <v>0.89</v>
      </c>
      <c r="E209" s="137">
        <f t="shared" si="6"/>
        <v>103.118712273642</v>
      </c>
      <c r="F209" s="137">
        <f t="shared" si="7"/>
        <v>111.25</v>
      </c>
      <c r="N209" s="139">
        <v>45698</v>
      </c>
      <c r="O209" s="137">
        <v>0.970167</v>
      </c>
      <c r="P209" s="137">
        <v>99.8026</v>
      </c>
    </row>
    <row r="210" spans="1:16">
      <c r="A210" s="139">
        <v>45335</v>
      </c>
      <c r="B210" s="137">
        <v>82.95</v>
      </c>
      <c r="C210" s="137">
        <v>0.9</v>
      </c>
      <c r="E210" s="137">
        <f t="shared" si="6"/>
        <v>104.31338028169</v>
      </c>
      <c r="F210" s="137">
        <f t="shared" si="7"/>
        <v>112.5</v>
      </c>
      <c r="N210" s="139">
        <v>45699</v>
      </c>
      <c r="O210" s="137">
        <v>0.965111</v>
      </c>
      <c r="P210" s="137">
        <v>98.8859</v>
      </c>
    </row>
    <row r="211" spans="1:16">
      <c r="A211" s="139">
        <v>45336</v>
      </c>
      <c r="B211" s="137">
        <v>82.42</v>
      </c>
      <c r="C211" s="137">
        <v>0.91</v>
      </c>
      <c r="E211" s="137">
        <f t="shared" si="6"/>
        <v>103.646881287726</v>
      </c>
      <c r="F211" s="137">
        <f t="shared" si="7"/>
        <v>113.75</v>
      </c>
      <c r="N211" s="139">
        <v>45700</v>
      </c>
      <c r="O211" s="137">
        <v>0.963159</v>
      </c>
      <c r="P211" s="137">
        <v>97.4591</v>
      </c>
    </row>
    <row r="212" spans="1:16">
      <c r="A212" s="139">
        <v>45337</v>
      </c>
      <c r="B212" s="137">
        <v>82.73</v>
      </c>
      <c r="C212" s="137">
        <v>0.92</v>
      </c>
      <c r="E212" s="137">
        <f t="shared" si="6"/>
        <v>104.036720321932</v>
      </c>
      <c r="F212" s="137">
        <f t="shared" si="7"/>
        <v>115</v>
      </c>
      <c r="N212" s="139">
        <v>45701</v>
      </c>
      <c r="O212" s="137">
        <v>0.955612</v>
      </c>
      <c r="P212" s="137">
        <v>94.1102</v>
      </c>
    </row>
    <row r="213" spans="1:16">
      <c r="A213" s="139">
        <v>45338</v>
      </c>
      <c r="B213" s="137">
        <v>83.2</v>
      </c>
      <c r="C213" s="137">
        <v>0.91</v>
      </c>
      <c r="E213" s="137">
        <f t="shared" si="6"/>
        <v>104.627766599598</v>
      </c>
      <c r="F213" s="137">
        <f t="shared" si="7"/>
        <v>113.75</v>
      </c>
      <c r="N213" s="139">
        <v>45702</v>
      </c>
      <c r="O213" s="137">
        <v>0.953016</v>
      </c>
      <c r="P213" s="137">
        <v>96.547</v>
      </c>
    </row>
    <row r="214" spans="1:16">
      <c r="A214" s="139">
        <v>45341</v>
      </c>
      <c r="B214" s="137">
        <v>83.54</v>
      </c>
      <c r="C214" s="137">
        <v>0.91</v>
      </c>
      <c r="E214" s="137">
        <f t="shared" si="6"/>
        <v>105.055331991952</v>
      </c>
      <c r="F214" s="137">
        <f t="shared" si="7"/>
        <v>113.75</v>
      </c>
      <c r="N214" s="139">
        <v>45705</v>
      </c>
      <c r="O214" s="137">
        <v>0.953834</v>
      </c>
      <c r="P214" s="137">
        <v>95.8875</v>
      </c>
    </row>
    <row r="215" spans="1:16">
      <c r="A215" s="139">
        <v>45342</v>
      </c>
      <c r="B215" s="137">
        <v>82.31</v>
      </c>
      <c r="C215" s="137">
        <v>0.89</v>
      </c>
      <c r="E215" s="137">
        <f t="shared" si="6"/>
        <v>103.508551307847</v>
      </c>
      <c r="F215" s="137">
        <f t="shared" si="7"/>
        <v>111.25</v>
      </c>
      <c r="N215" s="139">
        <v>45706</v>
      </c>
      <c r="O215" s="137">
        <v>0.957258</v>
      </c>
      <c r="P215" s="137">
        <v>95.9301</v>
      </c>
    </row>
    <row r="216" spans="1:16">
      <c r="A216" s="139">
        <v>45343</v>
      </c>
      <c r="B216" s="137">
        <v>82.89</v>
      </c>
      <c r="C216" s="137">
        <v>0.9</v>
      </c>
      <c r="E216" s="137">
        <f t="shared" si="6"/>
        <v>104.237927565392</v>
      </c>
      <c r="F216" s="137">
        <f t="shared" si="7"/>
        <v>112.5</v>
      </c>
      <c r="N216" s="139">
        <v>45707</v>
      </c>
      <c r="O216" s="137">
        <v>0.959509</v>
      </c>
      <c r="P216" s="137">
        <v>93.1646</v>
      </c>
    </row>
    <row r="217" spans="1:16">
      <c r="A217" s="139">
        <v>45344</v>
      </c>
      <c r="B217" s="137">
        <v>83.51</v>
      </c>
      <c r="C217" s="137">
        <v>0.92</v>
      </c>
      <c r="E217" s="137">
        <f t="shared" si="6"/>
        <v>105.017605633803</v>
      </c>
      <c r="F217" s="137">
        <f t="shared" si="7"/>
        <v>115</v>
      </c>
      <c r="N217" s="139">
        <v>45708</v>
      </c>
      <c r="O217" s="137">
        <v>0.952245</v>
      </c>
      <c r="P217" s="137">
        <v>92.5423</v>
      </c>
    </row>
    <row r="218" spans="1:16">
      <c r="A218" s="139">
        <v>45345</v>
      </c>
      <c r="B218" s="137">
        <v>82.42</v>
      </c>
      <c r="C218" s="137">
        <v>0.91</v>
      </c>
      <c r="E218" s="137">
        <f t="shared" si="6"/>
        <v>103.646881287726</v>
      </c>
      <c r="F218" s="137">
        <f t="shared" si="7"/>
        <v>113.75</v>
      </c>
      <c r="N218" s="139">
        <v>45709</v>
      </c>
      <c r="O218" s="137">
        <v>0.956114</v>
      </c>
      <c r="P218" s="137">
        <v>92.7882</v>
      </c>
    </row>
    <row r="219" spans="1:16">
      <c r="A219" s="139">
        <v>45348</v>
      </c>
      <c r="B219" s="137">
        <v>82.26</v>
      </c>
      <c r="C219" s="137">
        <v>0.92</v>
      </c>
      <c r="E219" s="137">
        <f t="shared" si="6"/>
        <v>103.445674044266</v>
      </c>
      <c r="F219" s="137">
        <f t="shared" si="7"/>
        <v>115</v>
      </c>
      <c r="N219" s="139">
        <v>45712</v>
      </c>
      <c r="O219" s="137">
        <v>0.955338</v>
      </c>
      <c r="P219" s="137">
        <v>91.8656</v>
      </c>
    </row>
    <row r="220" spans="1:16">
      <c r="A220" s="139">
        <v>45349</v>
      </c>
      <c r="B220" s="137">
        <v>83.23</v>
      </c>
      <c r="C220" s="137">
        <v>0.96</v>
      </c>
      <c r="E220" s="137">
        <f t="shared" si="6"/>
        <v>104.665492957746</v>
      </c>
      <c r="F220" s="137">
        <f t="shared" si="7"/>
        <v>120</v>
      </c>
      <c r="N220" s="139">
        <v>45713</v>
      </c>
      <c r="O220" s="137">
        <v>0.951158</v>
      </c>
      <c r="P220" s="137">
        <v>90.9127</v>
      </c>
    </row>
    <row r="221" spans="1:16">
      <c r="A221" s="139">
        <v>45350</v>
      </c>
      <c r="B221" s="137">
        <v>83.27</v>
      </c>
      <c r="C221" s="137">
        <v>0.98</v>
      </c>
      <c r="E221" s="137">
        <f t="shared" si="6"/>
        <v>104.715794768612</v>
      </c>
      <c r="F221" s="137">
        <f t="shared" si="7"/>
        <v>122.5</v>
      </c>
      <c r="N221" s="139">
        <v>45714</v>
      </c>
      <c r="O221" s="137">
        <v>0.953789</v>
      </c>
      <c r="P221" s="137">
        <v>91.2228</v>
      </c>
    </row>
    <row r="222" spans="1:16">
      <c r="A222" s="139">
        <v>45351</v>
      </c>
      <c r="B222" s="137">
        <v>83.78</v>
      </c>
      <c r="C222" s="137">
        <v>0.97</v>
      </c>
      <c r="E222" s="137">
        <f t="shared" si="6"/>
        <v>105.357142857143</v>
      </c>
      <c r="F222" s="137">
        <f t="shared" si="7"/>
        <v>121.25</v>
      </c>
      <c r="N222" s="139">
        <v>45715</v>
      </c>
      <c r="O222" s="137">
        <v>0.961677</v>
      </c>
      <c r="P222" s="137">
        <v>90.7493</v>
      </c>
    </row>
    <row r="223" spans="1:16">
      <c r="A223" s="139">
        <v>45352</v>
      </c>
      <c r="B223" s="137">
        <v>84.19</v>
      </c>
      <c r="C223" s="137">
        <v>0.93</v>
      </c>
      <c r="E223" s="137">
        <f t="shared" si="6"/>
        <v>105.872736418511</v>
      </c>
      <c r="F223" s="137">
        <f t="shared" si="7"/>
        <v>116.25</v>
      </c>
      <c r="N223" s="139">
        <v>45716</v>
      </c>
      <c r="O223" s="137">
        <v>0.963763</v>
      </c>
      <c r="P223" s="137">
        <v>93.0801</v>
      </c>
    </row>
    <row r="224" spans="1:16">
      <c r="A224" s="139">
        <v>45355</v>
      </c>
      <c r="B224" s="137">
        <v>83.23</v>
      </c>
      <c r="C224" s="137">
        <v>0.92</v>
      </c>
      <c r="E224" s="137">
        <f t="shared" si="6"/>
        <v>104.665492957746</v>
      </c>
      <c r="F224" s="137">
        <f t="shared" si="7"/>
        <v>115</v>
      </c>
      <c r="N224" s="139">
        <v>45719</v>
      </c>
      <c r="O224" s="137">
        <v>0.95347</v>
      </c>
      <c r="P224" s="137">
        <v>93.8977</v>
      </c>
    </row>
    <row r="225" spans="1:16">
      <c r="A225" s="139">
        <v>45356</v>
      </c>
      <c r="B225" s="137">
        <v>82.88</v>
      </c>
      <c r="C225" s="137">
        <v>0.91</v>
      </c>
      <c r="E225" s="137">
        <f t="shared" si="6"/>
        <v>104.225352112676</v>
      </c>
      <c r="F225" s="137">
        <f t="shared" si="7"/>
        <v>113.75</v>
      </c>
      <c r="N225" s="139">
        <v>45720</v>
      </c>
      <c r="O225" s="137">
        <v>0.941088</v>
      </c>
      <c r="P225" s="137">
        <v>94.1159</v>
      </c>
    </row>
    <row r="226" spans="1:16">
      <c r="A226" s="139">
        <v>45357</v>
      </c>
      <c r="B226" s="137">
        <v>84.08</v>
      </c>
      <c r="C226" s="137">
        <v>0.93</v>
      </c>
      <c r="E226" s="137">
        <f t="shared" si="6"/>
        <v>105.734406438632</v>
      </c>
      <c r="F226" s="137">
        <f t="shared" si="7"/>
        <v>116.25</v>
      </c>
      <c r="N226" s="139">
        <v>45721</v>
      </c>
      <c r="O226" s="137">
        <v>0.926741</v>
      </c>
      <c r="P226" s="137">
        <v>96.5262</v>
      </c>
    </row>
    <row r="227" spans="1:16">
      <c r="A227" s="139">
        <v>45358</v>
      </c>
      <c r="B227" s="137">
        <v>82.91</v>
      </c>
      <c r="C227" s="137">
        <v>0.97</v>
      </c>
      <c r="E227" s="137">
        <f t="shared" si="6"/>
        <v>104.263078470825</v>
      </c>
      <c r="F227" s="137">
        <f t="shared" si="7"/>
        <v>121.25</v>
      </c>
      <c r="N227" s="139">
        <v>45722</v>
      </c>
      <c r="O227" s="137">
        <v>0.927257</v>
      </c>
      <c r="P227" s="137">
        <v>96.5507</v>
      </c>
    </row>
    <row r="228" spans="1:16">
      <c r="A228" s="139">
        <v>45359</v>
      </c>
      <c r="B228" s="137">
        <v>82.18</v>
      </c>
      <c r="C228" s="137">
        <v>0.93</v>
      </c>
      <c r="E228" s="137">
        <f t="shared" si="6"/>
        <v>103.345070422535</v>
      </c>
      <c r="F228" s="137">
        <f t="shared" si="7"/>
        <v>116.25</v>
      </c>
      <c r="N228" s="139">
        <v>45723</v>
      </c>
      <c r="O228" s="137">
        <v>0.923063</v>
      </c>
      <c r="P228" s="137">
        <v>96.1996</v>
      </c>
    </row>
    <row r="229" spans="1:16">
      <c r="A229" s="139">
        <v>45362</v>
      </c>
      <c r="B229" s="137">
        <v>82.63</v>
      </c>
      <c r="C229" s="137">
        <v>0.92</v>
      </c>
      <c r="E229" s="137">
        <f t="shared" si="6"/>
        <v>103.910965794769</v>
      </c>
      <c r="F229" s="137">
        <f t="shared" si="7"/>
        <v>115</v>
      </c>
      <c r="N229" s="139">
        <v>45726</v>
      </c>
      <c r="O229" s="137">
        <v>0.92302</v>
      </c>
      <c r="P229" s="137">
        <v>95.0991</v>
      </c>
    </row>
    <row r="230" spans="1:16">
      <c r="A230" s="139">
        <v>45363</v>
      </c>
      <c r="B230" s="137">
        <v>82.55</v>
      </c>
      <c r="C230" s="137">
        <v>0.92</v>
      </c>
      <c r="E230" s="137">
        <f t="shared" si="6"/>
        <v>103.810362173038</v>
      </c>
      <c r="F230" s="137">
        <f t="shared" si="7"/>
        <v>115</v>
      </c>
      <c r="N230" s="139">
        <v>45727</v>
      </c>
      <c r="O230" s="137">
        <v>0.915835</v>
      </c>
      <c r="P230" s="137">
        <v>93.4259</v>
      </c>
    </row>
    <row r="231" spans="1:16">
      <c r="A231" s="139">
        <v>45364</v>
      </c>
      <c r="B231" s="137">
        <v>83.61</v>
      </c>
      <c r="C231" s="137">
        <v>0.92</v>
      </c>
      <c r="E231" s="137">
        <f t="shared" si="6"/>
        <v>105.143360160966</v>
      </c>
      <c r="F231" s="137">
        <f t="shared" si="7"/>
        <v>115</v>
      </c>
      <c r="N231" s="139">
        <v>45728</v>
      </c>
      <c r="O231" s="137">
        <v>0.918485</v>
      </c>
      <c r="P231" s="137">
        <v>95.2399</v>
      </c>
    </row>
    <row r="232" spans="1:16">
      <c r="A232" s="139">
        <v>45365</v>
      </c>
      <c r="B232" s="137">
        <v>85.2</v>
      </c>
      <c r="C232" s="137">
        <v>0.91</v>
      </c>
      <c r="E232" s="137">
        <f t="shared" si="6"/>
        <v>107.142857142857</v>
      </c>
      <c r="F232" s="137">
        <f t="shared" si="7"/>
        <v>113.75</v>
      </c>
      <c r="N232" s="139">
        <v>45729</v>
      </c>
      <c r="O232" s="137">
        <v>0.921447</v>
      </c>
      <c r="P232" s="137">
        <v>93.7603</v>
      </c>
    </row>
    <row r="233" spans="1:16">
      <c r="A233" s="139">
        <v>45366</v>
      </c>
      <c r="B233" s="137">
        <v>85.44</v>
      </c>
      <c r="C233" s="137">
        <v>0.91</v>
      </c>
      <c r="E233" s="137">
        <f t="shared" si="6"/>
        <v>107.444668008048</v>
      </c>
      <c r="F233" s="137">
        <f t="shared" si="7"/>
        <v>113.75</v>
      </c>
      <c r="N233" s="139">
        <v>45730</v>
      </c>
      <c r="O233" s="137">
        <v>0.919075</v>
      </c>
      <c r="P233" s="137">
        <v>92.7969</v>
      </c>
    </row>
    <row r="234" spans="1:16">
      <c r="A234" s="139">
        <v>45369</v>
      </c>
      <c r="B234" s="137">
        <v>86.49</v>
      </c>
      <c r="C234" s="137">
        <v>0.92</v>
      </c>
      <c r="E234" s="137">
        <f t="shared" si="6"/>
        <v>108.76509054326</v>
      </c>
      <c r="F234" s="137">
        <f t="shared" si="7"/>
        <v>115</v>
      </c>
      <c r="N234" s="139">
        <v>45733</v>
      </c>
      <c r="O234" s="137">
        <v>0.915499</v>
      </c>
      <c r="P234" s="137">
        <v>91.14</v>
      </c>
    </row>
    <row r="235" spans="1:16">
      <c r="A235" s="139">
        <v>45370</v>
      </c>
      <c r="B235" s="137">
        <v>87.39</v>
      </c>
      <c r="C235" s="137">
        <v>0.9</v>
      </c>
      <c r="E235" s="137">
        <f t="shared" si="6"/>
        <v>109.896881287726</v>
      </c>
      <c r="F235" s="137">
        <f t="shared" si="7"/>
        <v>112.5</v>
      </c>
      <c r="N235" s="139">
        <v>45734</v>
      </c>
      <c r="O235" s="137">
        <v>0.913701</v>
      </c>
      <c r="P235" s="137">
        <v>89.4375</v>
      </c>
    </row>
    <row r="236" spans="1:16">
      <c r="A236" s="139">
        <v>45371</v>
      </c>
      <c r="B236" s="137">
        <v>85.99</v>
      </c>
      <c r="C236" s="137">
        <v>0.89</v>
      </c>
      <c r="E236" s="137">
        <f t="shared" si="6"/>
        <v>108.136317907445</v>
      </c>
      <c r="F236" s="137">
        <f t="shared" si="7"/>
        <v>111.25</v>
      </c>
      <c r="N236" s="139">
        <v>45735</v>
      </c>
      <c r="O236" s="137">
        <v>0.917221</v>
      </c>
      <c r="P236" s="137">
        <v>91.2853</v>
      </c>
    </row>
    <row r="237" spans="1:16">
      <c r="A237" s="139">
        <v>45372</v>
      </c>
      <c r="B237" s="137">
        <v>85.56</v>
      </c>
      <c r="C237" s="137">
        <v>0.89</v>
      </c>
      <c r="E237" s="137">
        <f t="shared" si="6"/>
        <v>107.595573440644</v>
      </c>
      <c r="F237" s="137">
        <f t="shared" si="7"/>
        <v>111.25</v>
      </c>
      <c r="N237" s="139">
        <v>45736</v>
      </c>
      <c r="O237" s="137">
        <v>0.921447</v>
      </c>
      <c r="P237" s="137">
        <v>92.1182</v>
      </c>
    </row>
    <row r="238" spans="1:16">
      <c r="A238" s="139">
        <v>45373</v>
      </c>
      <c r="B238" s="137">
        <v>85.58</v>
      </c>
      <c r="C238" s="137">
        <v>0.89</v>
      </c>
      <c r="E238" s="137">
        <f t="shared" si="6"/>
        <v>107.620724346076</v>
      </c>
      <c r="F238" s="137">
        <f t="shared" si="7"/>
        <v>111.25</v>
      </c>
      <c r="N238" s="139">
        <v>45737</v>
      </c>
      <c r="O238" s="137">
        <v>0.924642</v>
      </c>
      <c r="P238" s="137">
        <v>91.3361</v>
      </c>
    </row>
    <row r="239" spans="1:16">
      <c r="A239" s="139">
        <v>45376</v>
      </c>
      <c r="B239" s="137">
        <v>86.88</v>
      </c>
      <c r="C239" s="137">
        <v>0.89</v>
      </c>
      <c r="E239" s="137">
        <f t="shared" si="6"/>
        <v>109.255533199195</v>
      </c>
      <c r="F239" s="137">
        <f t="shared" si="7"/>
        <v>111.25</v>
      </c>
      <c r="N239" s="139">
        <v>45740</v>
      </c>
      <c r="O239" s="137">
        <v>0.92584</v>
      </c>
      <c r="P239" s="137">
        <v>90.3998</v>
      </c>
    </row>
    <row r="240" spans="1:16">
      <c r="A240" s="139">
        <v>45377</v>
      </c>
      <c r="B240" s="137">
        <v>86.62</v>
      </c>
      <c r="C240" s="137">
        <v>0.9</v>
      </c>
      <c r="E240" s="137">
        <f t="shared" si="6"/>
        <v>108.928571428571</v>
      </c>
      <c r="F240" s="137">
        <f t="shared" si="7"/>
        <v>112.5</v>
      </c>
      <c r="N240" s="139">
        <v>45741</v>
      </c>
      <c r="O240" s="137">
        <v>0.926655</v>
      </c>
      <c r="P240" s="137">
        <v>91.1833</v>
      </c>
    </row>
    <row r="241" spans="1:16">
      <c r="A241" s="139">
        <v>45378</v>
      </c>
      <c r="B241" s="137">
        <v>85.94</v>
      </c>
      <c r="C241" s="137">
        <v>0.88</v>
      </c>
      <c r="E241" s="137">
        <f t="shared" si="6"/>
        <v>108.073440643863</v>
      </c>
      <c r="F241" s="137">
        <f t="shared" si="7"/>
        <v>110</v>
      </c>
      <c r="N241" s="139">
        <v>45742</v>
      </c>
      <c r="O241" s="137">
        <v>0.92993</v>
      </c>
      <c r="P241" s="137">
        <v>90.6497</v>
      </c>
    </row>
    <row r="242" spans="1:16">
      <c r="A242" s="139">
        <v>45379</v>
      </c>
      <c r="B242" s="137">
        <v>87.42</v>
      </c>
      <c r="C242" s="137">
        <v>0.88</v>
      </c>
      <c r="E242" s="137">
        <f t="shared" si="6"/>
        <v>109.934607645875</v>
      </c>
      <c r="F242" s="137">
        <f t="shared" si="7"/>
        <v>110</v>
      </c>
      <c r="N242" s="139">
        <v>45743</v>
      </c>
      <c r="O242" s="137">
        <v>0.925798</v>
      </c>
      <c r="P242" s="137">
        <v>90.9192</v>
      </c>
    </row>
    <row r="243" spans="1:16">
      <c r="A243" s="139">
        <v>45380</v>
      </c>
      <c r="B243" s="137">
        <v>87.42</v>
      </c>
      <c r="C243" s="137">
        <v>0.88</v>
      </c>
      <c r="E243" s="137">
        <f t="shared" si="6"/>
        <v>109.934607645875</v>
      </c>
      <c r="F243" s="137">
        <f t="shared" si="7"/>
        <v>110</v>
      </c>
      <c r="N243" s="139">
        <v>45744</v>
      </c>
      <c r="O243" s="137">
        <v>0.923532</v>
      </c>
      <c r="P243" s="137">
        <v>91.9415</v>
      </c>
    </row>
    <row r="244" spans="1:16">
      <c r="A244" s="139">
        <v>45383</v>
      </c>
      <c r="B244" s="137">
        <v>87.42</v>
      </c>
      <c r="C244" s="137">
        <v>0.9</v>
      </c>
      <c r="E244" s="137">
        <f t="shared" si="6"/>
        <v>109.934607645875</v>
      </c>
      <c r="F244" s="137">
        <f t="shared" si="7"/>
        <v>112.5</v>
      </c>
      <c r="N244" s="139">
        <v>45747</v>
      </c>
      <c r="O244" s="137">
        <v>0.924428</v>
      </c>
      <c r="P244" s="137">
        <v>91.547</v>
      </c>
    </row>
    <row r="245" spans="1:16">
      <c r="A245" s="139">
        <v>45384</v>
      </c>
      <c r="B245" s="137">
        <v>88.9</v>
      </c>
      <c r="C245" s="137">
        <v>0.87</v>
      </c>
      <c r="E245" s="137">
        <f t="shared" si="6"/>
        <v>111.795774647887</v>
      </c>
      <c r="F245" s="137">
        <f t="shared" si="7"/>
        <v>108.75</v>
      </c>
      <c r="N245" s="139">
        <v>45748</v>
      </c>
      <c r="O245" s="137">
        <v>0.926441</v>
      </c>
      <c r="P245" s="137">
        <v>91.4839</v>
      </c>
    </row>
    <row r="246" spans="1:16">
      <c r="A246" s="139">
        <v>45385</v>
      </c>
      <c r="B246" s="137">
        <v>89.78</v>
      </c>
      <c r="C246" s="137">
        <v>0.85</v>
      </c>
      <c r="E246" s="137">
        <f t="shared" si="6"/>
        <v>112.902414486922</v>
      </c>
      <c r="F246" s="137">
        <f t="shared" si="7"/>
        <v>106.25</v>
      </c>
      <c r="N246" s="139">
        <v>45749</v>
      </c>
      <c r="O246" s="137">
        <v>0.921192</v>
      </c>
      <c r="P246" s="137">
        <v>91.4661</v>
      </c>
    </row>
    <row r="247" spans="1:16">
      <c r="A247" s="139">
        <v>45386</v>
      </c>
      <c r="B247" s="137">
        <v>89.23</v>
      </c>
      <c r="C247" s="137">
        <v>0.84</v>
      </c>
      <c r="E247" s="137">
        <f t="shared" si="6"/>
        <v>112.210764587525</v>
      </c>
      <c r="F247" s="137">
        <f t="shared" si="7"/>
        <v>105</v>
      </c>
      <c r="N247" s="139">
        <v>45750</v>
      </c>
      <c r="O247" s="137">
        <v>0.904814</v>
      </c>
      <c r="P247" s="137">
        <v>93.508</v>
      </c>
    </row>
    <row r="248" spans="1:16">
      <c r="A248" s="139">
        <v>45387</v>
      </c>
      <c r="B248" s="137">
        <v>91.55</v>
      </c>
      <c r="C248" s="137">
        <v>0.83</v>
      </c>
      <c r="E248" s="137">
        <f t="shared" si="6"/>
        <v>115.128269617706</v>
      </c>
      <c r="F248" s="137">
        <f t="shared" si="7"/>
        <v>103.75</v>
      </c>
      <c r="N248" s="139">
        <v>45751</v>
      </c>
      <c r="O248" s="137">
        <v>0.912742</v>
      </c>
      <c r="P248" s="137">
        <v>93.677</v>
      </c>
    </row>
    <row r="249" spans="1:16">
      <c r="A249" s="139">
        <v>45390</v>
      </c>
      <c r="B249" s="137">
        <v>89.95</v>
      </c>
      <c r="C249" s="137">
        <v>0.83</v>
      </c>
      <c r="E249" s="137">
        <f t="shared" si="6"/>
        <v>113.116197183099</v>
      </c>
      <c r="F249" s="137">
        <f t="shared" si="7"/>
        <v>103.75</v>
      </c>
      <c r="N249" s="139">
        <v>45754</v>
      </c>
      <c r="O249" s="137">
        <v>0.917052</v>
      </c>
      <c r="P249" s="137">
        <v>94.0974</v>
      </c>
    </row>
    <row r="250" spans="1:16">
      <c r="A250" s="139">
        <v>45391</v>
      </c>
      <c r="B250" s="137">
        <v>89.92</v>
      </c>
      <c r="C250" s="137">
        <v>0.83</v>
      </c>
      <c r="E250" s="137">
        <f t="shared" si="6"/>
        <v>113.07847082495</v>
      </c>
      <c r="F250" s="137">
        <f t="shared" si="7"/>
        <v>103.75</v>
      </c>
      <c r="N250" s="139">
        <v>45755</v>
      </c>
      <c r="O250" s="137">
        <v>0.912658</v>
      </c>
      <c r="P250" s="137">
        <v>93.9438</v>
      </c>
    </row>
    <row r="251" spans="1:16">
      <c r="A251" s="139">
        <v>45392</v>
      </c>
      <c r="B251" s="137">
        <v>89.51</v>
      </c>
      <c r="C251" s="137">
        <v>0.82</v>
      </c>
      <c r="E251" s="137">
        <f t="shared" si="6"/>
        <v>112.562877263581</v>
      </c>
      <c r="F251" s="137">
        <f t="shared" si="7"/>
        <v>102.5</v>
      </c>
      <c r="N251" s="139">
        <v>45756</v>
      </c>
      <c r="O251" s="137">
        <v>0.913117</v>
      </c>
      <c r="P251" s="137">
        <v>95.2348</v>
      </c>
    </row>
    <row r="252" spans="1:16">
      <c r="A252" s="139">
        <v>45393</v>
      </c>
      <c r="B252" s="137">
        <v>90.06</v>
      </c>
      <c r="C252" s="137">
        <v>0.8</v>
      </c>
      <c r="E252" s="137">
        <f t="shared" si="6"/>
        <v>113.254527162978</v>
      </c>
      <c r="F252" s="137">
        <f t="shared" si="7"/>
        <v>100</v>
      </c>
      <c r="N252" s="139">
        <v>45757</v>
      </c>
      <c r="O252" s="137">
        <v>0.892977</v>
      </c>
      <c r="P252" s="137">
        <v>94.1958</v>
      </c>
    </row>
    <row r="253" spans="1:16">
      <c r="A253" s="139">
        <v>45394</v>
      </c>
      <c r="B253" s="137">
        <v>91.61</v>
      </c>
      <c r="C253" s="137">
        <v>0.79</v>
      </c>
      <c r="E253" s="137">
        <f t="shared" si="6"/>
        <v>115.203722334004</v>
      </c>
      <c r="F253" s="137">
        <f t="shared" si="7"/>
        <v>98.75</v>
      </c>
      <c r="N253" s="139">
        <v>45758</v>
      </c>
      <c r="O253" s="137">
        <v>0.880243</v>
      </c>
      <c r="P253" s="137">
        <v>94.8466</v>
      </c>
    </row>
    <row r="254" spans="1:16">
      <c r="A254" s="139">
        <v>45397</v>
      </c>
      <c r="B254" s="137">
        <v>89.55</v>
      </c>
      <c r="C254" s="137">
        <v>0.79</v>
      </c>
      <c r="E254" s="137">
        <f t="shared" si="6"/>
        <v>112.613179074447</v>
      </c>
      <c r="F254" s="137">
        <f t="shared" si="7"/>
        <v>98.75</v>
      </c>
      <c r="N254" s="139">
        <v>45761</v>
      </c>
      <c r="O254" s="137">
        <v>0.881096</v>
      </c>
      <c r="P254" s="137">
        <v>93.4978</v>
      </c>
    </row>
    <row r="255" spans="1:16">
      <c r="A255" s="139">
        <v>45398</v>
      </c>
      <c r="B255" s="137">
        <v>90.25</v>
      </c>
      <c r="C255" s="137">
        <v>0.78</v>
      </c>
      <c r="E255" s="137">
        <f t="shared" si="6"/>
        <v>113.493460764588</v>
      </c>
      <c r="F255" s="137">
        <f t="shared" si="7"/>
        <v>97.5</v>
      </c>
      <c r="N255" s="139">
        <v>45762</v>
      </c>
      <c r="O255" s="137">
        <v>0.886368</v>
      </c>
      <c r="P255" s="137">
        <v>93.5127</v>
      </c>
    </row>
    <row r="256" spans="1:16">
      <c r="A256" s="139">
        <v>45399</v>
      </c>
      <c r="B256" s="137">
        <v>88.88</v>
      </c>
      <c r="C256" s="137">
        <v>0.77</v>
      </c>
      <c r="E256" s="137">
        <f t="shared" si="6"/>
        <v>111.770623742455</v>
      </c>
      <c r="F256" s="137">
        <f t="shared" si="7"/>
        <v>96.25</v>
      </c>
      <c r="N256" s="139">
        <v>45763</v>
      </c>
      <c r="O256" s="137">
        <v>0.877309</v>
      </c>
      <c r="P256" s="137">
        <v>94.4749</v>
      </c>
    </row>
    <row r="257" spans="1:16">
      <c r="A257" s="139">
        <v>45400</v>
      </c>
      <c r="B257" s="137">
        <v>87.13</v>
      </c>
      <c r="C257" s="137">
        <v>0.76</v>
      </c>
      <c r="E257" s="137">
        <f t="shared" si="6"/>
        <v>109.569919517103</v>
      </c>
      <c r="F257" s="137">
        <f t="shared" si="7"/>
        <v>95</v>
      </c>
      <c r="N257" s="139">
        <v>45764</v>
      </c>
      <c r="O257" s="137">
        <v>0.879933</v>
      </c>
      <c r="P257" s="137">
        <v>92.9323</v>
      </c>
    </row>
    <row r="258" spans="1:16">
      <c r="A258" s="139">
        <v>45401</v>
      </c>
      <c r="B258" s="137">
        <v>87.3</v>
      </c>
      <c r="C258" s="137">
        <v>0.77</v>
      </c>
      <c r="E258" s="137">
        <f t="shared" si="6"/>
        <v>109.78370221328</v>
      </c>
      <c r="F258" s="137">
        <f t="shared" si="7"/>
        <v>96.25</v>
      </c>
      <c r="N258" s="139">
        <v>45765</v>
      </c>
      <c r="O258" s="137">
        <v>0.877771</v>
      </c>
      <c r="P258" s="137">
        <v>92.9323</v>
      </c>
    </row>
    <row r="259" spans="1:16">
      <c r="A259" s="139">
        <v>45404</v>
      </c>
      <c r="B259" s="137">
        <v>86.96</v>
      </c>
      <c r="C259" s="137">
        <v>0.78</v>
      </c>
      <c r="E259" s="137">
        <f t="shared" si="6"/>
        <v>109.356136820926</v>
      </c>
      <c r="F259" s="137">
        <f t="shared" si="7"/>
        <v>97.5</v>
      </c>
      <c r="N259" s="139">
        <v>45768</v>
      </c>
      <c r="O259" s="137">
        <v>0.86847</v>
      </c>
      <c r="P259" s="137">
        <v>93.1379</v>
      </c>
    </row>
    <row r="260" spans="1:16">
      <c r="A260" s="139">
        <v>45405</v>
      </c>
      <c r="B260" s="137">
        <v>87.77</v>
      </c>
      <c r="C260" s="137">
        <v>0.77</v>
      </c>
      <c r="E260" s="137">
        <f t="shared" si="6"/>
        <v>110.374748490946</v>
      </c>
      <c r="F260" s="137">
        <f t="shared" si="7"/>
        <v>96.25</v>
      </c>
      <c r="N260" s="139">
        <v>45769</v>
      </c>
      <c r="O260" s="137">
        <v>0.875619</v>
      </c>
      <c r="P260" s="137">
        <v>93.6605</v>
      </c>
    </row>
    <row r="261" spans="1:16">
      <c r="A261" s="139">
        <v>45406</v>
      </c>
      <c r="B261" s="137">
        <v>88.28</v>
      </c>
      <c r="C261" s="137">
        <v>0.77</v>
      </c>
      <c r="E261" s="137">
        <f t="shared" ref="E261:E324" si="8">B261/$B$3*$E$3</f>
        <v>111.016096579477</v>
      </c>
      <c r="F261" s="137">
        <f t="shared" ref="F261:F324" si="9">C261/$C$3*$F$3</f>
        <v>96.25</v>
      </c>
      <c r="N261" s="139">
        <v>45770</v>
      </c>
      <c r="O261" s="137">
        <v>0.883782</v>
      </c>
      <c r="P261" s="137">
        <v>94.6023</v>
      </c>
    </row>
    <row r="262" spans="1:16">
      <c r="A262" s="139">
        <v>45407</v>
      </c>
      <c r="B262" s="137">
        <v>87.64</v>
      </c>
      <c r="C262" s="137">
        <v>0.77</v>
      </c>
      <c r="E262" s="137">
        <f t="shared" si="8"/>
        <v>110.211267605634</v>
      </c>
      <c r="F262" s="137">
        <f t="shared" si="9"/>
        <v>96.25</v>
      </c>
      <c r="N262" s="139">
        <v>45771</v>
      </c>
      <c r="O262" s="137">
        <v>0.878001</v>
      </c>
      <c r="P262" s="137">
        <v>94.6845</v>
      </c>
    </row>
    <row r="263" spans="1:16">
      <c r="A263" s="139">
        <v>45408</v>
      </c>
      <c r="B263" s="137">
        <v>89.58</v>
      </c>
      <c r="C263" s="137">
        <v>0.77</v>
      </c>
      <c r="E263" s="137">
        <f t="shared" si="8"/>
        <v>112.650905432596</v>
      </c>
      <c r="F263" s="137">
        <f t="shared" si="9"/>
        <v>96.25</v>
      </c>
      <c r="N263" s="139">
        <v>45772</v>
      </c>
      <c r="O263" s="137">
        <v>0.879894</v>
      </c>
      <c r="P263" s="137">
        <v>94.1881</v>
      </c>
    </row>
    <row r="264" spans="1:16">
      <c r="A264" s="139">
        <v>45411</v>
      </c>
      <c r="B264" s="137">
        <v>88.26</v>
      </c>
      <c r="C264" s="137">
        <v>0.77</v>
      </c>
      <c r="E264" s="137">
        <f t="shared" si="8"/>
        <v>110.990945674044</v>
      </c>
      <c r="F264" s="137">
        <f t="shared" si="9"/>
        <v>96.25</v>
      </c>
      <c r="N264" s="139">
        <v>45775</v>
      </c>
      <c r="O264" s="137">
        <v>0.875503</v>
      </c>
      <c r="P264" s="137">
        <v>94.5027</v>
      </c>
    </row>
    <row r="265" spans="1:16">
      <c r="A265" s="139">
        <v>45412</v>
      </c>
      <c r="B265" s="137">
        <v>87.91</v>
      </c>
      <c r="C265" s="137">
        <v>0.74</v>
      </c>
      <c r="E265" s="137">
        <f t="shared" si="8"/>
        <v>110.550804828974</v>
      </c>
      <c r="F265" s="137">
        <f t="shared" si="9"/>
        <v>92.5</v>
      </c>
      <c r="N265" s="139">
        <v>45776</v>
      </c>
      <c r="O265" s="137">
        <v>0.87831</v>
      </c>
      <c r="P265" s="137">
        <v>93.3732</v>
      </c>
    </row>
    <row r="266" spans="1:16">
      <c r="A266" s="139">
        <v>45413</v>
      </c>
      <c r="B266" s="137">
        <v>84.22</v>
      </c>
      <c r="C266" s="137">
        <v>0.72</v>
      </c>
      <c r="E266" s="137">
        <f t="shared" si="8"/>
        <v>105.91046277666</v>
      </c>
      <c r="F266" s="137">
        <f t="shared" si="9"/>
        <v>90</v>
      </c>
      <c r="N266" s="139">
        <v>45777</v>
      </c>
      <c r="O266" s="137">
        <v>0.88273</v>
      </c>
      <c r="P266" s="137">
        <v>93.2136</v>
      </c>
    </row>
    <row r="267" spans="1:16">
      <c r="A267" s="139">
        <v>45414</v>
      </c>
      <c r="B267" s="137">
        <v>83.72</v>
      </c>
      <c r="C267" s="137">
        <v>0.71</v>
      </c>
      <c r="E267" s="137">
        <f t="shared" si="8"/>
        <v>105.281690140845</v>
      </c>
      <c r="F267" s="137">
        <f t="shared" si="9"/>
        <v>88.75</v>
      </c>
      <c r="N267" s="139">
        <v>45778</v>
      </c>
      <c r="O267" s="137">
        <v>0.885544</v>
      </c>
      <c r="P267" s="137">
        <v>92.3674</v>
      </c>
    </row>
    <row r="268" spans="1:16">
      <c r="A268" s="139">
        <v>45415</v>
      </c>
      <c r="B268" s="137">
        <v>83.48</v>
      </c>
      <c r="C268" s="137">
        <v>0.74</v>
      </c>
      <c r="E268" s="137">
        <f t="shared" si="8"/>
        <v>104.979879275654</v>
      </c>
      <c r="F268" s="137">
        <f t="shared" si="9"/>
        <v>92.5</v>
      </c>
      <c r="N268" s="139">
        <v>45779</v>
      </c>
      <c r="O268" s="137">
        <v>0.885269</v>
      </c>
      <c r="P268" s="137">
        <v>94.0785</v>
      </c>
    </row>
    <row r="269" spans="1:16">
      <c r="A269" s="139">
        <v>45418</v>
      </c>
      <c r="B269" s="137">
        <v>83.48</v>
      </c>
      <c r="C269" s="137">
        <v>0.73</v>
      </c>
      <c r="E269" s="137">
        <f t="shared" si="8"/>
        <v>104.979879275654</v>
      </c>
      <c r="F269" s="137">
        <f t="shared" si="9"/>
        <v>91.25</v>
      </c>
      <c r="N269" s="139">
        <v>45782</v>
      </c>
      <c r="O269" s="137">
        <v>0.883822</v>
      </c>
      <c r="P269" s="137">
        <v>91.85</v>
      </c>
    </row>
    <row r="270" spans="1:16">
      <c r="A270" s="139">
        <v>45419</v>
      </c>
      <c r="B270" s="137">
        <v>83.16</v>
      </c>
      <c r="C270" s="137">
        <v>0.73</v>
      </c>
      <c r="E270" s="137">
        <f t="shared" si="8"/>
        <v>104.577464788732</v>
      </c>
      <c r="F270" s="137">
        <f t="shared" si="9"/>
        <v>91.25</v>
      </c>
      <c r="N270" s="139">
        <v>45783</v>
      </c>
      <c r="O270" s="137">
        <v>0.879547</v>
      </c>
      <c r="P270" s="137">
        <v>92.0445</v>
      </c>
    </row>
    <row r="271" spans="1:16">
      <c r="A271" s="139">
        <v>45420</v>
      </c>
      <c r="B271" s="137">
        <v>83.51</v>
      </c>
      <c r="C271" s="137">
        <v>0.76</v>
      </c>
      <c r="E271" s="137">
        <f t="shared" si="8"/>
        <v>105.017605633803</v>
      </c>
      <c r="F271" s="137">
        <f t="shared" si="9"/>
        <v>95</v>
      </c>
      <c r="N271" s="139">
        <v>45784</v>
      </c>
      <c r="O271" s="137">
        <v>0.884956</v>
      </c>
      <c r="P271" s="137">
        <v>92.219</v>
      </c>
    </row>
    <row r="272" spans="1:16">
      <c r="A272" s="139">
        <v>45421</v>
      </c>
      <c r="B272" s="137">
        <v>83.71</v>
      </c>
      <c r="C272" s="137">
        <v>0.74</v>
      </c>
      <c r="E272" s="137">
        <f t="shared" si="8"/>
        <v>105.269114688129</v>
      </c>
      <c r="F272" s="137">
        <f t="shared" si="9"/>
        <v>92.5</v>
      </c>
      <c r="N272" s="139">
        <v>45785</v>
      </c>
      <c r="O272" s="137">
        <v>0.890631</v>
      </c>
      <c r="P272" s="137">
        <v>93.0395</v>
      </c>
    </row>
    <row r="273" spans="1:16">
      <c r="A273" s="139">
        <v>45422</v>
      </c>
      <c r="B273" s="137">
        <v>83.67</v>
      </c>
      <c r="C273" s="137">
        <v>0.73</v>
      </c>
      <c r="E273" s="137">
        <f t="shared" si="8"/>
        <v>105.218812877264</v>
      </c>
      <c r="F273" s="137">
        <f t="shared" si="9"/>
        <v>91.25</v>
      </c>
      <c r="N273" s="139">
        <v>45786</v>
      </c>
      <c r="O273" s="137">
        <v>0.889047</v>
      </c>
      <c r="P273" s="137">
        <v>94.3738</v>
      </c>
    </row>
    <row r="274" spans="1:16">
      <c r="A274" s="139">
        <v>45425</v>
      </c>
      <c r="B274" s="137">
        <v>83.17</v>
      </c>
      <c r="C274" s="137">
        <v>0.73</v>
      </c>
      <c r="E274" s="137">
        <f t="shared" si="8"/>
        <v>104.590040241449</v>
      </c>
      <c r="F274" s="137">
        <f t="shared" si="9"/>
        <v>91.25</v>
      </c>
      <c r="N274" s="139">
        <v>45789</v>
      </c>
      <c r="O274" s="137">
        <v>0.901916</v>
      </c>
      <c r="P274" s="137">
        <v>89.8684</v>
      </c>
    </row>
    <row r="275" spans="1:16">
      <c r="A275" s="139">
        <v>45426</v>
      </c>
      <c r="B275" s="137">
        <v>82.38</v>
      </c>
      <c r="C275" s="137">
        <v>0.7</v>
      </c>
      <c r="E275" s="137">
        <f t="shared" si="8"/>
        <v>103.596579476861</v>
      </c>
      <c r="F275" s="137">
        <f t="shared" si="9"/>
        <v>87.5</v>
      </c>
      <c r="N275" s="139">
        <v>45790</v>
      </c>
      <c r="O275" s="137">
        <v>0.894014</v>
      </c>
      <c r="P275" s="137">
        <v>89.6908</v>
      </c>
    </row>
    <row r="276" spans="1:16">
      <c r="A276" s="139">
        <v>45427</v>
      </c>
      <c r="B276" s="137">
        <v>82.55</v>
      </c>
      <c r="C276" s="137">
        <v>0.71</v>
      </c>
      <c r="E276" s="137">
        <f t="shared" si="8"/>
        <v>103.810362173038</v>
      </c>
      <c r="F276" s="137">
        <f t="shared" si="9"/>
        <v>88.75</v>
      </c>
      <c r="N276" s="139">
        <v>45791</v>
      </c>
      <c r="O276" s="137">
        <v>0.894854</v>
      </c>
      <c r="P276" s="137">
        <v>90.1286</v>
      </c>
    </row>
    <row r="277" spans="1:16">
      <c r="A277" s="139">
        <v>45428</v>
      </c>
      <c r="B277" s="137">
        <v>83.08</v>
      </c>
      <c r="C277" s="137">
        <v>0.72</v>
      </c>
      <c r="E277" s="137">
        <f t="shared" si="8"/>
        <v>104.476861167002</v>
      </c>
      <c r="F277" s="137">
        <f t="shared" si="9"/>
        <v>90</v>
      </c>
      <c r="N277" s="139">
        <v>45792</v>
      </c>
      <c r="O277" s="137">
        <v>0.893735</v>
      </c>
      <c r="P277" s="137">
        <v>90.0554</v>
      </c>
    </row>
    <row r="278" spans="1:16">
      <c r="A278" s="139">
        <v>45429</v>
      </c>
      <c r="B278" s="137">
        <v>83.67</v>
      </c>
      <c r="C278" s="137">
        <v>0.72</v>
      </c>
      <c r="E278" s="137">
        <f t="shared" si="8"/>
        <v>105.218812877264</v>
      </c>
      <c r="F278" s="137">
        <f t="shared" si="9"/>
        <v>90</v>
      </c>
      <c r="N278" s="139">
        <v>45793</v>
      </c>
      <c r="O278" s="137">
        <v>0.895776</v>
      </c>
      <c r="P278" s="137">
        <v>90.025</v>
      </c>
    </row>
    <row r="279" spans="1:16">
      <c r="A279" s="139">
        <v>45432</v>
      </c>
      <c r="B279" s="137">
        <v>83.92</v>
      </c>
      <c r="C279" s="137">
        <v>0.72</v>
      </c>
      <c r="E279" s="137">
        <f t="shared" si="8"/>
        <v>105.533199195171</v>
      </c>
      <c r="F279" s="137">
        <f t="shared" si="9"/>
        <v>90</v>
      </c>
      <c r="N279" s="139">
        <v>45796</v>
      </c>
      <c r="O279" s="137">
        <v>0.889403</v>
      </c>
      <c r="P279" s="137">
        <v>90.2813</v>
      </c>
    </row>
    <row r="280" spans="1:16">
      <c r="A280" s="139">
        <v>45433</v>
      </c>
      <c r="B280" s="137">
        <v>83.08</v>
      </c>
      <c r="C280" s="137">
        <v>0.72</v>
      </c>
      <c r="E280" s="137">
        <f t="shared" si="8"/>
        <v>104.476861167002</v>
      </c>
      <c r="F280" s="137">
        <f t="shared" si="9"/>
        <v>90</v>
      </c>
      <c r="N280" s="139">
        <v>45797</v>
      </c>
      <c r="O280" s="137">
        <v>0.886289</v>
      </c>
      <c r="P280" s="137">
        <v>90.9932</v>
      </c>
    </row>
    <row r="281" spans="1:16">
      <c r="A281" s="139">
        <v>45434</v>
      </c>
      <c r="B281" s="137">
        <v>82.17</v>
      </c>
      <c r="C281" s="137">
        <v>0.75</v>
      </c>
      <c r="E281" s="137">
        <f t="shared" si="8"/>
        <v>103.332494969819</v>
      </c>
      <c r="F281" s="137">
        <f t="shared" si="9"/>
        <v>93.75</v>
      </c>
      <c r="N281" s="139">
        <v>45798</v>
      </c>
      <c r="O281" s="137">
        <v>0.882535</v>
      </c>
      <c r="P281" s="137">
        <v>90.6146</v>
      </c>
    </row>
    <row r="282" spans="1:16">
      <c r="A282" s="139">
        <v>45435</v>
      </c>
      <c r="B282" s="137">
        <v>81.64</v>
      </c>
      <c r="C282" s="137">
        <v>0.78</v>
      </c>
      <c r="E282" s="137">
        <f t="shared" si="8"/>
        <v>102.665995975855</v>
      </c>
      <c r="F282" s="137">
        <f t="shared" si="9"/>
        <v>97.5</v>
      </c>
      <c r="N282" s="139">
        <v>45799</v>
      </c>
      <c r="O282" s="137">
        <v>0.886486</v>
      </c>
      <c r="P282" s="137">
        <v>89.8615</v>
      </c>
    </row>
    <row r="283" spans="1:16">
      <c r="A283" s="139">
        <v>45436</v>
      </c>
      <c r="B283" s="137">
        <v>81.73</v>
      </c>
      <c r="C283" s="137">
        <v>0.77</v>
      </c>
      <c r="E283" s="137">
        <f t="shared" si="8"/>
        <v>102.779175050302</v>
      </c>
      <c r="F283" s="137">
        <f t="shared" si="9"/>
        <v>96.25</v>
      </c>
      <c r="N283" s="139">
        <v>45800</v>
      </c>
      <c r="O283" s="137">
        <v>0.879894</v>
      </c>
      <c r="P283" s="137">
        <v>90.1889</v>
      </c>
    </row>
    <row r="284" spans="1:16">
      <c r="A284" s="139">
        <v>45439</v>
      </c>
      <c r="B284" s="137">
        <v>81.73</v>
      </c>
      <c r="C284" s="137">
        <v>0.77</v>
      </c>
      <c r="E284" s="137">
        <f t="shared" si="8"/>
        <v>102.779175050302</v>
      </c>
      <c r="F284" s="137">
        <f t="shared" si="9"/>
        <v>96.25</v>
      </c>
      <c r="N284" s="139">
        <v>45803</v>
      </c>
      <c r="O284" s="137">
        <v>0.878118</v>
      </c>
      <c r="P284" s="137">
        <v>90.7915</v>
      </c>
    </row>
    <row r="285" spans="1:16">
      <c r="A285" s="139">
        <v>45440</v>
      </c>
      <c r="B285" s="137">
        <v>83.96</v>
      </c>
      <c r="C285" s="137">
        <v>0.79</v>
      </c>
      <c r="E285" s="137">
        <f t="shared" si="8"/>
        <v>105.583501006036</v>
      </c>
      <c r="F285" s="137">
        <f t="shared" si="9"/>
        <v>98.75</v>
      </c>
      <c r="N285" s="139">
        <v>45804</v>
      </c>
      <c r="O285" s="137">
        <v>0.88269</v>
      </c>
      <c r="P285" s="137">
        <v>91.0156</v>
      </c>
    </row>
    <row r="286" spans="1:16">
      <c r="A286" s="139">
        <v>45441</v>
      </c>
      <c r="B286" s="137">
        <v>83.74</v>
      </c>
      <c r="C286" s="137">
        <v>0.77</v>
      </c>
      <c r="E286" s="137">
        <f t="shared" si="8"/>
        <v>105.306841046278</v>
      </c>
      <c r="F286" s="137">
        <f t="shared" si="9"/>
        <v>96.25</v>
      </c>
      <c r="N286" s="139">
        <v>45805</v>
      </c>
      <c r="O286" s="137">
        <v>0.885504</v>
      </c>
      <c r="P286" s="137">
        <v>90.1335</v>
      </c>
    </row>
    <row r="287" spans="1:16">
      <c r="A287" s="139">
        <v>45442</v>
      </c>
      <c r="B287" s="137">
        <v>82.69</v>
      </c>
      <c r="C287" s="137">
        <v>0.74</v>
      </c>
      <c r="E287" s="137">
        <f t="shared" si="8"/>
        <v>103.986418511066</v>
      </c>
      <c r="F287" s="137">
        <f t="shared" si="9"/>
        <v>92.5</v>
      </c>
      <c r="N287" s="139">
        <v>45806</v>
      </c>
      <c r="O287" s="137">
        <v>0.879353</v>
      </c>
      <c r="P287" s="137">
        <v>89.2717</v>
      </c>
    </row>
    <row r="288" spans="1:16">
      <c r="A288" s="139">
        <v>45443</v>
      </c>
      <c r="B288" s="137">
        <v>81.8</v>
      </c>
      <c r="C288" s="137">
        <v>0.72</v>
      </c>
      <c r="E288" s="137">
        <f t="shared" si="8"/>
        <v>102.867203219316</v>
      </c>
      <c r="F288" s="137">
        <f t="shared" si="9"/>
        <v>90</v>
      </c>
      <c r="N288" s="139">
        <v>45807</v>
      </c>
      <c r="O288" s="137">
        <v>0.881213</v>
      </c>
      <c r="P288" s="137">
        <v>89.2591</v>
      </c>
    </row>
    <row r="289" spans="1:16">
      <c r="A289" s="139">
        <v>45446</v>
      </c>
      <c r="B289" s="137">
        <v>78.51</v>
      </c>
      <c r="C289" s="137">
        <v>0.69</v>
      </c>
      <c r="E289" s="137">
        <f t="shared" si="8"/>
        <v>98.7298792756539</v>
      </c>
      <c r="F289" s="137">
        <f t="shared" si="9"/>
        <v>86.25</v>
      </c>
      <c r="N289" s="139">
        <v>45810</v>
      </c>
      <c r="O289" s="137">
        <v>0.873973</v>
      </c>
      <c r="P289" s="137">
        <v>90.6264</v>
      </c>
    </row>
    <row r="290" spans="1:16">
      <c r="A290" s="139">
        <v>45447</v>
      </c>
      <c r="B290" s="137">
        <v>77.58</v>
      </c>
      <c r="C290" s="137">
        <v>0.7</v>
      </c>
      <c r="E290" s="137">
        <f t="shared" si="8"/>
        <v>97.5603621730382</v>
      </c>
      <c r="F290" s="137">
        <f t="shared" si="9"/>
        <v>87.5</v>
      </c>
      <c r="N290" s="139">
        <v>45811</v>
      </c>
      <c r="O290" s="137">
        <v>0.879392</v>
      </c>
      <c r="P290" s="137">
        <v>89.9724</v>
      </c>
    </row>
    <row r="291" spans="1:16">
      <c r="A291" s="139">
        <v>45448</v>
      </c>
      <c r="B291" s="137">
        <v>77.38</v>
      </c>
      <c r="C291" s="137">
        <v>0.71</v>
      </c>
      <c r="E291" s="137">
        <f t="shared" si="8"/>
        <v>97.3088531187123</v>
      </c>
      <c r="F291" s="137">
        <f t="shared" si="9"/>
        <v>88.75</v>
      </c>
      <c r="N291" s="139">
        <v>45812</v>
      </c>
      <c r="O291" s="137">
        <v>0.875848</v>
      </c>
      <c r="P291" s="137">
        <v>90.6106</v>
      </c>
    </row>
    <row r="292" spans="1:16">
      <c r="A292" s="139">
        <v>45449</v>
      </c>
      <c r="B292" s="137">
        <v>79.71</v>
      </c>
      <c r="C292" s="137">
        <v>0.72</v>
      </c>
      <c r="E292" s="137">
        <f t="shared" si="8"/>
        <v>100.23893360161</v>
      </c>
      <c r="F292" s="137">
        <f t="shared" si="9"/>
        <v>90</v>
      </c>
      <c r="N292" s="139">
        <v>45813</v>
      </c>
      <c r="O292" s="137">
        <v>0.873744</v>
      </c>
      <c r="P292" s="137">
        <v>90.944</v>
      </c>
    </row>
    <row r="293" spans="1:16">
      <c r="A293" s="139">
        <v>45450</v>
      </c>
      <c r="B293" s="137">
        <v>79.68</v>
      </c>
      <c r="C293" s="137">
        <v>0.7</v>
      </c>
      <c r="E293" s="137">
        <f t="shared" si="8"/>
        <v>100.201207243461</v>
      </c>
      <c r="F293" s="137">
        <f t="shared" si="9"/>
        <v>87.5</v>
      </c>
      <c r="N293" s="139">
        <v>45814</v>
      </c>
      <c r="O293" s="137">
        <v>0.877578</v>
      </c>
      <c r="P293" s="137">
        <v>90.2294</v>
      </c>
    </row>
    <row r="294" spans="1:16">
      <c r="A294" s="139">
        <v>45453</v>
      </c>
      <c r="B294" s="137">
        <v>81.13</v>
      </c>
      <c r="C294" s="137">
        <v>0.68</v>
      </c>
      <c r="E294" s="137">
        <f t="shared" si="8"/>
        <v>102.024647887324</v>
      </c>
      <c r="F294" s="137">
        <f t="shared" si="9"/>
        <v>85</v>
      </c>
      <c r="N294" s="139">
        <v>45817</v>
      </c>
      <c r="O294" s="137">
        <v>0.87558</v>
      </c>
      <c r="P294" s="137">
        <v>90.1272</v>
      </c>
    </row>
    <row r="295" spans="1:16">
      <c r="A295" s="139">
        <v>45454</v>
      </c>
      <c r="B295" s="137">
        <v>81.78</v>
      </c>
      <c r="C295" s="137">
        <v>0.69</v>
      </c>
      <c r="E295" s="137">
        <f t="shared" si="8"/>
        <v>102.842052313883</v>
      </c>
      <c r="F295" s="137">
        <f t="shared" si="9"/>
        <v>86.25</v>
      </c>
      <c r="N295" s="139">
        <v>45818</v>
      </c>
      <c r="O295" s="137">
        <v>0.875274</v>
      </c>
      <c r="P295" s="137">
        <v>89.6085</v>
      </c>
    </row>
    <row r="296" spans="1:16">
      <c r="A296" s="139">
        <v>45455</v>
      </c>
      <c r="B296" s="137">
        <v>82.16</v>
      </c>
      <c r="C296" s="137">
        <v>0.68</v>
      </c>
      <c r="E296" s="137">
        <f t="shared" si="8"/>
        <v>103.319919517103</v>
      </c>
      <c r="F296" s="137">
        <f t="shared" si="9"/>
        <v>85</v>
      </c>
      <c r="N296" s="139">
        <v>45819</v>
      </c>
      <c r="O296" s="137">
        <v>0.870511</v>
      </c>
      <c r="P296" s="137">
        <v>91.1424</v>
      </c>
    </row>
    <row r="297" spans="1:16">
      <c r="A297" s="139">
        <v>45456</v>
      </c>
      <c r="B297" s="137">
        <v>82.54</v>
      </c>
      <c r="C297" s="137">
        <v>0.68</v>
      </c>
      <c r="E297" s="137">
        <f t="shared" si="8"/>
        <v>103.797786720322</v>
      </c>
      <c r="F297" s="137">
        <f t="shared" si="9"/>
        <v>85</v>
      </c>
      <c r="N297" s="139">
        <v>45820</v>
      </c>
      <c r="O297" s="137">
        <v>0.863185</v>
      </c>
      <c r="P297" s="137">
        <v>92.3705</v>
      </c>
    </row>
    <row r="298" spans="1:16">
      <c r="A298" s="139">
        <v>45457</v>
      </c>
      <c r="B298" s="137">
        <v>82.58</v>
      </c>
      <c r="C298" s="137">
        <v>0.68</v>
      </c>
      <c r="E298" s="137">
        <f t="shared" si="8"/>
        <v>103.848088531187</v>
      </c>
      <c r="F298" s="137">
        <f t="shared" si="9"/>
        <v>85</v>
      </c>
      <c r="N298" s="139">
        <v>45821</v>
      </c>
      <c r="O298" s="137">
        <v>0.865614</v>
      </c>
      <c r="P298" s="137">
        <v>92.1461</v>
      </c>
    </row>
    <row r="299" spans="1:16">
      <c r="A299" s="139">
        <v>45460</v>
      </c>
      <c r="B299" s="137">
        <v>83.59</v>
      </c>
      <c r="C299" s="137">
        <v>0.67</v>
      </c>
      <c r="E299" s="137">
        <f t="shared" si="8"/>
        <v>105.118209255533</v>
      </c>
      <c r="F299" s="137">
        <f t="shared" si="9"/>
        <v>83.75</v>
      </c>
      <c r="N299" s="139">
        <v>45824</v>
      </c>
      <c r="O299" s="137">
        <v>0.864902</v>
      </c>
      <c r="P299" s="137">
        <v>91.1422</v>
      </c>
    </row>
    <row r="300" spans="1:16">
      <c r="A300" s="139">
        <v>45461</v>
      </c>
      <c r="B300" s="137">
        <v>85.08</v>
      </c>
      <c r="C300" s="137">
        <v>0.68</v>
      </c>
      <c r="E300" s="137">
        <f t="shared" si="8"/>
        <v>106.991951710262</v>
      </c>
      <c r="F300" s="137">
        <f t="shared" si="9"/>
        <v>85</v>
      </c>
      <c r="N300" s="139">
        <v>45825</v>
      </c>
      <c r="O300" s="137">
        <v>0.871042</v>
      </c>
      <c r="P300" s="137">
        <v>90.7752</v>
      </c>
    </row>
    <row r="301" spans="1:16">
      <c r="A301" s="139">
        <v>45462</v>
      </c>
      <c r="B301" s="137">
        <v>85.47</v>
      </c>
      <c r="C301" s="137">
        <v>0.68</v>
      </c>
      <c r="E301" s="137">
        <f t="shared" si="8"/>
        <v>107.482394366197</v>
      </c>
      <c r="F301" s="137">
        <f t="shared" si="9"/>
        <v>85</v>
      </c>
      <c r="N301" s="139">
        <v>45826</v>
      </c>
      <c r="O301" s="137">
        <v>0.871004</v>
      </c>
      <c r="P301" s="137">
        <v>90.5144</v>
      </c>
    </row>
    <row r="302" spans="1:16">
      <c r="A302" s="139">
        <v>45463</v>
      </c>
      <c r="B302" s="137">
        <v>85.37</v>
      </c>
      <c r="C302" s="137">
        <v>0.66</v>
      </c>
      <c r="E302" s="137">
        <f t="shared" si="8"/>
        <v>107.356639839034</v>
      </c>
      <c r="F302" s="137">
        <f t="shared" si="9"/>
        <v>82.5</v>
      </c>
      <c r="N302" s="139">
        <v>45827</v>
      </c>
      <c r="O302" s="137">
        <v>0.869944</v>
      </c>
      <c r="P302" s="137">
        <v>89.8844</v>
      </c>
    </row>
    <row r="303" spans="1:16">
      <c r="A303" s="139">
        <v>45464</v>
      </c>
      <c r="B303" s="137">
        <v>85.92</v>
      </c>
      <c r="C303" s="137">
        <v>0.66</v>
      </c>
      <c r="E303" s="137">
        <f t="shared" si="8"/>
        <v>108.048289738431</v>
      </c>
      <c r="F303" s="137">
        <f t="shared" si="9"/>
        <v>82.5</v>
      </c>
      <c r="N303" s="139">
        <v>45828</v>
      </c>
      <c r="O303" s="137">
        <v>0.867867</v>
      </c>
      <c r="P303" s="137">
        <v>90.3928</v>
      </c>
    </row>
    <row r="304" spans="1:16">
      <c r="A304" s="139">
        <v>45467</v>
      </c>
      <c r="B304" s="137">
        <v>85.91</v>
      </c>
      <c r="C304" s="137">
        <v>0.66</v>
      </c>
      <c r="E304" s="137">
        <f t="shared" si="8"/>
        <v>108.035714285714</v>
      </c>
      <c r="F304" s="137">
        <f t="shared" si="9"/>
        <v>82.5</v>
      </c>
      <c r="N304" s="139">
        <v>45831</v>
      </c>
      <c r="O304" s="137">
        <v>0.863744</v>
      </c>
      <c r="P304" s="137">
        <v>90.5145</v>
      </c>
    </row>
    <row r="305" spans="1:16">
      <c r="A305" s="139">
        <v>45468</v>
      </c>
      <c r="B305" s="137">
        <v>85.64</v>
      </c>
      <c r="C305" s="137">
        <v>0.68</v>
      </c>
      <c r="E305" s="137">
        <f t="shared" si="8"/>
        <v>107.696177062374</v>
      </c>
      <c r="F305" s="137">
        <f t="shared" si="9"/>
        <v>85</v>
      </c>
      <c r="N305" s="139">
        <v>45832</v>
      </c>
      <c r="O305" s="137">
        <v>0.861364</v>
      </c>
      <c r="P305" s="137">
        <v>91.0483</v>
      </c>
    </row>
    <row r="306" spans="1:16">
      <c r="A306" s="139">
        <v>45469</v>
      </c>
      <c r="B306" s="137">
        <v>85.64</v>
      </c>
      <c r="C306" s="137">
        <v>0.69</v>
      </c>
      <c r="E306" s="137">
        <f t="shared" si="8"/>
        <v>107.696177062374</v>
      </c>
      <c r="F306" s="137">
        <f t="shared" si="9"/>
        <v>86.25</v>
      </c>
      <c r="N306" s="139">
        <v>45833</v>
      </c>
      <c r="O306" s="137">
        <v>0.85767</v>
      </c>
      <c r="P306" s="137">
        <v>90.9344</v>
      </c>
    </row>
    <row r="307" spans="1:16">
      <c r="A307" s="139">
        <v>45470</v>
      </c>
      <c r="B307" s="137">
        <v>86.25</v>
      </c>
      <c r="C307" s="137">
        <v>0.68</v>
      </c>
      <c r="E307" s="137">
        <f t="shared" si="8"/>
        <v>108.463279678068</v>
      </c>
      <c r="F307" s="137">
        <f t="shared" si="9"/>
        <v>85</v>
      </c>
      <c r="N307" s="139">
        <v>45834</v>
      </c>
      <c r="O307" s="137">
        <v>0.854665</v>
      </c>
      <c r="P307" s="137">
        <v>92.2006</v>
      </c>
    </row>
    <row r="308" spans="1:16">
      <c r="A308" s="139">
        <v>45471</v>
      </c>
      <c r="B308" s="137">
        <v>86.43</v>
      </c>
      <c r="C308" s="137">
        <v>0.66</v>
      </c>
      <c r="E308" s="137">
        <f t="shared" si="8"/>
        <v>108.689637826962</v>
      </c>
      <c r="F308" s="137">
        <f t="shared" si="9"/>
        <v>82.5</v>
      </c>
      <c r="N308" s="139">
        <v>45835</v>
      </c>
      <c r="O308" s="137">
        <v>0.853242</v>
      </c>
      <c r="P308" s="137">
        <v>91.9864</v>
      </c>
    </row>
    <row r="309" spans="1:16">
      <c r="A309" s="139">
        <v>45474</v>
      </c>
      <c r="B309" s="137">
        <v>86.19</v>
      </c>
      <c r="C309" s="137">
        <v>0.66</v>
      </c>
      <c r="E309" s="137">
        <f t="shared" si="8"/>
        <v>108.387826961771</v>
      </c>
      <c r="F309" s="137">
        <f t="shared" si="9"/>
        <v>82.5</v>
      </c>
      <c r="N309" s="139">
        <v>45838</v>
      </c>
      <c r="O309" s="137">
        <v>0.848392</v>
      </c>
      <c r="P309" s="137">
        <v>91.7951</v>
      </c>
    </row>
    <row r="310" spans="1:16">
      <c r="A310" s="139">
        <v>45475</v>
      </c>
      <c r="B310" s="137">
        <v>87.01</v>
      </c>
      <c r="C310" s="137">
        <v>0.65</v>
      </c>
      <c r="E310" s="137">
        <f t="shared" si="8"/>
        <v>109.419014084507</v>
      </c>
      <c r="F310" s="137">
        <f t="shared" si="9"/>
        <v>81.25</v>
      </c>
      <c r="N310" s="139">
        <v>45839</v>
      </c>
      <c r="O310" s="137">
        <v>0.846991</v>
      </c>
      <c r="P310" s="137">
        <v>92.4613</v>
      </c>
    </row>
    <row r="311" spans="1:16">
      <c r="A311" s="139">
        <v>45476</v>
      </c>
      <c r="B311" s="137">
        <v>87.05</v>
      </c>
      <c r="C311" s="137">
        <v>0.65</v>
      </c>
      <c r="E311" s="137">
        <f t="shared" si="8"/>
        <v>109.469315895372</v>
      </c>
      <c r="F311" s="137">
        <f t="shared" si="9"/>
        <v>81.25</v>
      </c>
      <c r="N311" s="139">
        <v>45840</v>
      </c>
      <c r="O311" s="137">
        <v>0.847566</v>
      </c>
      <c r="P311" s="137">
        <v>92.728</v>
      </c>
    </row>
    <row r="312" spans="1:16">
      <c r="A312" s="139">
        <v>45477</v>
      </c>
      <c r="B312" s="137">
        <v>87.58</v>
      </c>
      <c r="C312" s="137">
        <v>0.65</v>
      </c>
      <c r="E312" s="137">
        <f t="shared" si="8"/>
        <v>110.135814889336</v>
      </c>
      <c r="F312" s="137">
        <f t="shared" si="9"/>
        <v>81.25</v>
      </c>
      <c r="N312" s="139">
        <v>45841</v>
      </c>
      <c r="O312" s="137">
        <v>0.850557</v>
      </c>
      <c r="P312" s="137">
        <v>92.933</v>
      </c>
    </row>
    <row r="313" spans="1:16">
      <c r="A313" s="139">
        <v>45478</v>
      </c>
      <c r="B313" s="137">
        <v>87.9</v>
      </c>
      <c r="C313" s="137">
        <v>0.63</v>
      </c>
      <c r="E313" s="137">
        <f t="shared" si="8"/>
        <v>110.538229376258</v>
      </c>
      <c r="F313" s="137">
        <f t="shared" si="9"/>
        <v>78.75</v>
      </c>
      <c r="N313" s="139">
        <v>45842</v>
      </c>
      <c r="O313" s="137">
        <v>0.848968</v>
      </c>
      <c r="P313" s="137">
        <v>92.7558</v>
      </c>
    </row>
    <row r="314" spans="1:16">
      <c r="A314" s="139">
        <v>45481</v>
      </c>
      <c r="B314" s="137">
        <v>86.22</v>
      </c>
      <c r="C314" s="137">
        <v>0.63</v>
      </c>
      <c r="E314" s="137">
        <f t="shared" si="8"/>
        <v>108.42555331992</v>
      </c>
      <c r="F314" s="137">
        <f t="shared" si="9"/>
        <v>78.75</v>
      </c>
      <c r="N314" s="139">
        <v>45845</v>
      </c>
      <c r="O314" s="137">
        <v>0.85408</v>
      </c>
      <c r="P314" s="137">
        <v>92.3821</v>
      </c>
    </row>
    <row r="315" spans="1:16">
      <c r="A315" s="139">
        <v>45482</v>
      </c>
      <c r="B315" s="137">
        <v>85</v>
      </c>
      <c r="C315" s="137">
        <v>0.63</v>
      </c>
      <c r="E315" s="137">
        <f t="shared" si="8"/>
        <v>106.891348088531</v>
      </c>
      <c r="F315" s="137">
        <f t="shared" si="9"/>
        <v>78.75</v>
      </c>
      <c r="N315" s="139">
        <v>45846</v>
      </c>
      <c r="O315" s="137">
        <v>0.852842</v>
      </c>
      <c r="P315" s="137">
        <v>91.4101</v>
      </c>
    </row>
    <row r="316" spans="1:16">
      <c r="A316" s="139">
        <v>45483</v>
      </c>
      <c r="B316" s="137">
        <v>85.51</v>
      </c>
      <c r="C316" s="137">
        <v>0.64</v>
      </c>
      <c r="E316" s="137">
        <f t="shared" si="8"/>
        <v>107.532696177062</v>
      </c>
      <c r="F316" s="137">
        <f t="shared" si="9"/>
        <v>80</v>
      </c>
      <c r="N316" s="139">
        <v>45847</v>
      </c>
      <c r="O316" s="137">
        <v>0.853206</v>
      </c>
      <c r="P316" s="137">
        <v>91.6153</v>
      </c>
    </row>
    <row r="317" spans="1:16">
      <c r="A317" s="139">
        <v>45484</v>
      </c>
      <c r="B317" s="137">
        <v>85.45</v>
      </c>
      <c r="C317" s="137">
        <v>0.64</v>
      </c>
      <c r="E317" s="137">
        <f t="shared" si="8"/>
        <v>107.457243460765</v>
      </c>
      <c r="F317" s="137">
        <f t="shared" si="9"/>
        <v>80</v>
      </c>
      <c r="N317" s="139">
        <v>45848</v>
      </c>
      <c r="O317" s="137">
        <v>0.854665</v>
      </c>
      <c r="P317" s="137">
        <v>90.9911</v>
      </c>
    </row>
    <row r="318" spans="1:16">
      <c r="A318" s="139">
        <v>45485</v>
      </c>
      <c r="B318" s="137">
        <v>85.9</v>
      </c>
      <c r="C318" s="137">
        <v>0.63</v>
      </c>
      <c r="E318" s="137">
        <f t="shared" si="8"/>
        <v>108.023138832998</v>
      </c>
      <c r="F318" s="137">
        <f t="shared" si="9"/>
        <v>78.75</v>
      </c>
      <c r="N318" s="139">
        <v>45849</v>
      </c>
      <c r="O318" s="137">
        <v>0.855432</v>
      </c>
      <c r="P318" s="137">
        <v>91.2095</v>
      </c>
    </row>
    <row r="319" spans="1:16">
      <c r="A319" s="139">
        <v>45488</v>
      </c>
      <c r="B319" s="137">
        <v>85</v>
      </c>
      <c r="C319" s="137">
        <v>0.65</v>
      </c>
      <c r="E319" s="137">
        <f t="shared" si="8"/>
        <v>106.891348088531</v>
      </c>
      <c r="F319" s="137">
        <f t="shared" si="9"/>
        <v>81.25</v>
      </c>
      <c r="N319" s="139">
        <v>45852</v>
      </c>
      <c r="O319" s="137">
        <v>0.857302</v>
      </c>
      <c r="P319" s="137">
        <v>91.2482</v>
      </c>
    </row>
    <row r="320" spans="1:16">
      <c r="A320" s="139">
        <v>45489</v>
      </c>
      <c r="B320" s="137">
        <v>84.14</v>
      </c>
      <c r="C320" s="137">
        <v>0.65</v>
      </c>
      <c r="E320" s="137">
        <f t="shared" si="8"/>
        <v>105.80985915493</v>
      </c>
      <c r="F320" s="137">
        <f t="shared" si="9"/>
        <v>81.25</v>
      </c>
      <c r="N320" s="139">
        <v>45853</v>
      </c>
      <c r="O320" s="137">
        <v>0.861995</v>
      </c>
      <c r="P320" s="137">
        <v>90.7076</v>
      </c>
    </row>
    <row r="321" spans="1:16">
      <c r="A321" s="139">
        <v>45490</v>
      </c>
      <c r="B321" s="137">
        <v>84.8</v>
      </c>
      <c r="C321" s="137">
        <v>0.66</v>
      </c>
      <c r="E321" s="137">
        <f t="shared" si="8"/>
        <v>106.639839034205</v>
      </c>
      <c r="F321" s="137">
        <f t="shared" si="9"/>
        <v>82.5</v>
      </c>
      <c r="N321" s="139">
        <v>45854</v>
      </c>
      <c r="O321" s="137">
        <v>0.859476</v>
      </c>
      <c r="P321" s="137">
        <v>90.7427</v>
      </c>
    </row>
    <row r="322" spans="1:16">
      <c r="A322" s="139">
        <v>45491</v>
      </c>
      <c r="B322" s="137">
        <v>85.07</v>
      </c>
      <c r="C322" s="137">
        <v>0.66</v>
      </c>
      <c r="E322" s="137">
        <f t="shared" si="8"/>
        <v>106.979376257545</v>
      </c>
      <c r="F322" s="137">
        <f t="shared" si="9"/>
        <v>82.5</v>
      </c>
      <c r="N322" s="139">
        <v>45855</v>
      </c>
      <c r="O322" s="137">
        <v>0.862366</v>
      </c>
      <c r="P322" s="137">
        <v>90.4405</v>
      </c>
    </row>
    <row r="323" spans="1:16">
      <c r="A323" s="139">
        <v>45492</v>
      </c>
      <c r="B323" s="137">
        <v>84.08</v>
      </c>
      <c r="C323" s="137">
        <v>0.65</v>
      </c>
      <c r="E323" s="137">
        <f t="shared" si="8"/>
        <v>105.734406438632</v>
      </c>
      <c r="F323" s="137">
        <f t="shared" si="9"/>
        <v>81.25</v>
      </c>
      <c r="N323" s="139">
        <v>45856</v>
      </c>
      <c r="O323" s="137">
        <v>0.860141</v>
      </c>
      <c r="P323" s="137">
        <v>91.433</v>
      </c>
    </row>
    <row r="324" spans="1:16">
      <c r="A324" s="139">
        <v>45495</v>
      </c>
      <c r="B324" s="137">
        <v>82.08</v>
      </c>
      <c r="C324" s="137">
        <v>0.65</v>
      </c>
      <c r="E324" s="137">
        <f t="shared" si="8"/>
        <v>103.219315895372</v>
      </c>
      <c r="F324" s="137">
        <f t="shared" si="9"/>
        <v>81.25</v>
      </c>
      <c r="N324" s="139">
        <v>45859</v>
      </c>
      <c r="O324" s="137">
        <v>0.85503</v>
      </c>
      <c r="P324" s="137">
        <v>91.5037</v>
      </c>
    </row>
    <row r="325" spans="1:16">
      <c r="A325" s="139">
        <v>45496</v>
      </c>
      <c r="B325" s="137">
        <v>80.86</v>
      </c>
      <c r="C325" s="137">
        <v>0.63</v>
      </c>
      <c r="E325" s="137">
        <f t="shared" ref="E325:E388" si="10">B325/$B$3*$E$3</f>
        <v>101.685110663984</v>
      </c>
      <c r="F325" s="137">
        <f t="shared" ref="F325:F388" si="11">C325/$C$3*$F$3</f>
        <v>78.75</v>
      </c>
      <c r="N325" s="139">
        <v>45860</v>
      </c>
      <c r="O325" s="137">
        <v>0.850738</v>
      </c>
      <c r="P325" s="137">
        <v>91.9416</v>
      </c>
    </row>
    <row r="326" spans="1:16">
      <c r="A326" s="139">
        <v>45497</v>
      </c>
      <c r="B326" s="137">
        <v>81.91</v>
      </c>
      <c r="C326" s="137">
        <v>0.62</v>
      </c>
      <c r="E326" s="137">
        <f t="shared" si="10"/>
        <v>103.005533199195</v>
      </c>
      <c r="F326" s="137">
        <f t="shared" si="11"/>
        <v>77.5</v>
      </c>
      <c r="N326" s="139">
        <v>45861</v>
      </c>
      <c r="O326" s="137">
        <v>0.849473</v>
      </c>
      <c r="P326" s="137">
        <v>91.8186</v>
      </c>
    </row>
    <row r="327" spans="1:16">
      <c r="A327" s="139">
        <v>45498</v>
      </c>
      <c r="B327" s="137">
        <v>81.7</v>
      </c>
      <c r="C327" s="137">
        <v>0.62</v>
      </c>
      <c r="E327" s="137">
        <f t="shared" si="10"/>
        <v>102.741448692153</v>
      </c>
      <c r="F327" s="137">
        <f t="shared" si="11"/>
        <v>77.5</v>
      </c>
      <c r="N327" s="139">
        <v>45862</v>
      </c>
      <c r="O327" s="137">
        <v>0.850702</v>
      </c>
      <c r="P327" s="137">
        <v>93.3672</v>
      </c>
    </row>
    <row r="328" spans="1:16">
      <c r="A328" s="139">
        <v>45499</v>
      </c>
      <c r="B328" s="137">
        <v>80.46</v>
      </c>
      <c r="C328" s="137">
        <v>0.61</v>
      </c>
      <c r="E328" s="137">
        <f t="shared" si="10"/>
        <v>101.182092555332</v>
      </c>
      <c r="F328" s="137">
        <f t="shared" si="11"/>
        <v>76.25</v>
      </c>
      <c r="N328" s="139">
        <v>45863</v>
      </c>
      <c r="O328" s="137">
        <v>0.851644</v>
      </c>
      <c r="P328" s="137">
        <v>93.0816</v>
      </c>
    </row>
    <row r="329" spans="1:16">
      <c r="A329" s="139">
        <v>45502</v>
      </c>
      <c r="B329" s="137">
        <v>80.06</v>
      </c>
      <c r="C329" s="137">
        <v>0.63</v>
      </c>
      <c r="E329" s="137">
        <f t="shared" si="10"/>
        <v>100.67907444668</v>
      </c>
      <c r="F329" s="137">
        <f t="shared" si="11"/>
        <v>78.75</v>
      </c>
      <c r="N329" s="139">
        <v>45866</v>
      </c>
      <c r="O329" s="137">
        <v>0.862887</v>
      </c>
      <c r="P329" s="137">
        <v>94.3802</v>
      </c>
    </row>
    <row r="330" spans="1:16">
      <c r="A330" s="139">
        <v>45503</v>
      </c>
      <c r="B330" s="137">
        <v>78.51</v>
      </c>
      <c r="C330" s="137">
        <v>0.63</v>
      </c>
      <c r="E330" s="137">
        <f t="shared" si="10"/>
        <v>98.7298792756539</v>
      </c>
      <c r="F330" s="137">
        <f t="shared" si="11"/>
        <v>78.75</v>
      </c>
      <c r="N330" s="139">
        <v>45867</v>
      </c>
      <c r="O330" s="137">
        <v>0.866101</v>
      </c>
      <c r="P330" s="137">
        <v>95.1183</v>
      </c>
    </row>
    <row r="331" spans="1:16">
      <c r="A331" s="139">
        <v>45504</v>
      </c>
      <c r="B331" s="137">
        <v>80.64</v>
      </c>
      <c r="C331" s="137">
        <v>0.63</v>
      </c>
      <c r="E331" s="137">
        <f t="shared" si="10"/>
        <v>101.408450704225</v>
      </c>
      <c r="F331" s="137">
        <f t="shared" si="11"/>
        <v>78.75</v>
      </c>
      <c r="N331" s="139">
        <v>45868</v>
      </c>
      <c r="O331" s="137">
        <v>0.87677</v>
      </c>
      <c r="P331" s="137">
        <v>92.8446</v>
      </c>
    </row>
    <row r="332" spans="1:16">
      <c r="A332" s="139">
        <v>45505</v>
      </c>
      <c r="B332" s="137">
        <v>80.36</v>
      </c>
      <c r="C332" s="137">
        <v>0.62</v>
      </c>
      <c r="E332" s="137">
        <f t="shared" si="10"/>
        <v>101.056338028169</v>
      </c>
      <c r="F332" s="137">
        <f t="shared" si="11"/>
        <v>77.5</v>
      </c>
      <c r="N332" s="139">
        <v>45869</v>
      </c>
      <c r="O332" s="137">
        <v>0.876002</v>
      </c>
      <c r="P332" s="137">
        <v>91.6785</v>
      </c>
    </row>
    <row r="333" spans="1:16">
      <c r="A333" s="139">
        <v>45506</v>
      </c>
      <c r="B333" s="137">
        <v>76.92</v>
      </c>
      <c r="C333" s="137">
        <v>0.63</v>
      </c>
      <c r="E333" s="137">
        <f t="shared" si="10"/>
        <v>96.7303822937626</v>
      </c>
      <c r="F333" s="137">
        <f t="shared" si="11"/>
        <v>78.75</v>
      </c>
      <c r="N333" s="139">
        <v>45870</v>
      </c>
      <c r="O333" s="137">
        <v>0.863148</v>
      </c>
      <c r="P333" s="137">
        <v>92.4361</v>
      </c>
    </row>
    <row r="334" spans="1:16">
      <c r="A334" s="139">
        <v>45509</v>
      </c>
      <c r="B334" s="137">
        <v>76.47</v>
      </c>
      <c r="C334" s="137">
        <v>0.62</v>
      </c>
      <c r="E334" s="137">
        <f t="shared" si="10"/>
        <v>96.1644869215292</v>
      </c>
      <c r="F334" s="137">
        <f t="shared" si="11"/>
        <v>77.5</v>
      </c>
      <c r="N334" s="139">
        <v>45873</v>
      </c>
      <c r="O334" s="137">
        <v>0.86423</v>
      </c>
      <c r="P334" s="137">
        <v>92.4293</v>
      </c>
    </row>
    <row r="335" spans="1:16">
      <c r="A335" s="139">
        <v>45510</v>
      </c>
      <c r="B335" s="137">
        <v>76.63</v>
      </c>
      <c r="C335" s="137">
        <v>0.62</v>
      </c>
      <c r="E335" s="137">
        <f t="shared" si="10"/>
        <v>96.3656941649899</v>
      </c>
      <c r="F335" s="137">
        <f t="shared" si="11"/>
        <v>77.5</v>
      </c>
      <c r="N335" s="139">
        <v>45874</v>
      </c>
      <c r="O335" s="137">
        <v>0.863894</v>
      </c>
      <c r="P335" s="137">
        <v>92.4702</v>
      </c>
    </row>
    <row r="336" spans="1:16">
      <c r="A336" s="139">
        <v>45511</v>
      </c>
      <c r="B336" s="137">
        <v>78.85</v>
      </c>
      <c r="C336" s="137">
        <v>0.62</v>
      </c>
      <c r="E336" s="137">
        <f t="shared" si="10"/>
        <v>99.157444668008</v>
      </c>
      <c r="F336" s="137">
        <f t="shared" si="11"/>
        <v>77.5</v>
      </c>
      <c r="N336" s="139">
        <v>45875</v>
      </c>
      <c r="O336" s="137">
        <v>0.85767</v>
      </c>
      <c r="P336" s="137">
        <v>93.2737</v>
      </c>
    </row>
    <row r="337" spans="1:16">
      <c r="A337" s="139">
        <v>45512</v>
      </c>
      <c r="B337" s="137">
        <v>78.92</v>
      </c>
      <c r="C337" s="137">
        <v>0.61</v>
      </c>
      <c r="E337" s="137">
        <f t="shared" si="10"/>
        <v>99.2454728370221</v>
      </c>
      <c r="F337" s="137">
        <f t="shared" si="11"/>
        <v>76.25</v>
      </c>
      <c r="N337" s="139">
        <v>45876</v>
      </c>
      <c r="O337" s="137">
        <v>0.857229</v>
      </c>
      <c r="P337" s="137">
        <v>92.0503</v>
      </c>
    </row>
    <row r="338" spans="1:16">
      <c r="A338" s="139">
        <v>45513</v>
      </c>
      <c r="B338" s="137">
        <v>79.49</v>
      </c>
      <c r="C338" s="137">
        <v>0.63</v>
      </c>
      <c r="E338" s="137">
        <f t="shared" si="10"/>
        <v>99.9622736418511</v>
      </c>
      <c r="F338" s="137">
        <f t="shared" si="11"/>
        <v>78.75</v>
      </c>
      <c r="N338" s="139">
        <v>45877</v>
      </c>
      <c r="O338" s="137">
        <v>0.859107</v>
      </c>
      <c r="P338" s="137">
        <v>93.2481</v>
      </c>
    </row>
    <row r="339" spans="1:16">
      <c r="A339" s="139">
        <v>45516</v>
      </c>
      <c r="B339" s="137">
        <v>80.91</v>
      </c>
      <c r="C339" s="137">
        <v>0.64</v>
      </c>
      <c r="E339" s="137">
        <f t="shared" si="10"/>
        <v>101.747987927565</v>
      </c>
      <c r="F339" s="137">
        <f t="shared" si="11"/>
        <v>80</v>
      </c>
      <c r="N339" s="139">
        <v>45880</v>
      </c>
      <c r="O339" s="137">
        <v>0.860919</v>
      </c>
      <c r="P339" s="137">
        <v>92.6021</v>
      </c>
    </row>
    <row r="340" spans="1:16">
      <c r="A340" s="139">
        <v>45517</v>
      </c>
      <c r="B340" s="137">
        <v>80.85</v>
      </c>
      <c r="C340" s="137">
        <v>0.63</v>
      </c>
      <c r="E340" s="137">
        <f t="shared" si="10"/>
        <v>101.672535211268</v>
      </c>
      <c r="F340" s="137">
        <f t="shared" si="11"/>
        <v>78.75</v>
      </c>
      <c r="N340" s="139">
        <v>45881</v>
      </c>
      <c r="O340" s="137">
        <v>0.856641</v>
      </c>
      <c r="P340" s="137">
        <v>92.9183</v>
      </c>
    </row>
    <row r="341" spans="1:16">
      <c r="A341" s="139">
        <v>45518</v>
      </c>
      <c r="B341" s="137">
        <v>80.31</v>
      </c>
      <c r="C341" s="137">
        <v>0.62</v>
      </c>
      <c r="E341" s="137">
        <f t="shared" si="10"/>
        <v>100.993460764588</v>
      </c>
      <c r="F341" s="137">
        <f t="shared" si="11"/>
        <v>77.5</v>
      </c>
      <c r="N341" s="139">
        <v>45882</v>
      </c>
      <c r="O341" s="137">
        <v>0.854263</v>
      </c>
      <c r="P341" s="137">
        <v>93.1701</v>
      </c>
    </row>
    <row r="342" spans="1:16">
      <c r="A342" s="139">
        <v>45519</v>
      </c>
      <c r="B342" s="137">
        <v>81.44</v>
      </c>
      <c r="C342" s="137">
        <v>0.62</v>
      </c>
      <c r="E342" s="137">
        <f t="shared" si="10"/>
        <v>102.414486921529</v>
      </c>
      <c r="F342" s="137">
        <f t="shared" si="11"/>
        <v>77.5</v>
      </c>
      <c r="N342" s="139">
        <v>45883</v>
      </c>
      <c r="O342" s="137">
        <v>0.858517</v>
      </c>
      <c r="P342" s="137">
        <v>92.9965</v>
      </c>
    </row>
    <row r="343" spans="1:16">
      <c r="A343" s="139">
        <v>45520</v>
      </c>
      <c r="B343" s="137">
        <v>79.86</v>
      </c>
      <c r="C343" s="137">
        <v>0.62</v>
      </c>
      <c r="E343" s="137">
        <f t="shared" si="10"/>
        <v>100.427565392354</v>
      </c>
      <c r="F343" s="137">
        <f t="shared" si="11"/>
        <v>77.5</v>
      </c>
      <c r="N343" s="139">
        <v>45884</v>
      </c>
      <c r="O343" s="137">
        <v>0.854847</v>
      </c>
      <c r="P343" s="137">
        <v>93.8717</v>
      </c>
    </row>
    <row r="344" spans="1:16">
      <c r="A344" s="139">
        <v>45523</v>
      </c>
      <c r="B344" s="137">
        <v>79.37</v>
      </c>
      <c r="C344" s="137">
        <v>0.63</v>
      </c>
      <c r="E344" s="137">
        <f t="shared" si="10"/>
        <v>99.8113682092555</v>
      </c>
      <c r="F344" s="137">
        <f t="shared" si="11"/>
        <v>78.75</v>
      </c>
      <c r="N344" s="139">
        <v>45887</v>
      </c>
      <c r="O344" s="137">
        <v>0.85756</v>
      </c>
      <c r="P344" s="137">
        <v>93.6077</v>
      </c>
    </row>
    <row r="345" spans="1:16">
      <c r="A345" s="139">
        <v>45524</v>
      </c>
      <c r="B345" s="137">
        <v>77.27</v>
      </c>
      <c r="C345" s="137">
        <v>0.64</v>
      </c>
      <c r="E345" s="137">
        <f t="shared" si="10"/>
        <v>97.170523138833</v>
      </c>
      <c r="F345" s="137">
        <f t="shared" si="11"/>
        <v>80</v>
      </c>
      <c r="N345" s="139">
        <v>45888</v>
      </c>
      <c r="O345" s="137">
        <v>0.858627</v>
      </c>
      <c r="P345" s="137">
        <v>93.8178</v>
      </c>
    </row>
    <row r="346" spans="1:16">
      <c r="A346" s="139">
        <v>45525</v>
      </c>
      <c r="B346" s="137">
        <v>77.32</v>
      </c>
      <c r="C346" s="137">
        <v>0.65</v>
      </c>
      <c r="E346" s="137">
        <f t="shared" si="10"/>
        <v>97.2334004024145</v>
      </c>
      <c r="F346" s="137">
        <f t="shared" si="11"/>
        <v>81.25</v>
      </c>
      <c r="N346" s="139">
        <v>45889</v>
      </c>
      <c r="O346" s="137">
        <v>0.858259</v>
      </c>
      <c r="P346" s="137">
        <v>93.7414</v>
      </c>
    </row>
    <row r="347" spans="1:16">
      <c r="A347" s="139">
        <v>45526</v>
      </c>
      <c r="B347" s="137">
        <v>77.34</v>
      </c>
      <c r="C347" s="137">
        <v>0.65</v>
      </c>
      <c r="E347" s="137">
        <f t="shared" si="10"/>
        <v>97.2585513078471</v>
      </c>
      <c r="F347" s="137">
        <f t="shared" si="11"/>
        <v>81.25</v>
      </c>
      <c r="N347" s="139">
        <v>45890</v>
      </c>
      <c r="O347" s="137">
        <v>0.861624</v>
      </c>
      <c r="P347" s="137">
        <v>93.2515</v>
      </c>
    </row>
    <row r="348" spans="1:16">
      <c r="A348" s="139">
        <v>45527</v>
      </c>
      <c r="B348" s="137">
        <v>78.87</v>
      </c>
      <c r="C348" s="137">
        <v>0.67</v>
      </c>
      <c r="E348" s="137">
        <f t="shared" si="10"/>
        <v>99.1825955734407</v>
      </c>
      <c r="F348" s="137">
        <f t="shared" si="11"/>
        <v>83.75</v>
      </c>
      <c r="N348" s="139">
        <v>45891</v>
      </c>
      <c r="O348" s="137">
        <v>0.853497</v>
      </c>
      <c r="P348" s="137">
        <v>94.3886</v>
      </c>
    </row>
    <row r="349" spans="1:16">
      <c r="A349" s="139">
        <v>45530</v>
      </c>
      <c r="B349" s="137">
        <v>78.87</v>
      </c>
      <c r="C349" s="137">
        <v>0.66</v>
      </c>
      <c r="E349" s="137">
        <f t="shared" si="10"/>
        <v>99.1825955734407</v>
      </c>
      <c r="F349" s="137">
        <f t="shared" si="11"/>
        <v>82.5</v>
      </c>
      <c r="N349" s="139">
        <v>45894</v>
      </c>
      <c r="O349" s="137">
        <v>0.860696</v>
      </c>
      <c r="P349" s="137">
        <v>94.3384</v>
      </c>
    </row>
    <row r="350" spans="1:16">
      <c r="A350" s="139">
        <v>45531</v>
      </c>
      <c r="B350" s="137">
        <v>80.21</v>
      </c>
      <c r="C350" s="137">
        <v>0.65</v>
      </c>
      <c r="E350" s="137">
        <f t="shared" si="10"/>
        <v>100.867706237425</v>
      </c>
      <c r="F350" s="137">
        <f t="shared" si="11"/>
        <v>81.25</v>
      </c>
      <c r="N350" s="139">
        <v>45895</v>
      </c>
      <c r="O350" s="137">
        <v>0.858885</v>
      </c>
      <c r="P350" s="137">
        <v>93.7565</v>
      </c>
    </row>
    <row r="351" spans="1:16">
      <c r="A351" s="139">
        <v>45532</v>
      </c>
      <c r="B351" s="137">
        <v>79</v>
      </c>
      <c r="C351" s="137">
        <v>0.64</v>
      </c>
      <c r="E351" s="137">
        <f t="shared" si="10"/>
        <v>99.3460764587525</v>
      </c>
      <c r="F351" s="137">
        <f t="shared" si="11"/>
        <v>80</v>
      </c>
      <c r="N351" s="139">
        <v>45896</v>
      </c>
      <c r="O351" s="137">
        <v>0.859217</v>
      </c>
      <c r="P351" s="137">
        <v>93.3817</v>
      </c>
    </row>
    <row r="352" spans="1:16">
      <c r="A352" s="139">
        <v>45533</v>
      </c>
      <c r="B352" s="137">
        <v>80.26</v>
      </c>
      <c r="C352" s="137">
        <v>0.66</v>
      </c>
      <c r="E352" s="137">
        <f t="shared" si="10"/>
        <v>100.930583501006</v>
      </c>
      <c r="F352" s="137">
        <f t="shared" si="11"/>
        <v>82.5</v>
      </c>
      <c r="N352" s="139">
        <v>45897</v>
      </c>
      <c r="O352" s="137">
        <v>0.855981</v>
      </c>
      <c r="P352" s="137">
        <v>93.9476</v>
      </c>
    </row>
    <row r="353" spans="1:16">
      <c r="A353" s="139">
        <v>45534</v>
      </c>
      <c r="B353" s="137">
        <v>78.89</v>
      </c>
      <c r="C353" s="137">
        <v>0.65</v>
      </c>
      <c r="E353" s="137">
        <f t="shared" si="10"/>
        <v>99.2077464788732</v>
      </c>
      <c r="F353" s="137">
        <f t="shared" si="11"/>
        <v>81.25</v>
      </c>
      <c r="N353" s="139">
        <v>45898</v>
      </c>
      <c r="O353" s="137">
        <v>0.855725</v>
      </c>
      <c r="P353" s="137">
        <v>94.1083</v>
      </c>
    </row>
    <row r="354" spans="1:16">
      <c r="A354" s="139">
        <v>45537</v>
      </c>
      <c r="B354" s="137">
        <v>76.85</v>
      </c>
      <c r="C354" s="137">
        <v>0.65</v>
      </c>
      <c r="E354" s="137">
        <f t="shared" si="10"/>
        <v>96.6423541247485</v>
      </c>
      <c r="F354" s="137">
        <f t="shared" si="11"/>
        <v>81.25</v>
      </c>
      <c r="N354" s="139">
        <v>45901</v>
      </c>
      <c r="O354" s="137">
        <v>0.853898</v>
      </c>
      <c r="P354" s="137">
        <v>94.3655</v>
      </c>
    </row>
    <row r="355" spans="1:16">
      <c r="A355" s="139">
        <v>45538</v>
      </c>
      <c r="B355" s="137">
        <v>74.07</v>
      </c>
      <c r="C355" s="137">
        <v>0.66</v>
      </c>
      <c r="E355" s="137">
        <f t="shared" si="10"/>
        <v>93.1463782696177</v>
      </c>
      <c r="F355" s="137">
        <f t="shared" si="11"/>
        <v>82.5</v>
      </c>
      <c r="N355" s="139">
        <v>45902</v>
      </c>
      <c r="O355" s="137">
        <v>0.859107</v>
      </c>
      <c r="P355" s="137">
        <v>93.9455</v>
      </c>
    </row>
    <row r="356" spans="1:16">
      <c r="A356" s="139">
        <v>45539</v>
      </c>
      <c r="B356" s="137">
        <v>73.34</v>
      </c>
      <c r="C356" s="137">
        <v>0.65</v>
      </c>
      <c r="E356" s="137">
        <f t="shared" si="10"/>
        <v>92.228370221328</v>
      </c>
      <c r="F356" s="137">
        <f t="shared" si="11"/>
        <v>81.25</v>
      </c>
      <c r="N356" s="139">
        <v>45903</v>
      </c>
      <c r="O356" s="137">
        <v>0.857523</v>
      </c>
      <c r="P356" s="137">
        <v>94.3286</v>
      </c>
    </row>
    <row r="357" spans="1:16">
      <c r="A357" s="139">
        <v>45540</v>
      </c>
      <c r="B357" s="137">
        <v>73.23</v>
      </c>
      <c r="C357" s="137">
        <v>0.65</v>
      </c>
      <c r="E357" s="137">
        <f t="shared" si="10"/>
        <v>92.0900402414487</v>
      </c>
      <c r="F357" s="137">
        <f t="shared" si="11"/>
        <v>81.25</v>
      </c>
      <c r="N357" s="139">
        <v>45904</v>
      </c>
      <c r="O357" s="137">
        <v>0.858406</v>
      </c>
      <c r="P357" s="137">
        <v>94.5926</v>
      </c>
    </row>
    <row r="358" spans="1:16">
      <c r="A358" s="139">
        <v>45541</v>
      </c>
      <c r="B358" s="137">
        <v>71.63</v>
      </c>
      <c r="C358" s="137">
        <v>0.63</v>
      </c>
      <c r="E358" s="137">
        <f t="shared" si="10"/>
        <v>90.077967806841</v>
      </c>
      <c r="F358" s="137">
        <f t="shared" si="11"/>
        <v>78.75</v>
      </c>
      <c r="N358" s="139">
        <v>45905</v>
      </c>
      <c r="O358" s="137">
        <v>0.853315</v>
      </c>
      <c r="P358" s="137">
        <v>95.4178</v>
      </c>
    </row>
    <row r="359" spans="1:16">
      <c r="A359" s="139">
        <v>45544</v>
      </c>
      <c r="B359" s="137">
        <v>71.23</v>
      </c>
      <c r="C359" s="137">
        <v>0.63</v>
      </c>
      <c r="E359" s="137">
        <f t="shared" si="10"/>
        <v>89.5749496981891</v>
      </c>
      <c r="F359" s="137">
        <f t="shared" si="11"/>
        <v>78.75</v>
      </c>
      <c r="N359" s="139">
        <v>45908</v>
      </c>
      <c r="O359" s="137">
        <v>0.850051</v>
      </c>
      <c r="P359" s="137">
        <v>96.7201</v>
      </c>
    </row>
    <row r="360" spans="1:16">
      <c r="A360" s="139">
        <v>45545</v>
      </c>
      <c r="B360" s="137">
        <v>69.58</v>
      </c>
      <c r="C360" s="137">
        <v>0.64</v>
      </c>
      <c r="E360" s="137">
        <f t="shared" si="10"/>
        <v>87.5</v>
      </c>
      <c r="F360" s="137">
        <f t="shared" si="11"/>
        <v>80</v>
      </c>
      <c r="N360" s="139">
        <v>45909</v>
      </c>
      <c r="O360" s="137">
        <v>0.854117</v>
      </c>
      <c r="P360" s="137">
        <v>98.1047</v>
      </c>
    </row>
    <row r="361" spans="1:16">
      <c r="A361" s="139">
        <v>45546</v>
      </c>
      <c r="B361" s="137">
        <v>69.68</v>
      </c>
      <c r="C361" s="137">
        <v>0.65</v>
      </c>
      <c r="E361" s="137">
        <f t="shared" si="10"/>
        <v>87.625754527163</v>
      </c>
      <c r="F361" s="137">
        <f t="shared" si="11"/>
        <v>81.25</v>
      </c>
      <c r="N361" s="139">
        <v>45910</v>
      </c>
      <c r="O361" s="137">
        <v>0.855066</v>
      </c>
      <c r="P361" s="137">
        <v>98.9215</v>
      </c>
    </row>
    <row r="362" spans="1:16">
      <c r="A362" s="139">
        <v>45547</v>
      </c>
      <c r="B362" s="137">
        <v>72.82</v>
      </c>
      <c r="C362" s="137">
        <v>0.66</v>
      </c>
      <c r="E362" s="137">
        <f t="shared" si="10"/>
        <v>91.5744466800805</v>
      </c>
      <c r="F362" s="137">
        <f t="shared" si="11"/>
        <v>82.5</v>
      </c>
      <c r="N362" s="139">
        <v>45911</v>
      </c>
      <c r="O362" s="137">
        <v>0.85226</v>
      </c>
      <c r="P362" s="137">
        <v>99.4242</v>
      </c>
    </row>
    <row r="363" spans="1:16">
      <c r="A363" s="139">
        <v>45548</v>
      </c>
      <c r="B363" s="137">
        <v>72.45</v>
      </c>
      <c r="C363" s="137">
        <v>0.65</v>
      </c>
      <c r="E363" s="137">
        <f t="shared" si="10"/>
        <v>91.1091549295775</v>
      </c>
      <c r="F363" s="137">
        <f t="shared" si="11"/>
        <v>81.25</v>
      </c>
      <c r="N363" s="139">
        <v>45912</v>
      </c>
      <c r="O363" s="137">
        <v>0.852224</v>
      </c>
      <c r="P363" s="137">
        <v>98.331</v>
      </c>
    </row>
    <row r="364" spans="1:16">
      <c r="A364" s="139">
        <v>45551</v>
      </c>
      <c r="B364" s="137">
        <v>72.62</v>
      </c>
      <c r="C364" s="137">
        <v>0.67</v>
      </c>
      <c r="E364" s="137">
        <f t="shared" si="10"/>
        <v>91.3229376257545</v>
      </c>
      <c r="F364" s="137">
        <f t="shared" si="11"/>
        <v>83.75</v>
      </c>
      <c r="N364" s="139">
        <v>45915</v>
      </c>
      <c r="O364" s="137">
        <v>0.850268</v>
      </c>
      <c r="P364" s="137">
        <v>97.7679</v>
      </c>
    </row>
    <row r="365" spans="1:16">
      <c r="A365" s="139">
        <v>45552</v>
      </c>
      <c r="B365" s="137">
        <v>73.47</v>
      </c>
      <c r="C365" s="137">
        <v>0.66</v>
      </c>
      <c r="E365" s="137">
        <f t="shared" si="10"/>
        <v>92.3918511066398</v>
      </c>
      <c r="F365" s="137">
        <f t="shared" si="11"/>
        <v>82.5</v>
      </c>
      <c r="N365" s="139">
        <v>45916</v>
      </c>
      <c r="O365" s="137">
        <v>0.842637</v>
      </c>
      <c r="P365" s="137">
        <v>98.6087</v>
      </c>
    </row>
    <row r="366" spans="1:16">
      <c r="A366" s="139">
        <v>45553</v>
      </c>
      <c r="B366" s="137">
        <v>73.63</v>
      </c>
      <c r="C366" s="137">
        <v>0.65</v>
      </c>
      <c r="E366" s="137">
        <f t="shared" si="10"/>
        <v>92.5930583501006</v>
      </c>
      <c r="F366" s="137">
        <f t="shared" si="11"/>
        <v>81.25</v>
      </c>
      <c r="N366" s="139">
        <v>45917</v>
      </c>
      <c r="O366" s="137">
        <v>0.846561</v>
      </c>
      <c r="P366" s="137">
        <v>99.5401</v>
      </c>
    </row>
    <row r="367" spans="1:16">
      <c r="A367" s="139">
        <v>45554</v>
      </c>
      <c r="B367" s="137">
        <v>74.97</v>
      </c>
      <c r="C367" s="137">
        <v>0.67</v>
      </c>
      <c r="E367" s="137">
        <f t="shared" si="10"/>
        <v>94.2781690140845</v>
      </c>
      <c r="F367" s="137">
        <f t="shared" si="11"/>
        <v>83.75</v>
      </c>
      <c r="N367" s="139">
        <v>45918</v>
      </c>
      <c r="O367" s="137">
        <v>0.848356</v>
      </c>
      <c r="P367" s="137">
        <v>98.0353</v>
      </c>
    </row>
    <row r="368" spans="1:16">
      <c r="A368" s="139">
        <v>45555</v>
      </c>
      <c r="B368" s="137">
        <v>74.76</v>
      </c>
      <c r="C368" s="137">
        <v>0.67</v>
      </c>
      <c r="E368" s="137">
        <f t="shared" si="10"/>
        <v>94.0140845070423</v>
      </c>
      <c r="F368" s="137">
        <f t="shared" si="11"/>
        <v>83.75</v>
      </c>
      <c r="N368" s="139">
        <v>45919</v>
      </c>
      <c r="O368" s="137">
        <v>0.85139</v>
      </c>
      <c r="P368" s="137">
        <v>97.8266</v>
      </c>
    </row>
    <row r="369" spans="1:16">
      <c r="A369" s="139">
        <v>45558</v>
      </c>
      <c r="B369" s="137">
        <v>74.25</v>
      </c>
      <c r="C369" s="137">
        <v>0.67</v>
      </c>
      <c r="E369" s="137">
        <f t="shared" si="10"/>
        <v>93.3727364185111</v>
      </c>
      <c r="F369" s="137">
        <f t="shared" si="11"/>
        <v>83.75</v>
      </c>
      <c r="N369" s="139">
        <v>45922</v>
      </c>
      <c r="O369" s="137">
        <v>0.847278</v>
      </c>
      <c r="P369" s="137">
        <v>98.4139</v>
      </c>
    </row>
    <row r="370" spans="1:16">
      <c r="A370" s="139">
        <v>45559</v>
      </c>
      <c r="B370" s="137">
        <v>75.01</v>
      </c>
      <c r="C370" s="137">
        <v>0.68</v>
      </c>
      <c r="E370" s="137">
        <f t="shared" si="10"/>
        <v>94.3284708249497</v>
      </c>
      <c r="F370" s="137">
        <f t="shared" si="11"/>
        <v>85</v>
      </c>
      <c r="N370" s="139">
        <v>45923</v>
      </c>
      <c r="O370" s="137">
        <v>0.846346</v>
      </c>
      <c r="P370" s="137">
        <v>98.5851</v>
      </c>
    </row>
    <row r="371" spans="1:16">
      <c r="A371" s="139">
        <v>45560</v>
      </c>
      <c r="B371" s="137">
        <v>74.72</v>
      </c>
      <c r="C371" s="137">
        <v>0.67</v>
      </c>
      <c r="E371" s="137">
        <f t="shared" si="10"/>
        <v>93.9637826961771</v>
      </c>
      <c r="F371" s="137">
        <f t="shared" si="11"/>
        <v>83.75</v>
      </c>
      <c r="N371" s="139">
        <v>45924</v>
      </c>
      <c r="O371" s="137">
        <v>0.851898</v>
      </c>
      <c r="P371" s="137">
        <v>98.3519</v>
      </c>
    </row>
    <row r="372" spans="1:16">
      <c r="A372" s="139">
        <v>45561</v>
      </c>
      <c r="B372" s="137">
        <v>72.29</v>
      </c>
      <c r="C372" s="137">
        <v>0.67</v>
      </c>
      <c r="E372" s="137">
        <f t="shared" si="10"/>
        <v>90.9079476861167</v>
      </c>
      <c r="F372" s="137">
        <f t="shared" si="11"/>
        <v>83.75</v>
      </c>
      <c r="N372" s="139">
        <v>45925</v>
      </c>
      <c r="O372" s="137">
        <v>0.857155</v>
      </c>
      <c r="P372" s="137">
        <v>98.0243</v>
      </c>
    </row>
    <row r="373" spans="1:16">
      <c r="A373" s="139">
        <v>45562</v>
      </c>
      <c r="B373" s="137">
        <v>71.66</v>
      </c>
      <c r="C373" s="137">
        <v>0.66</v>
      </c>
      <c r="E373" s="137">
        <f t="shared" si="10"/>
        <v>90.1156941649899</v>
      </c>
      <c r="F373" s="137">
        <f t="shared" si="11"/>
        <v>82.5</v>
      </c>
      <c r="N373" s="139">
        <v>45926</v>
      </c>
      <c r="O373" s="137">
        <v>0.854555</v>
      </c>
      <c r="P373" s="137">
        <v>97.8036</v>
      </c>
    </row>
    <row r="374" spans="1:16">
      <c r="A374" s="139">
        <v>45565</v>
      </c>
      <c r="B374" s="137">
        <v>71.95</v>
      </c>
      <c r="C374" s="137">
        <v>0.67</v>
      </c>
      <c r="E374" s="137">
        <f t="shared" si="10"/>
        <v>90.4803822937626</v>
      </c>
      <c r="F374" s="137">
        <f t="shared" si="11"/>
        <v>83.75</v>
      </c>
      <c r="N374" s="139">
        <v>45929</v>
      </c>
      <c r="O374" s="137">
        <v>0.852769</v>
      </c>
      <c r="P374" s="137">
        <v>97.5643</v>
      </c>
    </row>
    <row r="375" spans="1:16">
      <c r="A375" s="139">
        <v>45566</v>
      </c>
      <c r="B375" s="137">
        <v>74.59</v>
      </c>
      <c r="C375" s="137">
        <v>0.67</v>
      </c>
      <c r="E375" s="137">
        <f t="shared" si="10"/>
        <v>93.8003018108652</v>
      </c>
      <c r="F375" s="137">
        <f t="shared" si="11"/>
        <v>83.75</v>
      </c>
      <c r="N375" s="139">
        <v>45930</v>
      </c>
      <c r="O375" s="137">
        <v>0.85226</v>
      </c>
      <c r="P375" s="137">
        <v>96.9375</v>
      </c>
    </row>
    <row r="376" spans="1:16">
      <c r="A376" s="139">
        <v>45567</v>
      </c>
      <c r="B376" s="137">
        <v>73.88</v>
      </c>
      <c r="C376" s="137">
        <v>0.67</v>
      </c>
      <c r="E376" s="137">
        <f t="shared" si="10"/>
        <v>92.907444668008</v>
      </c>
      <c r="F376" s="137">
        <f t="shared" si="11"/>
        <v>83.75</v>
      </c>
      <c r="N376" s="139">
        <v>45931</v>
      </c>
      <c r="O376" s="137">
        <v>0.852515</v>
      </c>
      <c r="P376" s="137">
        <v>95.5456</v>
      </c>
    </row>
    <row r="377" spans="1:16">
      <c r="A377" s="139">
        <v>45568</v>
      </c>
      <c r="B377" s="137">
        <v>76.76</v>
      </c>
      <c r="C377" s="137">
        <v>0.66</v>
      </c>
      <c r="E377" s="137">
        <f t="shared" si="10"/>
        <v>96.5291750503018</v>
      </c>
      <c r="F377" s="137">
        <f t="shared" si="11"/>
        <v>82.5</v>
      </c>
      <c r="N377" s="139">
        <v>45932</v>
      </c>
      <c r="O377" s="137">
        <v>0.853533</v>
      </c>
      <c r="P377" s="137">
        <v>95.4065</v>
      </c>
    </row>
    <row r="378" spans="1:16">
      <c r="A378" s="139">
        <v>45569</v>
      </c>
      <c r="B378" s="137">
        <v>78.22</v>
      </c>
      <c r="C378" s="137">
        <v>0.67</v>
      </c>
      <c r="E378" s="137">
        <f t="shared" si="10"/>
        <v>98.3651911468813</v>
      </c>
      <c r="F378" s="137">
        <f t="shared" si="11"/>
        <v>83.75</v>
      </c>
      <c r="N378" s="139">
        <v>45933</v>
      </c>
      <c r="O378" s="137">
        <v>0.851608</v>
      </c>
      <c r="P378" s="137">
        <v>96.6831</v>
      </c>
    </row>
    <row r="379" spans="1:16">
      <c r="A379" s="139">
        <v>45572</v>
      </c>
      <c r="B379" s="137">
        <v>80.29</v>
      </c>
      <c r="C379" s="137">
        <v>0.68</v>
      </c>
      <c r="E379" s="137">
        <f t="shared" si="10"/>
        <v>100.968309859155</v>
      </c>
      <c r="F379" s="137">
        <f t="shared" si="11"/>
        <v>85</v>
      </c>
      <c r="N379" s="139">
        <v>45936</v>
      </c>
      <c r="O379" s="137">
        <v>0.853971</v>
      </c>
      <c r="P379" s="137">
        <v>97.3935</v>
      </c>
    </row>
    <row r="380" spans="1:16">
      <c r="A380" s="139">
        <v>45573</v>
      </c>
      <c r="B380" s="137">
        <v>77.15</v>
      </c>
      <c r="C380" s="137">
        <v>0.66</v>
      </c>
      <c r="E380" s="137">
        <f t="shared" si="10"/>
        <v>97.0196177062374</v>
      </c>
      <c r="F380" s="137">
        <f t="shared" si="11"/>
        <v>82.5</v>
      </c>
      <c r="N380" s="139">
        <v>45937</v>
      </c>
      <c r="O380" s="137">
        <v>0.857854</v>
      </c>
      <c r="P380" s="137">
        <v>95.7323</v>
      </c>
    </row>
    <row r="381" spans="1:16">
      <c r="A381" s="139">
        <v>45574</v>
      </c>
      <c r="B381" s="137">
        <v>76.64</v>
      </c>
      <c r="C381" s="137">
        <v>0.66</v>
      </c>
      <c r="E381" s="137">
        <f t="shared" si="10"/>
        <v>96.3782696177063</v>
      </c>
      <c r="F381" s="137">
        <f t="shared" si="11"/>
        <v>82.5</v>
      </c>
      <c r="N381" s="139">
        <v>45938</v>
      </c>
      <c r="O381" s="137">
        <v>0.86003</v>
      </c>
      <c r="P381" s="137">
        <v>94.6531</v>
      </c>
    </row>
    <row r="382" spans="1:16">
      <c r="A382" s="139">
        <v>45575</v>
      </c>
      <c r="B382" s="137">
        <v>78.07</v>
      </c>
      <c r="C382" s="137">
        <v>0.67</v>
      </c>
      <c r="E382" s="137">
        <f t="shared" si="10"/>
        <v>98.1765593561368</v>
      </c>
      <c r="F382" s="137">
        <f t="shared" si="11"/>
        <v>83.75</v>
      </c>
      <c r="N382" s="139">
        <v>45939</v>
      </c>
      <c r="O382" s="137">
        <v>0.864715</v>
      </c>
      <c r="P382" s="137">
        <v>94.0997</v>
      </c>
    </row>
    <row r="383" spans="1:16">
      <c r="A383" s="139">
        <v>45576</v>
      </c>
      <c r="B383" s="137">
        <v>79.19</v>
      </c>
      <c r="C383" s="137">
        <v>0.67</v>
      </c>
      <c r="E383" s="137">
        <f t="shared" si="10"/>
        <v>99.5850100603622</v>
      </c>
      <c r="F383" s="137">
        <f t="shared" si="11"/>
        <v>83.75</v>
      </c>
      <c r="N383" s="139">
        <v>45940</v>
      </c>
      <c r="O383" s="137">
        <v>0.860585</v>
      </c>
      <c r="P383" s="137">
        <v>94.5219</v>
      </c>
    </row>
    <row r="384" spans="1:16">
      <c r="A384" s="139">
        <v>45579</v>
      </c>
      <c r="B384" s="137">
        <v>77.57</v>
      </c>
      <c r="C384" s="137">
        <v>0.66</v>
      </c>
      <c r="E384" s="137">
        <f t="shared" si="10"/>
        <v>97.5477867203219</v>
      </c>
      <c r="F384" s="137">
        <f t="shared" si="11"/>
        <v>82.5</v>
      </c>
      <c r="N384" s="139">
        <v>45943</v>
      </c>
      <c r="O384" s="137">
        <v>0.864342</v>
      </c>
      <c r="P384" s="137">
        <v>92.9505</v>
      </c>
    </row>
    <row r="385" spans="1:16">
      <c r="A385" s="139">
        <v>45580</v>
      </c>
      <c r="B385" s="137">
        <v>73.76</v>
      </c>
      <c r="C385" s="137">
        <v>0.65</v>
      </c>
      <c r="E385" s="137">
        <f t="shared" si="10"/>
        <v>92.7565392354125</v>
      </c>
      <c r="F385" s="137">
        <f t="shared" si="11"/>
        <v>81.25</v>
      </c>
      <c r="N385" s="139">
        <v>45944</v>
      </c>
      <c r="O385" s="137">
        <v>0.861586</v>
      </c>
      <c r="P385" s="137">
        <v>92.4662</v>
      </c>
    </row>
    <row r="386" spans="1:16">
      <c r="A386" s="139">
        <v>45581</v>
      </c>
      <c r="B386" s="137">
        <v>74.02</v>
      </c>
      <c r="C386" s="137">
        <v>0.66</v>
      </c>
      <c r="E386" s="137">
        <f t="shared" si="10"/>
        <v>93.0835010060362</v>
      </c>
      <c r="F386" s="137">
        <f t="shared" si="11"/>
        <v>82.5</v>
      </c>
      <c r="N386" s="139">
        <v>45945</v>
      </c>
      <c r="O386" s="137">
        <v>0.858553</v>
      </c>
      <c r="P386" s="137">
        <v>91.1903</v>
      </c>
    </row>
    <row r="387" spans="1:16">
      <c r="A387" s="139">
        <v>45582</v>
      </c>
      <c r="B387" s="137">
        <v>74.24</v>
      </c>
      <c r="C387" s="137">
        <v>0.66</v>
      </c>
      <c r="E387" s="137">
        <f t="shared" si="10"/>
        <v>93.3601609657948</v>
      </c>
      <c r="F387" s="137">
        <f t="shared" si="11"/>
        <v>82.5</v>
      </c>
      <c r="N387" s="139">
        <v>45946</v>
      </c>
      <c r="O387" s="137">
        <v>0.855615</v>
      </c>
      <c r="P387" s="137">
        <v>93.5036</v>
      </c>
    </row>
    <row r="388" spans="1:16">
      <c r="A388" s="139">
        <v>45583</v>
      </c>
      <c r="B388" s="137">
        <v>72.65</v>
      </c>
      <c r="C388" s="137">
        <v>0.66</v>
      </c>
      <c r="E388" s="137">
        <f t="shared" si="10"/>
        <v>91.3606639839034</v>
      </c>
      <c r="F388" s="137">
        <f t="shared" si="11"/>
        <v>82.5</v>
      </c>
      <c r="N388" s="139">
        <v>45947</v>
      </c>
      <c r="O388" s="137">
        <v>0.858259</v>
      </c>
      <c r="P388" s="137">
        <v>94.7985</v>
      </c>
    </row>
    <row r="389" spans="1:16">
      <c r="A389" s="139">
        <v>45586</v>
      </c>
      <c r="B389" s="137">
        <v>73.76</v>
      </c>
      <c r="C389" s="137">
        <v>0.67</v>
      </c>
      <c r="E389" s="137">
        <f t="shared" ref="E389:E452" si="12">B389/$B$3*$E$3</f>
        <v>92.7565392354125</v>
      </c>
      <c r="F389" s="137">
        <f t="shared" ref="F389:F452" si="13">C389/$C$3*$F$3</f>
        <v>83.75</v>
      </c>
      <c r="N389" s="139">
        <v>45950</v>
      </c>
      <c r="O389" s="137">
        <v>0.858996</v>
      </c>
      <c r="P389" s="137">
        <v>94.2226</v>
      </c>
    </row>
    <row r="390" spans="1:16">
      <c r="A390" s="139">
        <v>45587</v>
      </c>
      <c r="B390" s="137">
        <v>75.99</v>
      </c>
      <c r="C390" s="137">
        <v>0.67</v>
      </c>
      <c r="E390" s="137">
        <f t="shared" si="12"/>
        <v>95.5608651911469</v>
      </c>
      <c r="F390" s="137">
        <f t="shared" si="13"/>
        <v>83.75</v>
      </c>
      <c r="N390" s="139">
        <v>45951</v>
      </c>
      <c r="O390" s="137">
        <v>0.862106</v>
      </c>
      <c r="P390" s="137">
        <v>94.4317</v>
      </c>
    </row>
    <row r="391" spans="1:16">
      <c r="A391" s="139">
        <v>45588</v>
      </c>
      <c r="B391" s="137">
        <v>74.97</v>
      </c>
      <c r="C391" s="137">
        <v>0.68</v>
      </c>
      <c r="E391" s="137">
        <f t="shared" si="12"/>
        <v>94.2781690140845</v>
      </c>
      <c r="F391" s="137">
        <f t="shared" si="13"/>
        <v>85</v>
      </c>
      <c r="N391" s="139">
        <v>45952</v>
      </c>
      <c r="O391" s="137">
        <v>0.861289</v>
      </c>
      <c r="P391" s="137">
        <v>94.779</v>
      </c>
    </row>
    <row r="392" spans="1:16">
      <c r="A392" s="139">
        <v>45589</v>
      </c>
      <c r="B392" s="137">
        <v>74.56</v>
      </c>
      <c r="C392" s="137">
        <v>0.67</v>
      </c>
      <c r="E392" s="137">
        <f t="shared" si="12"/>
        <v>93.7625754527163</v>
      </c>
      <c r="F392" s="137">
        <f t="shared" si="13"/>
        <v>83.75</v>
      </c>
      <c r="N392" s="139">
        <v>45953</v>
      </c>
      <c r="O392" s="137">
        <v>0.860696</v>
      </c>
      <c r="P392" s="137">
        <v>94.567</v>
      </c>
    </row>
    <row r="393" spans="1:16">
      <c r="A393" s="139">
        <v>45590</v>
      </c>
      <c r="B393" s="137">
        <v>75.88</v>
      </c>
      <c r="C393" s="137">
        <v>0.66</v>
      </c>
      <c r="E393" s="137">
        <f t="shared" si="12"/>
        <v>95.4225352112676</v>
      </c>
      <c r="F393" s="137">
        <f t="shared" si="13"/>
        <v>82.5</v>
      </c>
      <c r="N393" s="139">
        <v>45954</v>
      </c>
      <c r="O393" s="137">
        <v>0.860141</v>
      </c>
      <c r="P393" s="137">
        <v>93.0081</v>
      </c>
    </row>
    <row r="394" spans="1:16">
      <c r="A394" s="139">
        <v>45593</v>
      </c>
      <c r="B394" s="137">
        <v>72.02</v>
      </c>
      <c r="C394" s="137">
        <v>0.66</v>
      </c>
      <c r="E394" s="137">
        <f t="shared" si="12"/>
        <v>90.5684104627767</v>
      </c>
      <c r="F394" s="137">
        <f t="shared" si="13"/>
        <v>82.5</v>
      </c>
      <c r="N394" s="139">
        <v>45957</v>
      </c>
      <c r="O394" s="137">
        <v>0.858737</v>
      </c>
      <c r="P394" s="137">
        <v>92.2114</v>
      </c>
    </row>
    <row r="395" spans="1:16">
      <c r="A395" s="139">
        <v>45594</v>
      </c>
      <c r="B395" s="137">
        <v>71.02</v>
      </c>
      <c r="C395" s="137">
        <v>0.66</v>
      </c>
      <c r="E395" s="137">
        <f t="shared" si="12"/>
        <v>89.3108651911469</v>
      </c>
      <c r="F395" s="137">
        <f t="shared" si="13"/>
        <v>82.5</v>
      </c>
      <c r="N395" s="139">
        <v>45958</v>
      </c>
      <c r="O395" s="137">
        <v>0.858259</v>
      </c>
      <c r="P395" s="137">
        <v>92.3937</v>
      </c>
    </row>
    <row r="396" spans="1:16">
      <c r="A396" s="139">
        <v>45595</v>
      </c>
      <c r="B396" s="137">
        <v>72.71</v>
      </c>
      <c r="C396" s="137">
        <v>0.65</v>
      </c>
      <c r="E396" s="137">
        <f t="shared" si="12"/>
        <v>91.4361167002012</v>
      </c>
      <c r="F396" s="137">
        <f t="shared" si="13"/>
        <v>81.25</v>
      </c>
      <c r="N396" s="139">
        <v>45959</v>
      </c>
      <c r="O396" s="137">
        <v>0.861995</v>
      </c>
      <c r="P396" s="137">
        <v>93.312</v>
      </c>
    </row>
    <row r="397" spans="1:16">
      <c r="A397" s="139">
        <v>45596</v>
      </c>
      <c r="B397" s="137">
        <v>73.19</v>
      </c>
      <c r="C397" s="137">
        <v>0.65</v>
      </c>
      <c r="E397" s="137">
        <f t="shared" si="12"/>
        <v>92.0397384305835</v>
      </c>
      <c r="F397" s="137">
        <f t="shared" si="13"/>
        <v>81.25</v>
      </c>
      <c r="N397" s="139">
        <v>45960</v>
      </c>
      <c r="O397" s="137">
        <v>0.86464</v>
      </c>
      <c r="P397" s="137">
        <v>92.3386</v>
      </c>
    </row>
    <row r="398" spans="1:16">
      <c r="A398" s="139">
        <v>45597</v>
      </c>
      <c r="B398" s="137">
        <v>73.53</v>
      </c>
      <c r="C398" s="137">
        <v>0.66</v>
      </c>
      <c r="E398" s="137">
        <f t="shared" si="12"/>
        <v>92.4673038229376</v>
      </c>
      <c r="F398" s="137">
        <f t="shared" si="13"/>
        <v>82.5</v>
      </c>
      <c r="N398" s="139">
        <v>45961</v>
      </c>
      <c r="O398" s="137">
        <v>0.866889</v>
      </c>
      <c r="P398" s="137">
        <v>93.2594</v>
      </c>
    </row>
    <row r="399" spans="1:16">
      <c r="A399" s="139">
        <v>45600</v>
      </c>
      <c r="B399" s="137">
        <v>74.74</v>
      </c>
      <c r="C399" s="137">
        <v>0.66</v>
      </c>
      <c r="E399" s="137">
        <f t="shared" si="12"/>
        <v>93.9889336016097</v>
      </c>
      <c r="F399" s="137">
        <f t="shared" si="13"/>
        <v>82.5</v>
      </c>
      <c r="N399" s="139">
        <v>45964</v>
      </c>
      <c r="O399" s="137">
        <v>0.868055</v>
      </c>
      <c r="P399" s="137">
        <v>93.2621</v>
      </c>
    </row>
    <row r="400" spans="1:16">
      <c r="A400" s="139">
        <v>45601</v>
      </c>
      <c r="B400" s="137">
        <v>76.09</v>
      </c>
      <c r="C400" s="137">
        <v>0.66</v>
      </c>
      <c r="E400" s="137">
        <f t="shared" si="12"/>
        <v>95.6866197183099</v>
      </c>
      <c r="F400" s="137">
        <f t="shared" si="13"/>
        <v>82.5</v>
      </c>
      <c r="N400" s="139">
        <v>45965</v>
      </c>
      <c r="O400" s="137">
        <v>0.870891</v>
      </c>
      <c r="P400" s="137">
        <v>92.9703</v>
      </c>
    </row>
    <row r="401" spans="1:16">
      <c r="A401" s="139">
        <v>45602</v>
      </c>
      <c r="B401" s="137">
        <v>75.63</v>
      </c>
      <c r="C401" s="137">
        <v>0.65</v>
      </c>
      <c r="E401" s="137">
        <f t="shared" si="12"/>
        <v>95.1081488933602</v>
      </c>
      <c r="F401" s="137">
        <f t="shared" si="13"/>
        <v>81.25</v>
      </c>
      <c r="N401" s="139">
        <v>45966</v>
      </c>
      <c r="O401" s="137">
        <v>0.870133</v>
      </c>
      <c r="P401" s="137">
        <v>93.3817</v>
      </c>
    </row>
    <row r="402" spans="1:16">
      <c r="A402" s="139">
        <v>45603</v>
      </c>
      <c r="B402" s="137">
        <v>75.17</v>
      </c>
      <c r="C402" s="137">
        <v>0.67</v>
      </c>
      <c r="E402" s="137">
        <f t="shared" si="12"/>
        <v>94.5296780684105</v>
      </c>
      <c r="F402" s="137">
        <f t="shared" si="13"/>
        <v>83.75</v>
      </c>
      <c r="N402" s="139">
        <v>45967</v>
      </c>
      <c r="O402" s="137">
        <v>0.865988</v>
      </c>
      <c r="P402" s="137">
        <v>93.672</v>
      </c>
    </row>
    <row r="403" spans="1:16">
      <c r="A403" s="139">
        <v>45604</v>
      </c>
      <c r="B403" s="137">
        <v>73.65</v>
      </c>
      <c r="C403" s="137">
        <v>0.67</v>
      </c>
      <c r="E403" s="137">
        <f t="shared" si="12"/>
        <v>92.6182092555332</v>
      </c>
      <c r="F403" s="137">
        <f t="shared" si="13"/>
        <v>83.75</v>
      </c>
      <c r="N403" s="139">
        <v>45968</v>
      </c>
      <c r="O403" s="137">
        <v>0.864603</v>
      </c>
      <c r="P403" s="137">
        <v>93.6794</v>
      </c>
    </row>
    <row r="404" spans="1:16">
      <c r="A404" s="139">
        <v>45607</v>
      </c>
      <c r="B404" s="137">
        <v>71.93</v>
      </c>
      <c r="C404" s="137">
        <v>0.65</v>
      </c>
      <c r="E404" s="137">
        <f t="shared" si="12"/>
        <v>90.45523138833</v>
      </c>
      <c r="F404" s="137">
        <f t="shared" si="13"/>
        <v>81.25</v>
      </c>
      <c r="N404" s="139">
        <v>45971</v>
      </c>
      <c r="O404" s="137">
        <v>0.865239</v>
      </c>
      <c r="P404" s="137">
        <v>93.8731</v>
      </c>
    </row>
    <row r="405" spans="1:16">
      <c r="A405" s="139">
        <v>45608</v>
      </c>
      <c r="B405" s="137">
        <v>72.23</v>
      </c>
      <c r="C405" s="137">
        <v>0.65</v>
      </c>
      <c r="E405" s="137">
        <f t="shared" si="12"/>
        <v>90.8324949698189</v>
      </c>
      <c r="F405" s="137">
        <f t="shared" si="13"/>
        <v>81.25</v>
      </c>
      <c r="N405" s="139">
        <v>45972</v>
      </c>
      <c r="O405" s="137">
        <v>0.863409</v>
      </c>
      <c r="P405" s="137">
        <v>93.8616</v>
      </c>
    </row>
    <row r="406" spans="1:16">
      <c r="A406" s="139">
        <v>45609</v>
      </c>
      <c r="B406" s="137">
        <v>72.23</v>
      </c>
      <c r="C406" s="137">
        <v>0.65</v>
      </c>
      <c r="E406" s="137">
        <f t="shared" si="12"/>
        <v>90.8324949698189</v>
      </c>
      <c r="F406" s="137">
        <f t="shared" si="13"/>
        <v>81.25</v>
      </c>
      <c r="N406" s="139">
        <v>45973</v>
      </c>
      <c r="O406" s="137">
        <v>0.862552</v>
      </c>
      <c r="P406" s="137">
        <v>94.2384</v>
      </c>
    </row>
    <row r="407" spans="1:16">
      <c r="A407" s="139">
        <v>45610</v>
      </c>
      <c r="B407" s="137">
        <v>72.45</v>
      </c>
      <c r="C407" s="137">
        <v>0.64</v>
      </c>
      <c r="E407" s="137">
        <f t="shared" si="12"/>
        <v>91.1091549295775</v>
      </c>
      <c r="F407" s="137">
        <f t="shared" si="13"/>
        <v>80</v>
      </c>
      <c r="N407" s="139">
        <v>45974</v>
      </c>
      <c r="O407" s="137">
        <v>0.859624</v>
      </c>
      <c r="P407" s="137">
        <v>93.9308</v>
      </c>
    </row>
    <row r="408" spans="1:16">
      <c r="A408" s="139">
        <v>45611</v>
      </c>
      <c r="B408" s="137">
        <v>72.19</v>
      </c>
      <c r="C408" s="137">
        <v>0.65</v>
      </c>
      <c r="E408" s="137">
        <f t="shared" si="12"/>
        <v>90.7821931589537</v>
      </c>
      <c r="F408" s="137">
        <f t="shared" si="13"/>
        <v>81.25</v>
      </c>
      <c r="N408" s="139">
        <v>45975</v>
      </c>
      <c r="O408" s="137">
        <v>0.860511</v>
      </c>
      <c r="P408" s="137">
        <v>93.8911</v>
      </c>
    </row>
    <row r="409" spans="1:16">
      <c r="A409" s="139">
        <v>45614</v>
      </c>
      <c r="B409" s="137">
        <v>73.2</v>
      </c>
      <c r="C409" s="137">
        <v>0.65</v>
      </c>
      <c r="E409" s="137">
        <f t="shared" si="12"/>
        <v>92.0523138832998</v>
      </c>
      <c r="F409" s="137">
        <f t="shared" si="13"/>
        <v>81.25</v>
      </c>
      <c r="N409" s="139">
        <v>45978</v>
      </c>
      <c r="O409" s="137">
        <v>0.862701</v>
      </c>
      <c r="P409" s="137">
        <v>94.2338</v>
      </c>
    </row>
    <row r="410" spans="1:16">
      <c r="A410" s="139">
        <v>45615</v>
      </c>
      <c r="B410" s="137">
        <v>72.89</v>
      </c>
      <c r="C410" s="137">
        <v>0.65</v>
      </c>
      <c r="E410" s="137">
        <f t="shared" si="12"/>
        <v>91.6624748490946</v>
      </c>
      <c r="F410" s="137">
        <f t="shared" si="13"/>
        <v>81.25</v>
      </c>
      <c r="N410" s="139">
        <v>45979</v>
      </c>
      <c r="O410" s="137">
        <v>0.863483</v>
      </c>
      <c r="P410" s="137">
        <v>93.9011</v>
      </c>
    </row>
    <row r="411" spans="1:16">
      <c r="A411" s="139">
        <v>45616</v>
      </c>
      <c r="B411" s="137">
        <v>73.27</v>
      </c>
      <c r="C411" s="137">
        <v>0.66</v>
      </c>
      <c r="E411" s="137">
        <f t="shared" si="12"/>
        <v>92.1403420523139</v>
      </c>
      <c r="F411" s="137">
        <f t="shared" si="13"/>
        <v>82.5</v>
      </c>
      <c r="N411" s="139">
        <v>45980</v>
      </c>
      <c r="O411" s="137">
        <v>0.866701</v>
      </c>
      <c r="P411" s="137">
        <v>93.1266</v>
      </c>
    </row>
    <row r="412" spans="1:16">
      <c r="A412" s="139">
        <v>45617</v>
      </c>
      <c r="B412" s="137">
        <v>73.95</v>
      </c>
      <c r="C412" s="137">
        <v>0.66</v>
      </c>
      <c r="E412" s="137">
        <f t="shared" si="12"/>
        <v>92.9954728370221</v>
      </c>
      <c r="F412" s="137">
        <f t="shared" si="13"/>
        <v>82.5</v>
      </c>
      <c r="N412" s="139">
        <v>45981</v>
      </c>
      <c r="O412" s="137">
        <v>0.867415</v>
      </c>
      <c r="P412" s="137">
        <v>92.381</v>
      </c>
    </row>
    <row r="413" spans="1:16">
      <c r="A413" s="139">
        <v>45618</v>
      </c>
      <c r="B413" s="137">
        <v>74.96</v>
      </c>
      <c r="C413" s="137">
        <v>0.67</v>
      </c>
      <c r="E413" s="137">
        <f t="shared" si="12"/>
        <v>94.2655935613682</v>
      </c>
      <c r="F413" s="137">
        <f t="shared" si="13"/>
        <v>83.75</v>
      </c>
      <c r="N413" s="139">
        <v>45982</v>
      </c>
      <c r="O413" s="137">
        <v>0.868621</v>
      </c>
      <c r="P413" s="137">
        <v>91.1207</v>
      </c>
    </row>
    <row r="414" spans="1:16">
      <c r="A414" s="139">
        <v>45621</v>
      </c>
      <c r="B414" s="137">
        <v>73.11</v>
      </c>
      <c r="C414" s="137">
        <v>0.68</v>
      </c>
      <c r="E414" s="137">
        <f t="shared" si="12"/>
        <v>91.9391348088531</v>
      </c>
      <c r="F414" s="137">
        <f t="shared" si="13"/>
        <v>85</v>
      </c>
      <c r="N414" s="139">
        <v>45985</v>
      </c>
      <c r="O414" s="137">
        <v>0.86798</v>
      </c>
      <c r="P414" s="137">
        <v>90.2761</v>
      </c>
    </row>
    <row r="415" spans="1:16">
      <c r="A415" s="139">
        <v>45622</v>
      </c>
      <c r="B415" s="137">
        <v>73.48</v>
      </c>
      <c r="C415" s="137">
        <v>0.68</v>
      </c>
      <c r="E415" s="137">
        <f t="shared" si="12"/>
        <v>92.4044265593561</v>
      </c>
      <c r="F415" s="137">
        <f t="shared" si="13"/>
        <v>85</v>
      </c>
      <c r="N415" s="139">
        <v>45986</v>
      </c>
      <c r="O415" s="137">
        <v>0.864267</v>
      </c>
      <c r="P415" s="137">
        <v>91.1704</v>
      </c>
    </row>
    <row r="416" spans="1:16">
      <c r="A416" s="139">
        <v>45623</v>
      </c>
      <c r="B416" s="137">
        <v>72.91</v>
      </c>
      <c r="C416" s="137">
        <v>0.68</v>
      </c>
      <c r="E416" s="137">
        <f t="shared" si="12"/>
        <v>91.6876257545272</v>
      </c>
      <c r="F416" s="137">
        <f t="shared" si="13"/>
        <v>85</v>
      </c>
      <c r="N416" s="139">
        <v>45987</v>
      </c>
      <c r="O416" s="137">
        <v>0.862404</v>
      </c>
      <c r="P416" s="137">
        <v>91.0685</v>
      </c>
    </row>
    <row r="417" spans="1:16">
      <c r="A417" s="139">
        <v>45624</v>
      </c>
      <c r="B417" s="137">
        <v>72.87</v>
      </c>
      <c r="C417" s="137">
        <v>0.68</v>
      </c>
      <c r="E417" s="137">
        <f t="shared" si="12"/>
        <v>91.637323943662</v>
      </c>
      <c r="F417" s="137">
        <f t="shared" si="13"/>
        <v>85</v>
      </c>
      <c r="N417" s="139">
        <v>45988</v>
      </c>
      <c r="O417" s="137">
        <v>0.862404</v>
      </c>
      <c r="P417" s="137">
        <v>90.814</v>
      </c>
    </row>
    <row r="418" spans="1:16">
      <c r="A418" s="139">
        <v>45625</v>
      </c>
      <c r="B418" s="137">
        <v>73.2</v>
      </c>
      <c r="C418" s="137">
        <v>0.68</v>
      </c>
      <c r="E418" s="137">
        <f t="shared" si="12"/>
        <v>92.0523138832998</v>
      </c>
      <c r="F418" s="137">
        <f t="shared" si="13"/>
        <v>85</v>
      </c>
      <c r="N418" s="139">
        <v>45989</v>
      </c>
      <c r="O418" s="137">
        <v>0.862366</v>
      </c>
      <c r="P418" s="137">
        <v>89.7976</v>
      </c>
    </row>
    <row r="419" spans="1:16">
      <c r="A419" s="139">
        <v>45628</v>
      </c>
      <c r="B419" s="137">
        <v>71.88</v>
      </c>
      <c r="C419" s="137">
        <v>0.67</v>
      </c>
      <c r="E419" s="137">
        <f t="shared" si="12"/>
        <v>90.3923541247485</v>
      </c>
      <c r="F419" s="137">
        <f t="shared" si="13"/>
        <v>83.75</v>
      </c>
      <c r="N419" s="139">
        <v>45992</v>
      </c>
      <c r="O419" s="137">
        <v>0.861289</v>
      </c>
      <c r="P419" s="137">
        <v>90.3942</v>
      </c>
    </row>
    <row r="420" spans="1:16">
      <c r="A420" s="139">
        <v>45629</v>
      </c>
      <c r="B420" s="137">
        <v>73.61</v>
      </c>
      <c r="C420" s="137">
        <v>0.67</v>
      </c>
      <c r="E420" s="137">
        <f t="shared" si="12"/>
        <v>92.567907444668</v>
      </c>
      <c r="F420" s="137">
        <f t="shared" si="13"/>
        <v>83.75</v>
      </c>
      <c r="N420" s="139">
        <v>45993</v>
      </c>
      <c r="O420" s="137">
        <v>0.860326</v>
      </c>
      <c r="P420" s="137">
        <v>90.0955</v>
      </c>
    </row>
    <row r="421" spans="1:16">
      <c r="A421" s="139">
        <v>45630</v>
      </c>
      <c r="B421" s="137">
        <v>73.41</v>
      </c>
      <c r="C421" s="137">
        <v>0.67</v>
      </c>
      <c r="E421" s="137">
        <f t="shared" si="12"/>
        <v>92.3163983903421</v>
      </c>
      <c r="F421" s="137">
        <f t="shared" si="13"/>
        <v>83.75</v>
      </c>
      <c r="N421" s="139">
        <v>45994</v>
      </c>
      <c r="O421" s="137">
        <v>0.856788</v>
      </c>
      <c r="P421" s="137">
        <v>90.3767</v>
      </c>
    </row>
    <row r="422" spans="1:16">
      <c r="A422" s="139">
        <v>45631</v>
      </c>
      <c r="B422" s="137">
        <v>72.19</v>
      </c>
      <c r="C422" s="137">
        <v>0.68</v>
      </c>
      <c r="E422" s="137">
        <f t="shared" si="12"/>
        <v>90.7821931589537</v>
      </c>
      <c r="F422" s="137">
        <f t="shared" si="13"/>
        <v>85</v>
      </c>
      <c r="N422" s="139">
        <v>45995</v>
      </c>
      <c r="O422" s="137">
        <v>0.858811</v>
      </c>
      <c r="P422" s="137">
        <v>89.0689</v>
      </c>
    </row>
    <row r="423" spans="1:16">
      <c r="A423" s="139">
        <v>45632</v>
      </c>
      <c r="B423" s="137">
        <v>72.19</v>
      </c>
      <c r="C423" s="137">
        <v>0.67</v>
      </c>
      <c r="E423" s="137">
        <f t="shared" si="12"/>
        <v>90.7821931589537</v>
      </c>
      <c r="F423" s="137">
        <f t="shared" si="13"/>
        <v>83.75</v>
      </c>
      <c r="N423" s="139">
        <v>45996</v>
      </c>
      <c r="O423" s="137">
        <v>0.858922</v>
      </c>
      <c r="P423" s="137">
        <v>89.0781</v>
      </c>
    </row>
    <row r="424" spans="1:16">
      <c r="A424" s="139">
        <v>45635</v>
      </c>
      <c r="B424" s="137">
        <v>72.46</v>
      </c>
      <c r="C424" s="137">
        <v>0.66</v>
      </c>
      <c r="E424" s="137">
        <f t="shared" si="12"/>
        <v>91.1217303822938</v>
      </c>
      <c r="F424" s="137">
        <f t="shared" si="13"/>
        <v>82.5</v>
      </c>
      <c r="N424" s="139">
        <v>45999</v>
      </c>
      <c r="O424" s="137">
        <v>0.859291</v>
      </c>
      <c r="P424" s="137">
        <v>88.9894</v>
      </c>
    </row>
    <row r="425" spans="1:16">
      <c r="A425" s="139">
        <v>45636</v>
      </c>
      <c r="B425" s="137">
        <v>72.58</v>
      </c>
      <c r="C425" s="137">
        <v>0.66</v>
      </c>
      <c r="E425" s="137">
        <f t="shared" si="12"/>
        <v>91.2726358148893</v>
      </c>
      <c r="F425" s="137">
        <f t="shared" si="13"/>
        <v>82.5</v>
      </c>
      <c r="N425" s="139">
        <v>46000</v>
      </c>
      <c r="O425" s="137">
        <v>0.860104</v>
      </c>
      <c r="P425" s="137">
        <v>89.7178</v>
      </c>
    </row>
    <row r="426" spans="1:16">
      <c r="A426" s="139">
        <v>45637</v>
      </c>
      <c r="B426" s="137">
        <v>73.09</v>
      </c>
      <c r="C426" s="137">
        <v>0.67</v>
      </c>
      <c r="E426" s="137">
        <f t="shared" si="12"/>
        <v>91.9139839034205</v>
      </c>
      <c r="F426" s="137">
        <f t="shared" si="13"/>
        <v>83.75</v>
      </c>
      <c r="N426" s="139">
        <v>46001</v>
      </c>
      <c r="O426" s="137">
        <v>0.85503</v>
      </c>
      <c r="P426" s="137">
        <v>91.6808</v>
      </c>
    </row>
    <row r="427" spans="1:16">
      <c r="A427" s="139">
        <v>45638</v>
      </c>
      <c r="B427" s="137">
        <v>72.63</v>
      </c>
      <c r="C427" s="137">
        <v>0.67</v>
      </c>
      <c r="E427" s="137">
        <f t="shared" si="12"/>
        <v>91.3355130784708</v>
      </c>
      <c r="F427" s="137">
        <f t="shared" si="13"/>
        <v>83.75</v>
      </c>
      <c r="N427" s="139">
        <v>46002</v>
      </c>
      <c r="O427" s="137">
        <v>0.851898</v>
      </c>
      <c r="P427" s="137">
        <v>93.3506</v>
      </c>
    </row>
    <row r="428" spans="1:16">
      <c r="A428" s="139">
        <v>45639</v>
      </c>
      <c r="B428" s="137">
        <v>74.16</v>
      </c>
      <c r="C428" s="137">
        <v>0.66</v>
      </c>
      <c r="E428" s="137">
        <f t="shared" si="12"/>
        <v>93.2595573440644</v>
      </c>
      <c r="F428" s="137">
        <f t="shared" si="13"/>
        <v>82.5</v>
      </c>
      <c r="N428" s="139">
        <v>46003</v>
      </c>
      <c r="O428" s="137">
        <v>0.851752</v>
      </c>
      <c r="P428" s="137">
        <v>93.4385</v>
      </c>
    </row>
    <row r="429" spans="1:16">
      <c r="A429" s="139">
        <v>45642</v>
      </c>
      <c r="B429" s="137">
        <v>73.8</v>
      </c>
      <c r="C429" s="137">
        <v>0.66</v>
      </c>
      <c r="E429" s="137">
        <f t="shared" si="12"/>
        <v>92.8068410462777</v>
      </c>
      <c r="F429" s="137">
        <f t="shared" si="13"/>
        <v>82.5</v>
      </c>
      <c r="N429" s="139">
        <v>46006</v>
      </c>
      <c r="O429" s="137">
        <v>0.85081</v>
      </c>
      <c r="P429" s="137">
        <v>93.6002</v>
      </c>
    </row>
    <row r="430" spans="1:16">
      <c r="A430" s="139">
        <v>45643</v>
      </c>
      <c r="B430" s="137">
        <v>72.71</v>
      </c>
      <c r="C430" s="137">
        <v>0.65</v>
      </c>
      <c r="E430" s="137">
        <f t="shared" si="12"/>
        <v>91.4361167002012</v>
      </c>
      <c r="F430" s="137">
        <f t="shared" si="13"/>
        <v>81.25</v>
      </c>
      <c r="N430" s="139">
        <v>46007</v>
      </c>
      <c r="O430" s="137">
        <v>0.851317</v>
      </c>
      <c r="P430" s="137">
        <v>93.6304</v>
      </c>
    </row>
    <row r="431" spans="1:16">
      <c r="A431" s="139">
        <v>45644</v>
      </c>
      <c r="B431" s="137">
        <v>74.13</v>
      </c>
      <c r="C431" s="137">
        <v>0.65</v>
      </c>
      <c r="E431" s="137">
        <f t="shared" si="12"/>
        <v>93.2218309859155</v>
      </c>
      <c r="F431" s="137">
        <f t="shared" si="13"/>
        <v>81.25</v>
      </c>
      <c r="N431" s="139">
        <v>46008</v>
      </c>
      <c r="O431" s="137">
        <v>0.851752</v>
      </c>
      <c r="P431" s="137">
        <v>94.6238</v>
      </c>
    </row>
    <row r="432" spans="1:16">
      <c r="A432" s="139">
        <v>45645</v>
      </c>
      <c r="B432" s="137">
        <v>72.86</v>
      </c>
      <c r="C432" s="137">
        <v>0.64</v>
      </c>
      <c r="E432" s="137">
        <f t="shared" si="12"/>
        <v>91.6247484909457</v>
      </c>
      <c r="F432" s="137">
        <f t="shared" si="13"/>
        <v>80</v>
      </c>
      <c r="N432" s="139">
        <v>46009</v>
      </c>
      <c r="O432" s="137">
        <v>0.853097</v>
      </c>
      <c r="P432" s="137">
        <v>93.8161</v>
      </c>
    </row>
    <row r="433" spans="1:16">
      <c r="A433" s="139">
        <v>45646</v>
      </c>
      <c r="B433" s="137">
        <v>72.83</v>
      </c>
      <c r="C433" s="137">
        <v>0.65</v>
      </c>
      <c r="E433" s="137">
        <f t="shared" si="12"/>
        <v>91.5870221327968</v>
      </c>
      <c r="F433" s="137">
        <f t="shared" si="13"/>
        <v>81.25</v>
      </c>
      <c r="N433" s="139">
        <v>46010</v>
      </c>
      <c r="O433" s="137">
        <v>0.854007</v>
      </c>
      <c r="P433" s="137">
        <v>94.2656</v>
      </c>
    </row>
    <row r="434" spans="1:16">
      <c r="A434" s="139">
        <v>45649</v>
      </c>
      <c r="B434" s="137">
        <v>72.08</v>
      </c>
      <c r="C434" s="137">
        <v>0.67</v>
      </c>
      <c r="E434" s="137">
        <f t="shared" si="12"/>
        <v>90.6438631790744</v>
      </c>
      <c r="F434" s="137">
        <f t="shared" si="13"/>
        <v>83.75</v>
      </c>
      <c r="N434" s="139">
        <v>46013</v>
      </c>
      <c r="O434" s="137">
        <v>0.850304</v>
      </c>
      <c r="P434" s="137">
        <v>92.52</v>
      </c>
    </row>
    <row r="435" spans="1:16">
      <c r="A435" s="139">
        <v>45650</v>
      </c>
      <c r="B435" s="137">
        <v>73.75</v>
      </c>
      <c r="C435" s="137">
        <v>0.67</v>
      </c>
      <c r="E435" s="137">
        <f t="shared" si="12"/>
        <v>92.7439637826962</v>
      </c>
      <c r="F435" s="137">
        <f t="shared" si="13"/>
        <v>83.75</v>
      </c>
      <c r="N435" s="139">
        <v>46014</v>
      </c>
      <c r="O435" s="137">
        <v>0.847853</v>
      </c>
      <c r="P435" s="137">
        <v>91.8451</v>
      </c>
    </row>
    <row r="436" spans="1:16">
      <c r="A436" s="139">
        <v>45651</v>
      </c>
      <c r="B436" s="137">
        <v>73.75</v>
      </c>
      <c r="C436" s="137">
        <v>0.67</v>
      </c>
      <c r="E436" s="137">
        <f t="shared" si="12"/>
        <v>92.7439637826962</v>
      </c>
      <c r="F436" s="137">
        <f t="shared" si="13"/>
        <v>83.75</v>
      </c>
      <c r="N436" s="139">
        <v>46015</v>
      </c>
      <c r="O436" s="137">
        <v>0.849005</v>
      </c>
      <c r="P436" s="137">
        <v>93.0503</v>
      </c>
    </row>
    <row r="437" spans="1:16">
      <c r="A437" s="139">
        <v>45652</v>
      </c>
      <c r="B437" s="137">
        <v>73.75</v>
      </c>
      <c r="C437" s="137">
        <v>0.66</v>
      </c>
      <c r="E437" s="137">
        <f t="shared" si="12"/>
        <v>92.7439637826962</v>
      </c>
      <c r="F437" s="137">
        <f t="shared" si="13"/>
        <v>82.5</v>
      </c>
      <c r="N437" s="139">
        <v>46016</v>
      </c>
      <c r="O437" s="137">
        <v>0.849005</v>
      </c>
      <c r="P437" s="137">
        <v>93.0503</v>
      </c>
    </row>
    <row r="438" spans="1:16">
      <c r="A438" s="139">
        <v>45653</v>
      </c>
      <c r="B438" s="137">
        <v>74.03</v>
      </c>
      <c r="C438" s="137">
        <v>0.66</v>
      </c>
      <c r="E438" s="137">
        <f t="shared" si="12"/>
        <v>93.0960764587525</v>
      </c>
      <c r="F438" s="137">
        <f t="shared" si="13"/>
        <v>82.5</v>
      </c>
      <c r="N438" s="139">
        <v>46017</v>
      </c>
      <c r="O438" s="137">
        <v>0.849437</v>
      </c>
      <c r="P438" s="137">
        <v>92.3945</v>
      </c>
    </row>
    <row r="439" spans="1:16">
      <c r="A439" s="139">
        <v>45656</v>
      </c>
      <c r="B439" s="137">
        <v>74.38</v>
      </c>
      <c r="C439" s="137">
        <v>0.66</v>
      </c>
      <c r="E439" s="137">
        <f t="shared" si="12"/>
        <v>93.5362173038229</v>
      </c>
      <c r="F439" s="137">
        <f t="shared" si="13"/>
        <v>82.5</v>
      </c>
      <c r="N439" s="139">
        <v>46020</v>
      </c>
      <c r="O439" s="137">
        <v>0.849437</v>
      </c>
      <c r="P439" s="137">
        <v>92.018</v>
      </c>
    </row>
    <row r="440" spans="1:16">
      <c r="A440" s="139">
        <v>45657</v>
      </c>
      <c r="B440" s="137">
        <v>74.74</v>
      </c>
      <c r="C440" s="137">
        <v>0.66</v>
      </c>
      <c r="E440" s="137">
        <f t="shared" si="12"/>
        <v>93.9889336016097</v>
      </c>
      <c r="F440" s="137">
        <f t="shared" si="13"/>
        <v>82.5</v>
      </c>
      <c r="N440" s="139">
        <v>46021</v>
      </c>
      <c r="O440" s="137">
        <v>0.851209</v>
      </c>
      <c r="P440" s="137">
        <v>93.4803</v>
      </c>
    </row>
    <row r="441" spans="1:16">
      <c r="A441" s="139">
        <v>45658</v>
      </c>
      <c r="B441" s="137">
        <v>74.74</v>
      </c>
      <c r="C441" s="137">
        <v>0.66</v>
      </c>
      <c r="E441" s="137">
        <f t="shared" si="12"/>
        <v>93.9889336016097</v>
      </c>
      <c r="F441" s="137">
        <f t="shared" si="13"/>
        <v>82.5</v>
      </c>
      <c r="N441" s="139">
        <v>46022</v>
      </c>
      <c r="O441" s="137">
        <v>0.85139</v>
      </c>
      <c r="P441" s="137">
        <v>92.8992</v>
      </c>
    </row>
    <row r="442" spans="1:16">
      <c r="A442" s="139">
        <v>45659</v>
      </c>
      <c r="B442" s="137">
        <v>76.29</v>
      </c>
      <c r="C442" s="137">
        <v>0.66</v>
      </c>
      <c r="E442" s="137">
        <f t="shared" si="12"/>
        <v>95.9381287726358</v>
      </c>
      <c r="F442" s="137">
        <f t="shared" si="13"/>
        <v>82.5</v>
      </c>
      <c r="N442" s="139">
        <v>46023</v>
      </c>
      <c r="O442" s="137">
        <v>0.85139</v>
      </c>
      <c r="P442" s="137">
        <v>92.8992</v>
      </c>
    </row>
    <row r="443" spans="1:16">
      <c r="A443" s="139">
        <v>45660</v>
      </c>
      <c r="B443" s="137">
        <v>76.35</v>
      </c>
      <c r="C443" s="137">
        <v>0.65</v>
      </c>
      <c r="E443" s="137">
        <f t="shared" si="12"/>
        <v>96.0135814889336</v>
      </c>
      <c r="F443" s="137">
        <f t="shared" si="13"/>
        <v>81.25</v>
      </c>
      <c r="N443" s="139">
        <v>46024</v>
      </c>
      <c r="O443" s="137">
        <v>0.853242</v>
      </c>
      <c r="P443" s="137">
        <v>92.9544</v>
      </c>
    </row>
    <row r="444" spans="1:16">
      <c r="A444" s="139">
        <v>45663</v>
      </c>
      <c r="B444" s="137">
        <v>76.69</v>
      </c>
      <c r="C444" s="137">
        <v>0.66</v>
      </c>
      <c r="E444" s="137">
        <f t="shared" si="12"/>
        <v>96.4411468812877</v>
      </c>
      <c r="F444" s="137">
        <f t="shared" si="13"/>
        <v>82.5</v>
      </c>
      <c r="N444" s="139">
        <v>46027</v>
      </c>
      <c r="O444" s="137">
        <v>0.853133</v>
      </c>
      <c r="P444" s="137">
        <v>94.6309</v>
      </c>
    </row>
    <row r="445" spans="1:16">
      <c r="A445" s="139">
        <v>45664</v>
      </c>
      <c r="B445" s="137">
        <v>76.94</v>
      </c>
      <c r="C445" s="137">
        <v>0.66</v>
      </c>
      <c r="E445" s="137">
        <f t="shared" si="12"/>
        <v>96.7555331991952</v>
      </c>
      <c r="F445" s="137">
        <f t="shared" si="13"/>
        <v>82.5</v>
      </c>
      <c r="N445" s="139">
        <v>46028</v>
      </c>
      <c r="O445" s="137">
        <v>0.855542</v>
      </c>
      <c r="P445" s="137">
        <v>94.4453</v>
      </c>
    </row>
    <row r="446" spans="1:16">
      <c r="A446" s="139">
        <v>45665</v>
      </c>
      <c r="B446" s="137">
        <v>76.2</v>
      </c>
      <c r="C446" s="137">
        <v>0.66</v>
      </c>
      <c r="E446" s="137">
        <f t="shared" si="12"/>
        <v>95.8249496981891</v>
      </c>
      <c r="F446" s="137">
        <f t="shared" si="13"/>
        <v>82.5</v>
      </c>
      <c r="N446" s="139">
        <v>46029</v>
      </c>
      <c r="O446" s="137">
        <v>0.856604</v>
      </c>
      <c r="P446" s="137">
        <v>94.2175</v>
      </c>
    </row>
    <row r="447" spans="1:16">
      <c r="A447" s="139">
        <v>45666</v>
      </c>
      <c r="B447" s="137">
        <v>77.15</v>
      </c>
      <c r="C447" s="137">
        <v>0.66</v>
      </c>
      <c r="E447" s="137">
        <f t="shared" si="12"/>
        <v>97.0196177062374</v>
      </c>
      <c r="F447" s="137">
        <f t="shared" si="13"/>
        <v>82.5</v>
      </c>
      <c r="N447" s="139">
        <v>46030</v>
      </c>
      <c r="O447" s="137">
        <v>0.85767</v>
      </c>
      <c r="P447" s="137">
        <v>93.9154</v>
      </c>
    </row>
    <row r="448" spans="1:16">
      <c r="A448" s="139">
        <v>45667</v>
      </c>
      <c r="B448" s="137">
        <v>78.85</v>
      </c>
      <c r="C448" s="137">
        <v>0.65</v>
      </c>
      <c r="E448" s="137">
        <f t="shared" si="12"/>
        <v>99.157444668008</v>
      </c>
      <c r="F448" s="137">
        <f t="shared" si="13"/>
        <v>81.25</v>
      </c>
      <c r="N448" s="139">
        <v>46031</v>
      </c>
      <c r="O448" s="137">
        <v>0.859254</v>
      </c>
      <c r="P448" s="137">
        <v>92.0513</v>
      </c>
    </row>
    <row r="449" spans="1:16">
      <c r="A449" s="139">
        <v>45670</v>
      </c>
      <c r="B449" s="137">
        <v>81.18</v>
      </c>
      <c r="C449" s="137">
        <v>0.65</v>
      </c>
      <c r="E449" s="137">
        <f t="shared" si="12"/>
        <v>102.087525150905</v>
      </c>
      <c r="F449" s="137">
        <f t="shared" si="13"/>
        <v>81.25</v>
      </c>
      <c r="N449" s="139">
        <v>46034</v>
      </c>
      <c r="O449" s="137">
        <v>0.857082</v>
      </c>
      <c r="P449" s="137">
        <v>91.4701</v>
      </c>
    </row>
    <row r="450" spans="1:16">
      <c r="A450" s="139">
        <v>45671</v>
      </c>
      <c r="B450" s="137">
        <v>80.38</v>
      </c>
      <c r="C450" s="137">
        <v>0.65</v>
      </c>
      <c r="E450" s="137">
        <f t="shared" si="12"/>
        <v>101.081488933602</v>
      </c>
      <c r="F450" s="137">
        <f t="shared" si="13"/>
        <v>81.25</v>
      </c>
      <c r="N450" s="139">
        <v>46035</v>
      </c>
      <c r="O450" s="137">
        <v>0.858922</v>
      </c>
      <c r="P450" s="137">
        <v>91.7517</v>
      </c>
    </row>
    <row r="451" spans="1:16">
      <c r="A451" s="139">
        <v>45672</v>
      </c>
      <c r="B451" s="137">
        <v>81.54</v>
      </c>
      <c r="C451" s="137">
        <v>0.65</v>
      </c>
      <c r="E451" s="137">
        <f t="shared" si="12"/>
        <v>102.540241448692</v>
      </c>
      <c r="F451" s="137">
        <f t="shared" si="13"/>
        <v>81.25</v>
      </c>
      <c r="N451" s="139">
        <v>46036</v>
      </c>
      <c r="O451" s="137">
        <v>0.858849</v>
      </c>
      <c r="P451" s="137">
        <v>91.6476</v>
      </c>
    </row>
    <row r="452" spans="1:16">
      <c r="A452" s="139">
        <v>45673</v>
      </c>
      <c r="B452" s="137">
        <v>80.69</v>
      </c>
      <c r="C452" s="137">
        <v>0.64</v>
      </c>
      <c r="E452" s="137">
        <f t="shared" si="12"/>
        <v>101.471327967807</v>
      </c>
      <c r="F452" s="137">
        <f t="shared" si="13"/>
        <v>80</v>
      </c>
      <c r="N452" s="139">
        <v>46037</v>
      </c>
      <c r="O452" s="137">
        <v>0.861475</v>
      </c>
      <c r="P452" s="137">
        <v>91.0758</v>
      </c>
    </row>
    <row r="453" spans="1:16">
      <c r="A453" s="139">
        <v>45674</v>
      </c>
      <c r="B453" s="137">
        <v>81.02</v>
      </c>
      <c r="C453" s="137">
        <v>0.65</v>
      </c>
      <c r="E453" s="137">
        <f t="shared" ref="E453:E516" si="14">B453/$B$3*$E$3</f>
        <v>101.886317907445</v>
      </c>
      <c r="F453" s="137">
        <f t="shared" ref="F453:F516" si="15">C453/$C$3*$F$3</f>
        <v>81.25</v>
      </c>
      <c r="N453" s="139">
        <v>46038</v>
      </c>
      <c r="O453" s="137">
        <v>0.862144</v>
      </c>
      <c r="P453" s="137">
        <v>90.1512</v>
      </c>
    </row>
    <row r="454" spans="1:16">
      <c r="A454" s="139">
        <v>45677</v>
      </c>
      <c r="B454" s="137">
        <v>79.8</v>
      </c>
      <c r="C454" s="137">
        <v>0.65</v>
      </c>
      <c r="E454" s="137">
        <f t="shared" si="14"/>
        <v>100.352112676056</v>
      </c>
      <c r="F454" s="137">
        <f t="shared" si="15"/>
        <v>81.25</v>
      </c>
      <c r="N454" s="139">
        <v>46041</v>
      </c>
      <c r="O454" s="137">
        <v>0.858664</v>
      </c>
      <c r="P454" s="137">
        <v>90.5011</v>
      </c>
    </row>
    <row r="455" spans="1:16">
      <c r="A455" s="139">
        <v>45678</v>
      </c>
      <c r="B455" s="137">
        <v>79.54</v>
      </c>
      <c r="C455" s="137">
        <v>0.65</v>
      </c>
      <c r="E455" s="137">
        <f t="shared" si="14"/>
        <v>100.025150905433</v>
      </c>
      <c r="F455" s="137">
        <f t="shared" si="15"/>
        <v>81.25</v>
      </c>
      <c r="N455" s="139">
        <v>46042</v>
      </c>
      <c r="O455" s="137">
        <v>0.852915</v>
      </c>
      <c r="P455" s="137">
        <v>91.0973</v>
      </c>
    </row>
    <row r="456" spans="1:16">
      <c r="A456" s="139">
        <v>45679</v>
      </c>
      <c r="B456" s="137">
        <v>79.24</v>
      </c>
      <c r="C456" s="137">
        <v>0.65</v>
      </c>
      <c r="E456" s="137">
        <f t="shared" si="14"/>
        <v>99.6478873239437</v>
      </c>
      <c r="F456" s="137">
        <f t="shared" si="15"/>
        <v>81.25</v>
      </c>
      <c r="N456" s="139">
        <v>46043</v>
      </c>
      <c r="O456" s="137">
        <v>0.855908</v>
      </c>
      <c r="P456" s="137">
        <v>89.8422</v>
      </c>
    </row>
    <row r="457" spans="1:16">
      <c r="A457" s="139">
        <v>45680</v>
      </c>
      <c r="B457" s="137">
        <v>78.41</v>
      </c>
      <c r="C457" s="137">
        <v>0.65</v>
      </c>
      <c r="E457" s="137">
        <f t="shared" si="14"/>
        <v>98.6041247484909</v>
      </c>
      <c r="F457" s="137">
        <f t="shared" si="15"/>
        <v>81.25</v>
      </c>
      <c r="N457" s="139">
        <v>46044</v>
      </c>
      <c r="O457" s="137">
        <v>0.850665</v>
      </c>
      <c r="P457" s="137">
        <v>89.116</v>
      </c>
    </row>
    <row r="458" spans="1:16">
      <c r="A458" s="139">
        <v>45681</v>
      </c>
      <c r="B458" s="137">
        <v>78.5</v>
      </c>
      <c r="C458" s="137">
        <v>0.65</v>
      </c>
      <c r="E458" s="137">
        <f t="shared" si="14"/>
        <v>98.7173038229376</v>
      </c>
      <c r="F458" s="137">
        <f t="shared" si="15"/>
        <v>81.25</v>
      </c>
      <c r="N458" s="139">
        <v>46045</v>
      </c>
      <c r="O458" s="137">
        <v>0.845451</v>
      </c>
      <c r="P458" s="137">
        <v>88.7692</v>
      </c>
    </row>
    <row r="459" spans="1:16">
      <c r="A459" s="139">
        <v>45684</v>
      </c>
      <c r="B459" s="137">
        <v>77.09</v>
      </c>
      <c r="C459" s="137">
        <v>0.65</v>
      </c>
      <c r="E459" s="137">
        <f t="shared" si="14"/>
        <v>96.9441649899397</v>
      </c>
      <c r="F459" s="137">
        <f t="shared" si="15"/>
        <v>81.25</v>
      </c>
      <c r="N459" s="139">
        <v>46048</v>
      </c>
      <c r="O459" s="137">
        <v>0.841715</v>
      </c>
      <c r="P459" s="137">
        <v>90.9152</v>
      </c>
    </row>
    <row r="460" spans="1:16">
      <c r="A460" s="139">
        <v>45685</v>
      </c>
      <c r="B460" s="137">
        <v>77.56</v>
      </c>
      <c r="C460" s="137">
        <v>0.64</v>
      </c>
      <c r="E460" s="137">
        <f t="shared" si="14"/>
        <v>97.5352112676056</v>
      </c>
      <c r="F460" s="137">
        <f t="shared" si="15"/>
        <v>80</v>
      </c>
      <c r="N460" s="139">
        <v>46049</v>
      </c>
      <c r="O460" s="137">
        <v>0.830461</v>
      </c>
      <c r="P460" s="137">
        <v>91.1341</v>
      </c>
    </row>
    <row r="461" spans="1:16">
      <c r="A461" s="139">
        <v>45686</v>
      </c>
      <c r="B461" s="137">
        <v>76.58</v>
      </c>
      <c r="C461" s="137">
        <v>0.64</v>
      </c>
      <c r="E461" s="137">
        <f t="shared" si="14"/>
        <v>96.3028169014084</v>
      </c>
      <c r="F461" s="137">
        <f t="shared" si="15"/>
        <v>80</v>
      </c>
      <c r="N461" s="139">
        <v>46050</v>
      </c>
      <c r="O461" s="137">
        <v>0.83654</v>
      </c>
      <c r="P461" s="137">
        <v>91.2223</v>
      </c>
    </row>
    <row r="462" spans="1:16">
      <c r="A462" s="139">
        <v>45687</v>
      </c>
      <c r="B462" s="137">
        <v>76.91</v>
      </c>
      <c r="C462" s="137">
        <v>0.64</v>
      </c>
      <c r="E462" s="137">
        <f t="shared" si="14"/>
        <v>96.7178068410463</v>
      </c>
      <c r="F462" s="137">
        <f t="shared" si="15"/>
        <v>80</v>
      </c>
      <c r="N462" s="139">
        <v>46051</v>
      </c>
      <c r="O462" s="137">
        <v>0.835387</v>
      </c>
      <c r="P462" s="137">
        <v>89.7696</v>
      </c>
    </row>
    <row r="463" spans="1:16">
      <c r="A463" s="139">
        <v>45688</v>
      </c>
      <c r="B463" s="137">
        <v>76.81</v>
      </c>
      <c r="C463" s="137">
        <v>0.63</v>
      </c>
      <c r="E463" s="137">
        <f t="shared" si="14"/>
        <v>96.5920523138833</v>
      </c>
      <c r="F463" s="137">
        <f t="shared" si="15"/>
        <v>78.75</v>
      </c>
      <c r="N463" s="139">
        <v>46052</v>
      </c>
      <c r="O463" s="137">
        <v>0.843882</v>
      </c>
      <c r="P463" s="137">
        <v>90.5622</v>
      </c>
    </row>
    <row r="464" spans="1:16">
      <c r="A464" s="139">
        <v>45691</v>
      </c>
      <c r="B464" s="137">
        <v>76</v>
      </c>
      <c r="C464" s="137">
        <v>0.64</v>
      </c>
      <c r="E464" s="137">
        <f t="shared" si="14"/>
        <v>95.5734406438632</v>
      </c>
      <c r="F464" s="137">
        <f t="shared" si="15"/>
        <v>80</v>
      </c>
      <c r="N464" s="139">
        <v>46055</v>
      </c>
      <c r="O464" s="137">
        <v>0.848104</v>
      </c>
      <c r="P464" s="137">
        <v>90.2973</v>
      </c>
    </row>
    <row r="465" spans="1:16">
      <c r="A465" s="139">
        <v>45692</v>
      </c>
      <c r="B465" s="137">
        <v>76.23</v>
      </c>
      <c r="C465" s="137">
        <v>0.64</v>
      </c>
      <c r="E465" s="137">
        <f t="shared" si="14"/>
        <v>95.862676056338</v>
      </c>
      <c r="F465" s="137">
        <f t="shared" si="15"/>
        <v>80</v>
      </c>
      <c r="N465" s="139">
        <v>46056</v>
      </c>
      <c r="O465" s="137">
        <v>0.846095</v>
      </c>
      <c r="P465" s="137">
        <v>91.0192</v>
      </c>
    </row>
    <row r="466" spans="1:16">
      <c r="A466" s="139">
        <v>45693</v>
      </c>
      <c r="B466" s="137">
        <v>74.67</v>
      </c>
      <c r="C466" s="137">
        <v>0.64</v>
      </c>
      <c r="E466" s="137">
        <f t="shared" si="14"/>
        <v>93.9009054325956</v>
      </c>
      <c r="F466" s="137">
        <f t="shared" si="15"/>
        <v>80</v>
      </c>
      <c r="N466" s="139">
        <v>46057</v>
      </c>
      <c r="O466" s="137">
        <v>0.846955</v>
      </c>
      <c r="P466" s="137">
        <v>89.9446</v>
      </c>
    </row>
    <row r="467" spans="1:16">
      <c r="A467" s="139">
        <v>45694</v>
      </c>
      <c r="B467" s="137">
        <v>74.33</v>
      </c>
      <c r="C467" s="137">
        <v>0.64</v>
      </c>
      <c r="E467" s="137">
        <f t="shared" si="14"/>
        <v>93.4733400402415</v>
      </c>
      <c r="F467" s="137">
        <f t="shared" si="15"/>
        <v>80</v>
      </c>
      <c r="N467" s="139">
        <v>46058</v>
      </c>
      <c r="O467" s="137">
        <v>0.849113</v>
      </c>
      <c r="P467" s="137">
        <v>90.5075</v>
      </c>
    </row>
    <row r="468" spans="1:16">
      <c r="A468" s="139">
        <v>45695</v>
      </c>
      <c r="B468" s="137">
        <v>74.68</v>
      </c>
      <c r="C468" s="137">
        <v>0.63</v>
      </c>
      <c r="E468" s="137">
        <f t="shared" si="14"/>
        <v>93.9134808853119</v>
      </c>
      <c r="F468" s="137">
        <f t="shared" si="15"/>
        <v>78.75</v>
      </c>
      <c r="N468" s="139">
        <v>46059</v>
      </c>
      <c r="O468" s="137">
        <v>0.846239</v>
      </c>
      <c r="P468" s="137">
        <v>91.0103</v>
      </c>
    </row>
    <row r="469" spans="1:16">
      <c r="A469" s="139">
        <v>45698</v>
      </c>
      <c r="B469" s="137">
        <v>75.95</v>
      </c>
      <c r="C469" s="137">
        <v>0.64</v>
      </c>
      <c r="E469" s="137">
        <f t="shared" si="14"/>
        <v>95.5105633802817</v>
      </c>
      <c r="F469" s="137">
        <f t="shared" si="15"/>
        <v>80</v>
      </c>
      <c r="N469" s="139">
        <v>46062</v>
      </c>
      <c r="O469" s="137">
        <v>0.839313</v>
      </c>
      <c r="P469" s="137">
        <v>92.0837</v>
      </c>
    </row>
    <row r="470" spans="1:16">
      <c r="A470" s="139">
        <v>45699</v>
      </c>
      <c r="B470" s="137">
        <v>77.5</v>
      </c>
      <c r="C470" s="137">
        <v>0.65</v>
      </c>
      <c r="E470" s="137">
        <f t="shared" si="14"/>
        <v>97.4597585513079</v>
      </c>
      <c r="F470" s="137">
        <f t="shared" si="15"/>
        <v>81.25</v>
      </c>
      <c r="N470" s="139">
        <v>46063</v>
      </c>
      <c r="O470" s="137">
        <v>0.840689</v>
      </c>
      <c r="P470" s="137">
        <v>92.1885</v>
      </c>
    </row>
    <row r="471" spans="1:16">
      <c r="A471" s="139">
        <v>45700</v>
      </c>
      <c r="B471" s="137">
        <v>75.48</v>
      </c>
      <c r="C471" s="137">
        <v>0.65</v>
      </c>
      <c r="E471" s="137">
        <f t="shared" si="14"/>
        <v>94.9195171026157</v>
      </c>
      <c r="F471" s="137">
        <f t="shared" si="15"/>
        <v>81.25</v>
      </c>
      <c r="N471" s="139">
        <v>46064</v>
      </c>
      <c r="O471" s="137">
        <v>0.842389</v>
      </c>
      <c r="P471" s="137">
        <v>91.4368</v>
      </c>
    </row>
    <row r="472" spans="1:16">
      <c r="A472" s="139">
        <v>45701</v>
      </c>
      <c r="B472" s="137">
        <v>75.36</v>
      </c>
      <c r="C472" s="137">
        <v>0.65</v>
      </c>
      <c r="E472" s="137">
        <f t="shared" si="14"/>
        <v>94.7686116700201</v>
      </c>
      <c r="F472" s="137">
        <f t="shared" si="15"/>
        <v>81.25</v>
      </c>
      <c r="N472" s="139">
        <v>46065</v>
      </c>
      <c r="O472" s="137">
        <v>0.842425</v>
      </c>
      <c r="P472" s="137">
        <v>91.782</v>
      </c>
    </row>
    <row r="473" spans="1:16">
      <c r="A473" s="139">
        <v>45702</v>
      </c>
      <c r="B473" s="137">
        <v>75.01</v>
      </c>
      <c r="C473" s="137">
        <v>0.66</v>
      </c>
      <c r="E473" s="137">
        <f t="shared" si="14"/>
        <v>94.3284708249497</v>
      </c>
      <c r="F473" s="137">
        <f t="shared" si="15"/>
        <v>82.5</v>
      </c>
      <c r="N473" s="139">
        <v>46066</v>
      </c>
      <c r="O473" s="137">
        <v>0.842567</v>
      </c>
      <c r="P473" s="137">
        <v>90.7376</v>
      </c>
    </row>
    <row r="474" spans="1:16">
      <c r="A474" s="139">
        <v>45705</v>
      </c>
      <c r="B474" s="137">
        <v>75.61</v>
      </c>
      <c r="C474" s="137">
        <v>0.66</v>
      </c>
      <c r="E474" s="137">
        <f t="shared" si="14"/>
        <v>95.0829979879276</v>
      </c>
      <c r="F474" s="137">
        <f t="shared" si="15"/>
        <v>82.5</v>
      </c>
      <c r="N474" s="139">
        <v>46069</v>
      </c>
      <c r="O474" s="137">
        <v>0.843811</v>
      </c>
      <c r="P474" s="137">
        <v>91.0722</v>
      </c>
    </row>
    <row r="475" spans="1:16">
      <c r="A475" s="139">
        <v>45706</v>
      </c>
      <c r="B475" s="137">
        <v>76.29</v>
      </c>
      <c r="C475" s="137">
        <v>0.67</v>
      </c>
      <c r="E475" s="137">
        <f t="shared" si="14"/>
        <v>95.9381287726358</v>
      </c>
      <c r="F475" s="137">
        <f t="shared" si="15"/>
        <v>83.75</v>
      </c>
      <c r="N475" s="139">
        <v>46070</v>
      </c>
      <c r="O475" s="137">
        <v>0.843526</v>
      </c>
      <c r="P475" s="137">
        <v>90.4466</v>
      </c>
    </row>
    <row r="476" spans="1:16">
      <c r="A476" s="139">
        <v>45707</v>
      </c>
      <c r="B476" s="137">
        <v>76.05</v>
      </c>
      <c r="C476" s="137">
        <v>0.66</v>
      </c>
      <c r="E476" s="137">
        <f t="shared" si="14"/>
        <v>95.6363179074447</v>
      </c>
      <c r="F476" s="137">
        <f t="shared" si="15"/>
        <v>82.5</v>
      </c>
      <c r="N476" s="139">
        <v>46071</v>
      </c>
      <c r="O476" s="137">
        <v>0.848644</v>
      </c>
      <c r="P476" s="137">
        <v>90.7339</v>
      </c>
    </row>
    <row r="477" spans="1:16">
      <c r="A477" s="139">
        <v>45708</v>
      </c>
      <c r="B477" s="137">
        <v>76.51</v>
      </c>
      <c r="C477" s="137">
        <v>0.65</v>
      </c>
      <c r="E477" s="137">
        <f t="shared" si="14"/>
        <v>96.2147887323944</v>
      </c>
      <c r="F477" s="137">
        <f t="shared" si="15"/>
        <v>81.25</v>
      </c>
      <c r="N477" s="139">
        <v>46072</v>
      </c>
      <c r="O477" s="137">
        <v>0.849365</v>
      </c>
      <c r="P477" s="137">
        <v>90.1302</v>
      </c>
    </row>
    <row r="478" spans="1:16">
      <c r="A478" s="139">
        <v>45709</v>
      </c>
      <c r="B478" s="137">
        <v>74.45</v>
      </c>
      <c r="C478" s="137">
        <v>0.65</v>
      </c>
      <c r="E478" s="137">
        <f t="shared" si="14"/>
        <v>93.624245472837</v>
      </c>
      <c r="F478" s="137">
        <f t="shared" si="15"/>
        <v>81.25</v>
      </c>
      <c r="N478" s="139">
        <v>46073</v>
      </c>
      <c r="O478" s="137">
        <v>0.848788</v>
      </c>
      <c r="P478" s="137">
        <v>90.5537</v>
      </c>
    </row>
    <row r="479" spans="1:16">
      <c r="A479" s="139">
        <v>45712</v>
      </c>
      <c r="B479" s="137">
        <v>74.84</v>
      </c>
      <c r="C479" s="137">
        <v>0.66</v>
      </c>
      <c r="E479" s="137">
        <f t="shared" si="14"/>
        <v>94.1146881287727</v>
      </c>
      <c r="F479" s="137">
        <f t="shared" si="15"/>
        <v>82.5</v>
      </c>
      <c r="N479" s="139">
        <v>46076</v>
      </c>
      <c r="O479" s="137">
        <v>0.8485</v>
      </c>
      <c r="P479" s="137">
        <v>90.7331</v>
      </c>
    </row>
    <row r="480" spans="1:16">
      <c r="A480" s="139">
        <v>45713</v>
      </c>
      <c r="B480" s="137">
        <v>73.07</v>
      </c>
      <c r="C480" s="137">
        <v>0.65</v>
      </c>
      <c r="E480" s="137">
        <f t="shared" si="14"/>
        <v>91.8888329979879</v>
      </c>
      <c r="F480" s="137">
        <f t="shared" si="15"/>
        <v>81.25</v>
      </c>
      <c r="N480" s="139">
        <v>46077</v>
      </c>
      <c r="O480" s="137">
        <v>0.849437</v>
      </c>
      <c r="P480" s="137">
        <v>90.0085</v>
      </c>
    </row>
    <row r="481" spans="1:16">
      <c r="A481" s="139">
        <v>45714</v>
      </c>
      <c r="B481" s="137">
        <v>72.93</v>
      </c>
      <c r="C481" s="137">
        <v>0.65</v>
      </c>
      <c r="E481" s="137">
        <f t="shared" si="14"/>
        <v>91.7127766599598</v>
      </c>
      <c r="F481" s="137">
        <f t="shared" si="15"/>
        <v>81.25</v>
      </c>
      <c r="N481" s="139">
        <v>46078</v>
      </c>
      <c r="O481" s="137">
        <v>0.846704</v>
      </c>
      <c r="P481" s="137">
        <v>90.7241</v>
      </c>
    </row>
    <row r="482" spans="1:16">
      <c r="A482" s="139">
        <v>45715</v>
      </c>
      <c r="B482" s="137">
        <v>74.45</v>
      </c>
      <c r="C482" s="137">
        <v>0.65</v>
      </c>
      <c r="E482" s="137">
        <f t="shared" si="14"/>
        <v>93.624245472837</v>
      </c>
      <c r="F482" s="137">
        <f t="shared" si="15"/>
        <v>81.25</v>
      </c>
      <c r="N482" s="139">
        <v>46079</v>
      </c>
      <c r="O482" s="137">
        <v>0.847637</v>
      </c>
      <c r="P482" s="137">
        <v>90.9075</v>
      </c>
    </row>
    <row r="483" spans="1:16">
      <c r="A483" s="139">
        <v>45716</v>
      </c>
      <c r="B483" s="137">
        <v>73.56</v>
      </c>
      <c r="C483" s="137">
        <v>0.63</v>
      </c>
      <c r="E483" s="137">
        <f t="shared" si="14"/>
        <v>92.5050301810865</v>
      </c>
      <c r="F483" s="137">
        <f t="shared" si="15"/>
        <v>78.75</v>
      </c>
      <c r="N483" s="139">
        <v>46080</v>
      </c>
      <c r="O483" s="137">
        <v>0.846453</v>
      </c>
      <c r="P483" s="137">
        <v>91.2682</v>
      </c>
    </row>
    <row r="484" spans="1:16">
      <c r="A484" s="139">
        <v>45719</v>
      </c>
      <c r="B484" s="137">
        <v>72.13</v>
      </c>
      <c r="C484" s="137">
        <v>0.64</v>
      </c>
      <c r="E484" s="137">
        <f t="shared" si="14"/>
        <v>90.7067404426559</v>
      </c>
      <c r="F484" s="137">
        <f t="shared" si="15"/>
        <v>80</v>
      </c>
      <c r="N484" s="139">
        <v>46083</v>
      </c>
      <c r="O484" s="137">
        <v>0.855542</v>
      </c>
      <c r="P484" s="137">
        <v>90.4909</v>
      </c>
    </row>
    <row r="485" spans="1:16">
      <c r="A485" s="139">
        <v>45720</v>
      </c>
      <c r="B485" s="137">
        <v>71.52</v>
      </c>
      <c r="C485" s="137">
        <v>0.61</v>
      </c>
      <c r="E485" s="137">
        <f t="shared" si="14"/>
        <v>89.9396378269618</v>
      </c>
      <c r="F485" s="137">
        <f t="shared" si="15"/>
        <v>76.25</v>
      </c>
      <c r="N485" s="139">
        <v>46084</v>
      </c>
      <c r="O485" s="137">
        <v>0.860992</v>
      </c>
      <c r="P485" s="137">
        <v>89.9262</v>
      </c>
    </row>
    <row r="486" spans="1:16">
      <c r="A486" s="139">
        <v>45721</v>
      </c>
      <c r="B486" s="137">
        <v>69.66</v>
      </c>
      <c r="C486" s="137">
        <v>0.62</v>
      </c>
      <c r="E486" s="137">
        <f t="shared" si="14"/>
        <v>87.6006036217304</v>
      </c>
      <c r="F486" s="137">
        <f t="shared" si="15"/>
        <v>77.5</v>
      </c>
      <c r="N486" s="139">
        <v>46085</v>
      </c>
      <c r="O486" s="137">
        <v>0.859586</v>
      </c>
      <c r="P486" s="137">
        <v>90.7591</v>
      </c>
    </row>
    <row r="487" spans="1:16">
      <c r="A487" s="139">
        <v>45722</v>
      </c>
      <c r="B487" s="137">
        <v>69.8</v>
      </c>
      <c r="C487" s="137">
        <v>0.63</v>
      </c>
      <c r="E487" s="137">
        <f t="shared" si="14"/>
        <v>87.7766599597585</v>
      </c>
      <c r="F487" s="137">
        <f t="shared" si="15"/>
        <v>78.75</v>
      </c>
      <c r="N487" s="139">
        <v>46086</v>
      </c>
      <c r="O487" s="137">
        <v>0.861438</v>
      </c>
      <c r="P487" s="137">
        <v>91.1214</v>
      </c>
    </row>
    <row r="488" spans="1:16">
      <c r="A488" s="139">
        <v>45723</v>
      </c>
      <c r="B488" s="137">
        <v>70.7</v>
      </c>
      <c r="C488" s="137">
        <v>0.64</v>
      </c>
      <c r="E488" s="137">
        <f t="shared" si="14"/>
        <v>88.9084507042254</v>
      </c>
      <c r="F488" s="137">
        <f t="shared" si="15"/>
        <v>80</v>
      </c>
      <c r="N488" s="139">
        <v>46087</v>
      </c>
      <c r="O488" s="137">
        <v>0.860696</v>
      </c>
      <c r="P488" s="137">
        <v>91.4703</v>
      </c>
    </row>
    <row r="489" spans="1:16">
      <c r="A489" s="139">
        <v>45726</v>
      </c>
      <c r="B489" s="137">
        <v>69.53</v>
      </c>
      <c r="C489" s="137">
        <v>0.64</v>
      </c>
      <c r="E489" s="137">
        <f t="shared" si="14"/>
        <v>87.4371227364185</v>
      </c>
      <c r="F489" s="137">
        <f t="shared" si="15"/>
        <v>80</v>
      </c>
      <c r="N489" s="139">
        <v>46090</v>
      </c>
      <c r="O489" s="137">
        <v>0.859365</v>
      </c>
      <c r="P489" s="137">
        <v>91.0051</v>
      </c>
    </row>
    <row r="490" spans="1:16">
      <c r="A490" s="139">
        <v>45727</v>
      </c>
      <c r="B490" s="137">
        <v>69.79</v>
      </c>
      <c r="C490" s="137">
        <v>0.64</v>
      </c>
      <c r="E490" s="137">
        <f t="shared" si="14"/>
        <v>87.7640845070423</v>
      </c>
      <c r="F490" s="137">
        <f t="shared" si="15"/>
        <v>80</v>
      </c>
      <c r="N490" s="139">
        <v>46091</v>
      </c>
      <c r="O490" s="137">
        <v>0.861252</v>
      </c>
      <c r="P490" s="137">
        <v>92.0987</v>
      </c>
    </row>
    <row r="491" spans="1:16">
      <c r="A491" s="139">
        <v>45728</v>
      </c>
      <c r="B491" s="137">
        <v>71.3</v>
      </c>
      <c r="C491" s="137">
        <v>0.65</v>
      </c>
      <c r="E491" s="137">
        <f t="shared" si="14"/>
        <v>89.6629778672032</v>
      </c>
      <c r="F491" s="137">
        <f t="shared" si="15"/>
        <v>81.25</v>
      </c>
      <c r="N491" s="139">
        <v>46092</v>
      </c>
      <c r="O491" s="137">
        <v>0.864528</v>
      </c>
      <c r="P491" s="137">
        <v>91.4332</v>
      </c>
    </row>
    <row r="492" spans="1:16">
      <c r="A492" s="139">
        <v>45729</v>
      </c>
      <c r="B492" s="137">
        <v>70.27</v>
      </c>
      <c r="C492" s="137">
        <v>0.65</v>
      </c>
      <c r="E492" s="137">
        <f t="shared" si="14"/>
        <v>88.3677062374245</v>
      </c>
      <c r="F492" s="137">
        <f t="shared" si="15"/>
        <v>81.25</v>
      </c>
      <c r="N492" s="139">
        <v>46093</v>
      </c>
      <c r="O492" s="137">
        <v>0.868697</v>
      </c>
      <c r="P492" s="137">
        <v>91.7768</v>
      </c>
    </row>
    <row r="493" spans="1:16">
      <c r="A493" s="139">
        <v>45730</v>
      </c>
      <c r="B493" s="137">
        <v>70.99</v>
      </c>
      <c r="C493" s="137">
        <v>0.65</v>
      </c>
      <c r="E493" s="137">
        <f t="shared" si="14"/>
        <v>89.273138832998</v>
      </c>
      <c r="F493" s="137">
        <f t="shared" si="15"/>
        <v>81.25</v>
      </c>
      <c r="N493" s="139">
        <v>46094</v>
      </c>
      <c r="O493" s="137">
        <v>0.875925</v>
      </c>
      <c r="P493" s="137">
        <v>91.6665</v>
      </c>
    </row>
    <row r="494" spans="1:16">
      <c r="A494" s="139">
        <v>45733</v>
      </c>
      <c r="B494" s="137">
        <v>71.46</v>
      </c>
      <c r="C494" s="137">
        <v>0.64</v>
      </c>
      <c r="E494" s="137">
        <f t="shared" si="14"/>
        <v>89.864185110664</v>
      </c>
      <c r="F494" s="137">
        <f t="shared" si="15"/>
        <v>80</v>
      </c>
      <c r="N494" s="139">
        <v>46097</v>
      </c>
      <c r="O494" s="137">
        <v>0.869225</v>
      </c>
      <c r="P494" s="137">
        <v>93.3157</v>
      </c>
    </row>
    <row r="495" spans="1:16">
      <c r="A495" s="139">
        <v>45734</v>
      </c>
      <c r="B495" s="137">
        <v>71.32</v>
      </c>
      <c r="C495" s="137">
        <v>0.64</v>
      </c>
      <c r="E495" s="137">
        <f t="shared" si="14"/>
        <v>89.6881287726358</v>
      </c>
      <c r="F495" s="137">
        <f t="shared" si="15"/>
        <v>80</v>
      </c>
      <c r="N495" s="139">
        <v>46098</v>
      </c>
      <c r="O495" s="137">
        <v>0.866589</v>
      </c>
      <c r="P495" s="137">
        <v>95.1307</v>
      </c>
    </row>
    <row r="496" spans="1:16">
      <c r="A496" s="139">
        <v>45735</v>
      </c>
      <c r="B496" s="137">
        <v>71.29</v>
      </c>
      <c r="C496" s="137">
        <v>0.64</v>
      </c>
      <c r="E496" s="137">
        <f t="shared" si="14"/>
        <v>89.6504024144869</v>
      </c>
      <c r="F496" s="137">
        <f t="shared" si="15"/>
        <v>80</v>
      </c>
      <c r="N496" s="139">
        <v>46099</v>
      </c>
      <c r="O496" s="137">
        <v>0.87321</v>
      </c>
      <c r="P496" s="137">
        <v>96.5612</v>
      </c>
    </row>
    <row r="497" spans="1:16">
      <c r="A497" s="139">
        <v>45736</v>
      </c>
      <c r="B497" s="137">
        <v>72.15</v>
      </c>
      <c r="C497" s="137">
        <v>0.64</v>
      </c>
      <c r="E497" s="137">
        <f t="shared" si="14"/>
        <v>90.7318913480885</v>
      </c>
      <c r="F497" s="137">
        <f t="shared" si="15"/>
        <v>80</v>
      </c>
      <c r="N497" s="139">
        <v>46100</v>
      </c>
      <c r="O497" s="137">
        <v>0.862887</v>
      </c>
      <c r="P497" s="137">
        <v>99.1888</v>
      </c>
    </row>
    <row r="498" spans="1:16">
      <c r="A498" s="139">
        <v>45737</v>
      </c>
      <c r="B498" s="137">
        <v>72.16</v>
      </c>
      <c r="C498" s="137">
        <v>0.63</v>
      </c>
      <c r="E498" s="137">
        <f t="shared" si="14"/>
        <v>90.7444668008048</v>
      </c>
      <c r="F498" s="137">
        <f t="shared" si="15"/>
        <v>78.75</v>
      </c>
      <c r="N498" s="139">
        <v>46101</v>
      </c>
      <c r="O498" s="137">
        <v>0.86423</v>
      </c>
      <c r="P498" s="137">
        <v>96.1122</v>
      </c>
    </row>
    <row r="499" spans="1:16">
      <c r="A499" s="139">
        <v>45740</v>
      </c>
      <c r="B499" s="137">
        <v>73.13</v>
      </c>
      <c r="C499" s="137">
        <v>0.63</v>
      </c>
      <c r="E499" s="137">
        <f t="shared" si="14"/>
        <v>91.9642857142857</v>
      </c>
      <c r="F499" s="137">
        <f t="shared" si="15"/>
        <v>78.75</v>
      </c>
      <c r="N499" s="139">
        <v>46104</v>
      </c>
      <c r="O499" s="137">
        <v>0.861104</v>
      </c>
      <c r="P499" s="137">
        <v>95.0591</v>
      </c>
    </row>
    <row r="500" spans="1:16">
      <c r="A500" s="139">
        <v>45741</v>
      </c>
      <c r="B500" s="137">
        <v>73.14</v>
      </c>
      <c r="C500" s="137">
        <v>0.63</v>
      </c>
      <c r="E500" s="137">
        <f t="shared" si="14"/>
        <v>91.976861167002</v>
      </c>
      <c r="F500" s="137">
        <f t="shared" si="15"/>
        <v>78.75</v>
      </c>
      <c r="N500" s="139">
        <v>46105</v>
      </c>
      <c r="O500" s="137">
        <v>0.861512</v>
      </c>
      <c r="P500" s="137">
        <v>93.203</v>
      </c>
    </row>
    <row r="501" spans="1:16">
      <c r="A501" s="139">
        <v>45742</v>
      </c>
      <c r="B501" s="137">
        <v>73.85</v>
      </c>
      <c r="C501" s="137">
        <v>0.63</v>
      </c>
      <c r="E501" s="137">
        <f t="shared" si="14"/>
        <v>92.8697183098592</v>
      </c>
      <c r="F501" s="137">
        <f t="shared" si="15"/>
        <v>78.75</v>
      </c>
      <c r="N501" s="139">
        <v>46106</v>
      </c>
      <c r="O501" s="137">
        <v>0.865164</v>
      </c>
      <c r="P501" s="137">
        <v>93.746</v>
      </c>
    </row>
    <row r="502" spans="1:16">
      <c r="A502" s="139">
        <v>45743</v>
      </c>
      <c r="B502" s="137">
        <v>74.06</v>
      </c>
      <c r="C502" s="137">
        <v>0.65</v>
      </c>
      <c r="E502" s="137">
        <f t="shared" si="14"/>
        <v>93.1338028169014</v>
      </c>
      <c r="F502" s="137">
        <f t="shared" si="15"/>
        <v>81.25</v>
      </c>
      <c r="N502" s="139">
        <v>46107</v>
      </c>
      <c r="O502" s="137">
        <v>0.867453</v>
      </c>
      <c r="P502" s="137">
        <v>93.7707</v>
      </c>
    </row>
    <row r="503" spans="1:16">
      <c r="A503" s="139">
        <v>45744</v>
      </c>
      <c r="B503" s="137">
        <v>73.54</v>
      </c>
      <c r="C503" s="137">
        <v>0.64</v>
      </c>
      <c r="E503" s="137">
        <f t="shared" si="14"/>
        <v>92.4798792756539</v>
      </c>
      <c r="F503" s="137">
        <f t="shared" si="15"/>
        <v>80</v>
      </c>
      <c r="N503" s="139">
        <v>46108</v>
      </c>
      <c r="O503" s="137">
        <v>0.86881</v>
      </c>
      <c r="P503" s="137">
        <v>94.0938</v>
      </c>
    </row>
    <row r="504" spans="1:16">
      <c r="A504" s="139">
        <v>45747</v>
      </c>
      <c r="B504" s="137">
        <v>74.78</v>
      </c>
      <c r="C504" s="137">
        <v>0.64</v>
      </c>
      <c r="E504" s="137">
        <f t="shared" si="14"/>
        <v>94.0392354124749</v>
      </c>
      <c r="F504" s="137">
        <f t="shared" si="15"/>
        <v>80</v>
      </c>
      <c r="N504" s="139">
        <v>46111</v>
      </c>
      <c r="O504" s="137">
        <v>0.872144</v>
      </c>
      <c r="P504" s="137">
        <v>93.2146</v>
      </c>
    </row>
    <row r="505" spans="1:16">
      <c r="A505" s="139">
        <v>45748</v>
      </c>
      <c r="B505" s="137">
        <v>75.03</v>
      </c>
      <c r="C505" s="137">
        <v>0.66</v>
      </c>
      <c r="E505" s="137">
        <f t="shared" si="14"/>
        <v>94.3536217303823</v>
      </c>
      <c r="F505" s="137">
        <f t="shared" si="15"/>
        <v>82.5</v>
      </c>
      <c r="N505" s="139">
        <v>46112</v>
      </c>
      <c r="O505" s="137">
        <v>0.865539</v>
      </c>
      <c r="P505" s="137">
        <v>93.6739</v>
      </c>
    </row>
    <row r="506" spans="1:16">
      <c r="A506" s="139">
        <v>45749</v>
      </c>
      <c r="B506" s="137">
        <v>75.47</v>
      </c>
      <c r="C506" s="137">
        <v>0.66</v>
      </c>
      <c r="E506" s="137">
        <f t="shared" si="14"/>
        <v>94.9069416498994</v>
      </c>
      <c r="F506" s="137">
        <f t="shared" si="15"/>
        <v>82.5</v>
      </c>
      <c r="N506" s="139">
        <v>46113</v>
      </c>
      <c r="O506" s="137">
        <v>0.862925</v>
      </c>
      <c r="P506" s="137">
        <v>93.5111</v>
      </c>
    </row>
    <row r="507" spans="1:16">
      <c r="A507" s="139">
        <v>45750</v>
      </c>
      <c r="B507" s="137">
        <v>70.74</v>
      </c>
      <c r="C507" s="137">
        <v>0.62</v>
      </c>
      <c r="E507" s="137">
        <f t="shared" si="14"/>
        <v>88.9587525150905</v>
      </c>
      <c r="F507" s="137">
        <f t="shared" si="15"/>
        <v>77.5</v>
      </c>
      <c r="N507" s="139">
        <v>46114</v>
      </c>
      <c r="O507" s="137">
        <v>0.866664</v>
      </c>
      <c r="P507" s="137">
        <v>92.6391</v>
      </c>
    </row>
    <row r="508" spans="1:16">
      <c r="A508" s="139">
        <v>45751</v>
      </c>
      <c r="B508" s="137">
        <v>66.18</v>
      </c>
      <c r="C508" s="137">
        <v>0.61</v>
      </c>
      <c r="E508" s="137">
        <f t="shared" si="14"/>
        <v>83.2243460764588</v>
      </c>
      <c r="F508" s="137">
        <f t="shared" si="15"/>
        <v>76.25</v>
      </c>
      <c r="N508" s="139">
        <v>46115</v>
      </c>
      <c r="O508" s="137">
        <v>0.868282</v>
      </c>
      <c r="P508" s="137">
        <v>92.6391</v>
      </c>
    </row>
    <row r="509" spans="1:16">
      <c r="A509" s="139">
        <v>45754</v>
      </c>
      <c r="B509" s="137">
        <v>64.69</v>
      </c>
      <c r="C509" s="137">
        <v>0.64</v>
      </c>
      <c r="E509" s="137">
        <f t="shared" si="14"/>
        <v>81.3506036217304</v>
      </c>
      <c r="F509" s="137">
        <f t="shared" si="15"/>
        <v>80</v>
      </c>
      <c r="N509" s="139">
        <v>46118</v>
      </c>
      <c r="O509" s="137">
        <v>0.866439</v>
      </c>
      <c r="P509" s="137">
        <v>90.9838</v>
      </c>
    </row>
    <row r="510" spans="1:16">
      <c r="A510" s="139">
        <v>45755</v>
      </c>
      <c r="B510" s="137">
        <v>63.41</v>
      </c>
      <c r="C510" s="137">
        <v>0.63</v>
      </c>
      <c r="E510" s="137">
        <f t="shared" si="14"/>
        <v>79.7409456740443</v>
      </c>
      <c r="F510" s="137">
        <f t="shared" si="15"/>
        <v>78.75</v>
      </c>
      <c r="N510" s="139">
        <v>46119</v>
      </c>
      <c r="O510" s="137">
        <v>0.862441</v>
      </c>
      <c r="P510" s="137">
        <v>90.906</v>
      </c>
    </row>
    <row r="511" spans="1:16">
      <c r="A511" s="139">
        <v>45756</v>
      </c>
      <c r="B511" s="137">
        <v>65.89</v>
      </c>
      <c r="C511" s="137">
        <v>0.64</v>
      </c>
      <c r="E511" s="137">
        <f t="shared" si="14"/>
        <v>82.8596579476861</v>
      </c>
      <c r="F511" s="137">
        <f t="shared" si="15"/>
        <v>80</v>
      </c>
      <c r="N511" s="139">
        <v>46120</v>
      </c>
      <c r="O511" s="137">
        <v>0.857412</v>
      </c>
      <c r="P511" s="137">
        <v>91.8643</v>
      </c>
    </row>
    <row r="512" spans="1:16">
      <c r="A512" s="139">
        <v>45757</v>
      </c>
      <c r="B512" s="137">
        <v>63.96</v>
      </c>
      <c r="C512" s="137">
        <v>0.64</v>
      </c>
      <c r="E512" s="137">
        <f t="shared" si="14"/>
        <v>80.4325955734407</v>
      </c>
      <c r="F512" s="137">
        <f t="shared" si="15"/>
        <v>80</v>
      </c>
      <c r="N512" s="139">
        <v>46121</v>
      </c>
      <c r="O512" s="137">
        <v>0.854701</v>
      </c>
      <c r="P512" s="137">
        <v>90.701</v>
      </c>
    </row>
    <row r="513" spans="1:16">
      <c r="A513" s="139">
        <v>45758</v>
      </c>
      <c r="B513" s="137">
        <v>65.32</v>
      </c>
      <c r="C513" s="137">
        <v>0.64</v>
      </c>
      <c r="E513" s="137">
        <f t="shared" si="14"/>
        <v>82.1428571428571</v>
      </c>
      <c r="F513" s="137">
        <f t="shared" si="15"/>
        <v>80</v>
      </c>
      <c r="N513" s="139">
        <v>46122</v>
      </c>
      <c r="O513" s="137">
        <v>0.853242</v>
      </c>
      <c r="P513" s="137">
        <v>90.3976</v>
      </c>
    </row>
    <row r="514" spans="1:16">
      <c r="A514" s="139">
        <v>45761</v>
      </c>
      <c r="B514" s="137">
        <v>65.47</v>
      </c>
      <c r="C514" s="137">
        <v>0.62</v>
      </c>
      <c r="E514" s="137">
        <f t="shared" si="14"/>
        <v>82.3314889336016</v>
      </c>
      <c r="F514" s="137">
        <f t="shared" si="15"/>
        <v>77.5</v>
      </c>
      <c r="N514" s="139">
        <v>46125</v>
      </c>
      <c r="O514" s="137">
        <v>0.850412</v>
      </c>
      <c r="P514" s="137">
        <v>89.2048</v>
      </c>
    </row>
    <row r="515" spans="1:16">
      <c r="A515" s="139">
        <v>45762</v>
      </c>
      <c r="B515" s="137">
        <v>64.71</v>
      </c>
      <c r="C515" s="137">
        <v>0.63</v>
      </c>
      <c r="E515" s="137">
        <f t="shared" si="14"/>
        <v>81.375754527163</v>
      </c>
      <c r="F515" s="137">
        <f t="shared" si="15"/>
        <v>78.75</v>
      </c>
      <c r="N515" s="139">
        <v>46126</v>
      </c>
      <c r="O515" s="137">
        <v>0.847745</v>
      </c>
      <c r="P515" s="137">
        <v>89.0104</v>
      </c>
    </row>
    <row r="516" spans="1:16">
      <c r="A516" s="139">
        <v>45763</v>
      </c>
      <c r="B516" s="137">
        <v>65.89</v>
      </c>
      <c r="C516" s="137">
        <v>0.63</v>
      </c>
      <c r="E516" s="137">
        <f t="shared" si="14"/>
        <v>82.8596579476861</v>
      </c>
      <c r="F516" s="137">
        <f t="shared" si="15"/>
        <v>78.75</v>
      </c>
      <c r="N516" s="139">
        <v>46127</v>
      </c>
      <c r="O516" s="137">
        <v>0.847494</v>
      </c>
      <c r="P516" s="137">
        <v>89.0122</v>
      </c>
    </row>
    <row r="517" spans="1:16">
      <c r="A517" s="139">
        <v>45764</v>
      </c>
      <c r="B517" s="137">
        <v>67.98</v>
      </c>
      <c r="C517" s="137">
        <v>0.65</v>
      </c>
      <c r="E517" s="137">
        <f t="shared" ref="E517:E580" si="16">B517/$B$3*$E$3</f>
        <v>85.4879275653924</v>
      </c>
      <c r="F517" s="137">
        <f t="shared" ref="F517:F580" si="17">C517/$C$3*$F$3</f>
        <v>81.25</v>
      </c>
      <c r="N517" s="139">
        <v>46128</v>
      </c>
      <c r="O517" s="137">
        <v>0.848788</v>
      </c>
      <c r="P517" s="137">
        <v>89.9011</v>
      </c>
    </row>
    <row r="518" spans="1:16">
      <c r="A518" s="139">
        <v>45765</v>
      </c>
      <c r="B518" s="137">
        <v>67.98</v>
      </c>
      <c r="C518" s="137">
        <v>0.65</v>
      </c>
      <c r="E518" s="137">
        <f t="shared" si="16"/>
        <v>85.4879275653924</v>
      </c>
      <c r="F518" s="137">
        <f t="shared" si="17"/>
        <v>81.25</v>
      </c>
      <c r="N518" s="139">
        <v>46129</v>
      </c>
      <c r="O518" s="137">
        <v>0.850087</v>
      </c>
      <c r="P518" s="137">
        <v>89.4911</v>
      </c>
    </row>
    <row r="519" spans="1:16">
      <c r="A519" s="139">
        <v>45768</v>
      </c>
      <c r="B519" s="137">
        <v>67.98</v>
      </c>
      <c r="C519" s="137">
        <v>0.65</v>
      </c>
      <c r="E519" s="137">
        <f t="shared" si="16"/>
        <v>85.4879275653924</v>
      </c>
      <c r="F519" s="137">
        <f t="shared" si="17"/>
        <v>81.25</v>
      </c>
      <c r="N519" s="139">
        <v>46132</v>
      </c>
      <c r="O519" s="137">
        <v>0.848284</v>
      </c>
      <c r="P519" s="137">
        <v>88.4629</v>
      </c>
    </row>
    <row r="520" spans="1:16">
      <c r="A520" s="139">
        <v>45769</v>
      </c>
      <c r="B520" s="137">
        <v>67.48</v>
      </c>
      <c r="C520" s="137">
        <v>0.65</v>
      </c>
      <c r="E520" s="137">
        <f t="shared" si="16"/>
        <v>84.8591549295775</v>
      </c>
      <c r="F520" s="137">
        <f t="shared" si="17"/>
        <v>81.25</v>
      </c>
      <c r="N520" s="139">
        <v>46133</v>
      </c>
      <c r="O520" s="137">
        <v>0.851571</v>
      </c>
      <c r="P520" s="137">
        <v>88.0225</v>
      </c>
    </row>
    <row r="521" spans="1:16">
      <c r="A521" s="139">
        <v>45770</v>
      </c>
      <c r="B521" s="137">
        <v>66.13</v>
      </c>
      <c r="C521" s="137">
        <v>0.67</v>
      </c>
      <c r="E521" s="137">
        <f t="shared" si="16"/>
        <v>83.1614688128773</v>
      </c>
      <c r="F521" s="137">
        <f t="shared" si="17"/>
        <v>83.75</v>
      </c>
      <c r="N521" s="139">
        <v>46134</v>
      </c>
      <c r="O521" s="137">
        <v>0.854336</v>
      </c>
      <c r="P521" s="137">
        <v>88.006</v>
      </c>
    </row>
    <row r="522" spans="1:16">
      <c r="A522" s="139">
        <v>45771</v>
      </c>
      <c r="B522" s="137">
        <v>66.6</v>
      </c>
      <c r="C522" s="137">
        <v>0.67</v>
      </c>
      <c r="E522" s="137">
        <f t="shared" si="16"/>
        <v>83.7525150905433</v>
      </c>
      <c r="F522" s="137">
        <f t="shared" si="17"/>
        <v>83.75</v>
      </c>
      <c r="N522" s="139">
        <v>46135</v>
      </c>
      <c r="O522" s="137">
        <v>0.855908</v>
      </c>
      <c r="P522" s="137">
        <v>88.6816</v>
      </c>
    </row>
    <row r="523" spans="1:16">
      <c r="A523" s="139">
        <v>45772</v>
      </c>
      <c r="B523" s="137">
        <v>66.95</v>
      </c>
      <c r="C523" s="137">
        <v>0.67</v>
      </c>
      <c r="E523" s="137">
        <f t="shared" si="16"/>
        <v>84.1926559356137</v>
      </c>
      <c r="F523" s="137">
        <f t="shared" si="17"/>
        <v>83.75</v>
      </c>
      <c r="N523" s="139">
        <v>46136</v>
      </c>
      <c r="O523" s="137">
        <v>0.853097</v>
      </c>
      <c r="P523" s="137">
        <v>88.0877</v>
      </c>
    </row>
    <row r="524" spans="1:16">
      <c r="A524" s="139">
        <v>45775</v>
      </c>
      <c r="B524" s="137">
        <v>65.88</v>
      </c>
      <c r="C524" s="137">
        <v>0.66</v>
      </c>
      <c r="E524" s="137">
        <f t="shared" si="16"/>
        <v>82.8470824949698</v>
      </c>
      <c r="F524" s="137">
        <f t="shared" si="17"/>
        <v>82.5</v>
      </c>
      <c r="N524" s="139">
        <v>46139</v>
      </c>
      <c r="O524" s="137">
        <v>0.85317</v>
      </c>
      <c r="P524" s="137">
        <v>87.9614</v>
      </c>
    </row>
    <row r="525" spans="1:16">
      <c r="A525" s="139">
        <v>45776</v>
      </c>
      <c r="B525" s="137">
        <v>64.33</v>
      </c>
      <c r="C525" s="137">
        <v>0.65</v>
      </c>
      <c r="E525" s="137">
        <f t="shared" si="16"/>
        <v>80.8978873239437</v>
      </c>
      <c r="F525" s="137">
        <f t="shared" si="17"/>
        <v>81.25</v>
      </c>
      <c r="N525" s="139">
        <v>46140</v>
      </c>
      <c r="O525" s="137">
        <v>0.853825</v>
      </c>
      <c r="P525" s="137">
        <v>88.1746</v>
      </c>
    </row>
    <row r="526" spans="1:16">
      <c r="A526" s="139">
        <v>45777</v>
      </c>
      <c r="B526" s="137">
        <v>64.33</v>
      </c>
      <c r="C526" s="137">
        <v>0.64</v>
      </c>
      <c r="E526" s="137">
        <f t="shared" si="16"/>
        <v>80.8978873239437</v>
      </c>
      <c r="F526" s="137">
        <f t="shared" si="17"/>
        <v>80</v>
      </c>
      <c r="N526" s="139">
        <v>45863</v>
      </c>
      <c r="O526" s="137">
        <v>0.851644</v>
      </c>
      <c r="P526" s="137">
        <v>93.0816</v>
      </c>
    </row>
    <row r="527" spans="1:16">
      <c r="A527" s="139">
        <v>45778</v>
      </c>
      <c r="B527" s="137">
        <v>62.17</v>
      </c>
      <c r="C527" s="137">
        <v>0.64</v>
      </c>
      <c r="E527" s="137">
        <f t="shared" si="16"/>
        <v>78.1815895372233</v>
      </c>
      <c r="F527" s="137">
        <f t="shared" si="17"/>
        <v>80</v>
      </c>
    </row>
    <row r="528" spans="1:16">
      <c r="A528" s="139">
        <v>45779</v>
      </c>
      <c r="B528" s="137">
        <v>61.36</v>
      </c>
      <c r="C528" s="137">
        <v>0.67</v>
      </c>
      <c r="E528" s="137">
        <f t="shared" si="16"/>
        <v>77.1629778672032</v>
      </c>
      <c r="F528" s="137">
        <f t="shared" si="17"/>
        <v>83.75</v>
      </c>
    </row>
    <row r="529" spans="1:6">
      <c r="A529" s="139">
        <v>45782</v>
      </c>
      <c r="B529" s="137">
        <v>61.36</v>
      </c>
      <c r="C529" s="137">
        <v>0.67</v>
      </c>
      <c r="E529" s="137">
        <f t="shared" si="16"/>
        <v>77.1629778672032</v>
      </c>
      <c r="F529" s="137">
        <f t="shared" si="17"/>
        <v>83.75</v>
      </c>
    </row>
    <row r="530" spans="1:6">
      <c r="A530" s="139">
        <v>45783</v>
      </c>
      <c r="B530" s="137">
        <v>62.17</v>
      </c>
      <c r="C530" s="137">
        <v>0.66</v>
      </c>
      <c r="E530" s="137">
        <f t="shared" si="16"/>
        <v>78.1815895372233</v>
      </c>
      <c r="F530" s="137">
        <f t="shared" si="17"/>
        <v>82.5</v>
      </c>
    </row>
    <row r="531" spans="1:6">
      <c r="A531" s="139">
        <v>45784</v>
      </c>
      <c r="B531" s="137">
        <v>61.18</v>
      </c>
      <c r="C531" s="137">
        <v>0.66</v>
      </c>
      <c r="E531" s="137">
        <f t="shared" si="16"/>
        <v>76.9366197183099</v>
      </c>
      <c r="F531" s="137">
        <f t="shared" si="17"/>
        <v>82.5</v>
      </c>
    </row>
    <row r="532" spans="1:6">
      <c r="A532" s="139">
        <v>45785</v>
      </c>
      <c r="B532" s="137">
        <v>62.86</v>
      </c>
      <c r="C532" s="137">
        <v>0.65</v>
      </c>
      <c r="E532" s="137">
        <f t="shared" si="16"/>
        <v>79.0492957746479</v>
      </c>
      <c r="F532" s="137">
        <f t="shared" si="17"/>
        <v>81.25</v>
      </c>
    </row>
    <row r="533" spans="1:6">
      <c r="A533" s="139">
        <v>45786</v>
      </c>
      <c r="B533" s="137">
        <v>63.96</v>
      </c>
      <c r="C533" s="137">
        <v>0.65</v>
      </c>
      <c r="E533" s="137">
        <f t="shared" si="16"/>
        <v>80.4325955734407</v>
      </c>
      <c r="F533" s="137">
        <f t="shared" si="17"/>
        <v>81.25</v>
      </c>
    </row>
    <row r="534" spans="1:6">
      <c r="A534" s="139">
        <v>45789</v>
      </c>
      <c r="B534" s="137">
        <v>65.03</v>
      </c>
      <c r="C534" s="137">
        <v>0.65</v>
      </c>
      <c r="E534" s="137">
        <f t="shared" si="16"/>
        <v>81.7781690140845</v>
      </c>
      <c r="F534" s="137">
        <f t="shared" si="17"/>
        <v>81.25</v>
      </c>
    </row>
    <row r="535" spans="1:6">
      <c r="A535" s="139">
        <v>45790</v>
      </c>
      <c r="B535" s="137">
        <v>66.68</v>
      </c>
      <c r="C535" s="137">
        <v>0.64</v>
      </c>
      <c r="E535" s="137">
        <f t="shared" si="16"/>
        <v>83.8531187122737</v>
      </c>
      <c r="F535" s="137">
        <f t="shared" si="17"/>
        <v>80</v>
      </c>
    </row>
    <row r="536" spans="1:6">
      <c r="A536" s="139">
        <v>45791</v>
      </c>
      <c r="B536" s="137">
        <v>66.11</v>
      </c>
      <c r="C536" s="137">
        <v>0.64</v>
      </c>
      <c r="E536" s="137">
        <f t="shared" si="16"/>
        <v>83.1363179074447</v>
      </c>
      <c r="F536" s="137">
        <f t="shared" si="17"/>
        <v>80</v>
      </c>
    </row>
    <row r="537" spans="1:6">
      <c r="A537" s="139">
        <v>45792</v>
      </c>
      <c r="B537" s="137">
        <v>64.61</v>
      </c>
      <c r="C537" s="137">
        <v>0.64</v>
      </c>
      <c r="E537" s="137">
        <f t="shared" si="16"/>
        <v>81.25</v>
      </c>
      <c r="F537" s="137">
        <f t="shared" si="17"/>
        <v>80</v>
      </c>
    </row>
    <row r="538" spans="1:6">
      <c r="A538" s="139">
        <v>45793</v>
      </c>
      <c r="B538" s="137">
        <v>65.45</v>
      </c>
      <c r="C538" s="137">
        <v>0.63</v>
      </c>
      <c r="E538" s="137">
        <f t="shared" si="16"/>
        <v>82.306338028169</v>
      </c>
      <c r="F538" s="137">
        <f t="shared" si="17"/>
        <v>78.75</v>
      </c>
    </row>
    <row r="539" spans="1:6">
      <c r="A539" s="139">
        <v>45796</v>
      </c>
      <c r="B539" s="137">
        <v>65.54</v>
      </c>
      <c r="C539" s="137">
        <v>0.64</v>
      </c>
      <c r="E539" s="137">
        <f t="shared" si="16"/>
        <v>82.4195171026157</v>
      </c>
      <c r="F539" s="137">
        <f t="shared" si="17"/>
        <v>80</v>
      </c>
    </row>
    <row r="540" spans="1:6">
      <c r="A540" s="139">
        <v>45797</v>
      </c>
      <c r="B540" s="137">
        <v>65.41</v>
      </c>
      <c r="C540" s="137">
        <v>0.64</v>
      </c>
      <c r="E540" s="137">
        <f t="shared" si="16"/>
        <v>82.2560362173038</v>
      </c>
      <c r="F540" s="137">
        <f t="shared" si="17"/>
        <v>80</v>
      </c>
    </row>
    <row r="541" spans="1:6">
      <c r="A541" s="139">
        <v>45798</v>
      </c>
      <c r="B541" s="137">
        <v>64.93</v>
      </c>
      <c r="C541" s="137">
        <v>0.64</v>
      </c>
      <c r="E541" s="137">
        <f t="shared" si="16"/>
        <v>81.6524144869215</v>
      </c>
      <c r="F541" s="137">
        <f t="shared" si="17"/>
        <v>80</v>
      </c>
    </row>
    <row r="542" spans="1:6">
      <c r="A542" s="139">
        <v>45799</v>
      </c>
      <c r="B542" s="137">
        <v>64.47</v>
      </c>
      <c r="C542" s="137">
        <v>0.64</v>
      </c>
      <c r="E542" s="137">
        <f t="shared" si="16"/>
        <v>81.0739436619718</v>
      </c>
      <c r="F542" s="137">
        <f t="shared" si="17"/>
        <v>80</v>
      </c>
    </row>
    <row r="543" spans="1:6">
      <c r="A543" s="139">
        <v>45800</v>
      </c>
      <c r="B543" s="137">
        <v>64.81</v>
      </c>
      <c r="C543" s="137">
        <v>0.64</v>
      </c>
      <c r="E543" s="137">
        <f t="shared" si="16"/>
        <v>81.501509054326</v>
      </c>
      <c r="F543" s="137">
        <f t="shared" si="17"/>
        <v>80</v>
      </c>
    </row>
    <row r="544" spans="1:6">
      <c r="A544" s="139">
        <v>45803</v>
      </c>
      <c r="B544" s="137">
        <v>64.81</v>
      </c>
      <c r="C544" s="137">
        <v>0.64</v>
      </c>
      <c r="E544" s="137">
        <f t="shared" si="16"/>
        <v>81.501509054326</v>
      </c>
      <c r="F544" s="137">
        <f t="shared" si="17"/>
        <v>80</v>
      </c>
    </row>
    <row r="545" spans="1:6">
      <c r="A545" s="139">
        <v>45804</v>
      </c>
      <c r="B545" s="137">
        <v>64.12</v>
      </c>
      <c r="C545" s="137">
        <v>0.64</v>
      </c>
      <c r="E545" s="137">
        <f t="shared" si="16"/>
        <v>80.6338028169014</v>
      </c>
      <c r="F545" s="137">
        <f t="shared" si="17"/>
        <v>80</v>
      </c>
    </row>
    <row r="546" spans="1:6">
      <c r="A546" s="139">
        <v>45805</v>
      </c>
      <c r="B546" s="137">
        <v>64.9</v>
      </c>
      <c r="C546" s="137">
        <v>0.64</v>
      </c>
      <c r="E546" s="137">
        <f t="shared" si="16"/>
        <v>81.6146881287727</v>
      </c>
      <c r="F546" s="137">
        <f t="shared" si="17"/>
        <v>80</v>
      </c>
    </row>
    <row r="547" spans="1:6">
      <c r="A547" s="139">
        <v>45806</v>
      </c>
      <c r="B547" s="137">
        <v>64.19</v>
      </c>
      <c r="C547" s="137">
        <v>0.63</v>
      </c>
      <c r="E547" s="137">
        <f t="shared" si="16"/>
        <v>80.7218309859155</v>
      </c>
      <c r="F547" s="137">
        <f t="shared" si="17"/>
        <v>78.75</v>
      </c>
    </row>
    <row r="548" spans="1:6">
      <c r="A548" s="139">
        <v>45807</v>
      </c>
      <c r="B548" s="137">
        <v>63.92</v>
      </c>
      <c r="C548" s="137">
        <v>0.63</v>
      </c>
      <c r="E548" s="137">
        <f t="shared" si="16"/>
        <v>80.3822937625755</v>
      </c>
      <c r="F548" s="137">
        <f t="shared" si="17"/>
        <v>78.75</v>
      </c>
    </row>
    <row r="549" spans="1:6">
      <c r="A549" s="139">
        <v>45810</v>
      </c>
      <c r="B549" s="137">
        <v>64.7</v>
      </c>
      <c r="C549" s="137">
        <v>0.64</v>
      </c>
      <c r="E549" s="137">
        <f t="shared" si="16"/>
        <v>81.3631790744467</v>
      </c>
      <c r="F549" s="137">
        <f t="shared" si="17"/>
        <v>80</v>
      </c>
    </row>
    <row r="550" spans="1:6">
      <c r="A550" s="139">
        <v>45811</v>
      </c>
      <c r="B550" s="137">
        <v>65.63</v>
      </c>
      <c r="C550" s="137">
        <v>0.64</v>
      </c>
      <c r="E550" s="137">
        <f t="shared" si="16"/>
        <v>82.5326961770624</v>
      </c>
      <c r="F550" s="137">
        <f t="shared" si="17"/>
        <v>80</v>
      </c>
    </row>
    <row r="551" spans="1:6">
      <c r="A551" s="139">
        <v>45812</v>
      </c>
      <c r="B551" s="137">
        <v>64.9</v>
      </c>
      <c r="C551" s="137">
        <v>0.63</v>
      </c>
      <c r="E551" s="137">
        <f t="shared" si="16"/>
        <v>81.6146881287727</v>
      </c>
      <c r="F551" s="137">
        <f t="shared" si="17"/>
        <v>78.75</v>
      </c>
    </row>
    <row r="552" spans="1:6">
      <c r="A552" s="139">
        <v>45813</v>
      </c>
      <c r="B552" s="137">
        <v>65.39</v>
      </c>
      <c r="C552" s="137">
        <v>0.64</v>
      </c>
      <c r="E552" s="137">
        <f t="shared" si="16"/>
        <v>82.2308853118712</v>
      </c>
      <c r="F552" s="137">
        <f t="shared" si="17"/>
        <v>80</v>
      </c>
    </row>
    <row r="553" spans="1:6">
      <c r="A553" s="139">
        <v>45814</v>
      </c>
      <c r="B553" s="137">
        <v>66.52</v>
      </c>
      <c r="C553" s="137">
        <v>0.64</v>
      </c>
      <c r="E553" s="137">
        <f t="shared" si="16"/>
        <v>83.6519114688129</v>
      </c>
      <c r="F553" s="137">
        <f t="shared" si="17"/>
        <v>80</v>
      </c>
    </row>
    <row r="554" spans="1:6">
      <c r="A554" s="139">
        <v>45817</v>
      </c>
      <c r="B554" s="137">
        <v>67.08</v>
      </c>
      <c r="C554" s="137">
        <v>0.64</v>
      </c>
      <c r="E554" s="137">
        <f t="shared" si="16"/>
        <v>84.3561368209256</v>
      </c>
      <c r="F554" s="137">
        <f t="shared" si="17"/>
        <v>80</v>
      </c>
    </row>
    <row r="555" spans="1:6">
      <c r="A555" s="139">
        <v>45818</v>
      </c>
      <c r="B555" s="137">
        <v>66.88</v>
      </c>
      <c r="C555" s="137">
        <v>0.64</v>
      </c>
      <c r="E555" s="137">
        <f t="shared" si="16"/>
        <v>84.1046277665996</v>
      </c>
      <c r="F555" s="137">
        <f t="shared" si="17"/>
        <v>80</v>
      </c>
    </row>
    <row r="556" spans="1:6">
      <c r="A556" s="139">
        <v>45819</v>
      </c>
      <c r="B556" s="137">
        <v>69.8</v>
      </c>
      <c r="C556" s="137">
        <v>0.64</v>
      </c>
      <c r="E556" s="137">
        <f t="shared" si="16"/>
        <v>87.7766599597585</v>
      </c>
      <c r="F556" s="137">
        <f t="shared" si="17"/>
        <v>80</v>
      </c>
    </row>
    <row r="557" spans="1:6">
      <c r="A557" s="139">
        <v>45820</v>
      </c>
      <c r="B557" s="137">
        <v>69.4</v>
      </c>
      <c r="C557" s="137">
        <v>0.63</v>
      </c>
      <c r="E557" s="137">
        <f t="shared" si="16"/>
        <v>87.2736418511067</v>
      </c>
      <c r="F557" s="137">
        <f t="shared" si="17"/>
        <v>78.75</v>
      </c>
    </row>
    <row r="558" spans="1:6">
      <c r="A558" s="139">
        <v>45821</v>
      </c>
      <c r="B558" s="137">
        <v>74.4</v>
      </c>
      <c r="C558" s="137">
        <v>0.64</v>
      </c>
      <c r="E558" s="137">
        <f t="shared" si="16"/>
        <v>93.5613682092555</v>
      </c>
      <c r="F558" s="137">
        <f t="shared" si="17"/>
        <v>80</v>
      </c>
    </row>
    <row r="559" spans="1:6">
      <c r="A559" s="139">
        <v>45824</v>
      </c>
      <c r="B559" s="137">
        <v>73.33</v>
      </c>
      <c r="C559" s="137">
        <v>0.65</v>
      </c>
      <c r="E559" s="137">
        <f t="shared" si="16"/>
        <v>92.2157947686117</v>
      </c>
      <c r="F559" s="137">
        <f t="shared" si="17"/>
        <v>81.25</v>
      </c>
    </row>
    <row r="560" spans="1:6">
      <c r="A560" s="139">
        <v>45825</v>
      </c>
      <c r="B560" s="137">
        <v>76.44</v>
      </c>
      <c r="C560" s="137">
        <v>0.65</v>
      </c>
      <c r="E560" s="137">
        <f t="shared" si="16"/>
        <v>96.1267605633803</v>
      </c>
      <c r="F560" s="137">
        <f t="shared" si="17"/>
        <v>81.25</v>
      </c>
    </row>
    <row r="561" spans="1:6">
      <c r="A561" s="139">
        <v>45826</v>
      </c>
      <c r="B561" s="137">
        <v>76.77</v>
      </c>
      <c r="C561" s="137">
        <v>0.65</v>
      </c>
      <c r="E561" s="137">
        <f t="shared" si="16"/>
        <v>96.5417505030181</v>
      </c>
      <c r="F561" s="137">
        <f t="shared" si="17"/>
        <v>81.25</v>
      </c>
    </row>
    <row r="562" spans="1:6">
      <c r="A562" s="139">
        <v>45827</v>
      </c>
      <c r="B562" s="137">
        <v>78.77</v>
      </c>
      <c r="C562" s="137">
        <v>0.65</v>
      </c>
      <c r="E562" s="137">
        <f t="shared" si="16"/>
        <v>99.0568410462777</v>
      </c>
      <c r="F562" s="137">
        <f t="shared" si="17"/>
        <v>81.25</v>
      </c>
    </row>
    <row r="563" spans="1:6">
      <c r="A563" s="139">
        <v>45828</v>
      </c>
      <c r="B563" s="137">
        <v>77.03</v>
      </c>
      <c r="C563" s="137">
        <v>0.66</v>
      </c>
      <c r="E563" s="137">
        <f t="shared" si="16"/>
        <v>96.8687122736419</v>
      </c>
      <c r="F563" s="137">
        <f t="shared" si="17"/>
        <v>82.5</v>
      </c>
    </row>
    <row r="564" spans="1:6">
      <c r="A564" s="139">
        <v>45831</v>
      </c>
      <c r="B564" s="137">
        <v>71.65</v>
      </c>
      <c r="C564" s="137">
        <v>0.66</v>
      </c>
      <c r="E564" s="137">
        <f t="shared" si="16"/>
        <v>90.1031187122737</v>
      </c>
      <c r="F564" s="137">
        <f t="shared" si="17"/>
        <v>82.5</v>
      </c>
    </row>
    <row r="565" spans="1:6">
      <c r="A565" s="139">
        <v>45832</v>
      </c>
      <c r="B565" s="137">
        <v>67.27</v>
      </c>
      <c r="C565" s="137">
        <v>0.66</v>
      </c>
      <c r="E565" s="137">
        <f t="shared" si="16"/>
        <v>84.5950704225352</v>
      </c>
      <c r="F565" s="137">
        <f t="shared" si="17"/>
        <v>82.5</v>
      </c>
    </row>
    <row r="566" spans="1:6">
      <c r="A566" s="139">
        <v>45833</v>
      </c>
      <c r="B566" s="137">
        <v>67.69</v>
      </c>
      <c r="C566" s="137">
        <v>0.67</v>
      </c>
      <c r="E566" s="137">
        <f t="shared" si="16"/>
        <v>85.1232394366197</v>
      </c>
      <c r="F566" s="137">
        <f t="shared" si="17"/>
        <v>83.75</v>
      </c>
    </row>
    <row r="567" spans="1:6">
      <c r="A567" s="139">
        <v>45834</v>
      </c>
      <c r="B567" s="137">
        <v>67.75</v>
      </c>
      <c r="C567" s="137">
        <v>0.67</v>
      </c>
      <c r="E567" s="137">
        <f t="shared" si="16"/>
        <v>85.1986921529175</v>
      </c>
      <c r="F567" s="137">
        <f t="shared" si="17"/>
        <v>83.75</v>
      </c>
    </row>
    <row r="568" spans="1:6">
      <c r="A568" s="139">
        <v>45835</v>
      </c>
      <c r="B568" s="137">
        <v>67.73</v>
      </c>
      <c r="C568" s="137">
        <v>0.68</v>
      </c>
      <c r="E568" s="137">
        <f t="shared" si="16"/>
        <v>85.1735412474849</v>
      </c>
      <c r="F568" s="137">
        <f t="shared" si="17"/>
        <v>85</v>
      </c>
    </row>
    <row r="569" spans="1:6">
      <c r="A569" s="139">
        <v>45838</v>
      </c>
      <c r="B569" s="137">
        <v>67.65</v>
      </c>
      <c r="C569" s="137">
        <v>0.66</v>
      </c>
      <c r="E569" s="137">
        <f t="shared" si="16"/>
        <v>85.0729376257545</v>
      </c>
      <c r="F569" s="137">
        <f t="shared" si="17"/>
        <v>82.5</v>
      </c>
    </row>
    <row r="570" spans="1:6">
      <c r="A570" s="139">
        <v>45839</v>
      </c>
      <c r="B570" s="137">
        <v>67.12</v>
      </c>
      <c r="C570" s="137">
        <v>0.66</v>
      </c>
      <c r="E570" s="137">
        <f t="shared" si="16"/>
        <v>84.4064386317908</v>
      </c>
      <c r="F570" s="137">
        <f t="shared" si="17"/>
        <v>82.5</v>
      </c>
    </row>
    <row r="571" spans="1:6">
      <c r="A571" s="139">
        <v>45840</v>
      </c>
      <c r="B571" s="137">
        <v>69.14</v>
      </c>
      <c r="C571" s="137">
        <v>0.67</v>
      </c>
      <c r="E571" s="137">
        <f t="shared" si="16"/>
        <v>86.9466800804829</v>
      </c>
      <c r="F571" s="137">
        <f t="shared" si="17"/>
        <v>83.75</v>
      </c>
    </row>
    <row r="572" spans="1:6">
      <c r="A572" s="139">
        <v>45841</v>
      </c>
      <c r="B572" s="137">
        <v>68.75</v>
      </c>
      <c r="C572" s="137">
        <v>0.66</v>
      </c>
      <c r="E572" s="137">
        <f t="shared" si="16"/>
        <v>86.4562374245473</v>
      </c>
      <c r="F572" s="137">
        <f t="shared" si="17"/>
        <v>82.5</v>
      </c>
    </row>
    <row r="573" spans="1:6">
      <c r="A573" s="139">
        <v>45842</v>
      </c>
      <c r="B573" s="137">
        <v>68.53</v>
      </c>
      <c r="C573" s="137">
        <v>0.66</v>
      </c>
      <c r="E573" s="137">
        <f t="shared" si="16"/>
        <v>86.1795774647887</v>
      </c>
      <c r="F573" s="137">
        <f t="shared" si="17"/>
        <v>82.5</v>
      </c>
    </row>
    <row r="574" spans="1:6">
      <c r="A574" s="139">
        <v>45845</v>
      </c>
      <c r="B574" s="137">
        <v>69.63</v>
      </c>
      <c r="C574" s="137">
        <v>0.66</v>
      </c>
      <c r="E574" s="137">
        <f t="shared" si="16"/>
        <v>87.5628772635815</v>
      </c>
      <c r="F574" s="137">
        <f t="shared" si="17"/>
        <v>82.5</v>
      </c>
    </row>
    <row r="575" spans="1:6">
      <c r="A575" s="139">
        <v>45846</v>
      </c>
      <c r="B575" s="137">
        <v>70.19</v>
      </c>
      <c r="C575" s="137">
        <v>0.65</v>
      </c>
      <c r="E575" s="137">
        <f t="shared" si="16"/>
        <v>88.2671026156942</v>
      </c>
      <c r="F575" s="137">
        <f t="shared" si="17"/>
        <v>81.25</v>
      </c>
    </row>
    <row r="576" spans="1:6">
      <c r="A576" s="139">
        <v>45847</v>
      </c>
      <c r="B576" s="137">
        <v>70.23</v>
      </c>
      <c r="C576" s="137">
        <v>0.65</v>
      </c>
      <c r="E576" s="137">
        <f t="shared" si="16"/>
        <v>88.3174044265594</v>
      </c>
      <c r="F576" s="137">
        <f t="shared" si="17"/>
        <v>81.25</v>
      </c>
    </row>
    <row r="577" spans="1:6">
      <c r="A577" s="139">
        <v>45848</v>
      </c>
      <c r="B577" s="137">
        <v>68.69</v>
      </c>
      <c r="C577" s="137">
        <v>0.65</v>
      </c>
      <c r="E577" s="137">
        <f t="shared" si="16"/>
        <v>86.3807847082495</v>
      </c>
      <c r="F577" s="137">
        <f t="shared" si="17"/>
        <v>81.25</v>
      </c>
    </row>
    <row r="578" spans="1:6">
      <c r="A578" s="139">
        <v>45849</v>
      </c>
      <c r="B578" s="137">
        <v>70.38</v>
      </c>
      <c r="C578" s="137">
        <v>0.65</v>
      </c>
      <c r="E578" s="137">
        <f t="shared" si="16"/>
        <v>88.5060362173038</v>
      </c>
      <c r="F578" s="137">
        <f t="shared" si="17"/>
        <v>81.25</v>
      </c>
    </row>
    <row r="579" spans="1:6">
      <c r="A579" s="139">
        <v>45852</v>
      </c>
      <c r="B579" s="137">
        <v>69.23</v>
      </c>
      <c r="C579" s="137">
        <v>0.65</v>
      </c>
      <c r="E579" s="137">
        <f t="shared" si="16"/>
        <v>87.0598591549296</v>
      </c>
      <c r="F579" s="137">
        <f t="shared" si="17"/>
        <v>81.25</v>
      </c>
    </row>
    <row r="580" spans="1:6">
      <c r="A580" s="139">
        <v>45853</v>
      </c>
      <c r="B580" s="137">
        <v>68.75</v>
      </c>
      <c r="C580" s="137">
        <v>0.66</v>
      </c>
      <c r="E580" s="137">
        <f t="shared" si="16"/>
        <v>86.4562374245473</v>
      </c>
      <c r="F580" s="137">
        <f t="shared" si="17"/>
        <v>82.5</v>
      </c>
    </row>
    <row r="581" spans="1:6">
      <c r="A581" s="139">
        <v>45854</v>
      </c>
      <c r="B581" s="137">
        <v>68.16</v>
      </c>
      <c r="C581" s="137">
        <v>0.66</v>
      </c>
      <c r="E581" s="137">
        <f t="shared" ref="E581:E644" si="18">B581/$B$3*$E$3</f>
        <v>85.7142857142857</v>
      </c>
      <c r="F581" s="137">
        <f t="shared" ref="F581:F644" si="19">C581/$C$3*$F$3</f>
        <v>82.5</v>
      </c>
    </row>
    <row r="582" spans="1:6">
      <c r="A582" s="139">
        <v>45855</v>
      </c>
      <c r="B582" s="137">
        <v>69.55</v>
      </c>
      <c r="C582" s="137">
        <v>0.66</v>
      </c>
      <c r="E582" s="137">
        <f t="shared" si="18"/>
        <v>87.4622736418511</v>
      </c>
      <c r="F582" s="137">
        <f t="shared" si="19"/>
        <v>82.5</v>
      </c>
    </row>
    <row r="583" spans="1:6">
      <c r="A583" s="139">
        <v>45856</v>
      </c>
      <c r="B583" s="137">
        <v>69.29</v>
      </c>
      <c r="C583" s="137">
        <v>0.66</v>
      </c>
      <c r="E583" s="137">
        <f t="shared" si="18"/>
        <v>87.1353118712274</v>
      </c>
      <c r="F583" s="137">
        <f t="shared" si="19"/>
        <v>82.5</v>
      </c>
    </row>
    <row r="584" spans="1:6">
      <c r="A584" s="139">
        <v>45859</v>
      </c>
      <c r="B584" s="137">
        <v>69.25</v>
      </c>
      <c r="C584" s="137">
        <v>0.65</v>
      </c>
      <c r="E584" s="137">
        <f t="shared" si="18"/>
        <v>87.0850100603622</v>
      </c>
      <c r="F584" s="137">
        <f t="shared" si="19"/>
        <v>81.25</v>
      </c>
    </row>
    <row r="585" spans="1:6">
      <c r="A585" s="139">
        <v>45860</v>
      </c>
      <c r="B585" s="137">
        <v>68.67</v>
      </c>
      <c r="C585" s="137">
        <v>0.65</v>
      </c>
      <c r="E585" s="137">
        <f t="shared" si="18"/>
        <v>86.3556338028169</v>
      </c>
      <c r="F585" s="137">
        <f t="shared" si="19"/>
        <v>81.25</v>
      </c>
    </row>
    <row r="586" spans="1:6">
      <c r="A586" s="139">
        <v>45861</v>
      </c>
      <c r="B586" s="137">
        <v>68.15</v>
      </c>
      <c r="C586" s="137">
        <v>0.65</v>
      </c>
      <c r="E586" s="137">
        <f t="shared" si="18"/>
        <v>85.7017102615694</v>
      </c>
      <c r="F586" s="137">
        <f t="shared" si="19"/>
        <v>81.25</v>
      </c>
    </row>
    <row r="587" spans="1:6">
      <c r="A587" s="139">
        <v>45862</v>
      </c>
      <c r="B587" s="137">
        <v>69.22</v>
      </c>
      <c r="C587" s="137">
        <v>0.66</v>
      </c>
      <c r="E587" s="137">
        <f t="shared" si="18"/>
        <v>87.0472837022133</v>
      </c>
      <c r="F587" s="137">
        <f t="shared" si="19"/>
        <v>82.5</v>
      </c>
    </row>
    <row r="588" spans="1:6">
      <c r="A588" s="139">
        <v>45863</v>
      </c>
      <c r="B588" s="137">
        <v>68.47</v>
      </c>
      <c r="C588" s="137">
        <v>0.66</v>
      </c>
      <c r="E588" s="137">
        <f t="shared" si="18"/>
        <v>86.1041247484909</v>
      </c>
      <c r="F588" s="137">
        <f t="shared" si="19"/>
        <v>82.5</v>
      </c>
    </row>
    <row r="589" spans="1:6">
      <c r="A589" s="139">
        <v>45866</v>
      </c>
      <c r="B589" s="137">
        <v>70.12</v>
      </c>
      <c r="C589" s="137">
        <v>0.66</v>
      </c>
      <c r="E589" s="137">
        <f t="shared" si="18"/>
        <v>88.1790744466801</v>
      </c>
      <c r="F589" s="137">
        <f t="shared" si="19"/>
        <v>82.5</v>
      </c>
    </row>
    <row r="590" spans="1:6">
      <c r="A590" s="139">
        <v>45867</v>
      </c>
      <c r="B590" s="137">
        <v>72.56</v>
      </c>
      <c r="C590" s="137">
        <v>0.65</v>
      </c>
      <c r="E590" s="137">
        <f t="shared" si="18"/>
        <v>91.2474849094567</v>
      </c>
      <c r="F590" s="137">
        <f t="shared" si="19"/>
        <v>81.25</v>
      </c>
    </row>
    <row r="591" spans="1:6">
      <c r="A591" s="139">
        <v>45868</v>
      </c>
      <c r="B591" s="137">
        <v>73.33</v>
      </c>
      <c r="C591" s="137">
        <v>0.65</v>
      </c>
      <c r="E591" s="137">
        <f t="shared" si="18"/>
        <v>92.2157947686117</v>
      </c>
      <c r="F591" s="137">
        <f t="shared" si="19"/>
        <v>81.25</v>
      </c>
    </row>
    <row r="592" spans="1:6">
      <c r="A592" s="139">
        <v>45869</v>
      </c>
      <c r="B592" s="137">
        <v>72.58</v>
      </c>
      <c r="C592" s="137">
        <v>0.64</v>
      </c>
      <c r="E592" s="137">
        <f t="shared" si="18"/>
        <v>91.2726358148893</v>
      </c>
      <c r="F592" s="137">
        <f t="shared" si="19"/>
        <v>80</v>
      </c>
    </row>
    <row r="593" spans="1:6">
      <c r="A593" s="139">
        <v>45870</v>
      </c>
      <c r="B593" s="137">
        <v>69.72</v>
      </c>
      <c r="C593" s="137">
        <v>0.64</v>
      </c>
      <c r="E593" s="137">
        <f t="shared" si="18"/>
        <v>87.6760563380282</v>
      </c>
      <c r="F593" s="137">
        <f t="shared" si="19"/>
        <v>80</v>
      </c>
    </row>
    <row r="594" spans="1:6">
      <c r="A594" s="139">
        <v>45873</v>
      </c>
      <c r="B594" s="137">
        <v>68.79</v>
      </c>
      <c r="C594" s="137">
        <v>0.64</v>
      </c>
      <c r="E594" s="137">
        <f t="shared" si="18"/>
        <v>86.5065392354125</v>
      </c>
      <c r="F594" s="137">
        <f t="shared" si="19"/>
        <v>80</v>
      </c>
    </row>
    <row r="595" spans="1:6">
      <c r="A595" s="139">
        <v>45874</v>
      </c>
      <c r="B595" s="137">
        <v>67.68</v>
      </c>
      <c r="C595" s="137">
        <v>0.64</v>
      </c>
      <c r="E595" s="137">
        <f t="shared" si="18"/>
        <v>85.1106639839034</v>
      </c>
      <c r="F595" s="137">
        <f t="shared" si="19"/>
        <v>80</v>
      </c>
    </row>
    <row r="596" spans="1:6">
      <c r="A596" s="139">
        <v>45875</v>
      </c>
      <c r="B596" s="137">
        <v>66.9</v>
      </c>
      <c r="C596" s="137">
        <v>0.64</v>
      </c>
      <c r="E596" s="137">
        <f t="shared" si="18"/>
        <v>84.1297786720322</v>
      </c>
      <c r="F596" s="137">
        <f t="shared" si="19"/>
        <v>80</v>
      </c>
    </row>
    <row r="597" spans="1:6">
      <c r="A597" s="139">
        <v>45876</v>
      </c>
      <c r="B597" s="137">
        <v>66.44</v>
      </c>
      <c r="C597" s="137">
        <v>0.64</v>
      </c>
      <c r="E597" s="137">
        <f t="shared" si="18"/>
        <v>83.5513078470825</v>
      </c>
      <c r="F597" s="137">
        <f t="shared" si="19"/>
        <v>80</v>
      </c>
    </row>
    <row r="598" spans="1:6">
      <c r="A598" s="139">
        <v>45877</v>
      </c>
      <c r="B598" s="137">
        <v>66.63</v>
      </c>
      <c r="C598" s="137">
        <v>0.64</v>
      </c>
      <c r="E598" s="137">
        <f t="shared" si="18"/>
        <v>83.7902414486921</v>
      </c>
      <c r="F598" s="137">
        <f t="shared" si="19"/>
        <v>80</v>
      </c>
    </row>
    <row r="599" spans="1:6">
      <c r="A599" s="139">
        <v>45880</v>
      </c>
      <c r="B599" s="137">
        <v>66.71</v>
      </c>
      <c r="C599" s="137">
        <v>0.64</v>
      </c>
      <c r="E599" s="137">
        <f t="shared" si="18"/>
        <v>83.8908450704225</v>
      </c>
      <c r="F599" s="137">
        <f t="shared" si="19"/>
        <v>80</v>
      </c>
    </row>
    <row r="600" spans="1:6">
      <c r="A600" s="139">
        <v>45881</v>
      </c>
      <c r="B600" s="137">
        <v>66.15</v>
      </c>
      <c r="C600" s="137">
        <v>0.64</v>
      </c>
      <c r="E600" s="137">
        <f t="shared" si="18"/>
        <v>83.1866197183099</v>
      </c>
      <c r="F600" s="137">
        <f t="shared" si="19"/>
        <v>80</v>
      </c>
    </row>
    <row r="601" spans="1:6">
      <c r="A601" s="139">
        <v>45882</v>
      </c>
      <c r="B601" s="137">
        <v>65.66</v>
      </c>
      <c r="C601" s="137">
        <v>0.65</v>
      </c>
      <c r="E601" s="137">
        <f t="shared" si="18"/>
        <v>82.5704225352113</v>
      </c>
      <c r="F601" s="137">
        <f t="shared" si="19"/>
        <v>81.25</v>
      </c>
    </row>
    <row r="602" spans="1:6">
      <c r="A602" s="139">
        <v>45883</v>
      </c>
      <c r="B602" s="137">
        <v>66.88</v>
      </c>
      <c r="C602" s="137">
        <v>0.65</v>
      </c>
      <c r="E602" s="137">
        <f t="shared" si="18"/>
        <v>84.1046277665996</v>
      </c>
      <c r="F602" s="137">
        <f t="shared" si="19"/>
        <v>81.25</v>
      </c>
    </row>
    <row r="603" spans="1:6">
      <c r="A603" s="139">
        <v>45884</v>
      </c>
      <c r="B603" s="137">
        <v>65.81</v>
      </c>
      <c r="C603" s="137">
        <v>0.65</v>
      </c>
      <c r="E603" s="137">
        <f t="shared" si="18"/>
        <v>82.7590543259557</v>
      </c>
      <c r="F603" s="137">
        <f t="shared" si="19"/>
        <v>81.25</v>
      </c>
    </row>
    <row r="604" spans="1:6">
      <c r="A604" s="139">
        <v>45887</v>
      </c>
      <c r="B604" s="137">
        <v>66.68</v>
      </c>
      <c r="C604" s="137">
        <v>0.65</v>
      </c>
      <c r="E604" s="137">
        <f t="shared" si="18"/>
        <v>83.8531187122737</v>
      </c>
      <c r="F604" s="137">
        <f t="shared" si="19"/>
        <v>81.25</v>
      </c>
    </row>
    <row r="605" spans="1:6">
      <c r="A605" s="139">
        <v>45888</v>
      </c>
      <c r="B605" s="137">
        <v>65.82</v>
      </c>
      <c r="C605" s="137">
        <v>0.65</v>
      </c>
      <c r="E605" s="137">
        <f t="shared" si="18"/>
        <v>82.771629778672</v>
      </c>
      <c r="F605" s="137">
        <f t="shared" si="19"/>
        <v>81.25</v>
      </c>
    </row>
    <row r="606" spans="1:6">
      <c r="A606" s="139">
        <v>45889</v>
      </c>
      <c r="B606" s="137">
        <v>66.87</v>
      </c>
      <c r="C606" s="137">
        <v>0.65</v>
      </c>
      <c r="E606" s="137">
        <f t="shared" si="18"/>
        <v>84.0920523138833</v>
      </c>
      <c r="F606" s="137">
        <f t="shared" si="19"/>
        <v>81.25</v>
      </c>
    </row>
    <row r="607" spans="1:6">
      <c r="A607" s="139">
        <v>45890</v>
      </c>
      <c r="B607" s="137">
        <v>67.68</v>
      </c>
      <c r="C607" s="137">
        <v>0.65</v>
      </c>
      <c r="E607" s="137">
        <f t="shared" si="18"/>
        <v>85.1106639839034</v>
      </c>
      <c r="F607" s="137">
        <f t="shared" si="19"/>
        <v>81.25</v>
      </c>
    </row>
    <row r="608" spans="1:6">
      <c r="A608" s="139">
        <v>45891</v>
      </c>
      <c r="B608" s="137">
        <v>67.77</v>
      </c>
      <c r="C608" s="137">
        <v>0.65</v>
      </c>
      <c r="E608" s="137">
        <f t="shared" si="18"/>
        <v>85.2238430583501</v>
      </c>
      <c r="F608" s="137">
        <f t="shared" si="19"/>
        <v>81.25</v>
      </c>
    </row>
    <row r="609" spans="1:6">
      <c r="A609" s="139">
        <v>45894</v>
      </c>
      <c r="B609" s="137">
        <v>67.77</v>
      </c>
      <c r="C609" s="137">
        <v>0.65</v>
      </c>
      <c r="E609" s="137">
        <f t="shared" si="18"/>
        <v>85.2238430583501</v>
      </c>
      <c r="F609" s="137">
        <f t="shared" si="19"/>
        <v>81.25</v>
      </c>
    </row>
    <row r="610" spans="1:6">
      <c r="A610" s="139">
        <v>45895</v>
      </c>
      <c r="B610" s="137">
        <v>67.25</v>
      </c>
      <c r="C610" s="137">
        <v>0.64</v>
      </c>
      <c r="E610" s="137">
        <f t="shared" si="18"/>
        <v>84.5699195171026</v>
      </c>
      <c r="F610" s="137">
        <f t="shared" si="19"/>
        <v>80</v>
      </c>
    </row>
    <row r="611" spans="1:6">
      <c r="A611" s="139">
        <v>45896</v>
      </c>
      <c r="B611" s="137">
        <v>68.09</v>
      </c>
      <c r="C611" s="137">
        <v>0.64</v>
      </c>
      <c r="E611" s="137">
        <f t="shared" si="18"/>
        <v>85.6262575452716</v>
      </c>
      <c r="F611" s="137">
        <f t="shared" si="19"/>
        <v>80</v>
      </c>
    </row>
    <row r="612" spans="1:6">
      <c r="A612" s="139">
        <v>45897</v>
      </c>
      <c r="B612" s="137">
        <v>68.68</v>
      </c>
      <c r="C612" s="137">
        <v>0.65</v>
      </c>
      <c r="E612" s="137">
        <f t="shared" si="18"/>
        <v>86.3682092555332</v>
      </c>
      <c r="F612" s="137">
        <f t="shared" si="19"/>
        <v>81.25</v>
      </c>
    </row>
    <row r="613" spans="1:6">
      <c r="A613" s="139">
        <v>45898</v>
      </c>
      <c r="B613" s="137">
        <v>68.15</v>
      </c>
      <c r="C613" s="137">
        <v>0.64</v>
      </c>
      <c r="E613" s="137">
        <f t="shared" si="18"/>
        <v>85.7017102615694</v>
      </c>
      <c r="F613" s="137">
        <f t="shared" si="19"/>
        <v>80</v>
      </c>
    </row>
    <row r="614" spans="1:6">
      <c r="A614" s="139">
        <v>45901</v>
      </c>
      <c r="B614" s="137">
        <v>68.19</v>
      </c>
      <c r="C614" s="137">
        <v>0.64</v>
      </c>
      <c r="E614" s="137">
        <f t="shared" si="18"/>
        <v>85.7520120724346</v>
      </c>
      <c r="F614" s="137">
        <f t="shared" si="19"/>
        <v>80</v>
      </c>
    </row>
    <row r="615" spans="1:6">
      <c r="A615" s="139">
        <v>45902</v>
      </c>
      <c r="B615" s="137">
        <v>69.19</v>
      </c>
      <c r="C615" s="137">
        <v>0.63</v>
      </c>
      <c r="E615" s="137">
        <f t="shared" si="18"/>
        <v>87.0095573440644</v>
      </c>
      <c r="F615" s="137">
        <f t="shared" si="19"/>
        <v>78.75</v>
      </c>
    </row>
    <row r="616" spans="1:6">
      <c r="A616" s="139">
        <v>45903</v>
      </c>
      <c r="B616" s="137">
        <v>67.66</v>
      </c>
      <c r="C616" s="137">
        <v>0.63</v>
      </c>
      <c r="E616" s="137">
        <f t="shared" si="18"/>
        <v>85.0855130784708</v>
      </c>
      <c r="F616" s="137">
        <f t="shared" si="19"/>
        <v>78.75</v>
      </c>
    </row>
    <row r="617" spans="1:6">
      <c r="A617" s="139">
        <v>45904</v>
      </c>
      <c r="B617" s="137">
        <v>67.01</v>
      </c>
      <c r="C617" s="137">
        <v>0.63</v>
      </c>
      <c r="E617" s="137">
        <f t="shared" si="18"/>
        <v>84.2681086519115</v>
      </c>
      <c r="F617" s="137">
        <f t="shared" si="19"/>
        <v>78.75</v>
      </c>
    </row>
    <row r="618" spans="1:6">
      <c r="A618" s="139">
        <v>45905</v>
      </c>
      <c r="B618" s="137">
        <v>65.53</v>
      </c>
      <c r="C618" s="137">
        <v>0.63</v>
      </c>
      <c r="E618" s="137">
        <f t="shared" si="18"/>
        <v>82.4069416498994</v>
      </c>
      <c r="F618" s="137">
        <f t="shared" si="19"/>
        <v>78.75</v>
      </c>
    </row>
    <row r="619" spans="1:6">
      <c r="A619" s="139">
        <v>45908</v>
      </c>
      <c r="B619" s="137">
        <v>66.05</v>
      </c>
      <c r="C619" s="137">
        <v>0.63</v>
      </c>
      <c r="E619" s="137">
        <f t="shared" si="18"/>
        <v>83.0608651911469</v>
      </c>
      <c r="F619" s="137">
        <f t="shared" si="19"/>
        <v>78.75</v>
      </c>
    </row>
    <row r="620" spans="1:6">
      <c r="A620" s="139">
        <v>45909</v>
      </c>
      <c r="B620" s="137">
        <v>66.42</v>
      </c>
      <c r="C620" s="137">
        <v>0.63</v>
      </c>
      <c r="E620" s="137">
        <f t="shared" si="18"/>
        <v>83.5261569416499</v>
      </c>
      <c r="F620" s="137">
        <f t="shared" si="19"/>
        <v>78.75</v>
      </c>
    </row>
    <row r="621" spans="1:6">
      <c r="A621" s="139">
        <v>45910</v>
      </c>
      <c r="B621" s="137">
        <v>67.52</v>
      </c>
      <c r="C621" s="137">
        <v>0.64</v>
      </c>
      <c r="E621" s="137">
        <f t="shared" si="18"/>
        <v>84.9094567404427</v>
      </c>
      <c r="F621" s="137">
        <f t="shared" si="19"/>
        <v>80</v>
      </c>
    </row>
    <row r="622" spans="1:6">
      <c r="A622" s="139">
        <v>45911</v>
      </c>
      <c r="B622" s="137">
        <v>66.39</v>
      </c>
      <c r="C622" s="137">
        <v>0.64</v>
      </c>
      <c r="E622" s="137">
        <f t="shared" si="18"/>
        <v>83.488430583501</v>
      </c>
      <c r="F622" s="137">
        <f t="shared" si="19"/>
        <v>80</v>
      </c>
    </row>
    <row r="623" spans="1:6">
      <c r="A623" s="139">
        <v>45912</v>
      </c>
      <c r="B623" s="137">
        <v>67</v>
      </c>
      <c r="C623" s="137">
        <v>0.64</v>
      </c>
      <c r="E623" s="137">
        <f t="shared" si="18"/>
        <v>84.2555331991952</v>
      </c>
      <c r="F623" s="137">
        <f t="shared" si="19"/>
        <v>80</v>
      </c>
    </row>
    <row r="624" spans="1:6">
      <c r="A624" s="139">
        <v>45915</v>
      </c>
      <c r="B624" s="137">
        <v>67.48</v>
      </c>
      <c r="C624" s="137">
        <v>0.64</v>
      </c>
      <c r="E624" s="137">
        <f t="shared" si="18"/>
        <v>84.8591549295775</v>
      </c>
      <c r="F624" s="137">
        <f t="shared" si="19"/>
        <v>80</v>
      </c>
    </row>
    <row r="625" spans="1:6">
      <c r="A625" s="139">
        <v>45916</v>
      </c>
      <c r="B625" s="137">
        <v>68.52</v>
      </c>
      <c r="C625" s="137">
        <v>0.65</v>
      </c>
      <c r="E625" s="137">
        <f t="shared" si="18"/>
        <v>86.1670020120724</v>
      </c>
      <c r="F625" s="137">
        <f t="shared" si="19"/>
        <v>81.25</v>
      </c>
    </row>
    <row r="626" spans="1:6">
      <c r="A626" s="139">
        <v>45917</v>
      </c>
      <c r="B626" s="137">
        <v>68.01</v>
      </c>
      <c r="C626" s="137">
        <v>0.65</v>
      </c>
      <c r="E626" s="137">
        <f t="shared" si="18"/>
        <v>85.5256539235413</v>
      </c>
      <c r="F626" s="137">
        <f t="shared" si="19"/>
        <v>81.25</v>
      </c>
    </row>
    <row r="627" spans="1:6">
      <c r="A627" s="139">
        <v>45918</v>
      </c>
      <c r="B627" s="137">
        <v>67.49</v>
      </c>
      <c r="C627" s="137">
        <v>0.65</v>
      </c>
      <c r="E627" s="137">
        <f t="shared" si="18"/>
        <v>84.8717303822938</v>
      </c>
      <c r="F627" s="137">
        <f t="shared" si="19"/>
        <v>81.25</v>
      </c>
    </row>
    <row r="628" spans="1:6">
      <c r="A628" s="139">
        <v>45919</v>
      </c>
      <c r="B628" s="137">
        <v>66.7</v>
      </c>
      <c r="C628" s="137">
        <v>0.64</v>
      </c>
      <c r="E628" s="137">
        <f t="shared" si="18"/>
        <v>83.8782696177063</v>
      </c>
      <c r="F628" s="137">
        <f t="shared" si="19"/>
        <v>80</v>
      </c>
    </row>
    <row r="629" spans="1:6">
      <c r="A629" s="139">
        <v>45922</v>
      </c>
      <c r="B629" s="137">
        <v>66.57</v>
      </c>
      <c r="C629" s="137">
        <v>0.64</v>
      </c>
      <c r="E629" s="137">
        <f t="shared" si="18"/>
        <v>83.7147887323944</v>
      </c>
      <c r="F629" s="137">
        <f t="shared" si="19"/>
        <v>80</v>
      </c>
    </row>
    <row r="630" spans="1:6">
      <c r="A630" s="139">
        <v>45923</v>
      </c>
      <c r="B630" s="137">
        <v>67.65</v>
      </c>
      <c r="C630" s="137">
        <v>0.65</v>
      </c>
      <c r="E630" s="137">
        <f t="shared" si="18"/>
        <v>85.0729376257545</v>
      </c>
      <c r="F630" s="137">
        <f t="shared" si="19"/>
        <v>81.25</v>
      </c>
    </row>
    <row r="631" spans="1:6">
      <c r="A631" s="139">
        <v>45924</v>
      </c>
      <c r="B631" s="137">
        <v>69.34</v>
      </c>
      <c r="C631" s="137">
        <v>0.64</v>
      </c>
      <c r="E631" s="137">
        <f t="shared" si="18"/>
        <v>87.1981891348089</v>
      </c>
      <c r="F631" s="137">
        <f t="shared" si="19"/>
        <v>80</v>
      </c>
    </row>
    <row r="632" spans="1:6">
      <c r="A632" s="139">
        <v>45925</v>
      </c>
      <c r="B632" s="137">
        <v>69.48</v>
      </c>
      <c r="C632" s="137">
        <v>0.64</v>
      </c>
      <c r="E632" s="137">
        <f t="shared" si="18"/>
        <v>87.374245472837</v>
      </c>
      <c r="F632" s="137">
        <f t="shared" si="19"/>
        <v>80</v>
      </c>
    </row>
    <row r="633" spans="1:6">
      <c r="A633" s="139">
        <v>45926</v>
      </c>
      <c r="B633" s="137">
        <v>70.12</v>
      </c>
      <c r="C633" s="137">
        <v>0.65</v>
      </c>
      <c r="E633" s="137">
        <f t="shared" si="18"/>
        <v>88.1790744466801</v>
      </c>
      <c r="F633" s="137">
        <f t="shared" si="19"/>
        <v>81.25</v>
      </c>
    </row>
    <row r="634" spans="1:6">
      <c r="A634" s="139">
        <v>45929</v>
      </c>
      <c r="B634" s="137">
        <v>68</v>
      </c>
      <c r="C634" s="137">
        <v>0.63</v>
      </c>
      <c r="E634" s="137">
        <f t="shared" si="18"/>
        <v>85.513078470825</v>
      </c>
      <c r="F634" s="137">
        <f t="shared" si="19"/>
        <v>78.75</v>
      </c>
    </row>
    <row r="635" spans="1:6">
      <c r="A635" s="139">
        <v>45930</v>
      </c>
      <c r="B635" s="137">
        <v>67.08</v>
      </c>
      <c r="C635" s="137">
        <v>0.64</v>
      </c>
      <c r="E635" s="137">
        <f t="shared" si="18"/>
        <v>84.3561368209256</v>
      </c>
      <c r="F635" s="137">
        <f t="shared" si="19"/>
        <v>80</v>
      </c>
    </row>
    <row r="636" spans="1:6">
      <c r="A636" s="139">
        <v>45931</v>
      </c>
      <c r="B636" s="137">
        <v>65.37</v>
      </c>
      <c r="C636" s="137">
        <v>0.64</v>
      </c>
      <c r="E636" s="137">
        <f t="shared" si="18"/>
        <v>82.2057344064387</v>
      </c>
      <c r="F636" s="137">
        <f t="shared" si="19"/>
        <v>80</v>
      </c>
    </row>
    <row r="637" spans="1:6">
      <c r="A637" s="139">
        <v>45932</v>
      </c>
      <c r="B637" s="137">
        <v>64.15</v>
      </c>
      <c r="C637" s="137">
        <v>0.63</v>
      </c>
      <c r="E637" s="137">
        <f t="shared" si="18"/>
        <v>80.6715291750503</v>
      </c>
      <c r="F637" s="137">
        <f t="shared" si="19"/>
        <v>78.75</v>
      </c>
    </row>
    <row r="638" spans="1:6">
      <c r="A638" s="139">
        <v>45933</v>
      </c>
      <c r="B638" s="137">
        <v>64.54</v>
      </c>
      <c r="C638" s="137">
        <v>0.63</v>
      </c>
      <c r="E638" s="137">
        <f t="shared" si="18"/>
        <v>81.1619718309859</v>
      </c>
      <c r="F638" s="137">
        <f t="shared" si="19"/>
        <v>78.75</v>
      </c>
    </row>
    <row r="639" spans="1:6">
      <c r="A639" s="139">
        <v>45936</v>
      </c>
      <c r="B639" s="137">
        <v>65.49</v>
      </c>
      <c r="C639" s="137">
        <v>0.63</v>
      </c>
      <c r="E639" s="137">
        <f t="shared" si="18"/>
        <v>82.3566398390342</v>
      </c>
      <c r="F639" s="137">
        <f t="shared" si="19"/>
        <v>78.75</v>
      </c>
    </row>
    <row r="640" spans="1:6">
      <c r="A640" s="139">
        <v>45937</v>
      </c>
      <c r="B640" s="137">
        <v>65.49</v>
      </c>
      <c r="C640" s="137">
        <v>0.62</v>
      </c>
      <c r="E640" s="137">
        <f t="shared" si="18"/>
        <v>82.3566398390342</v>
      </c>
      <c r="F640" s="137">
        <f t="shared" si="19"/>
        <v>77.5</v>
      </c>
    </row>
    <row r="641" spans="1:6">
      <c r="A641" s="139">
        <v>45938</v>
      </c>
      <c r="B641" s="137">
        <v>66.31</v>
      </c>
      <c r="C641" s="137">
        <v>0.62</v>
      </c>
      <c r="E641" s="137">
        <f t="shared" si="18"/>
        <v>83.3878269617706</v>
      </c>
      <c r="F641" s="137">
        <f t="shared" si="19"/>
        <v>77.5</v>
      </c>
    </row>
    <row r="642" spans="1:6">
      <c r="A642" s="139">
        <v>45939</v>
      </c>
      <c r="B642" s="137">
        <v>65.31</v>
      </c>
      <c r="C642" s="137">
        <v>0.62</v>
      </c>
      <c r="E642" s="137">
        <f t="shared" si="18"/>
        <v>82.1302816901408</v>
      </c>
      <c r="F642" s="137">
        <f t="shared" si="19"/>
        <v>77.5</v>
      </c>
    </row>
    <row r="643" spans="1:6">
      <c r="A643" s="139">
        <v>45940</v>
      </c>
      <c r="B643" s="137">
        <v>62.82</v>
      </c>
      <c r="C643" s="137">
        <v>0.61</v>
      </c>
      <c r="E643" s="137">
        <f t="shared" si="18"/>
        <v>78.9989939637827</v>
      </c>
      <c r="F643" s="137">
        <f t="shared" si="19"/>
        <v>76.25</v>
      </c>
    </row>
    <row r="644" spans="1:6">
      <c r="A644" s="139">
        <v>45943</v>
      </c>
      <c r="B644" s="137">
        <v>63.35</v>
      </c>
      <c r="C644" s="137">
        <v>0.61</v>
      </c>
      <c r="E644" s="137">
        <f t="shared" si="18"/>
        <v>79.6654929577465</v>
      </c>
      <c r="F644" s="137">
        <f t="shared" si="19"/>
        <v>76.25</v>
      </c>
    </row>
    <row r="645" spans="1:6">
      <c r="A645" s="139">
        <v>45944</v>
      </c>
      <c r="B645" s="137">
        <v>62.46</v>
      </c>
      <c r="C645" s="137">
        <v>0.61</v>
      </c>
      <c r="E645" s="137">
        <f t="shared" ref="E645:E708" si="20">B645/$B$3*$E$3</f>
        <v>78.546277665996</v>
      </c>
      <c r="F645" s="137">
        <f t="shared" ref="F645:F708" si="21">C645/$C$3*$F$3</f>
        <v>76.25</v>
      </c>
    </row>
    <row r="646" spans="1:6">
      <c r="A646" s="139">
        <v>45945</v>
      </c>
      <c r="B646" s="137">
        <v>61.98</v>
      </c>
      <c r="C646" s="137">
        <v>0.61</v>
      </c>
      <c r="E646" s="137">
        <f t="shared" si="20"/>
        <v>77.9426559356137</v>
      </c>
      <c r="F646" s="137">
        <f t="shared" si="21"/>
        <v>76.25</v>
      </c>
    </row>
    <row r="647" spans="1:6">
      <c r="A647" s="139">
        <v>45946</v>
      </c>
      <c r="B647" s="137">
        <v>61.14</v>
      </c>
      <c r="C647" s="137">
        <v>0.61</v>
      </c>
      <c r="E647" s="137">
        <f t="shared" si="20"/>
        <v>76.8863179074447</v>
      </c>
      <c r="F647" s="137">
        <f t="shared" si="21"/>
        <v>76.25</v>
      </c>
    </row>
    <row r="648" spans="1:6">
      <c r="A648" s="139">
        <v>45947</v>
      </c>
      <c r="B648" s="137">
        <v>61.28</v>
      </c>
      <c r="C648" s="137">
        <v>0.62</v>
      </c>
      <c r="E648" s="137">
        <f t="shared" si="20"/>
        <v>77.0623742454728</v>
      </c>
      <c r="F648" s="137">
        <f t="shared" si="21"/>
        <v>77.5</v>
      </c>
    </row>
    <row r="649" spans="1:6">
      <c r="A649" s="139">
        <v>45950</v>
      </c>
      <c r="B649" s="137">
        <v>61.06</v>
      </c>
      <c r="C649" s="137">
        <v>0.62</v>
      </c>
      <c r="E649" s="137">
        <f t="shared" si="20"/>
        <v>76.7857142857143</v>
      </c>
      <c r="F649" s="137">
        <f t="shared" si="21"/>
        <v>77.5</v>
      </c>
    </row>
    <row r="650" spans="1:6">
      <c r="A650" s="139">
        <v>45951</v>
      </c>
      <c r="B650" s="137">
        <v>61.35</v>
      </c>
      <c r="C650" s="137">
        <v>0.62</v>
      </c>
      <c r="E650" s="137">
        <f t="shared" si="20"/>
        <v>77.1504024144869</v>
      </c>
      <c r="F650" s="137">
        <f t="shared" si="21"/>
        <v>77.5</v>
      </c>
    </row>
    <row r="651" spans="1:6">
      <c r="A651" s="139">
        <v>45952</v>
      </c>
      <c r="B651" s="137">
        <v>62.64</v>
      </c>
      <c r="C651" s="137">
        <v>0.61</v>
      </c>
      <c r="E651" s="137">
        <f t="shared" si="20"/>
        <v>78.7726358148893</v>
      </c>
      <c r="F651" s="137">
        <f t="shared" si="21"/>
        <v>76.25</v>
      </c>
    </row>
    <row r="652" spans="1:6">
      <c r="A652" s="139">
        <v>45953</v>
      </c>
      <c r="B652" s="137">
        <v>66.02</v>
      </c>
      <c r="C652" s="137">
        <v>0.62</v>
      </c>
      <c r="E652" s="137">
        <f t="shared" si="20"/>
        <v>83.023138832998</v>
      </c>
      <c r="F652" s="137">
        <f t="shared" si="21"/>
        <v>77.5</v>
      </c>
    </row>
    <row r="653" spans="1:6">
      <c r="A653" s="139">
        <v>45954</v>
      </c>
      <c r="B653" s="137">
        <v>65.95</v>
      </c>
      <c r="C653" s="137">
        <v>0.62</v>
      </c>
      <c r="E653" s="137">
        <f t="shared" si="20"/>
        <v>82.9351106639839</v>
      </c>
      <c r="F653" s="137">
        <f t="shared" si="21"/>
        <v>77.5</v>
      </c>
    </row>
    <row r="654" spans="1:6">
      <c r="A654" s="139">
        <v>45957</v>
      </c>
      <c r="B654" s="137">
        <v>65.74</v>
      </c>
      <c r="C654" s="137">
        <v>0.62</v>
      </c>
      <c r="E654" s="137">
        <f t="shared" si="20"/>
        <v>82.6710261569417</v>
      </c>
      <c r="F654" s="137">
        <f t="shared" si="21"/>
        <v>77.5</v>
      </c>
    </row>
    <row r="655" spans="1:6">
      <c r="A655" s="139">
        <v>45958</v>
      </c>
      <c r="B655" s="137">
        <v>64.25</v>
      </c>
      <c r="C655" s="137">
        <v>0.63</v>
      </c>
      <c r="E655" s="137">
        <f t="shared" si="20"/>
        <v>80.7972837022133</v>
      </c>
      <c r="F655" s="137">
        <f t="shared" si="21"/>
        <v>78.75</v>
      </c>
    </row>
    <row r="656" spans="1:6">
      <c r="A656" s="139">
        <v>45959</v>
      </c>
      <c r="B656" s="137">
        <v>64.91</v>
      </c>
      <c r="C656" s="137">
        <v>0.63</v>
      </c>
      <c r="E656" s="137">
        <f t="shared" si="20"/>
        <v>81.6272635814889</v>
      </c>
      <c r="F656" s="137">
        <f t="shared" si="21"/>
        <v>78.75</v>
      </c>
    </row>
    <row r="657" spans="1:6">
      <c r="A657" s="139">
        <v>45960</v>
      </c>
      <c r="B657" s="137">
        <v>64.86</v>
      </c>
      <c r="C657" s="137">
        <v>0.63</v>
      </c>
      <c r="E657" s="137">
        <f t="shared" si="20"/>
        <v>81.5643863179074</v>
      </c>
      <c r="F657" s="137">
        <f t="shared" si="21"/>
        <v>78.75</v>
      </c>
    </row>
    <row r="658" spans="1:6">
      <c r="A658" s="139">
        <v>45961</v>
      </c>
      <c r="B658" s="137">
        <v>65.1</v>
      </c>
      <c r="C658" s="137">
        <v>0.63</v>
      </c>
      <c r="E658" s="137">
        <f t="shared" si="20"/>
        <v>81.8661971830986</v>
      </c>
      <c r="F658" s="137">
        <f t="shared" si="21"/>
        <v>78.75</v>
      </c>
    </row>
    <row r="659" spans="1:6">
      <c r="A659" s="139">
        <v>45964</v>
      </c>
      <c r="B659" s="137">
        <v>64.87</v>
      </c>
      <c r="C659" s="137">
        <v>0.63</v>
      </c>
      <c r="E659" s="137">
        <f t="shared" si="20"/>
        <v>81.5769617706238</v>
      </c>
      <c r="F659" s="137">
        <f t="shared" si="21"/>
        <v>78.75</v>
      </c>
    </row>
    <row r="660" spans="1:6">
      <c r="A660" s="139">
        <v>45965</v>
      </c>
      <c r="B660" s="137">
        <v>64.49</v>
      </c>
      <c r="C660" s="137">
        <v>0.63</v>
      </c>
      <c r="E660" s="137">
        <f t="shared" si="20"/>
        <v>81.0990945674044</v>
      </c>
      <c r="F660" s="137">
        <f t="shared" si="21"/>
        <v>78.75</v>
      </c>
    </row>
    <row r="661" spans="1:6">
      <c r="A661" s="139">
        <v>45966</v>
      </c>
      <c r="B661" s="137">
        <v>63.57</v>
      </c>
      <c r="C661" s="137">
        <v>0.63</v>
      </c>
      <c r="E661" s="137">
        <f t="shared" si="20"/>
        <v>79.942152917505</v>
      </c>
      <c r="F661" s="137">
        <f t="shared" si="21"/>
        <v>78.75</v>
      </c>
    </row>
    <row r="662" spans="1:6">
      <c r="A662" s="139">
        <v>45967</v>
      </c>
      <c r="B662" s="137">
        <v>63.44</v>
      </c>
      <c r="C662" s="137">
        <v>0.62</v>
      </c>
      <c r="E662" s="137">
        <f t="shared" si="20"/>
        <v>79.7786720321932</v>
      </c>
      <c r="F662" s="137">
        <f t="shared" si="21"/>
        <v>77.5</v>
      </c>
    </row>
    <row r="663" spans="1:6">
      <c r="A663" s="139">
        <v>45968</v>
      </c>
      <c r="B663" s="137">
        <v>63.66</v>
      </c>
      <c r="C663" s="137">
        <v>0.61</v>
      </c>
      <c r="E663" s="137">
        <f t="shared" si="20"/>
        <v>80.0553319919517</v>
      </c>
      <c r="F663" s="137">
        <f t="shared" si="21"/>
        <v>76.25</v>
      </c>
    </row>
    <row r="664" spans="1:6">
      <c r="A664" s="139">
        <v>45971</v>
      </c>
      <c r="B664" s="137">
        <v>64.1</v>
      </c>
      <c r="C664" s="137">
        <v>0.62</v>
      </c>
      <c r="E664" s="137">
        <f t="shared" si="20"/>
        <v>80.6086519114688</v>
      </c>
      <c r="F664" s="137">
        <f t="shared" si="21"/>
        <v>77.5</v>
      </c>
    </row>
    <row r="665" spans="1:6">
      <c r="A665" s="139">
        <v>45972</v>
      </c>
      <c r="B665" s="137">
        <v>65.18</v>
      </c>
      <c r="C665" s="137">
        <v>0.61</v>
      </c>
      <c r="E665" s="137">
        <f t="shared" si="20"/>
        <v>81.966800804829</v>
      </c>
      <c r="F665" s="137">
        <f t="shared" si="21"/>
        <v>76.25</v>
      </c>
    </row>
    <row r="666" spans="1:6">
      <c r="A666" s="139">
        <v>45973</v>
      </c>
      <c r="B666" s="137">
        <v>62.77</v>
      </c>
      <c r="C666" s="137">
        <v>0.61</v>
      </c>
      <c r="E666" s="137">
        <f t="shared" si="20"/>
        <v>78.9361167002012</v>
      </c>
      <c r="F666" s="137">
        <f t="shared" si="21"/>
        <v>76.25</v>
      </c>
    </row>
    <row r="667" spans="1:6">
      <c r="A667" s="139">
        <v>45974</v>
      </c>
      <c r="B667" s="137">
        <v>63.09</v>
      </c>
      <c r="C667" s="137">
        <v>0.6</v>
      </c>
      <c r="E667" s="137">
        <f t="shared" si="20"/>
        <v>79.3385311871227</v>
      </c>
      <c r="F667" s="137">
        <f t="shared" si="21"/>
        <v>75</v>
      </c>
    </row>
    <row r="668" spans="1:6">
      <c r="A668" s="139">
        <v>45975</v>
      </c>
      <c r="B668" s="137">
        <v>64.4</v>
      </c>
      <c r="C668" s="137">
        <v>0.62</v>
      </c>
      <c r="E668" s="137">
        <f t="shared" si="20"/>
        <v>80.9859154929578</v>
      </c>
      <c r="F668" s="137">
        <f t="shared" si="21"/>
        <v>77.5</v>
      </c>
    </row>
    <row r="669" spans="1:6">
      <c r="A669" s="139">
        <v>45978</v>
      </c>
      <c r="B669" s="137">
        <v>64.18</v>
      </c>
      <c r="C669" s="137">
        <v>0.62</v>
      </c>
      <c r="E669" s="137">
        <f t="shared" si="20"/>
        <v>80.7092555331992</v>
      </c>
      <c r="F669" s="137">
        <f t="shared" si="21"/>
        <v>77.5</v>
      </c>
    </row>
    <row r="670" spans="1:6">
      <c r="A670" s="139">
        <v>45979</v>
      </c>
      <c r="B670" s="137">
        <v>64.91</v>
      </c>
      <c r="C670" s="137">
        <v>0.62</v>
      </c>
      <c r="E670" s="137">
        <f t="shared" si="20"/>
        <v>81.6272635814889</v>
      </c>
      <c r="F670" s="137">
        <f t="shared" si="21"/>
        <v>77.5</v>
      </c>
    </row>
    <row r="671" spans="1:6">
      <c r="A671" s="139">
        <v>45980</v>
      </c>
      <c r="B671" s="137">
        <v>63.58</v>
      </c>
      <c r="C671" s="137">
        <v>0.62</v>
      </c>
      <c r="E671" s="137">
        <f t="shared" si="20"/>
        <v>79.9547283702213</v>
      </c>
      <c r="F671" s="137">
        <f t="shared" si="21"/>
        <v>77.5</v>
      </c>
    </row>
    <row r="672" spans="1:6">
      <c r="A672" s="139">
        <v>45981</v>
      </c>
      <c r="B672" s="137">
        <v>63.44</v>
      </c>
      <c r="C672" s="137">
        <v>0.62</v>
      </c>
      <c r="E672" s="137">
        <f t="shared" si="20"/>
        <v>79.7786720321932</v>
      </c>
      <c r="F672" s="137">
        <f t="shared" si="21"/>
        <v>77.5</v>
      </c>
    </row>
    <row r="673" spans="1:6">
      <c r="A673" s="139">
        <v>45982</v>
      </c>
      <c r="B673" s="137">
        <v>62.58</v>
      </c>
      <c r="C673" s="137">
        <v>0.62</v>
      </c>
      <c r="E673" s="137">
        <f t="shared" si="20"/>
        <v>78.6971830985916</v>
      </c>
      <c r="F673" s="137">
        <f t="shared" si="21"/>
        <v>77.5</v>
      </c>
    </row>
    <row r="674" spans="1:6">
      <c r="A674" s="139">
        <v>45985</v>
      </c>
      <c r="B674" s="137">
        <v>63.41</v>
      </c>
      <c r="C674" s="137">
        <v>0.62</v>
      </c>
      <c r="E674" s="137">
        <f t="shared" si="20"/>
        <v>79.7409456740443</v>
      </c>
      <c r="F674" s="137">
        <f t="shared" si="21"/>
        <v>77.5</v>
      </c>
    </row>
    <row r="675" spans="1:6">
      <c r="A675" s="139">
        <v>45986</v>
      </c>
      <c r="B675" s="137">
        <v>62.58</v>
      </c>
      <c r="C675" s="137">
        <v>0.62</v>
      </c>
      <c r="E675" s="137">
        <f t="shared" si="20"/>
        <v>78.6971830985916</v>
      </c>
      <c r="F675" s="137">
        <f t="shared" si="21"/>
        <v>77.5</v>
      </c>
    </row>
    <row r="676" spans="1:6">
      <c r="A676" s="139">
        <v>45987</v>
      </c>
      <c r="B676" s="137">
        <v>63.19</v>
      </c>
      <c r="C676" s="137">
        <v>0.63</v>
      </c>
      <c r="E676" s="137">
        <f t="shared" si="20"/>
        <v>79.4642857142857</v>
      </c>
      <c r="F676" s="137">
        <f t="shared" si="21"/>
        <v>78.75</v>
      </c>
    </row>
    <row r="677" spans="1:6">
      <c r="A677" s="139">
        <v>45988</v>
      </c>
      <c r="B677" s="137">
        <v>63.19</v>
      </c>
      <c r="C677" s="137">
        <v>0.63</v>
      </c>
      <c r="E677" s="137">
        <f t="shared" si="20"/>
        <v>79.4642857142857</v>
      </c>
      <c r="F677" s="137">
        <f t="shared" si="21"/>
        <v>78.75</v>
      </c>
    </row>
    <row r="678" spans="1:6">
      <c r="A678" s="139">
        <v>45989</v>
      </c>
      <c r="B678" s="137">
        <v>63.24</v>
      </c>
      <c r="C678" s="137">
        <v>0.63</v>
      </c>
      <c r="E678" s="137">
        <f t="shared" si="20"/>
        <v>79.5271629778672</v>
      </c>
      <c r="F678" s="137">
        <f t="shared" si="21"/>
        <v>78.75</v>
      </c>
    </row>
    <row r="679" spans="1:6">
      <c r="A679" s="139">
        <v>45992</v>
      </c>
      <c r="B679" s="137">
        <v>63.22</v>
      </c>
      <c r="C679" s="137">
        <v>0.63</v>
      </c>
      <c r="E679" s="137">
        <f t="shared" si="20"/>
        <v>79.5020120724346</v>
      </c>
      <c r="F679" s="137">
        <f t="shared" si="21"/>
        <v>78.75</v>
      </c>
    </row>
    <row r="680" spans="1:6">
      <c r="A680" s="139">
        <v>45993</v>
      </c>
      <c r="B680" s="137">
        <v>62.51</v>
      </c>
      <c r="C680" s="137">
        <v>0.63</v>
      </c>
      <c r="E680" s="137">
        <f t="shared" si="20"/>
        <v>78.6091549295775</v>
      </c>
      <c r="F680" s="137">
        <f t="shared" si="21"/>
        <v>78.75</v>
      </c>
    </row>
    <row r="681" spans="1:6">
      <c r="A681" s="139">
        <v>45994</v>
      </c>
      <c r="B681" s="137">
        <v>62.73</v>
      </c>
      <c r="C681" s="137">
        <v>0.63</v>
      </c>
      <c r="E681" s="137">
        <f t="shared" si="20"/>
        <v>78.885814889336</v>
      </c>
      <c r="F681" s="137">
        <f t="shared" si="21"/>
        <v>78.75</v>
      </c>
    </row>
    <row r="682" spans="1:6">
      <c r="A682" s="139">
        <v>45995</v>
      </c>
      <c r="B682" s="137">
        <v>63.3</v>
      </c>
      <c r="C682" s="137">
        <v>0.62</v>
      </c>
      <c r="E682" s="137">
        <f t="shared" si="20"/>
        <v>79.602615694165</v>
      </c>
      <c r="F682" s="137">
        <f t="shared" si="21"/>
        <v>77.5</v>
      </c>
    </row>
    <row r="683" spans="1:6">
      <c r="A683" s="139">
        <v>45996</v>
      </c>
      <c r="B683" s="137">
        <v>63.78</v>
      </c>
      <c r="C683" s="137">
        <v>0.62</v>
      </c>
      <c r="E683" s="137">
        <f t="shared" si="20"/>
        <v>80.2062374245473</v>
      </c>
      <c r="F683" s="137">
        <f t="shared" si="21"/>
        <v>77.5</v>
      </c>
    </row>
    <row r="684" spans="1:6">
      <c r="A684" s="139">
        <v>45999</v>
      </c>
      <c r="B684" s="137">
        <v>62.54</v>
      </c>
      <c r="C684" s="137">
        <v>0.62</v>
      </c>
      <c r="E684" s="137">
        <f t="shared" si="20"/>
        <v>78.6468812877264</v>
      </c>
      <c r="F684" s="137">
        <f t="shared" si="21"/>
        <v>77.5</v>
      </c>
    </row>
    <row r="685" spans="1:6">
      <c r="A685" s="139">
        <v>46000</v>
      </c>
      <c r="B685" s="137">
        <v>61.98</v>
      </c>
      <c r="C685" s="137">
        <v>0.62</v>
      </c>
      <c r="E685" s="137">
        <f t="shared" si="20"/>
        <v>77.9426559356137</v>
      </c>
      <c r="F685" s="137">
        <f t="shared" si="21"/>
        <v>77.5</v>
      </c>
    </row>
    <row r="686" spans="1:6">
      <c r="A686" s="139">
        <v>46001</v>
      </c>
      <c r="B686" s="137">
        <v>62.32</v>
      </c>
      <c r="C686" s="137">
        <v>0.62</v>
      </c>
      <c r="E686" s="137">
        <f t="shared" si="20"/>
        <v>78.3702213279678</v>
      </c>
      <c r="F686" s="137">
        <f t="shared" si="21"/>
        <v>77.5</v>
      </c>
    </row>
    <row r="687" spans="1:6">
      <c r="A687" s="139">
        <v>46002</v>
      </c>
      <c r="B687" s="137">
        <v>61.35</v>
      </c>
      <c r="C687" s="137">
        <v>0.62</v>
      </c>
      <c r="E687" s="137">
        <f t="shared" si="20"/>
        <v>77.1504024144869</v>
      </c>
      <c r="F687" s="137">
        <f t="shared" si="21"/>
        <v>77.5</v>
      </c>
    </row>
    <row r="688" spans="1:6">
      <c r="A688" s="139">
        <v>46003</v>
      </c>
      <c r="B688" s="137">
        <v>61.16</v>
      </c>
      <c r="C688" s="137">
        <v>0.62</v>
      </c>
      <c r="E688" s="137">
        <f t="shared" si="20"/>
        <v>76.9114688128773</v>
      </c>
      <c r="F688" s="137">
        <f t="shared" si="21"/>
        <v>77.5</v>
      </c>
    </row>
    <row r="689" spans="1:6">
      <c r="A689" s="139">
        <v>46006</v>
      </c>
      <c r="B689" s="137">
        <v>60.6</v>
      </c>
      <c r="C689" s="137">
        <v>0.62</v>
      </c>
      <c r="E689" s="137">
        <f t="shared" si="20"/>
        <v>76.2072434607646</v>
      </c>
      <c r="F689" s="137">
        <f t="shared" si="21"/>
        <v>77.5</v>
      </c>
    </row>
    <row r="690" spans="1:6">
      <c r="A690" s="139">
        <v>46007</v>
      </c>
      <c r="B690" s="137">
        <v>58.98</v>
      </c>
      <c r="C690" s="137">
        <v>0.61</v>
      </c>
      <c r="E690" s="137">
        <f t="shared" si="20"/>
        <v>74.1700201207243</v>
      </c>
      <c r="F690" s="137">
        <f t="shared" si="21"/>
        <v>76.25</v>
      </c>
    </row>
    <row r="691" spans="1:6">
      <c r="A691" s="139">
        <v>46008</v>
      </c>
      <c r="B691" s="137">
        <v>59.72</v>
      </c>
      <c r="C691" s="137">
        <v>0.61</v>
      </c>
      <c r="E691" s="137">
        <f t="shared" si="20"/>
        <v>75.1006036217304</v>
      </c>
      <c r="F691" s="137">
        <f t="shared" si="21"/>
        <v>76.25</v>
      </c>
    </row>
    <row r="692" spans="1:6">
      <c r="A692" s="139">
        <v>46009</v>
      </c>
      <c r="B692" s="137">
        <v>59.84</v>
      </c>
      <c r="C692" s="137">
        <v>0.61</v>
      </c>
      <c r="E692" s="137">
        <f t="shared" si="20"/>
        <v>75.251509054326</v>
      </c>
      <c r="F692" s="137">
        <f t="shared" si="21"/>
        <v>76.25</v>
      </c>
    </row>
    <row r="693" spans="1:6">
      <c r="A693" s="139">
        <v>46010</v>
      </c>
      <c r="B693" s="137">
        <v>60.5</v>
      </c>
      <c r="C693" s="137">
        <v>0.61</v>
      </c>
      <c r="E693" s="137">
        <f t="shared" si="20"/>
        <v>76.0814889336016</v>
      </c>
      <c r="F693" s="137">
        <f t="shared" si="21"/>
        <v>76.25</v>
      </c>
    </row>
    <row r="694" spans="1:6">
      <c r="A694" s="139">
        <v>46013</v>
      </c>
      <c r="B694" s="137">
        <v>62.12</v>
      </c>
      <c r="C694" s="137">
        <v>0.61</v>
      </c>
      <c r="E694" s="137">
        <f t="shared" si="20"/>
        <v>78.1187122736419</v>
      </c>
      <c r="F694" s="137">
        <f t="shared" si="21"/>
        <v>76.25</v>
      </c>
    </row>
    <row r="695" spans="1:6">
      <c r="A695" s="139">
        <v>46014</v>
      </c>
      <c r="B695" s="137">
        <v>62.42</v>
      </c>
      <c r="C695" s="137">
        <v>0.62</v>
      </c>
      <c r="E695" s="137">
        <f t="shared" si="20"/>
        <v>78.4959758551308</v>
      </c>
      <c r="F695" s="137">
        <f t="shared" si="21"/>
        <v>77.5</v>
      </c>
    </row>
    <row r="696" spans="1:6">
      <c r="A696" s="139">
        <v>46015</v>
      </c>
      <c r="B696" s="137">
        <v>62.3</v>
      </c>
      <c r="C696" s="137">
        <v>0.62</v>
      </c>
      <c r="E696" s="137">
        <f t="shared" si="20"/>
        <v>78.3450704225352</v>
      </c>
      <c r="F696" s="137">
        <f t="shared" si="21"/>
        <v>77.5</v>
      </c>
    </row>
    <row r="697" spans="1:6">
      <c r="A697" s="139">
        <v>46016</v>
      </c>
      <c r="B697" s="137">
        <v>62.3</v>
      </c>
      <c r="C697" s="137">
        <v>0.62</v>
      </c>
      <c r="E697" s="137">
        <f t="shared" si="20"/>
        <v>78.3450704225352</v>
      </c>
      <c r="F697" s="137">
        <f t="shared" si="21"/>
        <v>77.5</v>
      </c>
    </row>
    <row r="698" spans="1:6">
      <c r="A698" s="139">
        <v>46017</v>
      </c>
      <c r="B698" s="137">
        <v>62.3</v>
      </c>
      <c r="C698" s="137">
        <v>0.62</v>
      </c>
      <c r="E698" s="137">
        <f t="shared" si="20"/>
        <v>78.3450704225352</v>
      </c>
      <c r="F698" s="137">
        <f t="shared" si="21"/>
        <v>77.5</v>
      </c>
    </row>
    <row r="699" spans="1:6">
      <c r="A699" s="139">
        <v>46020</v>
      </c>
      <c r="B699" s="137">
        <v>61.97</v>
      </c>
      <c r="C699" s="137">
        <v>0.62</v>
      </c>
      <c r="E699" s="137">
        <f t="shared" si="20"/>
        <v>77.9300804828974</v>
      </c>
      <c r="F699" s="137">
        <f t="shared" si="21"/>
        <v>77.5</v>
      </c>
    </row>
    <row r="700" spans="1:6">
      <c r="A700" s="139">
        <v>46021</v>
      </c>
      <c r="B700" s="137">
        <v>61.9</v>
      </c>
      <c r="C700" s="137">
        <v>0.62</v>
      </c>
      <c r="E700" s="137">
        <f t="shared" si="20"/>
        <v>77.8420523138833</v>
      </c>
      <c r="F700" s="137">
        <f t="shared" si="21"/>
        <v>77.5</v>
      </c>
    </row>
    <row r="701" spans="1:6">
      <c r="A701" s="139">
        <v>46022</v>
      </c>
      <c r="B701" s="137">
        <v>60.85</v>
      </c>
      <c r="C701" s="137">
        <v>0.62</v>
      </c>
      <c r="E701" s="137">
        <f t="shared" si="20"/>
        <v>76.521629778672</v>
      </c>
      <c r="F701" s="137">
        <f t="shared" si="21"/>
        <v>77.5</v>
      </c>
    </row>
    <row r="702" spans="1:6">
      <c r="A702" s="139">
        <v>46023</v>
      </c>
      <c r="B702" s="137">
        <v>60.85</v>
      </c>
      <c r="C702" s="137">
        <v>0.62</v>
      </c>
      <c r="E702" s="137">
        <f t="shared" si="20"/>
        <v>76.521629778672</v>
      </c>
      <c r="F702" s="137">
        <f t="shared" si="21"/>
        <v>77.5</v>
      </c>
    </row>
    <row r="703" spans="1:6">
      <c r="A703" s="139">
        <v>46024</v>
      </c>
      <c r="B703" s="137">
        <v>60.83</v>
      </c>
      <c r="C703" s="137">
        <v>0.62</v>
      </c>
      <c r="E703" s="137">
        <f t="shared" si="20"/>
        <v>76.4964788732394</v>
      </c>
      <c r="F703" s="137">
        <f t="shared" si="21"/>
        <v>77.5</v>
      </c>
    </row>
    <row r="704" spans="1:6">
      <c r="A704" s="139">
        <v>46027</v>
      </c>
      <c r="B704" s="137">
        <v>61.8</v>
      </c>
      <c r="C704" s="137">
        <v>0.62</v>
      </c>
      <c r="E704" s="137">
        <f t="shared" si="20"/>
        <v>77.7162977867203</v>
      </c>
      <c r="F704" s="137">
        <f t="shared" si="21"/>
        <v>77.5</v>
      </c>
    </row>
    <row r="705" spans="1:6">
      <c r="A705" s="139">
        <v>46028</v>
      </c>
      <c r="B705" s="137">
        <v>60.74</v>
      </c>
      <c r="C705" s="137">
        <v>0.63</v>
      </c>
      <c r="E705" s="137">
        <f t="shared" si="20"/>
        <v>76.3832997987928</v>
      </c>
      <c r="F705" s="137">
        <f t="shared" si="21"/>
        <v>78.75</v>
      </c>
    </row>
    <row r="706" spans="1:6">
      <c r="A706" s="139">
        <v>46029</v>
      </c>
      <c r="B706" s="137">
        <v>60.01</v>
      </c>
      <c r="C706" s="137">
        <v>0.63</v>
      </c>
      <c r="E706" s="137">
        <f t="shared" si="20"/>
        <v>75.465291750503</v>
      </c>
      <c r="F706" s="137">
        <f t="shared" si="21"/>
        <v>78.75</v>
      </c>
    </row>
    <row r="707" spans="1:6">
      <c r="A707" s="139">
        <v>46030</v>
      </c>
      <c r="B707" s="137">
        <v>62.04</v>
      </c>
      <c r="C707" s="137">
        <v>0.62</v>
      </c>
      <c r="E707" s="137">
        <f t="shared" si="20"/>
        <v>78.0181086519115</v>
      </c>
      <c r="F707" s="137">
        <f t="shared" si="21"/>
        <v>77.5</v>
      </c>
    </row>
    <row r="708" spans="1:6">
      <c r="A708" s="139">
        <v>46031</v>
      </c>
      <c r="B708" s="137">
        <v>63.36</v>
      </c>
      <c r="C708" s="137">
        <v>0.62</v>
      </c>
      <c r="E708" s="137">
        <f t="shared" si="20"/>
        <v>79.6780684104628</v>
      </c>
      <c r="F708" s="137">
        <f t="shared" si="21"/>
        <v>77.5</v>
      </c>
    </row>
    <row r="709" spans="1:6">
      <c r="A709" s="139">
        <v>46034</v>
      </c>
      <c r="B709" s="137">
        <v>63.95</v>
      </c>
      <c r="C709" s="137">
        <v>0.63</v>
      </c>
      <c r="E709" s="137">
        <f t="shared" ref="E709:E772" si="22">B709/$B$3*$E$3</f>
        <v>80.4200201207244</v>
      </c>
      <c r="F709" s="137">
        <f t="shared" ref="F709:F772" si="23">C709/$C$3*$F$3</f>
        <v>78.75</v>
      </c>
    </row>
    <row r="710" spans="1:6">
      <c r="A710" s="139">
        <v>46035</v>
      </c>
      <c r="B710" s="137">
        <v>65.54</v>
      </c>
      <c r="C710" s="137">
        <v>0.63</v>
      </c>
      <c r="E710" s="137">
        <f t="shared" si="22"/>
        <v>82.4195171026157</v>
      </c>
      <c r="F710" s="137">
        <f t="shared" si="23"/>
        <v>78.75</v>
      </c>
    </row>
    <row r="711" spans="1:6">
      <c r="A711" s="139">
        <v>46036</v>
      </c>
      <c r="B711" s="137">
        <v>66.57</v>
      </c>
      <c r="C711" s="137">
        <v>0.63</v>
      </c>
      <c r="E711" s="137">
        <f t="shared" si="22"/>
        <v>83.7147887323944</v>
      </c>
      <c r="F711" s="137">
        <f t="shared" si="23"/>
        <v>78.75</v>
      </c>
    </row>
    <row r="712" spans="1:6">
      <c r="A712" s="139">
        <v>46037</v>
      </c>
      <c r="B712" s="137">
        <v>63.8</v>
      </c>
      <c r="C712" s="137">
        <v>0.63</v>
      </c>
      <c r="E712" s="137">
        <f t="shared" si="22"/>
        <v>80.2313883299799</v>
      </c>
      <c r="F712" s="137">
        <f t="shared" si="23"/>
        <v>78.75</v>
      </c>
    </row>
    <row r="713" spans="1:6">
      <c r="A713" s="139">
        <v>46038</v>
      </c>
      <c r="B713" s="137">
        <v>64.17</v>
      </c>
      <c r="C713" s="137">
        <v>0.62</v>
      </c>
      <c r="E713" s="137">
        <f t="shared" si="22"/>
        <v>80.6966800804829</v>
      </c>
      <c r="F713" s="137">
        <f t="shared" si="23"/>
        <v>77.5</v>
      </c>
    </row>
    <row r="714" spans="1:6">
      <c r="A714" s="139">
        <v>46041</v>
      </c>
      <c r="B714" s="137">
        <v>64.18</v>
      </c>
      <c r="C714" s="137">
        <v>0.62</v>
      </c>
      <c r="E714" s="137">
        <f t="shared" si="22"/>
        <v>80.7092555331992</v>
      </c>
      <c r="F714" s="137">
        <f t="shared" si="23"/>
        <v>77.5</v>
      </c>
    </row>
    <row r="715" spans="1:6">
      <c r="A715" s="139">
        <v>46042</v>
      </c>
      <c r="B715" s="137">
        <v>64.94</v>
      </c>
      <c r="C715" s="137">
        <v>0.62</v>
      </c>
      <c r="E715" s="137">
        <f t="shared" si="22"/>
        <v>81.6649899396378</v>
      </c>
      <c r="F715" s="137">
        <f t="shared" si="23"/>
        <v>77.5</v>
      </c>
    </row>
    <row r="716" spans="1:6">
      <c r="A716" s="139">
        <v>46043</v>
      </c>
      <c r="B716" s="137">
        <v>65.27</v>
      </c>
      <c r="C716" s="137">
        <v>0.62</v>
      </c>
      <c r="E716" s="137">
        <f t="shared" si="22"/>
        <v>82.0799798792757</v>
      </c>
      <c r="F716" s="137">
        <f t="shared" si="23"/>
        <v>77.5</v>
      </c>
    </row>
    <row r="717" spans="1:6">
      <c r="A717" s="139">
        <v>46044</v>
      </c>
      <c r="B717" s="137">
        <v>64.11</v>
      </c>
      <c r="C717" s="137">
        <v>0.62</v>
      </c>
      <c r="E717" s="137">
        <f t="shared" si="22"/>
        <v>80.6212273641851</v>
      </c>
      <c r="F717" s="137">
        <f t="shared" si="23"/>
        <v>77.5</v>
      </c>
    </row>
    <row r="718" spans="1:6">
      <c r="A718" s="139">
        <v>46045</v>
      </c>
      <c r="B718" s="137">
        <v>65.89</v>
      </c>
      <c r="C718" s="137">
        <v>0.62</v>
      </c>
      <c r="E718" s="137">
        <f t="shared" si="22"/>
        <v>82.8596579476861</v>
      </c>
      <c r="F718" s="137">
        <f t="shared" si="23"/>
        <v>77.5</v>
      </c>
    </row>
    <row r="719" spans="1:6">
      <c r="A719" s="139">
        <v>46048</v>
      </c>
      <c r="B719" s="137">
        <v>65.61</v>
      </c>
      <c r="C719" s="137">
        <v>0.61</v>
      </c>
      <c r="E719" s="137">
        <f t="shared" si="22"/>
        <v>82.5075452716298</v>
      </c>
      <c r="F719" s="137">
        <f t="shared" si="23"/>
        <v>76.25</v>
      </c>
    </row>
    <row r="720" spans="1:6">
      <c r="A720" s="139">
        <v>46049</v>
      </c>
      <c r="B720" s="137">
        <v>67.58</v>
      </c>
      <c r="C720" s="137">
        <v>0.62</v>
      </c>
      <c r="E720" s="137">
        <f t="shared" si="22"/>
        <v>84.9849094567404</v>
      </c>
      <c r="F720" s="137">
        <f t="shared" si="23"/>
        <v>77.5</v>
      </c>
    </row>
    <row r="721" spans="1:6">
      <c r="A721" s="139">
        <v>46050</v>
      </c>
      <c r="B721" s="137">
        <v>68.39</v>
      </c>
      <c r="C721" s="137">
        <v>0.61</v>
      </c>
      <c r="E721" s="137">
        <f t="shared" si="22"/>
        <v>86.0035211267606</v>
      </c>
      <c r="F721" s="137">
        <f t="shared" si="23"/>
        <v>76.25</v>
      </c>
    </row>
    <row r="722" spans="1:6">
      <c r="A722" s="139">
        <v>46051</v>
      </c>
      <c r="B722" s="137">
        <v>70.71</v>
      </c>
      <c r="C722" s="137">
        <v>0.61</v>
      </c>
      <c r="E722" s="137">
        <f t="shared" si="22"/>
        <v>88.9210261569417</v>
      </c>
      <c r="F722" s="137">
        <f t="shared" si="23"/>
        <v>76.25</v>
      </c>
    </row>
    <row r="723" spans="1:6">
      <c r="A723" s="139">
        <v>46052</v>
      </c>
      <c r="B723" s="137">
        <v>70.73</v>
      </c>
      <c r="C723" s="137">
        <v>0.61</v>
      </c>
      <c r="E723" s="137">
        <f t="shared" si="22"/>
        <v>88.9461770623743</v>
      </c>
      <c r="F723" s="137">
        <f t="shared" si="23"/>
        <v>76.25</v>
      </c>
    </row>
    <row r="724" spans="1:6">
      <c r="A724" s="139">
        <v>46055</v>
      </c>
      <c r="B724" s="137">
        <v>66.38</v>
      </c>
      <c r="C724" s="137">
        <v>0.6</v>
      </c>
      <c r="E724" s="137">
        <f t="shared" si="22"/>
        <v>83.4758551307847</v>
      </c>
      <c r="F724" s="137">
        <f t="shared" si="23"/>
        <v>75</v>
      </c>
    </row>
    <row r="725" spans="1:6">
      <c r="A725" s="139">
        <v>46056</v>
      </c>
      <c r="B725" s="137">
        <v>67.3</v>
      </c>
      <c r="C725" s="137">
        <v>0.6</v>
      </c>
      <c r="E725" s="137">
        <f t="shared" si="22"/>
        <v>84.6327967806841</v>
      </c>
      <c r="F725" s="137">
        <f t="shared" si="23"/>
        <v>75</v>
      </c>
    </row>
    <row r="726" spans="1:6">
      <c r="A726" s="139">
        <v>46057</v>
      </c>
      <c r="B726" s="137">
        <v>69.52</v>
      </c>
      <c r="C726" s="137">
        <v>0.6</v>
      </c>
      <c r="E726" s="137">
        <f t="shared" si="22"/>
        <v>87.4245472837022</v>
      </c>
      <c r="F726" s="137">
        <f t="shared" si="23"/>
        <v>75</v>
      </c>
    </row>
    <row r="727" spans="1:6">
      <c r="A727" s="139">
        <v>46058</v>
      </c>
      <c r="B727" s="137">
        <v>67.57</v>
      </c>
      <c r="C727" s="137">
        <v>0.6</v>
      </c>
      <c r="E727" s="137">
        <f t="shared" si="22"/>
        <v>84.9723340040241</v>
      </c>
      <c r="F727" s="137">
        <f t="shared" si="23"/>
        <v>75</v>
      </c>
    </row>
    <row r="728" spans="1:6">
      <c r="A728" s="139">
        <v>46059</v>
      </c>
      <c r="B728" s="137">
        <v>68.11</v>
      </c>
      <c r="C728" s="137">
        <v>0.59</v>
      </c>
      <c r="E728" s="137">
        <f t="shared" si="22"/>
        <v>85.6514084507042</v>
      </c>
      <c r="F728" s="137">
        <f t="shared" si="23"/>
        <v>73.75</v>
      </c>
    </row>
    <row r="729" spans="1:6">
      <c r="A729" s="139">
        <v>46062</v>
      </c>
      <c r="B729" s="137">
        <v>69.06</v>
      </c>
      <c r="C729" s="137">
        <v>0.6</v>
      </c>
      <c r="E729" s="137">
        <f t="shared" si="22"/>
        <v>86.8460764587525</v>
      </c>
      <c r="F729" s="137">
        <f t="shared" si="23"/>
        <v>75</v>
      </c>
    </row>
    <row r="730" spans="1:6">
      <c r="A730" s="139">
        <v>46063</v>
      </c>
      <c r="B730" s="137">
        <v>68.88</v>
      </c>
      <c r="C730" s="137">
        <v>0.6</v>
      </c>
      <c r="E730" s="137">
        <f t="shared" si="22"/>
        <v>86.6197183098592</v>
      </c>
      <c r="F730" s="137">
        <f t="shared" si="23"/>
        <v>75</v>
      </c>
    </row>
    <row r="731" spans="1:6">
      <c r="A731" s="139">
        <v>46064</v>
      </c>
      <c r="B731" s="137">
        <v>69.41</v>
      </c>
      <c r="C731" s="137">
        <v>0.6</v>
      </c>
      <c r="E731" s="137">
        <f t="shared" si="22"/>
        <v>87.2862173038229</v>
      </c>
      <c r="F731" s="137">
        <f t="shared" si="23"/>
        <v>75</v>
      </c>
    </row>
    <row r="732" spans="1:6">
      <c r="A732" s="139">
        <v>46065</v>
      </c>
      <c r="B732" s="137">
        <v>67.62</v>
      </c>
      <c r="C732" s="137">
        <v>0.6</v>
      </c>
      <c r="E732" s="137">
        <f t="shared" si="22"/>
        <v>85.0352112676056</v>
      </c>
      <c r="F732" s="137">
        <f t="shared" si="23"/>
        <v>75</v>
      </c>
    </row>
    <row r="733" spans="1:6">
      <c r="A733" s="139">
        <v>46066</v>
      </c>
      <c r="B733" s="137">
        <v>67.75</v>
      </c>
      <c r="C733" s="137">
        <v>0.63</v>
      </c>
      <c r="E733" s="137">
        <f t="shared" si="22"/>
        <v>85.1986921529175</v>
      </c>
      <c r="F733" s="137">
        <f t="shared" si="23"/>
        <v>78.75</v>
      </c>
    </row>
    <row r="734" spans="1:6">
      <c r="A734" s="139">
        <v>46069</v>
      </c>
      <c r="B734" s="137">
        <v>68.61</v>
      </c>
      <c r="C734" s="137">
        <v>0.63</v>
      </c>
      <c r="E734" s="137">
        <f t="shared" si="22"/>
        <v>86.2801810865191</v>
      </c>
      <c r="F734" s="137">
        <f t="shared" si="23"/>
        <v>78.75</v>
      </c>
    </row>
    <row r="735" spans="1:6">
      <c r="A735" s="139">
        <v>46070</v>
      </c>
      <c r="B735" s="137">
        <v>67.48</v>
      </c>
      <c r="C735" s="137">
        <v>0.62</v>
      </c>
      <c r="E735" s="137">
        <f t="shared" si="22"/>
        <v>84.8591549295775</v>
      </c>
      <c r="F735" s="137">
        <f t="shared" si="23"/>
        <v>77.5</v>
      </c>
    </row>
    <row r="736" spans="1:6">
      <c r="A736" s="139">
        <v>46071</v>
      </c>
      <c r="B736" s="137">
        <v>70.33</v>
      </c>
      <c r="C736" s="137">
        <v>0.62</v>
      </c>
      <c r="E736" s="137">
        <f t="shared" si="22"/>
        <v>88.4431589537223</v>
      </c>
      <c r="F736" s="137">
        <f t="shared" si="23"/>
        <v>77.5</v>
      </c>
    </row>
    <row r="737" spans="1:6">
      <c r="A737" s="139">
        <v>46072</v>
      </c>
      <c r="B737" s="137">
        <v>71.72</v>
      </c>
      <c r="C737" s="137">
        <v>0.62</v>
      </c>
      <c r="E737" s="137">
        <f t="shared" si="22"/>
        <v>90.1911468812877</v>
      </c>
      <c r="F737" s="137">
        <f t="shared" si="23"/>
        <v>77.5</v>
      </c>
    </row>
    <row r="738" spans="1:6">
      <c r="A738" s="139">
        <v>46073</v>
      </c>
      <c r="B738" s="137">
        <v>71.81</v>
      </c>
      <c r="C738" s="137">
        <v>0.64</v>
      </c>
      <c r="E738" s="137">
        <f t="shared" si="22"/>
        <v>90.3043259557344</v>
      </c>
      <c r="F738" s="137">
        <f t="shared" si="23"/>
        <v>80</v>
      </c>
    </row>
    <row r="739" spans="1:6">
      <c r="A739" s="139">
        <v>46076</v>
      </c>
      <c r="B739" s="137">
        <v>71.54</v>
      </c>
      <c r="C739" s="137">
        <v>0.63</v>
      </c>
      <c r="E739" s="137">
        <f t="shared" si="22"/>
        <v>89.9647887323944</v>
      </c>
      <c r="F739" s="137">
        <f t="shared" si="23"/>
        <v>78.75</v>
      </c>
    </row>
    <row r="740" spans="1:6">
      <c r="A740" s="139">
        <v>46077</v>
      </c>
      <c r="B740" s="137">
        <v>70.84</v>
      </c>
      <c r="C740" s="137">
        <v>0.64</v>
      </c>
      <c r="E740" s="137">
        <f t="shared" si="22"/>
        <v>89.0845070422535</v>
      </c>
      <c r="F740" s="137">
        <f t="shared" si="23"/>
        <v>80</v>
      </c>
    </row>
    <row r="741" spans="1:6">
      <c r="A741" s="139">
        <v>46078</v>
      </c>
      <c r="B741" s="137">
        <v>70.93</v>
      </c>
      <c r="C741" s="137">
        <v>0.64</v>
      </c>
      <c r="E741" s="137">
        <f t="shared" si="22"/>
        <v>89.1976861167002</v>
      </c>
      <c r="F741" s="137">
        <f t="shared" si="23"/>
        <v>80</v>
      </c>
    </row>
    <row r="742" spans="1:6">
      <c r="A742" s="139">
        <v>46079</v>
      </c>
      <c r="B742" s="137">
        <v>70.78</v>
      </c>
      <c r="C742" s="137">
        <v>0.63</v>
      </c>
      <c r="E742" s="137">
        <f t="shared" si="22"/>
        <v>89.0090543259557</v>
      </c>
      <c r="F742" s="137">
        <f t="shared" si="23"/>
        <v>78.75</v>
      </c>
    </row>
    <row r="743" spans="1:6">
      <c r="A743" s="139">
        <v>46080</v>
      </c>
      <c r="B743" s="137">
        <v>72.55</v>
      </c>
      <c r="C743" s="137">
        <v>0.64</v>
      </c>
      <c r="E743" s="137">
        <f t="shared" si="22"/>
        <v>91.2349094567404</v>
      </c>
      <c r="F743" s="137">
        <f t="shared" si="23"/>
        <v>80</v>
      </c>
    </row>
    <row r="744" spans="1:6">
      <c r="A744" s="139">
        <v>46083</v>
      </c>
      <c r="B744" s="137">
        <v>77.79</v>
      </c>
      <c r="C744" s="137">
        <v>0.63</v>
      </c>
      <c r="E744" s="137">
        <f t="shared" si="22"/>
        <v>97.8244466800805</v>
      </c>
      <c r="F744" s="137">
        <f t="shared" si="23"/>
        <v>78.75</v>
      </c>
    </row>
    <row r="745" spans="1:6">
      <c r="A745" s="139">
        <v>46084</v>
      </c>
      <c r="B745" s="137">
        <v>81.46</v>
      </c>
      <c r="C745" s="137">
        <v>0.62</v>
      </c>
      <c r="E745" s="137">
        <f t="shared" si="22"/>
        <v>102.439637826962</v>
      </c>
      <c r="F745" s="137">
        <f t="shared" si="23"/>
        <v>77.5</v>
      </c>
    </row>
    <row r="746" spans="1:6">
      <c r="A746" s="139">
        <v>46085</v>
      </c>
      <c r="B746" s="137">
        <v>81.49</v>
      </c>
      <c r="C746" s="137">
        <v>0.62</v>
      </c>
      <c r="E746" s="137">
        <f t="shared" si="22"/>
        <v>102.477364185111</v>
      </c>
      <c r="F746" s="137">
        <f t="shared" si="23"/>
        <v>77.5</v>
      </c>
    </row>
    <row r="747" spans="1:6">
      <c r="A747" s="139">
        <v>46086</v>
      </c>
      <c r="B747" s="137">
        <v>85.47</v>
      </c>
      <c r="C747" s="137">
        <v>0.62</v>
      </c>
      <c r="E747" s="137">
        <f t="shared" si="22"/>
        <v>107.482394366197</v>
      </c>
      <c r="F747" s="137">
        <f t="shared" si="23"/>
        <v>77.5</v>
      </c>
    </row>
    <row r="748" spans="1:6">
      <c r="A748" s="139">
        <v>46087</v>
      </c>
      <c r="B748" s="137">
        <v>92.64</v>
      </c>
      <c r="C748" s="137">
        <v>0.62</v>
      </c>
      <c r="E748" s="137">
        <f t="shared" si="22"/>
        <v>116.498993963783</v>
      </c>
      <c r="F748" s="137">
        <f t="shared" si="23"/>
        <v>77.5</v>
      </c>
    </row>
    <row r="749" spans="1:6">
      <c r="A749" s="139">
        <v>46090</v>
      </c>
      <c r="B749" s="137">
        <v>91.79</v>
      </c>
      <c r="C749" s="137">
        <v>0.63</v>
      </c>
      <c r="E749" s="137">
        <f t="shared" si="22"/>
        <v>115.430080482897</v>
      </c>
      <c r="F749" s="137">
        <f t="shared" si="23"/>
        <v>78.75</v>
      </c>
    </row>
    <row r="750" spans="1:6">
      <c r="A750" s="139">
        <v>46091</v>
      </c>
      <c r="B750" s="137">
        <v>91.19</v>
      </c>
      <c r="C750" s="137">
        <v>0.63</v>
      </c>
      <c r="E750" s="137">
        <f t="shared" si="22"/>
        <v>114.67555331992</v>
      </c>
      <c r="F750" s="137">
        <f t="shared" si="23"/>
        <v>78.75</v>
      </c>
    </row>
    <row r="751" spans="1:6">
      <c r="A751" s="139">
        <v>46092</v>
      </c>
      <c r="B751" s="137">
        <v>92.33</v>
      </c>
      <c r="C751" s="137">
        <v>0.63</v>
      </c>
      <c r="E751" s="137">
        <f t="shared" si="22"/>
        <v>116.109154929577</v>
      </c>
      <c r="F751" s="137">
        <f t="shared" si="23"/>
        <v>78.75</v>
      </c>
    </row>
    <row r="752" spans="1:6">
      <c r="A752" s="139">
        <v>46093</v>
      </c>
      <c r="B752" s="137">
        <v>101.25</v>
      </c>
      <c r="C752" s="137">
        <v>0.63</v>
      </c>
      <c r="E752" s="137">
        <f t="shared" si="22"/>
        <v>127.326458752515</v>
      </c>
      <c r="F752" s="137">
        <f t="shared" si="23"/>
        <v>78.75</v>
      </c>
    </row>
    <row r="753" spans="1:6">
      <c r="A753" s="139">
        <v>46094</v>
      </c>
      <c r="B753" s="137">
        <v>102.68</v>
      </c>
      <c r="C753" s="137">
        <v>0.64</v>
      </c>
      <c r="E753" s="137">
        <f t="shared" si="22"/>
        <v>129.124748490946</v>
      </c>
      <c r="F753" s="137">
        <f t="shared" si="23"/>
        <v>80</v>
      </c>
    </row>
    <row r="754" spans="1:6">
      <c r="A754" s="139">
        <v>46097</v>
      </c>
      <c r="B754" s="137">
        <v>100.55</v>
      </c>
      <c r="C754" s="137">
        <v>0.66</v>
      </c>
      <c r="E754" s="137">
        <f t="shared" si="22"/>
        <v>126.446177062374</v>
      </c>
      <c r="F754" s="137">
        <f t="shared" si="23"/>
        <v>82.5</v>
      </c>
    </row>
    <row r="755" spans="1:6">
      <c r="A755" s="139">
        <v>46098</v>
      </c>
      <c r="B755" s="137">
        <v>103.29</v>
      </c>
      <c r="C755" s="137">
        <v>0.67</v>
      </c>
      <c r="E755" s="137">
        <f t="shared" si="22"/>
        <v>129.89185110664</v>
      </c>
      <c r="F755" s="137">
        <f t="shared" si="23"/>
        <v>83.75</v>
      </c>
    </row>
    <row r="756" spans="1:6">
      <c r="A756" s="139">
        <v>46099</v>
      </c>
      <c r="B756" s="137">
        <v>108.93</v>
      </c>
      <c r="C756" s="137">
        <v>0.68</v>
      </c>
      <c r="E756" s="137">
        <f t="shared" si="22"/>
        <v>136.984406438632</v>
      </c>
      <c r="F756" s="137">
        <f t="shared" si="23"/>
        <v>85</v>
      </c>
    </row>
    <row r="757" spans="1:6">
      <c r="A757" s="139">
        <v>46100</v>
      </c>
      <c r="B757" s="137">
        <v>106.3</v>
      </c>
      <c r="C757" s="137">
        <v>0.66</v>
      </c>
      <c r="E757" s="137">
        <f t="shared" si="22"/>
        <v>133.677062374245</v>
      </c>
      <c r="F757" s="137">
        <f t="shared" si="23"/>
        <v>82.5</v>
      </c>
    </row>
    <row r="758" spans="1:6">
      <c r="A758" s="139">
        <v>46101</v>
      </c>
      <c r="B758" s="137">
        <v>112.42</v>
      </c>
      <c r="C758" s="137">
        <v>0.65</v>
      </c>
      <c r="E758" s="137">
        <f t="shared" si="22"/>
        <v>141.37323943662</v>
      </c>
      <c r="F758" s="137">
        <f t="shared" si="23"/>
        <v>81.25</v>
      </c>
    </row>
    <row r="759" spans="1:6">
      <c r="A759" s="139">
        <v>46104</v>
      </c>
      <c r="B759" s="137">
        <v>98.89</v>
      </c>
      <c r="C759" s="137">
        <v>0.65</v>
      </c>
      <c r="E759" s="137">
        <f t="shared" si="22"/>
        <v>124.358651911469</v>
      </c>
      <c r="F759" s="137">
        <f t="shared" si="23"/>
        <v>81.25</v>
      </c>
    </row>
    <row r="760" spans="1:6">
      <c r="A760" s="139">
        <v>46105</v>
      </c>
      <c r="B760" s="137">
        <v>103.52</v>
      </c>
      <c r="C760" s="137">
        <v>0.66</v>
      </c>
      <c r="E760" s="137">
        <f t="shared" si="22"/>
        <v>130.181086519115</v>
      </c>
      <c r="F760" s="137">
        <f t="shared" si="23"/>
        <v>82.5</v>
      </c>
    </row>
    <row r="761" spans="1:6">
      <c r="A761" s="139">
        <v>46106</v>
      </c>
      <c r="B761" s="137">
        <v>102.59</v>
      </c>
      <c r="C761" s="137">
        <v>0.66</v>
      </c>
      <c r="E761" s="137">
        <f t="shared" si="22"/>
        <v>129.011569416499</v>
      </c>
      <c r="F761" s="137">
        <f t="shared" si="23"/>
        <v>82.5</v>
      </c>
    </row>
    <row r="762" spans="1:6">
      <c r="A762" s="139">
        <v>46107</v>
      </c>
      <c r="B762" s="137">
        <v>107.69</v>
      </c>
      <c r="C762" s="137">
        <v>0.67</v>
      </c>
      <c r="E762" s="137">
        <f t="shared" si="22"/>
        <v>135.425050301811</v>
      </c>
      <c r="F762" s="137">
        <f t="shared" si="23"/>
        <v>83.75</v>
      </c>
    </row>
    <row r="763" spans="1:6">
      <c r="A763" s="139">
        <v>46108</v>
      </c>
      <c r="B763" s="137">
        <v>113.42</v>
      </c>
      <c r="C763" s="137">
        <v>0.67</v>
      </c>
      <c r="E763" s="137">
        <f t="shared" si="22"/>
        <v>142.63078470825</v>
      </c>
      <c r="F763" s="137">
        <f t="shared" si="23"/>
        <v>83.75</v>
      </c>
    </row>
    <row r="764" spans="1:6">
      <c r="A764" s="139">
        <v>46111</v>
      </c>
      <c r="B764" s="137">
        <v>112.88</v>
      </c>
      <c r="C764" s="137">
        <v>0.68</v>
      </c>
      <c r="E764" s="137">
        <f t="shared" si="22"/>
        <v>141.951710261569</v>
      </c>
      <c r="F764" s="137">
        <f t="shared" si="23"/>
        <v>85</v>
      </c>
    </row>
    <row r="765" spans="1:6">
      <c r="A765" s="139">
        <v>46112</v>
      </c>
      <c r="B765" s="137">
        <v>118.34</v>
      </c>
      <c r="C765" s="137">
        <v>0.68</v>
      </c>
      <c r="E765" s="137">
        <f t="shared" si="22"/>
        <v>148.817907444668</v>
      </c>
      <c r="F765" s="137">
        <f t="shared" si="23"/>
        <v>85</v>
      </c>
    </row>
    <row r="766" spans="1:6">
      <c r="A766" s="139">
        <v>46113</v>
      </c>
      <c r="B766" s="137">
        <v>101.3</v>
      </c>
      <c r="C766" s="137">
        <v>0.69</v>
      </c>
      <c r="E766" s="137">
        <f t="shared" si="22"/>
        <v>127.389336016097</v>
      </c>
      <c r="F766" s="137">
        <f t="shared" si="23"/>
        <v>86.25</v>
      </c>
    </row>
    <row r="767" spans="1:6">
      <c r="A767" s="139">
        <v>46114</v>
      </c>
      <c r="B767" s="137">
        <v>108.88</v>
      </c>
      <c r="C767" s="137">
        <v>0.69</v>
      </c>
      <c r="E767" s="137">
        <f t="shared" si="22"/>
        <v>136.92152917505</v>
      </c>
      <c r="F767" s="137">
        <f t="shared" si="23"/>
        <v>86.25</v>
      </c>
    </row>
    <row r="768" spans="1:6">
      <c r="A768" s="139">
        <v>46115</v>
      </c>
      <c r="B768" s="137">
        <v>108.88</v>
      </c>
      <c r="C768" s="137">
        <v>0.69</v>
      </c>
      <c r="E768" s="137">
        <f t="shared" si="22"/>
        <v>136.92152917505</v>
      </c>
      <c r="F768" s="137">
        <f t="shared" si="23"/>
        <v>86.25</v>
      </c>
    </row>
    <row r="769" spans="1:6">
      <c r="A769" s="139">
        <v>46118</v>
      </c>
      <c r="B769" s="137">
        <v>108.88</v>
      </c>
      <c r="C769" s="137">
        <v>0.7</v>
      </c>
      <c r="E769" s="137">
        <f t="shared" si="22"/>
        <v>136.92152917505</v>
      </c>
      <c r="F769" s="137">
        <f t="shared" si="23"/>
        <v>87.5</v>
      </c>
    </row>
    <row r="770" spans="1:6">
      <c r="A770" s="139">
        <v>46119</v>
      </c>
      <c r="B770" s="137">
        <v>109.36</v>
      </c>
      <c r="C770" s="137">
        <v>0.69</v>
      </c>
      <c r="E770" s="137">
        <f t="shared" si="22"/>
        <v>137.525150905433</v>
      </c>
      <c r="F770" s="137">
        <f t="shared" si="23"/>
        <v>86.25</v>
      </c>
    </row>
    <row r="771" spans="1:6">
      <c r="A771" s="139">
        <v>46120</v>
      </c>
      <c r="B771" s="137">
        <v>94.94</v>
      </c>
      <c r="C771" s="137">
        <v>0.7</v>
      </c>
      <c r="E771" s="137">
        <f t="shared" si="22"/>
        <v>119.391348088531</v>
      </c>
      <c r="F771" s="137">
        <f t="shared" si="23"/>
        <v>87.5</v>
      </c>
    </row>
    <row r="772" spans="1:6">
      <c r="A772" s="139">
        <v>46121</v>
      </c>
      <c r="B772" s="137">
        <v>96.13</v>
      </c>
      <c r="C772" s="137">
        <v>0.71</v>
      </c>
      <c r="E772" s="137">
        <f t="shared" si="22"/>
        <v>120.887826961771</v>
      </c>
      <c r="F772" s="137">
        <f t="shared" si="23"/>
        <v>88.75</v>
      </c>
    </row>
    <row r="773" spans="1:6">
      <c r="A773" s="139">
        <v>46122</v>
      </c>
      <c r="B773" s="137">
        <v>95.27</v>
      </c>
      <c r="C773" s="137">
        <v>0.71</v>
      </c>
      <c r="E773" s="137">
        <f t="shared" ref="E773:E787" si="24">B773/$B$3*$E$3</f>
        <v>119.806338028169</v>
      </c>
      <c r="F773" s="137">
        <f t="shared" ref="F773:F785" si="25">C773/$C$3*$F$3</f>
        <v>88.75</v>
      </c>
    </row>
    <row r="774" spans="1:6">
      <c r="A774" s="139">
        <v>46125</v>
      </c>
      <c r="B774" s="137">
        <v>99.48</v>
      </c>
      <c r="C774" s="137">
        <v>0.72</v>
      </c>
      <c r="E774" s="137">
        <f t="shared" si="24"/>
        <v>125.10060362173</v>
      </c>
      <c r="F774" s="137">
        <f t="shared" si="25"/>
        <v>90</v>
      </c>
    </row>
    <row r="775" spans="1:6">
      <c r="A775" s="139">
        <v>46126</v>
      </c>
      <c r="B775" s="137">
        <v>95.03</v>
      </c>
      <c r="C775" s="137">
        <v>0.72</v>
      </c>
      <c r="E775" s="137">
        <f t="shared" si="24"/>
        <v>119.504527162978</v>
      </c>
      <c r="F775" s="137">
        <f t="shared" si="25"/>
        <v>90</v>
      </c>
    </row>
    <row r="776" spans="1:6">
      <c r="A776" s="139">
        <v>46127</v>
      </c>
      <c r="B776" s="137">
        <v>95.02</v>
      </c>
      <c r="C776" s="137">
        <v>0.73</v>
      </c>
      <c r="E776" s="137">
        <f t="shared" si="24"/>
        <v>119.491951710262</v>
      </c>
      <c r="F776" s="137">
        <f t="shared" si="25"/>
        <v>91.25</v>
      </c>
    </row>
    <row r="777" spans="1:6">
      <c r="A777" s="139">
        <v>46128</v>
      </c>
      <c r="B777" s="137">
        <v>99.54</v>
      </c>
      <c r="C777" s="137">
        <v>0.74</v>
      </c>
      <c r="E777" s="137">
        <f t="shared" si="24"/>
        <v>125.176056338028</v>
      </c>
      <c r="F777" s="137">
        <f t="shared" si="25"/>
        <v>92.5</v>
      </c>
    </row>
    <row r="778" spans="1:6">
      <c r="A778" s="139">
        <v>46129</v>
      </c>
      <c r="B778" s="137">
        <v>90.8</v>
      </c>
      <c r="C778" s="137">
        <v>0.77</v>
      </c>
      <c r="E778" s="137">
        <f t="shared" si="24"/>
        <v>114.185110663984</v>
      </c>
      <c r="F778" s="137">
        <f t="shared" si="25"/>
        <v>96.25</v>
      </c>
    </row>
    <row r="779" spans="1:6">
      <c r="A779" s="139">
        <v>46132</v>
      </c>
      <c r="B779" s="137">
        <v>95.6</v>
      </c>
      <c r="C779" s="137">
        <v>0.77</v>
      </c>
      <c r="E779" s="137">
        <f t="shared" si="24"/>
        <v>120.221327967807</v>
      </c>
      <c r="F779" s="137">
        <f t="shared" si="25"/>
        <v>96.25</v>
      </c>
    </row>
    <row r="780" spans="1:6">
      <c r="A780" s="139">
        <v>46133</v>
      </c>
      <c r="B780" s="137">
        <v>98.43</v>
      </c>
      <c r="C780" s="137">
        <v>0.78</v>
      </c>
      <c r="E780" s="137">
        <f t="shared" si="24"/>
        <v>123.780181086519</v>
      </c>
      <c r="F780" s="137">
        <f t="shared" si="25"/>
        <v>97.5</v>
      </c>
    </row>
    <row r="781" spans="1:6">
      <c r="A781" s="139">
        <v>46134</v>
      </c>
      <c r="B781" s="137">
        <v>102.03</v>
      </c>
      <c r="C781" s="137">
        <v>0.76</v>
      </c>
      <c r="E781" s="137">
        <f t="shared" si="24"/>
        <v>128.307344064386</v>
      </c>
      <c r="F781" s="137">
        <f t="shared" si="25"/>
        <v>95</v>
      </c>
    </row>
    <row r="782" spans="1:6">
      <c r="A782" s="139">
        <v>46135</v>
      </c>
      <c r="B782" s="137">
        <v>104.98</v>
      </c>
      <c r="C782" s="137">
        <v>0.76</v>
      </c>
      <c r="E782" s="137">
        <f t="shared" si="24"/>
        <v>132.017102615694</v>
      </c>
      <c r="F782" s="137">
        <f t="shared" si="25"/>
        <v>95</v>
      </c>
    </row>
    <row r="783" spans="1:6">
      <c r="A783" s="139">
        <v>46136</v>
      </c>
      <c r="B783" s="137">
        <v>105.44</v>
      </c>
      <c r="C783" s="137">
        <v>0.76</v>
      </c>
      <c r="E783" s="137">
        <f t="shared" si="24"/>
        <v>132.595573440644</v>
      </c>
      <c r="F783" s="137">
        <f t="shared" si="25"/>
        <v>95</v>
      </c>
    </row>
    <row r="784" spans="1:6">
      <c r="A784" s="139">
        <v>46139</v>
      </c>
      <c r="B784" s="137">
        <v>108.27</v>
      </c>
      <c r="C784" s="137">
        <v>0.77</v>
      </c>
      <c r="E784" s="137">
        <f t="shared" si="24"/>
        <v>136.154426559356</v>
      </c>
      <c r="F784" s="137">
        <f t="shared" si="25"/>
        <v>96.25</v>
      </c>
    </row>
    <row r="785" spans="1:6">
      <c r="A785" s="139">
        <v>46140</v>
      </c>
      <c r="B785" s="137">
        <v>111.26</v>
      </c>
      <c r="C785" s="137">
        <v>0.77</v>
      </c>
      <c r="E785" s="137">
        <f t="shared" si="24"/>
        <v>139.914486921529</v>
      </c>
      <c r="F785" s="137">
        <f t="shared" si="25"/>
        <v>96.25</v>
      </c>
    </row>
    <row r="786" spans="1:6">
      <c r="A786" s="139"/>
      <c r="E786" s="137">
        <f t="shared" si="24"/>
        <v>0</v>
      </c>
      <c r="F786" s="137">
        <f>C786*$F$3/$C$3</f>
        <v>0</v>
      </c>
    </row>
    <row r="787" spans="1:6">
      <c r="A787" s="139">
        <v>45863</v>
      </c>
      <c r="B787" s="137">
        <v>68.47</v>
      </c>
      <c r="C787" s="137">
        <v>0.66</v>
      </c>
      <c r="E787" s="137">
        <f t="shared" si="24"/>
        <v>86.1041247484909</v>
      </c>
      <c r="F787" s="137">
        <f>C787*$F$3/$C$3</f>
        <v>82.5</v>
      </c>
    </row>
  </sheetData>
  <dataValidations count="2">
    <dataValidation allowBlank="1" showErrorMessage="1" promptTitle="TRAFO" prompt="$A$1:$C$787" sqref="A1"/>
    <dataValidation allowBlank="1" showErrorMessage="1" promptTitle="TRAFO" prompt="$N$1:$P$526" sqref="N1"/>
  </dataValidations>
  <pageMargins left="0.7" right="0.7" top="0.75" bottom="0.75" header="0.3" footer="0.3"/>
  <pageSetup paperSize="9" orientation="portrait"/>
  <headerFooter/>
  <customProperties>
    <customPr name="Qube.Worksheet.Visibility" r:id="rId4"/>
  </customPropertie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O59"/>
  <sheetViews>
    <sheetView showGridLines="0" workbookViewId="0">
      <selection activeCell="B2" sqref="B2"/>
    </sheetView>
  </sheetViews>
  <sheetFormatPr defaultColWidth="9" defaultRowHeight="15.2"/>
  <cols>
    <col min="2" max="2" width="36" customWidth="1"/>
    <col min="3" max="3" width="39.4285714285714" hidden="1" customWidth="1"/>
    <col min="4" max="4" width="9.85714285714286" customWidth="1"/>
    <col min="5" max="5" width="10.7142857142857" customWidth="1"/>
    <col min="6" max="6" width="13" customWidth="1"/>
    <col min="7" max="8" width="10.4285714285714" customWidth="1"/>
    <col min="9" max="12" width="11.2857142857143" customWidth="1"/>
    <col min="13" max="14" width="10.2857142857143" customWidth="1"/>
    <col min="16" max="16" width="10.4285714285714" customWidth="1"/>
    <col min="17" max="17" width="36" customWidth="1"/>
    <col min="18" max="18" width="9" hidden="1" customWidth="1"/>
    <col min="19" max="19" width="10.8571428571429" customWidth="1"/>
    <col min="21" max="21" width="11.2857142857143" customWidth="1"/>
    <col min="24" max="24" width="11.2857142857143" customWidth="1"/>
    <col min="27" max="27" width="11.2857142857143" customWidth="1"/>
  </cols>
  <sheetData>
    <row r="2" ht="16.8" spans="1:41">
      <c r="A2" s="4"/>
      <c r="B2" s="5" t="s">
        <v>1385</v>
      </c>
      <c r="C2" s="4"/>
      <c r="D2" s="4"/>
      <c r="E2" s="4" t="s">
        <v>1386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17.55" spans="1:41">
      <c r="A3" s="4"/>
      <c r="B3" s="8" t="s">
        <v>1387</v>
      </c>
      <c r="C3" s="4" t="s">
        <v>1388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15" customHeight="1" spans="1:41">
      <c r="A4" s="10"/>
      <c r="B4" s="11" t="s">
        <v>527</v>
      </c>
      <c r="C4" s="12" t="s">
        <v>1389</v>
      </c>
      <c r="D4" s="13" t="s">
        <v>489</v>
      </c>
      <c r="E4" s="14"/>
      <c r="F4" s="15" t="s">
        <v>1276</v>
      </c>
      <c r="G4" s="16" t="s">
        <v>493</v>
      </c>
      <c r="H4" s="17"/>
      <c r="I4" s="18" t="s">
        <v>1276</v>
      </c>
      <c r="J4" s="19" t="s">
        <v>481</v>
      </c>
      <c r="K4" s="20" t="s">
        <v>487</v>
      </c>
      <c r="P4" s="13" t="s">
        <v>1390</v>
      </c>
      <c r="Q4" s="14"/>
      <c r="R4" s="18" t="s">
        <v>1276</v>
      </c>
      <c r="S4" s="21"/>
      <c r="T4" s="22"/>
      <c r="U4" s="23"/>
      <c r="V4" s="24"/>
      <c r="W4" s="25"/>
      <c r="X4" s="26"/>
      <c r="Y4" s="24"/>
      <c r="Z4" s="25"/>
      <c r="AA4" s="26"/>
      <c r="AB4" s="24"/>
      <c r="AC4" s="27"/>
      <c r="AD4" s="25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17.55" spans="1:41">
      <c r="A5" s="4"/>
      <c r="B5" s="28" t="s">
        <v>1391</v>
      </c>
      <c r="C5" s="29"/>
      <c r="D5" s="13" t="s">
        <v>1270</v>
      </c>
      <c r="E5" s="14" t="s">
        <v>1275</v>
      </c>
      <c r="F5" s="30"/>
      <c r="G5" s="13" t="s">
        <v>1270</v>
      </c>
      <c r="H5" s="14" t="s">
        <v>1275</v>
      </c>
      <c r="I5" s="31"/>
      <c r="J5" s="32" t="s">
        <v>1392</v>
      </c>
      <c r="K5" s="33" t="s">
        <v>1392</v>
      </c>
      <c r="P5" s="13" t="s">
        <v>1270</v>
      </c>
      <c r="Q5" s="14" t="s">
        <v>1275</v>
      </c>
      <c r="R5" s="31"/>
      <c r="S5" s="21"/>
      <c r="T5" s="22"/>
      <c r="U5" s="34"/>
      <c r="V5" s="21"/>
      <c r="W5" s="22"/>
      <c r="X5" s="35"/>
      <c r="Y5" s="21"/>
      <c r="Z5" s="22"/>
      <c r="AA5" s="35"/>
      <c r="AB5" s="21"/>
      <c r="AC5" s="36"/>
      <c r="AD5" s="22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16.8" spans="1:41">
      <c r="A6" s="10"/>
      <c r="B6" s="37" t="s">
        <v>1393</v>
      </c>
      <c r="C6" s="38"/>
      <c r="D6" s="39">
        <f>Interim!$IQ$216</f>
        <v>6743</v>
      </c>
      <c r="E6" s="40">
        <v>6630</v>
      </c>
      <c r="F6" s="41">
        <f>D6/E6-1</f>
        <v>0.0170437405731523</v>
      </c>
      <c r="G6" s="39">
        <f>'Profit and Loss'!$AG$325</f>
        <v>27132.9311563009</v>
      </c>
      <c r="H6" s="40">
        <v>26694</v>
      </c>
      <c r="I6" s="42">
        <f>G6/H6-1</f>
        <v>0.0164430642204589</v>
      </c>
      <c r="J6" s="39">
        <f>Interim!$II$216</f>
        <v>5952</v>
      </c>
      <c r="K6" s="43">
        <f>'Profit and Loss'!$AF$325</f>
        <v>24811</v>
      </c>
      <c r="P6" s="39">
        <f>'Profit and Loss'!$AH$325</f>
        <v>29183.6508198389</v>
      </c>
      <c r="Q6" s="40"/>
      <c r="R6" s="42"/>
      <c r="S6" s="44"/>
      <c r="T6" s="45"/>
      <c r="U6" s="46"/>
      <c r="V6" s="44"/>
      <c r="W6" s="45"/>
      <c r="X6" s="47"/>
      <c r="Y6" s="44"/>
      <c r="Z6" s="45"/>
      <c r="AA6" s="47"/>
      <c r="AB6" s="44"/>
      <c r="AC6" s="48"/>
      <c r="AD6" s="44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16.8" spans="1:41">
      <c r="A7" s="10"/>
      <c r="B7" s="38" t="s">
        <v>1394</v>
      </c>
      <c r="C7" s="38"/>
      <c r="D7" s="49">
        <f>Interim!$IQ$219</f>
        <v>0.137283266129032</v>
      </c>
      <c r="E7" s="50">
        <v>0.13</v>
      </c>
      <c r="F7" s="51">
        <f t="shared" ref="F7:F14" si="0">(D7-E7)*10000</f>
        <v>72.8326612903191</v>
      </c>
      <c r="G7" s="49">
        <f>'Profit and Loss'!$AG$329</f>
        <v>0.105392366289146</v>
      </c>
      <c r="H7" s="50">
        <v>0.1</v>
      </c>
      <c r="I7" s="52">
        <f t="shared" ref="I7:I14" si="1">(G7-H7)*10000</f>
        <v>53.9236628914574</v>
      </c>
      <c r="J7" s="49">
        <f>Interim!$II$219</f>
        <v>0.12</v>
      </c>
      <c r="K7" s="53">
        <f>'Profit and Loss'!$AF$329</f>
        <v>0.128168148743108</v>
      </c>
      <c r="P7" s="49">
        <f>'Profit and Loss'!$AH$329</f>
        <v>0.067494679244341</v>
      </c>
      <c r="Q7" s="50"/>
      <c r="R7" s="52"/>
      <c r="S7" s="54"/>
      <c r="T7" s="55"/>
      <c r="U7" s="56"/>
      <c r="V7" s="54"/>
      <c r="W7" s="55"/>
      <c r="X7" s="57"/>
      <c r="Y7" s="54"/>
      <c r="Z7" s="55"/>
      <c r="AA7" s="57"/>
      <c r="AB7" s="54"/>
      <c r="AC7" s="58"/>
      <c r="AD7" s="54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16.8" hidden="1" outlineLevel="1" spans="1:41">
      <c r="A8" s="4"/>
      <c r="B8" s="2143" t="s">
        <v>1395</v>
      </c>
      <c r="C8" s="60"/>
      <c r="D8" s="61">
        <f>Interim!$IQ$172</f>
        <v>0.0555833750625948</v>
      </c>
      <c r="E8" s="62" t="s">
        <v>1396</v>
      </c>
      <c r="F8" s="63" t="s">
        <v>1396</v>
      </c>
      <c r="G8" s="61">
        <f>'Profit and Loss'!$AG$100</f>
        <v>0.0544296951819078</v>
      </c>
      <c r="H8" s="62"/>
      <c r="I8" s="63" t="s">
        <v>1396</v>
      </c>
      <c r="J8" s="61">
        <f>Interim!$II$172</f>
        <v>0.07</v>
      </c>
      <c r="K8" s="64">
        <f>'Profit and Loss'!$AF$100</f>
        <v>0.103623620991408</v>
      </c>
      <c r="P8" s="61">
        <f>'Profit and Loss'!$AH$100</f>
        <v>0.05</v>
      </c>
      <c r="Q8" s="62"/>
      <c r="R8" s="63"/>
      <c r="S8" s="65"/>
      <c r="T8" s="66"/>
      <c r="U8" s="67"/>
      <c r="V8" s="65"/>
      <c r="W8" s="66"/>
      <c r="X8" s="67"/>
      <c r="Y8" s="65"/>
      <c r="Z8" s="66"/>
      <c r="AA8" s="67"/>
      <c r="AB8" s="65"/>
      <c r="AC8" s="68"/>
      <c r="AD8" s="65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16.8" hidden="1" outlineLevel="1" spans="1:41">
      <c r="A9" s="4"/>
      <c r="B9" s="2143" t="s">
        <v>1397</v>
      </c>
      <c r="C9" s="60"/>
      <c r="D9" s="61">
        <f>Interim!$IQ$207</f>
        <v>0.12</v>
      </c>
      <c r="E9" s="62"/>
      <c r="F9" s="63"/>
      <c r="G9" s="61">
        <f>'Profit and Loss'!$AG$135</f>
        <v>0.0829173789173789</v>
      </c>
      <c r="H9" s="62"/>
      <c r="I9" s="63" t="s">
        <v>1396</v>
      </c>
      <c r="J9" s="61">
        <f>Interim!$II$172</f>
        <v>0.07</v>
      </c>
      <c r="K9" s="64">
        <f>'Profit and Loss'!$AF$100</f>
        <v>0.103623620991408</v>
      </c>
      <c r="P9" s="61">
        <f>'Profit and Loss'!$AH$135</f>
        <v>0.08</v>
      </c>
      <c r="Q9" s="62"/>
      <c r="R9" s="63"/>
      <c r="S9" s="65"/>
      <c r="T9" s="66"/>
      <c r="U9" s="67"/>
      <c r="V9" s="65"/>
      <c r="W9" s="66"/>
      <c r="X9" s="67"/>
      <c r="Y9" s="65"/>
      <c r="Z9" s="66"/>
      <c r="AA9" s="67"/>
      <c r="AB9" s="65"/>
      <c r="AC9" s="68"/>
      <c r="AD9" s="65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16.8" hidden="1" outlineLevel="1" spans="1:41">
      <c r="A10" s="4"/>
      <c r="B10" s="2143" t="s">
        <v>1398</v>
      </c>
      <c r="C10" s="60"/>
      <c r="D10" s="69">
        <f>Interim!$IQ$177</f>
        <v>0.17</v>
      </c>
      <c r="E10" s="62" t="s">
        <v>1396</v>
      </c>
      <c r="F10" s="63" t="s">
        <v>1396</v>
      </c>
      <c r="G10" s="69">
        <f>'Profit and Loss'!$AG$105</f>
        <v>0.115614310988795</v>
      </c>
      <c r="H10" s="62"/>
      <c r="I10" s="63" t="s">
        <v>1396</v>
      </c>
      <c r="J10" s="69">
        <f>Interim!$II$177</f>
        <v>0.15</v>
      </c>
      <c r="K10" s="70">
        <f>'Profit and Loss'!$AF$105</f>
        <v>0.0943084933540924</v>
      </c>
      <c r="P10" s="69">
        <f>'Profit and Loss'!$AH$105</f>
        <v>0.07</v>
      </c>
      <c r="Q10" s="62"/>
      <c r="R10" s="63"/>
      <c r="S10" s="71"/>
      <c r="T10" s="66"/>
      <c r="U10" s="67"/>
      <c r="V10" s="71"/>
      <c r="W10" s="66"/>
      <c r="X10" s="67"/>
      <c r="Y10" s="71"/>
      <c r="Z10" s="66"/>
      <c r="AA10" s="67"/>
      <c r="AB10" s="71"/>
      <c r="AC10" s="72"/>
      <c r="AD10" s="71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16.8" hidden="1" outlineLevel="1" spans="1:41">
      <c r="A11" s="4"/>
      <c r="B11" s="2143" t="s">
        <v>1399</v>
      </c>
      <c r="C11" s="60"/>
      <c r="D11" s="69">
        <f>Interim!$IQ$182</f>
        <v>0.28</v>
      </c>
      <c r="E11" s="62" t="s">
        <v>1396</v>
      </c>
      <c r="F11" s="63" t="s">
        <v>1396</v>
      </c>
      <c r="G11" s="69">
        <f>'Profit and Loss'!$AG$110</f>
        <v>0.186165413533835</v>
      </c>
      <c r="H11" s="62"/>
      <c r="I11" s="63" t="s">
        <v>1396</v>
      </c>
      <c r="J11" s="69">
        <f>Interim!$II$182</f>
        <v>0.23</v>
      </c>
      <c r="K11" s="70">
        <f>'Profit and Loss'!$AF$110</f>
        <v>0.21770919553204</v>
      </c>
      <c r="P11" s="69">
        <f>'Profit and Loss'!$AH$110</f>
        <v>0.08</v>
      </c>
      <c r="Q11" s="62"/>
      <c r="R11" s="63"/>
      <c r="S11" s="71"/>
      <c r="T11" s="66"/>
      <c r="U11" s="67"/>
      <c r="V11" s="71"/>
      <c r="W11" s="66"/>
      <c r="X11" s="67"/>
      <c r="Y11" s="71"/>
      <c r="Z11" s="66"/>
      <c r="AA11" s="67"/>
      <c r="AB11" s="71"/>
      <c r="AC11" s="72"/>
      <c r="AD11" s="71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16.8" hidden="1" outlineLevel="1" spans="1:41">
      <c r="A12" s="4"/>
      <c r="B12" s="2143" t="s">
        <v>1400</v>
      </c>
      <c r="C12" s="60"/>
      <c r="D12" s="69">
        <f>Interim!$IQ$187</f>
        <v>0.15</v>
      </c>
      <c r="E12" s="62" t="s">
        <v>1396</v>
      </c>
      <c r="F12" s="63" t="s">
        <v>1396</v>
      </c>
      <c r="G12" s="69">
        <f>'Profit and Loss'!$AG$115</f>
        <v>0.126220320265047</v>
      </c>
      <c r="H12" s="62"/>
      <c r="I12" s="63" t="s">
        <v>1396</v>
      </c>
      <c r="J12" s="69">
        <f>Interim!$II$187</f>
        <v>0.11</v>
      </c>
      <c r="K12" s="70">
        <f>'Profit and Loss'!$AF$115</f>
        <v>0.132221894693919</v>
      </c>
      <c r="P12" s="69">
        <f>'Profit and Loss'!$AH$115</f>
        <v>0.08</v>
      </c>
      <c r="Q12" s="62"/>
      <c r="R12" s="63"/>
      <c r="S12" s="71"/>
      <c r="T12" s="66"/>
      <c r="U12" s="67"/>
      <c r="V12" s="71"/>
      <c r="W12" s="66"/>
      <c r="X12" s="67"/>
      <c r="Y12" s="71"/>
      <c r="Z12" s="66"/>
      <c r="AA12" s="67"/>
      <c r="AB12" s="71"/>
      <c r="AC12" s="72"/>
      <c r="AD12" s="71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16.8" hidden="1" outlineLevel="1" spans="1:41">
      <c r="A13" s="4"/>
      <c r="B13" s="2143" t="s">
        <v>1401</v>
      </c>
      <c r="C13" s="60"/>
      <c r="D13" s="69">
        <f>Interim!$IQ$202</f>
        <v>0.18</v>
      </c>
      <c r="E13" s="62" t="s">
        <v>1396</v>
      </c>
      <c r="F13" s="63" t="s">
        <v>1396</v>
      </c>
      <c r="G13" s="69">
        <f>'Profit and Loss'!$AG$130</f>
        <v>0.150241820768137</v>
      </c>
      <c r="H13" s="62"/>
      <c r="I13" s="63" t="s">
        <v>1396</v>
      </c>
      <c r="J13" s="69">
        <f>Interim!$II$202</f>
        <v>0.15</v>
      </c>
      <c r="K13" s="70">
        <f>'Profit and Loss'!$AF$140</f>
        <v>-0.106384615384615</v>
      </c>
      <c r="P13" s="69">
        <f>'Profit and Loss'!$AH$130</f>
        <v>0.07</v>
      </c>
      <c r="Q13" s="62"/>
      <c r="R13" s="63"/>
      <c r="S13" s="71"/>
      <c r="T13" s="66"/>
      <c r="U13" s="67"/>
      <c r="V13" s="71"/>
      <c r="W13" s="66"/>
      <c r="X13" s="67"/>
      <c r="Y13" s="71"/>
      <c r="Z13" s="66"/>
      <c r="AA13" s="67"/>
      <c r="AB13" s="71"/>
      <c r="AC13" s="72"/>
      <c r="AD13" s="71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16.8" collapsed="1" spans="1:41">
      <c r="A14" s="4"/>
      <c r="B14" s="2144" t="s">
        <v>1402</v>
      </c>
      <c r="C14" s="38"/>
      <c r="D14" s="74">
        <f>Interim!$IQ$397</f>
        <v>0.524988877354293</v>
      </c>
      <c r="E14" s="75">
        <v>0.512</v>
      </c>
      <c r="F14" s="51">
        <f t="shared" si="0"/>
        <v>129.888773542933</v>
      </c>
      <c r="G14" s="74">
        <f>'Profit and Loss'!$AG$335</f>
        <v>0.516</v>
      </c>
      <c r="H14" s="75">
        <v>0.516</v>
      </c>
      <c r="I14" s="52">
        <f t="shared" si="1"/>
        <v>0</v>
      </c>
      <c r="J14" s="74">
        <f>Interim!$II$397</f>
        <v>0.516969086021505</v>
      </c>
      <c r="K14" s="76">
        <f>'Profit and Loss'!$AF$335</f>
        <v>0.516101729071783</v>
      </c>
      <c r="P14" s="74">
        <f>'Profit and Loss'!$AH$335</f>
        <v>0.525</v>
      </c>
      <c r="Q14" s="75"/>
      <c r="R14" s="52"/>
      <c r="S14" s="54"/>
      <c r="T14" s="77"/>
      <c r="U14" s="56"/>
      <c r="V14" s="54"/>
      <c r="W14" s="77"/>
      <c r="X14" s="56"/>
      <c r="Y14" s="54"/>
      <c r="Z14" s="77"/>
      <c r="AA14" s="57"/>
      <c r="AB14" s="54"/>
      <c r="AC14" s="58"/>
      <c r="AD14" s="54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16.8" spans="1:41">
      <c r="A15" s="4"/>
      <c r="B15" s="60" t="s">
        <v>131</v>
      </c>
      <c r="C15" s="60"/>
      <c r="D15" s="78">
        <f>Interim!$IQ$426</f>
        <v>574</v>
      </c>
      <c r="E15" s="79">
        <v>623</v>
      </c>
      <c r="F15" s="80">
        <f>D15/E15-1</f>
        <v>-0.0786516853932584</v>
      </c>
      <c r="G15" s="78">
        <f>'Profit and Loss'!$AG$373</f>
        <v>2525</v>
      </c>
      <c r="H15" s="79">
        <v>2499</v>
      </c>
      <c r="I15" s="81">
        <f>G15/H15-1</f>
        <v>0.0104041616646655</v>
      </c>
      <c r="J15" s="78">
        <f>Interim!$II$426</f>
        <v>546</v>
      </c>
      <c r="K15" s="82">
        <f>'Profit and Loss'!$AF$373</f>
        <v>2056</v>
      </c>
      <c r="P15" s="78">
        <f>'Profit and Loss'!$AH$373</f>
        <v>3020</v>
      </c>
      <c r="Q15" s="79"/>
      <c r="R15" s="81"/>
      <c r="S15" s="83"/>
      <c r="T15" s="84"/>
      <c r="U15" s="85"/>
      <c r="V15" s="83"/>
      <c r="W15" s="84"/>
      <c r="X15" s="56"/>
      <c r="Y15" s="83"/>
      <c r="Z15" s="84"/>
      <c r="AA15" s="86"/>
      <c r="AB15" s="83"/>
      <c r="AC15" s="87"/>
      <c r="AD15" s="83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16.8" spans="1:41">
      <c r="A16" s="4"/>
      <c r="B16" s="38" t="s">
        <v>1403</v>
      </c>
      <c r="C16" s="88"/>
      <c r="D16" s="74">
        <f>Interim!$IQ$428</f>
        <v>0.0851253151416284</v>
      </c>
      <c r="E16" s="89">
        <v>0.095</v>
      </c>
      <c r="F16" s="51">
        <f t="shared" ref="F16" si="2">(D16-E16)*10000</f>
        <v>-98.7468485837163</v>
      </c>
      <c r="G16" s="74">
        <f>'Profit and Loss'!$AG$370</f>
        <v>0.0930603474226423</v>
      </c>
      <c r="H16" s="89">
        <v>0.093</v>
      </c>
      <c r="I16" s="52">
        <f t="shared" ref="I16" si="3">(G16-H16)*10000</f>
        <v>0.603474226422568</v>
      </c>
      <c r="J16" s="74">
        <f>Interim!$II$428</f>
        <v>0.091733870967742</v>
      </c>
      <c r="K16" s="76">
        <f>'Profit and Loss'!$AF$370</f>
        <v>0.0828664705171094</v>
      </c>
      <c r="P16" s="74">
        <f>'Profit and Loss'!$AH$370</f>
        <v>0.103482597795716</v>
      </c>
      <c r="Q16" s="89"/>
      <c r="R16" s="52"/>
      <c r="S16" s="54"/>
      <c r="T16" s="90"/>
      <c r="U16" s="56"/>
      <c r="V16" s="54"/>
      <c r="W16" s="90"/>
      <c r="X16" s="57"/>
      <c r="Y16" s="54"/>
      <c r="Z16" s="90"/>
      <c r="AA16" s="57"/>
      <c r="AB16" s="54"/>
      <c r="AC16" s="58"/>
      <c r="AD16" s="54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17.55" spans="1:41">
      <c r="A17" s="4"/>
      <c r="B17" s="60" t="s">
        <v>1404</v>
      </c>
      <c r="C17" s="91"/>
      <c r="D17" s="78">
        <f>Interim!$IQ$432</f>
        <v>530.000000000001</v>
      </c>
      <c r="E17" s="79">
        <v>574</v>
      </c>
      <c r="F17" s="80">
        <f>D17/E17-1</f>
        <v>-0.0766550522648074</v>
      </c>
      <c r="G17" s="78">
        <f>'Profit and Loss'!$AG$383</f>
        <v>2299</v>
      </c>
      <c r="H17" s="79">
        <v>2277</v>
      </c>
      <c r="I17" s="92">
        <f>G17/H17-1</f>
        <v>0.00966183574879187</v>
      </c>
      <c r="J17" s="78">
        <f>Interim!$II$432</f>
        <v>488</v>
      </c>
      <c r="K17" s="93">
        <f>'Profit and Loss'!$AF$383</f>
        <v>1820</v>
      </c>
      <c r="P17" s="78">
        <f>'Profit and Loss'!$AH$383</f>
        <v>2794</v>
      </c>
      <c r="Q17" s="79"/>
      <c r="R17" s="92"/>
      <c r="S17" s="83"/>
      <c r="T17" s="84"/>
      <c r="U17" s="85"/>
      <c r="V17" s="83"/>
      <c r="W17" s="84"/>
      <c r="X17" s="94"/>
      <c r="Y17" s="83"/>
      <c r="Z17" s="84"/>
      <c r="AA17" s="94"/>
      <c r="AB17" s="83"/>
      <c r="AC17" s="95"/>
      <c r="AD17" s="83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17.55" spans="1:41">
      <c r="A18" s="4"/>
      <c r="B18" s="96" t="s">
        <v>1405</v>
      </c>
      <c r="C18" s="96"/>
      <c r="D18" s="78">
        <f>Interim!$IQ$444</f>
        <v>368</v>
      </c>
      <c r="E18" s="79">
        <v>430</v>
      </c>
      <c r="F18" s="80">
        <f>D18/E18-1</f>
        <v>-0.144186046511627</v>
      </c>
      <c r="G18" s="78">
        <f>'Profit and Loss'!$AG$401</f>
        <v>1654.25</v>
      </c>
      <c r="H18" s="79">
        <v>1708</v>
      </c>
      <c r="I18" s="92">
        <f>G18/H18-1</f>
        <v>-0.0314695550351292</v>
      </c>
      <c r="J18" s="97">
        <f>Interim!$II$444</f>
        <v>363</v>
      </c>
      <c r="K18" s="93">
        <f>'Profit and Loss'!$AF$401</f>
        <v>1332</v>
      </c>
      <c r="P18" s="78">
        <f>'Profit and Loss'!$AH$401</f>
        <v>2025.5</v>
      </c>
      <c r="Q18" s="79"/>
      <c r="R18" s="92"/>
      <c r="S18" s="83"/>
      <c r="T18" s="84"/>
      <c r="U18" s="85"/>
      <c r="V18" s="83"/>
      <c r="W18" s="84"/>
      <c r="X18" s="94"/>
      <c r="Y18" s="83"/>
      <c r="Z18" s="84"/>
      <c r="AA18" s="94"/>
      <c r="AB18" s="98"/>
      <c r="AC18" s="95"/>
      <c r="AD18" s="9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17.55" spans="1:41">
      <c r="A19" s="4"/>
      <c r="B19" s="4" t="s">
        <v>1406</v>
      </c>
      <c r="C19" s="4"/>
      <c r="D19" s="99">
        <f>Interim!$IQ$453</f>
        <v>2.09871966694232</v>
      </c>
      <c r="E19" s="100">
        <v>2.4</v>
      </c>
      <c r="F19" s="80">
        <f>D19/E19-1</f>
        <v>-0.125533472107368</v>
      </c>
      <c r="G19" s="99">
        <f>'Profit and Loss'!$AG$408</f>
        <v>9.45764410280735</v>
      </c>
      <c r="H19" s="100">
        <v>9.56</v>
      </c>
      <c r="I19" s="92">
        <f>G19/H19-1</f>
        <v>-0.0107066838067622</v>
      </c>
      <c r="J19" s="101">
        <f>Interim!$II$453</f>
        <v>2.03293010752688</v>
      </c>
      <c r="K19" s="102">
        <f>'Profit and Loss'!$AF$408</f>
        <v>7.45971919645607</v>
      </c>
      <c r="P19" s="99">
        <f>'Profit and Loss'!$AH$408</f>
        <v>11.9946367298456</v>
      </c>
      <c r="Q19" s="100"/>
      <c r="R19" s="92"/>
      <c r="S19" s="103"/>
      <c r="T19" s="104"/>
      <c r="U19" s="85"/>
      <c r="V19" s="103"/>
      <c r="W19" s="104"/>
      <c r="X19" s="94"/>
      <c r="Y19" s="103"/>
      <c r="Z19" s="104"/>
      <c r="AA19" s="94"/>
      <c r="AB19" s="105"/>
      <c r="AC19" s="106"/>
      <c r="AD19" s="105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17.55" spans="1:41">
      <c r="A20" s="4"/>
      <c r="B20" s="4" t="s">
        <v>1407</v>
      </c>
      <c r="C20" s="4"/>
      <c r="D20" s="107"/>
      <c r="E20" s="108"/>
      <c r="F20" s="109"/>
      <c r="G20" s="99">
        <f>'Profit and Loss'!$AG$417</f>
        <v>3.55011501167382</v>
      </c>
      <c r="H20" s="108"/>
      <c r="I20" s="92"/>
      <c r="J20" s="101"/>
      <c r="K20" s="102">
        <f>'Profit and Loss'!$AF$417</f>
        <v>2.8</v>
      </c>
      <c r="P20" s="99">
        <f>'Profit and Loss'!$AH$417</f>
        <v>4.50242915984726</v>
      </c>
      <c r="Q20" s="108"/>
      <c r="R20" s="92"/>
      <c r="S20" s="110"/>
      <c r="T20" s="110"/>
      <c r="U20" s="111"/>
      <c r="V20" s="103"/>
      <c r="W20" s="110"/>
      <c r="X20" s="94"/>
      <c r="Y20" s="103"/>
      <c r="Z20" s="110"/>
      <c r="AA20" s="94"/>
      <c r="AB20" s="105"/>
      <c r="AC20" s="106"/>
      <c r="AD20" s="105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16.8" spans="1:41">
      <c r="A21" s="4"/>
      <c r="B21" s="5"/>
      <c r="C21" s="112"/>
      <c r="D21" s="112"/>
      <c r="E21" s="5"/>
      <c r="F21" s="11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6.8" spans="1:41">
      <c r="A22" s="4"/>
      <c r="B22" s="5" t="s">
        <v>1408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 spans="1:41">
      <c r="A23" s="4"/>
      <c r="B23" s="8" t="s">
        <v>1409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 spans="1:41">
      <c r="A24" s="4" t="s">
        <v>1410</v>
      </c>
      <c r="B24" s="11" t="s">
        <v>527</v>
      </c>
      <c r="C24" s="12" t="s">
        <v>1389</v>
      </c>
      <c r="D24" s="13" t="s">
        <v>1411</v>
      </c>
      <c r="E24" s="14"/>
      <c r="F24" s="15" t="s">
        <v>1276</v>
      </c>
      <c r="G24" s="16" t="str">
        <f>G4</f>
        <v>FY26E</v>
      </c>
      <c r="H24" s="17"/>
      <c r="I24" s="18" t="s">
        <v>1276</v>
      </c>
      <c r="J24" s="16" t="str">
        <f>P4</f>
        <v>FY27E</v>
      </c>
      <c r="K24" s="17"/>
      <c r="L24" s="18" t="s">
        <v>1276</v>
      </c>
      <c r="M24" s="19" t="str">
        <f>J4</f>
        <v>2Q25</v>
      </c>
      <c r="N24" s="20" t="str">
        <f>K4</f>
        <v>FY25</v>
      </c>
    </row>
    <row r="25" ht="15.75" customHeight="1" spans="1:41">
      <c r="A25" s="4"/>
      <c r="B25" s="28" t="s">
        <v>1391</v>
      </c>
      <c r="C25" s="29"/>
      <c r="D25" s="13" t="s">
        <v>1270</v>
      </c>
      <c r="E25" s="14" t="s">
        <v>1275</v>
      </c>
      <c r="F25" s="30"/>
      <c r="G25" s="13" t="s">
        <v>1270</v>
      </c>
      <c r="H25" s="14" t="s">
        <v>1275</v>
      </c>
      <c r="I25" s="31"/>
      <c r="J25" s="13" t="s">
        <v>1270</v>
      </c>
      <c r="K25" s="14" t="s">
        <v>1275</v>
      </c>
      <c r="L25" s="31"/>
      <c r="M25" s="32" t="s">
        <v>1392</v>
      </c>
      <c r="N25" s="33" t="s">
        <v>1392</v>
      </c>
    </row>
    <row r="26" ht="15" customHeight="1" spans="1:41">
      <c r="A26" s="10" t="s">
        <v>1412</v>
      </c>
      <c r="B26" s="38" t="s">
        <v>1393</v>
      </c>
      <c r="C26" s="38" t="s">
        <v>141</v>
      </c>
      <c r="D26" s="39">
        <f t="shared" ref="D26:D39" si="4">D6</f>
        <v>6743</v>
      </c>
      <c r="E26" s="40">
        <f>VisibleAlpha.UDF.VAData($A26,D$24,$C26,E$25,"CD",,"")</f>
        <v>6598.75516531251</v>
      </c>
      <c r="F26" s="41">
        <f>D26/E26-1</f>
        <v>0.0218594009133324</v>
      </c>
      <c r="G26" s="39">
        <f t="shared" ref="G26:G40" si="5">G6</f>
        <v>27132.9311563009</v>
      </c>
      <c r="H26" s="40">
        <f>VisibleAlpha.UDF.VAData($A26,G$24,$C26,H$25,"CD",,"")</f>
        <v>26708.4110602737</v>
      </c>
      <c r="I26" s="42">
        <f>G26/H26-1</f>
        <v>0.0158946219252496</v>
      </c>
      <c r="J26" s="39">
        <f t="shared" ref="J26:J40" si="6">P6</f>
        <v>29183.6508198389</v>
      </c>
      <c r="K26" s="40">
        <f>VisibleAlpha.UDF.VAData($A26,J$24,$C26,K$25,"CD",,"")</f>
        <v>28714.0262074333</v>
      </c>
      <c r="L26" s="42">
        <f>J26/K26-1</f>
        <v>0.0163552338154511</v>
      </c>
      <c r="M26" s="39">
        <f t="shared" ref="M26:M39" si="7">J6</f>
        <v>5952</v>
      </c>
      <c r="N26" s="43">
        <f t="shared" ref="N26:N40" si="8">K6</f>
        <v>24811</v>
      </c>
    </row>
    <row r="27" ht="15" customHeight="1" spans="1:41">
      <c r="A27" s="10" t="s">
        <v>1412</v>
      </c>
      <c r="B27" s="38" t="s">
        <v>1394</v>
      </c>
      <c r="C27" s="38" t="s">
        <v>1413</v>
      </c>
      <c r="D27" s="49">
        <f t="shared" si="4"/>
        <v>0.137283266129032</v>
      </c>
      <c r="E27" s="113">
        <f>VisibleAlpha.UDF.VAData($A27,D$24,$C27,E$25,"CD","IMPL","")/100</f>
        <v>0.122972054115741</v>
      </c>
      <c r="F27" s="51">
        <f t="shared" ref="F27:F34" si="9">(D27-E27)*10000</f>
        <v>143.112120132914</v>
      </c>
      <c r="G27" s="49">
        <f t="shared" si="5"/>
        <v>0.105392366289146</v>
      </c>
      <c r="H27" s="113">
        <f>VisibleAlpha.UDF.VAData($A27,G$24,$C27,H$25,"CD","IMPL","")/100</f>
        <v>0.0994747794787363</v>
      </c>
      <c r="I27" s="52">
        <f t="shared" ref="I27:I34" si="10">(G27-H27)*10000</f>
        <v>59.1758681040948</v>
      </c>
      <c r="J27" s="49">
        <f t="shared" si="6"/>
        <v>0.067494679244341</v>
      </c>
      <c r="K27" s="113">
        <f>VisibleAlpha.UDF.VAData($A27,J$24,$C27,K$25,"CD","IMPL","")/100</f>
        <v>0.0744557591382321</v>
      </c>
      <c r="L27" s="52">
        <f t="shared" ref="L27:L34" si="11">(J27-K27)*10000</f>
        <v>-69.6107989389102</v>
      </c>
      <c r="M27" s="49">
        <f t="shared" si="7"/>
        <v>0.12</v>
      </c>
      <c r="N27" s="53">
        <f t="shared" si="8"/>
        <v>0.128168148743108</v>
      </c>
    </row>
    <row r="28" ht="15" customHeight="1" spans="1:41">
      <c r="A28" s="10" t="s">
        <v>1412</v>
      </c>
      <c r="B28" s="2143" t="s">
        <v>1395</v>
      </c>
      <c r="C28" s="60" t="s">
        <v>1414</v>
      </c>
      <c r="D28" s="61">
        <f t="shared" si="4"/>
        <v>0.0555833750625948</v>
      </c>
      <c r="E28" s="62">
        <f>VisibleAlpha.UDF.VAData($A28,D$24,$C28,E$25,"CD","IMPL","")/100</f>
        <v>0.0850207692492668</v>
      </c>
      <c r="F28" s="63">
        <f t="shared" si="9"/>
        <v>-294.37394186672</v>
      </c>
      <c r="G28" s="61">
        <f t="shared" si="5"/>
        <v>0.0544296951819078</v>
      </c>
      <c r="H28" s="62">
        <f>VisibleAlpha.UDF.VAData($A28,G$24,$C28,H$25,"CD","IMPL","")/100</f>
        <v>0.0572537446778433</v>
      </c>
      <c r="I28" s="63">
        <f t="shared" si="10"/>
        <v>-28.2404949593554</v>
      </c>
      <c r="J28" s="61">
        <f t="shared" si="6"/>
        <v>0.05</v>
      </c>
      <c r="K28" s="62">
        <f>VisibleAlpha.UDF.VAData($A28,J$24,$C28,K$25,"CD","IMPL","")/100</f>
        <v>0.0547607984333333</v>
      </c>
      <c r="L28" s="63">
        <f t="shared" si="11"/>
        <v>-47.6079843333334</v>
      </c>
      <c r="M28" s="61">
        <f t="shared" si="7"/>
        <v>0.07</v>
      </c>
      <c r="N28" s="64">
        <f t="shared" si="8"/>
        <v>0.103623620991408</v>
      </c>
    </row>
    <row r="29" ht="15" customHeight="1" spans="1:41">
      <c r="A29" s="10" t="s">
        <v>1412</v>
      </c>
      <c r="B29" s="2143" t="s">
        <v>1397</v>
      </c>
      <c r="C29" s="60" t="s">
        <v>1415</v>
      </c>
      <c r="D29" s="61">
        <f t="shared" si="4"/>
        <v>0.12</v>
      </c>
      <c r="E29" s="62">
        <f>VisibleAlpha.UDF.VAData($A29,D$24,$C29,E$25,"CD","IMPL","")/100</f>
        <v>0.11113143549364</v>
      </c>
      <c r="F29" s="63">
        <f t="shared" ref="F29" si="12">(D29-E29)*10000</f>
        <v>88.6856450635975</v>
      </c>
      <c r="G29" s="61">
        <f t="shared" si="5"/>
        <v>0.0829173789173789</v>
      </c>
      <c r="H29" s="62">
        <f>VisibleAlpha.UDF.VAData($A29,G$24,$C29,H$25,"CD","IMPL","")/100</f>
        <v>0.0963954008946886</v>
      </c>
      <c r="I29" s="63">
        <f t="shared" ref="I29" si="13">(G29-H29)*10000</f>
        <v>-134.780219773097</v>
      </c>
      <c r="J29" s="61">
        <f t="shared" si="6"/>
        <v>0.08</v>
      </c>
      <c r="K29" s="62">
        <f>VisibleAlpha.UDF.VAData($A29,J$24,$C29,K$25,"CD","IMPL","")/100</f>
        <v>0.08409709</v>
      </c>
      <c r="L29" s="63">
        <f t="shared" ref="L29" si="14">(J29-K29)*10000</f>
        <v>-40.9709</v>
      </c>
      <c r="M29" s="61">
        <f t="shared" si="7"/>
        <v>0.07</v>
      </c>
      <c r="N29" s="64">
        <f t="shared" si="8"/>
        <v>0.103623620991408</v>
      </c>
    </row>
    <row r="30" ht="15" customHeight="1" spans="1:41">
      <c r="A30" s="10" t="s">
        <v>1412</v>
      </c>
      <c r="B30" s="2143" t="s">
        <v>1398</v>
      </c>
      <c r="C30" s="60" t="s">
        <v>1416</v>
      </c>
      <c r="D30" s="69">
        <f t="shared" si="4"/>
        <v>0.17</v>
      </c>
      <c r="E30" s="62">
        <f>VisibleAlpha.UDF.VAData($A30,D$24,$C30,E$25,"CD","IMPL","")/100</f>
        <v>0.134653419396138</v>
      </c>
      <c r="F30" s="63">
        <f t="shared" si="9"/>
        <v>353.465806038621</v>
      </c>
      <c r="G30" s="69">
        <f t="shared" si="5"/>
        <v>0.115614310988795</v>
      </c>
      <c r="H30" s="62">
        <f>VisibleAlpha.UDF.VAData($A30,G$24,$C30,H$25,"CD","IMPL","")/100</f>
        <v>0.107832554878679</v>
      </c>
      <c r="I30" s="63">
        <f t="shared" si="10"/>
        <v>77.8175611011597</v>
      </c>
      <c r="J30" s="69">
        <f t="shared" si="6"/>
        <v>0.07</v>
      </c>
      <c r="K30" s="62">
        <f>VisibleAlpha.UDF.VAData($A30,J$24,$C30,K$25,"CD","IMPL","")/100</f>
        <v>0.0741789544666667</v>
      </c>
      <c r="L30" s="63">
        <f t="shared" si="11"/>
        <v>-41.7895446666666</v>
      </c>
      <c r="M30" s="69">
        <f t="shared" si="7"/>
        <v>0.15</v>
      </c>
      <c r="N30" s="70">
        <f t="shared" si="8"/>
        <v>0.0943084933540924</v>
      </c>
    </row>
    <row r="31" ht="15" customHeight="1" spans="1:41">
      <c r="A31" s="10" t="s">
        <v>1412</v>
      </c>
      <c r="B31" s="2143" t="s">
        <v>1399</v>
      </c>
      <c r="C31" s="60" t="s">
        <v>1417</v>
      </c>
      <c r="D31" s="69">
        <f t="shared" si="4"/>
        <v>0.28</v>
      </c>
      <c r="E31" s="62">
        <f>VisibleAlpha.UDF.VAData($A31,D$24,$C31,E$25,"CD","IMPL","")/100</f>
        <v>0.231026533644661</v>
      </c>
      <c r="F31" s="63">
        <f t="shared" si="9"/>
        <v>489.734663553386</v>
      </c>
      <c r="G31" s="69">
        <f t="shared" si="5"/>
        <v>0.186165413533835</v>
      </c>
      <c r="H31" s="62">
        <f>VisibleAlpha.UDF.VAData($A31,G$24,$C31,H$25,"CD","IMPL","")/100</f>
        <v>0.174121233278</v>
      </c>
      <c r="I31" s="63">
        <f t="shared" si="10"/>
        <v>120.441802558345</v>
      </c>
      <c r="J31" s="69">
        <f t="shared" si="6"/>
        <v>0.08</v>
      </c>
      <c r="K31" s="62">
        <f>VisibleAlpha.UDF.VAData($A31,J$24,$C31,K$25,"CD","IMPL","")/100</f>
        <v>0.0992857142857143</v>
      </c>
      <c r="L31" s="63">
        <f t="shared" si="11"/>
        <v>-192.857142857143</v>
      </c>
      <c r="M31" s="69">
        <f t="shared" si="7"/>
        <v>0.23</v>
      </c>
      <c r="N31" s="70">
        <f t="shared" si="8"/>
        <v>0.21770919553204</v>
      </c>
    </row>
    <row r="32" ht="15" customHeight="1" spans="1:41">
      <c r="A32" s="10" t="s">
        <v>1412</v>
      </c>
      <c r="B32" s="2143" t="s">
        <v>1400</v>
      </c>
      <c r="C32" s="60" t="s">
        <v>1418</v>
      </c>
      <c r="D32" s="69">
        <f t="shared" si="4"/>
        <v>0.15</v>
      </c>
      <c r="E32" s="62">
        <f>VisibleAlpha.UDF.VAData($A32,D$24,$C32,E$25,"CD","IMPL","")/100</f>
        <v>0.16106015037594</v>
      </c>
      <c r="F32" s="63">
        <f t="shared" si="9"/>
        <v>-110.601503759399</v>
      </c>
      <c r="G32" s="69">
        <f t="shared" si="5"/>
        <v>0.126220320265047</v>
      </c>
      <c r="H32" s="62">
        <f>VisibleAlpha.UDF.VAData($A32,G$24,$C32,H$25,"CD","IMPL","")/100</f>
        <v>0.129778961493984</v>
      </c>
      <c r="I32" s="63">
        <f t="shared" si="10"/>
        <v>-35.5864122893684</v>
      </c>
      <c r="J32" s="69">
        <f t="shared" si="6"/>
        <v>0.08</v>
      </c>
      <c r="K32" s="62">
        <f>VisibleAlpha.UDF.VAData($A32,J$24,$C32,K$25,"CD","IMPL","")/100</f>
        <v>0.0924355352857143</v>
      </c>
      <c r="L32" s="63">
        <f t="shared" si="11"/>
        <v>-124.355352857143</v>
      </c>
      <c r="M32" s="69">
        <f t="shared" si="7"/>
        <v>0.11</v>
      </c>
      <c r="N32" s="70">
        <f t="shared" si="8"/>
        <v>0.132221894693919</v>
      </c>
    </row>
    <row r="33" ht="15" customHeight="1" spans="1:17">
      <c r="A33" s="10" t="s">
        <v>1412</v>
      </c>
      <c r="B33" s="2143" t="s">
        <v>1401</v>
      </c>
      <c r="C33" s="60" t="s">
        <v>1419</v>
      </c>
      <c r="D33" s="69">
        <f t="shared" si="4"/>
        <v>0.18</v>
      </c>
      <c r="E33" s="62">
        <f>VisibleAlpha.UDF.VAData($A33,D$24,$C33,E$25,"CD","IMPL","")/100</f>
        <v>0.171076923076923</v>
      </c>
      <c r="F33" s="63">
        <f t="shared" si="9"/>
        <v>89.2307692307692</v>
      </c>
      <c r="G33" s="69">
        <f t="shared" si="5"/>
        <v>0.150241820768137</v>
      </c>
      <c r="H33" s="62">
        <f>VisibleAlpha.UDF.VAData($A33,G$24,$C33,H$25,"CD","IMPL","")/100</f>
        <v>0.146931853281853</v>
      </c>
      <c r="I33" s="63">
        <f t="shared" si="10"/>
        <v>33.0996748628321</v>
      </c>
      <c r="J33" s="69">
        <f t="shared" si="6"/>
        <v>0.07</v>
      </c>
      <c r="K33" s="62">
        <f>VisibleAlpha.UDF.VAData($A33,J$24,$C33,K$25,"CD","IMPL","")/100</f>
        <v>0.0742456681785714</v>
      </c>
      <c r="L33" s="63">
        <f t="shared" si="11"/>
        <v>-42.4566817857143</v>
      </c>
      <c r="M33" s="69">
        <f t="shared" si="7"/>
        <v>0.15</v>
      </c>
      <c r="N33" s="70">
        <f t="shared" si="8"/>
        <v>-0.106384615384615</v>
      </c>
    </row>
    <row r="34" ht="15" customHeight="1" spans="1:17">
      <c r="A34" s="10" t="s">
        <v>1412</v>
      </c>
      <c r="B34" s="2144" t="s">
        <v>1402</v>
      </c>
      <c r="C34" s="38" t="s">
        <v>1420</v>
      </c>
      <c r="D34" s="74">
        <f t="shared" si="4"/>
        <v>0.524988877354293</v>
      </c>
      <c r="E34" s="75">
        <f>VisibleAlpha.UDF.VAData($A34,D$24,$C34,E$25,"CD",,"")/E26</f>
        <v>0.513219596035368</v>
      </c>
      <c r="F34" s="51">
        <f t="shared" si="9"/>
        <v>117.692813189249</v>
      </c>
      <c r="G34" s="74">
        <f t="shared" si="5"/>
        <v>0.516</v>
      </c>
      <c r="H34" s="75">
        <f>VisibleAlpha.UDF.VAData($A34,G$24,$C34,H$25,"CD",,"")/H26</f>
        <v>0.515385710537673</v>
      </c>
      <c r="I34" s="52">
        <f t="shared" si="10"/>
        <v>6.14289462327333</v>
      </c>
      <c r="J34" s="74">
        <f t="shared" si="6"/>
        <v>0.525</v>
      </c>
      <c r="K34" s="75">
        <f>VisibleAlpha.UDF.VAData($A34,J$24,$C34,K$25,"CD",,"")/K26</f>
        <v>0.519346199310696</v>
      </c>
      <c r="L34" s="52">
        <f t="shared" si="11"/>
        <v>56.5380068930432</v>
      </c>
      <c r="M34" s="74">
        <f t="shared" si="7"/>
        <v>0.516969086021505</v>
      </c>
      <c r="N34" s="76">
        <f t="shared" si="8"/>
        <v>0.516101729071783</v>
      </c>
    </row>
    <row r="35" ht="15" customHeight="1" spans="1:17">
      <c r="A35" s="4" t="s">
        <v>1412</v>
      </c>
      <c r="B35" s="60" t="s">
        <v>131</v>
      </c>
      <c r="C35" s="60" t="s">
        <v>1421</v>
      </c>
      <c r="D35" s="78">
        <f t="shared" si="4"/>
        <v>574</v>
      </c>
      <c r="E35" s="79">
        <f>VisibleAlpha.UDF.VAData($A35,D$24,$C35,E$25,"CD",,"")</f>
        <v>637.28987586042</v>
      </c>
      <c r="F35" s="80">
        <f>D35/E35-1</f>
        <v>-0.0993109701844399</v>
      </c>
      <c r="G35" s="78">
        <f t="shared" si="5"/>
        <v>2525</v>
      </c>
      <c r="H35" s="79">
        <f>VisibleAlpha.UDF.VAData($A35,G$24,$C35,H$25,"CD",,"")</f>
        <v>2475.90823862734</v>
      </c>
      <c r="I35" s="81">
        <f>G35/H35-1</f>
        <v>0.0198277789971226</v>
      </c>
      <c r="J35" s="78">
        <f t="shared" si="6"/>
        <v>3020</v>
      </c>
      <c r="K35" s="79">
        <f>VisibleAlpha.UDF.VAData($A35,J$24,$C35,K$25,"CD")</f>
        <v>2932.38809005941</v>
      </c>
      <c r="L35" s="81">
        <f>J35/K35-1</f>
        <v>0.0298773243001469</v>
      </c>
      <c r="M35" s="78">
        <f t="shared" si="7"/>
        <v>546</v>
      </c>
      <c r="N35" s="82">
        <f t="shared" si="8"/>
        <v>2056</v>
      </c>
    </row>
    <row r="36" ht="15" customHeight="1" spans="1:17">
      <c r="A36" s="10" t="s">
        <v>1412</v>
      </c>
      <c r="B36" s="38" t="s">
        <v>1403</v>
      </c>
      <c r="C36" s="88"/>
      <c r="D36" s="74">
        <f t="shared" si="4"/>
        <v>0.0851253151416284</v>
      </c>
      <c r="E36" s="89">
        <f>E35/E26</f>
        <v>0.0965772876694143</v>
      </c>
      <c r="F36" s="51">
        <f t="shared" ref="F36" si="15">(D36-E36)*10000</f>
        <v>-114.519725277859</v>
      </c>
      <c r="G36" s="74">
        <f t="shared" si="5"/>
        <v>0.0930603474226423</v>
      </c>
      <c r="H36" s="89">
        <f>H35/H26</f>
        <v>0.0927014427417595</v>
      </c>
      <c r="I36" s="52">
        <f t="shared" ref="I36" si="16">(G36-H36)*10000</f>
        <v>3.58904680882746</v>
      </c>
      <c r="J36" s="74">
        <f t="shared" si="6"/>
        <v>0.103482597795716</v>
      </c>
      <c r="K36" s="89">
        <f>K35/K26</f>
        <v>0.102123891260512</v>
      </c>
      <c r="L36" s="52">
        <f t="shared" ref="L36" si="17">(J36-K36)*10000</f>
        <v>13.5870653520404</v>
      </c>
      <c r="M36" s="74">
        <f t="shared" si="7"/>
        <v>0.091733870967742</v>
      </c>
      <c r="N36" s="76">
        <f t="shared" si="8"/>
        <v>0.0828664705171094</v>
      </c>
    </row>
    <row r="37" ht="15.75" customHeight="1" spans="1:17">
      <c r="A37" s="4" t="s">
        <v>1412</v>
      </c>
      <c r="B37" s="60" t="s">
        <v>1404</v>
      </c>
      <c r="C37" s="91" t="s">
        <v>1422</v>
      </c>
      <c r="D37" s="78">
        <f t="shared" si="4"/>
        <v>530.000000000001</v>
      </c>
      <c r="E37" s="79">
        <f>VisibleAlpha.UDF.VAData($A37,D$24,$C37,E$25,"CD",,"")</f>
        <v>574.273300365324</v>
      </c>
      <c r="F37" s="80">
        <f>D37/E37-1</f>
        <v>-0.0770944780771788</v>
      </c>
      <c r="G37" s="78">
        <f t="shared" si="5"/>
        <v>2299</v>
      </c>
      <c r="H37" s="79">
        <f>VisibleAlpha.UDF.VAData($A37,G$24,$C37,H$25,"CD",,"")</f>
        <v>2268.51770430639</v>
      </c>
      <c r="I37" s="92">
        <f>G37/H37-1</f>
        <v>0.0134370984346919</v>
      </c>
      <c r="J37" s="78">
        <f t="shared" si="6"/>
        <v>2794</v>
      </c>
      <c r="K37" s="79">
        <f>VisibleAlpha.UDF.VAData($A37,J$24,$C37,K$25,"CD",,"")</f>
        <v>2723.10856053794</v>
      </c>
      <c r="L37" s="92">
        <f>J37/K37-1</f>
        <v>0.0260332770016536</v>
      </c>
      <c r="M37" s="78">
        <f t="shared" si="7"/>
        <v>488</v>
      </c>
      <c r="N37" s="93">
        <f t="shared" si="8"/>
        <v>1820</v>
      </c>
    </row>
    <row r="38" ht="15.75" customHeight="1" spans="1:17">
      <c r="A38" s="4" t="s">
        <v>1412</v>
      </c>
      <c r="B38" s="96" t="s">
        <v>1405</v>
      </c>
      <c r="C38" s="96" t="s">
        <v>1423</v>
      </c>
      <c r="D38" s="78">
        <f t="shared" si="4"/>
        <v>368</v>
      </c>
      <c r="E38" s="79">
        <f>VisibleAlpha.UDF.VAData($A38,D$24,$C38,E$25,"CD",,"")</f>
        <v>430.104006124489</v>
      </c>
      <c r="F38" s="80">
        <f>D38/E38-1</f>
        <v>-0.144392996205929</v>
      </c>
      <c r="G38" s="78">
        <f t="shared" si="5"/>
        <v>1654.25</v>
      </c>
      <c r="H38" s="79">
        <f>VisibleAlpha.UDF.VAData($A38,G$24,$C38,H$25,"CD",,"")</f>
        <v>1708.14541468429</v>
      </c>
      <c r="I38" s="92">
        <f>G38/H38-1</f>
        <v>-0.0315520061822421</v>
      </c>
      <c r="J38" s="78">
        <f t="shared" si="6"/>
        <v>2025.5</v>
      </c>
      <c r="K38" s="79">
        <f>VisibleAlpha.UDF.VAData($A38,J$24,$C38,K$25,"CD",,"")</f>
        <v>2056.66793336288</v>
      </c>
      <c r="L38" s="92">
        <f>J38/K38-1</f>
        <v>-0.0151545773905856</v>
      </c>
      <c r="M38" s="97">
        <f t="shared" si="7"/>
        <v>363</v>
      </c>
      <c r="N38" s="93">
        <f t="shared" si="8"/>
        <v>1332</v>
      </c>
    </row>
    <row r="39" ht="15.75" customHeight="1" spans="1:17">
      <c r="A39" s="4" t="s">
        <v>1412</v>
      </c>
      <c r="B39" s="114" t="s">
        <v>1424</v>
      </c>
      <c r="C39" s="114" t="s">
        <v>1425</v>
      </c>
      <c r="D39" s="115">
        <f t="shared" si="4"/>
        <v>2.09871966694232</v>
      </c>
      <c r="E39" s="100">
        <f>VisibleAlpha.UDF.VAData($A39,D$24,$C39,E$25,"CD",,"")</f>
        <v>2.36570948801896</v>
      </c>
      <c r="F39" s="80">
        <f>D39/E39-1</f>
        <v>-0.112858245033383</v>
      </c>
      <c r="G39" s="99">
        <f t="shared" si="5"/>
        <v>9.45764410280735</v>
      </c>
      <c r="H39" s="100">
        <f>VisibleAlpha.UDF.VAData($A39,G$24,$C39,H$25,"CD",,"")</f>
        <v>9.51791309920578</v>
      </c>
      <c r="I39" s="92">
        <f>G39/H39-1</f>
        <v>-0.00633216502086509</v>
      </c>
      <c r="J39" s="99">
        <f t="shared" si="6"/>
        <v>11.9946367298456</v>
      </c>
      <c r="K39" s="100">
        <f>VisibleAlpha.UDF.VAData($A39,J$24,$C39,K$25,"CD",,"")</f>
        <v>11.7497784745908</v>
      </c>
      <c r="L39" s="92">
        <f>J39/K39-1</f>
        <v>0.0208393933370199</v>
      </c>
      <c r="M39" s="101">
        <f t="shared" si="7"/>
        <v>2.03293010752688</v>
      </c>
      <c r="N39" s="102">
        <f t="shared" si="8"/>
        <v>7.45971919645607</v>
      </c>
    </row>
    <row r="40" ht="17.55" spans="1:17">
      <c r="A40" s="4" t="s">
        <v>1412</v>
      </c>
      <c r="B40" s="4" t="s">
        <v>1424</v>
      </c>
      <c r="C40" s="4" t="s">
        <v>1426</v>
      </c>
      <c r="D40" s="107"/>
      <c r="E40" s="100"/>
      <c r="F40" s="109"/>
      <c r="G40" s="99">
        <f t="shared" si="5"/>
        <v>3.55011501167382</v>
      </c>
      <c r="H40" s="100">
        <f>VisibleAlpha.UDF.VAData($A40,G$24,$C40,H$25,"CD",,"")</f>
        <v>3.78800904513016</v>
      </c>
      <c r="I40" s="92">
        <f>G40/H40-1</f>
        <v>-0.0628018652073101</v>
      </c>
      <c r="J40" s="99">
        <f t="shared" si="6"/>
        <v>4.50242915984726</v>
      </c>
      <c r="K40" s="100">
        <f>VisibleAlpha.UDF.VAData($A40,J$24,$C40,K$25,"CD",,"")</f>
        <v>4.60190101758777</v>
      </c>
      <c r="L40" s="92">
        <f>J40/K40-1</f>
        <v>-0.021615384025068</v>
      </c>
      <c r="M40" s="116"/>
      <c r="N40" s="116">
        <f t="shared" si="8"/>
        <v>2.8</v>
      </c>
      <c r="O40" s="4"/>
      <c r="P40" s="4"/>
      <c r="Q40" s="4"/>
    </row>
    <row r="41" ht="16.8" spans="1:17">
      <c r="A41" s="4"/>
      <c r="B41" s="4"/>
      <c r="C41" s="117"/>
      <c r="D41" s="4"/>
      <c r="E41" s="11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7.55" spans="1:17">
      <c r="A42" s="4"/>
      <c r="B42" s="5" t="s">
        <v>1427</v>
      </c>
      <c r="C42" s="119"/>
      <c r="D42" s="120"/>
      <c r="E42" s="119"/>
      <c r="F42" s="119"/>
      <c r="G42" s="119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7.55" spans="1:17">
      <c r="A43" s="4"/>
      <c r="B43" s="11" t="s">
        <v>527</v>
      </c>
      <c r="C43" s="119"/>
      <c r="D43" s="121" t="s">
        <v>1428</v>
      </c>
      <c r="E43" s="13" t="str">
        <f>D4</f>
        <v>2Q26</v>
      </c>
      <c r="F43" s="122"/>
      <c r="G43" s="14"/>
      <c r="H43" s="4"/>
      <c r="I43" s="4"/>
      <c r="J43" s="4"/>
      <c r="K43" s="4"/>
      <c r="L43" s="4"/>
      <c r="M43" s="4"/>
      <c r="N43" s="4"/>
    </row>
    <row r="44" ht="17.55" spans="1:17">
      <c r="A44" s="4"/>
      <c r="B44" s="28" t="s">
        <v>1391</v>
      </c>
      <c r="C44" s="119"/>
      <c r="D44" s="123"/>
      <c r="E44" s="124" t="s">
        <v>1269</v>
      </c>
      <c r="F44" s="125" t="s">
        <v>1429</v>
      </c>
      <c r="G44" s="126" t="s">
        <v>1275</v>
      </c>
      <c r="H44" s="4"/>
      <c r="I44" s="4"/>
      <c r="J44" s="127">
        <f>6630/6438-1</f>
        <v>0.0298229263746506</v>
      </c>
      <c r="K44" s="4"/>
      <c r="L44" s="4"/>
      <c r="M44" s="4"/>
      <c r="N44" s="4"/>
    </row>
    <row r="45" ht="16.8" spans="1:17">
      <c r="A45" s="4"/>
      <c r="B45" s="38" t="s">
        <v>1393</v>
      </c>
      <c r="C45" s="10"/>
      <c r="D45" s="128" t="str">
        <f t="shared" ref="D45:D51" si="18">IF(E45&gt;G45,"Beat","Miss")</f>
        <v>Miss</v>
      </c>
      <c r="E45" s="39"/>
      <c r="F45" s="129">
        <f>D6</f>
        <v>6743</v>
      </c>
      <c r="G45" s="129">
        <f t="shared" ref="G45:G58" si="19">E26</f>
        <v>6598.75516531251</v>
      </c>
      <c r="H45" s="4"/>
      <c r="I45" s="4"/>
      <c r="J45" s="4"/>
      <c r="K45" s="4"/>
      <c r="L45" s="4"/>
      <c r="M45" s="4"/>
      <c r="N45" s="4"/>
    </row>
    <row r="46" ht="16.8" spans="1:17">
      <c r="A46" s="4"/>
      <c r="B46" s="38" t="s">
        <v>1394</v>
      </c>
      <c r="C46" s="119"/>
      <c r="D46" s="128" t="str">
        <f t="shared" si="18"/>
        <v>Miss</v>
      </c>
      <c r="E46" s="49"/>
      <c r="F46" s="130">
        <f t="shared" ref="F46:F58" si="20">D7</f>
        <v>0.137283266129032</v>
      </c>
      <c r="G46" s="130">
        <f t="shared" si="19"/>
        <v>0.122972054115741</v>
      </c>
      <c r="H46" s="4"/>
      <c r="I46" s="4"/>
      <c r="J46" s="4"/>
      <c r="K46" s="4"/>
      <c r="L46" s="4"/>
      <c r="M46" s="4"/>
      <c r="N46" s="4"/>
    </row>
    <row r="47" ht="16.8" hidden="1" outlineLevel="1" spans="1:17">
      <c r="A47" s="4"/>
      <c r="B47" s="2143" t="s">
        <v>1395</v>
      </c>
      <c r="C47" s="10"/>
      <c r="D47" s="128" t="str">
        <f t="shared" si="18"/>
        <v>Miss</v>
      </c>
      <c r="E47" s="61"/>
      <c r="F47" s="131">
        <f t="shared" si="20"/>
        <v>0.0555833750625948</v>
      </c>
      <c r="G47" s="131">
        <f t="shared" si="19"/>
        <v>0.0850207692492668</v>
      </c>
      <c r="H47" s="4"/>
      <c r="I47" s="4"/>
      <c r="J47" s="4"/>
      <c r="K47" s="4"/>
      <c r="L47" s="4"/>
      <c r="M47" s="4"/>
      <c r="N47" s="4"/>
    </row>
    <row r="48" ht="16.8" hidden="1" outlineLevel="1" spans="1:17">
      <c r="A48" s="4"/>
      <c r="B48" s="2143" t="s">
        <v>1397</v>
      </c>
      <c r="C48" s="10"/>
      <c r="D48" s="128" t="str">
        <f t="shared" si="18"/>
        <v>Miss</v>
      </c>
      <c r="E48" s="61"/>
      <c r="F48" s="131">
        <f t="shared" si="20"/>
        <v>0.12</v>
      </c>
      <c r="G48" s="131">
        <f t="shared" si="19"/>
        <v>0.11113143549364</v>
      </c>
      <c r="H48" s="4"/>
      <c r="I48" s="4"/>
      <c r="J48" s="4"/>
      <c r="K48" s="4"/>
      <c r="L48" s="4"/>
      <c r="M48" s="4"/>
      <c r="N48" s="4"/>
    </row>
    <row r="49" ht="16.8" hidden="1" outlineLevel="1" spans="1:14">
      <c r="A49" s="4"/>
      <c r="B49" s="2143" t="s">
        <v>1398</v>
      </c>
      <c r="C49" s="119"/>
      <c r="D49" s="128" t="str">
        <f t="shared" si="18"/>
        <v>Miss</v>
      </c>
      <c r="E49" s="69"/>
      <c r="F49" s="132">
        <f t="shared" si="20"/>
        <v>0.17</v>
      </c>
      <c r="G49" s="132">
        <f t="shared" si="19"/>
        <v>0.134653419396138</v>
      </c>
      <c r="H49" s="4"/>
      <c r="I49" s="4"/>
      <c r="J49" s="4"/>
      <c r="K49" s="4"/>
      <c r="L49" s="4"/>
      <c r="M49" s="4"/>
      <c r="N49" s="4"/>
    </row>
    <row r="50" ht="16.8" hidden="1" outlineLevel="1" spans="1:14">
      <c r="A50" s="4"/>
      <c r="B50" s="2143" t="s">
        <v>1399</v>
      </c>
      <c r="C50" s="10"/>
      <c r="D50" s="128" t="str">
        <f t="shared" si="18"/>
        <v>Miss</v>
      </c>
      <c r="E50" s="69"/>
      <c r="F50" s="132">
        <f t="shared" si="20"/>
        <v>0.28</v>
      </c>
      <c r="G50" s="132">
        <f t="shared" si="19"/>
        <v>0.231026533644661</v>
      </c>
      <c r="H50" s="4"/>
      <c r="I50" s="4"/>
      <c r="J50" s="4"/>
      <c r="K50" s="4"/>
      <c r="L50" s="4"/>
      <c r="M50" s="4"/>
      <c r="N50" s="4"/>
    </row>
    <row r="51" ht="16.8" hidden="1" outlineLevel="1" spans="1:14">
      <c r="A51" s="4"/>
      <c r="B51" s="2143" t="s">
        <v>1400</v>
      </c>
      <c r="C51" s="10"/>
      <c r="D51" s="128" t="str">
        <f t="shared" si="18"/>
        <v>Miss</v>
      </c>
      <c r="E51" s="69"/>
      <c r="F51" s="132">
        <f t="shared" si="20"/>
        <v>0.15</v>
      </c>
      <c r="G51" s="132">
        <f t="shared" si="19"/>
        <v>0.16106015037594</v>
      </c>
      <c r="H51" s="4"/>
      <c r="I51" s="4"/>
      <c r="J51" s="4"/>
      <c r="K51" s="4"/>
      <c r="L51" s="4"/>
      <c r="M51" s="4"/>
      <c r="N51" s="4"/>
    </row>
    <row r="52" ht="16.8" hidden="1" collapsed="1" spans="1:14">
      <c r="B52" s="2143" t="s">
        <v>1401</v>
      </c>
      <c r="C52" s="10"/>
      <c r="D52" s="128" t="str">
        <f t="shared" ref="D52" si="21">IF(E52&gt;G52,"Beat","Miss")</f>
        <v>Miss</v>
      </c>
      <c r="E52" s="69"/>
      <c r="F52" s="132">
        <f t="shared" si="20"/>
        <v>0.18</v>
      </c>
      <c r="G52" s="132">
        <f t="shared" si="19"/>
        <v>0.171076923076923</v>
      </c>
    </row>
    <row r="53" ht="16.8" spans="1:14">
      <c r="A53" s="4"/>
      <c r="B53" s="2144" t="s">
        <v>1402</v>
      </c>
      <c r="C53" s="10"/>
      <c r="D53" s="128" t="str">
        <f t="shared" ref="D53:D58" si="22">IF(E53&gt;G53,"Beat","Miss")</f>
        <v>Miss</v>
      </c>
      <c r="E53" s="74"/>
      <c r="F53" s="130">
        <f t="shared" si="20"/>
        <v>0.524988877354293</v>
      </c>
      <c r="G53" s="130">
        <f t="shared" si="19"/>
        <v>0.513219596035368</v>
      </c>
      <c r="H53" s="4"/>
      <c r="I53" s="4"/>
      <c r="J53" s="4"/>
      <c r="K53" s="4"/>
      <c r="L53" s="4"/>
      <c r="M53" s="4"/>
      <c r="N53" s="4"/>
    </row>
    <row r="54" ht="16.8" spans="1:14">
      <c r="A54" s="4"/>
      <c r="B54" s="60" t="s">
        <v>131</v>
      </c>
      <c r="C54" s="10"/>
      <c r="D54" s="128" t="str">
        <f t="shared" si="22"/>
        <v>Miss</v>
      </c>
      <c r="E54" s="97"/>
      <c r="F54" s="133">
        <f t="shared" si="20"/>
        <v>574</v>
      </c>
      <c r="G54" s="133">
        <f t="shared" si="19"/>
        <v>637.28987586042</v>
      </c>
      <c r="H54" s="4"/>
      <c r="I54" s="4"/>
      <c r="J54" s="4"/>
      <c r="K54" s="4"/>
      <c r="L54" s="4"/>
      <c r="M54" s="4"/>
      <c r="N54" s="4"/>
    </row>
    <row r="55" ht="16.8" spans="1:14">
      <c r="B55" s="38" t="s">
        <v>1430</v>
      </c>
      <c r="D55" s="128" t="str">
        <f t="shared" si="22"/>
        <v>Miss</v>
      </c>
      <c r="E55" s="74"/>
      <c r="F55" s="130">
        <f t="shared" si="20"/>
        <v>0.0851253151416284</v>
      </c>
      <c r="G55" s="130">
        <f t="shared" si="19"/>
        <v>0.0965772876694143</v>
      </c>
    </row>
    <row r="56" ht="16.8" outlineLevel="1" spans="1:14">
      <c r="B56" s="60" t="s">
        <v>1404</v>
      </c>
      <c r="D56" s="128" t="str">
        <f t="shared" si="22"/>
        <v>Miss</v>
      </c>
      <c r="E56" s="97"/>
      <c r="F56" s="133">
        <f t="shared" si="20"/>
        <v>530.000000000001</v>
      </c>
      <c r="G56" s="133">
        <f t="shared" si="19"/>
        <v>574.273300365324</v>
      </c>
    </row>
    <row r="57" ht="17.55" outlineLevel="1" spans="1:14">
      <c r="B57" s="96" t="s">
        <v>1405</v>
      </c>
      <c r="D57" s="128" t="str">
        <f t="shared" si="22"/>
        <v>Miss</v>
      </c>
      <c r="E57" s="97"/>
      <c r="F57" s="133">
        <f t="shared" si="20"/>
        <v>368</v>
      </c>
      <c r="G57" s="133">
        <f t="shared" si="19"/>
        <v>430.104006124489</v>
      </c>
    </row>
    <row r="58" ht="17.55" outlineLevel="1" spans="1:14">
      <c r="B58" s="4" t="s">
        <v>1424</v>
      </c>
      <c r="D58" s="134" t="str">
        <f t="shared" si="22"/>
        <v>Miss</v>
      </c>
      <c r="E58" s="97"/>
      <c r="F58" s="135">
        <f t="shared" si="20"/>
        <v>2.09871966694232</v>
      </c>
      <c r="G58" s="135">
        <f t="shared" si="19"/>
        <v>2.36570948801896</v>
      </c>
    </row>
    <row r="59" ht="16.8" spans="1:14">
      <c r="E59" s="136"/>
    </row>
  </sheetData>
  <mergeCells count="20">
    <mergeCell ref="D4:E4"/>
    <mergeCell ref="G4:H4"/>
    <mergeCell ref="P4:Q4"/>
    <mergeCell ref="S4:T4"/>
    <mergeCell ref="V4:W4"/>
    <mergeCell ref="Y4:Z4"/>
    <mergeCell ref="D24:E24"/>
    <mergeCell ref="G24:H24"/>
    <mergeCell ref="J24:K24"/>
    <mergeCell ref="E43:G43"/>
    <mergeCell ref="D43:D44"/>
    <mergeCell ref="F4:F5"/>
    <mergeCell ref="F24:F25"/>
    <mergeCell ref="I4:I5"/>
    <mergeCell ref="I24:I25"/>
    <mergeCell ref="L24:L25"/>
    <mergeCell ref="R4:R5"/>
    <mergeCell ref="U4:U5"/>
    <mergeCell ref="X4:X5"/>
    <mergeCell ref="AA4:AA5"/>
  </mergeCells>
  <printOptions horizontalCentered="1" verticalCentered="1"/>
  <pageMargins left="0.7" right="0.7" top="0.75" bottom="0.75" header="0.3" footer="0.3"/>
  <pageSetup paperSize="1" scale="24" orientation="portrait"/>
  <headerFooter/>
  <customProperties>
    <customPr name="Qube.Worksheet.Visibility" r:id="rId1"/>
  </customProperties>
  <ignoredErrors>
    <ignoredError sqref="F16:I16 F15:J15" formula="1"/>
    <ignoredError sqref="F35:L35 E36:L36" formula="1" unlockedFormula="1"/>
    <ignoredError sqref="D35:E35 D36 D37:L39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330"/>
  <sheetViews>
    <sheetView showGridLines="0" workbookViewId="0">
      <selection activeCell="A1" sqref="A1"/>
    </sheetView>
  </sheetViews>
  <sheetFormatPr defaultColWidth="9" defaultRowHeight="15.2"/>
  <sheetData>
    <row r="1" spans="1:52">
      <c r="A1">
        <v>1373288</v>
      </c>
      <c r="F1">
        <v>1999</v>
      </c>
      <c r="G1">
        <v>2000</v>
      </c>
      <c r="H1">
        <v>2001</v>
      </c>
      <c r="I1">
        <v>2002</v>
      </c>
      <c r="J1">
        <v>2003</v>
      </c>
      <c r="K1">
        <v>2004</v>
      </c>
      <c r="L1">
        <v>2005</v>
      </c>
      <c r="M1" t="s">
        <v>1431</v>
      </c>
      <c r="N1" t="s">
        <v>1432</v>
      </c>
      <c r="O1" t="s">
        <v>1433</v>
      </c>
      <c r="P1" t="s">
        <v>1434</v>
      </c>
      <c r="Q1">
        <v>2006</v>
      </c>
      <c r="R1" t="s">
        <v>1435</v>
      </c>
      <c r="S1" t="s">
        <v>1436</v>
      </c>
      <c r="T1" t="s">
        <v>1437</v>
      </c>
      <c r="U1" t="s">
        <v>1438</v>
      </c>
      <c r="V1">
        <v>2007</v>
      </c>
      <c r="W1" t="s">
        <v>1439</v>
      </c>
      <c r="X1" t="s">
        <v>1440</v>
      </c>
      <c r="Y1" t="s">
        <v>1441</v>
      </c>
      <c r="Z1" t="s">
        <v>1442</v>
      </c>
      <c r="AA1">
        <v>2008</v>
      </c>
      <c r="AB1" t="s">
        <v>1443</v>
      </c>
      <c r="AC1" t="s">
        <v>1444</v>
      </c>
      <c r="AD1" t="s">
        <v>1445</v>
      </c>
      <c r="AE1" t="s">
        <v>1446</v>
      </c>
      <c r="AF1">
        <v>2009</v>
      </c>
      <c r="AG1" t="s">
        <v>1447</v>
      </c>
      <c r="AH1" t="s">
        <v>1448</v>
      </c>
      <c r="AI1" t="s">
        <v>1449</v>
      </c>
      <c r="AJ1" t="s">
        <v>1450</v>
      </c>
      <c r="AK1">
        <v>2010</v>
      </c>
      <c r="AL1" t="s">
        <v>1451</v>
      </c>
      <c r="AM1" t="s">
        <v>1452</v>
      </c>
      <c r="AN1" t="s">
        <v>1453</v>
      </c>
      <c r="AO1" t="s">
        <v>1454</v>
      </c>
      <c r="AP1">
        <v>2011</v>
      </c>
      <c r="AQ1" t="s">
        <v>1455</v>
      </c>
      <c r="AR1" t="s">
        <v>1456</v>
      </c>
      <c r="AS1" t="s">
        <v>1457</v>
      </c>
      <c r="AT1" t="s">
        <v>1458</v>
      </c>
      <c r="AU1">
        <v>2012</v>
      </c>
      <c r="AV1">
        <v>2013</v>
      </c>
      <c r="AW1">
        <v>2014</v>
      </c>
      <c r="AX1">
        <v>2015</v>
      </c>
      <c r="AY1">
        <v>2016</v>
      </c>
      <c r="AZ1">
        <v>2017</v>
      </c>
    </row>
    <row r="2" ht="17.6" spans="1:52">
      <c r="A2" s="1" t="s">
        <v>1459</v>
      </c>
    </row>
    <row r="4" spans="1:52">
      <c r="B4" t="s">
        <v>1460</v>
      </c>
      <c r="D4" t="s">
        <v>1461</v>
      </c>
      <c r="F4" s="2">
        <v>36525</v>
      </c>
      <c r="G4" s="2">
        <v>36891</v>
      </c>
      <c r="H4" s="2">
        <v>37256</v>
      </c>
      <c r="I4" s="2">
        <v>37621</v>
      </c>
      <c r="J4" s="2">
        <v>37986</v>
      </c>
      <c r="K4" s="2">
        <v>38352</v>
      </c>
      <c r="L4" s="2">
        <v>38717</v>
      </c>
      <c r="M4" s="2">
        <v>38807</v>
      </c>
      <c r="N4" s="2">
        <v>38898</v>
      </c>
      <c r="O4" s="2">
        <v>38990</v>
      </c>
      <c r="P4" s="2">
        <v>39082</v>
      </c>
      <c r="Q4" s="2">
        <v>39082</v>
      </c>
      <c r="R4" s="2">
        <v>39172</v>
      </c>
      <c r="S4" s="2">
        <v>39263</v>
      </c>
      <c r="T4" s="2">
        <v>39355</v>
      </c>
      <c r="U4" s="2">
        <v>39447</v>
      </c>
      <c r="V4" s="2">
        <v>39447</v>
      </c>
      <c r="W4" s="2">
        <v>39538</v>
      </c>
      <c r="X4" s="2">
        <v>39629</v>
      </c>
      <c r="Y4" s="2">
        <v>39721</v>
      </c>
      <c r="Z4" s="2">
        <v>39813</v>
      </c>
      <c r="AA4" s="2">
        <v>39813</v>
      </c>
      <c r="AB4" s="2">
        <v>39903</v>
      </c>
      <c r="AC4" s="2">
        <v>39994</v>
      </c>
      <c r="AD4" s="2">
        <v>40086</v>
      </c>
      <c r="AE4" s="2">
        <v>40178</v>
      </c>
      <c r="AF4" s="2">
        <v>40178</v>
      </c>
      <c r="AG4" s="2">
        <v>40268</v>
      </c>
      <c r="AH4" s="2">
        <v>40359</v>
      </c>
      <c r="AI4" s="2">
        <v>40451</v>
      </c>
      <c r="AJ4" s="2">
        <v>40543</v>
      </c>
      <c r="AK4" s="2">
        <v>40543</v>
      </c>
      <c r="AL4" s="2">
        <v>40633</v>
      </c>
      <c r="AM4" s="2">
        <v>40724</v>
      </c>
      <c r="AN4" s="2">
        <v>40816</v>
      </c>
      <c r="AO4" s="2">
        <v>40908</v>
      </c>
      <c r="AP4" s="2">
        <v>40908</v>
      </c>
      <c r="AQ4" s="2">
        <v>40999</v>
      </c>
      <c r="AR4" s="2">
        <v>41090</v>
      </c>
      <c r="AS4" s="2">
        <v>41182</v>
      </c>
      <c r="AT4" s="2">
        <v>41274</v>
      </c>
      <c r="AU4" s="2">
        <v>41274</v>
      </c>
      <c r="AV4" s="2">
        <v>41639</v>
      </c>
      <c r="AW4" s="2">
        <v>42004</v>
      </c>
      <c r="AX4" s="2">
        <v>42369</v>
      </c>
      <c r="AY4" s="2">
        <v>42735</v>
      </c>
      <c r="AZ4" s="2">
        <v>43100</v>
      </c>
    </row>
    <row r="5" spans="1:52">
      <c r="B5" t="s">
        <v>1462</v>
      </c>
      <c r="D5" t="s">
        <v>1461</v>
      </c>
      <c r="E5" t="s">
        <v>1463</v>
      </c>
    </row>
    <row r="6" spans="1:52">
      <c r="B6" t="s">
        <v>1464</v>
      </c>
      <c r="D6" t="s">
        <v>1461</v>
      </c>
    </row>
    <row r="7" spans="1:52">
      <c r="B7" t="s">
        <v>1465</v>
      </c>
      <c r="D7" t="s">
        <v>1461</v>
      </c>
    </row>
    <row r="8" spans="1:52">
      <c r="B8" t="s">
        <v>1466</v>
      </c>
      <c r="D8" t="s">
        <v>1461</v>
      </c>
      <c r="E8">
        <v>110.8</v>
      </c>
    </row>
    <row r="9" spans="1:52">
      <c r="B9" t="s">
        <v>1467</v>
      </c>
      <c r="D9" t="s">
        <v>1461</v>
      </c>
      <c r="E9" t="s">
        <v>1468</v>
      </c>
    </row>
    <row r="10" spans="1:52">
      <c r="B10" t="s">
        <v>1469</v>
      </c>
      <c r="D10" t="s">
        <v>1461</v>
      </c>
      <c r="E10">
        <v>209.2</v>
      </c>
    </row>
    <row r="11" spans="1:52">
      <c r="B11" t="s">
        <v>1470</v>
      </c>
      <c r="D11" t="s">
        <v>1461</v>
      </c>
      <c r="E11">
        <v>1</v>
      </c>
    </row>
    <row r="12" spans="1:52">
      <c r="B12" t="s">
        <v>1471</v>
      </c>
      <c r="C12" t="s">
        <v>1472</v>
      </c>
      <c r="D12" t="s">
        <v>1461</v>
      </c>
      <c r="E12">
        <v>0</v>
      </c>
    </row>
    <row r="13" spans="1:52">
      <c r="B13" t="s">
        <v>1473</v>
      </c>
      <c r="C13" t="s">
        <v>1472</v>
      </c>
      <c r="D13" t="s">
        <v>1461</v>
      </c>
      <c r="E13">
        <v>0</v>
      </c>
    </row>
    <row r="14" spans="1:52">
      <c r="B14" t="s">
        <v>1474</v>
      </c>
      <c r="C14" t="s">
        <v>1472</v>
      </c>
      <c r="D14" t="s">
        <v>1461</v>
      </c>
      <c r="E14">
        <v>0</v>
      </c>
    </row>
    <row r="15" spans="1:52">
      <c r="B15" t="s">
        <v>1475</v>
      </c>
      <c r="C15" t="s">
        <v>1472</v>
      </c>
      <c r="D15" t="s">
        <v>1461</v>
      </c>
      <c r="E15">
        <v>0</v>
      </c>
    </row>
    <row r="16" spans="1:52">
      <c r="B16" t="s">
        <v>1476</v>
      </c>
      <c r="C16" t="s">
        <v>1472</v>
      </c>
      <c r="D16" t="s">
        <v>1461</v>
      </c>
      <c r="E16">
        <v>0</v>
      </c>
    </row>
    <row r="17" spans="2:52">
      <c r="B17" t="s">
        <v>1477</v>
      </c>
      <c r="C17" t="s">
        <v>1472</v>
      </c>
      <c r="D17" t="s">
        <v>1461</v>
      </c>
      <c r="E17">
        <v>0</v>
      </c>
    </row>
    <row r="18" spans="2:52">
      <c r="B18" t="s">
        <v>1478</v>
      </c>
      <c r="C18" t="s">
        <v>1472</v>
      </c>
      <c r="D18" t="s">
        <v>1461</v>
      </c>
      <c r="E18">
        <v>0</v>
      </c>
    </row>
    <row r="19" spans="2:52">
      <c r="B19" t="s">
        <v>1479</v>
      </c>
      <c r="C19" t="s">
        <v>1472</v>
      </c>
      <c r="D19" t="s">
        <v>1461</v>
      </c>
      <c r="E19">
        <v>0</v>
      </c>
    </row>
    <row r="20" spans="2:52">
      <c r="B20" t="s">
        <v>1480</v>
      </c>
      <c r="D20" t="s">
        <v>1461</v>
      </c>
      <c r="F20">
        <v>3.757894736842</v>
      </c>
      <c r="G20">
        <v>4.478021978022</v>
      </c>
      <c r="H20">
        <v>5.609639182692</v>
      </c>
      <c r="I20">
        <v>5.949835545852</v>
      </c>
      <c r="J20">
        <v>7.456845</v>
      </c>
      <c r="K20">
        <v>8.06366606879</v>
      </c>
      <c r="L20">
        <v>13.520582245431</v>
      </c>
      <c r="Q20">
        <v>13.87652173913</v>
      </c>
      <c r="V20">
        <v>14.10001814882</v>
      </c>
      <c r="AA20">
        <v>16.191619937695</v>
      </c>
      <c r="AF20">
        <v>18.022538926964</v>
      </c>
      <c r="AK20">
        <v>21.332001530704</v>
      </c>
      <c r="AP20">
        <v>24.553549599647</v>
      </c>
      <c r="AU20">
        <v>25.351766999519</v>
      </c>
      <c r="AV20">
        <v>28.942855245809</v>
      </c>
      <c r="AW20">
        <v>31.817134636218</v>
      </c>
      <c r="AX20">
        <v>35.471394443028</v>
      </c>
      <c r="AY20">
        <v>40.044967892017</v>
      </c>
      <c r="AZ20">
        <v>45.636546056964</v>
      </c>
    </row>
    <row r="21" spans="2:52">
      <c r="B21" t="s">
        <v>1481</v>
      </c>
      <c r="D21" t="s">
        <v>1461</v>
      </c>
      <c r="F21">
        <v>0.230646315789</v>
      </c>
      <c r="G21">
        <v>0.229236263736</v>
      </c>
      <c r="H21">
        <v>0.230668990385</v>
      </c>
      <c r="I21">
        <v>0.249925676856</v>
      </c>
      <c r="J21">
        <v>0.2724645</v>
      </c>
      <c r="K21">
        <v>0.329044585987</v>
      </c>
      <c r="L21">
        <v>0.35274151436</v>
      </c>
      <c r="Q21">
        <v>0.400621118012</v>
      </c>
      <c r="V21">
        <v>0.486914700544</v>
      </c>
      <c r="AA21">
        <v>0.491043613707</v>
      </c>
      <c r="AF21">
        <v>0.494897959184</v>
      </c>
      <c r="AK21">
        <v>0.348921378387</v>
      </c>
      <c r="AP21">
        <v>0.798217399872</v>
      </c>
      <c r="AU21">
        <v>0.998966686067</v>
      </c>
      <c r="AV21">
        <v>1.35</v>
      </c>
      <c r="AW21">
        <v>1.87975772868</v>
      </c>
      <c r="AX21">
        <v>2.416027014633</v>
      </c>
      <c r="AY21">
        <v>3.026831057478</v>
      </c>
      <c r="AZ21">
        <v>3.762844317029</v>
      </c>
    </row>
    <row r="22" spans="2:52">
      <c r="B22" t="s">
        <v>1482</v>
      </c>
      <c r="D22" t="s">
        <v>1461</v>
      </c>
      <c r="F22">
        <v>586.0848</v>
      </c>
      <c r="G22">
        <v>557</v>
      </c>
      <c r="H22">
        <v>575.5</v>
      </c>
      <c r="I22">
        <v>619</v>
      </c>
      <c r="J22">
        <v>630</v>
      </c>
      <c r="K22">
        <v>714.65</v>
      </c>
      <c r="L22">
        <v>818.526</v>
      </c>
      <c r="Q22">
        <v>1074</v>
      </c>
      <c r="V22">
        <v>1164</v>
      </c>
      <c r="AA22">
        <v>1304</v>
      </c>
      <c r="AF22">
        <v>807</v>
      </c>
      <c r="AG22">
        <v>325</v>
      </c>
      <c r="AH22">
        <v>260</v>
      </c>
      <c r="AI22">
        <v>476</v>
      </c>
      <c r="AJ22">
        <v>93</v>
      </c>
      <c r="AK22">
        <v>1154</v>
      </c>
      <c r="AL22">
        <v>375.25</v>
      </c>
      <c r="AM22">
        <v>281.25</v>
      </c>
      <c r="AN22">
        <v>503.25</v>
      </c>
      <c r="AO22">
        <v>42.25</v>
      </c>
      <c r="AP22">
        <v>1202</v>
      </c>
      <c r="AQ22">
        <v>474.75</v>
      </c>
      <c r="AR22">
        <v>338.75</v>
      </c>
      <c r="AS22">
        <v>587.75</v>
      </c>
      <c r="AT22">
        <v>91.75</v>
      </c>
      <c r="AU22">
        <v>1183</v>
      </c>
      <c r="AV22">
        <v>1789.22132070761</v>
      </c>
      <c r="AW22">
        <v>2127.19951298753</v>
      </c>
      <c r="AX22">
        <v>2483.65764502173</v>
      </c>
      <c r="AY22">
        <v>2880.14085842785</v>
      </c>
      <c r="AZ22">
        <v>3319.74085425591</v>
      </c>
    </row>
    <row r="23" spans="2:52">
      <c r="B23" t="s">
        <v>1483</v>
      </c>
      <c r="D23" t="s">
        <v>1461</v>
      </c>
      <c r="F23">
        <v>1.26</v>
      </c>
      <c r="G23">
        <v>1</v>
      </c>
      <c r="H23">
        <v>1.15</v>
      </c>
      <c r="I23">
        <v>1.26</v>
      </c>
      <c r="J23">
        <v>1.43</v>
      </c>
      <c r="K23">
        <v>1.72</v>
      </c>
      <c r="L23">
        <v>2.05</v>
      </c>
      <c r="Q23">
        <v>2.37</v>
      </c>
      <c r="V23">
        <v>2.71</v>
      </c>
      <c r="AA23">
        <v>3.25</v>
      </c>
      <c r="AF23">
        <v>1.25</v>
      </c>
      <c r="AG23">
        <v>0.802997144781</v>
      </c>
      <c r="AH23">
        <v>0.602247858586</v>
      </c>
      <c r="AI23">
        <v>1.271279595485</v>
      </c>
      <c r="AJ23">
        <v>0.033737267879</v>
      </c>
      <c r="AK23">
        <v>2.710115363636</v>
      </c>
      <c r="AL23">
        <v>0.998966686067</v>
      </c>
      <c r="AM23">
        <v>0.66916227231</v>
      </c>
      <c r="AN23">
        <v>1.448262707552</v>
      </c>
      <c r="AO23">
        <v>-0.186410051467</v>
      </c>
      <c r="AP23">
        <v>2.929983629469</v>
      </c>
      <c r="AQ23">
        <v>1.38134627882</v>
      </c>
      <c r="AR23">
        <v>0.788657910053</v>
      </c>
      <c r="AS23">
        <v>1.644232248838</v>
      </c>
      <c r="AT23">
        <v>-1.309650105179</v>
      </c>
      <c r="AU23">
        <v>2.51414582235</v>
      </c>
      <c r="AV23">
        <v>4.941088246291</v>
      </c>
      <c r="AW23">
        <v>6.105180014172</v>
      </c>
      <c r="AX23">
        <v>7.363944128718</v>
      </c>
      <c r="AY23">
        <v>8.820976617607</v>
      </c>
      <c r="AZ23">
        <v>10.483523124136</v>
      </c>
    </row>
    <row r="24" spans="2:52">
      <c r="B24" t="s">
        <v>1484</v>
      </c>
      <c r="D24" t="s">
        <v>1461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2:52">
      <c r="B25" t="s">
        <v>1485</v>
      </c>
      <c r="D25" t="s">
        <v>1461</v>
      </c>
      <c r="F25">
        <v>1592</v>
      </c>
      <c r="G25">
        <v>1791.716</v>
      </c>
      <c r="H25">
        <v>1681.038</v>
      </c>
      <c r="I25">
        <v>1506.545</v>
      </c>
      <c r="J25">
        <v>1035.882</v>
      </c>
      <c r="K25">
        <v>664.839</v>
      </c>
      <c r="L25">
        <v>-550.885</v>
      </c>
      <c r="Q25">
        <v>2267</v>
      </c>
      <c r="V25">
        <v>1851</v>
      </c>
      <c r="AA25">
        <v>2329</v>
      </c>
      <c r="AF25">
        <v>992</v>
      </c>
      <c r="AK25">
        <v>471</v>
      </c>
      <c r="AP25">
        <v>374</v>
      </c>
      <c r="AU25">
        <v>-183</v>
      </c>
      <c r="AV25">
        <v>-502.043518530113</v>
      </c>
      <c r="AW25">
        <v>-416.284156207671</v>
      </c>
      <c r="AX25">
        <v>-421.236793625375</v>
      </c>
      <c r="AY25">
        <v>-525.775912195009</v>
      </c>
      <c r="AZ25">
        <v>-734.452693475617</v>
      </c>
    </row>
    <row r="26" spans="2:52">
      <c r="B26" t="s">
        <v>1486</v>
      </c>
      <c r="D26" t="s">
        <v>1461</v>
      </c>
      <c r="F26">
        <v>227</v>
      </c>
      <c r="G26">
        <v>178</v>
      </c>
      <c r="H26">
        <v>205</v>
      </c>
      <c r="I26">
        <v>228</v>
      </c>
      <c r="J26">
        <v>263</v>
      </c>
      <c r="K26">
        <v>325</v>
      </c>
      <c r="L26">
        <v>426</v>
      </c>
      <c r="M26">
        <v>144</v>
      </c>
      <c r="N26">
        <v>82.4</v>
      </c>
      <c r="O26">
        <v>243.6</v>
      </c>
      <c r="P26">
        <v>13</v>
      </c>
      <c r="Q26">
        <v>483</v>
      </c>
      <c r="R26">
        <v>128</v>
      </c>
      <c r="S26">
        <v>104.3</v>
      </c>
      <c r="T26">
        <v>297.4</v>
      </c>
      <c r="U26">
        <v>21</v>
      </c>
      <c r="V26">
        <v>550</v>
      </c>
      <c r="W26">
        <v>169</v>
      </c>
      <c r="X26">
        <v>178</v>
      </c>
      <c r="Y26">
        <v>302</v>
      </c>
      <c r="Z26">
        <v>54</v>
      </c>
      <c r="AA26">
        <v>642</v>
      </c>
      <c r="AB26">
        <v>4.864</v>
      </c>
      <c r="AC26">
        <v>9</v>
      </c>
      <c r="AD26">
        <v>213</v>
      </c>
      <c r="AE26">
        <v>20</v>
      </c>
      <c r="AF26">
        <v>245</v>
      </c>
      <c r="AG26">
        <v>168</v>
      </c>
      <c r="AH26">
        <v>126</v>
      </c>
      <c r="AI26">
        <v>266</v>
      </c>
      <c r="AJ26">
        <v>7</v>
      </c>
      <c r="AK26">
        <v>567</v>
      </c>
      <c r="AL26">
        <v>209</v>
      </c>
      <c r="AM26">
        <v>140</v>
      </c>
      <c r="AN26">
        <v>303</v>
      </c>
      <c r="AO26">
        <v>-39</v>
      </c>
      <c r="AP26">
        <v>613</v>
      </c>
      <c r="AQ26">
        <v>289</v>
      </c>
      <c r="AR26">
        <v>165</v>
      </c>
      <c r="AS26">
        <v>344</v>
      </c>
      <c r="AT26">
        <v>-274</v>
      </c>
      <c r="AU26">
        <v>526</v>
      </c>
      <c r="AV26">
        <v>1033.75563757834</v>
      </c>
      <c r="AW26">
        <v>1252.25733079262</v>
      </c>
      <c r="AX26">
        <v>1480.83074252938</v>
      </c>
      <c r="AY26">
        <v>1739.04746734943</v>
      </c>
      <c r="AZ26">
        <v>2026.2911662514</v>
      </c>
    </row>
    <row r="27" spans="2:52">
      <c r="B27" t="s">
        <v>1487</v>
      </c>
      <c r="D27" t="s">
        <v>1461</v>
      </c>
      <c r="F27">
        <v>377.9152</v>
      </c>
      <c r="G27">
        <v>317</v>
      </c>
      <c r="H27">
        <v>374.5</v>
      </c>
      <c r="I27">
        <v>335</v>
      </c>
      <c r="J27">
        <v>350</v>
      </c>
      <c r="K27">
        <v>584</v>
      </c>
      <c r="L27">
        <v>707.39</v>
      </c>
      <c r="M27">
        <v>248</v>
      </c>
      <c r="N27">
        <v>172.7</v>
      </c>
      <c r="O27">
        <v>410</v>
      </c>
      <c r="P27">
        <v>52</v>
      </c>
      <c r="Q27">
        <v>881</v>
      </c>
      <c r="R27">
        <v>229</v>
      </c>
      <c r="S27">
        <v>188</v>
      </c>
      <c r="T27">
        <v>472</v>
      </c>
      <c r="U27">
        <v>60</v>
      </c>
      <c r="V27">
        <v>949</v>
      </c>
      <c r="W27">
        <v>282</v>
      </c>
      <c r="X27">
        <v>115</v>
      </c>
      <c r="Y27">
        <v>473</v>
      </c>
      <c r="Z27">
        <v>107</v>
      </c>
      <c r="AA27">
        <v>1070</v>
      </c>
      <c r="AB27">
        <v>58</v>
      </c>
      <c r="AC27">
        <v>72</v>
      </c>
      <c r="AD27">
        <v>336</v>
      </c>
      <c r="AE27">
        <v>42</v>
      </c>
      <c r="AF27">
        <v>508</v>
      </c>
      <c r="AG27">
        <v>260</v>
      </c>
      <c r="AH27">
        <v>195</v>
      </c>
      <c r="AI27">
        <v>411</v>
      </c>
      <c r="AJ27">
        <v>28</v>
      </c>
      <c r="AK27">
        <v>894</v>
      </c>
      <c r="AL27">
        <v>313</v>
      </c>
      <c r="AM27">
        <v>219</v>
      </c>
      <c r="AN27">
        <v>441</v>
      </c>
      <c r="AO27">
        <v>-20</v>
      </c>
      <c r="AP27">
        <v>953</v>
      </c>
      <c r="AQ27">
        <v>409</v>
      </c>
      <c r="AR27">
        <v>273</v>
      </c>
      <c r="AS27">
        <v>522</v>
      </c>
      <c r="AT27">
        <v>26</v>
      </c>
      <c r="AU27">
        <v>920</v>
      </c>
      <c r="AV27">
        <v>1501.06068090805</v>
      </c>
      <c r="AW27">
        <v>1805.92524174791</v>
      </c>
      <c r="AX27">
        <v>2126.45040000987</v>
      </c>
      <c r="AY27">
        <v>2483.43011741987</v>
      </c>
      <c r="AZ27">
        <v>2879.64817953173</v>
      </c>
    </row>
    <row r="28" spans="2:52">
      <c r="B28" t="s">
        <v>1488</v>
      </c>
      <c r="D28" t="s">
        <v>1461</v>
      </c>
      <c r="F28">
        <v>398</v>
      </c>
      <c r="G28">
        <v>343</v>
      </c>
      <c r="H28">
        <v>373</v>
      </c>
      <c r="I28">
        <v>390</v>
      </c>
      <c r="J28">
        <v>441</v>
      </c>
      <c r="K28">
        <v>525</v>
      </c>
      <c r="L28">
        <v>655</v>
      </c>
      <c r="Q28">
        <v>723</v>
      </c>
      <c r="V28">
        <v>814</v>
      </c>
      <c r="AA28">
        <v>904</v>
      </c>
      <c r="AF28">
        <v>358</v>
      </c>
      <c r="AK28">
        <v>806</v>
      </c>
      <c r="AP28">
        <v>869</v>
      </c>
      <c r="AU28">
        <v>851</v>
      </c>
      <c r="AV28">
        <v>1443.04894248232</v>
      </c>
      <c r="AW28">
        <v>1748.65293032534</v>
      </c>
      <c r="AX28">
        <v>2068.34357031107</v>
      </c>
      <c r="AY28">
        <v>2429.49436814669</v>
      </c>
      <c r="AZ28">
        <v>2831.24329089365</v>
      </c>
    </row>
    <row r="29" spans="2:52">
      <c r="B29" t="s">
        <v>1489</v>
      </c>
      <c r="D29" t="s">
        <v>1461</v>
      </c>
      <c r="F29">
        <v>5354</v>
      </c>
      <c r="G29">
        <v>5835</v>
      </c>
      <c r="H29">
        <v>6112</v>
      </c>
      <c r="I29">
        <v>6523</v>
      </c>
      <c r="J29">
        <v>6267</v>
      </c>
      <c r="K29">
        <v>5860</v>
      </c>
      <c r="L29">
        <v>6636</v>
      </c>
      <c r="M29">
        <v>2459</v>
      </c>
      <c r="N29">
        <v>2428</v>
      </c>
      <c r="O29">
        <v>2949</v>
      </c>
      <c r="P29">
        <v>2248</v>
      </c>
      <c r="Q29">
        <v>10084</v>
      </c>
      <c r="R29">
        <v>2538</v>
      </c>
      <c r="S29">
        <v>2400</v>
      </c>
      <c r="T29">
        <v>2941</v>
      </c>
      <c r="U29">
        <v>2419</v>
      </c>
      <c r="V29">
        <v>10299</v>
      </c>
      <c r="W29">
        <v>2613</v>
      </c>
      <c r="X29">
        <v>2514</v>
      </c>
      <c r="Y29">
        <v>3079</v>
      </c>
      <c r="Z29">
        <v>2576</v>
      </c>
      <c r="AA29">
        <v>10799</v>
      </c>
      <c r="AB29">
        <v>2577</v>
      </c>
      <c r="AC29">
        <v>2457</v>
      </c>
      <c r="AD29">
        <v>2888</v>
      </c>
      <c r="AE29">
        <v>2458</v>
      </c>
      <c r="AF29">
        <v>10381</v>
      </c>
      <c r="AG29">
        <v>2674</v>
      </c>
      <c r="AH29">
        <v>2917</v>
      </c>
      <c r="AI29">
        <v>3468</v>
      </c>
      <c r="AJ29">
        <v>2932</v>
      </c>
      <c r="AK29">
        <v>11990</v>
      </c>
      <c r="AL29">
        <v>3273</v>
      </c>
      <c r="AM29">
        <v>3064</v>
      </c>
      <c r="AN29">
        <v>3744</v>
      </c>
      <c r="AO29">
        <v>3241</v>
      </c>
      <c r="AP29">
        <v>13323</v>
      </c>
      <c r="AQ29">
        <v>3824</v>
      </c>
      <c r="AR29">
        <v>3517</v>
      </c>
      <c r="AS29">
        <v>4173</v>
      </c>
      <c r="AT29">
        <v>3369</v>
      </c>
      <c r="AU29">
        <v>14883</v>
      </c>
      <c r="AV29">
        <v>15858.1238535395</v>
      </c>
      <c r="AW29">
        <v>17206.9719229288</v>
      </c>
      <c r="AX29">
        <v>18632.5234163609</v>
      </c>
      <c r="AY29">
        <v>20167.1162581101</v>
      </c>
      <c r="AZ29">
        <v>21817.9068741455</v>
      </c>
    </row>
    <row r="30" spans="2:52">
      <c r="B30" t="s">
        <v>1490</v>
      </c>
      <c r="D30" t="s">
        <v>1461</v>
      </c>
      <c r="F30">
        <v>743</v>
      </c>
      <c r="G30">
        <v>905</v>
      </c>
      <c r="H30">
        <v>1072.77</v>
      </c>
      <c r="I30">
        <v>1136.872</v>
      </c>
      <c r="J30">
        <v>1412.369</v>
      </c>
      <c r="K30">
        <v>1563.69504</v>
      </c>
      <c r="L30">
        <v>2711.576</v>
      </c>
      <c r="Q30">
        <v>2836</v>
      </c>
      <c r="V30">
        <v>3034</v>
      </c>
      <c r="AA30">
        <v>3400</v>
      </c>
      <c r="AF30">
        <v>3776</v>
      </c>
      <c r="AK30">
        <v>4461</v>
      </c>
      <c r="AP30">
        <v>5128</v>
      </c>
      <c r="AU30">
        <v>5291</v>
      </c>
      <c r="AV30">
        <v>6040.31378647834</v>
      </c>
      <c r="AW30">
        <v>6509.13682160591</v>
      </c>
      <c r="AX30">
        <v>7114.01601064189</v>
      </c>
      <c r="AY30">
        <v>7873.82877141922</v>
      </c>
      <c r="AZ30">
        <v>8797.7875385477</v>
      </c>
    </row>
    <row r="31" spans="2:52">
      <c r="B31" t="s">
        <v>1491</v>
      </c>
      <c r="D31" t="s">
        <v>1461</v>
      </c>
      <c r="F31">
        <v>5354</v>
      </c>
      <c r="G31">
        <v>5835</v>
      </c>
      <c r="H31">
        <v>6112</v>
      </c>
      <c r="I31">
        <v>6523</v>
      </c>
      <c r="J31">
        <v>6267</v>
      </c>
      <c r="K31">
        <v>5860</v>
      </c>
      <c r="L31">
        <v>6636</v>
      </c>
      <c r="Q31">
        <v>10084</v>
      </c>
      <c r="V31">
        <v>10299</v>
      </c>
      <c r="AA31">
        <v>10799</v>
      </c>
      <c r="AF31">
        <v>10381</v>
      </c>
      <c r="AK31">
        <v>11990</v>
      </c>
      <c r="AP31">
        <v>13323</v>
      </c>
      <c r="AU31">
        <v>14883</v>
      </c>
      <c r="AV31">
        <v>15858.1238535395</v>
      </c>
      <c r="AW31">
        <v>17206.9719229288</v>
      </c>
      <c r="AX31">
        <v>18632.5234163609</v>
      </c>
      <c r="AY31">
        <v>20167.1162581101</v>
      </c>
      <c r="AZ31">
        <v>21817.9068741455</v>
      </c>
    </row>
    <row r="32" spans="2:52">
      <c r="B32" t="s">
        <v>1492</v>
      </c>
      <c r="D32" t="s">
        <v>1461</v>
      </c>
      <c r="F32">
        <v>-3002</v>
      </c>
      <c r="G32">
        <v>-3307</v>
      </c>
      <c r="H32">
        <v>-3511</v>
      </c>
      <c r="I32">
        <v>-3704</v>
      </c>
      <c r="J32">
        <v>-3453</v>
      </c>
      <c r="K32">
        <v>-3047</v>
      </c>
      <c r="L32">
        <v>-3439</v>
      </c>
      <c r="Q32">
        <v>-5589</v>
      </c>
      <c r="V32">
        <v>-5417</v>
      </c>
      <c r="AA32">
        <v>-5543</v>
      </c>
      <c r="AF32">
        <v>-5669</v>
      </c>
      <c r="AK32">
        <v>-6260</v>
      </c>
      <c r="AP32">
        <v>-6994</v>
      </c>
      <c r="AU32">
        <v>-7780</v>
      </c>
      <c r="AV32">
        <v>-8128.53360753148</v>
      </c>
      <c r="AW32">
        <v>-8694.35656737062</v>
      </c>
      <c r="AX32">
        <v>-9290.33291520044</v>
      </c>
      <c r="AY32">
        <v>-9924.06842211233</v>
      </c>
      <c r="AZ32">
        <v>-10598.0178813462</v>
      </c>
    </row>
    <row r="33" spans="2:52">
      <c r="B33" t="s">
        <v>1493</v>
      </c>
      <c r="D33" t="s">
        <v>1461</v>
      </c>
      <c r="F33">
        <v>-1904.8495</v>
      </c>
      <c r="G33">
        <v>-2134</v>
      </c>
      <c r="H33">
        <v>-2158</v>
      </c>
      <c r="I33">
        <v>-2388.5</v>
      </c>
      <c r="J33">
        <v>-2367</v>
      </c>
      <c r="K33">
        <v>-2140.808</v>
      </c>
      <c r="L33">
        <v>-2425.291</v>
      </c>
      <c r="M33">
        <v>0</v>
      </c>
      <c r="N33">
        <v>0</v>
      </c>
      <c r="O33">
        <v>0</v>
      </c>
      <c r="P33">
        <v>0</v>
      </c>
      <c r="Q33">
        <v>-3511</v>
      </c>
      <c r="R33">
        <v>0</v>
      </c>
      <c r="S33">
        <v>0</v>
      </c>
      <c r="T33">
        <v>0</v>
      </c>
      <c r="U33">
        <v>0</v>
      </c>
      <c r="V33">
        <v>-3820</v>
      </c>
      <c r="W33">
        <v>0</v>
      </c>
      <c r="X33">
        <v>0</v>
      </c>
      <c r="Y33">
        <v>0</v>
      </c>
      <c r="Z33">
        <v>0</v>
      </c>
      <c r="AA33">
        <v>-4041</v>
      </c>
      <c r="AB33">
        <v>0</v>
      </c>
      <c r="AC33">
        <v>0</v>
      </c>
      <c r="AD33">
        <v>0</v>
      </c>
      <c r="AE33">
        <v>0</v>
      </c>
      <c r="AF33">
        <v>-3991</v>
      </c>
      <c r="AG33">
        <v>0</v>
      </c>
      <c r="AH33">
        <v>0</v>
      </c>
      <c r="AI33">
        <v>0</v>
      </c>
      <c r="AJ33">
        <v>0</v>
      </c>
      <c r="AK33">
        <v>-4676</v>
      </c>
      <c r="AL33">
        <v>0</v>
      </c>
      <c r="AM33">
        <v>0</v>
      </c>
      <c r="AN33">
        <v>0</v>
      </c>
      <c r="AO33">
        <v>0</v>
      </c>
      <c r="AP33">
        <v>-5220</v>
      </c>
      <c r="AQ33">
        <v>0</v>
      </c>
      <c r="AR33">
        <v>0</v>
      </c>
      <c r="AS33">
        <v>0</v>
      </c>
      <c r="AT33">
        <v>0</v>
      </c>
      <c r="AU33">
        <v>-6025</v>
      </c>
      <c r="AV33">
        <v>-6054.13879240528</v>
      </c>
      <c r="AW33">
        <v>-6508.86265929561</v>
      </c>
      <c r="AX33">
        <v>-6992.20691067926</v>
      </c>
      <c r="AY33">
        <v>-7507.59055790798</v>
      </c>
      <c r="AZ33">
        <v>-8056.67487452459</v>
      </c>
    </row>
    <row r="34" spans="2:52">
      <c r="B34" t="s">
        <v>1494</v>
      </c>
      <c r="D34" t="s">
        <v>1461</v>
      </c>
      <c r="F34">
        <v>-4906.8495</v>
      </c>
      <c r="G34">
        <v>-5441</v>
      </c>
      <c r="H34">
        <v>-5669</v>
      </c>
      <c r="I34">
        <v>-6092.5</v>
      </c>
      <c r="J34">
        <v>-5820</v>
      </c>
      <c r="K34">
        <v>-5187.808</v>
      </c>
      <c r="L34">
        <v>-5864.291</v>
      </c>
      <c r="M34">
        <v>0</v>
      </c>
      <c r="N34">
        <v>0</v>
      </c>
      <c r="O34">
        <v>0</v>
      </c>
      <c r="P34">
        <v>0</v>
      </c>
      <c r="Q34">
        <v>-9100</v>
      </c>
      <c r="R34">
        <v>0</v>
      </c>
      <c r="S34">
        <v>0</v>
      </c>
      <c r="T34">
        <v>0</v>
      </c>
      <c r="U34">
        <v>0</v>
      </c>
      <c r="V34">
        <v>-9237</v>
      </c>
      <c r="W34">
        <v>0</v>
      </c>
      <c r="X34">
        <v>0</v>
      </c>
      <c r="Y34">
        <v>0</v>
      </c>
      <c r="Z34">
        <v>0</v>
      </c>
      <c r="AA34">
        <v>-9584</v>
      </c>
      <c r="AB34">
        <v>0</v>
      </c>
      <c r="AC34">
        <v>0</v>
      </c>
      <c r="AD34">
        <v>0</v>
      </c>
      <c r="AE34">
        <v>0</v>
      </c>
      <c r="AF34">
        <v>-9660</v>
      </c>
      <c r="AG34">
        <v>0</v>
      </c>
      <c r="AH34">
        <v>0</v>
      </c>
      <c r="AI34">
        <v>0</v>
      </c>
      <c r="AJ34">
        <v>0</v>
      </c>
      <c r="AK34">
        <v>-10936</v>
      </c>
      <c r="AL34">
        <v>0</v>
      </c>
      <c r="AM34">
        <v>0</v>
      </c>
      <c r="AN34">
        <v>0</v>
      </c>
      <c r="AO34">
        <v>0</v>
      </c>
      <c r="AP34">
        <v>-12214</v>
      </c>
      <c r="AQ34">
        <v>0</v>
      </c>
      <c r="AR34">
        <v>0</v>
      </c>
      <c r="AS34">
        <v>0</v>
      </c>
      <c r="AT34">
        <v>0</v>
      </c>
      <c r="AU34">
        <v>-13805</v>
      </c>
      <c r="AV34">
        <v>-14182.6723999368</v>
      </c>
      <c r="AW34">
        <v>-15203.2192266662</v>
      </c>
      <c r="AX34">
        <v>-16282.5398258797</v>
      </c>
      <c r="AY34">
        <v>-17431.6589800203</v>
      </c>
      <c r="AZ34">
        <v>-18654.6927558708</v>
      </c>
    </row>
    <row r="35" spans="2:52">
      <c r="B35" t="s">
        <v>1495</v>
      </c>
      <c r="D35" t="s">
        <v>1461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Q35">
        <v>0</v>
      </c>
      <c r="V35">
        <v>0</v>
      </c>
      <c r="AA35">
        <v>0</v>
      </c>
      <c r="AF35">
        <v>0</v>
      </c>
      <c r="AK35">
        <v>0</v>
      </c>
      <c r="AP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2:52">
      <c r="B36" t="s">
        <v>1496</v>
      </c>
      <c r="D36" t="s">
        <v>1461</v>
      </c>
      <c r="F36">
        <v>34.8495</v>
      </c>
      <c r="G36">
        <v>43</v>
      </c>
      <c r="H36">
        <v>32</v>
      </c>
      <c r="I36">
        <v>46.5</v>
      </c>
      <c r="J36">
        <v>43</v>
      </c>
      <c r="K36">
        <v>42.458</v>
      </c>
      <c r="L36">
        <v>47.207</v>
      </c>
      <c r="M36">
        <v>0</v>
      </c>
      <c r="N36">
        <v>0</v>
      </c>
      <c r="O36">
        <v>0</v>
      </c>
      <c r="P36">
        <v>0</v>
      </c>
      <c r="Q36">
        <v>90</v>
      </c>
      <c r="R36">
        <v>0</v>
      </c>
      <c r="S36">
        <v>0</v>
      </c>
      <c r="T36">
        <v>0</v>
      </c>
      <c r="U36">
        <v>0</v>
      </c>
      <c r="V36">
        <v>102</v>
      </c>
      <c r="W36">
        <v>0</v>
      </c>
      <c r="X36">
        <v>0</v>
      </c>
      <c r="Y36">
        <v>0</v>
      </c>
      <c r="Z36">
        <v>0</v>
      </c>
      <c r="AA36">
        <v>89</v>
      </c>
      <c r="AB36">
        <v>0</v>
      </c>
      <c r="AC36">
        <v>0</v>
      </c>
      <c r="AD36">
        <v>0</v>
      </c>
      <c r="AE36">
        <v>0</v>
      </c>
      <c r="AF36">
        <v>86</v>
      </c>
      <c r="AG36">
        <v>0</v>
      </c>
      <c r="AH36">
        <v>0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93</v>
      </c>
      <c r="AQ36">
        <v>0</v>
      </c>
      <c r="AR36">
        <v>0</v>
      </c>
      <c r="AS36">
        <v>0</v>
      </c>
      <c r="AT36">
        <v>0</v>
      </c>
      <c r="AU36">
        <v>105</v>
      </c>
      <c r="AV36">
        <v>113.769867104915</v>
      </c>
      <c r="AW36">
        <v>123.446816724961</v>
      </c>
      <c r="AX36">
        <v>133.674054540535</v>
      </c>
      <c r="AY36">
        <v>144.683580338065</v>
      </c>
      <c r="AZ36">
        <v>156.526735981125</v>
      </c>
    </row>
    <row r="37" spans="2:52">
      <c r="B37" t="s">
        <v>1497</v>
      </c>
      <c r="D37" t="s">
        <v>1461</v>
      </c>
      <c r="F37">
        <v>-4976.0848</v>
      </c>
      <c r="G37">
        <v>-5518</v>
      </c>
      <c r="H37">
        <v>-5737.5</v>
      </c>
      <c r="I37">
        <v>-6188</v>
      </c>
      <c r="J37">
        <v>-5917</v>
      </c>
      <c r="K37">
        <v>-5276</v>
      </c>
      <c r="L37">
        <v>-5928.61</v>
      </c>
      <c r="Q37">
        <v>-9203</v>
      </c>
      <c r="V37">
        <v>-9350</v>
      </c>
      <c r="AA37">
        <v>-9729</v>
      </c>
      <c r="AF37">
        <v>-9873</v>
      </c>
      <c r="AK37">
        <v>-11096</v>
      </c>
      <c r="AP37">
        <v>-12370</v>
      </c>
      <c r="AU37">
        <v>-13963</v>
      </c>
      <c r="AV37">
        <v>-14357.0631726314</v>
      </c>
      <c r="AW37">
        <v>-15401.0466811809</v>
      </c>
      <c r="AX37">
        <v>-16506.073016351</v>
      </c>
      <c r="AY37">
        <v>-17683.6861406902</v>
      </c>
      <c r="AZ37">
        <v>-18938.2586946138</v>
      </c>
    </row>
    <row r="38" spans="2:52">
      <c r="B38" t="s">
        <v>1498</v>
      </c>
      <c r="D38" t="s">
        <v>1461</v>
      </c>
      <c r="F38">
        <v>-4872</v>
      </c>
      <c r="G38">
        <v>-5398</v>
      </c>
      <c r="H38">
        <v>-5637</v>
      </c>
      <c r="I38">
        <v>-6046</v>
      </c>
      <c r="J38">
        <v>-5777</v>
      </c>
      <c r="K38">
        <v>-5145.35</v>
      </c>
      <c r="L38">
        <v>-5817.084</v>
      </c>
      <c r="Q38">
        <v>-9010</v>
      </c>
      <c r="V38">
        <v>-9135</v>
      </c>
      <c r="AA38">
        <v>-9495</v>
      </c>
      <c r="AF38">
        <v>-9574</v>
      </c>
      <c r="AK38">
        <v>-10836</v>
      </c>
      <c r="AP38">
        <v>-12121</v>
      </c>
      <c r="AU38">
        <v>-13700</v>
      </c>
      <c r="AV38">
        <v>-14068.9025328319</v>
      </c>
      <c r="AW38">
        <v>-15079.7724099413</v>
      </c>
      <c r="AX38">
        <v>-16148.8657713392</v>
      </c>
      <c r="AY38">
        <v>-17286.9753996822</v>
      </c>
      <c r="AZ38">
        <v>-18498.1660198896</v>
      </c>
    </row>
    <row r="39" spans="2:52">
      <c r="B39" t="s">
        <v>1499</v>
      </c>
      <c r="D39" t="s">
        <v>1461</v>
      </c>
      <c r="F39">
        <v>482</v>
      </c>
      <c r="G39">
        <v>437</v>
      </c>
      <c r="H39">
        <v>475</v>
      </c>
      <c r="I39">
        <v>477</v>
      </c>
      <c r="J39">
        <v>490</v>
      </c>
      <c r="K39">
        <v>714.65</v>
      </c>
      <c r="L39">
        <v>818.916</v>
      </c>
      <c r="Q39">
        <v>1074</v>
      </c>
      <c r="V39">
        <v>1164</v>
      </c>
      <c r="AA39">
        <v>1304</v>
      </c>
      <c r="AF39">
        <v>807</v>
      </c>
      <c r="AK39">
        <v>1154</v>
      </c>
      <c r="AP39">
        <v>1202</v>
      </c>
      <c r="AU39">
        <v>1183</v>
      </c>
      <c r="AV39">
        <v>1789.22132070762</v>
      </c>
      <c r="AW39">
        <v>2127.19951298752</v>
      </c>
      <c r="AX39">
        <v>2483.65764502173</v>
      </c>
      <c r="AY39">
        <v>2880.14085842785</v>
      </c>
      <c r="AZ39">
        <v>3319.74085425592</v>
      </c>
    </row>
    <row r="40" spans="2:52">
      <c r="B40" t="s">
        <v>1500</v>
      </c>
      <c r="D40" t="s">
        <v>1461</v>
      </c>
      <c r="F40">
        <v>-104.0848</v>
      </c>
      <c r="G40">
        <v>-120</v>
      </c>
      <c r="H40">
        <v>-100.5</v>
      </c>
      <c r="I40">
        <v>-142</v>
      </c>
      <c r="J40">
        <v>-140</v>
      </c>
      <c r="K40">
        <v>-130.65</v>
      </c>
      <c r="L40">
        <v>-111.526</v>
      </c>
      <c r="M40">
        <v>0</v>
      </c>
      <c r="N40">
        <v>0</v>
      </c>
      <c r="O40">
        <v>0</v>
      </c>
      <c r="P40">
        <v>0</v>
      </c>
      <c r="Q40">
        <v>-193</v>
      </c>
      <c r="R40">
        <v>0</v>
      </c>
      <c r="S40">
        <v>0</v>
      </c>
      <c r="T40">
        <v>0</v>
      </c>
      <c r="U40">
        <v>0</v>
      </c>
      <c r="V40">
        <v>-215</v>
      </c>
      <c r="W40">
        <v>0</v>
      </c>
      <c r="X40">
        <v>0</v>
      </c>
      <c r="Y40">
        <v>0</v>
      </c>
      <c r="Z40">
        <v>0</v>
      </c>
      <c r="AA40">
        <v>-234</v>
      </c>
      <c r="AB40">
        <v>0</v>
      </c>
      <c r="AC40">
        <v>0</v>
      </c>
      <c r="AD40">
        <v>0</v>
      </c>
      <c r="AE40">
        <v>0</v>
      </c>
      <c r="AF40">
        <v>-299</v>
      </c>
      <c r="AG40">
        <v>0</v>
      </c>
      <c r="AH40">
        <v>0</v>
      </c>
      <c r="AI40">
        <v>0</v>
      </c>
      <c r="AJ40">
        <v>0</v>
      </c>
      <c r="AK40">
        <v>-260</v>
      </c>
      <c r="AL40">
        <v>0</v>
      </c>
      <c r="AM40">
        <v>0</v>
      </c>
      <c r="AN40">
        <v>0</v>
      </c>
      <c r="AO40">
        <v>0</v>
      </c>
      <c r="AP40">
        <v>-249</v>
      </c>
      <c r="AQ40">
        <v>0</v>
      </c>
      <c r="AR40">
        <v>0</v>
      </c>
      <c r="AS40">
        <v>0</v>
      </c>
      <c r="AT40">
        <v>0</v>
      </c>
      <c r="AU40">
        <v>-263</v>
      </c>
      <c r="AV40">
        <v>-288.16063979957</v>
      </c>
      <c r="AW40">
        <v>-321.274271239617</v>
      </c>
      <c r="AX40">
        <v>-357.207245011857</v>
      </c>
      <c r="AY40">
        <v>-396.710741007986</v>
      </c>
      <c r="AZ40">
        <v>-440.092674724185</v>
      </c>
    </row>
    <row r="41" spans="2:52">
      <c r="B41" t="s">
        <v>1501</v>
      </c>
      <c r="D41" t="s">
        <v>1461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2:52">
      <c r="B42" t="s">
        <v>131</v>
      </c>
      <c r="D42" t="s">
        <v>1461</v>
      </c>
      <c r="F42">
        <v>377.9152</v>
      </c>
      <c r="G42">
        <v>317</v>
      </c>
      <c r="H42">
        <v>374.5</v>
      </c>
      <c r="I42">
        <v>335</v>
      </c>
      <c r="J42">
        <v>350</v>
      </c>
      <c r="K42">
        <v>584</v>
      </c>
      <c r="L42">
        <v>707.39</v>
      </c>
      <c r="Q42">
        <v>881</v>
      </c>
      <c r="V42">
        <v>949</v>
      </c>
      <c r="AA42">
        <v>1070</v>
      </c>
      <c r="AF42">
        <v>508</v>
      </c>
      <c r="AK42">
        <v>894</v>
      </c>
      <c r="AP42">
        <v>953</v>
      </c>
      <c r="AU42">
        <v>920</v>
      </c>
      <c r="AV42">
        <v>1501.06068090805</v>
      </c>
      <c r="AW42">
        <v>1805.92524174791</v>
      </c>
      <c r="AX42">
        <v>2126.45040000987</v>
      </c>
      <c r="AY42">
        <v>2483.43011741987</v>
      </c>
      <c r="AZ42">
        <v>2879.64817953173</v>
      </c>
    </row>
    <row r="43" spans="2:52">
      <c r="B43" t="s">
        <v>1502</v>
      </c>
      <c r="D43" t="s">
        <v>1461</v>
      </c>
      <c r="F43">
        <v>7.284</v>
      </c>
      <c r="G43">
        <v>12.612</v>
      </c>
      <c r="H43">
        <v>11.727</v>
      </c>
      <c r="I43">
        <v>8.791</v>
      </c>
      <c r="J43">
        <v>9.06</v>
      </c>
      <c r="K43">
        <v>17.951</v>
      </c>
      <c r="L43">
        <v>41.588</v>
      </c>
      <c r="Q43">
        <v>39</v>
      </c>
      <c r="V43">
        <v>36</v>
      </c>
      <c r="AA43">
        <v>37</v>
      </c>
      <c r="AF43">
        <v>19</v>
      </c>
      <c r="AK43">
        <v>25</v>
      </c>
      <c r="AP43">
        <v>31</v>
      </c>
      <c r="AU43">
        <v>36</v>
      </c>
      <c r="AV43">
        <v>31.05159490761</v>
      </c>
      <c r="AW43">
        <v>27.620188577427</v>
      </c>
      <c r="AX43">
        <v>25.795670301193</v>
      </c>
      <c r="AY43">
        <v>24.465500726828</v>
      </c>
      <c r="AZ43">
        <v>24.495111361921</v>
      </c>
    </row>
    <row r="44" spans="2:52">
      <c r="B44" t="s">
        <v>1503</v>
      </c>
      <c r="D44" t="s">
        <v>1461</v>
      </c>
      <c r="F44">
        <v>-91.284</v>
      </c>
      <c r="G44">
        <v>-106.612</v>
      </c>
      <c r="H44">
        <v>-113.727</v>
      </c>
      <c r="I44">
        <v>-95.791</v>
      </c>
      <c r="J44">
        <v>-58.06</v>
      </c>
      <c r="K44">
        <v>-76.466</v>
      </c>
      <c r="L44">
        <v>-93.727</v>
      </c>
      <c r="Q44">
        <v>-197</v>
      </c>
      <c r="V44">
        <v>-170</v>
      </c>
      <c r="AA44">
        <v>-203</v>
      </c>
      <c r="AF44">
        <v>-169</v>
      </c>
      <c r="AK44">
        <v>-113</v>
      </c>
      <c r="AP44">
        <v>-115</v>
      </c>
      <c r="AU44">
        <v>-105</v>
      </c>
      <c r="AV44">
        <v>-89.063333333333</v>
      </c>
      <c r="AW44">
        <v>-84.8925</v>
      </c>
      <c r="AX44">
        <v>-83.9025</v>
      </c>
      <c r="AY44">
        <v>-78.40125</v>
      </c>
      <c r="AZ44">
        <v>-72.9</v>
      </c>
    </row>
    <row r="45" spans="2:52">
      <c r="B45" t="s">
        <v>1504</v>
      </c>
      <c r="D45" t="s">
        <v>1461</v>
      </c>
      <c r="F45">
        <v>-84</v>
      </c>
      <c r="G45">
        <v>-94</v>
      </c>
      <c r="H45">
        <v>-102</v>
      </c>
      <c r="I45">
        <v>-87</v>
      </c>
      <c r="J45">
        <v>-49</v>
      </c>
      <c r="K45">
        <v>-59</v>
      </c>
      <c r="L45">
        <v>-52</v>
      </c>
      <c r="Q45">
        <v>-158</v>
      </c>
      <c r="V45">
        <v>-135</v>
      </c>
      <c r="AA45">
        <v>-166</v>
      </c>
      <c r="AF45">
        <v>-150</v>
      </c>
      <c r="AK45">
        <v>-88</v>
      </c>
      <c r="AP45">
        <v>-84</v>
      </c>
      <c r="AU45">
        <v>-69</v>
      </c>
      <c r="AV45">
        <v>-58.011738425723</v>
      </c>
      <c r="AW45">
        <v>-57.272311422573</v>
      </c>
      <c r="AX45">
        <v>-58.106829698807</v>
      </c>
      <c r="AY45">
        <v>-53.935749273172</v>
      </c>
      <c r="AZ45">
        <v>-48.404888638079</v>
      </c>
    </row>
    <row r="46" spans="2:52">
      <c r="B46" t="s">
        <v>1505</v>
      </c>
      <c r="D46" t="s">
        <v>1461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2:52">
      <c r="B47" t="s">
        <v>1506</v>
      </c>
      <c r="D47" t="s">
        <v>1461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2:52">
      <c r="B48" t="s">
        <v>1507</v>
      </c>
      <c r="D48" t="s">
        <v>1461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2:52">
      <c r="B49" t="s">
        <v>1508</v>
      </c>
      <c r="D49" t="s">
        <v>1461</v>
      </c>
      <c r="F49">
        <v>293.9152</v>
      </c>
      <c r="G49">
        <v>223</v>
      </c>
      <c r="H49">
        <v>272.5</v>
      </c>
      <c r="I49">
        <v>248</v>
      </c>
      <c r="J49">
        <v>301</v>
      </c>
      <c r="K49">
        <v>525</v>
      </c>
      <c r="L49">
        <v>655.39</v>
      </c>
      <c r="Q49">
        <v>723</v>
      </c>
      <c r="V49">
        <v>814</v>
      </c>
      <c r="AA49">
        <v>904</v>
      </c>
      <c r="AF49">
        <v>358</v>
      </c>
      <c r="AK49">
        <v>806</v>
      </c>
      <c r="AP49">
        <v>869</v>
      </c>
      <c r="AU49">
        <v>851</v>
      </c>
      <c r="AV49">
        <v>1443.04894248232</v>
      </c>
      <c r="AW49">
        <v>1748.65293032533</v>
      </c>
      <c r="AX49">
        <v>2068.34357031107</v>
      </c>
      <c r="AY49">
        <v>2429.49436814669</v>
      </c>
      <c r="AZ49">
        <v>2831.24329089365</v>
      </c>
    </row>
    <row r="50" spans="2:52">
      <c r="B50" t="s">
        <v>1509</v>
      </c>
      <c r="D50" t="s">
        <v>1461</v>
      </c>
      <c r="F50">
        <v>-153</v>
      </c>
      <c r="G50">
        <v>-140</v>
      </c>
      <c r="H50">
        <v>-147</v>
      </c>
      <c r="I50">
        <v>-148</v>
      </c>
      <c r="J50">
        <v>-167</v>
      </c>
      <c r="K50">
        <v>-193</v>
      </c>
      <c r="L50">
        <v>-221</v>
      </c>
      <c r="Q50">
        <v>-227</v>
      </c>
      <c r="V50">
        <v>-260</v>
      </c>
      <c r="AA50">
        <v>-260</v>
      </c>
      <c r="AF50">
        <v>-113</v>
      </c>
      <c r="AK50">
        <v>-238</v>
      </c>
      <c r="AP50">
        <v>-261</v>
      </c>
      <c r="AU50">
        <v>-327</v>
      </c>
      <c r="AV50">
        <v>-411.293304903978</v>
      </c>
      <c r="AW50">
        <v>-498.395599532718</v>
      </c>
      <c r="AX50">
        <v>-589.51282778169</v>
      </c>
      <c r="AY50">
        <v>-692.446900797265</v>
      </c>
      <c r="AZ50">
        <v>-806.952124642251</v>
      </c>
    </row>
    <row r="51" spans="2:52">
      <c r="B51" t="s">
        <v>1510</v>
      </c>
      <c r="D51" t="s">
        <v>1461</v>
      </c>
      <c r="F51">
        <v>-18</v>
      </c>
      <c r="G51">
        <v>-25</v>
      </c>
      <c r="H51">
        <v>-21</v>
      </c>
      <c r="I51">
        <v>-14</v>
      </c>
      <c r="J51">
        <v>-11</v>
      </c>
      <c r="K51">
        <v>-7</v>
      </c>
      <c r="L51">
        <v>-8</v>
      </c>
      <c r="M51">
        <v>0</v>
      </c>
      <c r="N51">
        <v>0</v>
      </c>
      <c r="O51">
        <v>0</v>
      </c>
      <c r="P51">
        <v>0</v>
      </c>
      <c r="Q51">
        <v>-13</v>
      </c>
      <c r="R51">
        <v>0</v>
      </c>
      <c r="S51">
        <v>0</v>
      </c>
      <c r="T51">
        <v>0</v>
      </c>
      <c r="U51">
        <v>0</v>
      </c>
      <c r="V51">
        <v>-4</v>
      </c>
      <c r="W51">
        <v>0</v>
      </c>
      <c r="X51">
        <v>0</v>
      </c>
      <c r="Y51">
        <v>0</v>
      </c>
      <c r="Z51">
        <v>0</v>
      </c>
      <c r="AA51">
        <v>-2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-1</v>
      </c>
      <c r="AL51">
        <v>0</v>
      </c>
      <c r="AM51">
        <v>0</v>
      </c>
      <c r="AN51">
        <v>0</v>
      </c>
      <c r="AO51">
        <v>0</v>
      </c>
      <c r="AP51">
        <v>5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</row>
    <row r="52" spans="2:52">
      <c r="B52" t="s">
        <v>1511</v>
      </c>
      <c r="D52" t="s">
        <v>1461</v>
      </c>
      <c r="F52">
        <v>122.9152</v>
      </c>
      <c r="G52">
        <v>58</v>
      </c>
      <c r="H52">
        <v>104.5</v>
      </c>
      <c r="I52">
        <v>86</v>
      </c>
      <c r="J52">
        <v>123</v>
      </c>
      <c r="K52">
        <v>325</v>
      </c>
      <c r="L52">
        <v>426.39</v>
      </c>
      <c r="Q52">
        <v>483</v>
      </c>
      <c r="V52">
        <v>550</v>
      </c>
      <c r="AA52">
        <v>642</v>
      </c>
      <c r="AF52">
        <v>245</v>
      </c>
      <c r="AK52">
        <v>567</v>
      </c>
      <c r="AP52">
        <v>613</v>
      </c>
      <c r="AU52">
        <v>526</v>
      </c>
      <c r="AV52">
        <v>1033.75563757834</v>
      </c>
      <c r="AW52">
        <v>1252.25733079262</v>
      </c>
      <c r="AX52">
        <v>1480.83074252938</v>
      </c>
      <c r="AY52">
        <v>1739.04746734943</v>
      </c>
      <c r="AZ52">
        <v>2026.2911662514</v>
      </c>
    </row>
    <row r="53" spans="2:52">
      <c r="B53" t="s">
        <v>1512</v>
      </c>
      <c r="D53" t="s">
        <v>1461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2:52">
      <c r="B54" t="s">
        <v>1513</v>
      </c>
      <c r="D54" t="s">
        <v>1461</v>
      </c>
      <c r="F54">
        <v>122.9152</v>
      </c>
      <c r="G54">
        <v>58</v>
      </c>
      <c r="H54">
        <v>104.5</v>
      </c>
      <c r="I54">
        <v>86</v>
      </c>
      <c r="J54">
        <v>123</v>
      </c>
      <c r="K54">
        <v>325</v>
      </c>
      <c r="L54">
        <v>426.39</v>
      </c>
      <c r="Q54">
        <v>483</v>
      </c>
      <c r="V54">
        <v>550</v>
      </c>
      <c r="AA54">
        <v>642</v>
      </c>
      <c r="AF54">
        <v>245</v>
      </c>
      <c r="AK54">
        <v>567</v>
      </c>
      <c r="AP54">
        <v>613</v>
      </c>
      <c r="AU54">
        <v>526</v>
      </c>
      <c r="AV54">
        <v>1033.75563757834</v>
      </c>
      <c r="AW54">
        <v>1252.25733079262</v>
      </c>
      <c r="AX54">
        <v>1480.83074252938</v>
      </c>
      <c r="AY54">
        <v>1739.04746734943</v>
      </c>
      <c r="AZ54">
        <v>2026.2911662514</v>
      </c>
    </row>
    <row r="55" spans="2:52">
      <c r="B55" t="s">
        <v>1514</v>
      </c>
      <c r="D55" t="s">
        <v>1461</v>
      </c>
      <c r="F55">
        <v>1</v>
      </c>
      <c r="G55">
        <v>4</v>
      </c>
      <c r="H55">
        <v>3</v>
      </c>
      <c r="I55">
        <v>1</v>
      </c>
      <c r="J55">
        <v>-3</v>
      </c>
      <c r="K55">
        <v>-11</v>
      </c>
      <c r="L55">
        <v>-43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</row>
    <row r="56" spans="2:52">
      <c r="B56" t="s">
        <v>1515</v>
      </c>
      <c r="D56" t="s">
        <v>1461</v>
      </c>
      <c r="F56">
        <v>123.9152</v>
      </c>
      <c r="G56">
        <v>62</v>
      </c>
      <c r="H56">
        <v>107.5</v>
      </c>
      <c r="I56">
        <v>87</v>
      </c>
      <c r="J56">
        <v>120</v>
      </c>
      <c r="K56">
        <v>314</v>
      </c>
      <c r="L56">
        <v>383.39</v>
      </c>
      <c r="Q56">
        <v>483</v>
      </c>
      <c r="V56">
        <v>551</v>
      </c>
      <c r="AA56">
        <v>642</v>
      </c>
      <c r="AF56">
        <v>245</v>
      </c>
      <c r="AK56">
        <v>567</v>
      </c>
      <c r="AP56">
        <v>613</v>
      </c>
      <c r="AU56">
        <v>526</v>
      </c>
      <c r="AV56">
        <v>1033.75563757834</v>
      </c>
      <c r="AW56">
        <v>1252.25733079262</v>
      </c>
      <c r="AX56">
        <v>1480.83074252938</v>
      </c>
      <c r="AY56">
        <v>1740.04746734943</v>
      </c>
      <c r="AZ56">
        <v>2027.2911662514</v>
      </c>
    </row>
    <row r="57" spans="2:52">
      <c r="B57" t="s">
        <v>763</v>
      </c>
      <c r="D57" t="s">
        <v>1461</v>
      </c>
      <c r="F57">
        <v>0.679268210526</v>
      </c>
      <c r="G57">
        <v>0.318681318681</v>
      </c>
      <c r="H57">
        <v>0.577764423077</v>
      </c>
      <c r="I57">
        <v>0.473187772926</v>
      </c>
      <c r="J57">
        <v>0.6765</v>
      </c>
      <c r="K57">
        <v>1.697452229299</v>
      </c>
      <c r="L57">
        <v>2.148649347258</v>
      </c>
      <c r="Q57">
        <v>2.37</v>
      </c>
      <c r="V57">
        <v>2.565335753176</v>
      </c>
      <c r="AA57">
        <v>3.07</v>
      </c>
      <c r="AF57">
        <v>1.170915416894</v>
      </c>
      <c r="AK57">
        <v>2.710115363636</v>
      </c>
      <c r="AP57">
        <v>2.929983629469</v>
      </c>
      <c r="AU57">
        <v>2.51414582235</v>
      </c>
      <c r="AV57">
        <v>4.941088246291</v>
      </c>
      <c r="AW57">
        <v>6.105180014172</v>
      </c>
      <c r="AX57">
        <v>7.363944128718</v>
      </c>
      <c r="AY57">
        <v>8.820976617607</v>
      </c>
      <c r="AZ57">
        <v>10.483523124136</v>
      </c>
    </row>
    <row r="58" spans="2:52">
      <c r="B58" t="s">
        <v>1516</v>
      </c>
      <c r="D58" t="s">
        <v>1461</v>
      </c>
      <c r="F58">
        <v>0.679268210526</v>
      </c>
      <c r="G58">
        <v>0.318681318681</v>
      </c>
      <c r="H58">
        <v>0.577764423077</v>
      </c>
      <c r="I58">
        <v>0.473187772926</v>
      </c>
      <c r="J58">
        <v>0.6765</v>
      </c>
      <c r="K58">
        <v>1.697452229299</v>
      </c>
      <c r="L58">
        <v>2.148649347258</v>
      </c>
      <c r="Q58">
        <v>2.25</v>
      </c>
      <c r="V58">
        <v>2.705081669691</v>
      </c>
      <c r="AA58">
        <v>3.25</v>
      </c>
      <c r="AF58">
        <v>1.25</v>
      </c>
      <c r="AK58">
        <v>2.710115363636</v>
      </c>
      <c r="AP58">
        <v>2.929983629469</v>
      </c>
      <c r="AU58">
        <v>2.51414582235</v>
      </c>
      <c r="AV58">
        <v>4.941088246291</v>
      </c>
      <c r="AW58">
        <v>6.105180014172</v>
      </c>
      <c r="AX58">
        <v>7.363944128718</v>
      </c>
      <c r="AY58">
        <v>8.820976617607</v>
      </c>
      <c r="AZ58">
        <v>10.483523124136</v>
      </c>
    </row>
    <row r="59" spans="2:52">
      <c r="B59" t="s">
        <v>1517</v>
      </c>
      <c r="D59" t="s">
        <v>1461</v>
      </c>
      <c r="F59">
        <v>0.684794526316</v>
      </c>
      <c r="G59">
        <v>0.340659340659</v>
      </c>
      <c r="H59">
        <v>0.594350961538</v>
      </c>
      <c r="I59">
        <v>0.478689956332</v>
      </c>
      <c r="J59">
        <v>0.66</v>
      </c>
      <c r="K59">
        <v>1.64</v>
      </c>
      <c r="L59">
        <v>1.931965274151</v>
      </c>
      <c r="Q59">
        <v>2.37</v>
      </c>
      <c r="V59">
        <v>2.57</v>
      </c>
      <c r="AA59">
        <v>3.07</v>
      </c>
      <c r="AF59">
        <v>1.170915416894</v>
      </c>
      <c r="AK59">
        <v>2.710115363636</v>
      </c>
      <c r="AP59">
        <v>2.929983629469</v>
      </c>
      <c r="AU59">
        <v>2.51414582235</v>
      </c>
      <c r="AV59">
        <v>4.941088246291</v>
      </c>
      <c r="AW59">
        <v>6.105180014172</v>
      </c>
      <c r="AX59">
        <v>7.363944128718</v>
      </c>
      <c r="AY59">
        <v>8.826048921143</v>
      </c>
      <c r="AZ59">
        <v>10.488696873742</v>
      </c>
    </row>
    <row r="60" spans="2:52">
      <c r="B60" t="s">
        <v>1518</v>
      </c>
      <c r="D60" t="s">
        <v>1461</v>
      </c>
      <c r="F60">
        <v>0.684794526316</v>
      </c>
      <c r="G60">
        <v>0.340659340659</v>
      </c>
      <c r="H60">
        <v>0.594350961538</v>
      </c>
      <c r="I60">
        <v>0.478689956332</v>
      </c>
      <c r="J60">
        <v>0.66</v>
      </c>
      <c r="K60">
        <v>1.64</v>
      </c>
      <c r="L60">
        <v>1.931965274151</v>
      </c>
      <c r="Q60">
        <v>2.25</v>
      </c>
      <c r="V60">
        <v>2.71</v>
      </c>
      <c r="AA60">
        <v>3.25</v>
      </c>
      <c r="AF60">
        <v>1.25</v>
      </c>
      <c r="AK60">
        <v>2.710115363636</v>
      </c>
      <c r="AP60">
        <v>2.929983629469</v>
      </c>
      <c r="AU60">
        <v>2.51414582235</v>
      </c>
      <c r="AV60">
        <v>4.941088246291</v>
      </c>
      <c r="AW60">
        <v>6.105180014172</v>
      </c>
      <c r="AX60">
        <v>7.363944128718</v>
      </c>
      <c r="AY60">
        <v>8.826048921143</v>
      </c>
      <c r="AZ60">
        <v>10.488696873742</v>
      </c>
    </row>
    <row r="61" spans="2:52">
      <c r="B61" t="s">
        <v>1519</v>
      </c>
      <c r="D61" t="s">
        <v>1461</v>
      </c>
      <c r="F61">
        <v>-38.258</v>
      </c>
      <c r="G61">
        <v>-41.736</v>
      </c>
      <c r="H61">
        <v>-41.721</v>
      </c>
      <c r="I61">
        <v>-41.721</v>
      </c>
      <c r="J61">
        <v>-45.423</v>
      </c>
      <c r="K61">
        <v>-49.539</v>
      </c>
      <c r="L61">
        <v>-63</v>
      </c>
      <c r="Q61">
        <v>-70</v>
      </c>
      <c r="V61">
        <v>-86</v>
      </c>
      <c r="AA61">
        <v>-99</v>
      </c>
      <c r="AF61">
        <v>-97</v>
      </c>
      <c r="AK61">
        <v>-73</v>
      </c>
      <c r="AP61">
        <v>-167</v>
      </c>
      <c r="AU61">
        <v>-209</v>
      </c>
      <c r="AV61">
        <v>-282.4418511</v>
      </c>
      <c r="AW61">
        <v>-385.564453527792</v>
      </c>
      <c r="AX61">
        <v>-485.84386512354</v>
      </c>
      <c r="AY61">
        <v>-596.73697287616</v>
      </c>
      <c r="AZ61">
        <v>-727.295405303374</v>
      </c>
    </row>
    <row r="62" spans="2:52">
      <c r="B62" t="s">
        <v>1407</v>
      </c>
      <c r="D62" t="s">
        <v>1461</v>
      </c>
      <c r="F62">
        <v>0.230646315789</v>
      </c>
      <c r="G62">
        <v>0.229236263736</v>
      </c>
      <c r="H62">
        <v>0.230668990385</v>
      </c>
      <c r="I62">
        <v>0.249925676856</v>
      </c>
      <c r="J62">
        <v>0.2724645</v>
      </c>
      <c r="K62">
        <v>0.329044585987</v>
      </c>
      <c r="L62">
        <v>0.35274151436</v>
      </c>
      <c r="M62">
        <v>0</v>
      </c>
      <c r="N62">
        <v>0</v>
      </c>
      <c r="O62">
        <v>0</v>
      </c>
      <c r="P62">
        <v>0</v>
      </c>
      <c r="Q62">
        <v>0.400621118012</v>
      </c>
      <c r="R62">
        <v>0</v>
      </c>
      <c r="S62">
        <v>0</v>
      </c>
      <c r="T62">
        <v>0</v>
      </c>
      <c r="U62">
        <v>0</v>
      </c>
      <c r="V62">
        <v>0.486914700544</v>
      </c>
      <c r="W62">
        <v>0</v>
      </c>
      <c r="X62">
        <v>0</v>
      </c>
      <c r="Y62">
        <v>0</v>
      </c>
      <c r="Z62">
        <v>0</v>
      </c>
      <c r="AA62">
        <v>0.491043613707</v>
      </c>
      <c r="AB62">
        <v>0</v>
      </c>
      <c r="AC62">
        <v>0</v>
      </c>
      <c r="AD62">
        <v>0</v>
      </c>
      <c r="AE62">
        <v>0</v>
      </c>
      <c r="AF62">
        <v>0.494897959184</v>
      </c>
      <c r="AG62">
        <v>0</v>
      </c>
      <c r="AH62">
        <v>0</v>
      </c>
      <c r="AI62">
        <v>0</v>
      </c>
      <c r="AJ62">
        <v>0</v>
      </c>
      <c r="AK62">
        <v>0.348921378387</v>
      </c>
      <c r="AL62">
        <v>0</v>
      </c>
      <c r="AM62">
        <v>0</v>
      </c>
      <c r="AN62">
        <v>0</v>
      </c>
      <c r="AO62">
        <v>0</v>
      </c>
      <c r="AP62">
        <v>0.798217399872</v>
      </c>
      <c r="AQ62">
        <v>0</v>
      </c>
      <c r="AR62">
        <v>0</v>
      </c>
      <c r="AS62">
        <v>0</v>
      </c>
      <c r="AT62">
        <v>0</v>
      </c>
      <c r="AU62">
        <v>0.998966686067</v>
      </c>
      <c r="AV62">
        <v>1.35</v>
      </c>
      <c r="AW62">
        <v>1.87975772868</v>
      </c>
      <c r="AX62">
        <v>2.416027014633</v>
      </c>
      <c r="AY62">
        <v>3.026831057478</v>
      </c>
      <c r="AZ62">
        <v>3.762844317029</v>
      </c>
    </row>
    <row r="63" spans="2:52">
      <c r="B63" t="s">
        <v>1520</v>
      </c>
      <c r="D63" t="s">
        <v>1461</v>
      </c>
      <c r="F63">
        <v>180.952380952381</v>
      </c>
      <c r="G63">
        <v>182</v>
      </c>
      <c r="H63">
        <v>180.869565217391</v>
      </c>
      <c r="I63">
        <v>181.746031746032</v>
      </c>
      <c r="J63">
        <v>181.818181818182</v>
      </c>
      <c r="K63">
        <v>191.463414634146</v>
      </c>
      <c r="L63">
        <v>198.445595854922</v>
      </c>
      <c r="Q63">
        <v>203.79746835443</v>
      </c>
      <c r="V63">
        <v>214.396887159533</v>
      </c>
      <c r="AA63">
        <v>209.120521172638</v>
      </c>
      <c r="AF63">
        <v>209.238</v>
      </c>
      <c r="AK63">
        <v>209.216186</v>
      </c>
      <c r="AP63">
        <v>209.216186</v>
      </c>
      <c r="AU63">
        <v>209.216186</v>
      </c>
      <c r="AV63">
        <v>209.216186</v>
      </c>
      <c r="AW63">
        <v>205.113907843137</v>
      </c>
      <c r="AX63">
        <v>201.09206651288</v>
      </c>
      <c r="AY63">
        <v>197.149084816549</v>
      </c>
      <c r="AZ63">
        <v>193.283416486812</v>
      </c>
    </row>
    <row r="64" spans="2:52">
      <c r="B64" t="s">
        <v>1521</v>
      </c>
      <c r="D64" t="s">
        <v>1461</v>
      </c>
      <c r="F64">
        <v>180.952380952381</v>
      </c>
      <c r="G64">
        <v>182</v>
      </c>
      <c r="H64">
        <v>180.869565217391</v>
      </c>
      <c r="I64">
        <v>181.746031746032</v>
      </c>
      <c r="J64">
        <v>181.818181818182</v>
      </c>
      <c r="K64">
        <v>191.463414634146</v>
      </c>
      <c r="L64">
        <v>198.445595854922</v>
      </c>
      <c r="Q64">
        <v>214.666666666667</v>
      </c>
      <c r="V64">
        <v>203.321033210332</v>
      </c>
      <c r="AA64">
        <v>197.538461538462</v>
      </c>
      <c r="AF64">
        <v>196</v>
      </c>
      <c r="AK64">
        <v>209.216186</v>
      </c>
      <c r="AP64">
        <v>209.216186</v>
      </c>
      <c r="AU64">
        <v>209.216186</v>
      </c>
      <c r="AV64">
        <v>209.216186</v>
      </c>
      <c r="AW64">
        <v>205.113907843137</v>
      </c>
      <c r="AX64">
        <v>201.09206651288</v>
      </c>
      <c r="AY64">
        <v>197.149084816549</v>
      </c>
      <c r="AZ64">
        <v>193.283416486812</v>
      </c>
    </row>
    <row r="65" spans="2:52">
      <c r="B65" t="s">
        <v>1522</v>
      </c>
      <c r="D65" t="s">
        <v>1461</v>
      </c>
      <c r="F65">
        <v>180.952380952381</v>
      </c>
      <c r="G65">
        <v>182</v>
      </c>
      <c r="H65">
        <v>180.869565217391</v>
      </c>
      <c r="I65">
        <v>181.746031746032</v>
      </c>
      <c r="J65">
        <v>181.818181818182</v>
      </c>
      <c r="K65">
        <v>191.463414634146</v>
      </c>
      <c r="L65">
        <v>198.445595854922</v>
      </c>
      <c r="Q65">
        <v>203.79746835443</v>
      </c>
      <c r="V65">
        <v>214.396887159533</v>
      </c>
      <c r="AA65">
        <v>209.120521172638</v>
      </c>
      <c r="AF65">
        <v>209.238</v>
      </c>
      <c r="AK65">
        <v>209.216186</v>
      </c>
      <c r="AP65">
        <v>209.216186</v>
      </c>
      <c r="AU65">
        <v>209.216186</v>
      </c>
      <c r="AV65">
        <v>209.216186</v>
      </c>
      <c r="AW65">
        <v>205.113907843137</v>
      </c>
      <c r="AX65">
        <v>201.09206651288</v>
      </c>
      <c r="AY65">
        <v>197.149084816549</v>
      </c>
      <c r="AZ65">
        <v>193.283416486812</v>
      </c>
    </row>
    <row r="66" spans="2:52">
      <c r="B66" t="s">
        <v>1523</v>
      </c>
      <c r="D66" t="s">
        <v>1461</v>
      </c>
    </row>
    <row r="67" spans="2:52">
      <c r="B67" t="s">
        <v>1524</v>
      </c>
      <c r="D67" t="s">
        <v>1461</v>
      </c>
    </row>
    <row r="68" spans="2:52">
      <c r="B68" t="s">
        <v>1525</v>
      </c>
      <c r="D68" t="s">
        <v>1461</v>
      </c>
    </row>
    <row r="69" spans="2:52">
      <c r="B69" t="s">
        <v>1526</v>
      </c>
      <c r="D69" t="s">
        <v>1461</v>
      </c>
    </row>
    <row r="70" spans="2:52">
      <c r="B70" t="s">
        <v>1527</v>
      </c>
      <c r="D70" t="s">
        <v>1461</v>
      </c>
      <c r="F70">
        <v>-99</v>
      </c>
      <c r="G70">
        <v>-99</v>
      </c>
      <c r="H70">
        <v>-108</v>
      </c>
      <c r="I70">
        <v>-128</v>
      </c>
      <c r="J70">
        <v>-129</v>
      </c>
      <c r="K70">
        <v>-128</v>
      </c>
      <c r="L70">
        <v>-171</v>
      </c>
      <c r="M70">
        <v>0</v>
      </c>
      <c r="N70">
        <v>0</v>
      </c>
      <c r="O70">
        <v>0</v>
      </c>
      <c r="P70">
        <v>0</v>
      </c>
      <c r="Q70">
        <v>-278</v>
      </c>
      <c r="R70">
        <v>0</v>
      </c>
      <c r="S70">
        <v>0</v>
      </c>
      <c r="T70">
        <v>0</v>
      </c>
      <c r="U70">
        <v>0</v>
      </c>
      <c r="V70">
        <v>-212</v>
      </c>
      <c r="W70">
        <v>0</v>
      </c>
      <c r="X70">
        <v>0</v>
      </c>
      <c r="Y70">
        <v>0</v>
      </c>
      <c r="Z70">
        <v>0</v>
      </c>
      <c r="AA70">
        <v>-213</v>
      </c>
      <c r="AB70">
        <v>0</v>
      </c>
      <c r="AC70">
        <v>0</v>
      </c>
      <c r="AD70">
        <v>0</v>
      </c>
      <c r="AE70">
        <v>0</v>
      </c>
      <c r="AF70">
        <v>-360</v>
      </c>
      <c r="AG70">
        <v>0</v>
      </c>
      <c r="AH70">
        <v>0</v>
      </c>
      <c r="AI70">
        <v>0</v>
      </c>
      <c r="AJ70">
        <v>0</v>
      </c>
      <c r="AK70">
        <v>-404</v>
      </c>
      <c r="AL70">
        <v>0</v>
      </c>
      <c r="AM70">
        <v>0</v>
      </c>
      <c r="AN70">
        <v>0</v>
      </c>
      <c r="AO70">
        <v>0</v>
      </c>
      <c r="AP70">
        <v>-449</v>
      </c>
      <c r="AQ70">
        <v>0</v>
      </c>
      <c r="AR70">
        <v>0</v>
      </c>
      <c r="AS70">
        <v>0</v>
      </c>
      <c r="AT70">
        <v>0</v>
      </c>
      <c r="AU70">
        <v>-456</v>
      </c>
      <c r="AV70">
        <v>-501.734928074059</v>
      </c>
      <c r="AW70">
        <v>-561.618082585059</v>
      </c>
      <c r="AX70">
        <v>-626.77915849477</v>
      </c>
      <c r="AY70">
        <v>-698.568418919305</v>
      </c>
      <c r="AZ70">
        <v>-777.568035654768</v>
      </c>
    </row>
    <row r="71" spans="2:52">
      <c r="B71" t="s">
        <v>1528</v>
      </c>
      <c r="D71" t="s">
        <v>1461</v>
      </c>
      <c r="F71">
        <v>0.333333</v>
      </c>
      <c r="G71">
        <v>0.333333</v>
      </c>
      <c r="H71">
        <v>0.333333</v>
      </c>
      <c r="I71">
        <v>0.333333</v>
      </c>
      <c r="J71">
        <v>0.333333</v>
      </c>
      <c r="K71">
        <v>0.333333</v>
      </c>
      <c r="L71">
        <v>0.333333</v>
      </c>
      <c r="M71">
        <v>0.333333</v>
      </c>
      <c r="N71">
        <v>0.333333</v>
      </c>
      <c r="O71">
        <v>0.333333</v>
      </c>
      <c r="P71">
        <v>0.333333</v>
      </c>
      <c r="Q71">
        <v>0.333333</v>
      </c>
      <c r="R71">
        <v>0.333333</v>
      </c>
      <c r="S71">
        <v>0.333333</v>
      </c>
      <c r="T71">
        <v>0.333333</v>
      </c>
      <c r="U71">
        <v>0.333333</v>
      </c>
      <c r="V71">
        <v>0.333333</v>
      </c>
      <c r="W71">
        <v>0.333333</v>
      </c>
      <c r="X71">
        <v>0.333333</v>
      </c>
      <c r="Y71">
        <v>0.333333</v>
      </c>
      <c r="Z71">
        <v>0.333333</v>
      </c>
      <c r="AA71">
        <v>0.333333</v>
      </c>
      <c r="AB71">
        <v>0.333333</v>
      </c>
      <c r="AC71">
        <v>0.333333</v>
      </c>
      <c r="AD71">
        <v>0.333333</v>
      </c>
      <c r="AE71">
        <v>0.333333</v>
      </c>
      <c r="AF71">
        <v>0.333333</v>
      </c>
      <c r="AG71">
        <v>0.333333</v>
      </c>
      <c r="AH71">
        <v>0.333333</v>
      </c>
      <c r="AI71">
        <v>0.333333</v>
      </c>
      <c r="AJ71">
        <v>0.333333</v>
      </c>
      <c r="AK71">
        <v>0.333333</v>
      </c>
      <c r="AL71">
        <v>0.333333</v>
      </c>
      <c r="AM71">
        <v>0.333333</v>
      </c>
      <c r="AN71">
        <v>0.333333</v>
      </c>
      <c r="AO71">
        <v>0.333333</v>
      </c>
      <c r="AP71">
        <v>0.333333333333</v>
      </c>
      <c r="AQ71">
        <v>0.333333</v>
      </c>
      <c r="AR71">
        <v>0.333333</v>
      </c>
      <c r="AS71">
        <v>0.333333</v>
      </c>
      <c r="AT71">
        <v>0.333333</v>
      </c>
      <c r="AU71">
        <v>0.333333333333</v>
      </c>
      <c r="AV71">
        <v>0.333333333333</v>
      </c>
      <c r="AW71">
        <v>0.333333333333</v>
      </c>
      <c r="AX71">
        <v>0.333333333333</v>
      </c>
      <c r="AY71">
        <v>0.333333333333</v>
      </c>
      <c r="AZ71">
        <v>0.333333333333</v>
      </c>
    </row>
    <row r="72" spans="2:52">
      <c r="B72" t="s">
        <v>1529</v>
      </c>
      <c r="D72" t="s">
        <v>1461</v>
      </c>
      <c r="F72">
        <v>0.666667</v>
      </c>
      <c r="G72">
        <v>0.666667</v>
      </c>
      <c r="H72">
        <v>0.666667</v>
      </c>
      <c r="I72">
        <v>0.666667</v>
      </c>
      <c r="J72">
        <v>0.666667</v>
      </c>
      <c r="K72">
        <v>0.666667</v>
      </c>
      <c r="L72">
        <v>0.666667</v>
      </c>
      <c r="M72">
        <v>0.666667</v>
      </c>
      <c r="N72">
        <v>0.666667</v>
      </c>
      <c r="O72">
        <v>0.666667</v>
      </c>
      <c r="P72">
        <v>0.666667</v>
      </c>
      <c r="Q72">
        <v>0.666667</v>
      </c>
      <c r="R72">
        <v>0.666667</v>
      </c>
      <c r="S72">
        <v>0.666667</v>
      </c>
      <c r="T72">
        <v>0.666667</v>
      </c>
      <c r="U72">
        <v>0.666667</v>
      </c>
      <c r="V72">
        <v>0.666667</v>
      </c>
      <c r="W72">
        <v>0.666667</v>
      </c>
      <c r="X72">
        <v>0.666667</v>
      </c>
      <c r="Y72">
        <v>0.666667</v>
      </c>
      <c r="Z72">
        <v>0.666667</v>
      </c>
      <c r="AA72">
        <v>0.666667</v>
      </c>
      <c r="AB72">
        <v>0.666667</v>
      </c>
      <c r="AC72">
        <v>0.666667</v>
      </c>
      <c r="AD72">
        <v>0.666667</v>
      </c>
      <c r="AE72">
        <v>0.666667</v>
      </c>
      <c r="AF72">
        <v>0.666667</v>
      </c>
      <c r="AG72">
        <v>0.666667</v>
      </c>
      <c r="AH72">
        <v>0.666667</v>
      </c>
      <c r="AI72">
        <v>0.666667</v>
      </c>
      <c r="AJ72">
        <v>0.666667</v>
      </c>
      <c r="AK72">
        <v>0.666667</v>
      </c>
      <c r="AL72">
        <v>0.666667</v>
      </c>
      <c r="AM72">
        <v>0.666667</v>
      </c>
      <c r="AN72">
        <v>0.666667</v>
      </c>
      <c r="AO72">
        <v>0.666667</v>
      </c>
      <c r="AP72">
        <v>0.666666666667</v>
      </c>
      <c r="AQ72">
        <v>0.666667</v>
      </c>
      <c r="AR72">
        <v>0.666667</v>
      </c>
      <c r="AS72">
        <v>0.666667</v>
      </c>
      <c r="AT72">
        <v>0.666667</v>
      </c>
      <c r="AU72">
        <v>0.666666666667</v>
      </c>
      <c r="AV72">
        <v>0.666666666667</v>
      </c>
      <c r="AW72">
        <v>0.666666666667</v>
      </c>
      <c r="AX72">
        <v>0.666666666667</v>
      </c>
      <c r="AY72">
        <v>0.666666666667</v>
      </c>
      <c r="AZ72">
        <v>0.666666666667</v>
      </c>
    </row>
    <row r="73" spans="2:52">
      <c r="B73" t="s">
        <v>1530</v>
      </c>
      <c r="D73" t="s">
        <v>1461</v>
      </c>
      <c r="F73">
        <v>-91.284</v>
      </c>
      <c r="G73">
        <v>-106.612</v>
      </c>
      <c r="H73">
        <v>-113.727</v>
      </c>
      <c r="I73">
        <v>-95.791</v>
      </c>
      <c r="J73">
        <v>-58.06</v>
      </c>
      <c r="K73">
        <v>-76.466</v>
      </c>
      <c r="L73">
        <v>-93.727</v>
      </c>
      <c r="M73">
        <v>0</v>
      </c>
      <c r="N73">
        <v>0</v>
      </c>
      <c r="O73">
        <v>0</v>
      </c>
      <c r="P73">
        <v>0</v>
      </c>
      <c r="Q73">
        <v>-197</v>
      </c>
      <c r="R73">
        <v>0</v>
      </c>
      <c r="S73">
        <v>0</v>
      </c>
      <c r="T73">
        <v>0</v>
      </c>
      <c r="U73">
        <v>0</v>
      </c>
      <c r="V73">
        <v>-170</v>
      </c>
      <c r="W73">
        <v>0</v>
      </c>
      <c r="X73">
        <v>0</v>
      </c>
      <c r="Y73">
        <v>0</v>
      </c>
      <c r="Z73">
        <v>0</v>
      </c>
      <c r="AA73">
        <v>-203</v>
      </c>
      <c r="AB73">
        <v>0</v>
      </c>
      <c r="AC73">
        <v>0</v>
      </c>
      <c r="AD73">
        <v>0</v>
      </c>
      <c r="AE73">
        <v>0</v>
      </c>
      <c r="AF73">
        <v>-169</v>
      </c>
      <c r="AG73">
        <v>0</v>
      </c>
      <c r="AH73">
        <v>0</v>
      </c>
      <c r="AI73">
        <v>0</v>
      </c>
      <c r="AJ73">
        <v>0</v>
      </c>
      <c r="AK73">
        <v>-113</v>
      </c>
      <c r="AL73">
        <v>0</v>
      </c>
      <c r="AM73">
        <v>0</v>
      </c>
      <c r="AN73">
        <v>0</v>
      </c>
      <c r="AO73">
        <v>0</v>
      </c>
      <c r="AP73">
        <v>-115</v>
      </c>
      <c r="AQ73">
        <v>0</v>
      </c>
      <c r="AR73">
        <v>0</v>
      </c>
      <c r="AS73">
        <v>0</v>
      </c>
      <c r="AT73">
        <v>0</v>
      </c>
      <c r="AU73">
        <v>-105</v>
      </c>
      <c r="AV73">
        <v>-89.063333333333</v>
      </c>
      <c r="AW73">
        <v>-84.8925</v>
      </c>
      <c r="AX73">
        <v>-83.9025</v>
      </c>
      <c r="AY73">
        <v>-78.40125</v>
      </c>
      <c r="AZ73">
        <v>-72.9</v>
      </c>
    </row>
    <row r="74" spans="2:52">
      <c r="B74" t="s">
        <v>1531</v>
      </c>
      <c r="D74" t="s">
        <v>1461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2:52">
      <c r="B75" t="s">
        <v>1532</v>
      </c>
      <c r="D75" t="s">
        <v>1461</v>
      </c>
    </row>
    <row r="76" spans="2:52">
      <c r="B76" t="s">
        <v>1533</v>
      </c>
      <c r="D76" t="s">
        <v>1461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2:52">
      <c r="B77" t="s">
        <v>1534</v>
      </c>
      <c r="D77" t="s">
        <v>1461</v>
      </c>
      <c r="F77">
        <v>0.520558310696</v>
      </c>
      <c r="G77">
        <v>0.4</v>
      </c>
      <c r="H77">
        <v>0.39</v>
      </c>
      <c r="I77">
        <v>0.39</v>
      </c>
      <c r="J77">
        <v>0.39</v>
      </c>
      <c r="K77">
        <v>0.39</v>
      </c>
      <c r="L77">
        <v>0.39</v>
      </c>
      <c r="M77">
        <v>0</v>
      </c>
      <c r="N77">
        <v>0</v>
      </c>
      <c r="O77">
        <v>0</v>
      </c>
      <c r="P77">
        <v>0</v>
      </c>
      <c r="Q77">
        <v>0.39</v>
      </c>
      <c r="R77">
        <v>0</v>
      </c>
      <c r="S77">
        <v>0</v>
      </c>
      <c r="T77">
        <v>0</v>
      </c>
      <c r="U77">
        <v>0</v>
      </c>
      <c r="V77">
        <v>0.39</v>
      </c>
      <c r="W77">
        <v>0</v>
      </c>
      <c r="X77">
        <v>0</v>
      </c>
      <c r="Y77">
        <v>0</v>
      </c>
      <c r="Z77">
        <v>0</v>
      </c>
      <c r="AA77">
        <v>0.29</v>
      </c>
      <c r="AB77">
        <v>0</v>
      </c>
      <c r="AC77">
        <v>0</v>
      </c>
      <c r="AD77">
        <v>0</v>
      </c>
      <c r="AE77">
        <v>0</v>
      </c>
      <c r="AF77">
        <v>0.29</v>
      </c>
      <c r="AG77">
        <v>0</v>
      </c>
      <c r="AH77">
        <v>0</v>
      </c>
      <c r="AI77">
        <v>0</v>
      </c>
      <c r="AJ77">
        <v>0</v>
      </c>
      <c r="AK77">
        <v>0.29</v>
      </c>
      <c r="AL77">
        <v>0</v>
      </c>
      <c r="AM77">
        <v>0</v>
      </c>
      <c r="AN77">
        <v>0</v>
      </c>
      <c r="AO77">
        <v>0</v>
      </c>
      <c r="AP77">
        <v>0.29</v>
      </c>
      <c r="AQ77">
        <v>0</v>
      </c>
      <c r="AR77">
        <v>0</v>
      </c>
      <c r="AS77">
        <v>0</v>
      </c>
      <c r="AT77">
        <v>0</v>
      </c>
      <c r="AU77">
        <v>0.29</v>
      </c>
      <c r="AV77">
        <v>0.29</v>
      </c>
      <c r="AW77">
        <v>0.29</v>
      </c>
      <c r="AX77">
        <v>0.29</v>
      </c>
      <c r="AY77">
        <v>0.29</v>
      </c>
      <c r="AZ77">
        <v>0.29</v>
      </c>
    </row>
    <row r="78" spans="2:52">
      <c r="B78" t="s">
        <v>1535</v>
      </c>
      <c r="D78" t="s">
        <v>1461</v>
      </c>
      <c r="F78">
        <v>69</v>
      </c>
      <c r="G78">
        <v>104.706</v>
      </c>
      <c r="H78">
        <v>85</v>
      </c>
      <c r="I78">
        <v>67.455</v>
      </c>
      <c r="J78">
        <v>189.503</v>
      </c>
      <c r="K78">
        <v>454.947</v>
      </c>
      <c r="L78">
        <v>1586</v>
      </c>
      <c r="M78">
        <v>0</v>
      </c>
      <c r="N78">
        <v>0</v>
      </c>
      <c r="O78">
        <v>0</v>
      </c>
      <c r="P78">
        <v>0</v>
      </c>
      <c r="Q78">
        <v>311</v>
      </c>
      <c r="R78">
        <v>0</v>
      </c>
      <c r="S78">
        <v>0</v>
      </c>
      <c r="T78">
        <v>0</v>
      </c>
      <c r="U78">
        <v>0</v>
      </c>
      <c r="V78">
        <v>295</v>
      </c>
      <c r="W78">
        <v>0</v>
      </c>
      <c r="X78">
        <v>0</v>
      </c>
      <c r="Y78">
        <v>0</v>
      </c>
      <c r="Z78">
        <v>0</v>
      </c>
      <c r="AA78">
        <v>244</v>
      </c>
      <c r="AB78">
        <v>0</v>
      </c>
      <c r="AC78">
        <v>0</v>
      </c>
      <c r="AD78">
        <v>0</v>
      </c>
      <c r="AE78">
        <v>0</v>
      </c>
      <c r="AF78">
        <v>775</v>
      </c>
      <c r="AG78">
        <v>0</v>
      </c>
      <c r="AH78">
        <v>0</v>
      </c>
      <c r="AI78">
        <v>0</v>
      </c>
      <c r="AJ78">
        <v>0</v>
      </c>
      <c r="AK78">
        <v>1150</v>
      </c>
      <c r="AL78">
        <v>0</v>
      </c>
      <c r="AM78">
        <v>0</v>
      </c>
      <c r="AN78">
        <v>0</v>
      </c>
      <c r="AO78">
        <v>0</v>
      </c>
      <c r="AP78">
        <v>906</v>
      </c>
      <c r="AQ78">
        <v>0</v>
      </c>
      <c r="AR78">
        <v>0</v>
      </c>
      <c r="AS78">
        <v>0</v>
      </c>
      <c r="AT78">
        <v>0</v>
      </c>
      <c r="AU78">
        <v>1670</v>
      </c>
      <c r="AV78">
        <v>1774.37685186345</v>
      </c>
      <c r="AW78">
        <v>1673.95082287434</v>
      </c>
      <c r="AX78">
        <v>1664.23679362537</v>
      </c>
      <c r="AY78">
        <v>1687.27591219501</v>
      </c>
      <c r="AZ78">
        <v>1814.45269347562</v>
      </c>
    </row>
    <row r="79" spans="2:52">
      <c r="B79" t="s">
        <v>1536</v>
      </c>
      <c r="D79" t="s">
        <v>1461</v>
      </c>
      <c r="F79">
        <v>1033</v>
      </c>
      <c r="G79">
        <v>1133</v>
      </c>
      <c r="H79">
        <v>1253</v>
      </c>
      <c r="I79">
        <v>1293</v>
      </c>
      <c r="J79">
        <v>1075.092</v>
      </c>
      <c r="K79">
        <v>1046.322</v>
      </c>
      <c r="L79">
        <v>964.814</v>
      </c>
      <c r="Q79">
        <v>1451</v>
      </c>
      <c r="V79">
        <v>1545</v>
      </c>
      <c r="AA79">
        <v>1765</v>
      </c>
      <c r="AF79">
        <v>1504</v>
      </c>
      <c r="AK79">
        <v>1853</v>
      </c>
      <c r="AP79">
        <v>2060</v>
      </c>
      <c r="AU79">
        <v>1953</v>
      </c>
      <c r="AV79">
        <v>2041.31389791588</v>
      </c>
      <c r="AW79">
        <v>2171.92497143286</v>
      </c>
      <c r="AX79">
        <v>2305.28182403481</v>
      </c>
      <c r="AY79">
        <v>2444.72929781593</v>
      </c>
      <c r="AZ79">
        <v>2590.29921891469</v>
      </c>
    </row>
    <row r="80" spans="2:52">
      <c r="B80" t="s">
        <v>1537</v>
      </c>
      <c r="D80" t="s">
        <v>1461</v>
      </c>
      <c r="F80">
        <v>1045</v>
      </c>
      <c r="G80">
        <v>1294</v>
      </c>
      <c r="H80">
        <v>1273</v>
      </c>
      <c r="I80">
        <v>1190</v>
      </c>
      <c r="J80">
        <v>1163.518</v>
      </c>
      <c r="K80">
        <v>1155.374</v>
      </c>
      <c r="L80">
        <v>1230</v>
      </c>
      <c r="M80">
        <v>0</v>
      </c>
      <c r="N80">
        <v>0</v>
      </c>
      <c r="O80">
        <v>0</v>
      </c>
      <c r="P80">
        <v>0</v>
      </c>
      <c r="Q80">
        <v>1607</v>
      </c>
      <c r="R80">
        <v>0</v>
      </c>
      <c r="S80">
        <v>0</v>
      </c>
      <c r="T80">
        <v>0</v>
      </c>
      <c r="U80">
        <v>0</v>
      </c>
      <c r="V80">
        <v>1629</v>
      </c>
      <c r="W80">
        <v>0</v>
      </c>
      <c r="X80">
        <v>0</v>
      </c>
      <c r="Y80">
        <v>0</v>
      </c>
      <c r="Z80">
        <v>0</v>
      </c>
      <c r="AA80">
        <v>1995</v>
      </c>
      <c r="AB80">
        <v>0</v>
      </c>
      <c r="AC80">
        <v>0</v>
      </c>
      <c r="AD80">
        <v>0</v>
      </c>
      <c r="AE80">
        <v>0</v>
      </c>
      <c r="AF80">
        <v>1471</v>
      </c>
      <c r="AG80">
        <v>0</v>
      </c>
      <c r="AH80">
        <v>0</v>
      </c>
      <c r="AI80">
        <v>0</v>
      </c>
      <c r="AJ80">
        <v>0</v>
      </c>
      <c r="AK80">
        <v>2135</v>
      </c>
      <c r="AL80">
        <v>0</v>
      </c>
      <c r="AM80">
        <v>0</v>
      </c>
      <c r="AN80">
        <v>0</v>
      </c>
      <c r="AO80">
        <v>0</v>
      </c>
      <c r="AP80">
        <v>2502</v>
      </c>
      <c r="AQ80">
        <v>0</v>
      </c>
      <c r="AR80">
        <v>0</v>
      </c>
      <c r="AS80">
        <v>0</v>
      </c>
      <c r="AT80">
        <v>0</v>
      </c>
      <c r="AU80">
        <v>2486</v>
      </c>
      <c r="AV80">
        <v>2648.88099844783</v>
      </c>
      <c r="AW80">
        <v>2891.39444759322</v>
      </c>
      <c r="AX80">
        <v>3149.57124941776</v>
      </c>
      <c r="AY80">
        <v>3429.14013246456</v>
      </c>
      <c r="AZ80">
        <v>3731.6522287951</v>
      </c>
    </row>
    <row r="81" spans="2:52">
      <c r="B81" t="s">
        <v>1538</v>
      </c>
      <c r="D81" t="s">
        <v>1461</v>
      </c>
      <c r="F81">
        <v>201</v>
      </c>
      <c r="G81">
        <v>254</v>
      </c>
      <c r="H81">
        <v>267</v>
      </c>
      <c r="I81">
        <v>275.501</v>
      </c>
      <c r="J81">
        <v>348.838</v>
      </c>
      <c r="K81">
        <v>378.303</v>
      </c>
      <c r="L81">
        <v>586</v>
      </c>
      <c r="M81">
        <v>0</v>
      </c>
      <c r="N81">
        <v>0</v>
      </c>
      <c r="O81">
        <v>0</v>
      </c>
      <c r="P81">
        <v>0</v>
      </c>
      <c r="Q81">
        <v>556</v>
      </c>
      <c r="R81">
        <v>0</v>
      </c>
      <c r="S81">
        <v>0</v>
      </c>
      <c r="T81">
        <v>0</v>
      </c>
      <c r="U81">
        <v>0</v>
      </c>
      <c r="V81">
        <v>669</v>
      </c>
      <c r="W81">
        <v>0</v>
      </c>
      <c r="X81">
        <v>0</v>
      </c>
      <c r="Y81">
        <v>0</v>
      </c>
      <c r="Z81">
        <v>0</v>
      </c>
      <c r="AA81">
        <v>930</v>
      </c>
      <c r="AB81">
        <v>0</v>
      </c>
      <c r="AC81">
        <v>0</v>
      </c>
      <c r="AD81">
        <v>0</v>
      </c>
      <c r="AE81">
        <v>0</v>
      </c>
      <c r="AF81">
        <v>735</v>
      </c>
      <c r="AG81">
        <v>0</v>
      </c>
      <c r="AH81">
        <v>0</v>
      </c>
      <c r="AI81">
        <v>0</v>
      </c>
      <c r="AJ81">
        <v>0</v>
      </c>
      <c r="AK81">
        <v>686</v>
      </c>
      <c r="AL81">
        <v>0</v>
      </c>
      <c r="AM81">
        <v>0</v>
      </c>
      <c r="AN81">
        <v>0</v>
      </c>
      <c r="AO81">
        <v>0</v>
      </c>
      <c r="AP81">
        <v>860</v>
      </c>
      <c r="AQ81">
        <v>0</v>
      </c>
      <c r="AR81">
        <v>0</v>
      </c>
      <c r="AS81">
        <v>0</v>
      </c>
      <c r="AT81">
        <v>0</v>
      </c>
      <c r="AU81">
        <v>768</v>
      </c>
      <c r="AV81">
        <v>813.339360790789</v>
      </c>
      <c r="AW81">
        <v>876.055403525279</v>
      </c>
      <c r="AX81">
        <v>942.337848828982</v>
      </c>
      <c r="AY81">
        <v>1013.69028089849</v>
      </c>
      <c r="AZ81">
        <v>1090.44544493104</v>
      </c>
    </row>
    <row r="82" spans="2:52">
      <c r="B82" t="s">
        <v>1539</v>
      </c>
      <c r="D82" t="s">
        <v>1461</v>
      </c>
      <c r="F82">
        <v>2348</v>
      </c>
      <c r="G82">
        <v>2785.706</v>
      </c>
      <c r="H82">
        <v>2878</v>
      </c>
      <c r="I82">
        <v>2825.956</v>
      </c>
      <c r="J82">
        <v>2776.951</v>
      </c>
      <c r="K82">
        <v>3034.946</v>
      </c>
      <c r="L82">
        <v>4366.814</v>
      </c>
      <c r="M82">
        <v>0</v>
      </c>
      <c r="N82">
        <v>0</v>
      </c>
      <c r="O82">
        <v>0</v>
      </c>
      <c r="P82">
        <v>0</v>
      </c>
      <c r="Q82">
        <v>3925</v>
      </c>
      <c r="R82">
        <v>0</v>
      </c>
      <c r="S82">
        <v>0</v>
      </c>
      <c r="T82">
        <v>0</v>
      </c>
      <c r="U82">
        <v>0</v>
      </c>
      <c r="V82">
        <v>4138</v>
      </c>
      <c r="W82">
        <v>0</v>
      </c>
      <c r="X82">
        <v>0</v>
      </c>
      <c r="Y82">
        <v>0</v>
      </c>
      <c r="Z82">
        <v>0</v>
      </c>
      <c r="AA82">
        <v>4934</v>
      </c>
      <c r="AB82">
        <v>0</v>
      </c>
      <c r="AC82">
        <v>0</v>
      </c>
      <c r="AD82">
        <v>0</v>
      </c>
      <c r="AE82">
        <v>0</v>
      </c>
      <c r="AF82">
        <v>4485</v>
      </c>
      <c r="AG82">
        <v>0</v>
      </c>
      <c r="AH82">
        <v>0</v>
      </c>
      <c r="AI82">
        <v>0</v>
      </c>
      <c r="AJ82">
        <v>0</v>
      </c>
      <c r="AK82">
        <v>5824</v>
      </c>
      <c r="AL82">
        <v>0</v>
      </c>
      <c r="AM82">
        <v>0</v>
      </c>
      <c r="AN82">
        <v>0</v>
      </c>
      <c r="AO82">
        <v>0</v>
      </c>
      <c r="AP82">
        <v>6328</v>
      </c>
      <c r="AQ82">
        <v>0</v>
      </c>
      <c r="AR82">
        <v>0</v>
      </c>
      <c r="AS82">
        <v>0</v>
      </c>
      <c r="AT82">
        <v>0</v>
      </c>
      <c r="AU82">
        <v>6877</v>
      </c>
      <c r="AV82">
        <v>7277.91110901795</v>
      </c>
      <c r="AW82">
        <v>7613.3256454257</v>
      </c>
      <c r="AX82">
        <v>8061.42771590693</v>
      </c>
      <c r="AY82">
        <v>8574.83562337399</v>
      </c>
      <c r="AZ82">
        <v>9226.84958611645</v>
      </c>
    </row>
    <row r="83" spans="2:52">
      <c r="B83" t="s">
        <v>1540</v>
      </c>
      <c r="D83" t="s">
        <v>1461</v>
      </c>
      <c r="F83">
        <v>547.667</v>
      </c>
      <c r="G83">
        <v>622</v>
      </c>
      <c r="H83">
        <v>731.636</v>
      </c>
      <c r="I83">
        <v>735.592</v>
      </c>
      <c r="J83">
        <v>732.526</v>
      </c>
      <c r="K83">
        <v>816.371</v>
      </c>
      <c r="L83">
        <v>824</v>
      </c>
      <c r="Q83">
        <v>1169</v>
      </c>
      <c r="V83">
        <v>1174</v>
      </c>
      <c r="AA83">
        <v>1542</v>
      </c>
      <c r="AF83">
        <v>1480</v>
      </c>
      <c r="AK83">
        <v>1798</v>
      </c>
      <c r="AP83">
        <v>2070</v>
      </c>
      <c r="AU83">
        <v>2262</v>
      </c>
      <c r="AV83">
        <v>2801.17621102034</v>
      </c>
      <c r="AW83">
        <v>3403.42022832285</v>
      </c>
      <c r="AX83">
        <v>4074.19107131184</v>
      </c>
      <c r="AY83">
        <v>4820.37437286192</v>
      </c>
      <c r="AZ83">
        <v>5649.45483407945</v>
      </c>
    </row>
    <row r="84" spans="2:52">
      <c r="B84" t="s">
        <v>1541</v>
      </c>
      <c r="D84" t="s">
        <v>1461</v>
      </c>
      <c r="F84">
        <v>-263.471</v>
      </c>
      <c r="G84">
        <v>-312.211</v>
      </c>
      <c r="H84">
        <v>-353.771</v>
      </c>
      <c r="I84">
        <v>-369.836</v>
      </c>
      <c r="J84">
        <v>-387.972</v>
      </c>
      <c r="K84">
        <v>-448.443</v>
      </c>
      <c r="L84">
        <v>-399.646</v>
      </c>
      <c r="Q84">
        <v>-480</v>
      </c>
      <c r="V84">
        <v>-472</v>
      </c>
      <c r="AA84">
        <v>-656</v>
      </c>
      <c r="AF84">
        <v>-757</v>
      </c>
      <c r="AK84">
        <v>-943</v>
      </c>
      <c r="AP84">
        <v>-1107</v>
      </c>
      <c r="AU84">
        <v>-1167</v>
      </c>
      <c r="AV84">
        <v>-1455.16063979957</v>
      </c>
      <c r="AW84">
        <v>-1776.43491103919</v>
      </c>
      <c r="AX84">
        <v>-2133.64215605104</v>
      </c>
      <c r="AY84">
        <v>-2530.35289705903</v>
      </c>
      <c r="AZ84">
        <v>-2970.44557178322</v>
      </c>
    </row>
    <row r="85" spans="2:52">
      <c r="B85" t="s">
        <v>1542</v>
      </c>
      <c r="D85" t="s">
        <v>1461</v>
      </c>
      <c r="F85">
        <v>284.196</v>
      </c>
      <c r="G85">
        <v>309.789</v>
      </c>
      <c r="H85">
        <v>377.865</v>
      </c>
      <c r="I85">
        <v>365.756</v>
      </c>
      <c r="J85">
        <v>344.554</v>
      </c>
      <c r="K85">
        <v>367.928</v>
      </c>
      <c r="L85">
        <v>424.354</v>
      </c>
      <c r="M85">
        <v>0</v>
      </c>
      <c r="N85">
        <v>0</v>
      </c>
      <c r="O85">
        <v>0</v>
      </c>
      <c r="P85">
        <v>0</v>
      </c>
      <c r="Q85">
        <v>689</v>
      </c>
      <c r="R85">
        <v>0</v>
      </c>
      <c r="S85">
        <v>0</v>
      </c>
      <c r="T85">
        <v>0</v>
      </c>
      <c r="U85">
        <v>0</v>
      </c>
      <c r="V85">
        <v>702</v>
      </c>
      <c r="W85">
        <v>0</v>
      </c>
      <c r="X85">
        <v>0</v>
      </c>
      <c r="Y85">
        <v>0</v>
      </c>
      <c r="Z85">
        <v>0</v>
      </c>
      <c r="AA85">
        <v>886</v>
      </c>
      <c r="AB85">
        <v>0</v>
      </c>
      <c r="AC85">
        <v>0</v>
      </c>
      <c r="AD85">
        <v>0</v>
      </c>
      <c r="AE85">
        <v>0</v>
      </c>
      <c r="AF85">
        <v>723</v>
      </c>
      <c r="AG85">
        <v>0</v>
      </c>
      <c r="AH85">
        <v>0</v>
      </c>
      <c r="AI85">
        <v>0</v>
      </c>
      <c r="AJ85">
        <v>0</v>
      </c>
      <c r="AK85">
        <v>855</v>
      </c>
      <c r="AL85">
        <v>0</v>
      </c>
      <c r="AM85">
        <v>0</v>
      </c>
      <c r="AN85">
        <v>0</v>
      </c>
      <c r="AO85">
        <v>0</v>
      </c>
      <c r="AP85">
        <v>963</v>
      </c>
      <c r="AQ85">
        <v>0</v>
      </c>
      <c r="AR85">
        <v>0</v>
      </c>
      <c r="AS85">
        <v>0</v>
      </c>
      <c r="AT85">
        <v>0</v>
      </c>
      <c r="AU85">
        <v>1095</v>
      </c>
      <c r="AV85">
        <v>1346.01557122077</v>
      </c>
      <c r="AW85">
        <v>1626.98531728366</v>
      </c>
      <c r="AX85">
        <v>1940.5489152608</v>
      </c>
      <c r="AY85">
        <v>2290.02147580289</v>
      </c>
      <c r="AZ85">
        <v>2679.00926229623</v>
      </c>
    </row>
    <row r="86" spans="2:52">
      <c r="B86" t="s">
        <v>1543</v>
      </c>
      <c r="D86" t="s">
        <v>1461</v>
      </c>
      <c r="F86">
        <v>857.695</v>
      </c>
      <c r="G86">
        <v>888.286</v>
      </c>
      <c r="H86">
        <v>939.334</v>
      </c>
      <c r="I86">
        <v>1091.663</v>
      </c>
      <c r="J86">
        <v>1089.958</v>
      </c>
      <c r="K86">
        <v>1127</v>
      </c>
      <c r="L86">
        <v>693</v>
      </c>
      <c r="M86">
        <v>0</v>
      </c>
      <c r="N86">
        <v>0</v>
      </c>
      <c r="O86">
        <v>0</v>
      </c>
      <c r="P86">
        <v>0</v>
      </c>
      <c r="Q86">
        <v>3417</v>
      </c>
      <c r="R86">
        <v>0</v>
      </c>
      <c r="S86">
        <v>0</v>
      </c>
      <c r="T86">
        <v>0</v>
      </c>
      <c r="U86">
        <v>0</v>
      </c>
      <c r="V86">
        <v>3168</v>
      </c>
      <c r="W86">
        <v>0</v>
      </c>
      <c r="X86">
        <v>0</v>
      </c>
      <c r="Y86">
        <v>0</v>
      </c>
      <c r="Z86">
        <v>0</v>
      </c>
      <c r="AA86">
        <v>3406</v>
      </c>
      <c r="AB86">
        <v>0</v>
      </c>
      <c r="AC86">
        <v>0</v>
      </c>
      <c r="AD86">
        <v>0</v>
      </c>
      <c r="AE86">
        <v>0</v>
      </c>
      <c r="AF86">
        <v>3358</v>
      </c>
      <c r="AG86">
        <v>0</v>
      </c>
      <c r="AH86">
        <v>0</v>
      </c>
      <c r="AI86">
        <v>0</v>
      </c>
      <c r="AJ86">
        <v>0</v>
      </c>
      <c r="AK86">
        <v>3559</v>
      </c>
      <c r="AL86">
        <v>0</v>
      </c>
      <c r="AM86">
        <v>0</v>
      </c>
      <c r="AN86">
        <v>0</v>
      </c>
      <c r="AO86">
        <v>0</v>
      </c>
      <c r="AP86">
        <v>3725</v>
      </c>
      <c r="AQ86">
        <v>0</v>
      </c>
      <c r="AR86">
        <v>0</v>
      </c>
      <c r="AS86">
        <v>0</v>
      </c>
      <c r="AT86">
        <v>0</v>
      </c>
      <c r="AU86">
        <v>3732</v>
      </c>
      <c r="AV86">
        <v>3732</v>
      </c>
      <c r="AW86">
        <v>3732</v>
      </c>
      <c r="AX86">
        <v>3732</v>
      </c>
      <c r="AY86">
        <v>3732</v>
      </c>
      <c r="AZ86">
        <v>3732</v>
      </c>
    </row>
    <row r="87" spans="2:52">
      <c r="B87" t="s">
        <v>1544</v>
      </c>
      <c r="D87" t="s">
        <v>1461</v>
      </c>
      <c r="F87">
        <v>-148.702</v>
      </c>
      <c r="G87">
        <v>-209.643</v>
      </c>
      <c r="H87">
        <v>-268.392</v>
      </c>
      <c r="I87">
        <v>-337.662</v>
      </c>
      <c r="J87">
        <v>-395.344</v>
      </c>
      <c r="K87">
        <v>-406.344</v>
      </c>
      <c r="L87">
        <v>-166</v>
      </c>
      <c r="M87">
        <v>0</v>
      </c>
      <c r="N87">
        <v>0</v>
      </c>
      <c r="O87">
        <v>0</v>
      </c>
      <c r="P87">
        <v>0</v>
      </c>
      <c r="Q87">
        <v>-224</v>
      </c>
      <c r="R87">
        <v>0</v>
      </c>
      <c r="S87">
        <v>0</v>
      </c>
      <c r="T87">
        <v>0</v>
      </c>
      <c r="U87">
        <v>0</v>
      </c>
      <c r="V87">
        <v>-247</v>
      </c>
      <c r="W87">
        <v>0</v>
      </c>
      <c r="X87">
        <v>0</v>
      </c>
      <c r="Y87">
        <v>0</v>
      </c>
      <c r="Z87">
        <v>0</v>
      </c>
      <c r="AA87">
        <v>-313</v>
      </c>
      <c r="AB87">
        <v>0</v>
      </c>
      <c r="AC87">
        <v>0</v>
      </c>
      <c r="AD87">
        <v>0</v>
      </c>
      <c r="AE87">
        <v>0</v>
      </c>
      <c r="AF87">
        <v>-378</v>
      </c>
      <c r="AG87">
        <v>0</v>
      </c>
      <c r="AH87">
        <v>0</v>
      </c>
      <c r="AI87">
        <v>0</v>
      </c>
      <c r="AJ87">
        <v>0</v>
      </c>
      <c r="AK87">
        <v>-458</v>
      </c>
      <c r="AL87">
        <v>0</v>
      </c>
      <c r="AM87">
        <v>0</v>
      </c>
      <c r="AN87">
        <v>0</v>
      </c>
      <c r="AO87">
        <v>0</v>
      </c>
      <c r="AP87">
        <v>-509</v>
      </c>
      <c r="AQ87">
        <v>0</v>
      </c>
      <c r="AR87">
        <v>0</v>
      </c>
      <c r="AS87">
        <v>0</v>
      </c>
      <c r="AT87">
        <v>0</v>
      </c>
      <c r="AU87">
        <v>-800</v>
      </c>
      <c r="AV87">
        <v>-800</v>
      </c>
      <c r="AW87">
        <v>-800</v>
      </c>
      <c r="AX87">
        <v>-800</v>
      </c>
      <c r="AY87">
        <v>-800</v>
      </c>
      <c r="AZ87">
        <v>-800</v>
      </c>
    </row>
    <row r="88" spans="2:52">
      <c r="B88" t="s">
        <v>1545</v>
      </c>
      <c r="D88" t="s">
        <v>1461</v>
      </c>
      <c r="F88">
        <v>708.993</v>
      </c>
      <c r="G88">
        <v>678.643</v>
      </c>
      <c r="H88">
        <v>670.942</v>
      </c>
      <c r="I88">
        <v>754.001</v>
      </c>
      <c r="J88">
        <v>694.614</v>
      </c>
      <c r="K88">
        <v>720.656</v>
      </c>
      <c r="L88">
        <v>527</v>
      </c>
      <c r="M88">
        <v>0</v>
      </c>
      <c r="N88">
        <v>0</v>
      </c>
      <c r="O88">
        <v>0</v>
      </c>
      <c r="P88">
        <v>0</v>
      </c>
      <c r="Q88">
        <v>3193</v>
      </c>
      <c r="R88">
        <v>0</v>
      </c>
      <c r="S88">
        <v>0</v>
      </c>
      <c r="T88">
        <v>0</v>
      </c>
      <c r="U88">
        <v>0</v>
      </c>
      <c r="V88">
        <v>2921</v>
      </c>
      <c r="W88">
        <v>0</v>
      </c>
      <c r="X88">
        <v>0</v>
      </c>
      <c r="Y88">
        <v>0</v>
      </c>
      <c r="Z88">
        <v>0</v>
      </c>
      <c r="AA88">
        <v>3093</v>
      </c>
      <c r="AB88">
        <v>0</v>
      </c>
      <c r="AC88">
        <v>0</v>
      </c>
      <c r="AD88">
        <v>0</v>
      </c>
      <c r="AE88">
        <v>0</v>
      </c>
      <c r="AF88">
        <v>2980</v>
      </c>
      <c r="AG88">
        <v>0</v>
      </c>
      <c r="AH88">
        <v>0</v>
      </c>
      <c r="AI88">
        <v>0</v>
      </c>
      <c r="AJ88">
        <v>0</v>
      </c>
      <c r="AK88">
        <v>3101</v>
      </c>
      <c r="AL88">
        <v>0</v>
      </c>
      <c r="AM88">
        <v>0</v>
      </c>
      <c r="AN88">
        <v>0</v>
      </c>
      <c r="AO88">
        <v>0</v>
      </c>
      <c r="AP88">
        <v>3216</v>
      </c>
      <c r="AQ88">
        <v>0</v>
      </c>
      <c r="AR88">
        <v>0</v>
      </c>
      <c r="AS88">
        <v>0</v>
      </c>
      <c r="AT88">
        <v>0</v>
      </c>
      <c r="AU88">
        <v>2932</v>
      </c>
      <c r="AV88">
        <v>2932</v>
      </c>
      <c r="AW88">
        <v>2932</v>
      </c>
      <c r="AX88">
        <v>2932</v>
      </c>
      <c r="AY88">
        <v>2932</v>
      </c>
      <c r="AZ88">
        <v>2932</v>
      </c>
    </row>
    <row r="89" spans="2:52">
      <c r="B89" t="s">
        <v>1546</v>
      </c>
      <c r="D89" t="s">
        <v>1461</v>
      </c>
      <c r="F89">
        <v>0</v>
      </c>
      <c r="G89">
        <v>16.388</v>
      </c>
      <c r="H89">
        <v>15</v>
      </c>
      <c r="I89">
        <v>87.408</v>
      </c>
      <c r="J89">
        <v>88.408</v>
      </c>
      <c r="K89">
        <v>93.134</v>
      </c>
      <c r="L89">
        <v>114.27</v>
      </c>
      <c r="M89">
        <v>0</v>
      </c>
      <c r="N89">
        <v>0</v>
      </c>
      <c r="O89">
        <v>0</v>
      </c>
      <c r="P89">
        <v>0</v>
      </c>
      <c r="Q89">
        <v>106</v>
      </c>
      <c r="R89">
        <v>0</v>
      </c>
      <c r="S89">
        <v>0</v>
      </c>
      <c r="T89">
        <v>0</v>
      </c>
      <c r="U89">
        <v>0</v>
      </c>
      <c r="V89">
        <v>103</v>
      </c>
      <c r="W89">
        <v>0</v>
      </c>
      <c r="X89">
        <v>0</v>
      </c>
      <c r="Y89">
        <v>0</v>
      </c>
      <c r="Z89">
        <v>0</v>
      </c>
      <c r="AA89">
        <v>96</v>
      </c>
      <c r="AB89">
        <v>0</v>
      </c>
      <c r="AC89">
        <v>0</v>
      </c>
      <c r="AD89">
        <v>0</v>
      </c>
      <c r="AE89">
        <v>0</v>
      </c>
      <c r="AF89">
        <v>91</v>
      </c>
      <c r="AG89">
        <v>0</v>
      </c>
      <c r="AH89">
        <v>0</v>
      </c>
      <c r="AI89">
        <v>0</v>
      </c>
      <c r="AJ89">
        <v>0</v>
      </c>
      <c r="AK89">
        <v>93</v>
      </c>
      <c r="AL89">
        <v>0</v>
      </c>
      <c r="AM89">
        <v>0</v>
      </c>
      <c r="AN89">
        <v>0</v>
      </c>
      <c r="AO89">
        <v>0</v>
      </c>
      <c r="AP89">
        <v>97</v>
      </c>
      <c r="AQ89">
        <v>0</v>
      </c>
      <c r="AR89">
        <v>0</v>
      </c>
      <c r="AS89">
        <v>0</v>
      </c>
      <c r="AT89">
        <v>0</v>
      </c>
      <c r="AU89">
        <v>112</v>
      </c>
      <c r="AV89">
        <v>112</v>
      </c>
      <c r="AW89">
        <v>112</v>
      </c>
      <c r="AX89">
        <v>112</v>
      </c>
      <c r="AY89">
        <v>112</v>
      </c>
      <c r="AZ89">
        <v>112</v>
      </c>
    </row>
    <row r="90" spans="2:52">
      <c r="B90" t="s">
        <v>1547</v>
      </c>
      <c r="D90" t="s">
        <v>1461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2:52">
      <c r="B91" t="s">
        <v>1548</v>
      </c>
      <c r="D91" t="s">
        <v>1461</v>
      </c>
      <c r="F91">
        <v>245.534</v>
      </c>
      <c r="G91">
        <v>227.318</v>
      </c>
      <c r="H91">
        <v>240.633</v>
      </c>
      <c r="I91">
        <v>227.592</v>
      </c>
      <c r="J91">
        <v>283.053</v>
      </c>
      <c r="K91">
        <v>269.138</v>
      </c>
      <c r="L91">
        <v>317.445</v>
      </c>
      <c r="M91">
        <v>0</v>
      </c>
      <c r="N91">
        <v>0</v>
      </c>
      <c r="O91">
        <v>0</v>
      </c>
      <c r="P91">
        <v>0</v>
      </c>
      <c r="Q91">
        <v>466</v>
      </c>
      <c r="R91">
        <v>0</v>
      </c>
      <c r="S91">
        <v>0</v>
      </c>
      <c r="T91">
        <v>0</v>
      </c>
      <c r="U91">
        <v>0</v>
      </c>
      <c r="V91">
        <v>461</v>
      </c>
      <c r="W91">
        <v>0</v>
      </c>
      <c r="X91">
        <v>0</v>
      </c>
      <c r="Y91">
        <v>0</v>
      </c>
      <c r="Z91">
        <v>0</v>
      </c>
      <c r="AA91">
        <v>524</v>
      </c>
      <c r="AB91">
        <v>0</v>
      </c>
      <c r="AC91">
        <v>0</v>
      </c>
      <c r="AD91">
        <v>0</v>
      </c>
      <c r="AE91">
        <v>0</v>
      </c>
      <c r="AF91">
        <v>596</v>
      </c>
      <c r="AG91">
        <v>0</v>
      </c>
      <c r="AH91">
        <v>0</v>
      </c>
      <c r="AI91">
        <v>0</v>
      </c>
      <c r="AJ91">
        <v>0</v>
      </c>
      <c r="AK91">
        <v>655</v>
      </c>
      <c r="AL91">
        <v>0</v>
      </c>
      <c r="AM91">
        <v>0</v>
      </c>
      <c r="AN91">
        <v>0</v>
      </c>
      <c r="AO91">
        <v>0</v>
      </c>
      <c r="AP91">
        <v>633</v>
      </c>
      <c r="AQ91">
        <v>0</v>
      </c>
      <c r="AR91">
        <v>0</v>
      </c>
      <c r="AS91">
        <v>0</v>
      </c>
      <c r="AT91">
        <v>0</v>
      </c>
      <c r="AU91">
        <v>635</v>
      </c>
      <c r="AV91">
        <v>635</v>
      </c>
      <c r="AW91">
        <v>635</v>
      </c>
      <c r="AX91">
        <v>635</v>
      </c>
      <c r="AY91">
        <v>635</v>
      </c>
      <c r="AZ91">
        <v>635</v>
      </c>
    </row>
    <row r="92" spans="2:52">
      <c r="B92" t="s">
        <v>1549</v>
      </c>
      <c r="D92" t="s">
        <v>1461</v>
      </c>
      <c r="F92">
        <v>3586.723</v>
      </c>
      <c r="G92">
        <v>4017.844</v>
      </c>
      <c r="H92">
        <v>4182.44</v>
      </c>
      <c r="I92">
        <v>4260.713</v>
      </c>
      <c r="J92">
        <v>4187.58</v>
      </c>
      <c r="K92">
        <v>4485.802</v>
      </c>
      <c r="L92">
        <v>5749.883</v>
      </c>
      <c r="Q92">
        <v>8379</v>
      </c>
      <c r="V92">
        <v>8325</v>
      </c>
      <c r="AA92">
        <v>9533</v>
      </c>
      <c r="AF92">
        <v>8875</v>
      </c>
      <c r="AK92">
        <v>10528</v>
      </c>
      <c r="AP92">
        <v>11237</v>
      </c>
      <c r="AU92">
        <v>11651</v>
      </c>
      <c r="AV92">
        <v>12302.9266802387</v>
      </c>
      <c r="AW92">
        <v>12919.3109627094</v>
      </c>
      <c r="AX92">
        <v>13680.9766311677</v>
      </c>
      <c r="AY92">
        <v>14543.8570991769</v>
      </c>
      <c r="AZ92">
        <v>15584.8588484127</v>
      </c>
    </row>
    <row r="93" spans="2:52">
      <c r="B93" t="s">
        <v>1550</v>
      </c>
      <c r="D93" t="s">
        <v>1461</v>
      </c>
      <c r="F93">
        <v>487.7802</v>
      </c>
      <c r="G93">
        <v>532.299</v>
      </c>
      <c r="H93">
        <v>629.7</v>
      </c>
      <c r="I93">
        <v>669</v>
      </c>
      <c r="J93">
        <v>592.273</v>
      </c>
      <c r="K93">
        <v>591.689</v>
      </c>
      <c r="L93">
        <v>684</v>
      </c>
      <c r="M93">
        <v>0</v>
      </c>
      <c r="N93">
        <v>0</v>
      </c>
      <c r="O93">
        <v>0</v>
      </c>
      <c r="P93">
        <v>0</v>
      </c>
      <c r="Q93">
        <v>752</v>
      </c>
      <c r="R93">
        <v>0</v>
      </c>
      <c r="S93">
        <v>0</v>
      </c>
      <c r="T93">
        <v>0</v>
      </c>
      <c r="U93">
        <v>0</v>
      </c>
      <c r="V93">
        <v>849</v>
      </c>
      <c r="W93">
        <v>0</v>
      </c>
      <c r="X93">
        <v>0</v>
      </c>
      <c r="Y93">
        <v>0</v>
      </c>
      <c r="Z93">
        <v>0</v>
      </c>
      <c r="AA93">
        <v>1218</v>
      </c>
      <c r="AB93">
        <v>0</v>
      </c>
      <c r="AC93">
        <v>0</v>
      </c>
      <c r="AD93">
        <v>0</v>
      </c>
      <c r="AE93">
        <v>0</v>
      </c>
      <c r="AF93">
        <v>1166</v>
      </c>
      <c r="AG93">
        <v>0</v>
      </c>
      <c r="AH93">
        <v>0</v>
      </c>
      <c r="AI93">
        <v>0</v>
      </c>
      <c r="AJ93">
        <v>0</v>
      </c>
      <c r="AK93">
        <v>1697</v>
      </c>
      <c r="AL93">
        <v>0</v>
      </c>
      <c r="AM93">
        <v>0</v>
      </c>
      <c r="AN93">
        <v>0</v>
      </c>
      <c r="AO93">
        <v>0</v>
      </c>
      <c r="AP93">
        <v>1887</v>
      </c>
      <c r="AQ93">
        <v>0</v>
      </c>
      <c r="AR93">
        <v>0</v>
      </c>
      <c r="AS93">
        <v>0</v>
      </c>
      <c r="AT93">
        <v>0</v>
      </c>
      <c r="AU93">
        <v>1790</v>
      </c>
      <c r="AV93">
        <v>1907.27956042704</v>
      </c>
      <c r="AW93">
        <v>2069.50747443678</v>
      </c>
      <c r="AX93">
        <v>2240.96062052584</v>
      </c>
      <c r="AY93">
        <v>2425.52832775765</v>
      </c>
      <c r="AZ93">
        <v>2624.07130986498</v>
      </c>
    </row>
    <row r="94" spans="2:52">
      <c r="B94" t="s">
        <v>1551</v>
      </c>
      <c r="D94" t="s">
        <v>1461</v>
      </c>
      <c r="F94">
        <v>177</v>
      </c>
      <c r="G94">
        <v>279.422</v>
      </c>
      <c r="H94">
        <v>196.038</v>
      </c>
      <c r="I94">
        <v>0</v>
      </c>
      <c r="J94">
        <v>0</v>
      </c>
      <c r="K94">
        <v>185.837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284</v>
      </c>
      <c r="AL94">
        <v>0</v>
      </c>
      <c r="AM94">
        <v>0</v>
      </c>
      <c r="AN94">
        <v>0</v>
      </c>
      <c r="AO94">
        <v>0</v>
      </c>
      <c r="AP94">
        <v>289</v>
      </c>
      <c r="AQ94">
        <v>0</v>
      </c>
      <c r="AR94">
        <v>0</v>
      </c>
      <c r="AS94">
        <v>0</v>
      </c>
      <c r="AT94">
        <v>0</v>
      </c>
      <c r="AU94">
        <v>280</v>
      </c>
      <c r="AV94">
        <v>280</v>
      </c>
      <c r="AW94">
        <v>280</v>
      </c>
      <c r="AX94">
        <v>280</v>
      </c>
      <c r="AY94">
        <v>280</v>
      </c>
      <c r="AZ94">
        <v>280</v>
      </c>
    </row>
    <row r="95" spans="2:52">
      <c r="B95" t="s">
        <v>1552</v>
      </c>
      <c r="D95" t="s">
        <v>1461</v>
      </c>
      <c r="F95">
        <v>587.4509768</v>
      </c>
      <c r="G95">
        <v>556.956</v>
      </c>
      <c r="H95">
        <v>567.236</v>
      </c>
      <c r="I95">
        <v>712</v>
      </c>
      <c r="J95">
        <v>751.432</v>
      </c>
      <c r="K95">
        <v>921.339</v>
      </c>
      <c r="L95">
        <v>1039</v>
      </c>
      <c r="M95">
        <v>0</v>
      </c>
      <c r="N95">
        <v>0</v>
      </c>
      <c r="O95">
        <v>0</v>
      </c>
      <c r="P95">
        <v>0</v>
      </c>
      <c r="Q95">
        <v>1440</v>
      </c>
      <c r="R95">
        <v>0</v>
      </c>
      <c r="S95">
        <v>0</v>
      </c>
      <c r="T95">
        <v>0</v>
      </c>
      <c r="U95">
        <v>0</v>
      </c>
      <c r="V95">
        <v>1580</v>
      </c>
      <c r="W95">
        <v>0</v>
      </c>
      <c r="X95">
        <v>0</v>
      </c>
      <c r="Y95">
        <v>0</v>
      </c>
      <c r="Z95">
        <v>0</v>
      </c>
      <c r="AA95">
        <v>1630</v>
      </c>
      <c r="AB95">
        <v>0</v>
      </c>
      <c r="AC95">
        <v>0</v>
      </c>
      <c r="AD95">
        <v>0</v>
      </c>
      <c r="AE95">
        <v>0</v>
      </c>
      <c r="AF95">
        <v>1472</v>
      </c>
      <c r="AG95">
        <v>0</v>
      </c>
      <c r="AH95">
        <v>0</v>
      </c>
      <c r="AI95">
        <v>0</v>
      </c>
      <c r="AJ95">
        <v>0</v>
      </c>
      <c r="AK95">
        <v>1965</v>
      </c>
      <c r="AL95">
        <v>0</v>
      </c>
      <c r="AM95">
        <v>0</v>
      </c>
      <c r="AN95">
        <v>0</v>
      </c>
      <c r="AO95">
        <v>0</v>
      </c>
      <c r="AP95">
        <v>2162</v>
      </c>
      <c r="AQ95">
        <v>0</v>
      </c>
      <c r="AR95">
        <v>0</v>
      </c>
      <c r="AS95">
        <v>0</v>
      </c>
      <c r="AT95">
        <v>0</v>
      </c>
      <c r="AU95">
        <v>2304</v>
      </c>
      <c r="AV95">
        <v>2304</v>
      </c>
      <c r="AW95">
        <v>2304.00000011279</v>
      </c>
      <c r="AX95">
        <v>2304.00000039311</v>
      </c>
      <c r="AY95">
        <v>2304</v>
      </c>
      <c r="AZ95">
        <v>2304</v>
      </c>
    </row>
    <row r="96" spans="2:52">
      <c r="B96" t="s">
        <v>1553</v>
      </c>
      <c r="D96" t="s">
        <v>1461</v>
      </c>
      <c r="F96">
        <v>1252.2311768</v>
      </c>
      <c r="G96">
        <v>1368.677</v>
      </c>
      <c r="H96">
        <v>1392.974</v>
      </c>
      <c r="I96">
        <v>1381</v>
      </c>
      <c r="J96">
        <v>1343.705</v>
      </c>
      <c r="K96">
        <v>1698.865</v>
      </c>
      <c r="L96">
        <v>1723</v>
      </c>
      <c r="Q96">
        <v>2192</v>
      </c>
      <c r="V96">
        <v>2429</v>
      </c>
      <c r="AA96">
        <v>2848</v>
      </c>
      <c r="AF96">
        <v>2638</v>
      </c>
      <c r="AK96">
        <v>3946</v>
      </c>
      <c r="AP96">
        <v>4338</v>
      </c>
      <c r="AU96">
        <v>4374</v>
      </c>
      <c r="AV96">
        <v>4491.27956042704</v>
      </c>
      <c r="AW96">
        <v>4653.50747443678</v>
      </c>
      <c r="AX96">
        <v>4824.96062052584</v>
      </c>
      <c r="AY96">
        <v>5009.52832775765</v>
      </c>
      <c r="AZ96">
        <v>5208.07130986499</v>
      </c>
    </row>
    <row r="97" spans="2:52">
      <c r="B97" t="s">
        <v>1554</v>
      </c>
      <c r="D97" t="s">
        <v>1461</v>
      </c>
      <c r="F97">
        <v>1484</v>
      </c>
      <c r="G97">
        <v>1617</v>
      </c>
      <c r="H97">
        <v>1570</v>
      </c>
      <c r="I97">
        <v>1574</v>
      </c>
      <c r="J97">
        <v>1225.385</v>
      </c>
      <c r="K97">
        <v>933.949</v>
      </c>
      <c r="L97">
        <v>1035.115</v>
      </c>
      <c r="M97">
        <v>0</v>
      </c>
      <c r="N97">
        <v>0</v>
      </c>
      <c r="O97">
        <v>0</v>
      </c>
      <c r="P97">
        <v>0</v>
      </c>
      <c r="Q97">
        <v>2578</v>
      </c>
      <c r="R97">
        <v>0</v>
      </c>
      <c r="S97">
        <v>0</v>
      </c>
      <c r="T97">
        <v>0</v>
      </c>
      <c r="U97">
        <v>0</v>
      </c>
      <c r="V97">
        <v>2146</v>
      </c>
      <c r="W97">
        <v>0</v>
      </c>
      <c r="X97">
        <v>0</v>
      </c>
      <c r="Y97">
        <v>0</v>
      </c>
      <c r="Z97">
        <v>0</v>
      </c>
      <c r="AA97">
        <v>2573</v>
      </c>
      <c r="AB97">
        <v>0</v>
      </c>
      <c r="AC97">
        <v>0</v>
      </c>
      <c r="AD97">
        <v>0</v>
      </c>
      <c r="AE97">
        <v>0</v>
      </c>
      <c r="AF97">
        <v>1767</v>
      </c>
      <c r="AG97">
        <v>0</v>
      </c>
      <c r="AH97">
        <v>0</v>
      </c>
      <c r="AI97">
        <v>0</v>
      </c>
      <c r="AJ97">
        <v>0</v>
      </c>
      <c r="AK97">
        <v>1337</v>
      </c>
      <c r="AL97">
        <v>0</v>
      </c>
      <c r="AM97">
        <v>0</v>
      </c>
      <c r="AN97">
        <v>0</v>
      </c>
      <c r="AO97">
        <v>0</v>
      </c>
      <c r="AP97">
        <v>991</v>
      </c>
      <c r="AQ97">
        <v>0</v>
      </c>
      <c r="AR97">
        <v>0</v>
      </c>
      <c r="AS97">
        <v>0</v>
      </c>
      <c r="AT97">
        <v>0</v>
      </c>
      <c r="AU97">
        <v>1207</v>
      </c>
      <c r="AV97">
        <v>992.333333333333</v>
      </c>
      <c r="AW97">
        <v>977.666666666667</v>
      </c>
      <c r="AX97">
        <v>963</v>
      </c>
      <c r="AY97">
        <v>881.5</v>
      </c>
      <c r="AZ97">
        <v>800</v>
      </c>
    </row>
    <row r="98" spans="2:52">
      <c r="B98" t="s">
        <v>1555</v>
      </c>
      <c r="D98" t="s">
        <v>1461</v>
      </c>
      <c r="F98">
        <v>107.4918232</v>
      </c>
      <c r="G98">
        <v>127.167</v>
      </c>
      <c r="H98">
        <v>146.696</v>
      </c>
      <c r="I98">
        <v>168.841</v>
      </c>
      <c r="J98">
        <v>206.121000000001</v>
      </c>
      <c r="K98">
        <v>289.29296</v>
      </c>
      <c r="L98">
        <v>280.192</v>
      </c>
      <c r="M98">
        <v>0</v>
      </c>
      <c r="N98">
        <v>0</v>
      </c>
      <c r="O98">
        <v>0</v>
      </c>
      <c r="P98">
        <v>0</v>
      </c>
      <c r="Q98">
        <v>773</v>
      </c>
      <c r="R98">
        <v>0</v>
      </c>
      <c r="S98">
        <v>0</v>
      </c>
      <c r="T98">
        <v>0</v>
      </c>
      <c r="U98">
        <v>0</v>
      </c>
      <c r="V98">
        <v>716</v>
      </c>
      <c r="W98">
        <v>0</v>
      </c>
      <c r="X98">
        <v>0</v>
      </c>
      <c r="Y98">
        <v>0</v>
      </c>
      <c r="Z98">
        <v>0</v>
      </c>
      <c r="AA98">
        <v>712</v>
      </c>
      <c r="AB98">
        <v>0</v>
      </c>
      <c r="AC98">
        <v>0</v>
      </c>
      <c r="AD98">
        <v>0</v>
      </c>
      <c r="AE98">
        <v>0</v>
      </c>
      <c r="AF98">
        <v>694</v>
      </c>
      <c r="AG98">
        <v>0</v>
      </c>
      <c r="AH98">
        <v>0</v>
      </c>
      <c r="AI98">
        <v>0</v>
      </c>
      <c r="AJ98">
        <v>0</v>
      </c>
      <c r="AK98">
        <v>784</v>
      </c>
      <c r="AL98">
        <v>0</v>
      </c>
      <c r="AM98">
        <v>0</v>
      </c>
      <c r="AN98">
        <v>0</v>
      </c>
      <c r="AO98">
        <v>0</v>
      </c>
      <c r="AP98">
        <v>780</v>
      </c>
      <c r="AQ98">
        <v>0</v>
      </c>
      <c r="AR98">
        <v>0</v>
      </c>
      <c r="AS98">
        <v>0</v>
      </c>
      <c r="AT98">
        <v>0</v>
      </c>
      <c r="AU98">
        <v>779</v>
      </c>
      <c r="AV98">
        <v>779</v>
      </c>
      <c r="AW98">
        <v>779</v>
      </c>
      <c r="AX98">
        <v>779</v>
      </c>
      <c r="AY98">
        <v>779</v>
      </c>
      <c r="AZ98">
        <v>779</v>
      </c>
    </row>
    <row r="99" spans="2:52">
      <c r="B99" t="s">
        <v>1556</v>
      </c>
      <c r="D99" t="s">
        <v>1461</v>
      </c>
      <c r="F99">
        <v>1591.4918232</v>
      </c>
      <c r="G99">
        <v>1744.167</v>
      </c>
      <c r="H99">
        <v>1716.696</v>
      </c>
      <c r="I99">
        <v>1742.841</v>
      </c>
      <c r="J99">
        <v>1431.506</v>
      </c>
      <c r="K99">
        <v>1223.24196</v>
      </c>
      <c r="L99">
        <v>1315.307</v>
      </c>
      <c r="Q99">
        <v>3351</v>
      </c>
      <c r="V99">
        <v>2862</v>
      </c>
      <c r="AA99">
        <v>3285</v>
      </c>
      <c r="AF99">
        <v>2461</v>
      </c>
      <c r="AK99">
        <v>2121</v>
      </c>
      <c r="AP99">
        <v>1771</v>
      </c>
      <c r="AU99">
        <v>1986</v>
      </c>
      <c r="AV99">
        <v>1771.33333333333</v>
      </c>
      <c r="AW99">
        <v>1756.66666666667</v>
      </c>
      <c r="AX99">
        <v>1742</v>
      </c>
      <c r="AY99">
        <v>1660.5</v>
      </c>
      <c r="AZ99">
        <v>1579</v>
      </c>
    </row>
    <row r="100" spans="2:52">
      <c r="B100" t="s">
        <v>1557</v>
      </c>
      <c r="D100" t="s">
        <v>1461</v>
      </c>
      <c r="F100">
        <v>2843.723</v>
      </c>
      <c r="G100">
        <v>3112.844</v>
      </c>
      <c r="H100">
        <v>3109.67</v>
      </c>
      <c r="I100">
        <v>3123.841</v>
      </c>
      <c r="J100">
        <v>2775.211</v>
      </c>
      <c r="K100">
        <v>2922.10696</v>
      </c>
      <c r="L100">
        <v>3038.307</v>
      </c>
      <c r="M100">
        <v>0</v>
      </c>
      <c r="N100">
        <v>0</v>
      </c>
      <c r="O100">
        <v>0</v>
      </c>
      <c r="P100">
        <v>0</v>
      </c>
      <c r="Q100">
        <v>5543</v>
      </c>
      <c r="R100">
        <v>0</v>
      </c>
      <c r="S100">
        <v>0</v>
      </c>
      <c r="T100">
        <v>0</v>
      </c>
      <c r="U100">
        <v>0</v>
      </c>
      <c r="V100">
        <v>5291</v>
      </c>
      <c r="W100">
        <v>0</v>
      </c>
      <c r="X100">
        <v>0</v>
      </c>
      <c r="Y100">
        <v>0</v>
      </c>
      <c r="Z100">
        <v>0</v>
      </c>
      <c r="AA100">
        <v>6133</v>
      </c>
      <c r="AB100">
        <v>0</v>
      </c>
      <c r="AC100">
        <v>0</v>
      </c>
      <c r="AD100">
        <v>0</v>
      </c>
      <c r="AE100">
        <v>0</v>
      </c>
      <c r="AF100">
        <v>5099</v>
      </c>
      <c r="AG100">
        <v>0</v>
      </c>
      <c r="AH100">
        <v>0</v>
      </c>
      <c r="AI100">
        <v>0</v>
      </c>
      <c r="AJ100">
        <v>0</v>
      </c>
      <c r="AK100">
        <v>6067</v>
      </c>
      <c r="AL100">
        <v>0</v>
      </c>
      <c r="AM100">
        <v>0</v>
      </c>
      <c r="AN100">
        <v>0</v>
      </c>
      <c r="AO100">
        <v>0</v>
      </c>
      <c r="AP100">
        <v>6109</v>
      </c>
      <c r="AQ100">
        <v>0</v>
      </c>
      <c r="AR100">
        <v>0</v>
      </c>
      <c r="AS100">
        <v>0</v>
      </c>
      <c r="AT100">
        <v>0</v>
      </c>
      <c r="AU100">
        <v>6360</v>
      </c>
      <c r="AV100">
        <v>6262.61289376038</v>
      </c>
      <c r="AW100">
        <v>6410.17414110344</v>
      </c>
      <c r="AX100">
        <v>6566.96062052584</v>
      </c>
      <c r="AY100">
        <v>6670.02832775765</v>
      </c>
      <c r="AZ100">
        <v>6787.07130986499</v>
      </c>
    </row>
    <row r="101" spans="2:52">
      <c r="B101" t="s">
        <v>1558</v>
      </c>
      <c r="D101" t="s">
        <v>1461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2:52">
      <c r="B102" t="s">
        <v>1559</v>
      </c>
      <c r="D102" t="s">
        <v>1461</v>
      </c>
      <c r="F102">
        <v>680</v>
      </c>
      <c r="G102">
        <v>815</v>
      </c>
      <c r="H102">
        <v>1014.613</v>
      </c>
      <c r="I102">
        <v>1081.359</v>
      </c>
      <c r="J102">
        <v>1355.79</v>
      </c>
      <c r="K102">
        <v>1543.89704</v>
      </c>
      <c r="L102">
        <v>2683.1</v>
      </c>
      <c r="M102">
        <v>0</v>
      </c>
      <c r="N102">
        <v>0</v>
      </c>
      <c r="O102">
        <v>0</v>
      </c>
      <c r="P102">
        <v>0</v>
      </c>
      <c r="Q102">
        <v>2828</v>
      </c>
      <c r="R102">
        <v>0</v>
      </c>
      <c r="S102">
        <v>0</v>
      </c>
      <c r="T102">
        <v>0</v>
      </c>
      <c r="U102">
        <v>0</v>
      </c>
      <c r="V102">
        <v>3023</v>
      </c>
      <c r="W102">
        <v>0</v>
      </c>
      <c r="X102">
        <v>0</v>
      </c>
      <c r="Y102">
        <v>0</v>
      </c>
      <c r="Z102">
        <v>0</v>
      </c>
      <c r="AA102">
        <v>3386</v>
      </c>
      <c r="AB102">
        <v>0</v>
      </c>
      <c r="AC102">
        <v>0</v>
      </c>
      <c r="AD102">
        <v>0</v>
      </c>
      <c r="AE102">
        <v>0</v>
      </c>
      <c r="AF102">
        <v>3771</v>
      </c>
      <c r="AG102">
        <v>0</v>
      </c>
      <c r="AH102">
        <v>0</v>
      </c>
      <c r="AI102">
        <v>0</v>
      </c>
      <c r="AJ102">
        <v>0</v>
      </c>
      <c r="AK102">
        <v>4463</v>
      </c>
      <c r="AL102">
        <v>0</v>
      </c>
      <c r="AM102">
        <v>0</v>
      </c>
      <c r="AN102">
        <v>0</v>
      </c>
      <c r="AO102">
        <v>0</v>
      </c>
      <c r="AP102">
        <v>5137</v>
      </c>
      <c r="AQ102">
        <v>0</v>
      </c>
      <c r="AR102">
        <v>0</v>
      </c>
      <c r="AS102">
        <v>0</v>
      </c>
      <c r="AT102">
        <v>0</v>
      </c>
      <c r="AU102">
        <v>5304</v>
      </c>
      <c r="AV102">
        <v>6055.31378647834</v>
      </c>
      <c r="AW102">
        <v>6526.13682160591</v>
      </c>
      <c r="AX102">
        <v>7133.01601064189</v>
      </c>
      <c r="AY102">
        <v>7894.82877141922</v>
      </c>
      <c r="AZ102">
        <v>8820.7875385477</v>
      </c>
    </row>
    <row r="103" spans="2:52">
      <c r="B103" t="s">
        <v>1560</v>
      </c>
      <c r="D103" t="s">
        <v>1461</v>
      </c>
      <c r="F103">
        <v>63</v>
      </c>
      <c r="G103">
        <v>90</v>
      </c>
      <c r="H103">
        <v>58.157</v>
      </c>
      <c r="I103">
        <v>55.513</v>
      </c>
      <c r="J103">
        <v>56.579</v>
      </c>
      <c r="K103">
        <v>19.798</v>
      </c>
      <c r="L103">
        <v>28.476</v>
      </c>
      <c r="M103">
        <v>0</v>
      </c>
      <c r="N103">
        <v>0</v>
      </c>
      <c r="O103">
        <v>0</v>
      </c>
      <c r="P103">
        <v>0</v>
      </c>
      <c r="Q103">
        <v>8</v>
      </c>
      <c r="R103">
        <v>0</v>
      </c>
      <c r="S103">
        <v>0</v>
      </c>
      <c r="T103">
        <v>0</v>
      </c>
      <c r="U103">
        <v>0</v>
      </c>
      <c r="V103">
        <v>11</v>
      </c>
      <c r="W103">
        <v>0</v>
      </c>
      <c r="X103">
        <v>0</v>
      </c>
      <c r="Y103">
        <v>0</v>
      </c>
      <c r="Z103">
        <v>0</v>
      </c>
      <c r="AA103">
        <v>14</v>
      </c>
      <c r="AB103">
        <v>0</v>
      </c>
      <c r="AC103">
        <v>0</v>
      </c>
      <c r="AD103">
        <v>0</v>
      </c>
      <c r="AE103">
        <v>0</v>
      </c>
      <c r="AF103">
        <v>5</v>
      </c>
      <c r="AG103">
        <v>0</v>
      </c>
      <c r="AH103">
        <v>0</v>
      </c>
      <c r="AI103">
        <v>0</v>
      </c>
      <c r="AJ103">
        <v>0</v>
      </c>
      <c r="AK103">
        <v>-2</v>
      </c>
      <c r="AL103">
        <v>0</v>
      </c>
      <c r="AM103">
        <v>0</v>
      </c>
      <c r="AN103">
        <v>0</v>
      </c>
      <c r="AO103">
        <v>0</v>
      </c>
      <c r="AP103">
        <v>-9</v>
      </c>
      <c r="AQ103">
        <v>0</v>
      </c>
      <c r="AR103">
        <v>0</v>
      </c>
      <c r="AS103">
        <v>0</v>
      </c>
      <c r="AT103">
        <v>0</v>
      </c>
      <c r="AU103">
        <v>-13</v>
      </c>
      <c r="AV103">
        <v>-15</v>
      </c>
      <c r="AW103">
        <v>-17</v>
      </c>
      <c r="AX103">
        <v>-19</v>
      </c>
      <c r="AY103">
        <v>-21</v>
      </c>
      <c r="AZ103">
        <v>-23</v>
      </c>
    </row>
    <row r="104" spans="2:52">
      <c r="B104" t="s">
        <v>1561</v>
      </c>
      <c r="D104" t="s">
        <v>1461</v>
      </c>
      <c r="F104">
        <v>743</v>
      </c>
      <c r="G104">
        <v>905</v>
      </c>
      <c r="H104">
        <v>1072.77</v>
      </c>
      <c r="I104">
        <v>1136.872</v>
      </c>
      <c r="J104">
        <v>1412.369</v>
      </c>
      <c r="K104">
        <v>1563.69504</v>
      </c>
      <c r="L104">
        <v>2711.576</v>
      </c>
      <c r="Q104">
        <v>2836</v>
      </c>
      <c r="V104">
        <v>3034</v>
      </c>
      <c r="AA104">
        <v>3400</v>
      </c>
      <c r="AF104">
        <v>3776</v>
      </c>
      <c r="AK104">
        <v>4461</v>
      </c>
      <c r="AP104">
        <v>5128</v>
      </c>
      <c r="AU104">
        <v>5291</v>
      </c>
      <c r="AV104">
        <v>6040.31378647834</v>
      </c>
      <c r="AW104">
        <v>6509.13682160591</v>
      </c>
      <c r="AX104">
        <v>7114.01601064189</v>
      </c>
      <c r="AY104">
        <v>7873.82877141922</v>
      </c>
      <c r="AZ104">
        <v>8797.7875385477</v>
      </c>
    </row>
    <row r="105" spans="2:52">
      <c r="B105" t="s">
        <v>1562</v>
      </c>
      <c r="D105" t="s">
        <v>1461</v>
      </c>
      <c r="F105">
        <v>3586.723</v>
      </c>
      <c r="G105">
        <v>4017.844</v>
      </c>
      <c r="H105">
        <v>4182.44</v>
      </c>
      <c r="I105">
        <v>4260.713</v>
      </c>
      <c r="J105">
        <v>4187.58</v>
      </c>
      <c r="K105">
        <v>4485.802</v>
      </c>
      <c r="L105">
        <v>5749.883</v>
      </c>
      <c r="Q105">
        <v>8379</v>
      </c>
      <c r="V105">
        <v>8325</v>
      </c>
      <c r="AA105">
        <v>9533</v>
      </c>
      <c r="AF105">
        <v>8875</v>
      </c>
      <c r="AK105">
        <v>10528</v>
      </c>
      <c r="AP105">
        <v>11237</v>
      </c>
      <c r="AU105">
        <v>11651</v>
      </c>
      <c r="AV105">
        <v>12302.9266802387</v>
      </c>
      <c r="AW105">
        <v>12919.3109627094</v>
      </c>
      <c r="AX105">
        <v>13680.9766311677</v>
      </c>
      <c r="AY105">
        <v>14543.8570991769</v>
      </c>
      <c r="AZ105">
        <v>15584.8588484127</v>
      </c>
    </row>
    <row r="106" spans="2:52">
      <c r="B106" t="s">
        <v>1563</v>
      </c>
      <c r="D106" t="s">
        <v>1461</v>
      </c>
      <c r="F106">
        <v>3.757894736842</v>
      </c>
      <c r="G106">
        <v>4.478021978022</v>
      </c>
      <c r="H106">
        <v>5.609639182692</v>
      </c>
      <c r="I106">
        <v>5.949835545852</v>
      </c>
      <c r="J106">
        <v>7.456845</v>
      </c>
      <c r="K106">
        <v>8.06366606879</v>
      </c>
      <c r="L106">
        <v>13.520582245431</v>
      </c>
      <c r="Q106">
        <v>13.87652173913</v>
      </c>
      <c r="V106">
        <v>14.10001814882</v>
      </c>
      <c r="AA106">
        <v>16.191619937695</v>
      </c>
      <c r="AF106">
        <v>18.022538926964</v>
      </c>
      <c r="AK106">
        <v>21.332001530704</v>
      </c>
      <c r="AP106">
        <v>24.553549599647</v>
      </c>
      <c r="AU106">
        <v>25.351766999519</v>
      </c>
      <c r="AV106">
        <v>28.942855245809</v>
      </c>
      <c r="AW106">
        <v>31.817134636218</v>
      </c>
      <c r="AX106">
        <v>35.471394443028</v>
      </c>
      <c r="AY106">
        <v>40.044967892017</v>
      </c>
      <c r="AZ106">
        <v>45.636546056964</v>
      </c>
    </row>
    <row r="107" spans="2:52">
      <c r="B107" t="s">
        <v>1564</v>
      </c>
      <c r="D107" t="s">
        <v>1461</v>
      </c>
      <c r="F107">
        <v>1592</v>
      </c>
      <c r="G107">
        <v>1791.716</v>
      </c>
      <c r="H107">
        <v>1681.038</v>
      </c>
      <c r="I107">
        <v>1506.545</v>
      </c>
      <c r="J107">
        <v>1035.882</v>
      </c>
      <c r="K107">
        <v>664.839</v>
      </c>
      <c r="L107">
        <v>-550.885</v>
      </c>
      <c r="M107">
        <v>0</v>
      </c>
      <c r="N107">
        <v>0</v>
      </c>
      <c r="O107">
        <v>0</v>
      </c>
      <c r="P107">
        <v>0</v>
      </c>
      <c r="Q107">
        <v>2267</v>
      </c>
      <c r="R107">
        <v>0</v>
      </c>
      <c r="S107">
        <v>0</v>
      </c>
      <c r="T107">
        <v>0</v>
      </c>
      <c r="U107">
        <v>0</v>
      </c>
      <c r="V107">
        <v>1851</v>
      </c>
      <c r="W107">
        <v>0</v>
      </c>
      <c r="X107">
        <v>0</v>
      </c>
      <c r="Y107">
        <v>0</v>
      </c>
      <c r="Z107">
        <v>0</v>
      </c>
      <c r="AA107">
        <v>2329</v>
      </c>
      <c r="AB107">
        <v>0</v>
      </c>
      <c r="AC107">
        <v>0</v>
      </c>
      <c r="AD107">
        <v>0</v>
      </c>
      <c r="AE107">
        <v>0</v>
      </c>
      <c r="AF107">
        <v>992</v>
      </c>
      <c r="AG107">
        <v>0</v>
      </c>
      <c r="AH107">
        <v>0</v>
      </c>
      <c r="AI107">
        <v>0</v>
      </c>
      <c r="AJ107">
        <v>0</v>
      </c>
      <c r="AK107">
        <v>471</v>
      </c>
      <c r="AL107">
        <v>0</v>
      </c>
      <c r="AM107">
        <v>0</v>
      </c>
      <c r="AN107">
        <v>0</v>
      </c>
      <c r="AO107">
        <v>0</v>
      </c>
      <c r="AP107">
        <v>374</v>
      </c>
      <c r="AQ107">
        <v>0</v>
      </c>
      <c r="AR107">
        <v>0</v>
      </c>
      <c r="AS107">
        <v>0</v>
      </c>
      <c r="AT107">
        <v>0</v>
      </c>
      <c r="AU107">
        <v>-183</v>
      </c>
      <c r="AV107">
        <v>-502.043518530113</v>
      </c>
      <c r="AW107">
        <v>-416.284156207671</v>
      </c>
      <c r="AX107">
        <v>-421.236793625375</v>
      </c>
      <c r="AY107">
        <v>-525.775912195009</v>
      </c>
      <c r="AZ107">
        <v>-734.452693475617</v>
      </c>
    </row>
    <row r="108" spans="2:52">
      <c r="B108" t="s">
        <v>1565</v>
      </c>
      <c r="D108" t="s">
        <v>1461</v>
      </c>
      <c r="F108">
        <v>792</v>
      </c>
      <c r="G108">
        <v>792</v>
      </c>
      <c r="H108">
        <v>864</v>
      </c>
      <c r="I108">
        <v>1024</v>
      </c>
      <c r="J108">
        <v>1032</v>
      </c>
      <c r="K108">
        <v>1024</v>
      </c>
      <c r="L108">
        <v>1368</v>
      </c>
      <c r="M108">
        <v>0</v>
      </c>
      <c r="N108">
        <v>0</v>
      </c>
      <c r="O108">
        <v>0</v>
      </c>
      <c r="P108">
        <v>0</v>
      </c>
      <c r="Q108">
        <v>2224</v>
      </c>
      <c r="R108">
        <v>0</v>
      </c>
      <c r="S108">
        <v>0</v>
      </c>
      <c r="T108">
        <v>0</v>
      </c>
      <c r="U108">
        <v>0</v>
      </c>
      <c r="V108">
        <v>1696</v>
      </c>
      <c r="W108">
        <v>0</v>
      </c>
      <c r="X108">
        <v>0</v>
      </c>
      <c r="Y108">
        <v>0</v>
      </c>
      <c r="Z108">
        <v>0</v>
      </c>
      <c r="AA108">
        <v>1704</v>
      </c>
      <c r="AB108">
        <v>0</v>
      </c>
      <c r="AC108">
        <v>0</v>
      </c>
      <c r="AD108">
        <v>0</v>
      </c>
      <c r="AE108">
        <v>0</v>
      </c>
      <c r="AF108">
        <v>2880</v>
      </c>
      <c r="AG108">
        <v>0</v>
      </c>
      <c r="AH108">
        <v>0</v>
      </c>
      <c r="AI108">
        <v>0</v>
      </c>
      <c r="AJ108">
        <v>0</v>
      </c>
      <c r="AK108">
        <v>3232</v>
      </c>
      <c r="AL108">
        <v>0</v>
      </c>
      <c r="AM108">
        <v>0</v>
      </c>
      <c r="AN108">
        <v>0</v>
      </c>
      <c r="AO108">
        <v>0</v>
      </c>
      <c r="AP108">
        <v>3592</v>
      </c>
      <c r="AQ108">
        <v>0</v>
      </c>
      <c r="AR108">
        <v>0</v>
      </c>
      <c r="AS108">
        <v>0</v>
      </c>
      <c r="AT108">
        <v>0</v>
      </c>
      <c r="AU108">
        <v>3648</v>
      </c>
      <c r="AV108">
        <v>4013.87942459247</v>
      </c>
      <c r="AW108">
        <v>4492.94466068047</v>
      </c>
      <c r="AX108">
        <v>5014.23326795816</v>
      </c>
      <c r="AY108">
        <v>5588.54735135444</v>
      </c>
      <c r="AZ108">
        <v>6220.54428523814</v>
      </c>
    </row>
    <row r="109" spans="2:52">
      <c r="B109" t="s">
        <v>1566</v>
      </c>
      <c r="D109" t="s">
        <v>1461</v>
      </c>
      <c r="F109">
        <v>-11.8938606</v>
      </c>
      <c r="G109">
        <v>-31.748</v>
      </c>
      <c r="H109">
        <v>-41.552</v>
      </c>
      <c r="I109">
        <v>-51</v>
      </c>
      <c r="J109">
        <v>-65.807</v>
      </c>
      <c r="K109">
        <v>-77.915</v>
      </c>
      <c r="L109">
        <v>-42.185</v>
      </c>
      <c r="M109">
        <v>0</v>
      </c>
      <c r="N109">
        <v>0</v>
      </c>
      <c r="O109">
        <v>0</v>
      </c>
      <c r="P109">
        <v>0</v>
      </c>
      <c r="Q109">
        <v>-522</v>
      </c>
      <c r="R109">
        <v>0</v>
      </c>
      <c r="S109">
        <v>0</v>
      </c>
      <c r="T109">
        <v>0</v>
      </c>
      <c r="U109">
        <v>0</v>
      </c>
      <c r="V109">
        <v>-450</v>
      </c>
      <c r="W109">
        <v>0</v>
      </c>
      <c r="X109">
        <v>0</v>
      </c>
      <c r="Y109">
        <v>0</v>
      </c>
      <c r="Z109">
        <v>0</v>
      </c>
      <c r="AA109">
        <v>-463</v>
      </c>
      <c r="AB109">
        <v>0</v>
      </c>
      <c r="AC109">
        <v>0</v>
      </c>
      <c r="AD109">
        <v>0</v>
      </c>
      <c r="AE109">
        <v>0</v>
      </c>
      <c r="AF109">
        <v>-433</v>
      </c>
      <c r="AG109">
        <v>0</v>
      </c>
      <c r="AH109">
        <v>0</v>
      </c>
      <c r="AI109">
        <v>0</v>
      </c>
      <c r="AJ109">
        <v>0</v>
      </c>
      <c r="AK109">
        <v>-451</v>
      </c>
      <c r="AL109">
        <v>0</v>
      </c>
      <c r="AM109">
        <v>0</v>
      </c>
      <c r="AN109">
        <v>0</v>
      </c>
      <c r="AO109">
        <v>0</v>
      </c>
      <c r="AP109">
        <v>-430</v>
      </c>
      <c r="AQ109">
        <v>0</v>
      </c>
      <c r="AR109">
        <v>0</v>
      </c>
      <c r="AS109">
        <v>0</v>
      </c>
      <c r="AT109">
        <v>0</v>
      </c>
      <c r="AU109">
        <v>-368</v>
      </c>
      <c r="AV109">
        <v>-368</v>
      </c>
      <c r="AW109">
        <v>-368</v>
      </c>
      <c r="AX109">
        <v>-368</v>
      </c>
      <c r="AY109">
        <v>-368</v>
      </c>
      <c r="AZ109">
        <v>-368</v>
      </c>
    </row>
    <row r="110" spans="2:52">
      <c r="B110" t="s">
        <v>1567</v>
      </c>
      <c r="D110" t="s">
        <v>1461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2:52">
      <c r="B111" t="s">
        <v>1568</v>
      </c>
      <c r="D111" t="s">
        <v>1461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2:52">
      <c r="B112" t="s">
        <v>1569</v>
      </c>
      <c r="D112" t="s">
        <v>1461</v>
      </c>
      <c r="G112">
        <v>0.007</v>
      </c>
      <c r="H112">
        <v>0.007</v>
      </c>
      <c r="I112">
        <v>0.007</v>
      </c>
      <c r="J112">
        <v>0.007</v>
      </c>
      <c r="K112">
        <v>0.007</v>
      </c>
      <c r="L112">
        <v>0.007</v>
      </c>
      <c r="Q112">
        <v>0.007</v>
      </c>
      <c r="V112">
        <v>0.01</v>
      </c>
      <c r="AA112">
        <v>0.01</v>
      </c>
      <c r="AF112">
        <v>0.01</v>
      </c>
      <c r="AK112">
        <v>0.01</v>
      </c>
      <c r="AP112">
        <v>0.01</v>
      </c>
      <c r="AU112">
        <v>0.01</v>
      </c>
      <c r="AV112">
        <v>0.01</v>
      </c>
      <c r="AW112">
        <v>0.01</v>
      </c>
      <c r="AX112">
        <v>0.01</v>
      </c>
      <c r="AY112">
        <v>0.01</v>
      </c>
      <c r="AZ112">
        <v>0.01</v>
      </c>
    </row>
    <row r="113" spans="2:52">
      <c r="B113" t="s">
        <v>1570</v>
      </c>
      <c r="D113" t="s">
        <v>1461</v>
      </c>
      <c r="F113">
        <v>-96</v>
      </c>
      <c r="G113">
        <v>-95.591</v>
      </c>
      <c r="H113">
        <v>-105.107</v>
      </c>
      <c r="I113">
        <v>-118</v>
      </c>
      <c r="J113">
        <v>-106.264</v>
      </c>
      <c r="K113">
        <v>-111.321</v>
      </c>
      <c r="L113">
        <v>-148</v>
      </c>
      <c r="M113">
        <v>0</v>
      </c>
      <c r="N113">
        <v>0</v>
      </c>
      <c r="O113">
        <v>0</v>
      </c>
      <c r="P113">
        <v>0</v>
      </c>
      <c r="Q113">
        <v>-134</v>
      </c>
      <c r="R113">
        <v>0</v>
      </c>
      <c r="S113">
        <v>0</v>
      </c>
      <c r="T113">
        <v>0</v>
      </c>
      <c r="U113">
        <v>0</v>
      </c>
      <c r="V113">
        <v>-134</v>
      </c>
      <c r="W113">
        <v>0</v>
      </c>
      <c r="X113">
        <v>0</v>
      </c>
      <c r="Y113">
        <v>0</v>
      </c>
      <c r="Z113">
        <v>0</v>
      </c>
      <c r="AA113">
        <v>-134</v>
      </c>
      <c r="AB113">
        <v>0</v>
      </c>
      <c r="AC113">
        <v>0</v>
      </c>
      <c r="AD113">
        <v>0</v>
      </c>
      <c r="AE113">
        <v>0</v>
      </c>
      <c r="AF113">
        <v>-134</v>
      </c>
      <c r="AG113">
        <v>0</v>
      </c>
      <c r="AH113">
        <v>0</v>
      </c>
      <c r="AI113">
        <v>0</v>
      </c>
      <c r="AJ113">
        <v>0</v>
      </c>
      <c r="AK113">
        <v>-134</v>
      </c>
      <c r="AL113">
        <v>0</v>
      </c>
      <c r="AM113">
        <v>0</v>
      </c>
      <c r="AN113">
        <v>0</v>
      </c>
      <c r="AO113">
        <v>0</v>
      </c>
      <c r="AP113">
        <v>-134</v>
      </c>
      <c r="AQ113">
        <v>0</v>
      </c>
      <c r="AR113">
        <v>0</v>
      </c>
      <c r="AS113">
        <v>0</v>
      </c>
      <c r="AT113">
        <v>0</v>
      </c>
      <c r="AU113">
        <v>-134</v>
      </c>
      <c r="AV113">
        <v>-134</v>
      </c>
      <c r="AW113">
        <v>-134</v>
      </c>
      <c r="AX113">
        <v>-134</v>
      </c>
      <c r="AY113">
        <v>-134</v>
      </c>
      <c r="AZ113">
        <v>-134</v>
      </c>
    </row>
    <row r="114" spans="2:52">
      <c r="B114" t="s">
        <v>1571</v>
      </c>
      <c r="D114" t="s">
        <v>1461</v>
      </c>
    </row>
    <row r="115" spans="2:52">
      <c r="B115" t="s">
        <v>1572</v>
      </c>
      <c r="D115" t="s">
        <v>1461</v>
      </c>
      <c r="F115">
        <v>96</v>
      </c>
      <c r="G115">
        <v>95.591</v>
      </c>
      <c r="H115">
        <v>105.107</v>
      </c>
      <c r="I115">
        <v>118</v>
      </c>
      <c r="J115">
        <v>106.264</v>
      </c>
      <c r="K115">
        <v>111.321</v>
      </c>
      <c r="L115">
        <v>148</v>
      </c>
      <c r="M115">
        <v>0</v>
      </c>
      <c r="N115">
        <v>0</v>
      </c>
      <c r="O115">
        <v>0</v>
      </c>
      <c r="P115">
        <v>0</v>
      </c>
      <c r="Q115">
        <v>134</v>
      </c>
      <c r="R115">
        <v>0</v>
      </c>
      <c r="S115">
        <v>0</v>
      </c>
      <c r="T115">
        <v>0</v>
      </c>
      <c r="U115">
        <v>0</v>
      </c>
      <c r="V115">
        <v>134</v>
      </c>
      <c r="W115">
        <v>0</v>
      </c>
      <c r="X115">
        <v>0</v>
      </c>
      <c r="Y115">
        <v>0</v>
      </c>
      <c r="Z115">
        <v>0</v>
      </c>
      <c r="AA115">
        <v>134</v>
      </c>
      <c r="AB115">
        <v>0</v>
      </c>
      <c r="AC115">
        <v>0</v>
      </c>
      <c r="AD115">
        <v>0</v>
      </c>
      <c r="AE115">
        <v>0</v>
      </c>
      <c r="AF115">
        <v>134</v>
      </c>
      <c r="AG115">
        <v>0</v>
      </c>
      <c r="AH115">
        <v>0</v>
      </c>
      <c r="AI115">
        <v>0</v>
      </c>
      <c r="AJ115">
        <v>0</v>
      </c>
      <c r="AK115">
        <v>134</v>
      </c>
      <c r="AL115">
        <v>0</v>
      </c>
      <c r="AM115">
        <v>0</v>
      </c>
      <c r="AN115">
        <v>0</v>
      </c>
      <c r="AO115">
        <v>0</v>
      </c>
      <c r="AP115">
        <v>134</v>
      </c>
      <c r="AQ115">
        <v>0</v>
      </c>
      <c r="AR115">
        <v>0</v>
      </c>
      <c r="AS115">
        <v>0</v>
      </c>
      <c r="AT115">
        <v>0</v>
      </c>
      <c r="AU115">
        <v>134</v>
      </c>
      <c r="AV115">
        <v>134</v>
      </c>
      <c r="AW115">
        <v>134</v>
      </c>
      <c r="AX115">
        <v>134</v>
      </c>
      <c r="AY115">
        <v>134</v>
      </c>
      <c r="AZ115">
        <v>134</v>
      </c>
    </row>
    <row r="116" spans="2:52">
      <c r="B116" t="s">
        <v>1573</v>
      </c>
      <c r="D116" t="s">
        <v>1461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2:52">
      <c r="B117" t="s">
        <v>1574</v>
      </c>
      <c r="D117" t="s">
        <v>1461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2:52">
      <c r="B118" t="s">
        <v>1575</v>
      </c>
      <c r="D118" t="s">
        <v>1461</v>
      </c>
      <c r="F118">
        <v>2.307</v>
      </c>
      <c r="G118">
        <v>2.307</v>
      </c>
      <c r="H118">
        <v>2.307</v>
      </c>
      <c r="I118">
        <v>2.307</v>
      </c>
      <c r="J118">
        <v>2.307</v>
      </c>
      <c r="K118">
        <v>2.307</v>
      </c>
      <c r="L118">
        <v>2.307</v>
      </c>
      <c r="M118">
        <v>1</v>
      </c>
      <c r="N118">
        <v>1</v>
      </c>
      <c r="O118">
        <v>1</v>
      </c>
      <c r="P118">
        <v>1</v>
      </c>
      <c r="Q118">
        <v>2.307</v>
      </c>
      <c r="R118">
        <v>1</v>
      </c>
      <c r="S118">
        <v>1</v>
      </c>
      <c r="T118">
        <v>1</v>
      </c>
      <c r="U118">
        <v>1</v>
      </c>
      <c r="V118">
        <v>2.307</v>
      </c>
      <c r="W118">
        <v>1</v>
      </c>
      <c r="X118">
        <v>1</v>
      </c>
      <c r="Y118">
        <v>1</v>
      </c>
      <c r="Z118">
        <v>1</v>
      </c>
      <c r="AA118">
        <v>2.307</v>
      </c>
      <c r="AB118">
        <v>1</v>
      </c>
      <c r="AC118">
        <v>1</v>
      </c>
      <c r="AD118">
        <v>1</v>
      </c>
      <c r="AE118">
        <v>1</v>
      </c>
      <c r="AF118">
        <v>3.307</v>
      </c>
      <c r="AG118">
        <v>1</v>
      </c>
      <c r="AH118">
        <v>1</v>
      </c>
      <c r="AI118">
        <v>1</v>
      </c>
      <c r="AJ118">
        <v>1</v>
      </c>
      <c r="AK118">
        <v>3.307</v>
      </c>
      <c r="AL118">
        <v>1</v>
      </c>
      <c r="AM118">
        <v>1</v>
      </c>
      <c r="AN118">
        <v>1</v>
      </c>
      <c r="AO118">
        <v>1</v>
      </c>
      <c r="AP118">
        <v>3.307</v>
      </c>
      <c r="AQ118">
        <v>1</v>
      </c>
      <c r="AR118">
        <v>1</v>
      </c>
      <c r="AS118">
        <v>1</v>
      </c>
      <c r="AT118">
        <v>1</v>
      </c>
      <c r="AU118">
        <v>3.307</v>
      </c>
      <c r="AV118">
        <v>3.307</v>
      </c>
      <c r="AW118">
        <v>3.307</v>
      </c>
      <c r="AX118">
        <v>3.307</v>
      </c>
      <c r="AY118">
        <v>3.307</v>
      </c>
      <c r="AZ118">
        <v>3.307</v>
      </c>
    </row>
    <row r="119" spans="2:52">
      <c r="B119" t="s">
        <v>1576</v>
      </c>
      <c r="D119" t="s">
        <v>1461</v>
      </c>
      <c r="F119">
        <v>63</v>
      </c>
      <c r="G119">
        <v>90</v>
      </c>
      <c r="H119">
        <v>58.157</v>
      </c>
      <c r="I119">
        <v>55.513</v>
      </c>
      <c r="J119">
        <v>56.579</v>
      </c>
      <c r="K119">
        <v>19.798</v>
      </c>
      <c r="L119">
        <v>28.476</v>
      </c>
      <c r="M119">
        <v>0</v>
      </c>
      <c r="N119">
        <v>0</v>
      </c>
      <c r="O119">
        <v>0</v>
      </c>
      <c r="P119">
        <v>0</v>
      </c>
      <c r="Q119">
        <v>8</v>
      </c>
      <c r="R119">
        <v>0</v>
      </c>
      <c r="S119">
        <v>0</v>
      </c>
      <c r="T119">
        <v>0</v>
      </c>
      <c r="U119">
        <v>0</v>
      </c>
      <c r="V119">
        <v>11</v>
      </c>
      <c r="W119">
        <v>0</v>
      </c>
      <c r="X119">
        <v>0</v>
      </c>
      <c r="Y119">
        <v>0</v>
      </c>
      <c r="Z119">
        <v>0</v>
      </c>
      <c r="AA119">
        <v>14</v>
      </c>
      <c r="AB119">
        <v>0</v>
      </c>
      <c r="AC119">
        <v>0</v>
      </c>
      <c r="AD119">
        <v>0</v>
      </c>
      <c r="AE119">
        <v>0</v>
      </c>
      <c r="AF119">
        <v>5</v>
      </c>
      <c r="AG119">
        <v>0</v>
      </c>
      <c r="AH119">
        <v>0</v>
      </c>
      <c r="AI119">
        <v>0</v>
      </c>
      <c r="AJ119">
        <v>0</v>
      </c>
      <c r="AK119">
        <v>-2</v>
      </c>
      <c r="AL119">
        <v>0</v>
      </c>
      <c r="AM119">
        <v>0</v>
      </c>
      <c r="AN119">
        <v>0</v>
      </c>
      <c r="AO119">
        <v>0</v>
      </c>
      <c r="AP119">
        <v>-9</v>
      </c>
      <c r="AQ119">
        <v>0</v>
      </c>
      <c r="AR119">
        <v>0</v>
      </c>
      <c r="AS119">
        <v>0</v>
      </c>
      <c r="AT119">
        <v>0</v>
      </c>
      <c r="AU119">
        <v>-13</v>
      </c>
      <c r="AV119">
        <v>-15</v>
      </c>
      <c r="AW119">
        <v>-17</v>
      </c>
      <c r="AX119">
        <v>-19</v>
      </c>
      <c r="AY119">
        <v>-21</v>
      </c>
      <c r="AZ119">
        <v>-23</v>
      </c>
    </row>
    <row r="120" spans="2:52">
      <c r="B120" t="s">
        <v>1577</v>
      </c>
      <c r="D120" t="s">
        <v>1461</v>
      </c>
      <c r="F120">
        <v>122.9152</v>
      </c>
      <c r="G120">
        <v>58</v>
      </c>
      <c r="H120">
        <v>104.5</v>
      </c>
      <c r="I120">
        <v>86</v>
      </c>
      <c r="J120">
        <v>123</v>
      </c>
      <c r="K120">
        <v>325</v>
      </c>
      <c r="L120">
        <v>426.39</v>
      </c>
      <c r="Q120">
        <v>483</v>
      </c>
      <c r="V120">
        <v>550</v>
      </c>
      <c r="AA120">
        <v>642</v>
      </c>
      <c r="AF120">
        <v>245</v>
      </c>
      <c r="AK120">
        <v>567</v>
      </c>
      <c r="AP120">
        <v>613</v>
      </c>
      <c r="AU120">
        <v>526</v>
      </c>
      <c r="AV120">
        <v>1033.75563757834</v>
      </c>
      <c r="AW120">
        <v>1252.25733079262</v>
      </c>
      <c r="AX120">
        <v>1480.83074252938</v>
      </c>
      <c r="AY120">
        <v>1739.04746734943</v>
      </c>
      <c r="AZ120">
        <v>2026.2911662514</v>
      </c>
    </row>
    <row r="121" spans="2:52">
      <c r="B121" t="s">
        <v>1578</v>
      </c>
      <c r="D121" t="s">
        <v>1461</v>
      </c>
      <c r="F121">
        <v>18</v>
      </c>
      <c r="G121">
        <v>25</v>
      </c>
      <c r="H121">
        <v>21</v>
      </c>
      <c r="I121">
        <v>14</v>
      </c>
      <c r="J121">
        <v>11</v>
      </c>
      <c r="K121">
        <v>7</v>
      </c>
      <c r="L121">
        <v>8</v>
      </c>
      <c r="M121">
        <v>0</v>
      </c>
      <c r="N121">
        <v>0</v>
      </c>
      <c r="O121">
        <v>0</v>
      </c>
      <c r="P121">
        <v>0</v>
      </c>
      <c r="Q121">
        <v>13</v>
      </c>
      <c r="R121">
        <v>0</v>
      </c>
      <c r="S121">
        <v>0</v>
      </c>
      <c r="T121">
        <v>0</v>
      </c>
      <c r="U121">
        <v>0</v>
      </c>
      <c r="V121">
        <v>4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-5</v>
      </c>
      <c r="AQ121">
        <v>0</v>
      </c>
      <c r="AR121">
        <v>0</v>
      </c>
      <c r="AS121">
        <v>0</v>
      </c>
      <c r="AT121">
        <v>0</v>
      </c>
      <c r="AU121">
        <v>-2</v>
      </c>
      <c r="AV121">
        <v>-2</v>
      </c>
      <c r="AW121">
        <v>-2</v>
      </c>
      <c r="AX121">
        <v>-2</v>
      </c>
      <c r="AY121">
        <v>-2</v>
      </c>
      <c r="AZ121">
        <v>-2</v>
      </c>
    </row>
    <row r="122" spans="2:52">
      <c r="B122" t="s">
        <v>1579</v>
      </c>
      <c r="D122" t="s">
        <v>1461</v>
      </c>
      <c r="F122">
        <v>104.0848</v>
      </c>
      <c r="G122">
        <v>120</v>
      </c>
      <c r="H122">
        <v>100.5</v>
      </c>
      <c r="I122">
        <v>142</v>
      </c>
      <c r="J122">
        <v>140</v>
      </c>
      <c r="K122">
        <v>130.65</v>
      </c>
      <c r="L122">
        <v>111.526</v>
      </c>
      <c r="M122">
        <v>0</v>
      </c>
      <c r="N122">
        <v>0</v>
      </c>
      <c r="O122">
        <v>0</v>
      </c>
      <c r="P122">
        <v>0</v>
      </c>
      <c r="Q122">
        <v>193</v>
      </c>
      <c r="R122">
        <v>0</v>
      </c>
      <c r="S122">
        <v>0</v>
      </c>
      <c r="T122">
        <v>0</v>
      </c>
      <c r="U122">
        <v>0</v>
      </c>
      <c r="V122">
        <v>215</v>
      </c>
      <c r="W122">
        <v>0</v>
      </c>
      <c r="X122">
        <v>0</v>
      </c>
      <c r="Y122">
        <v>0</v>
      </c>
      <c r="Z122">
        <v>0</v>
      </c>
      <c r="AA122">
        <v>234</v>
      </c>
      <c r="AB122">
        <v>0</v>
      </c>
      <c r="AC122">
        <v>0</v>
      </c>
      <c r="AD122">
        <v>0</v>
      </c>
      <c r="AE122">
        <v>0</v>
      </c>
      <c r="AF122">
        <v>299</v>
      </c>
      <c r="AG122">
        <v>0</v>
      </c>
      <c r="AH122">
        <v>0</v>
      </c>
      <c r="AI122">
        <v>0</v>
      </c>
      <c r="AJ122">
        <v>0</v>
      </c>
      <c r="AK122">
        <v>260</v>
      </c>
      <c r="AL122">
        <v>0</v>
      </c>
      <c r="AM122">
        <v>0</v>
      </c>
      <c r="AN122">
        <v>0</v>
      </c>
      <c r="AO122">
        <v>0</v>
      </c>
      <c r="AP122">
        <v>249</v>
      </c>
      <c r="AQ122">
        <v>0</v>
      </c>
      <c r="AR122">
        <v>0</v>
      </c>
      <c r="AS122">
        <v>0</v>
      </c>
      <c r="AT122">
        <v>0</v>
      </c>
      <c r="AU122">
        <v>263</v>
      </c>
      <c r="AV122">
        <v>288.16063979957</v>
      </c>
      <c r="AW122">
        <v>321.274271239617</v>
      </c>
      <c r="AX122">
        <v>357.207245011857</v>
      </c>
      <c r="AY122">
        <v>396.710741007986</v>
      </c>
      <c r="AZ122">
        <v>440.092674724185</v>
      </c>
    </row>
    <row r="123" spans="2:52">
      <c r="B123" t="s">
        <v>1580</v>
      </c>
      <c r="D123" t="s">
        <v>1461</v>
      </c>
      <c r="F123">
        <v>-9.819</v>
      </c>
      <c r="G123">
        <v>-338.147</v>
      </c>
      <c r="H123">
        <v>-24.831</v>
      </c>
      <c r="I123">
        <v>99.501</v>
      </c>
      <c r="J123">
        <v>158.621</v>
      </c>
      <c r="K123">
        <v>41.892</v>
      </c>
      <c r="L123">
        <v>-156.497</v>
      </c>
      <c r="M123">
        <v>0</v>
      </c>
      <c r="N123">
        <v>0</v>
      </c>
      <c r="O123">
        <v>0</v>
      </c>
      <c r="P123">
        <v>0</v>
      </c>
      <c r="Q123">
        <v>52</v>
      </c>
      <c r="R123">
        <v>0</v>
      </c>
      <c r="S123">
        <v>0</v>
      </c>
      <c r="T123">
        <v>0</v>
      </c>
      <c r="U123">
        <v>0</v>
      </c>
      <c r="V123">
        <v>-80</v>
      </c>
      <c r="W123">
        <v>0</v>
      </c>
      <c r="X123">
        <v>0</v>
      </c>
      <c r="Y123">
        <v>0</v>
      </c>
      <c r="Z123">
        <v>0</v>
      </c>
      <c r="AA123">
        <v>-200</v>
      </c>
      <c r="AB123">
        <v>0</v>
      </c>
      <c r="AC123">
        <v>0</v>
      </c>
      <c r="AD123">
        <v>0</v>
      </c>
      <c r="AE123">
        <v>0</v>
      </c>
      <c r="AF123">
        <v>1001</v>
      </c>
      <c r="AG123">
        <v>0</v>
      </c>
      <c r="AH123">
        <v>0</v>
      </c>
      <c r="AI123">
        <v>0</v>
      </c>
      <c r="AJ123">
        <v>0</v>
      </c>
      <c r="AK123">
        <v>108</v>
      </c>
      <c r="AL123">
        <v>0</v>
      </c>
      <c r="AM123">
        <v>0</v>
      </c>
      <c r="AN123">
        <v>0</v>
      </c>
      <c r="AO123">
        <v>0</v>
      </c>
      <c r="AP123">
        <v>-113</v>
      </c>
      <c r="AQ123">
        <v>0</v>
      </c>
      <c r="AR123">
        <v>0</v>
      </c>
      <c r="AS123">
        <v>0</v>
      </c>
      <c r="AT123">
        <v>0</v>
      </c>
      <c r="AU123">
        <v>73</v>
      </c>
      <c r="AV123">
        <v>-179.254696727459</v>
      </c>
      <c r="AW123">
        <v>-273.612651387121</v>
      </c>
      <c r="AX123">
        <v>-286.362953641141</v>
      </c>
      <c r="AY123">
        <v>-305.801081665609</v>
      </c>
      <c r="AZ123">
        <v>-326.294199354524</v>
      </c>
    </row>
    <row r="124" spans="2:52">
      <c r="B124" t="s">
        <v>1581</v>
      </c>
      <c r="D124" t="s">
        <v>1461</v>
      </c>
      <c r="F124">
        <v>19.069</v>
      </c>
      <c r="G124">
        <v>42.302</v>
      </c>
      <c r="H124">
        <v>84.292000000001</v>
      </c>
      <c r="I124">
        <v>62.462</v>
      </c>
      <c r="J124">
        <v>83.547</v>
      </c>
      <c r="K124">
        <v>98.674</v>
      </c>
      <c r="L124">
        <v>-17</v>
      </c>
      <c r="M124">
        <v>0</v>
      </c>
      <c r="N124">
        <v>0</v>
      </c>
      <c r="O124">
        <v>0</v>
      </c>
      <c r="P124">
        <v>0</v>
      </c>
      <c r="Q124">
        <v>34</v>
      </c>
      <c r="R124">
        <v>0</v>
      </c>
      <c r="S124">
        <v>0</v>
      </c>
      <c r="T124">
        <v>0</v>
      </c>
      <c r="U124">
        <v>0</v>
      </c>
      <c r="V124">
        <v>117</v>
      </c>
      <c r="W124">
        <v>0</v>
      </c>
      <c r="X124">
        <v>0</v>
      </c>
      <c r="Y124">
        <v>0</v>
      </c>
      <c r="Z124">
        <v>0</v>
      </c>
      <c r="AA124">
        <v>-144</v>
      </c>
      <c r="AB124">
        <v>0</v>
      </c>
      <c r="AC124">
        <v>0</v>
      </c>
      <c r="AD124">
        <v>0</v>
      </c>
      <c r="AE124">
        <v>0</v>
      </c>
      <c r="AF124">
        <v>-130</v>
      </c>
      <c r="AG124">
        <v>0</v>
      </c>
      <c r="AH124">
        <v>0</v>
      </c>
      <c r="AI124">
        <v>0</v>
      </c>
      <c r="AJ124">
        <v>0</v>
      </c>
      <c r="AK124">
        <v>412</v>
      </c>
      <c r="AL124">
        <v>0</v>
      </c>
      <c r="AM124">
        <v>0</v>
      </c>
      <c r="AN124">
        <v>0</v>
      </c>
      <c r="AO124">
        <v>0</v>
      </c>
      <c r="AP124">
        <v>140</v>
      </c>
      <c r="AQ124">
        <v>0</v>
      </c>
      <c r="AR124">
        <v>0</v>
      </c>
      <c r="AS124">
        <v>0</v>
      </c>
      <c r="AT124">
        <v>0</v>
      </c>
      <c r="AU124">
        <v>94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2:52">
      <c r="B125" t="s">
        <v>1582</v>
      </c>
      <c r="D125" t="s">
        <v>1461</v>
      </c>
      <c r="F125">
        <v>254.25</v>
      </c>
      <c r="G125">
        <v>-92.845</v>
      </c>
      <c r="H125">
        <v>285.461000000001</v>
      </c>
      <c r="I125">
        <v>403.963</v>
      </c>
      <c r="J125">
        <v>516.168</v>
      </c>
      <c r="K125">
        <v>603.216</v>
      </c>
      <c r="L125">
        <v>372.419</v>
      </c>
      <c r="Q125">
        <v>775</v>
      </c>
      <c r="V125">
        <v>806</v>
      </c>
      <c r="AA125">
        <v>534</v>
      </c>
      <c r="AF125">
        <v>1415</v>
      </c>
      <c r="AK125">
        <v>1348</v>
      </c>
      <c r="AP125">
        <v>884</v>
      </c>
      <c r="AU125">
        <v>954</v>
      </c>
      <c r="AV125">
        <v>1140.66158065046</v>
      </c>
      <c r="AW125">
        <v>1297.91895064511</v>
      </c>
      <c r="AX125">
        <v>1549.67503390009</v>
      </c>
      <c r="AY125">
        <v>1827.95712669181</v>
      </c>
      <c r="AZ125">
        <v>2138.08964162106</v>
      </c>
    </row>
    <row r="126" spans="2:52">
      <c r="B126" t="s">
        <v>1583</v>
      </c>
      <c r="D126" t="s">
        <v>1461</v>
      </c>
      <c r="F126">
        <v>-132.536</v>
      </c>
      <c r="G126">
        <v>-149.377</v>
      </c>
      <c r="H126">
        <v>-202.071</v>
      </c>
      <c r="I126">
        <v>-264.78</v>
      </c>
      <c r="J126">
        <v>-144.705</v>
      </c>
      <c r="K126">
        <v>-168.76</v>
      </c>
      <c r="L126">
        <v>-215</v>
      </c>
      <c r="M126">
        <v>0</v>
      </c>
      <c r="N126">
        <v>0</v>
      </c>
      <c r="O126">
        <v>0</v>
      </c>
      <c r="P126">
        <v>0</v>
      </c>
      <c r="Q126">
        <v>-277</v>
      </c>
      <c r="R126">
        <v>0</v>
      </c>
      <c r="S126">
        <v>0</v>
      </c>
      <c r="T126">
        <v>0</v>
      </c>
      <c r="U126">
        <v>0</v>
      </c>
      <c r="V126">
        <v>-285</v>
      </c>
      <c r="W126">
        <v>0</v>
      </c>
      <c r="X126">
        <v>0</v>
      </c>
      <c r="Y126">
        <v>0</v>
      </c>
      <c r="Z126">
        <v>0</v>
      </c>
      <c r="AA126">
        <v>-376</v>
      </c>
      <c r="AB126">
        <v>0</v>
      </c>
      <c r="AC126">
        <v>0</v>
      </c>
      <c r="AD126">
        <v>0</v>
      </c>
      <c r="AE126">
        <v>0</v>
      </c>
      <c r="AF126">
        <v>-241</v>
      </c>
      <c r="AG126">
        <v>0</v>
      </c>
      <c r="AH126">
        <v>0</v>
      </c>
      <c r="AI126">
        <v>0</v>
      </c>
      <c r="AJ126">
        <v>0</v>
      </c>
      <c r="AK126">
        <v>-269</v>
      </c>
      <c r="AL126">
        <v>0</v>
      </c>
      <c r="AM126">
        <v>0</v>
      </c>
      <c r="AN126">
        <v>0</v>
      </c>
      <c r="AO126">
        <v>0</v>
      </c>
      <c r="AP126">
        <v>-376</v>
      </c>
      <c r="AQ126">
        <v>0</v>
      </c>
      <c r="AR126">
        <v>0</v>
      </c>
      <c r="AS126">
        <v>0</v>
      </c>
      <c r="AT126">
        <v>0</v>
      </c>
      <c r="AU126">
        <v>-434</v>
      </c>
      <c r="AV126">
        <v>-539.176211020342</v>
      </c>
      <c r="AW126">
        <v>-602.244017302508</v>
      </c>
      <c r="AX126">
        <v>-670.770842988992</v>
      </c>
      <c r="AY126">
        <v>-746.183301550074</v>
      </c>
      <c r="AZ126">
        <v>-829.080461217531</v>
      </c>
    </row>
    <row r="127" spans="2:52">
      <c r="B127" t="s">
        <v>1584</v>
      </c>
      <c r="D127" t="s">
        <v>1461</v>
      </c>
      <c r="F127">
        <v>0</v>
      </c>
      <c r="G127">
        <v>0</v>
      </c>
      <c r="H127">
        <v>0</v>
      </c>
      <c r="I127">
        <v>-85.658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-2432</v>
      </c>
      <c r="R127">
        <v>0</v>
      </c>
      <c r="S127">
        <v>0</v>
      </c>
      <c r="T127">
        <v>0</v>
      </c>
      <c r="U127">
        <v>0</v>
      </c>
      <c r="V127">
        <v>-2</v>
      </c>
      <c r="W127">
        <v>0</v>
      </c>
      <c r="X127">
        <v>0</v>
      </c>
      <c r="Y127">
        <v>0</v>
      </c>
      <c r="Z127">
        <v>0</v>
      </c>
      <c r="AA127">
        <v>-50</v>
      </c>
      <c r="AB127">
        <v>0</v>
      </c>
      <c r="AC127">
        <v>0</v>
      </c>
      <c r="AD127">
        <v>0</v>
      </c>
      <c r="AE127">
        <v>0</v>
      </c>
      <c r="AF127">
        <v>-8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-20</v>
      </c>
      <c r="AQ127">
        <v>0</v>
      </c>
      <c r="AR127">
        <v>0</v>
      </c>
      <c r="AS127">
        <v>0</v>
      </c>
      <c r="AT127">
        <v>0</v>
      </c>
      <c r="AU127">
        <v>-56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2:52">
      <c r="B128" t="s">
        <v>1585</v>
      </c>
      <c r="D128" t="s">
        <v>1461</v>
      </c>
      <c r="F128">
        <v>18.112</v>
      </c>
      <c r="G128">
        <v>14.141</v>
      </c>
      <c r="H128">
        <v>3.774</v>
      </c>
      <c r="I128">
        <v>0</v>
      </c>
      <c r="J128">
        <v>28.347</v>
      </c>
      <c r="K128">
        <v>0</v>
      </c>
      <c r="L128">
        <v>671</v>
      </c>
      <c r="M128">
        <v>0</v>
      </c>
      <c r="N128">
        <v>0</v>
      </c>
      <c r="O128">
        <v>0</v>
      </c>
      <c r="P128">
        <v>0</v>
      </c>
      <c r="Q128">
        <v>110</v>
      </c>
      <c r="R128">
        <v>0</v>
      </c>
      <c r="S128">
        <v>0</v>
      </c>
      <c r="T128">
        <v>0</v>
      </c>
      <c r="U128">
        <v>0</v>
      </c>
      <c r="V128">
        <v>-7</v>
      </c>
      <c r="W128">
        <v>0</v>
      </c>
      <c r="X128">
        <v>0</v>
      </c>
      <c r="Y128">
        <v>0</v>
      </c>
      <c r="Z128">
        <v>0</v>
      </c>
      <c r="AA128">
        <v>-24</v>
      </c>
      <c r="AB128">
        <v>0</v>
      </c>
      <c r="AC128">
        <v>0</v>
      </c>
      <c r="AD128">
        <v>0</v>
      </c>
      <c r="AE128">
        <v>0</v>
      </c>
      <c r="AF128">
        <v>86</v>
      </c>
      <c r="AG128">
        <v>0</v>
      </c>
      <c r="AH128">
        <v>0</v>
      </c>
      <c r="AI128">
        <v>0</v>
      </c>
      <c r="AJ128">
        <v>0</v>
      </c>
      <c r="AK128">
        <v>-128</v>
      </c>
      <c r="AL128">
        <v>0</v>
      </c>
      <c r="AM128">
        <v>0</v>
      </c>
      <c r="AN128">
        <v>0</v>
      </c>
      <c r="AO128">
        <v>0</v>
      </c>
      <c r="AP128">
        <v>-190</v>
      </c>
      <c r="AQ128">
        <v>0</v>
      </c>
      <c r="AR128">
        <v>0</v>
      </c>
      <c r="AS128">
        <v>0</v>
      </c>
      <c r="AT128">
        <v>0</v>
      </c>
      <c r="AU128">
        <v>214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2:52">
      <c r="B129" t="s">
        <v>1586</v>
      </c>
      <c r="D129" t="s">
        <v>1461</v>
      </c>
      <c r="F129">
        <v>-26.538</v>
      </c>
      <c r="G129">
        <v>1.808</v>
      </c>
      <c r="H129">
        <v>9.3</v>
      </c>
      <c r="I129">
        <v>26.419</v>
      </c>
      <c r="J129">
        <v>-130.354</v>
      </c>
      <c r="K129">
        <v>-209.991</v>
      </c>
      <c r="L129">
        <v>-53</v>
      </c>
      <c r="M129">
        <v>0</v>
      </c>
      <c r="N129">
        <v>0</v>
      </c>
      <c r="O129">
        <v>0</v>
      </c>
      <c r="P129">
        <v>0</v>
      </c>
      <c r="Q129">
        <v>-426</v>
      </c>
      <c r="R129">
        <v>0</v>
      </c>
      <c r="S129">
        <v>0</v>
      </c>
      <c r="T129">
        <v>0</v>
      </c>
      <c r="U129">
        <v>0</v>
      </c>
      <c r="V129">
        <v>-18</v>
      </c>
      <c r="W129">
        <v>0</v>
      </c>
      <c r="X129">
        <v>0</v>
      </c>
      <c r="Y129">
        <v>0</v>
      </c>
      <c r="Z129">
        <v>0</v>
      </c>
      <c r="AA129">
        <v>-31</v>
      </c>
      <c r="AB129">
        <v>0</v>
      </c>
      <c r="AC129">
        <v>0</v>
      </c>
      <c r="AD129">
        <v>0</v>
      </c>
      <c r="AE129">
        <v>0</v>
      </c>
      <c r="AF129">
        <v>-15</v>
      </c>
      <c r="AG129">
        <v>0</v>
      </c>
      <c r="AH129">
        <v>0</v>
      </c>
      <c r="AI129">
        <v>0</v>
      </c>
      <c r="AJ129">
        <v>0</v>
      </c>
      <c r="AK129">
        <v>44</v>
      </c>
      <c r="AL129">
        <v>0</v>
      </c>
      <c r="AM129">
        <v>0</v>
      </c>
      <c r="AN129">
        <v>0</v>
      </c>
      <c r="AO129">
        <v>0</v>
      </c>
      <c r="AP129">
        <v>-10</v>
      </c>
      <c r="AQ129">
        <v>0</v>
      </c>
      <c r="AR129">
        <v>0</v>
      </c>
      <c r="AS129">
        <v>0</v>
      </c>
      <c r="AT129">
        <v>0</v>
      </c>
      <c r="AU129">
        <v>10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2:52">
      <c r="B130" t="s">
        <v>1587</v>
      </c>
      <c r="D130" t="s">
        <v>1461</v>
      </c>
      <c r="F130">
        <v>-140.962</v>
      </c>
      <c r="G130">
        <v>-133.428</v>
      </c>
      <c r="H130">
        <v>-188.997</v>
      </c>
      <c r="I130">
        <v>-324.019</v>
      </c>
      <c r="J130">
        <v>-246.712</v>
      </c>
      <c r="K130">
        <v>-378.751</v>
      </c>
      <c r="L130">
        <v>403</v>
      </c>
      <c r="Q130">
        <v>-3025</v>
      </c>
      <c r="V130">
        <v>-312</v>
      </c>
      <c r="AA130">
        <v>-481</v>
      </c>
      <c r="AF130">
        <v>-178</v>
      </c>
      <c r="AK130">
        <v>-353</v>
      </c>
      <c r="AP130">
        <v>-596</v>
      </c>
      <c r="AU130">
        <v>-266</v>
      </c>
      <c r="AV130">
        <v>-539.176211020342</v>
      </c>
      <c r="AW130">
        <v>-602.244017302508</v>
      </c>
      <c r="AX130">
        <v>-670.770842988992</v>
      </c>
      <c r="AY130">
        <v>-746.183301550074</v>
      </c>
      <c r="AZ130">
        <v>-829.080461217531</v>
      </c>
    </row>
    <row r="131" spans="2:52">
      <c r="B131" t="s">
        <v>1588</v>
      </c>
      <c r="D131" t="s">
        <v>1461</v>
      </c>
      <c r="F131">
        <v>-38.258</v>
      </c>
      <c r="G131">
        <v>-41.736</v>
      </c>
      <c r="H131">
        <v>-41.721</v>
      </c>
      <c r="I131">
        <v>-41.721</v>
      </c>
      <c r="J131">
        <v>-45.423</v>
      </c>
      <c r="K131">
        <v>-49.539</v>
      </c>
      <c r="L131">
        <v>-63</v>
      </c>
      <c r="M131">
        <v>0</v>
      </c>
      <c r="N131">
        <v>0</v>
      </c>
      <c r="O131">
        <v>0</v>
      </c>
      <c r="P131">
        <v>0</v>
      </c>
      <c r="Q131">
        <v>-70</v>
      </c>
      <c r="R131">
        <v>0</v>
      </c>
      <c r="S131">
        <v>0</v>
      </c>
      <c r="T131">
        <v>0</v>
      </c>
      <c r="U131">
        <v>0</v>
      </c>
      <c r="V131">
        <v>-86</v>
      </c>
      <c r="W131">
        <v>0</v>
      </c>
      <c r="X131">
        <v>0</v>
      </c>
      <c r="Y131">
        <v>0</v>
      </c>
      <c r="Z131">
        <v>0</v>
      </c>
      <c r="AA131">
        <v>-99</v>
      </c>
      <c r="AB131">
        <v>0</v>
      </c>
      <c r="AC131">
        <v>0</v>
      </c>
      <c r="AD131">
        <v>0</v>
      </c>
      <c r="AE131">
        <v>0</v>
      </c>
      <c r="AF131">
        <v>-97</v>
      </c>
      <c r="AG131">
        <v>0</v>
      </c>
      <c r="AH131">
        <v>0</v>
      </c>
      <c r="AI131">
        <v>0</v>
      </c>
      <c r="AJ131">
        <v>0</v>
      </c>
      <c r="AK131">
        <v>-73</v>
      </c>
      <c r="AL131">
        <v>0</v>
      </c>
      <c r="AM131">
        <v>0</v>
      </c>
      <c r="AN131">
        <v>0</v>
      </c>
      <c r="AO131">
        <v>0</v>
      </c>
      <c r="AP131">
        <v>-170</v>
      </c>
      <c r="AQ131">
        <v>0</v>
      </c>
      <c r="AR131">
        <v>0</v>
      </c>
      <c r="AS131">
        <v>0</v>
      </c>
      <c r="AT131">
        <v>0</v>
      </c>
      <c r="AU131">
        <v>-212</v>
      </c>
      <c r="AV131">
        <v>-282.4418511</v>
      </c>
      <c r="AW131">
        <v>-385.564453527792</v>
      </c>
      <c r="AX131">
        <v>-485.84386512354</v>
      </c>
      <c r="AY131">
        <v>-596.73697287616</v>
      </c>
      <c r="AZ131">
        <v>-727.295405303374</v>
      </c>
    </row>
    <row r="132" spans="2:52">
      <c r="B132" t="s">
        <v>1589</v>
      </c>
      <c r="D132" t="s">
        <v>1461</v>
      </c>
      <c r="F132">
        <v>0</v>
      </c>
      <c r="G132">
        <v>0</v>
      </c>
      <c r="H132">
        <v>0</v>
      </c>
      <c r="I132">
        <v>0</v>
      </c>
      <c r="J132">
        <v>-2.765</v>
      </c>
      <c r="K132">
        <v>0</v>
      </c>
      <c r="L132">
        <v>639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-409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-8</v>
      </c>
      <c r="AV132">
        <v>0</v>
      </c>
      <c r="AW132">
        <v>-395.869842137255</v>
      </c>
      <c r="AX132">
        <v>-388.107688369858</v>
      </c>
      <c r="AY132">
        <v>-380.497733695939</v>
      </c>
      <c r="AZ132">
        <v>-373.036993819548</v>
      </c>
    </row>
    <row r="133" spans="2:52">
      <c r="B133" t="s">
        <v>1590</v>
      </c>
      <c r="D133" t="s">
        <v>1461</v>
      </c>
      <c r="F133">
        <v>-145.541</v>
      </c>
      <c r="G133">
        <v>204.484</v>
      </c>
      <c r="H133">
        <v>-135.95</v>
      </c>
      <c r="I133">
        <v>-166.225</v>
      </c>
      <c r="J133">
        <v>-225.633</v>
      </c>
      <c r="K133">
        <v>-181.23</v>
      </c>
      <c r="L133">
        <v>-80</v>
      </c>
      <c r="M133">
        <v>0</v>
      </c>
      <c r="N133">
        <v>0</v>
      </c>
      <c r="O133">
        <v>0</v>
      </c>
      <c r="P133">
        <v>0</v>
      </c>
      <c r="Q133">
        <v>1099</v>
      </c>
      <c r="R133">
        <v>0</v>
      </c>
      <c r="S133">
        <v>0</v>
      </c>
      <c r="T133">
        <v>0</v>
      </c>
      <c r="U133">
        <v>0</v>
      </c>
      <c r="V133">
        <v>-424</v>
      </c>
      <c r="W133">
        <v>0</v>
      </c>
      <c r="X133">
        <v>0</v>
      </c>
      <c r="Y133">
        <v>0</v>
      </c>
      <c r="Z133">
        <v>0</v>
      </c>
      <c r="AA133">
        <v>402</v>
      </c>
      <c r="AB133">
        <v>0</v>
      </c>
      <c r="AC133">
        <v>0</v>
      </c>
      <c r="AD133">
        <v>0</v>
      </c>
      <c r="AE133">
        <v>0</v>
      </c>
      <c r="AF133">
        <v>-912</v>
      </c>
      <c r="AG133">
        <v>0</v>
      </c>
      <c r="AH133">
        <v>0</v>
      </c>
      <c r="AI133">
        <v>0</v>
      </c>
      <c r="AJ133">
        <v>0</v>
      </c>
      <c r="AK133">
        <v>-165</v>
      </c>
      <c r="AL133">
        <v>0</v>
      </c>
      <c r="AM133">
        <v>0</v>
      </c>
      <c r="AN133">
        <v>0</v>
      </c>
      <c r="AO133">
        <v>0</v>
      </c>
      <c r="AP133">
        <v>-330</v>
      </c>
      <c r="AQ133">
        <v>0</v>
      </c>
      <c r="AR133">
        <v>0</v>
      </c>
      <c r="AS133">
        <v>0</v>
      </c>
      <c r="AT133">
        <v>0</v>
      </c>
      <c r="AU133">
        <v>-234</v>
      </c>
      <c r="AV133">
        <v>-214.666666666667</v>
      </c>
      <c r="AW133">
        <v>-14.666666666667</v>
      </c>
      <c r="AX133">
        <v>-14.666666666667</v>
      </c>
      <c r="AY133">
        <v>-81.5</v>
      </c>
      <c r="AZ133">
        <v>-81.5</v>
      </c>
    </row>
    <row r="134" spans="2:52">
      <c r="B134" t="s">
        <v>1591</v>
      </c>
      <c r="D134" t="s">
        <v>1461</v>
      </c>
      <c r="F134">
        <v>3.223</v>
      </c>
      <c r="G134">
        <v>2.278</v>
      </c>
      <c r="H134">
        <v>-51.349</v>
      </c>
      <c r="I134">
        <v>1.193</v>
      </c>
      <c r="J134">
        <v>0</v>
      </c>
      <c r="K134">
        <v>25.411</v>
      </c>
      <c r="L134">
        <v>41</v>
      </c>
      <c r="M134">
        <v>0</v>
      </c>
      <c r="N134">
        <v>0</v>
      </c>
      <c r="O134">
        <v>0</v>
      </c>
      <c r="P134">
        <v>0</v>
      </c>
      <c r="Q134">
        <v>-17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497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2:52">
      <c r="B135" t="s">
        <v>1592</v>
      </c>
      <c r="D135" t="s">
        <v>1461</v>
      </c>
      <c r="F135">
        <v>-180.576</v>
      </c>
      <c r="G135">
        <v>165.026</v>
      </c>
      <c r="H135">
        <v>-229.02</v>
      </c>
      <c r="I135">
        <v>-206.753</v>
      </c>
      <c r="J135">
        <v>-273.821</v>
      </c>
      <c r="K135">
        <v>-205.358</v>
      </c>
      <c r="L135">
        <v>537</v>
      </c>
      <c r="Q135">
        <v>1012</v>
      </c>
      <c r="V135">
        <v>-510</v>
      </c>
      <c r="AA135">
        <v>-106</v>
      </c>
      <c r="AF135">
        <v>-512</v>
      </c>
      <c r="AK135">
        <v>-238</v>
      </c>
      <c r="AP135">
        <v>-500</v>
      </c>
      <c r="AU135">
        <v>-454</v>
      </c>
      <c r="AV135">
        <v>-497.108517766667</v>
      </c>
      <c r="AW135">
        <v>-796.100962331714</v>
      </c>
      <c r="AX135">
        <v>-888.618220160064</v>
      </c>
      <c r="AY135">
        <v>-1058.7347065721</v>
      </c>
      <c r="AZ135">
        <v>-1181.83239912292</v>
      </c>
    </row>
    <row r="136" spans="2:52">
      <c r="B136" t="s">
        <v>1593</v>
      </c>
      <c r="D136" t="s">
        <v>1461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Q136">
        <v>0</v>
      </c>
      <c r="V136">
        <v>-1</v>
      </c>
      <c r="AA136">
        <v>2</v>
      </c>
      <c r="AF136">
        <v>7</v>
      </c>
      <c r="AK136">
        <v>55</v>
      </c>
      <c r="AP136">
        <v>15</v>
      </c>
      <c r="AU136">
        <v>-3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2:52">
      <c r="B137" t="s">
        <v>1594</v>
      </c>
      <c r="D137" t="s">
        <v>1461</v>
      </c>
      <c r="F137">
        <v>-67.288</v>
      </c>
      <c r="G137">
        <v>-61.247</v>
      </c>
      <c r="H137">
        <v>-132.555999999999</v>
      </c>
      <c r="I137">
        <v>-126.809</v>
      </c>
      <c r="J137">
        <v>-4.364999999999</v>
      </c>
      <c r="K137">
        <v>19.107</v>
      </c>
      <c r="L137">
        <v>1312.419</v>
      </c>
      <c r="Q137">
        <v>-1238</v>
      </c>
      <c r="V137">
        <v>-17</v>
      </c>
      <c r="AA137">
        <v>-51</v>
      </c>
      <c r="AF137">
        <v>732</v>
      </c>
      <c r="AK137">
        <v>812</v>
      </c>
      <c r="AP137">
        <v>-197</v>
      </c>
      <c r="AU137">
        <v>231</v>
      </c>
      <c r="AV137">
        <v>104.376851863447</v>
      </c>
      <c r="AW137">
        <v>-100.42602898911</v>
      </c>
      <c r="AX137">
        <v>-9.714029248964</v>
      </c>
      <c r="AY137">
        <v>23.039118569633</v>
      </c>
      <c r="AZ137">
        <v>127.17678128061</v>
      </c>
    </row>
    <row r="138" spans="2:52">
      <c r="B138" t="s">
        <v>1595</v>
      </c>
      <c r="D138" t="s">
        <v>1461</v>
      </c>
    </row>
    <row r="139" spans="2:52">
      <c r="B139" t="s">
        <v>1596</v>
      </c>
      <c r="D139" t="s">
        <v>1461</v>
      </c>
    </row>
    <row r="140" spans="2:52">
      <c r="B140" t="s">
        <v>1597</v>
      </c>
      <c r="D140" t="s">
        <v>1461</v>
      </c>
    </row>
    <row r="141" spans="2:52">
      <c r="B141" t="s">
        <v>1598</v>
      </c>
      <c r="D141" t="s">
        <v>1461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52">
      <c r="B142" t="s">
        <v>1599</v>
      </c>
      <c r="D142" t="s">
        <v>1461</v>
      </c>
    </row>
    <row r="143" spans="2:52">
      <c r="B143" t="s">
        <v>1600</v>
      </c>
      <c r="D143" t="s">
        <v>1461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2:52">
      <c r="B144" t="s">
        <v>1601</v>
      </c>
      <c r="D144" t="s">
        <v>1461</v>
      </c>
    </row>
    <row r="145" spans="2:52">
      <c r="B145" t="s">
        <v>1602</v>
      </c>
      <c r="D145" t="s">
        <v>1461</v>
      </c>
    </row>
    <row r="146" spans="2:52">
      <c r="B146" t="s">
        <v>1603</v>
      </c>
      <c r="D146" t="s">
        <v>1461</v>
      </c>
    </row>
    <row r="147" spans="2:52">
      <c r="B147" t="s">
        <v>1604</v>
      </c>
      <c r="D147" t="s">
        <v>1461</v>
      </c>
    </row>
    <row r="148" spans="2:52">
      <c r="B148" t="s">
        <v>1605</v>
      </c>
      <c r="D148" t="s">
        <v>1461</v>
      </c>
    </row>
    <row r="149" spans="2:52">
      <c r="B149" t="s">
        <v>1606</v>
      </c>
      <c r="D149" t="s">
        <v>1461</v>
      </c>
    </row>
    <row r="150" spans="2:52">
      <c r="B150" t="s">
        <v>1607</v>
      </c>
      <c r="D150" t="s">
        <v>1461</v>
      </c>
    </row>
    <row r="151" spans="2:52">
      <c r="B151" t="s">
        <v>1608</v>
      </c>
      <c r="D151" t="s">
        <v>1461</v>
      </c>
      <c r="F151">
        <v>12829</v>
      </c>
      <c r="G151">
        <v>13362</v>
      </c>
      <c r="H151">
        <v>13941</v>
      </c>
      <c r="I151">
        <v>14716</v>
      </c>
      <c r="J151">
        <v>15686</v>
      </c>
      <c r="K151">
        <v>14254</v>
      </c>
      <c r="L151">
        <v>15935</v>
      </c>
      <c r="Q151">
        <v>26376</v>
      </c>
      <c r="V151">
        <v>31344</v>
      </c>
      <c r="AA151">
        <v>38982</v>
      </c>
      <c r="AF151">
        <v>39596</v>
      </c>
      <c r="AK151">
        <v>42541</v>
      </c>
      <c r="AP151">
        <v>46824</v>
      </c>
      <c r="AU151">
        <v>46306</v>
      </c>
      <c r="AV151">
        <v>48054.9207683014</v>
      </c>
      <c r="AW151">
        <v>49162.7769226537</v>
      </c>
      <c r="AX151">
        <v>53235.7811896026</v>
      </c>
      <c r="AY151">
        <v>57456.1716755273</v>
      </c>
      <c r="AZ151">
        <v>62159.2788437195</v>
      </c>
    </row>
    <row r="152" spans="2:52">
      <c r="B152" t="s">
        <v>1609</v>
      </c>
      <c r="D152" t="s">
        <v>1461</v>
      </c>
    </row>
    <row r="153" spans="2:52">
      <c r="B153" t="s">
        <v>1610</v>
      </c>
      <c r="D153" t="s">
        <v>1461</v>
      </c>
    </row>
    <row r="154" spans="2:52">
      <c r="B154" t="s">
        <v>1611</v>
      </c>
      <c r="D154" t="s">
        <v>1461</v>
      </c>
    </row>
    <row r="155" spans="2:52">
      <c r="B155" t="s">
        <v>1612</v>
      </c>
      <c r="D155" t="s">
        <v>1461</v>
      </c>
      <c r="E155" t="s">
        <v>1461</v>
      </c>
    </row>
    <row r="156" spans="2:52">
      <c r="B156" t="s">
        <v>1613</v>
      </c>
      <c r="D156" t="s">
        <v>1461</v>
      </c>
      <c r="E156" t="s">
        <v>1461</v>
      </c>
    </row>
    <row r="157" spans="2:52">
      <c r="B157" t="s">
        <v>1614</v>
      </c>
      <c r="D157" t="s">
        <v>1461</v>
      </c>
      <c r="E157" t="s">
        <v>1461</v>
      </c>
    </row>
    <row r="158" spans="2:52">
      <c r="B158" t="s">
        <v>1615</v>
      </c>
      <c r="D158" t="s">
        <v>1461</v>
      </c>
      <c r="Q158">
        <v>0.14</v>
      </c>
      <c r="V158">
        <v>0.079698532328</v>
      </c>
      <c r="AA158">
        <v>0.097625012137</v>
      </c>
      <c r="AF158">
        <v>-0.038824784343</v>
      </c>
      <c r="AK158">
        <v>0.062049402283</v>
      </c>
      <c r="AP158">
        <v>0.111624928246</v>
      </c>
      <c r="AU158">
        <v>0.090855307606</v>
      </c>
      <c r="AV158">
        <v>0.0910855086</v>
      </c>
      <c r="AW158">
        <v>0.091311315033</v>
      </c>
      <c r="AX158">
        <v>0.091532726716</v>
      </c>
      <c r="AY158">
        <v>1.091749748599</v>
      </c>
      <c r="AZ158">
        <v>1.091824836116</v>
      </c>
    </row>
    <row r="159" spans="2:52">
      <c r="B159" t="s">
        <v>1616</v>
      </c>
      <c r="D159" t="s">
        <v>1461</v>
      </c>
      <c r="F159">
        <v>0.364587224505</v>
      </c>
      <c r="G159">
        <v>0.355955441302</v>
      </c>
      <c r="H159">
        <v>0.326570680628</v>
      </c>
      <c r="I159">
        <v>0.325463743676</v>
      </c>
      <c r="J159">
        <v>0.277804372108</v>
      </c>
      <c r="K159">
        <v>0.265529010239</v>
      </c>
      <c r="L159">
        <v>0.283303194696</v>
      </c>
      <c r="Q159">
        <v>0.370190400635</v>
      </c>
      <c r="V159">
        <v>0.348189144577</v>
      </c>
      <c r="AA159">
        <v>0.316047782202</v>
      </c>
      <c r="AF159">
        <v>0.327771136717</v>
      </c>
      <c r="AK159">
        <v>0.308650439224</v>
      </c>
      <c r="AP159">
        <v>0.302692273426</v>
      </c>
      <c r="AU159">
        <v>0.296939092194</v>
      </c>
      <c r="AV159">
        <v>0.29123111554</v>
      </c>
      <c r="AW159">
        <v>0.285571332922</v>
      </c>
      <c r="AX159">
        <v>0.279962548546</v>
      </c>
      <c r="AY159">
        <v>0.278087724008</v>
      </c>
      <c r="AZ159">
        <v>0.276185565271</v>
      </c>
    </row>
    <row r="160" spans="2:52">
      <c r="B160" t="s">
        <v>1617</v>
      </c>
      <c r="D160" t="s">
        <v>1461</v>
      </c>
      <c r="F160">
        <v>0.341053418005</v>
      </c>
      <c r="G160">
        <v>0.326649528706</v>
      </c>
      <c r="H160">
        <v>0.297447643979</v>
      </c>
      <c r="I160">
        <v>0.300475241453</v>
      </c>
      <c r="J160">
        <v>0.249242061592</v>
      </c>
      <c r="K160">
        <v>0.227303754266</v>
      </c>
      <c r="L160">
        <v>0.235232067511</v>
      </c>
      <c r="Q160">
        <v>0.32070606902</v>
      </c>
      <c r="V160">
        <v>0.284396543354</v>
      </c>
      <c r="AA160">
        <v>0.233354940272</v>
      </c>
      <c r="AF160">
        <v>0.233260023765</v>
      </c>
      <c r="AK160">
        <v>0.219652680554</v>
      </c>
      <c r="AP160">
        <v>0.215412521065</v>
      </c>
      <c r="AU160">
        <v>0.211318239902</v>
      </c>
      <c r="AV160">
        <v>0.207256128811</v>
      </c>
      <c r="AW160">
        <v>0.203228315254</v>
      </c>
      <c r="AX160">
        <v>0.199236794859</v>
      </c>
      <c r="AY160">
        <v>0.197902566286</v>
      </c>
      <c r="AZ160">
        <v>0.196548885188</v>
      </c>
    </row>
    <row r="161" spans="2:52">
      <c r="B161" t="s">
        <v>1618</v>
      </c>
      <c r="D161" t="s">
        <v>1461</v>
      </c>
    </row>
    <row r="162" spans="2:52">
      <c r="B162" t="s">
        <v>1619</v>
      </c>
      <c r="D162" t="s">
        <v>1461</v>
      </c>
      <c r="F162">
        <v>-0.011073671708</v>
      </c>
      <c r="G162">
        <v>-0.004482216416</v>
      </c>
      <c r="H162">
        <v>-0.001875821658</v>
      </c>
      <c r="I162">
        <v>-0.005905283021</v>
      </c>
      <c r="J162">
        <v>0.002192465091</v>
      </c>
      <c r="K162">
        <v>0.013020616814</v>
      </c>
      <c r="L162">
        <v>0.021179320568</v>
      </c>
      <c r="Q162">
        <v>0.014344986729</v>
      </c>
      <c r="V162">
        <v>0.030741667391</v>
      </c>
      <c r="AA162">
        <v>0.05269284193</v>
      </c>
      <c r="AF162">
        <v>0.063398304526</v>
      </c>
      <c r="AK162">
        <v>0.059699931891</v>
      </c>
      <c r="AP162">
        <v>0.058547488715</v>
      </c>
      <c r="AU162">
        <v>0.057434694162</v>
      </c>
      <c r="AV162">
        <v>0.05633064319</v>
      </c>
      <c r="AW162">
        <v>0.055235914027</v>
      </c>
      <c r="AX162">
        <v>0.054151049071</v>
      </c>
      <c r="AY162">
        <v>0.053788415869</v>
      </c>
      <c r="AZ162">
        <v>0.053420495618</v>
      </c>
    </row>
    <row r="163" spans="2:52">
      <c r="B163" t="s">
        <v>1620</v>
      </c>
      <c r="D163" t="s">
        <v>1461</v>
      </c>
      <c r="F163">
        <v>0.034607478208</v>
      </c>
      <c r="G163">
        <v>0.033788129012</v>
      </c>
      <c r="H163">
        <v>0.030998858307</v>
      </c>
      <c r="I163">
        <v>0.030893785244</v>
      </c>
      <c r="J163">
        <v>0.026369845424</v>
      </c>
      <c r="K163">
        <v>0.025204639158</v>
      </c>
      <c r="L163">
        <v>0.026891806618</v>
      </c>
      <c r="Q163">
        <v>0.035139344885</v>
      </c>
      <c r="V163">
        <v>0.033050933832</v>
      </c>
      <c r="AA163">
        <v>0.03</v>
      </c>
      <c r="AF163">
        <v>0.031112808427</v>
      </c>
      <c r="AK163">
        <v>0.029297826779</v>
      </c>
      <c r="AP163">
        <v>0.028732263645</v>
      </c>
      <c r="AU163">
        <v>0.02818615813</v>
      </c>
      <c r="AV163">
        <v>0.02764434354</v>
      </c>
      <c r="AW163">
        <v>0.027107103641</v>
      </c>
      <c r="AX163">
        <v>0.026574704615</v>
      </c>
      <c r="AY163">
        <v>0.026396741854</v>
      </c>
      <c r="AZ163">
        <v>0.026216184466</v>
      </c>
    </row>
    <row r="164" spans="2:52">
      <c r="B164" t="s">
        <v>1621</v>
      </c>
      <c r="D164" t="s">
        <v>1461</v>
      </c>
      <c r="F164">
        <v>0.508591707135</v>
      </c>
      <c r="G164">
        <v>0.490145672665</v>
      </c>
      <c r="H164">
        <v>0.501636125654</v>
      </c>
      <c r="I164">
        <v>0.490571822781</v>
      </c>
      <c r="J164">
        <v>0.536939524493</v>
      </c>
      <c r="K164">
        <v>0.523549488055</v>
      </c>
      <c r="L164">
        <v>0.477094635322</v>
      </c>
      <c r="Q164">
        <v>0.412733042443</v>
      </c>
      <c r="V164">
        <v>0.424215943295</v>
      </c>
      <c r="AA164">
        <v>0.431984443004</v>
      </c>
      <c r="AF164">
        <v>0.414275653394</v>
      </c>
      <c r="AK164">
        <v>0.39010867052</v>
      </c>
      <c r="AP164">
        <v>0.386087931189</v>
      </c>
      <c r="AU164">
        <v>0.378749673709</v>
      </c>
      <c r="AV164">
        <v>0.371469075257</v>
      </c>
      <c r="AW164">
        <v>0.364249948923</v>
      </c>
      <c r="AX164">
        <v>0.35709587151</v>
      </c>
      <c r="AY164">
        <v>0.354704508431</v>
      </c>
      <c r="AZ164">
        <v>0.352278280225</v>
      </c>
    </row>
    <row r="165" spans="2:52">
      <c r="B165" t="s">
        <v>1622</v>
      </c>
      <c r="D165" t="s">
        <v>1461</v>
      </c>
      <c r="F165">
        <v>0.023546760323</v>
      </c>
      <c r="G165">
        <v>0.022692746491</v>
      </c>
      <c r="H165">
        <v>0.023224731065</v>
      </c>
      <c r="I165">
        <v>0.022712476374</v>
      </c>
      <c r="J165">
        <v>0.024859206538</v>
      </c>
      <c r="K165">
        <v>0.024239275119</v>
      </c>
      <c r="L165">
        <v>0.02208851004</v>
      </c>
      <c r="Q165">
        <v>0.019108699358</v>
      </c>
      <c r="V165">
        <v>0.019640334284</v>
      </c>
      <c r="AA165">
        <v>0.02</v>
      </c>
      <c r="AF165">
        <v>0.019180119104</v>
      </c>
      <c r="AK165">
        <v>0.018061237012</v>
      </c>
      <c r="AP165">
        <v>0.017875084969</v>
      </c>
      <c r="AU165">
        <v>0.017535338591</v>
      </c>
      <c r="AV165">
        <v>0.017198261709</v>
      </c>
      <c r="AW165">
        <v>0.016864030861</v>
      </c>
      <c r="AX165">
        <v>0.016532811646</v>
      </c>
      <c r="AY165">
        <v>0.016422096405</v>
      </c>
      <c r="AZ165">
        <v>0.01630976698</v>
      </c>
    </row>
    <row r="166" spans="2:52">
      <c r="B166" t="s">
        <v>1623</v>
      </c>
      <c r="D166" t="s">
        <v>1461</v>
      </c>
      <c r="F166">
        <v>0.459615361455</v>
      </c>
      <c r="G166">
        <v>0.44294564254</v>
      </c>
      <c r="H166">
        <v>0.453329588307</v>
      </c>
      <c r="I166">
        <v>0.443330755268</v>
      </c>
      <c r="J166">
        <v>0.485233341731</v>
      </c>
      <c r="K166">
        <v>0.423132738533</v>
      </c>
      <c r="L166">
        <v>0.381151393516</v>
      </c>
      <c r="Q166">
        <v>0.322987690963</v>
      </c>
      <c r="V166">
        <v>0.333364811847</v>
      </c>
      <c r="AA166">
        <v>0.340385220854</v>
      </c>
      <c r="AF166">
        <v>0.32438175162</v>
      </c>
      <c r="AK166">
        <v>0.302541999983</v>
      </c>
      <c r="AP166">
        <v>0.298908449661</v>
      </c>
      <c r="AU166">
        <v>0.292276851433</v>
      </c>
      <c r="AV166">
        <v>0.285697359784</v>
      </c>
      <c r="AW166">
        <v>0.279173420615</v>
      </c>
      <c r="AX166">
        <v>0.272708266289</v>
      </c>
      <c r="AY166">
        <v>0.270547186604</v>
      </c>
      <c r="AZ166">
        <v>0.268354599233</v>
      </c>
    </row>
    <row r="167" spans="2:52">
      <c r="B167" t="s">
        <v>1624</v>
      </c>
      <c r="D167" t="s">
        <v>1461</v>
      </c>
    </row>
    <row r="168" spans="2:52">
      <c r="B168" t="s">
        <v>1625</v>
      </c>
      <c r="D168" t="s">
        <v>1461</v>
      </c>
    </row>
    <row r="169" spans="2:52">
      <c r="B169" t="s">
        <v>1626</v>
      </c>
      <c r="D169" t="s">
        <v>1461</v>
      </c>
    </row>
    <row r="170" spans="2:52">
      <c r="B170" t="s">
        <v>1627</v>
      </c>
      <c r="D170" t="s">
        <v>1461</v>
      </c>
    </row>
    <row r="171" spans="2:52">
      <c r="B171" t="s">
        <v>1628</v>
      </c>
      <c r="D171" t="s">
        <v>1461</v>
      </c>
    </row>
    <row r="172" spans="2:52">
      <c r="B172" t="s">
        <v>1629</v>
      </c>
      <c r="D172" t="s">
        <v>1461</v>
      </c>
    </row>
    <row r="173" spans="2:52">
      <c r="B173" t="s">
        <v>1630</v>
      </c>
      <c r="D173" t="s">
        <v>1461</v>
      </c>
    </row>
    <row r="174" spans="2:52">
      <c r="B174" t="s">
        <v>1631</v>
      </c>
      <c r="D174" t="s">
        <v>1461</v>
      </c>
    </row>
    <row r="175" spans="2:52">
      <c r="B175" t="s">
        <v>1632</v>
      </c>
      <c r="D175" t="s">
        <v>1461</v>
      </c>
    </row>
    <row r="176" spans="2:52">
      <c r="B176" t="s">
        <v>1633</v>
      </c>
      <c r="D176" t="s">
        <v>1461</v>
      </c>
    </row>
    <row r="177" spans="2:52">
      <c r="B177" t="s">
        <v>1634</v>
      </c>
      <c r="D177" t="s">
        <v>1461</v>
      </c>
    </row>
    <row r="178" spans="2:52">
      <c r="B178" t="s">
        <v>1635</v>
      </c>
      <c r="D178" t="s">
        <v>1461</v>
      </c>
    </row>
    <row r="179" spans="2:52">
      <c r="B179" t="s">
        <v>1636</v>
      </c>
      <c r="D179" t="s">
        <v>1461</v>
      </c>
    </row>
    <row r="180" spans="2:52">
      <c r="B180" t="s">
        <v>1637</v>
      </c>
      <c r="D180" t="s">
        <v>1461</v>
      </c>
    </row>
    <row r="181" spans="2:52">
      <c r="B181" t="s">
        <v>1638</v>
      </c>
      <c r="D181" t="s">
        <v>1461</v>
      </c>
    </row>
    <row r="182" spans="2:52">
      <c r="B182" t="s">
        <v>1639</v>
      </c>
      <c r="D182" t="s">
        <v>1461</v>
      </c>
    </row>
    <row r="183" spans="2:52">
      <c r="B183" t="s">
        <v>1640</v>
      </c>
      <c r="D183" t="s">
        <v>1461</v>
      </c>
      <c r="F183">
        <v>0.05</v>
      </c>
      <c r="G183">
        <v>0.05</v>
      </c>
      <c r="H183">
        <v>0.05</v>
      </c>
      <c r="I183">
        <v>0.05</v>
      </c>
      <c r="J183">
        <v>0.05</v>
      </c>
      <c r="K183">
        <v>0.05</v>
      </c>
      <c r="L183">
        <v>0.05</v>
      </c>
      <c r="Q183">
        <v>0.05</v>
      </c>
      <c r="V183">
        <v>0.05</v>
      </c>
      <c r="AA183">
        <v>0.05</v>
      </c>
      <c r="AF183">
        <v>0.05</v>
      </c>
      <c r="AK183">
        <v>0.05</v>
      </c>
      <c r="AP183">
        <v>0.05</v>
      </c>
      <c r="AU183">
        <v>0.05</v>
      </c>
      <c r="AV183">
        <v>0.05</v>
      </c>
      <c r="AW183">
        <v>0.05</v>
      </c>
      <c r="AX183">
        <v>0.05</v>
      </c>
      <c r="AY183">
        <v>0.05</v>
      </c>
      <c r="AZ183">
        <v>0.05</v>
      </c>
    </row>
    <row r="184" spans="2:52">
      <c r="B184" t="s">
        <v>1641</v>
      </c>
      <c r="D184" t="s">
        <v>1461</v>
      </c>
    </row>
    <row r="185" spans="2:52">
      <c r="B185" t="s">
        <v>1642</v>
      </c>
      <c r="D185" t="s">
        <v>1461</v>
      </c>
      <c r="F185">
        <v>0.025429585357</v>
      </c>
      <c r="G185">
        <v>0.024507283633</v>
      </c>
      <c r="H185">
        <v>0.025081806283</v>
      </c>
      <c r="I185">
        <v>0.024528591139</v>
      </c>
      <c r="J185">
        <v>0.026846976225</v>
      </c>
      <c r="K185">
        <v>0.026177474403</v>
      </c>
      <c r="L185">
        <v>0.023854731766</v>
      </c>
      <c r="Q185">
        <v>0.020636652122</v>
      </c>
      <c r="V185">
        <v>0.021210797165</v>
      </c>
      <c r="AA185">
        <v>0.02159922215</v>
      </c>
      <c r="AF185">
        <v>0.02071378267</v>
      </c>
      <c r="AK185">
        <v>0.019505433526</v>
      </c>
      <c r="AP185">
        <v>0.019304396559</v>
      </c>
      <c r="AU185">
        <v>0.018937483685</v>
      </c>
      <c r="AV185">
        <v>0.018573453763</v>
      </c>
      <c r="AW185">
        <v>0.018212497446</v>
      </c>
      <c r="AX185">
        <v>0.017854793576</v>
      </c>
      <c r="AY185">
        <v>0.017735225422</v>
      </c>
      <c r="AZ185">
        <v>0.017613914011</v>
      </c>
    </row>
    <row r="186" spans="2:52">
      <c r="B186" t="s">
        <v>1643</v>
      </c>
      <c r="D186" t="s">
        <v>1461</v>
      </c>
    </row>
    <row r="187" spans="2:52">
      <c r="B187" t="s">
        <v>1644</v>
      </c>
      <c r="D187" t="s">
        <v>1461</v>
      </c>
      <c r="F187">
        <v>0.123832648487</v>
      </c>
      <c r="G187">
        <v>0.149957155099</v>
      </c>
      <c r="H187">
        <v>0.165248691099</v>
      </c>
      <c r="I187">
        <v>0.178752107926</v>
      </c>
      <c r="J187">
        <v>0.178075634275</v>
      </c>
      <c r="K187">
        <v>0.203412969283</v>
      </c>
      <c r="L187">
        <v>0.229505726341</v>
      </c>
      <c r="Q187">
        <v>0.200317334391</v>
      </c>
      <c r="V187">
        <v>0.218856199631</v>
      </c>
      <c r="AA187">
        <v>0.246504305954</v>
      </c>
      <c r="AF187">
        <v>0.249093419378</v>
      </c>
      <c r="AK187">
        <v>0.24787322769</v>
      </c>
      <c r="AP187">
        <v>0.250093822713</v>
      </c>
      <c r="AU187">
        <v>0.266680104818</v>
      </c>
      <c r="AV187">
        <v>0.267994863326</v>
      </c>
      <c r="AW187">
        <v>0.273711178911</v>
      </c>
      <c r="AX187">
        <v>0.278438836105</v>
      </c>
      <c r="AY187">
        <v>0.282758199607</v>
      </c>
      <c r="AZ187">
        <v>0.286692766368</v>
      </c>
    </row>
    <row r="188" spans="2:52">
      <c r="B188" t="s">
        <v>1645</v>
      </c>
      <c r="D188" t="s">
        <v>1461</v>
      </c>
      <c r="F188">
        <v>0.030142688313</v>
      </c>
      <c r="G188">
        <v>0.039767194924</v>
      </c>
      <c r="H188">
        <v>0.038558730925</v>
      </c>
      <c r="I188">
        <v>0.035562147752</v>
      </c>
      <c r="J188">
        <v>0.018385674101</v>
      </c>
      <c r="K188">
        <v>0.032223009109</v>
      </c>
      <c r="L188">
        <v>0.046815766167</v>
      </c>
      <c r="Q188">
        <v>0.006127374217</v>
      </c>
      <c r="V188">
        <v>0.013166239457</v>
      </c>
      <c r="AA188">
        <v>0.02931434578</v>
      </c>
      <c r="AF188">
        <v>0.029018282108</v>
      </c>
      <c r="AK188">
        <v>0.032894078399</v>
      </c>
      <c r="AP188">
        <v>0.027623283044</v>
      </c>
      <c r="AU188">
        <v>0.028302425586</v>
      </c>
      <c r="AV188">
        <v>0.027232023623</v>
      </c>
      <c r="AW188">
        <v>0.027311655729</v>
      </c>
      <c r="AX188">
        <v>0.027321311822</v>
      </c>
      <c r="AY188">
        <v>0.027217040419</v>
      </c>
      <c r="AZ188">
        <v>0.027000044877</v>
      </c>
    </row>
    <row r="189" spans="2:52">
      <c r="B189" t="s">
        <v>1646</v>
      </c>
      <c r="D189" t="s">
        <v>1461</v>
      </c>
      <c r="F189">
        <v>0.086249930536</v>
      </c>
      <c r="G189">
        <v>0.087749930536</v>
      </c>
      <c r="H189">
        <v>0.089249930536</v>
      </c>
      <c r="I189">
        <v>0.090749930536</v>
      </c>
      <c r="J189">
        <v>0.092249930536</v>
      </c>
      <c r="K189">
        <v>0.093749930536</v>
      </c>
      <c r="L189">
        <v>0.095249930536</v>
      </c>
      <c r="Q189">
        <v>0.096749930536</v>
      </c>
      <c r="V189">
        <v>0.098249930536</v>
      </c>
      <c r="AA189">
        <v>0.099749930536</v>
      </c>
      <c r="AF189">
        <v>0.093150948849</v>
      </c>
      <c r="AK189">
        <v>0.083402835696</v>
      </c>
      <c r="AP189">
        <v>0.092246491031</v>
      </c>
      <c r="AU189">
        <v>0.10495195861</v>
      </c>
      <c r="AV189">
        <v>0.112383299764</v>
      </c>
      <c r="AW189">
        <v>0.117644574745</v>
      </c>
      <c r="AX189">
        <v>0.122317054264</v>
      </c>
      <c r="AY189">
        <v>0.127232254354</v>
      </c>
      <c r="AZ189">
        <v>0.13240679564</v>
      </c>
    </row>
    <row r="190" spans="2:52">
      <c r="B190" t="s">
        <v>1647</v>
      </c>
      <c r="D190" t="s">
        <v>1461</v>
      </c>
    </row>
    <row r="191" spans="2:52">
      <c r="B191" t="s">
        <v>1648</v>
      </c>
      <c r="D191" t="s">
        <v>1461</v>
      </c>
    </row>
    <row r="192" spans="2:52">
      <c r="B192" t="s">
        <v>1649</v>
      </c>
      <c r="D192" t="s">
        <v>1461</v>
      </c>
    </row>
    <row r="193" spans="2:52">
      <c r="B193" t="s">
        <v>1650</v>
      </c>
      <c r="D193" t="s">
        <v>1461</v>
      </c>
    </row>
    <row r="194" spans="2:52">
      <c r="B194" t="s">
        <v>1651</v>
      </c>
      <c r="D194" t="s">
        <v>1461</v>
      </c>
      <c r="F194">
        <v>0.007440029638</v>
      </c>
      <c r="G194">
        <v>0.022440029638</v>
      </c>
      <c r="H194">
        <v>0.037440029638</v>
      </c>
      <c r="I194">
        <v>0.052440029638</v>
      </c>
      <c r="J194">
        <v>0.067440029638</v>
      </c>
      <c r="K194">
        <v>0.077440029638</v>
      </c>
      <c r="L194">
        <v>0.087440029638</v>
      </c>
      <c r="Q194">
        <v>0.097440029638</v>
      </c>
      <c r="V194">
        <v>0.107440029638</v>
      </c>
      <c r="AA194">
        <v>0.117440029638</v>
      </c>
      <c r="AF194">
        <v>0.126924188421</v>
      </c>
      <c r="AK194">
        <v>0.131576313595</v>
      </c>
      <c r="AP194">
        <v>0.130224048638</v>
      </c>
      <c r="AU194">
        <v>0.133425720621</v>
      </c>
      <c r="AV194">
        <v>0.128379539939</v>
      </c>
      <c r="AW194">
        <v>0.128754948437</v>
      </c>
      <c r="AX194">
        <v>0.128800470019</v>
      </c>
      <c r="AY194">
        <v>0.128308904834</v>
      </c>
      <c r="AZ194">
        <v>0.127285925851</v>
      </c>
    </row>
    <row r="195" spans="2:52">
      <c r="B195" t="s">
        <v>1652</v>
      </c>
      <c r="D195" t="s">
        <v>1461</v>
      </c>
      <c r="F195">
        <v>0.002988419873</v>
      </c>
      <c r="G195">
        <v>0.003941730934</v>
      </c>
      <c r="H195">
        <v>0.006544502618</v>
      </c>
      <c r="I195">
        <v>0.005212325617</v>
      </c>
      <c r="J195">
        <v>0.007180469124</v>
      </c>
      <c r="K195">
        <v>0.007508532423</v>
      </c>
      <c r="L195">
        <v>0.010096443641</v>
      </c>
      <c r="Q195">
        <v>0.016759222531</v>
      </c>
      <c r="V195">
        <v>0.008738712496</v>
      </c>
      <c r="AA195">
        <v>0.00546346884</v>
      </c>
      <c r="AF195">
        <v>0.008859790511</v>
      </c>
      <c r="AK195">
        <v>0.053367662566</v>
      </c>
      <c r="AP195">
        <v>0.061125972672</v>
      </c>
      <c r="AU195">
        <v>0.057631129279</v>
      </c>
      <c r="AV195">
        <v>0.069304945877</v>
      </c>
      <c r="AW195">
        <v>0.076467539244</v>
      </c>
      <c r="AX195">
        <v>0.084502743839</v>
      </c>
      <c r="AY195">
        <v>0.084449567954</v>
      </c>
      <c r="AZ195">
        <v>0.084843388136</v>
      </c>
    </row>
    <row r="196" spans="2:52">
      <c r="B196" t="s">
        <v>1653</v>
      </c>
      <c r="D196" t="s">
        <v>1461</v>
      </c>
      <c r="F196">
        <v>0.364587224505</v>
      </c>
      <c r="G196">
        <v>0.355955441302</v>
      </c>
      <c r="H196">
        <v>0.326570680628</v>
      </c>
      <c r="I196">
        <v>0.325463743676</v>
      </c>
      <c r="J196">
        <v>0.277804372108</v>
      </c>
      <c r="K196">
        <v>0.265529010239</v>
      </c>
      <c r="L196">
        <v>0.283303194696</v>
      </c>
      <c r="Q196">
        <v>0.370190400635</v>
      </c>
      <c r="V196">
        <v>0.348189144577</v>
      </c>
      <c r="AA196">
        <v>0.316047782202</v>
      </c>
      <c r="AF196">
        <v>0.327771136717</v>
      </c>
      <c r="AK196">
        <v>0.308650439224</v>
      </c>
      <c r="AP196">
        <v>0.302692273426</v>
      </c>
      <c r="AU196">
        <v>0.296939092194</v>
      </c>
      <c r="AV196">
        <v>0.29123111554</v>
      </c>
      <c r="AW196">
        <v>0.285571332922</v>
      </c>
      <c r="AX196">
        <v>0.279962548546</v>
      </c>
      <c r="AY196">
        <v>0.278087724008</v>
      </c>
      <c r="AZ196">
        <v>0.276185565271</v>
      </c>
    </row>
    <row r="197" spans="2:52">
      <c r="B197" t="s">
        <v>1654</v>
      </c>
      <c r="D197" t="s">
        <v>1461</v>
      </c>
    </row>
    <row r="198" spans="2:52">
      <c r="B198" t="s">
        <v>1655</v>
      </c>
      <c r="D198" t="s">
        <v>1461</v>
      </c>
    </row>
    <row r="199" spans="2:52">
      <c r="B199" t="s">
        <v>1656</v>
      </c>
      <c r="D199" t="s">
        <v>1461</v>
      </c>
    </row>
    <row r="200" spans="2:52">
      <c r="B200" t="s">
        <v>1657</v>
      </c>
      <c r="D200" t="s">
        <v>1461</v>
      </c>
    </row>
    <row r="201" spans="2:52">
      <c r="B201" t="s">
        <v>1658</v>
      </c>
      <c r="D201" t="s">
        <v>1461</v>
      </c>
      <c r="F201">
        <v>0.508591707135</v>
      </c>
      <c r="G201">
        <v>0.490145672665</v>
      </c>
      <c r="H201">
        <v>0.501636125654</v>
      </c>
      <c r="I201">
        <v>0.490571822781</v>
      </c>
      <c r="J201">
        <v>0.536939524493</v>
      </c>
      <c r="K201">
        <v>0.523549488055</v>
      </c>
      <c r="L201">
        <v>0.477094635322</v>
      </c>
      <c r="Q201">
        <v>0.412733042443</v>
      </c>
      <c r="V201">
        <v>0.424215943295</v>
      </c>
      <c r="AA201">
        <v>0.431984443004</v>
      </c>
      <c r="AF201">
        <v>0.414275653394</v>
      </c>
      <c r="AK201">
        <v>0.39010867052</v>
      </c>
      <c r="AP201">
        <v>0.386087931189</v>
      </c>
      <c r="AU201">
        <v>0.378749673709</v>
      </c>
      <c r="AV201">
        <v>0.371469075257</v>
      </c>
      <c r="AW201">
        <v>0.364249948923</v>
      </c>
      <c r="AX201">
        <v>0.35709587151</v>
      </c>
      <c r="AY201">
        <v>0.354704508431</v>
      </c>
      <c r="AZ201">
        <v>0.352278280225</v>
      </c>
    </row>
    <row r="202" spans="2:52">
      <c r="B202" t="s">
        <v>1659</v>
      </c>
      <c r="D202" t="s">
        <v>1461</v>
      </c>
    </row>
    <row r="203" spans="2:52">
      <c r="B203" t="s">
        <v>1660</v>
      </c>
      <c r="D203" t="s">
        <v>1461</v>
      </c>
    </row>
    <row r="204" spans="2:52">
      <c r="B204" t="s">
        <v>1661</v>
      </c>
      <c r="D204" t="s">
        <v>1461</v>
      </c>
    </row>
    <row r="205" spans="2:52">
      <c r="B205" t="s">
        <v>1662</v>
      </c>
      <c r="D205" t="s">
        <v>1461</v>
      </c>
    </row>
    <row r="206" spans="2:52">
      <c r="B206" t="s">
        <v>1663</v>
      </c>
      <c r="D206" t="s">
        <v>1461</v>
      </c>
    </row>
    <row r="207" spans="2:52">
      <c r="B207" t="s">
        <v>1664</v>
      </c>
      <c r="D207" t="s">
        <v>1461</v>
      </c>
    </row>
    <row r="208" spans="2:52">
      <c r="B208" t="s">
        <v>1665</v>
      </c>
      <c r="D208" t="s">
        <v>1461</v>
      </c>
    </row>
    <row r="209" spans="2:52">
      <c r="B209" t="s">
        <v>1666</v>
      </c>
      <c r="D209" t="s">
        <v>1461</v>
      </c>
    </row>
    <row r="210" spans="2:52">
      <c r="B210" t="s">
        <v>1667</v>
      </c>
      <c r="D210" t="s">
        <v>1461</v>
      </c>
    </row>
    <row r="211" spans="2:52">
      <c r="B211" t="s">
        <v>1668</v>
      </c>
      <c r="D211" t="s">
        <v>1461</v>
      </c>
    </row>
    <row r="212" spans="2:52">
      <c r="B212" t="s">
        <v>1669</v>
      </c>
      <c r="D212" t="s">
        <v>1461</v>
      </c>
    </row>
    <row r="213" spans="2:52">
      <c r="B213" t="s">
        <v>1670</v>
      </c>
      <c r="D213" t="s">
        <v>1461</v>
      </c>
    </row>
    <row r="214" spans="2:52">
      <c r="B214" t="s">
        <v>1671</v>
      </c>
      <c r="D214" t="s">
        <v>1461</v>
      </c>
    </row>
    <row r="215" spans="2:52">
      <c r="B215" t="s">
        <v>1672</v>
      </c>
      <c r="D215" t="s">
        <v>1461</v>
      </c>
    </row>
    <row r="216" spans="2:52">
      <c r="B216" t="s">
        <v>1673</v>
      </c>
      <c r="D216" t="s">
        <v>1461</v>
      </c>
    </row>
    <row r="217" spans="2:52">
      <c r="B217" t="s">
        <v>1674</v>
      </c>
      <c r="D217" t="s">
        <v>1461</v>
      </c>
    </row>
    <row r="218" spans="2:52">
      <c r="B218" t="s">
        <v>1675</v>
      </c>
      <c r="D218" t="s">
        <v>1461</v>
      </c>
    </row>
    <row r="219" spans="2:52">
      <c r="B219" t="s">
        <v>1676</v>
      </c>
      <c r="D219" t="s">
        <v>1461</v>
      </c>
    </row>
    <row r="220" spans="2:52">
      <c r="B220" t="s">
        <v>1677</v>
      </c>
      <c r="D220" t="s">
        <v>1461</v>
      </c>
    </row>
    <row r="221" spans="2:52">
      <c r="B221" t="s">
        <v>1678</v>
      </c>
      <c r="D221" t="s">
        <v>1461</v>
      </c>
    </row>
    <row r="222" spans="2:52">
      <c r="B222" t="s">
        <v>1679</v>
      </c>
      <c r="D222" t="s">
        <v>1461</v>
      </c>
    </row>
    <row r="223" spans="2:52">
      <c r="B223" t="s">
        <v>1680</v>
      </c>
      <c r="D223" t="s">
        <v>1461</v>
      </c>
    </row>
    <row r="224" spans="2:52">
      <c r="B224" t="s">
        <v>1681</v>
      </c>
      <c r="D224" t="s">
        <v>1461</v>
      </c>
      <c r="F224">
        <v>0.123832648487</v>
      </c>
      <c r="G224">
        <v>0.149957155099</v>
      </c>
      <c r="H224">
        <v>0.165248691099</v>
      </c>
      <c r="I224">
        <v>0.178752107926</v>
      </c>
      <c r="J224">
        <v>0.178075634275</v>
      </c>
      <c r="K224">
        <v>0.203412969283</v>
      </c>
      <c r="L224">
        <v>0.229505726341</v>
      </c>
      <c r="Q224">
        <v>0.200317334391</v>
      </c>
      <c r="V224">
        <v>0.218856199631</v>
      </c>
      <c r="AA224">
        <v>0.246504305954</v>
      </c>
      <c r="AF224">
        <v>0.249093419378</v>
      </c>
      <c r="AK224">
        <v>0.24787322769</v>
      </c>
      <c r="AP224">
        <v>0.250093822713</v>
      </c>
      <c r="AU224">
        <v>0.266680104818</v>
      </c>
      <c r="AV224">
        <v>0.267994863326</v>
      </c>
      <c r="AW224">
        <v>0.273711178911</v>
      </c>
      <c r="AX224">
        <v>0.278438836105</v>
      </c>
      <c r="AY224">
        <v>0.282758199607</v>
      </c>
      <c r="AZ224">
        <v>0.286692766368</v>
      </c>
    </row>
    <row r="225" spans="2:52">
      <c r="B225" t="s">
        <v>1682</v>
      </c>
      <c r="D225" t="s">
        <v>1461</v>
      </c>
    </row>
    <row r="226" spans="2:52">
      <c r="B226" t="s">
        <v>1683</v>
      </c>
      <c r="D226" t="s">
        <v>1461</v>
      </c>
    </row>
    <row r="227" spans="2:52">
      <c r="B227" t="s">
        <v>1684</v>
      </c>
      <c r="D227" t="s">
        <v>1461</v>
      </c>
    </row>
    <row r="228" spans="2:52">
      <c r="B228" t="s">
        <v>1685</v>
      </c>
      <c r="D228" t="s">
        <v>1461</v>
      </c>
    </row>
    <row r="229" spans="2:52">
      <c r="B229" t="s">
        <v>1686</v>
      </c>
      <c r="D229" t="s">
        <v>1461</v>
      </c>
    </row>
    <row r="230" spans="2:52">
      <c r="B230" t="s">
        <v>1687</v>
      </c>
      <c r="D230" t="s">
        <v>1461</v>
      </c>
    </row>
    <row r="231" spans="2:52">
      <c r="B231" t="s">
        <v>1688</v>
      </c>
      <c r="D231" t="s">
        <v>1461</v>
      </c>
    </row>
    <row r="232" spans="2:52">
      <c r="B232" t="s">
        <v>1689</v>
      </c>
      <c r="D232" t="s">
        <v>1461</v>
      </c>
      <c r="F232">
        <v>0.002988419873</v>
      </c>
      <c r="G232">
        <v>0.003941730934</v>
      </c>
      <c r="H232">
        <v>0.006544502618</v>
      </c>
      <c r="I232">
        <v>0.005212325617</v>
      </c>
      <c r="J232">
        <v>0.007180469124</v>
      </c>
      <c r="K232">
        <v>0.007508532423</v>
      </c>
      <c r="L232">
        <v>0.010096443641</v>
      </c>
      <c r="Q232">
        <v>0.016759222531</v>
      </c>
      <c r="V232">
        <v>0.008738712496</v>
      </c>
      <c r="AA232">
        <v>0.00546346884</v>
      </c>
      <c r="AF232">
        <v>0.008859790511</v>
      </c>
      <c r="AK232">
        <v>0.053367662566</v>
      </c>
      <c r="AP232">
        <v>0.061125972672</v>
      </c>
      <c r="AU232">
        <v>0.057631129279</v>
      </c>
      <c r="AV232">
        <v>0.069304945877</v>
      </c>
      <c r="AW232">
        <v>0.076467539244</v>
      </c>
      <c r="AX232">
        <v>0.084502743839</v>
      </c>
      <c r="AY232">
        <v>0.084449567954</v>
      </c>
      <c r="AZ232">
        <v>0.084843388136</v>
      </c>
    </row>
    <row r="233" spans="2:52">
      <c r="B233" t="s">
        <v>1690</v>
      </c>
      <c r="D233" t="s">
        <v>1461</v>
      </c>
      <c r="F233">
        <v>0.364587224505</v>
      </c>
      <c r="G233">
        <v>0.355955441302</v>
      </c>
      <c r="H233">
        <v>0.326570680628</v>
      </c>
      <c r="I233">
        <v>0.325463743676</v>
      </c>
      <c r="J233">
        <v>0.277804372108</v>
      </c>
      <c r="K233">
        <v>0.265529010239</v>
      </c>
      <c r="L233">
        <v>0.283303194696</v>
      </c>
      <c r="Q233">
        <v>0.370190400635</v>
      </c>
      <c r="V233">
        <v>0.348189144577</v>
      </c>
      <c r="AA233">
        <v>0.316047782202</v>
      </c>
      <c r="AF233">
        <v>0.327771136717</v>
      </c>
      <c r="AK233">
        <v>0.308650439224</v>
      </c>
      <c r="AP233">
        <v>0.302692273426</v>
      </c>
      <c r="AU233">
        <v>0.296939092194</v>
      </c>
      <c r="AV233">
        <v>0.29123111554</v>
      </c>
      <c r="AW233">
        <v>0.285571332922</v>
      </c>
      <c r="AX233">
        <v>0.279962548546</v>
      </c>
      <c r="AY233">
        <v>0.278087724008</v>
      </c>
      <c r="AZ233">
        <v>0.276185565271</v>
      </c>
    </row>
    <row r="234" spans="2:52">
      <c r="B234" t="s">
        <v>1691</v>
      </c>
      <c r="D234" t="s">
        <v>1461</v>
      </c>
      <c r="F234">
        <v>0.341053418005</v>
      </c>
      <c r="G234">
        <v>0.326649528706</v>
      </c>
      <c r="H234">
        <v>0.297447643979</v>
      </c>
      <c r="I234">
        <v>0.300475241453</v>
      </c>
      <c r="J234">
        <v>0.249242061592</v>
      </c>
      <c r="K234">
        <v>0.227303754266</v>
      </c>
      <c r="L234">
        <v>0.235232067511</v>
      </c>
      <c r="Q234">
        <v>0.32070606902</v>
      </c>
      <c r="V234">
        <v>0.284396543354</v>
      </c>
      <c r="AA234">
        <v>0.233354940272</v>
      </c>
      <c r="AF234">
        <v>0.233260023765</v>
      </c>
      <c r="AK234">
        <v>0.219652680554</v>
      </c>
      <c r="AP234">
        <v>0.215412521065</v>
      </c>
      <c r="AU234">
        <v>0.211318239902</v>
      </c>
      <c r="AV234">
        <v>0.207256128811</v>
      </c>
      <c r="AW234">
        <v>0.203228315254</v>
      </c>
      <c r="AX234">
        <v>0.199236794859</v>
      </c>
      <c r="AY234">
        <v>0.197902566286</v>
      </c>
      <c r="AZ234">
        <v>0.196548885188</v>
      </c>
    </row>
    <row r="235" spans="2:52">
      <c r="B235" t="s">
        <v>1692</v>
      </c>
      <c r="D235" t="s">
        <v>1461</v>
      </c>
    </row>
    <row r="236" spans="2:52">
      <c r="B236" t="s">
        <v>1693</v>
      </c>
      <c r="D236" t="s">
        <v>1461</v>
      </c>
      <c r="F236">
        <v>-0.011073671708</v>
      </c>
      <c r="G236">
        <v>-0.004482216416</v>
      </c>
      <c r="H236">
        <v>-0.001875821658</v>
      </c>
      <c r="I236">
        <v>-0.005905283021</v>
      </c>
      <c r="J236">
        <v>0.002192465091</v>
      </c>
      <c r="K236">
        <v>0.013020616814</v>
      </c>
      <c r="L236">
        <v>0.021179320568</v>
      </c>
      <c r="Q236">
        <v>0.014344986729</v>
      </c>
      <c r="V236">
        <v>0.030741667391</v>
      </c>
      <c r="AA236">
        <v>0.05269284193</v>
      </c>
      <c r="AF236">
        <v>0.063398304526</v>
      </c>
      <c r="AK236">
        <v>0.059699931891</v>
      </c>
      <c r="AP236">
        <v>0.058547488715</v>
      </c>
      <c r="AU236">
        <v>0.057434694162</v>
      </c>
      <c r="AV236">
        <v>0.05633064319</v>
      </c>
      <c r="AW236">
        <v>0.055235914027</v>
      </c>
      <c r="AX236">
        <v>0.054151049071</v>
      </c>
      <c r="AY236">
        <v>0.053788415869</v>
      </c>
      <c r="AZ236">
        <v>0.053420495618</v>
      </c>
    </row>
    <row r="237" spans="2:52">
      <c r="B237" t="s">
        <v>1694</v>
      </c>
      <c r="D237" t="s">
        <v>1461</v>
      </c>
      <c r="F237">
        <v>0.034607478208</v>
      </c>
      <c r="G237">
        <v>0.033788129012</v>
      </c>
      <c r="H237">
        <v>0.030998858307</v>
      </c>
      <c r="I237">
        <v>0.030893785244</v>
      </c>
      <c r="J237">
        <v>0.026369845424</v>
      </c>
      <c r="K237">
        <v>0.025204639158</v>
      </c>
      <c r="L237">
        <v>0.026891806618</v>
      </c>
      <c r="Q237">
        <v>0.035139344885</v>
      </c>
      <c r="V237">
        <v>0.033050933832</v>
      </c>
      <c r="AA237">
        <v>0.03</v>
      </c>
      <c r="AF237">
        <v>0.031112808427</v>
      </c>
      <c r="AK237">
        <v>0.029297826779</v>
      </c>
      <c r="AP237">
        <v>0.028732263645</v>
      </c>
      <c r="AU237">
        <v>0.02818615813</v>
      </c>
      <c r="AV237">
        <v>0.02764434354</v>
      </c>
      <c r="AW237">
        <v>0.027107103641</v>
      </c>
      <c r="AX237">
        <v>0.026574704615</v>
      </c>
      <c r="AY237">
        <v>0.026396741854</v>
      </c>
      <c r="AZ237">
        <v>0.026216184466</v>
      </c>
    </row>
    <row r="238" spans="2:52">
      <c r="B238" t="s">
        <v>1695</v>
      </c>
      <c r="D238" t="s">
        <v>1461</v>
      </c>
      <c r="F238">
        <v>0.508591707135</v>
      </c>
      <c r="G238">
        <v>0.490145672665</v>
      </c>
      <c r="H238">
        <v>0.501636125654</v>
      </c>
      <c r="I238">
        <v>0.490571822781</v>
      </c>
      <c r="J238">
        <v>0.536939524493</v>
      </c>
      <c r="K238">
        <v>0.523549488055</v>
      </c>
      <c r="L238">
        <v>0.477094635322</v>
      </c>
      <c r="Q238">
        <v>0.412733042443</v>
      </c>
      <c r="V238">
        <v>0.424215943295</v>
      </c>
      <c r="AA238">
        <v>0.431984443004</v>
      </c>
      <c r="AF238">
        <v>0.414275653394</v>
      </c>
      <c r="AK238">
        <v>0.39010867052</v>
      </c>
      <c r="AP238">
        <v>0.386087931189</v>
      </c>
      <c r="AU238">
        <v>0.378749673709</v>
      </c>
      <c r="AV238">
        <v>0.371469075257</v>
      </c>
      <c r="AW238">
        <v>0.364249948923</v>
      </c>
      <c r="AX238">
        <v>0.35709587151</v>
      </c>
      <c r="AY238">
        <v>0.354704508431</v>
      </c>
      <c r="AZ238">
        <v>0.352278280225</v>
      </c>
    </row>
    <row r="239" spans="2:52">
      <c r="B239" t="s">
        <v>1696</v>
      </c>
      <c r="D239" t="s">
        <v>1461</v>
      </c>
      <c r="F239">
        <v>0.023546760323</v>
      </c>
      <c r="G239">
        <v>0.022692746491</v>
      </c>
      <c r="H239">
        <v>0.023224731065</v>
      </c>
      <c r="I239">
        <v>0.022712476374</v>
      </c>
      <c r="J239">
        <v>0.024859206538</v>
      </c>
      <c r="K239">
        <v>0.024239275119</v>
      </c>
      <c r="L239">
        <v>0.02208851004</v>
      </c>
      <c r="Q239">
        <v>0.019108699358</v>
      </c>
      <c r="V239">
        <v>0.019640334284</v>
      </c>
      <c r="AA239">
        <v>0.02</v>
      </c>
      <c r="AF239">
        <v>0.019180119104</v>
      </c>
      <c r="AK239">
        <v>0.018061237012</v>
      </c>
      <c r="AP239">
        <v>0.017875084969</v>
      </c>
      <c r="AU239">
        <v>0.017535338591</v>
      </c>
      <c r="AV239">
        <v>0.017198261709</v>
      </c>
      <c r="AW239">
        <v>0.016864030861</v>
      </c>
      <c r="AX239">
        <v>0.016532811646</v>
      </c>
      <c r="AY239">
        <v>0.016422096405</v>
      </c>
      <c r="AZ239">
        <v>0.01630976698</v>
      </c>
    </row>
    <row r="240" spans="2:52">
      <c r="B240" t="s">
        <v>1697</v>
      </c>
      <c r="D240" t="s">
        <v>1461</v>
      </c>
      <c r="F240">
        <v>0.459615361455</v>
      </c>
      <c r="G240">
        <v>0.44294564254</v>
      </c>
      <c r="H240">
        <v>0.453329588307</v>
      </c>
      <c r="I240">
        <v>0.443330755268</v>
      </c>
      <c r="J240">
        <v>0.485233341731</v>
      </c>
      <c r="K240">
        <v>0.423132738533</v>
      </c>
      <c r="L240">
        <v>0.381151393516</v>
      </c>
      <c r="Q240">
        <v>0.322987690963</v>
      </c>
      <c r="V240">
        <v>0.333364811847</v>
      </c>
      <c r="AA240">
        <v>0.340385220854</v>
      </c>
      <c r="AF240">
        <v>0.32438175162</v>
      </c>
      <c r="AK240">
        <v>0.302541999983</v>
      </c>
      <c r="AP240">
        <v>0.298908449661</v>
      </c>
      <c r="AU240">
        <v>0.292276851433</v>
      </c>
      <c r="AV240">
        <v>0.285697359784</v>
      </c>
      <c r="AW240">
        <v>0.279173420615</v>
      </c>
      <c r="AX240">
        <v>0.272708266289</v>
      </c>
      <c r="AY240">
        <v>0.270547186604</v>
      </c>
      <c r="AZ240">
        <v>0.268354599233</v>
      </c>
    </row>
    <row r="241" spans="2:4">
      <c r="B241" t="s">
        <v>1698</v>
      </c>
      <c r="D241" t="s">
        <v>1461</v>
      </c>
    </row>
    <row r="242" spans="2:4">
      <c r="B242" t="s">
        <v>1699</v>
      </c>
      <c r="D242" t="s">
        <v>1461</v>
      </c>
    </row>
    <row r="243" spans="2:4">
      <c r="B243" t="s">
        <v>1700</v>
      </c>
      <c r="D243" t="s">
        <v>1461</v>
      </c>
    </row>
    <row r="244" spans="2:4">
      <c r="B244" t="s">
        <v>1701</v>
      </c>
      <c r="D244" t="s">
        <v>1461</v>
      </c>
    </row>
    <row r="245" spans="2:4">
      <c r="B245" t="s">
        <v>1702</v>
      </c>
      <c r="D245" t="s">
        <v>1461</v>
      </c>
    </row>
    <row r="246" spans="2:4">
      <c r="B246" t="s">
        <v>1703</v>
      </c>
      <c r="D246" t="s">
        <v>1461</v>
      </c>
    </row>
    <row r="247" spans="2:4">
      <c r="B247" t="s">
        <v>1704</v>
      </c>
      <c r="D247" t="s">
        <v>1461</v>
      </c>
    </row>
    <row r="248" spans="2:4">
      <c r="B248" t="s">
        <v>1705</v>
      </c>
      <c r="D248" t="s">
        <v>1461</v>
      </c>
    </row>
    <row r="249" spans="2:4">
      <c r="B249" t="s">
        <v>1706</v>
      </c>
      <c r="D249" t="s">
        <v>1461</v>
      </c>
    </row>
    <row r="250" spans="2:4">
      <c r="B250" t="s">
        <v>1707</v>
      </c>
      <c r="D250" t="s">
        <v>1461</v>
      </c>
    </row>
    <row r="251" spans="2:4">
      <c r="B251" t="s">
        <v>1708</v>
      </c>
      <c r="D251" t="s">
        <v>1461</v>
      </c>
    </row>
    <row r="252" spans="2:4">
      <c r="B252" t="s">
        <v>1709</v>
      </c>
      <c r="D252" t="s">
        <v>1461</v>
      </c>
    </row>
    <row r="253" spans="2:4">
      <c r="B253" t="s">
        <v>1710</v>
      </c>
      <c r="D253" t="s">
        <v>1461</v>
      </c>
    </row>
    <row r="254" spans="2:4">
      <c r="B254" t="s">
        <v>1711</v>
      </c>
      <c r="D254" t="s">
        <v>1461</v>
      </c>
    </row>
    <row r="255" spans="2:4">
      <c r="B255" t="s">
        <v>1712</v>
      </c>
      <c r="D255" t="s">
        <v>1461</v>
      </c>
    </row>
    <row r="256" spans="2:4">
      <c r="B256" t="s">
        <v>1713</v>
      </c>
      <c r="D256" t="s">
        <v>1461</v>
      </c>
    </row>
    <row r="257" spans="2:52">
      <c r="B257" t="s">
        <v>1714</v>
      </c>
      <c r="D257" t="s">
        <v>1461</v>
      </c>
      <c r="F257">
        <v>0.05</v>
      </c>
      <c r="G257">
        <v>0.05</v>
      </c>
      <c r="H257">
        <v>0.05</v>
      </c>
      <c r="I257">
        <v>0.05</v>
      </c>
      <c r="J257">
        <v>0.05</v>
      </c>
      <c r="K257">
        <v>0.05</v>
      </c>
      <c r="L257">
        <v>0.05</v>
      </c>
      <c r="Q257">
        <v>0.05</v>
      </c>
      <c r="V257">
        <v>0.05</v>
      </c>
      <c r="AA257">
        <v>0.05</v>
      </c>
      <c r="AF257">
        <v>0.05</v>
      </c>
      <c r="AK257">
        <v>0.05</v>
      </c>
      <c r="AP257">
        <v>0.05</v>
      </c>
      <c r="AU257">
        <v>0.05</v>
      </c>
      <c r="AV257">
        <v>0.05</v>
      </c>
      <c r="AW257">
        <v>0.05</v>
      </c>
      <c r="AX257">
        <v>0.05</v>
      </c>
      <c r="AY257">
        <v>0.05</v>
      </c>
      <c r="AZ257">
        <v>0.05</v>
      </c>
    </row>
    <row r="258" spans="2:52">
      <c r="B258" t="s">
        <v>1715</v>
      </c>
      <c r="D258" t="s">
        <v>1461</v>
      </c>
    </row>
    <row r="259" spans="2:52">
      <c r="B259" t="s">
        <v>1716</v>
      </c>
      <c r="D259" t="s">
        <v>1461</v>
      </c>
      <c r="F259">
        <v>0.025429585357</v>
      </c>
      <c r="G259">
        <v>0.024507283633</v>
      </c>
      <c r="H259">
        <v>0.025081806283</v>
      </c>
      <c r="I259">
        <v>0.024528591139</v>
      </c>
      <c r="J259">
        <v>0.026846976225</v>
      </c>
      <c r="K259">
        <v>0.026177474403</v>
      </c>
      <c r="L259">
        <v>0.023854731766</v>
      </c>
      <c r="Q259">
        <v>0.020636652122</v>
      </c>
      <c r="V259">
        <v>0.021210797165</v>
      </c>
      <c r="AA259">
        <v>0.02159922215</v>
      </c>
      <c r="AF259">
        <v>0.02071378267</v>
      </c>
      <c r="AK259">
        <v>0.019505433526</v>
      </c>
      <c r="AP259">
        <v>0.019304396559</v>
      </c>
      <c r="AU259">
        <v>0.018937483685</v>
      </c>
      <c r="AV259">
        <v>0.018573453763</v>
      </c>
      <c r="AW259">
        <v>0.018212497446</v>
      </c>
      <c r="AX259">
        <v>0.017854793576</v>
      </c>
      <c r="AY259">
        <v>0.017735225422</v>
      </c>
      <c r="AZ259">
        <v>0.017613914011</v>
      </c>
    </row>
    <row r="260" spans="2:52">
      <c r="B260" t="s">
        <v>1717</v>
      </c>
      <c r="D260" t="s">
        <v>1461</v>
      </c>
    </row>
    <row r="261" spans="2:52">
      <c r="B261" t="s">
        <v>1718</v>
      </c>
      <c r="D261" t="s">
        <v>1461</v>
      </c>
      <c r="F261">
        <v>0.123832648487</v>
      </c>
      <c r="G261">
        <v>0.149957155099</v>
      </c>
      <c r="H261">
        <v>0.165248691099</v>
      </c>
      <c r="I261">
        <v>0.178752107926</v>
      </c>
      <c r="J261">
        <v>0.178075634275</v>
      </c>
      <c r="K261">
        <v>0.203412969283</v>
      </c>
      <c r="L261">
        <v>0.229505726341</v>
      </c>
      <c r="Q261">
        <v>0.200317334391</v>
      </c>
      <c r="V261">
        <v>0.218856199631</v>
      </c>
      <c r="AA261">
        <v>0.246504305954</v>
      </c>
      <c r="AF261">
        <v>0.249093419378</v>
      </c>
      <c r="AK261">
        <v>0.24787322769</v>
      </c>
      <c r="AP261">
        <v>0.250093822713</v>
      </c>
      <c r="AU261">
        <v>0.266680104818</v>
      </c>
      <c r="AV261">
        <v>0.267994863326</v>
      </c>
      <c r="AW261">
        <v>0.273711178911</v>
      </c>
      <c r="AX261">
        <v>0.278438836105</v>
      </c>
      <c r="AY261">
        <v>0.282758199607</v>
      </c>
      <c r="AZ261">
        <v>0.286692766368</v>
      </c>
    </row>
    <row r="262" spans="2:52">
      <c r="B262" t="s">
        <v>1719</v>
      </c>
      <c r="D262" t="s">
        <v>1461</v>
      </c>
      <c r="F262">
        <v>0.030142688313</v>
      </c>
      <c r="G262">
        <v>0.039767194924</v>
      </c>
      <c r="H262">
        <v>0.038558730925</v>
      </c>
      <c r="I262">
        <v>0.035562147752</v>
      </c>
      <c r="J262">
        <v>0.018385674101</v>
      </c>
      <c r="K262">
        <v>0.032223009109</v>
      </c>
      <c r="L262">
        <v>0.046815766167</v>
      </c>
      <c r="Q262">
        <v>0.006127374217</v>
      </c>
      <c r="V262">
        <v>0.013166239457</v>
      </c>
      <c r="AA262">
        <v>0.02931434578</v>
      </c>
      <c r="AF262">
        <v>0.029018282108</v>
      </c>
      <c r="AK262">
        <v>0.032894078399</v>
      </c>
      <c r="AP262">
        <v>0.027623283044</v>
      </c>
      <c r="AU262">
        <v>0.028302425586</v>
      </c>
      <c r="AV262">
        <v>0.027232023623</v>
      </c>
      <c r="AW262">
        <v>0.027311655729</v>
      </c>
      <c r="AX262">
        <v>0.027321311822</v>
      </c>
      <c r="AY262">
        <v>0.027217040419</v>
      </c>
      <c r="AZ262">
        <v>0.027000044877</v>
      </c>
    </row>
    <row r="263" spans="2:52">
      <c r="B263" t="s">
        <v>1720</v>
      </c>
      <c r="D263" t="s">
        <v>1461</v>
      </c>
      <c r="F263">
        <v>0.086249930536</v>
      </c>
      <c r="G263">
        <v>0.087749930536</v>
      </c>
      <c r="H263">
        <v>0.089249930536</v>
      </c>
      <c r="I263">
        <v>0.090749930536</v>
      </c>
      <c r="J263">
        <v>0.092249930536</v>
      </c>
      <c r="K263">
        <v>0.093749930536</v>
      </c>
      <c r="L263">
        <v>0.095249930536</v>
      </c>
      <c r="Q263">
        <v>0.096749930536</v>
      </c>
      <c r="V263">
        <v>0.098249930536</v>
      </c>
      <c r="AA263">
        <v>0.099749930536</v>
      </c>
      <c r="AF263">
        <v>0.093150948849</v>
      </c>
      <c r="AK263">
        <v>0.083402835696</v>
      </c>
      <c r="AP263">
        <v>0.092246491031</v>
      </c>
      <c r="AU263">
        <v>0.10495195861</v>
      </c>
      <c r="AV263">
        <v>0.112383299764</v>
      </c>
      <c r="AW263">
        <v>0.117644574745</v>
      </c>
      <c r="AX263">
        <v>0.122317054264</v>
      </c>
      <c r="AY263">
        <v>0.127232254354</v>
      </c>
      <c r="AZ263">
        <v>0.13240679564</v>
      </c>
    </row>
    <row r="264" spans="2:52">
      <c r="B264" t="s">
        <v>1721</v>
      </c>
      <c r="D264" t="s">
        <v>1461</v>
      </c>
    </row>
    <row r="265" spans="2:52">
      <c r="B265" t="s">
        <v>1722</v>
      </c>
      <c r="D265" t="s">
        <v>1461</v>
      </c>
    </row>
    <row r="266" spans="2:52">
      <c r="B266" t="s">
        <v>1723</v>
      </c>
      <c r="D266" t="s">
        <v>1461</v>
      </c>
    </row>
    <row r="267" spans="2:52">
      <c r="B267" t="s">
        <v>1724</v>
      </c>
      <c r="D267" t="s">
        <v>1461</v>
      </c>
    </row>
    <row r="268" spans="2:52">
      <c r="B268" t="s">
        <v>1725</v>
      </c>
      <c r="D268" t="s">
        <v>1461</v>
      </c>
      <c r="F268">
        <v>0.007440029638</v>
      </c>
      <c r="G268">
        <v>0.022440029638</v>
      </c>
      <c r="H268">
        <v>0.037440029638</v>
      </c>
      <c r="I268">
        <v>0.052440029638</v>
      </c>
      <c r="J268">
        <v>0.067440029638</v>
      </c>
      <c r="K268">
        <v>0.077440029638</v>
      </c>
      <c r="L268">
        <v>0.087440029638</v>
      </c>
      <c r="Q268">
        <v>0.097440029638</v>
      </c>
      <c r="V268">
        <v>0.107440029638</v>
      </c>
      <c r="AA268">
        <v>0.117440029638</v>
      </c>
      <c r="AF268">
        <v>0.126924188421</v>
      </c>
      <c r="AK268">
        <v>0.131576313595</v>
      </c>
      <c r="AP268">
        <v>0.130224048638</v>
      </c>
      <c r="AU268">
        <v>0.133425720621</v>
      </c>
      <c r="AV268">
        <v>0.128379539939</v>
      </c>
      <c r="AW268">
        <v>0.128754948437</v>
      </c>
      <c r="AX268">
        <v>0.128800470019</v>
      </c>
      <c r="AY268">
        <v>0.128308904834</v>
      </c>
      <c r="AZ268">
        <v>0.127285925851</v>
      </c>
    </row>
    <row r="269" spans="2:52">
      <c r="B269" t="s">
        <v>1726</v>
      </c>
      <c r="D269" t="s">
        <v>1461</v>
      </c>
      <c r="F269">
        <v>0.002988419873</v>
      </c>
      <c r="G269">
        <v>0.003941730934</v>
      </c>
      <c r="H269">
        <v>0.006544502618</v>
      </c>
      <c r="I269">
        <v>0.005212325617</v>
      </c>
      <c r="J269">
        <v>0.007180469124</v>
      </c>
      <c r="K269">
        <v>0.007508532423</v>
      </c>
      <c r="L269">
        <v>0.010096443641</v>
      </c>
      <c r="Q269">
        <v>0.016759222531</v>
      </c>
      <c r="V269">
        <v>0.008738712496</v>
      </c>
      <c r="AA269">
        <v>0.00546346884</v>
      </c>
      <c r="AF269">
        <v>0.008859790511</v>
      </c>
      <c r="AK269">
        <v>0.053367662566</v>
      </c>
      <c r="AP269">
        <v>0.061125972672</v>
      </c>
      <c r="AU269">
        <v>0.057631129279</v>
      </c>
      <c r="AV269">
        <v>0.069304945877</v>
      </c>
      <c r="AW269">
        <v>0.076467539244</v>
      </c>
      <c r="AX269">
        <v>0.084502743839</v>
      </c>
      <c r="AY269">
        <v>0.084449567954</v>
      </c>
      <c r="AZ269">
        <v>0.084843388136</v>
      </c>
    </row>
    <row r="270" spans="2:52">
      <c r="B270" t="s">
        <v>1727</v>
      </c>
      <c r="D270" t="s">
        <v>1461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Q270">
        <v>1</v>
      </c>
      <c r="V270">
        <v>1</v>
      </c>
      <c r="AA270">
        <v>1</v>
      </c>
      <c r="AF270">
        <v>1</v>
      </c>
      <c r="AK270">
        <v>1</v>
      </c>
      <c r="AP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</row>
    <row r="271" spans="2:52">
      <c r="B271" t="s">
        <v>1728</v>
      </c>
      <c r="D271" t="s">
        <v>1461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Q271">
        <v>0</v>
      </c>
      <c r="V271">
        <v>0</v>
      </c>
      <c r="AA271">
        <v>0</v>
      </c>
      <c r="AF271">
        <v>0</v>
      </c>
      <c r="AK271">
        <v>0</v>
      </c>
      <c r="AP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2:52">
      <c r="B272" t="s">
        <v>1729</v>
      </c>
      <c r="D272" t="s">
        <v>1461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Q272">
        <v>0</v>
      </c>
      <c r="V272">
        <v>0</v>
      </c>
      <c r="AA272">
        <v>0</v>
      </c>
      <c r="AF272">
        <v>0</v>
      </c>
      <c r="AK272">
        <v>0</v>
      </c>
      <c r="AP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2:52">
      <c r="B273" t="s">
        <v>1730</v>
      </c>
      <c r="D273" t="s">
        <v>1461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Q273">
        <v>1</v>
      </c>
      <c r="V273">
        <v>1</v>
      </c>
      <c r="AA273">
        <v>1</v>
      </c>
      <c r="AF273">
        <v>1</v>
      </c>
      <c r="AK273">
        <v>1</v>
      </c>
      <c r="AP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</row>
    <row r="274" spans="2:52">
      <c r="B274" t="s">
        <v>1731</v>
      </c>
      <c r="D274" t="s">
        <v>1461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Q274">
        <v>0</v>
      </c>
      <c r="V274">
        <v>0</v>
      </c>
      <c r="AA274">
        <v>0</v>
      </c>
      <c r="AF274">
        <v>0</v>
      </c>
      <c r="AK274">
        <v>0</v>
      </c>
      <c r="AP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2:52">
      <c r="B275" t="s">
        <v>1732</v>
      </c>
      <c r="D275" t="s">
        <v>1461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Q275">
        <v>0</v>
      </c>
      <c r="V275">
        <v>0</v>
      </c>
      <c r="AA275">
        <v>0</v>
      </c>
      <c r="AF275">
        <v>0</v>
      </c>
      <c r="AK275">
        <v>0</v>
      </c>
      <c r="AP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2:52">
      <c r="B276" t="s">
        <v>1733</v>
      </c>
      <c r="D276" t="s">
        <v>1461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Q276">
        <v>1</v>
      </c>
      <c r="V276">
        <v>1</v>
      </c>
      <c r="AA276">
        <v>1</v>
      </c>
      <c r="AF276">
        <v>1</v>
      </c>
      <c r="AK276">
        <v>1</v>
      </c>
      <c r="AP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</row>
    <row r="277" spans="2:52">
      <c r="B277" t="s">
        <v>1734</v>
      </c>
      <c r="D277" t="s">
        <v>1461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Q277">
        <v>0</v>
      </c>
      <c r="V277">
        <v>0</v>
      </c>
      <c r="AA277">
        <v>0</v>
      </c>
      <c r="AF277">
        <v>0</v>
      </c>
      <c r="AK277">
        <v>0</v>
      </c>
      <c r="AP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2:52">
      <c r="B278" t="s">
        <v>1735</v>
      </c>
      <c r="D278" t="s">
        <v>1461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Q278">
        <v>0</v>
      </c>
      <c r="V278">
        <v>0</v>
      </c>
      <c r="AA278">
        <v>0</v>
      </c>
      <c r="AF278">
        <v>0</v>
      </c>
      <c r="AK278">
        <v>0</v>
      </c>
      <c r="AP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2:52">
      <c r="B279" t="s">
        <v>1736</v>
      </c>
      <c r="D279" t="s">
        <v>1461</v>
      </c>
      <c r="F279">
        <v>0.341053418005</v>
      </c>
      <c r="G279">
        <v>0.326649528706</v>
      </c>
      <c r="H279">
        <v>0.297447643979</v>
      </c>
      <c r="I279">
        <v>0.300475241453</v>
      </c>
      <c r="J279">
        <v>0.249242061592</v>
      </c>
      <c r="K279">
        <v>0.227303754266</v>
      </c>
      <c r="L279">
        <v>0.235232067511</v>
      </c>
      <c r="Q279">
        <v>0.32070606902</v>
      </c>
      <c r="V279">
        <v>0.284396543354</v>
      </c>
      <c r="AA279">
        <v>0.233354940272</v>
      </c>
      <c r="AF279">
        <v>0.233260023765</v>
      </c>
      <c r="AK279">
        <v>0.219652680554</v>
      </c>
      <c r="AP279">
        <v>0.215412521065</v>
      </c>
      <c r="AU279">
        <v>0.211318239902</v>
      </c>
      <c r="AV279">
        <v>0.207256128811</v>
      </c>
      <c r="AW279">
        <v>0.203228315254</v>
      </c>
      <c r="AX279">
        <v>0.199236794859</v>
      </c>
      <c r="AY279">
        <v>0.197902566286</v>
      </c>
      <c r="AZ279">
        <v>0.196548885188</v>
      </c>
    </row>
    <row r="280" spans="2:52">
      <c r="B280" t="s">
        <v>1737</v>
      </c>
      <c r="D280" t="s">
        <v>1461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Q280">
        <v>0</v>
      </c>
      <c r="V280">
        <v>0</v>
      </c>
      <c r="AA280">
        <v>0</v>
      </c>
      <c r="AF280">
        <v>0</v>
      </c>
      <c r="AK280">
        <v>0</v>
      </c>
      <c r="AP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2:52">
      <c r="B281" t="s">
        <v>1738</v>
      </c>
      <c r="D281" t="s">
        <v>1461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Q281">
        <v>0</v>
      </c>
      <c r="V281">
        <v>0</v>
      </c>
      <c r="AA281">
        <v>0</v>
      </c>
      <c r="AF281">
        <v>0</v>
      </c>
      <c r="AK281">
        <v>0</v>
      </c>
      <c r="AP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2:52">
      <c r="B282" t="s">
        <v>1739</v>
      </c>
      <c r="D282" t="s">
        <v>1461</v>
      </c>
      <c r="F282">
        <v>0.023546760323</v>
      </c>
      <c r="G282">
        <v>0.022692746491</v>
      </c>
      <c r="H282">
        <v>0.023224731065</v>
      </c>
      <c r="I282">
        <v>0.022712476374</v>
      </c>
      <c r="J282">
        <v>0.024859206538</v>
      </c>
      <c r="K282">
        <v>0.024239275119</v>
      </c>
      <c r="L282">
        <v>0.02208851004</v>
      </c>
      <c r="Q282">
        <v>0.019108699358</v>
      </c>
      <c r="V282">
        <v>0.019640334284</v>
      </c>
      <c r="AA282">
        <v>0.02</v>
      </c>
      <c r="AF282">
        <v>0.019180119104</v>
      </c>
      <c r="AK282">
        <v>0.018061237012</v>
      </c>
      <c r="AP282">
        <v>0.017875084969</v>
      </c>
      <c r="AU282">
        <v>0.017535338591</v>
      </c>
      <c r="AV282">
        <v>0.017198261709</v>
      </c>
      <c r="AW282">
        <v>0.016864030861</v>
      </c>
      <c r="AX282">
        <v>0.016532811646</v>
      </c>
      <c r="AY282">
        <v>0.016422096405</v>
      </c>
      <c r="AZ282">
        <v>0.01630976698</v>
      </c>
    </row>
    <row r="283" spans="2:52">
      <c r="B283" t="s">
        <v>1740</v>
      </c>
      <c r="D283" t="s">
        <v>1461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Q283">
        <v>0</v>
      </c>
      <c r="V283">
        <v>0</v>
      </c>
      <c r="AA283">
        <v>0</v>
      </c>
      <c r="AF283">
        <v>0</v>
      </c>
      <c r="AK283">
        <v>0</v>
      </c>
      <c r="AP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2:52">
      <c r="B284" t="s">
        <v>1741</v>
      </c>
      <c r="D284" t="s">
        <v>1461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Q284">
        <v>0</v>
      </c>
      <c r="V284">
        <v>0</v>
      </c>
      <c r="AA284">
        <v>0</v>
      </c>
      <c r="AF284">
        <v>0</v>
      </c>
      <c r="AK284">
        <v>0</v>
      </c>
      <c r="AP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2:52">
      <c r="B285" t="s">
        <v>1742</v>
      </c>
      <c r="D285" t="s">
        <v>1461</v>
      </c>
      <c r="F285">
        <v>0.485044946812</v>
      </c>
      <c r="G285">
        <v>0.467452926174</v>
      </c>
      <c r="H285">
        <v>0.478411394589</v>
      </c>
      <c r="I285">
        <v>0.467859346407</v>
      </c>
      <c r="J285">
        <v>0.512080317955</v>
      </c>
      <c r="K285">
        <v>0.499310212936</v>
      </c>
      <c r="L285">
        <v>0.455006125282</v>
      </c>
      <c r="Q285">
        <v>0.393624343085</v>
      </c>
      <c r="V285">
        <v>0.404575609012</v>
      </c>
      <c r="AA285">
        <v>0.411984443004</v>
      </c>
      <c r="AF285">
        <v>0.39509553429</v>
      </c>
      <c r="AK285">
        <v>0.372047433509</v>
      </c>
      <c r="AP285">
        <v>0.368212846221</v>
      </c>
      <c r="AU285">
        <v>0.361214335118</v>
      </c>
      <c r="AV285">
        <v>0.354270813547</v>
      </c>
      <c r="AW285">
        <v>0.347385918061</v>
      </c>
      <c r="AX285">
        <v>0.340563059864</v>
      </c>
      <c r="AY285">
        <v>0.338282412026</v>
      </c>
      <c r="AZ285">
        <v>0.335968513244</v>
      </c>
    </row>
    <row r="286" spans="2:52">
      <c r="B286" t="s">
        <v>1743</v>
      </c>
      <c r="D286" t="s">
        <v>1461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Q286">
        <v>0</v>
      </c>
      <c r="V286">
        <v>0</v>
      </c>
      <c r="AA286">
        <v>0</v>
      </c>
      <c r="AF286">
        <v>0</v>
      </c>
      <c r="AK286">
        <v>0</v>
      </c>
      <c r="AP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2:52">
      <c r="B287" t="s">
        <v>1744</v>
      </c>
      <c r="D287" t="s">
        <v>1461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Q287">
        <v>0</v>
      </c>
      <c r="V287">
        <v>0</v>
      </c>
      <c r="AA287">
        <v>0</v>
      </c>
      <c r="AF287">
        <v>0</v>
      </c>
      <c r="AK287">
        <v>0</v>
      </c>
      <c r="AP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2:52">
      <c r="B288" t="s">
        <v>1745</v>
      </c>
      <c r="D288" t="s">
        <v>1461</v>
      </c>
      <c r="F288">
        <v>0.15035487486</v>
      </c>
      <c r="G288">
        <v>0.183204798629</v>
      </c>
      <c r="H288">
        <v>0.200916230366</v>
      </c>
      <c r="I288">
        <v>0.208952935766</v>
      </c>
      <c r="J288">
        <v>0.213818413914</v>
      </c>
      <c r="K288">
        <v>0.249146757679</v>
      </c>
      <c r="L288">
        <v>0.287673297167</v>
      </c>
      <c r="Q288">
        <v>0.266560888536</v>
      </c>
      <c r="V288">
        <v>0.291387513351</v>
      </c>
      <c r="AA288">
        <v>0.334660616724</v>
      </c>
      <c r="AF288">
        <v>0.352464322842</v>
      </c>
      <c r="AK288">
        <v>0.390238648926</v>
      </c>
      <c r="AP288">
        <v>0.398499547746</v>
      </c>
      <c r="AU288">
        <v>0.409932086389</v>
      </c>
      <c r="AV288">
        <v>0.421274795933</v>
      </c>
      <c r="AW288">
        <v>0.432521735824</v>
      </c>
      <c r="AX288">
        <v>0.44366733363</v>
      </c>
      <c r="AY288">
        <v>0.447392925283</v>
      </c>
      <c r="AZ288">
        <v>0.451172834588</v>
      </c>
    </row>
    <row r="289" spans="2:52">
      <c r="B289" t="s">
        <v>1746</v>
      </c>
      <c r="D289" t="s">
        <v>1461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Q289">
        <v>0</v>
      </c>
      <c r="V289">
        <v>0</v>
      </c>
      <c r="AA289">
        <v>0</v>
      </c>
      <c r="AF289">
        <v>0</v>
      </c>
      <c r="AK289">
        <v>0</v>
      </c>
      <c r="AP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2:52">
      <c r="B290" t="s">
        <v>1747</v>
      </c>
      <c r="D290" t="s">
        <v>1461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Q290">
        <v>0</v>
      </c>
      <c r="V290">
        <v>0</v>
      </c>
      <c r="AA290">
        <v>0</v>
      </c>
      <c r="AF290">
        <v>0</v>
      </c>
      <c r="AK290">
        <v>0</v>
      </c>
      <c r="AP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2:52">
      <c r="B291" t="s">
        <v>1748</v>
      </c>
      <c r="D291" t="s">
        <v>1461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Q291">
        <v>1</v>
      </c>
      <c r="V291">
        <v>1</v>
      </c>
      <c r="AA291">
        <v>1</v>
      </c>
      <c r="AF291">
        <v>1</v>
      </c>
      <c r="AK291">
        <v>1</v>
      </c>
      <c r="AP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</row>
    <row r="292" spans="2:52">
      <c r="B292" t="s">
        <v>1749</v>
      </c>
      <c r="D292" t="s">
        <v>1461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Q292">
        <v>0</v>
      </c>
      <c r="V292">
        <v>0</v>
      </c>
      <c r="AA292">
        <v>0</v>
      </c>
      <c r="AF292">
        <v>0</v>
      </c>
      <c r="AK292">
        <v>0</v>
      </c>
      <c r="AP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2:52">
      <c r="B293" t="s">
        <v>1750</v>
      </c>
      <c r="D293" t="s">
        <v>1461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Q293">
        <v>0</v>
      </c>
      <c r="V293">
        <v>0</v>
      </c>
      <c r="AA293">
        <v>0</v>
      </c>
      <c r="AF293">
        <v>0</v>
      </c>
      <c r="AK293">
        <v>0</v>
      </c>
      <c r="AP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2:52">
      <c r="B294" t="s">
        <v>1751</v>
      </c>
      <c r="D294" t="s">
        <v>1461</v>
      </c>
      <c r="F294">
        <v>0.341053418005</v>
      </c>
      <c r="G294">
        <v>0.326649528706</v>
      </c>
      <c r="H294">
        <v>0.297447643979</v>
      </c>
      <c r="I294">
        <v>0.300475241453</v>
      </c>
      <c r="J294">
        <v>0.249242061592</v>
      </c>
      <c r="K294">
        <v>0.227303754266</v>
      </c>
      <c r="L294">
        <v>0.235232067511</v>
      </c>
      <c r="Q294">
        <v>0.32070606902</v>
      </c>
      <c r="V294">
        <v>0.284396543354</v>
      </c>
      <c r="AA294">
        <v>0.233354940272</v>
      </c>
      <c r="AF294">
        <v>0.233260023765</v>
      </c>
      <c r="AK294">
        <v>0.219652680554</v>
      </c>
      <c r="AP294">
        <v>0.215412521065</v>
      </c>
      <c r="AU294">
        <v>0.211318239902</v>
      </c>
      <c r="AV294">
        <v>0.207256128811</v>
      </c>
      <c r="AW294">
        <v>0.203228315254</v>
      </c>
      <c r="AX294">
        <v>0.199236794859</v>
      </c>
      <c r="AY294">
        <v>0.197902566286</v>
      </c>
      <c r="AZ294">
        <v>0.196548885188</v>
      </c>
    </row>
    <row r="295" spans="2:52">
      <c r="B295" t="s">
        <v>1752</v>
      </c>
      <c r="D295" t="s">
        <v>1461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Q295">
        <v>0</v>
      </c>
      <c r="V295">
        <v>0</v>
      </c>
      <c r="AA295">
        <v>0</v>
      </c>
      <c r="AF295">
        <v>0</v>
      </c>
      <c r="AK295">
        <v>0</v>
      </c>
      <c r="AP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2:52">
      <c r="B296" t="s">
        <v>1753</v>
      </c>
      <c r="D296" t="s">
        <v>1461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Q296">
        <v>0</v>
      </c>
      <c r="V296">
        <v>0</v>
      </c>
      <c r="AA296">
        <v>0</v>
      </c>
      <c r="AF296">
        <v>0</v>
      </c>
      <c r="AK296">
        <v>0</v>
      </c>
      <c r="AP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2:52">
      <c r="B297" t="s">
        <v>1754</v>
      </c>
      <c r="D297" t="s">
        <v>1461</v>
      </c>
      <c r="F297">
        <v>0.023546760323</v>
      </c>
      <c r="G297">
        <v>0.022692746491</v>
      </c>
      <c r="H297">
        <v>0.023224731065</v>
      </c>
      <c r="I297">
        <v>0.022712476374</v>
      </c>
      <c r="J297">
        <v>0.024859206538</v>
      </c>
      <c r="K297">
        <v>0.024239275119</v>
      </c>
      <c r="L297">
        <v>0.02208851004</v>
      </c>
      <c r="Q297">
        <v>0.019108699358</v>
      </c>
      <c r="V297">
        <v>0.019640334284</v>
      </c>
      <c r="AA297">
        <v>0.02</v>
      </c>
      <c r="AF297">
        <v>0.019180119104</v>
      </c>
      <c r="AK297">
        <v>0.018061237012</v>
      </c>
      <c r="AP297">
        <v>0.017875084969</v>
      </c>
      <c r="AU297">
        <v>0.017535338591</v>
      </c>
      <c r="AV297">
        <v>0.017198261709</v>
      </c>
      <c r="AW297">
        <v>0.016864030861</v>
      </c>
      <c r="AX297">
        <v>0.016532811646</v>
      </c>
      <c r="AY297">
        <v>0.016422096405</v>
      </c>
      <c r="AZ297">
        <v>0.01630976698</v>
      </c>
    </row>
    <row r="298" spans="2:52">
      <c r="B298" t="s">
        <v>1755</v>
      </c>
      <c r="D298" t="s">
        <v>1461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Q298">
        <v>0</v>
      </c>
      <c r="V298">
        <v>0</v>
      </c>
      <c r="AA298">
        <v>0</v>
      </c>
      <c r="AF298">
        <v>0</v>
      </c>
      <c r="AK298">
        <v>0</v>
      </c>
      <c r="AP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2:52">
      <c r="B299" t="s">
        <v>1756</v>
      </c>
      <c r="D299" t="s">
        <v>1461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Q299">
        <v>0</v>
      </c>
      <c r="V299">
        <v>0</v>
      </c>
      <c r="AA299">
        <v>0</v>
      </c>
      <c r="AF299">
        <v>0</v>
      </c>
      <c r="AK299">
        <v>0</v>
      </c>
      <c r="AP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2:52">
      <c r="B300" t="s">
        <v>1757</v>
      </c>
      <c r="D300" t="s">
        <v>1461</v>
      </c>
      <c r="F300">
        <v>0.485044946812</v>
      </c>
      <c r="G300">
        <v>0.467452926174</v>
      </c>
      <c r="H300">
        <v>0.478411394589</v>
      </c>
      <c r="I300">
        <v>0.467859346407</v>
      </c>
      <c r="J300">
        <v>0.512080317955</v>
      </c>
      <c r="K300">
        <v>0.499310212936</v>
      </c>
      <c r="L300">
        <v>0.455006125282</v>
      </c>
      <c r="Q300">
        <v>0.393624343085</v>
      </c>
      <c r="V300">
        <v>0.404575609012</v>
      </c>
      <c r="AA300">
        <v>0.411984443004</v>
      </c>
      <c r="AF300">
        <v>0.39509553429</v>
      </c>
      <c r="AK300">
        <v>0.372047433509</v>
      </c>
      <c r="AP300">
        <v>0.368212846221</v>
      </c>
      <c r="AU300">
        <v>0.361214335118</v>
      </c>
      <c r="AV300">
        <v>0.354270813547</v>
      </c>
      <c r="AW300">
        <v>0.347385918061</v>
      </c>
      <c r="AX300">
        <v>0.340563059864</v>
      </c>
      <c r="AY300">
        <v>0.338282412026</v>
      </c>
      <c r="AZ300">
        <v>0.335968513244</v>
      </c>
    </row>
    <row r="301" spans="2:52">
      <c r="B301" t="s">
        <v>1758</v>
      </c>
      <c r="D301" t="s">
        <v>1461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Q301">
        <v>0</v>
      </c>
      <c r="V301">
        <v>0</v>
      </c>
      <c r="AA301">
        <v>0</v>
      </c>
      <c r="AF301">
        <v>0</v>
      </c>
      <c r="AK301">
        <v>0</v>
      </c>
      <c r="AP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2:52">
      <c r="B302" t="s">
        <v>1759</v>
      </c>
      <c r="D302" t="s">
        <v>1461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Q302">
        <v>0</v>
      </c>
      <c r="V302">
        <v>0</v>
      </c>
      <c r="AA302">
        <v>0</v>
      </c>
      <c r="AF302">
        <v>0</v>
      </c>
      <c r="AK302">
        <v>0</v>
      </c>
      <c r="AP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2:52">
      <c r="B303" t="s">
        <v>1760</v>
      </c>
      <c r="D303" t="s">
        <v>1461</v>
      </c>
      <c r="F303">
        <v>0.15035487486</v>
      </c>
      <c r="G303">
        <v>0.183204798629</v>
      </c>
      <c r="H303">
        <v>0.200916230366</v>
      </c>
      <c r="I303">
        <v>0.208952935766</v>
      </c>
      <c r="J303">
        <v>0.213818413914</v>
      </c>
      <c r="K303">
        <v>0.249146757679</v>
      </c>
      <c r="L303">
        <v>0.287673297167</v>
      </c>
      <c r="Q303">
        <v>0.266560888536</v>
      </c>
      <c r="V303">
        <v>0.291387513351</v>
      </c>
      <c r="AA303">
        <v>0.334660616724</v>
      </c>
      <c r="AF303">
        <v>0.352464322842</v>
      </c>
      <c r="AK303">
        <v>0.390238648926</v>
      </c>
      <c r="AP303">
        <v>0.398499547746</v>
      </c>
      <c r="AU303">
        <v>0.409932086389</v>
      </c>
      <c r="AV303">
        <v>0.421274795933</v>
      </c>
      <c r="AW303">
        <v>0.432521735824</v>
      </c>
      <c r="AX303">
        <v>0.44366733363</v>
      </c>
      <c r="AY303">
        <v>0.447392925283</v>
      </c>
      <c r="AZ303">
        <v>0.451172834588</v>
      </c>
    </row>
    <row r="304" spans="2:52">
      <c r="B304" t="s">
        <v>1761</v>
      </c>
      <c r="D304" t="s">
        <v>1461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Q304">
        <v>0</v>
      </c>
      <c r="V304">
        <v>0</v>
      </c>
      <c r="AA304">
        <v>0</v>
      </c>
      <c r="AF304">
        <v>0</v>
      </c>
      <c r="AK304">
        <v>0</v>
      </c>
      <c r="AP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2:52">
      <c r="B305" t="s">
        <v>1762</v>
      </c>
      <c r="D305" t="s">
        <v>1461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Q305">
        <v>0</v>
      </c>
      <c r="V305">
        <v>0</v>
      </c>
      <c r="AA305">
        <v>0</v>
      </c>
      <c r="AF305">
        <v>0</v>
      </c>
      <c r="AK305">
        <v>0</v>
      </c>
      <c r="AP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2:52">
      <c r="B306" t="s">
        <v>1763</v>
      </c>
      <c r="D306" t="s">
        <v>1461</v>
      </c>
      <c r="F306">
        <v>0.341053418005</v>
      </c>
      <c r="G306">
        <v>0.326649528706</v>
      </c>
      <c r="H306">
        <v>0.297447643979</v>
      </c>
      <c r="I306">
        <v>0.300475241453</v>
      </c>
      <c r="J306">
        <v>0.249242061592</v>
      </c>
      <c r="K306">
        <v>0.227303754266</v>
      </c>
      <c r="L306">
        <v>0.235232067511</v>
      </c>
      <c r="Q306">
        <v>0.32070606902</v>
      </c>
      <c r="V306">
        <v>0.284396543354</v>
      </c>
      <c r="AA306">
        <v>0.233354940272</v>
      </c>
      <c r="AF306">
        <v>0.233260023765</v>
      </c>
      <c r="AK306">
        <v>0.219652680554</v>
      </c>
      <c r="AP306">
        <v>0.215412521065</v>
      </c>
      <c r="AU306">
        <v>0.211318239902</v>
      </c>
      <c r="AV306">
        <v>0.207256128811</v>
      </c>
      <c r="AW306">
        <v>0.203228315254</v>
      </c>
      <c r="AX306">
        <v>0.199236794859</v>
      </c>
      <c r="AY306">
        <v>0.197902566286</v>
      </c>
      <c r="AZ306">
        <v>0.196548885188</v>
      </c>
    </row>
    <row r="307" spans="2:52">
      <c r="B307" t="s">
        <v>1764</v>
      </c>
      <c r="D307" t="s">
        <v>1461</v>
      </c>
    </row>
    <row r="308" spans="2:52">
      <c r="B308" t="s">
        <v>1765</v>
      </c>
      <c r="D308" t="s">
        <v>1461</v>
      </c>
    </row>
    <row r="309" spans="2:52">
      <c r="B309" t="s">
        <v>1766</v>
      </c>
      <c r="D309" t="s">
        <v>1461</v>
      </c>
    </row>
    <row r="310" spans="2:52">
      <c r="B310" t="s">
        <v>1767</v>
      </c>
      <c r="D310" t="s">
        <v>1461</v>
      </c>
    </row>
    <row r="311" spans="2:52">
      <c r="B311" t="s">
        <v>1768</v>
      </c>
      <c r="D311" t="s">
        <v>1461</v>
      </c>
    </row>
    <row r="312" spans="2:52">
      <c r="B312" t="s">
        <v>1769</v>
      </c>
      <c r="D312" t="s">
        <v>1461</v>
      </c>
      <c r="F312">
        <v>0.485044946812</v>
      </c>
      <c r="G312">
        <v>0.467452926174</v>
      </c>
      <c r="H312">
        <v>0.478411394589</v>
      </c>
      <c r="I312">
        <v>0.467859346407</v>
      </c>
      <c r="J312">
        <v>0.512080317955</v>
      </c>
      <c r="K312">
        <v>0.499310212936</v>
      </c>
      <c r="L312">
        <v>0.455006125282</v>
      </c>
      <c r="Q312">
        <v>0.393624343085</v>
      </c>
      <c r="V312">
        <v>0.404575609012</v>
      </c>
      <c r="AA312">
        <v>0.411984443004</v>
      </c>
      <c r="AF312">
        <v>0.39509553429</v>
      </c>
      <c r="AK312">
        <v>0.372047433509</v>
      </c>
      <c r="AP312">
        <v>0.368212846221</v>
      </c>
      <c r="AU312">
        <v>0.361214335118</v>
      </c>
      <c r="AV312">
        <v>0.354270813547</v>
      </c>
      <c r="AW312">
        <v>0.347385918061</v>
      </c>
      <c r="AX312">
        <v>0.340563059864</v>
      </c>
      <c r="AY312">
        <v>0.338282412026</v>
      </c>
      <c r="AZ312">
        <v>0.335968513244</v>
      </c>
    </row>
    <row r="313" spans="2:52">
      <c r="B313" t="s">
        <v>1770</v>
      </c>
      <c r="D313" t="s">
        <v>1461</v>
      </c>
    </row>
    <row r="314" spans="2:52">
      <c r="B314" t="s">
        <v>1771</v>
      </c>
      <c r="D314" t="s">
        <v>1461</v>
      </c>
    </row>
    <row r="315" spans="2:52">
      <c r="B315" t="s">
        <v>1772</v>
      </c>
      <c r="D315" t="s">
        <v>1461</v>
      </c>
      <c r="F315">
        <v>0.15035487486</v>
      </c>
      <c r="G315">
        <v>0.183204798629</v>
      </c>
      <c r="H315">
        <v>0.200916230366</v>
      </c>
      <c r="I315">
        <v>0.208952935766</v>
      </c>
      <c r="J315">
        <v>0.213818413914</v>
      </c>
      <c r="K315">
        <v>0.249146757679</v>
      </c>
      <c r="L315">
        <v>0.287673297167</v>
      </c>
      <c r="Q315">
        <v>0.266560888536</v>
      </c>
      <c r="V315">
        <v>0.291387513351</v>
      </c>
      <c r="AA315">
        <v>0.334660616724</v>
      </c>
      <c r="AF315">
        <v>0.352464322842</v>
      </c>
      <c r="AK315">
        <v>0.390238648926</v>
      </c>
      <c r="AP315">
        <v>0.398499547746</v>
      </c>
      <c r="AU315">
        <v>0.409932086389</v>
      </c>
      <c r="AV315">
        <v>0.421274795933</v>
      </c>
      <c r="AW315">
        <v>0.432521735824</v>
      </c>
      <c r="AX315">
        <v>0.44366733363</v>
      </c>
      <c r="AY315">
        <v>0.447392925283</v>
      </c>
      <c r="AZ315">
        <v>0.451172834588</v>
      </c>
    </row>
    <row r="316" spans="2:52">
      <c r="B316" t="s">
        <v>1773</v>
      </c>
      <c r="D316" t="s">
        <v>1461</v>
      </c>
    </row>
    <row r="317" spans="2:52">
      <c r="B317" t="s">
        <v>1774</v>
      </c>
      <c r="D317" t="s">
        <v>1461</v>
      </c>
    </row>
    <row r="318" spans="2:52">
      <c r="B318" t="s">
        <v>1775</v>
      </c>
      <c r="D318" t="s">
        <v>1461</v>
      </c>
      <c r="F318">
        <v>0.341053418005</v>
      </c>
      <c r="G318">
        <v>0.326649528706</v>
      </c>
      <c r="H318">
        <v>0.297447643979</v>
      </c>
      <c r="I318">
        <v>0.300475241453</v>
      </c>
      <c r="J318">
        <v>0.249242061592</v>
      </c>
      <c r="K318">
        <v>0.227303754266</v>
      </c>
      <c r="L318">
        <v>0.235232067511</v>
      </c>
      <c r="Q318">
        <v>0.32070606902</v>
      </c>
      <c r="V318">
        <v>0.284396543354</v>
      </c>
      <c r="AA318">
        <v>0.233354940272</v>
      </c>
      <c r="AF318">
        <v>0.233260023765</v>
      </c>
      <c r="AK318">
        <v>0.219652680554</v>
      </c>
      <c r="AP318">
        <v>0.215412521065</v>
      </c>
      <c r="AU318">
        <v>0.211318239902</v>
      </c>
      <c r="AV318">
        <v>0.207256128811</v>
      </c>
      <c r="AW318">
        <v>0.203228315254</v>
      </c>
      <c r="AX318">
        <v>0.199236794859</v>
      </c>
      <c r="AY318">
        <v>0.197902566286</v>
      </c>
      <c r="AZ318">
        <v>0.196548885188</v>
      </c>
    </row>
    <row r="319" spans="2:52">
      <c r="B319" t="s">
        <v>1776</v>
      </c>
      <c r="D319" t="s">
        <v>1461</v>
      </c>
    </row>
    <row r="320" spans="2:52">
      <c r="B320" t="s">
        <v>1777</v>
      </c>
      <c r="D320" t="s">
        <v>1461</v>
      </c>
    </row>
    <row r="321" spans="2:52">
      <c r="B321" t="s">
        <v>1778</v>
      </c>
      <c r="D321" t="s">
        <v>1461</v>
      </c>
    </row>
    <row r="322" spans="2:52">
      <c r="B322" t="s">
        <v>1779</v>
      </c>
      <c r="D322" t="s">
        <v>1461</v>
      </c>
    </row>
    <row r="323" spans="2:52">
      <c r="B323" t="s">
        <v>1780</v>
      </c>
      <c r="D323" t="s">
        <v>1461</v>
      </c>
    </row>
    <row r="324" spans="2:52">
      <c r="B324" t="s">
        <v>1781</v>
      </c>
      <c r="D324" t="s">
        <v>1461</v>
      </c>
      <c r="F324">
        <v>0.485044946812</v>
      </c>
      <c r="G324">
        <v>0.467452926174</v>
      </c>
      <c r="H324">
        <v>0.478411394589</v>
      </c>
      <c r="I324">
        <v>0.467859346407</v>
      </c>
      <c r="J324">
        <v>0.512080317955</v>
      </c>
      <c r="K324">
        <v>0.499310212936</v>
      </c>
      <c r="L324">
        <v>0.455006125282</v>
      </c>
      <c r="Q324">
        <v>0.393624343085</v>
      </c>
      <c r="V324">
        <v>0.404575609012</v>
      </c>
      <c r="AA324">
        <v>0.411984443004</v>
      </c>
      <c r="AF324">
        <v>0.39509553429</v>
      </c>
      <c r="AK324">
        <v>0.372047433509</v>
      </c>
      <c r="AP324">
        <v>0.368212846221</v>
      </c>
      <c r="AU324">
        <v>0.361214335118</v>
      </c>
      <c r="AV324">
        <v>0.354270813547</v>
      </c>
      <c r="AW324">
        <v>0.347385918061</v>
      </c>
      <c r="AX324">
        <v>0.340563059864</v>
      </c>
      <c r="AY324">
        <v>0.338282412026</v>
      </c>
      <c r="AZ324">
        <v>0.335968513244</v>
      </c>
    </row>
    <row r="325" spans="2:52">
      <c r="B325" t="s">
        <v>1782</v>
      </c>
      <c r="D325" t="s">
        <v>1461</v>
      </c>
    </row>
    <row r="326" spans="2:52">
      <c r="B326" t="s">
        <v>1783</v>
      </c>
      <c r="D326" t="s">
        <v>1461</v>
      </c>
    </row>
    <row r="327" spans="2:52">
      <c r="B327" t="s">
        <v>1784</v>
      </c>
      <c r="D327" t="s">
        <v>1461</v>
      </c>
      <c r="F327">
        <v>0.15035487486</v>
      </c>
      <c r="G327">
        <v>0.183204798629</v>
      </c>
      <c r="H327">
        <v>0.200916230366</v>
      </c>
      <c r="I327">
        <v>0.208952935766</v>
      </c>
      <c r="J327">
        <v>0.213818413914</v>
      </c>
      <c r="K327">
        <v>0.249146757679</v>
      </c>
      <c r="L327">
        <v>0.287673297167</v>
      </c>
      <c r="Q327">
        <v>0.266560888536</v>
      </c>
      <c r="V327">
        <v>0.291387513351</v>
      </c>
      <c r="AA327">
        <v>0.334660616724</v>
      </c>
      <c r="AF327">
        <v>0.352464322842</v>
      </c>
      <c r="AK327">
        <v>0.390238648926</v>
      </c>
      <c r="AP327">
        <v>0.398499547746</v>
      </c>
      <c r="AU327">
        <v>0.409932086389</v>
      </c>
      <c r="AV327">
        <v>0.421274795933</v>
      </c>
      <c r="AW327">
        <v>0.432521735824</v>
      </c>
      <c r="AX327">
        <v>0.44366733363</v>
      </c>
      <c r="AY327">
        <v>0.447392925283</v>
      </c>
      <c r="AZ327">
        <v>0.451172834588</v>
      </c>
    </row>
    <row r="328" spans="2:52">
      <c r="B328" t="s">
        <v>1785</v>
      </c>
      <c r="D328" t="s">
        <v>1461</v>
      </c>
    </row>
    <row r="329" spans="2:52">
      <c r="B329" t="s">
        <v>1786</v>
      </c>
      <c r="D329" t="s">
        <v>1461</v>
      </c>
    </row>
    <row r="330" spans="2:52">
      <c r="B330" t="s">
        <v>1787</v>
      </c>
      <c r="D330" t="s">
        <v>1461</v>
      </c>
    </row>
  </sheetData>
  <pageMargins left="0.75" right="0.75" top="1" bottom="1" header="0.5" footer="0.5"/>
  <pageSetup paperSize="9" orientation="portrait"/>
  <headerFooter alignWithMargins="0"/>
  <customProperties>
    <customPr name="LIVENUMBERS" r:id="rId1"/>
    <customPr name="Password" r:id="rId2"/>
    <customPr name="Qube.Worksheet.Visibility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EDFDD-66DE-4992-8212-42E2ED0303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Goldman Sachs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Cover Sheet</vt:lpstr>
      <vt:lpstr>Sheet2</vt:lpstr>
      <vt:lpstr>Sheet1</vt:lpstr>
      <vt:lpstr>Profit and Loss</vt:lpstr>
      <vt:lpstr>Interim</vt:lpstr>
      <vt:lpstr>Worksheet</vt:lpstr>
      <vt:lpstr>Balance Sheet &amp; Cash Flow</vt:lpstr>
      <vt:lpstr>DCF</vt:lpstr>
      <vt:lpstr>Stat Ab</vt:lpstr>
      <vt:lpstr>Macro sensitivity</vt:lpstr>
      <vt:lpstr>LFL GP</vt:lpstr>
      <vt:lpstr>Profit and Loss OLd</vt:lpstr>
      <vt:lpstr>Preview(old)</vt:lpstr>
      <vt:lpstr>Sales &amp; stores</vt:lpstr>
      <vt:lpstr>Cost split</vt:lpstr>
      <vt:lpstr>GSe vs Cons</vt:lpstr>
      <vt:lpstr>_ADSG.DE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cipicl</dc:creator>
  <cp:lastModifiedBy>rundong</cp:lastModifiedBy>
  <dcterms:created xsi:type="dcterms:W3CDTF">2006-08-07T18:33:00Z</dcterms:created>
  <cp:lastPrinted>2026-07-31T19:16:00Z</cp:lastPrinted>
  <dcterms:modified xsi:type="dcterms:W3CDTF">2026-09-29T15:10:09Z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ubeDoAutoRefresh">
    <vt:bool>true</vt:bool>
  </property>
  <property fmtid="{D5CDD505-2E9C-101B-9397-08002B2CF9AE}" pid="3" name="TitusGUID">
    <vt:lpwstr>dc3cb977-66d5-40c9-926e-09ac856b5716</vt:lpwstr>
  </property>
  <property fmtid="{D5CDD505-2E9C-101B-9397-08002B2CF9AE}" pid="4" name="Classification">
    <vt:lpwstr>I</vt:lpwstr>
  </property>
  <property fmtid="{D5CDD505-2E9C-101B-9397-08002B2CF9AE}" pid="5" name="GSRUdf">
    <vt:lpwstr>True</vt:lpwstr>
  </property>
  <property fmtid="{D5CDD505-2E9C-101B-9397-08002B2CF9AE}" pid="6" name="DocNoClass">
    <vt:lpwstr>Not In Use</vt:lpwstr>
  </property>
  <property fmtid="{D5CDD505-2E9C-101B-9397-08002B2CF9AE}" pid="7" name="ICV">
    <vt:lpwstr>4E74C8E56D7A27EA4F64BB6A017D2DF3_43</vt:lpwstr>
  </property>
  <property fmtid="{D5CDD505-2E9C-101B-9397-08002B2CF9AE}" pid="8" name="KSOProductBuildVer">
    <vt:lpwstr>2052-12.1.23540.23540</vt:lpwstr>
  </property>
</Properties>
</file>